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showInkAnnotation="0" codeName="ThisWorkbook" defaultThemeVersion="124226"/>
  <mc:AlternateContent xmlns:mc="http://schemas.openxmlformats.org/markup-compatibility/2006">
    <mc:Choice Requires="x15">
      <x15ac:absPath xmlns:x15ac="http://schemas.microsoft.com/office/spreadsheetml/2010/11/ac" url="C:\Users\estul\SyncedFolder\142 - XTO-Local\_Delaware\Cowboy and Husky\Husky\2019.05_Update Permit\Calculations\"/>
    </mc:Choice>
  </mc:AlternateContent>
  <xr:revisionPtr revIDLastSave="0" documentId="13_ncr:1_{17A5A973-5237-4BAC-AE4F-A579F55672D2}" xr6:coauthVersionLast="41" xr6:coauthVersionMax="41" xr10:uidLastSave="{00000000-0000-0000-0000-000000000000}"/>
  <bookViews>
    <workbookView xWindow="1950" yWindow="600" windowWidth="16580" windowHeight="9600" tabRatio="778" firstSheet="38" activeTab="44" xr2:uid="{00000000-000D-0000-FFFF-FFFF00000000}"/>
  </bookViews>
  <sheets>
    <sheet name="Cover Page" sheetId="182" r:id="rId1"/>
    <sheet name="TOC" sheetId="150" r:id="rId2"/>
    <sheet name="AQB Forms" sheetId="557" r:id="rId3"/>
    <sheet name="2-A All" sheetId="543" r:id="rId4"/>
    <sheet name="2-A_NoTURB" sheetId="565" r:id="rId5"/>
    <sheet name="2-A_3TURB" sheetId="564" state="hidden" r:id="rId6"/>
    <sheet name="2-A_2TURB" sheetId="562" state="hidden" r:id="rId7"/>
    <sheet name="2-A_1TURB" sheetId="561" state="hidden" r:id="rId8"/>
    <sheet name="2-A_4TURB" sheetId="402" r:id="rId9"/>
    <sheet name="2-B" sheetId="548" r:id="rId10"/>
    <sheet name="2-C" sheetId="549" r:id="rId11"/>
    <sheet name="Sum UC-NoCo11X17" sheetId="553" state="hidden" r:id="rId12"/>
    <sheet name="Sum-NoCo11X17" sheetId="554" state="hidden" r:id="rId13"/>
    <sheet name="Sum UC-Co11X17" sheetId="555" state="hidden" r:id="rId14"/>
    <sheet name="Summary-Co 11x17" sheetId="556" state="hidden" r:id="rId15"/>
    <sheet name="2-D-Co" sheetId="544" r:id="rId16"/>
    <sheet name="2-D-NoCo" sheetId="405" r:id="rId17"/>
    <sheet name="2-E-Co" sheetId="406" r:id="rId18"/>
    <sheet name="2-E-NoCo" sheetId="531" r:id="rId19"/>
    <sheet name="2-F" sheetId="550" r:id="rId20"/>
    <sheet name="2-G" sheetId="551" r:id="rId21"/>
    <sheet name="2-G-Co" sheetId="408" state="hidden" r:id="rId22"/>
    <sheet name="2-H-Co" sheetId="409" state="hidden" r:id="rId23"/>
    <sheet name="2-H" sheetId="532" r:id="rId24"/>
    <sheet name="2-I-Co" sheetId="552" r:id="rId25"/>
    <sheet name="2-I_NoCo" sheetId="567" r:id="rId26"/>
    <sheet name="2-J" sheetId="411" r:id="rId27"/>
    <sheet name="2-K" sheetId="412" r:id="rId28"/>
    <sheet name="2-L" sheetId="413" r:id="rId29"/>
    <sheet name="2-M" sheetId="414" r:id="rId30"/>
    <sheet name="2-N" sheetId="415" r:id="rId31"/>
    <sheet name="2-O" sheetId="416" r:id="rId32"/>
    <sheet name="2-B-Co" sheetId="403" state="hidden" r:id="rId33"/>
    <sheet name="2-C-Co" sheetId="404" state="hidden" r:id="rId34"/>
    <sheet name="2-F-Co" sheetId="407" state="hidden" r:id="rId35"/>
    <sheet name="2-P_Co" sheetId="535" r:id="rId36"/>
    <sheet name="2-P_NoCo" sheetId="417" r:id="rId37"/>
    <sheet name="Calcs" sheetId="558" r:id="rId38"/>
    <sheet name="Summary UC-Co" sheetId="542" r:id="rId39"/>
    <sheet name="Summary-Co" sheetId="90" r:id="rId40"/>
    <sheet name="PSD-Co" sheetId="547" r:id="rId41"/>
    <sheet name="Summary UC-NoCo" sheetId="501" r:id="rId42"/>
    <sheet name="Summary-NoCo" sheetId="517" r:id="rId43"/>
    <sheet name="PSD-NoCo" sheetId="563" r:id="rId44"/>
    <sheet name="Q-D " sheetId="571" r:id="rId45"/>
    <sheet name="Cogen-SO2_H2SO4" sheetId="559" r:id="rId46"/>
    <sheet name="Cogen VOC, HAPs" sheetId="560" r:id="rId47"/>
    <sheet name="COGEN GHG " sheetId="523" r:id="rId48"/>
    <sheet name="Generators" sheetId="577" r:id="rId49"/>
    <sheet name="Gen GHG" sheetId="578" r:id="rId50"/>
    <sheet name="Burners" sheetId="451" r:id="rId51"/>
    <sheet name="Burners No Cogen" sheetId="533" r:id="rId52"/>
    <sheet name="HT Flow &amp; Fuel " sheetId="515" r:id="rId53"/>
    <sheet name="SHTRGHG" sheetId="463" r:id="rId54"/>
    <sheet name="CHTRGHG" sheetId="513" r:id="rId55"/>
    <sheet name="RegenGHG" sheetId="514" r:id="rId56"/>
    <sheet name="Flare Summary" sheetId="529" r:id="rId57"/>
    <sheet name="Hrly (FL1-FL3CRYO-SSM)" sheetId="568" r:id="rId58"/>
    <sheet name="Ann (FL1-FL3CRYO-MSS)" sheetId="569" r:id="rId59"/>
    <sheet name="Hrly (FL1-FL3OVHD-SSM)" sheetId="525" r:id="rId60"/>
    <sheet name="Ann (FL1-FL3OVHD-MSS)" sheetId="526" r:id="rId61"/>
    <sheet name="Hrly (FL1-FL3)" sheetId="487" r:id="rId62"/>
    <sheet name="Ann (FL1-FL3)" sheetId="488" r:id="rId63"/>
    <sheet name="FL PURGE GHG" sheetId="430" r:id="rId64"/>
    <sheet name="FLOH SSM GHG" sheetId="572" r:id="rId65"/>
    <sheet name="FLCRY SSM GHG" sheetId="573" r:id="rId66"/>
    <sheet name="Tank Summary" sheetId="274" r:id="rId67"/>
    <sheet name="IFR Tanks (IFR1-IFR4)" sheetId="499" r:id="rId68"/>
    <sheet name="Hrly (ECD1)" sheetId="495" r:id="rId69"/>
    <sheet name=" Ann (ECD1)" sheetId="496" r:id="rId70"/>
    <sheet name="ECD1 GHG" sheetId="502" r:id="rId71"/>
    <sheet name="TO Hrly (TO1-TO3)" sheetId="485" r:id="rId72"/>
    <sheet name="TO Ann (TO1-TO3)" sheetId="486" r:id="rId73"/>
    <sheet name="TO GHG-Flash " sheetId="503" r:id="rId74"/>
    <sheet name="TO GHG-Still" sheetId="524" r:id="rId75"/>
    <sheet name="Controlled Engines" sheetId="576" state="hidden" r:id="rId76"/>
    <sheet name="Fugitive" sheetId="6" r:id="rId77"/>
    <sheet name="Fugitive CH4" sheetId="574" r:id="rId78"/>
    <sheet name="Fugitives HAPs" sheetId="231" r:id="rId79"/>
    <sheet name="Load-Slop Oil" sheetId="467" r:id="rId80"/>
    <sheet name="Load-H2O" sheetId="471" r:id="rId81"/>
    <sheet name="Road" sheetId="458" r:id="rId82"/>
    <sheet name="ProMax--&gt;" sheetId="482" r:id="rId83"/>
    <sheet name=" UserValueSets Report" sheetId="509" r:id="rId84"/>
    <sheet name="CDP + Flare PStreams" sheetId="527" r:id="rId85"/>
    <sheet name="Amine PStreams" sheetId="484" r:id="rId86"/>
    <sheet name="Components - INLET GAS" sheetId="528" r:id="rId87"/>
    <sheet name="Components - IFR INLET" sheetId="492" r:id="rId88"/>
    <sheet name="Components - DRAIN OUTLET OIL" sheetId="493" r:id="rId89"/>
    <sheet name="Components - DRAIN OUTLET WATER" sheetId="490" r:id="rId90"/>
    <sheet name="Components - SURGE WATER" sheetId="491" r:id="rId91"/>
    <sheet name="Components -Stabilizer Overhead" sheetId="519" r:id="rId92"/>
    <sheet name="Components - RESIDUE GAS" sheetId="520" r:id="rId93"/>
    <sheet name="Components - PVT Sample" sheetId="530" r:id="rId94"/>
    <sheet name="Components - Amine Inlet Gas" sheetId="579" r:id="rId95"/>
    <sheet name="Not Used" sheetId="541" r:id="rId96"/>
    <sheet name="Generator Insig" sheetId="516" r:id="rId97"/>
    <sheet name="Summary-AllForAERMOd" sheetId="540" r:id="rId98"/>
    <sheet name=" Tank SSM IFR Landing" sheetId="506" r:id="rId99"/>
    <sheet name="Tank SSM IFR Clean" sheetId="507" r:id="rId100"/>
    <sheet name="AltHeatScenarios" sheetId="539" r:id="rId101"/>
    <sheet name="Summary_1TUR" sheetId="538" r:id="rId102"/>
    <sheet name="Summary_2TUR" sheetId="537" r:id="rId103"/>
    <sheet name="Summary_3TUR" sheetId="536" r:id="rId104"/>
    <sheet name="Cogen-SO2_H2SO4 (2)" sheetId="566" state="hidden" r:id="rId105"/>
    <sheet name="COGEN-New" sheetId="522" state="hidden"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aa" localSheetId="3">#REF!</definedName>
    <definedName name="\aa" localSheetId="7">#REF!</definedName>
    <definedName name="\aa" localSheetId="9">#REF!</definedName>
    <definedName name="\aa" localSheetId="10">#REF!</definedName>
    <definedName name="\aa" localSheetId="15">#REF!</definedName>
    <definedName name="\aa" localSheetId="19">#REF!</definedName>
    <definedName name="\aa" localSheetId="20">#REF!</definedName>
    <definedName name="\aa" localSheetId="24">#REF!</definedName>
    <definedName name="\aa" localSheetId="104">#REF!</definedName>
    <definedName name="\aa" localSheetId="65">#REF!</definedName>
    <definedName name="\aa" localSheetId="64">#REF!</definedName>
    <definedName name="\aa" localSheetId="77">#REF!</definedName>
    <definedName name="\aa" localSheetId="49">#REF!</definedName>
    <definedName name="\aa" localSheetId="40">#REF!</definedName>
    <definedName name="\aa" localSheetId="43">#REF!</definedName>
    <definedName name="\aa" localSheetId="13">#REF!</definedName>
    <definedName name="\aa" localSheetId="38">#REF!</definedName>
    <definedName name="\aa">#REF!</definedName>
    <definedName name="\cc" localSheetId="3">#REF!</definedName>
    <definedName name="\cc" localSheetId="7">#REF!</definedName>
    <definedName name="\cc" localSheetId="9">#REF!</definedName>
    <definedName name="\cc" localSheetId="10">#REF!</definedName>
    <definedName name="\cc" localSheetId="15">#REF!</definedName>
    <definedName name="\cc" localSheetId="19">#REF!</definedName>
    <definedName name="\cc" localSheetId="20">#REF!</definedName>
    <definedName name="\cc" localSheetId="24">#REF!</definedName>
    <definedName name="\cc" localSheetId="104">#REF!</definedName>
    <definedName name="\cc" localSheetId="65">#REF!</definedName>
    <definedName name="\cc" localSheetId="64">#REF!</definedName>
    <definedName name="\cc" localSheetId="77">#REF!</definedName>
    <definedName name="\cc" localSheetId="49">#REF!</definedName>
    <definedName name="\cc" localSheetId="40">#REF!</definedName>
    <definedName name="\cc" localSheetId="43">#REF!</definedName>
    <definedName name="\cc" localSheetId="13">#REF!</definedName>
    <definedName name="\cc" localSheetId="38">#REF!</definedName>
    <definedName name="\cc">#REF!</definedName>
    <definedName name="\I" localSheetId="3">#REF!</definedName>
    <definedName name="\I" localSheetId="7">#REF!</definedName>
    <definedName name="\I" localSheetId="9">#REF!</definedName>
    <definedName name="\I" localSheetId="10">#REF!</definedName>
    <definedName name="\I" localSheetId="15">#REF!</definedName>
    <definedName name="\I" localSheetId="19">#REF!</definedName>
    <definedName name="\I" localSheetId="20">#REF!</definedName>
    <definedName name="\I" localSheetId="24">#REF!</definedName>
    <definedName name="\I" localSheetId="104">#REF!</definedName>
    <definedName name="\I" localSheetId="65">#REF!</definedName>
    <definedName name="\I" localSheetId="64">#REF!</definedName>
    <definedName name="\I" localSheetId="77">#REF!</definedName>
    <definedName name="\I" localSheetId="49">#REF!</definedName>
    <definedName name="\I" localSheetId="40">#REF!</definedName>
    <definedName name="\I" localSheetId="43">#REF!</definedName>
    <definedName name="\I" localSheetId="13">#REF!</definedName>
    <definedName name="\I" localSheetId="38">#REF!</definedName>
    <definedName name="\I">#REF!</definedName>
    <definedName name="\L" localSheetId="3">#REF!</definedName>
    <definedName name="\L" localSheetId="7">#REF!</definedName>
    <definedName name="\L" localSheetId="9">#REF!</definedName>
    <definedName name="\L" localSheetId="10">#REF!</definedName>
    <definedName name="\L" localSheetId="15">#REF!</definedName>
    <definedName name="\L" localSheetId="19">#REF!</definedName>
    <definedName name="\L" localSheetId="20">#REF!</definedName>
    <definedName name="\L" localSheetId="24">#REF!</definedName>
    <definedName name="\L" localSheetId="104">#REF!</definedName>
    <definedName name="\L" localSheetId="65">#REF!</definedName>
    <definedName name="\L" localSheetId="64">#REF!</definedName>
    <definedName name="\L" localSheetId="77">#REF!</definedName>
    <definedName name="\L" localSheetId="49">#REF!</definedName>
    <definedName name="\L" localSheetId="40">#REF!</definedName>
    <definedName name="\L" localSheetId="43">#REF!</definedName>
    <definedName name="\L" localSheetId="13">#REF!</definedName>
    <definedName name="\L" localSheetId="38">#REF!</definedName>
    <definedName name="\L">#REF!</definedName>
    <definedName name="\ll" localSheetId="3">#REF!</definedName>
    <definedName name="\ll" localSheetId="7">#REF!</definedName>
    <definedName name="\ll" localSheetId="9">#REF!</definedName>
    <definedName name="\ll" localSheetId="10">#REF!</definedName>
    <definedName name="\ll" localSheetId="15">#REF!</definedName>
    <definedName name="\ll" localSheetId="19">#REF!</definedName>
    <definedName name="\ll" localSheetId="20">#REF!</definedName>
    <definedName name="\ll" localSheetId="24">#REF!</definedName>
    <definedName name="\ll" localSheetId="104">#REF!</definedName>
    <definedName name="\ll" localSheetId="65">#REF!</definedName>
    <definedName name="\ll" localSheetId="64">#REF!</definedName>
    <definedName name="\ll" localSheetId="77">#REF!</definedName>
    <definedName name="\ll" localSheetId="49">#REF!</definedName>
    <definedName name="\ll" localSheetId="40">#REF!</definedName>
    <definedName name="\ll" localSheetId="43">#REF!</definedName>
    <definedName name="\ll" localSheetId="13">#REF!</definedName>
    <definedName name="\ll" localSheetId="38">#REF!</definedName>
    <definedName name="\ll">#REF!</definedName>
    <definedName name="\mm" localSheetId="3">#REF!</definedName>
    <definedName name="\mm" localSheetId="7">#REF!</definedName>
    <definedName name="\mm" localSheetId="9">#REF!</definedName>
    <definedName name="\mm" localSheetId="10">#REF!</definedName>
    <definedName name="\mm" localSheetId="15">#REF!</definedName>
    <definedName name="\mm" localSheetId="19">#REF!</definedName>
    <definedName name="\mm" localSheetId="20">#REF!</definedName>
    <definedName name="\mm" localSheetId="24">#REF!</definedName>
    <definedName name="\mm" localSheetId="104">#REF!</definedName>
    <definedName name="\mm" localSheetId="65">#REF!</definedName>
    <definedName name="\mm" localSheetId="64">#REF!</definedName>
    <definedName name="\mm" localSheetId="77">#REF!</definedName>
    <definedName name="\mm" localSheetId="49">#REF!</definedName>
    <definedName name="\mm" localSheetId="40">#REF!</definedName>
    <definedName name="\mm" localSheetId="43">#REF!</definedName>
    <definedName name="\mm" localSheetId="13">#REF!</definedName>
    <definedName name="\mm" localSheetId="38">#REF!</definedName>
    <definedName name="\mm">#REF!</definedName>
    <definedName name="\pp" localSheetId="3">#REF!</definedName>
    <definedName name="\pp" localSheetId="7">#REF!</definedName>
    <definedName name="\pp" localSheetId="9">#REF!</definedName>
    <definedName name="\pp" localSheetId="10">#REF!</definedName>
    <definedName name="\pp" localSheetId="15">#REF!</definedName>
    <definedName name="\pp" localSheetId="19">#REF!</definedName>
    <definedName name="\pp" localSheetId="20">#REF!</definedName>
    <definedName name="\pp" localSheetId="24">#REF!</definedName>
    <definedName name="\pp" localSheetId="104">#REF!</definedName>
    <definedName name="\pp" localSheetId="65">#REF!</definedName>
    <definedName name="\pp" localSheetId="64">#REF!</definedName>
    <definedName name="\pp" localSheetId="77">#REF!</definedName>
    <definedName name="\pp" localSheetId="49">#REF!</definedName>
    <definedName name="\pp" localSheetId="40">#REF!</definedName>
    <definedName name="\pp" localSheetId="43">#REF!</definedName>
    <definedName name="\pp" localSheetId="13">#REF!</definedName>
    <definedName name="\pp" localSheetId="38">#REF!</definedName>
    <definedName name="\pp">#REF!</definedName>
    <definedName name="\q" localSheetId="3">#REF!</definedName>
    <definedName name="\q" localSheetId="7">#REF!</definedName>
    <definedName name="\q" localSheetId="9">#REF!</definedName>
    <definedName name="\q" localSheetId="10">#REF!</definedName>
    <definedName name="\q" localSheetId="15">#REF!</definedName>
    <definedName name="\q" localSheetId="19">#REF!</definedName>
    <definedName name="\q" localSheetId="20">#REF!</definedName>
    <definedName name="\q" localSheetId="24">#REF!</definedName>
    <definedName name="\q" localSheetId="104">#REF!</definedName>
    <definedName name="\q" localSheetId="65">#REF!</definedName>
    <definedName name="\q" localSheetId="64">#REF!</definedName>
    <definedName name="\q" localSheetId="77">#REF!</definedName>
    <definedName name="\q" localSheetId="49">#REF!</definedName>
    <definedName name="\q" localSheetId="40">#REF!</definedName>
    <definedName name="\q" localSheetId="43">#REF!</definedName>
    <definedName name="\q" localSheetId="13">#REF!</definedName>
    <definedName name="\q" localSheetId="38">#REF!</definedName>
    <definedName name="\q">#REF!</definedName>
    <definedName name="\Z" localSheetId="3">#REF!</definedName>
    <definedName name="\Z" localSheetId="7">#REF!</definedName>
    <definedName name="\Z" localSheetId="9">#REF!</definedName>
    <definedName name="\Z" localSheetId="10">#REF!</definedName>
    <definedName name="\Z" localSheetId="15">#REF!</definedName>
    <definedName name="\Z" localSheetId="19">#REF!</definedName>
    <definedName name="\Z" localSheetId="20">#REF!</definedName>
    <definedName name="\Z" localSheetId="24">#REF!</definedName>
    <definedName name="\Z" localSheetId="104">#REF!</definedName>
    <definedName name="\Z" localSheetId="65">#REF!</definedName>
    <definedName name="\Z" localSheetId="64">#REF!</definedName>
    <definedName name="\Z" localSheetId="77">#REF!</definedName>
    <definedName name="\Z" localSheetId="49">#REF!</definedName>
    <definedName name="\Z" localSheetId="40">#REF!</definedName>
    <definedName name="\Z" localSheetId="43">#REF!</definedName>
    <definedName name="\Z" localSheetId="13">#REF!</definedName>
    <definedName name="\Z" localSheetId="38">#REF!</definedName>
    <definedName name="\Z">#REF!</definedName>
    <definedName name="____________________PG10" localSheetId="3">#REF!</definedName>
    <definedName name="____________________PG10" localSheetId="7">#REF!</definedName>
    <definedName name="____________________PG10" localSheetId="9">#REF!</definedName>
    <definedName name="____________________PG10" localSheetId="10">#REF!</definedName>
    <definedName name="____________________PG10" localSheetId="15">#REF!</definedName>
    <definedName name="____________________PG10" localSheetId="19">#REF!</definedName>
    <definedName name="____________________PG10" localSheetId="20">#REF!</definedName>
    <definedName name="____________________PG10" localSheetId="24">#REF!</definedName>
    <definedName name="____________________PG10" localSheetId="104">#REF!</definedName>
    <definedName name="____________________PG10" localSheetId="65">#REF!</definedName>
    <definedName name="____________________PG10" localSheetId="64">#REF!</definedName>
    <definedName name="____________________PG10" localSheetId="77">#REF!</definedName>
    <definedName name="____________________PG10" localSheetId="49">#REF!</definedName>
    <definedName name="____________________PG10" localSheetId="40">#REF!</definedName>
    <definedName name="____________________PG10" localSheetId="43">#REF!</definedName>
    <definedName name="____________________PG10" localSheetId="13">#REF!</definedName>
    <definedName name="____________________PG10" localSheetId="38">#REF!</definedName>
    <definedName name="____________________PG10">#REF!</definedName>
    <definedName name="____________________PG2" localSheetId="3">#REF!</definedName>
    <definedName name="____________________PG2" localSheetId="7">#REF!</definedName>
    <definedName name="____________________PG2" localSheetId="9">#REF!</definedName>
    <definedName name="____________________PG2" localSheetId="10">#REF!</definedName>
    <definedName name="____________________PG2" localSheetId="15">#REF!</definedName>
    <definedName name="____________________PG2" localSheetId="19">#REF!</definedName>
    <definedName name="____________________PG2" localSheetId="20">#REF!</definedName>
    <definedName name="____________________PG2" localSheetId="24">#REF!</definedName>
    <definedName name="____________________PG2" localSheetId="104">#REF!</definedName>
    <definedName name="____________________PG2" localSheetId="65">#REF!</definedName>
    <definedName name="____________________PG2" localSheetId="64">#REF!</definedName>
    <definedName name="____________________PG2" localSheetId="77">#REF!</definedName>
    <definedName name="____________________PG2" localSheetId="49">#REF!</definedName>
    <definedName name="____________________PG2" localSheetId="40">#REF!</definedName>
    <definedName name="____________________PG2" localSheetId="43">#REF!</definedName>
    <definedName name="____________________PG2" localSheetId="13">#REF!</definedName>
    <definedName name="____________________PG2" localSheetId="38">#REF!</definedName>
    <definedName name="____________________PG2">#REF!</definedName>
    <definedName name="____________________PG5" localSheetId="3">#REF!</definedName>
    <definedName name="____________________PG5" localSheetId="7">#REF!</definedName>
    <definedName name="____________________PG5" localSheetId="9">#REF!</definedName>
    <definedName name="____________________PG5" localSheetId="10">#REF!</definedName>
    <definedName name="____________________PG5" localSheetId="15">#REF!</definedName>
    <definedName name="____________________PG5" localSheetId="19">#REF!</definedName>
    <definedName name="____________________PG5" localSheetId="20">#REF!</definedName>
    <definedName name="____________________PG5" localSheetId="24">#REF!</definedName>
    <definedName name="____________________PG5" localSheetId="104">#REF!</definedName>
    <definedName name="____________________PG5" localSheetId="65">#REF!</definedName>
    <definedName name="____________________PG5" localSheetId="64">#REF!</definedName>
    <definedName name="____________________PG5" localSheetId="77">#REF!</definedName>
    <definedName name="____________________PG5" localSheetId="49">#REF!</definedName>
    <definedName name="____________________PG5" localSheetId="40">#REF!</definedName>
    <definedName name="____________________PG5" localSheetId="43">#REF!</definedName>
    <definedName name="____________________PG5" localSheetId="13">#REF!</definedName>
    <definedName name="____________________PG5" localSheetId="38">#REF!</definedName>
    <definedName name="____________________PG5">#REF!</definedName>
    <definedName name="____________________PG8" localSheetId="3">#REF!</definedName>
    <definedName name="____________________PG8" localSheetId="7">#REF!</definedName>
    <definedName name="____________________PG8" localSheetId="9">#REF!</definedName>
    <definedName name="____________________PG8" localSheetId="10">#REF!</definedName>
    <definedName name="____________________PG8" localSheetId="15">#REF!</definedName>
    <definedName name="____________________PG8" localSheetId="19">#REF!</definedName>
    <definedName name="____________________PG8" localSheetId="20">#REF!</definedName>
    <definedName name="____________________PG8" localSheetId="24">#REF!</definedName>
    <definedName name="____________________PG8" localSheetId="104">#REF!</definedName>
    <definedName name="____________________PG8" localSheetId="65">#REF!</definedName>
    <definedName name="____________________PG8" localSheetId="64">#REF!</definedName>
    <definedName name="____________________PG8" localSheetId="77">#REF!</definedName>
    <definedName name="____________________PG8" localSheetId="49">#REF!</definedName>
    <definedName name="____________________PG8" localSheetId="40">#REF!</definedName>
    <definedName name="____________________PG8" localSheetId="43">#REF!</definedName>
    <definedName name="____________________PG8" localSheetId="13">#REF!</definedName>
    <definedName name="____________________PG8" localSheetId="38">#REF!</definedName>
    <definedName name="____________________PG8">#REF!</definedName>
    <definedName name="____________________PG9" localSheetId="3">#REF!</definedName>
    <definedName name="____________________PG9" localSheetId="7">#REF!</definedName>
    <definedName name="____________________PG9" localSheetId="9">#REF!</definedName>
    <definedName name="____________________PG9" localSheetId="10">#REF!</definedName>
    <definedName name="____________________PG9" localSheetId="15">#REF!</definedName>
    <definedName name="____________________PG9" localSheetId="19">#REF!</definedName>
    <definedName name="____________________PG9" localSheetId="20">#REF!</definedName>
    <definedName name="____________________PG9" localSheetId="24">#REF!</definedName>
    <definedName name="____________________PG9" localSheetId="104">#REF!</definedName>
    <definedName name="____________________PG9" localSheetId="65">#REF!</definedName>
    <definedName name="____________________PG9" localSheetId="64">#REF!</definedName>
    <definedName name="____________________PG9" localSheetId="77">#REF!</definedName>
    <definedName name="____________________PG9" localSheetId="49">#REF!</definedName>
    <definedName name="____________________PG9" localSheetId="40">#REF!</definedName>
    <definedName name="____________________PG9" localSheetId="43">#REF!</definedName>
    <definedName name="____________________PG9" localSheetId="13">#REF!</definedName>
    <definedName name="____________________PG9" localSheetId="38">#REF!</definedName>
    <definedName name="____________________PG9">#REF!</definedName>
    <definedName name="___________________PG10" localSheetId="3">#REF!</definedName>
    <definedName name="___________________PG10" localSheetId="7">#REF!</definedName>
    <definedName name="___________________PG10" localSheetId="9">#REF!</definedName>
    <definedName name="___________________PG10" localSheetId="10">#REF!</definedName>
    <definedName name="___________________PG10" localSheetId="15">#REF!</definedName>
    <definedName name="___________________PG10" localSheetId="19">#REF!</definedName>
    <definedName name="___________________PG10" localSheetId="20">#REF!</definedName>
    <definedName name="___________________PG10" localSheetId="24">#REF!</definedName>
    <definedName name="___________________PG10" localSheetId="104">#REF!</definedName>
    <definedName name="___________________PG10" localSheetId="65">#REF!</definedName>
    <definedName name="___________________PG10" localSheetId="64">#REF!</definedName>
    <definedName name="___________________PG10" localSheetId="77">#REF!</definedName>
    <definedName name="___________________PG10" localSheetId="49">#REF!</definedName>
    <definedName name="___________________PG10" localSheetId="40">#REF!</definedName>
    <definedName name="___________________PG10" localSheetId="43">#REF!</definedName>
    <definedName name="___________________PG10" localSheetId="13">#REF!</definedName>
    <definedName name="___________________PG10" localSheetId="38">#REF!</definedName>
    <definedName name="___________________PG10">#REF!</definedName>
    <definedName name="___________________PG2" localSheetId="3">#REF!</definedName>
    <definedName name="___________________PG2" localSheetId="7">#REF!</definedName>
    <definedName name="___________________PG2" localSheetId="9">#REF!</definedName>
    <definedName name="___________________PG2" localSheetId="10">#REF!</definedName>
    <definedName name="___________________PG2" localSheetId="15">#REF!</definedName>
    <definedName name="___________________PG2" localSheetId="19">#REF!</definedName>
    <definedName name="___________________PG2" localSheetId="20">#REF!</definedName>
    <definedName name="___________________PG2" localSheetId="24">#REF!</definedName>
    <definedName name="___________________PG2" localSheetId="104">#REF!</definedName>
    <definedName name="___________________PG2" localSheetId="65">#REF!</definedName>
    <definedName name="___________________PG2" localSheetId="64">#REF!</definedName>
    <definedName name="___________________PG2" localSheetId="77">#REF!</definedName>
    <definedName name="___________________PG2" localSheetId="49">#REF!</definedName>
    <definedName name="___________________PG2" localSheetId="40">#REF!</definedName>
    <definedName name="___________________PG2" localSheetId="43">#REF!</definedName>
    <definedName name="___________________PG2" localSheetId="13">#REF!</definedName>
    <definedName name="___________________PG2" localSheetId="38">#REF!</definedName>
    <definedName name="___________________PG2">#REF!</definedName>
    <definedName name="___________________PG5" localSheetId="3">#REF!</definedName>
    <definedName name="___________________PG5" localSheetId="7">#REF!</definedName>
    <definedName name="___________________PG5" localSheetId="9">#REF!</definedName>
    <definedName name="___________________PG5" localSheetId="10">#REF!</definedName>
    <definedName name="___________________PG5" localSheetId="15">#REF!</definedName>
    <definedName name="___________________PG5" localSheetId="19">#REF!</definedName>
    <definedName name="___________________PG5" localSheetId="20">#REF!</definedName>
    <definedName name="___________________PG5" localSheetId="24">#REF!</definedName>
    <definedName name="___________________PG5" localSheetId="104">#REF!</definedName>
    <definedName name="___________________PG5" localSheetId="65">#REF!</definedName>
    <definedName name="___________________PG5" localSheetId="64">#REF!</definedName>
    <definedName name="___________________PG5" localSheetId="77">#REF!</definedName>
    <definedName name="___________________PG5" localSheetId="49">#REF!</definedName>
    <definedName name="___________________PG5" localSheetId="40">#REF!</definedName>
    <definedName name="___________________PG5" localSheetId="43">#REF!</definedName>
    <definedName name="___________________PG5" localSheetId="13">#REF!</definedName>
    <definedName name="___________________PG5" localSheetId="38">#REF!</definedName>
    <definedName name="___________________PG5">#REF!</definedName>
    <definedName name="___________________PG8" localSheetId="3">#REF!</definedName>
    <definedName name="___________________PG8" localSheetId="7">#REF!</definedName>
    <definedName name="___________________PG8" localSheetId="9">#REF!</definedName>
    <definedName name="___________________PG8" localSheetId="10">#REF!</definedName>
    <definedName name="___________________PG8" localSheetId="15">#REF!</definedName>
    <definedName name="___________________PG8" localSheetId="19">#REF!</definedName>
    <definedName name="___________________PG8" localSheetId="20">#REF!</definedName>
    <definedName name="___________________PG8" localSheetId="24">#REF!</definedName>
    <definedName name="___________________PG8" localSheetId="104">#REF!</definedName>
    <definedName name="___________________PG8" localSheetId="65">#REF!</definedName>
    <definedName name="___________________PG8" localSheetId="64">#REF!</definedName>
    <definedName name="___________________PG8" localSheetId="77">#REF!</definedName>
    <definedName name="___________________PG8" localSheetId="49">#REF!</definedName>
    <definedName name="___________________PG8" localSheetId="40">#REF!</definedName>
    <definedName name="___________________PG8" localSheetId="43">#REF!</definedName>
    <definedName name="___________________PG8" localSheetId="13">#REF!</definedName>
    <definedName name="___________________PG8" localSheetId="38">#REF!</definedName>
    <definedName name="___________________PG8">#REF!</definedName>
    <definedName name="___________________PG9" localSheetId="3">#REF!</definedName>
    <definedName name="___________________PG9" localSheetId="7">#REF!</definedName>
    <definedName name="___________________PG9" localSheetId="9">#REF!</definedName>
    <definedName name="___________________PG9" localSheetId="10">#REF!</definedName>
    <definedName name="___________________PG9" localSheetId="15">#REF!</definedName>
    <definedName name="___________________PG9" localSheetId="19">#REF!</definedName>
    <definedName name="___________________PG9" localSheetId="20">#REF!</definedName>
    <definedName name="___________________PG9" localSheetId="24">#REF!</definedName>
    <definedName name="___________________PG9" localSheetId="104">#REF!</definedName>
    <definedName name="___________________PG9" localSheetId="65">#REF!</definedName>
    <definedName name="___________________PG9" localSheetId="64">#REF!</definedName>
    <definedName name="___________________PG9" localSheetId="77">#REF!</definedName>
    <definedName name="___________________PG9" localSheetId="49">#REF!</definedName>
    <definedName name="___________________PG9" localSheetId="40">#REF!</definedName>
    <definedName name="___________________PG9" localSheetId="43">#REF!</definedName>
    <definedName name="___________________PG9" localSheetId="13">#REF!</definedName>
    <definedName name="___________________PG9" localSheetId="38">#REF!</definedName>
    <definedName name="___________________PG9">#REF!</definedName>
    <definedName name="__________________PG10" localSheetId="3">#REF!</definedName>
    <definedName name="__________________PG10" localSheetId="7">#REF!</definedName>
    <definedName name="__________________PG10" localSheetId="9">#REF!</definedName>
    <definedName name="__________________PG10" localSheetId="10">#REF!</definedName>
    <definedName name="__________________PG10" localSheetId="15">#REF!</definedName>
    <definedName name="__________________PG10" localSheetId="19">#REF!</definedName>
    <definedName name="__________________PG10" localSheetId="20">#REF!</definedName>
    <definedName name="__________________PG10" localSheetId="24">#REF!</definedName>
    <definedName name="__________________PG10" localSheetId="104">#REF!</definedName>
    <definedName name="__________________PG10" localSheetId="65">#REF!</definedName>
    <definedName name="__________________PG10" localSheetId="64">#REF!</definedName>
    <definedName name="__________________PG10" localSheetId="77">#REF!</definedName>
    <definedName name="__________________PG10" localSheetId="49">#REF!</definedName>
    <definedName name="__________________PG10" localSheetId="40">#REF!</definedName>
    <definedName name="__________________PG10" localSheetId="43">#REF!</definedName>
    <definedName name="__________________PG10" localSheetId="13">#REF!</definedName>
    <definedName name="__________________PG10" localSheetId="38">#REF!</definedName>
    <definedName name="__________________PG10">#REF!</definedName>
    <definedName name="__________________PG2" localSheetId="3">#REF!</definedName>
    <definedName name="__________________PG2" localSheetId="7">#REF!</definedName>
    <definedName name="__________________PG2" localSheetId="9">#REF!</definedName>
    <definedName name="__________________PG2" localSheetId="10">#REF!</definedName>
    <definedName name="__________________PG2" localSheetId="15">#REF!</definedName>
    <definedName name="__________________PG2" localSheetId="19">#REF!</definedName>
    <definedName name="__________________PG2" localSheetId="20">#REF!</definedName>
    <definedName name="__________________PG2" localSheetId="24">#REF!</definedName>
    <definedName name="__________________PG2" localSheetId="104">#REF!</definedName>
    <definedName name="__________________PG2" localSheetId="65">#REF!</definedName>
    <definedName name="__________________PG2" localSheetId="64">#REF!</definedName>
    <definedName name="__________________PG2" localSheetId="77">#REF!</definedName>
    <definedName name="__________________PG2" localSheetId="49">#REF!</definedName>
    <definedName name="__________________PG2" localSheetId="40">#REF!</definedName>
    <definedName name="__________________PG2" localSheetId="43">#REF!</definedName>
    <definedName name="__________________PG2" localSheetId="13">#REF!</definedName>
    <definedName name="__________________PG2" localSheetId="38">#REF!</definedName>
    <definedName name="__________________PG2">#REF!</definedName>
    <definedName name="__________________PG5" localSheetId="3">#REF!</definedName>
    <definedName name="__________________PG5" localSheetId="7">#REF!</definedName>
    <definedName name="__________________PG5" localSheetId="9">#REF!</definedName>
    <definedName name="__________________PG5" localSheetId="10">#REF!</definedName>
    <definedName name="__________________PG5" localSheetId="15">#REF!</definedName>
    <definedName name="__________________PG5" localSheetId="19">#REF!</definedName>
    <definedName name="__________________PG5" localSheetId="20">#REF!</definedName>
    <definedName name="__________________PG5" localSheetId="24">#REF!</definedName>
    <definedName name="__________________PG5" localSheetId="104">#REF!</definedName>
    <definedName name="__________________PG5" localSheetId="65">#REF!</definedName>
    <definedName name="__________________PG5" localSheetId="64">#REF!</definedName>
    <definedName name="__________________PG5" localSheetId="77">#REF!</definedName>
    <definedName name="__________________PG5" localSheetId="49">#REF!</definedName>
    <definedName name="__________________PG5" localSheetId="40">#REF!</definedName>
    <definedName name="__________________PG5" localSheetId="43">#REF!</definedName>
    <definedName name="__________________PG5" localSheetId="13">#REF!</definedName>
    <definedName name="__________________PG5" localSheetId="38">#REF!</definedName>
    <definedName name="__________________PG5">#REF!</definedName>
    <definedName name="__________________PG8" localSheetId="3">#REF!</definedName>
    <definedName name="__________________PG8" localSheetId="7">#REF!</definedName>
    <definedName name="__________________PG8" localSheetId="9">#REF!</definedName>
    <definedName name="__________________PG8" localSheetId="10">#REF!</definedName>
    <definedName name="__________________PG8" localSheetId="15">#REF!</definedName>
    <definedName name="__________________PG8" localSheetId="19">#REF!</definedName>
    <definedName name="__________________PG8" localSheetId="20">#REF!</definedName>
    <definedName name="__________________PG8" localSheetId="24">#REF!</definedName>
    <definedName name="__________________PG8" localSheetId="104">#REF!</definedName>
    <definedName name="__________________PG8" localSheetId="65">#REF!</definedName>
    <definedName name="__________________PG8" localSheetId="64">#REF!</definedName>
    <definedName name="__________________PG8" localSheetId="77">#REF!</definedName>
    <definedName name="__________________PG8" localSheetId="49">#REF!</definedName>
    <definedName name="__________________PG8" localSheetId="40">#REF!</definedName>
    <definedName name="__________________PG8" localSheetId="43">#REF!</definedName>
    <definedName name="__________________PG8" localSheetId="13">#REF!</definedName>
    <definedName name="__________________PG8" localSheetId="38">#REF!</definedName>
    <definedName name="__________________PG8">#REF!</definedName>
    <definedName name="__________________PG9" localSheetId="3">#REF!</definedName>
    <definedName name="__________________PG9" localSheetId="7">#REF!</definedName>
    <definedName name="__________________PG9" localSheetId="9">#REF!</definedName>
    <definedName name="__________________PG9" localSheetId="10">#REF!</definedName>
    <definedName name="__________________PG9" localSheetId="15">#REF!</definedName>
    <definedName name="__________________PG9" localSheetId="19">#REF!</definedName>
    <definedName name="__________________PG9" localSheetId="20">#REF!</definedName>
    <definedName name="__________________PG9" localSheetId="24">#REF!</definedName>
    <definedName name="__________________PG9" localSheetId="104">#REF!</definedName>
    <definedName name="__________________PG9" localSheetId="65">#REF!</definedName>
    <definedName name="__________________PG9" localSheetId="64">#REF!</definedName>
    <definedName name="__________________PG9" localSheetId="77">#REF!</definedName>
    <definedName name="__________________PG9" localSheetId="49">#REF!</definedName>
    <definedName name="__________________PG9" localSheetId="40">#REF!</definedName>
    <definedName name="__________________PG9" localSheetId="43">#REF!</definedName>
    <definedName name="__________________PG9" localSheetId="13">#REF!</definedName>
    <definedName name="__________________PG9" localSheetId="38">#REF!</definedName>
    <definedName name="__________________PG9">#REF!</definedName>
    <definedName name="_________________PG10" localSheetId="3">#REF!</definedName>
    <definedName name="_________________PG10" localSheetId="7">#REF!</definedName>
    <definedName name="_________________PG10" localSheetId="9">#REF!</definedName>
    <definedName name="_________________PG10" localSheetId="10">#REF!</definedName>
    <definedName name="_________________PG10" localSheetId="15">#REF!</definedName>
    <definedName name="_________________PG10" localSheetId="19">#REF!</definedName>
    <definedName name="_________________PG10" localSheetId="20">#REF!</definedName>
    <definedName name="_________________PG10" localSheetId="24">#REF!</definedName>
    <definedName name="_________________PG10" localSheetId="104">#REF!</definedName>
    <definedName name="_________________PG10" localSheetId="65">#REF!</definedName>
    <definedName name="_________________PG10" localSheetId="64">#REF!</definedName>
    <definedName name="_________________PG10" localSheetId="77">#REF!</definedName>
    <definedName name="_________________PG10" localSheetId="49">#REF!</definedName>
    <definedName name="_________________PG10" localSheetId="40">#REF!</definedName>
    <definedName name="_________________PG10" localSheetId="43">#REF!</definedName>
    <definedName name="_________________PG10" localSheetId="13">#REF!</definedName>
    <definedName name="_________________PG10" localSheetId="38">#REF!</definedName>
    <definedName name="_________________PG10">#REF!</definedName>
    <definedName name="_________________PG2" localSheetId="3">#REF!</definedName>
    <definedName name="_________________PG2" localSheetId="7">#REF!</definedName>
    <definedName name="_________________PG2" localSheetId="9">#REF!</definedName>
    <definedName name="_________________PG2" localSheetId="10">#REF!</definedName>
    <definedName name="_________________PG2" localSheetId="15">#REF!</definedName>
    <definedName name="_________________PG2" localSheetId="19">#REF!</definedName>
    <definedName name="_________________PG2" localSheetId="20">#REF!</definedName>
    <definedName name="_________________PG2" localSheetId="24">#REF!</definedName>
    <definedName name="_________________PG2" localSheetId="104">#REF!</definedName>
    <definedName name="_________________PG2" localSheetId="65">#REF!</definedName>
    <definedName name="_________________PG2" localSheetId="64">#REF!</definedName>
    <definedName name="_________________PG2" localSheetId="77">#REF!</definedName>
    <definedName name="_________________PG2" localSheetId="49">#REF!</definedName>
    <definedName name="_________________PG2" localSheetId="40">#REF!</definedName>
    <definedName name="_________________PG2" localSheetId="43">#REF!</definedName>
    <definedName name="_________________PG2" localSheetId="13">#REF!</definedName>
    <definedName name="_________________PG2" localSheetId="38">#REF!</definedName>
    <definedName name="_________________PG2">#REF!</definedName>
    <definedName name="_________________PG5" localSheetId="3">#REF!</definedName>
    <definedName name="_________________PG5" localSheetId="7">#REF!</definedName>
    <definedName name="_________________PG5" localSheetId="9">#REF!</definedName>
    <definedName name="_________________PG5" localSheetId="10">#REF!</definedName>
    <definedName name="_________________PG5" localSheetId="15">#REF!</definedName>
    <definedName name="_________________PG5" localSheetId="19">#REF!</definedName>
    <definedName name="_________________PG5" localSheetId="20">#REF!</definedName>
    <definedName name="_________________PG5" localSheetId="24">#REF!</definedName>
    <definedName name="_________________PG5" localSheetId="104">#REF!</definedName>
    <definedName name="_________________PG5" localSheetId="65">#REF!</definedName>
    <definedName name="_________________PG5" localSheetId="64">#REF!</definedName>
    <definedName name="_________________PG5" localSheetId="77">#REF!</definedName>
    <definedName name="_________________PG5" localSheetId="49">#REF!</definedName>
    <definedName name="_________________PG5" localSheetId="40">#REF!</definedName>
    <definedName name="_________________PG5" localSheetId="43">#REF!</definedName>
    <definedName name="_________________PG5" localSheetId="13">#REF!</definedName>
    <definedName name="_________________PG5" localSheetId="38">#REF!</definedName>
    <definedName name="_________________PG5">#REF!</definedName>
    <definedName name="_________________PG8" localSheetId="3">#REF!</definedName>
    <definedName name="_________________PG8" localSheetId="7">#REF!</definedName>
    <definedName name="_________________PG8" localSheetId="9">#REF!</definedName>
    <definedName name="_________________PG8" localSheetId="10">#REF!</definedName>
    <definedName name="_________________PG8" localSheetId="15">#REF!</definedName>
    <definedName name="_________________PG8" localSheetId="19">#REF!</definedName>
    <definedName name="_________________PG8" localSheetId="20">#REF!</definedName>
    <definedName name="_________________PG8" localSheetId="24">#REF!</definedName>
    <definedName name="_________________PG8" localSheetId="104">#REF!</definedName>
    <definedName name="_________________PG8" localSheetId="65">#REF!</definedName>
    <definedName name="_________________PG8" localSheetId="64">#REF!</definedName>
    <definedName name="_________________PG8" localSheetId="77">#REF!</definedName>
    <definedName name="_________________PG8" localSheetId="49">#REF!</definedName>
    <definedName name="_________________PG8" localSheetId="40">#REF!</definedName>
    <definedName name="_________________PG8" localSheetId="43">#REF!</definedName>
    <definedName name="_________________PG8" localSheetId="13">#REF!</definedName>
    <definedName name="_________________PG8" localSheetId="38">#REF!</definedName>
    <definedName name="_________________PG8">#REF!</definedName>
    <definedName name="_________________PG9" localSheetId="3">#REF!</definedName>
    <definedName name="_________________PG9" localSheetId="7">#REF!</definedName>
    <definedName name="_________________PG9" localSheetId="9">#REF!</definedName>
    <definedName name="_________________PG9" localSheetId="10">#REF!</definedName>
    <definedName name="_________________PG9" localSheetId="15">#REF!</definedName>
    <definedName name="_________________PG9" localSheetId="19">#REF!</definedName>
    <definedName name="_________________PG9" localSheetId="20">#REF!</definedName>
    <definedName name="_________________PG9" localSheetId="24">#REF!</definedName>
    <definedName name="_________________PG9" localSheetId="104">#REF!</definedName>
    <definedName name="_________________PG9" localSheetId="65">#REF!</definedName>
    <definedName name="_________________PG9" localSheetId="64">#REF!</definedName>
    <definedName name="_________________PG9" localSheetId="77">#REF!</definedName>
    <definedName name="_________________PG9" localSheetId="49">#REF!</definedName>
    <definedName name="_________________PG9" localSheetId="40">#REF!</definedName>
    <definedName name="_________________PG9" localSheetId="43">#REF!</definedName>
    <definedName name="_________________PG9" localSheetId="13">#REF!</definedName>
    <definedName name="_________________PG9" localSheetId="38">#REF!</definedName>
    <definedName name="_________________PG9">#REF!</definedName>
    <definedName name="________________PG10" localSheetId="3">#REF!</definedName>
    <definedName name="________________PG10" localSheetId="7">#REF!</definedName>
    <definedName name="________________PG10" localSheetId="9">#REF!</definedName>
    <definedName name="________________PG10" localSheetId="10">#REF!</definedName>
    <definedName name="________________PG10" localSheetId="15">#REF!</definedName>
    <definedName name="________________PG10" localSheetId="19">#REF!</definedName>
    <definedName name="________________PG10" localSheetId="20">#REF!</definedName>
    <definedName name="________________PG10" localSheetId="24">#REF!</definedName>
    <definedName name="________________PG10" localSheetId="104">#REF!</definedName>
    <definedName name="________________PG10" localSheetId="65">#REF!</definedName>
    <definedName name="________________PG10" localSheetId="64">#REF!</definedName>
    <definedName name="________________PG10" localSheetId="77">#REF!</definedName>
    <definedName name="________________PG10" localSheetId="49">#REF!</definedName>
    <definedName name="________________PG10" localSheetId="40">#REF!</definedName>
    <definedName name="________________PG10" localSheetId="43">#REF!</definedName>
    <definedName name="________________PG10" localSheetId="13">#REF!</definedName>
    <definedName name="________________PG10" localSheetId="38">#REF!</definedName>
    <definedName name="________________PG10">#REF!</definedName>
    <definedName name="________________PG2" localSheetId="3">#REF!</definedName>
    <definedName name="________________PG2" localSheetId="7">#REF!</definedName>
    <definedName name="________________PG2" localSheetId="9">#REF!</definedName>
    <definedName name="________________PG2" localSheetId="10">#REF!</definedName>
    <definedName name="________________PG2" localSheetId="15">#REF!</definedName>
    <definedName name="________________PG2" localSheetId="19">#REF!</definedName>
    <definedName name="________________PG2" localSheetId="20">#REF!</definedName>
    <definedName name="________________PG2" localSheetId="24">#REF!</definedName>
    <definedName name="________________PG2" localSheetId="104">#REF!</definedName>
    <definedName name="________________PG2" localSheetId="65">#REF!</definedName>
    <definedName name="________________PG2" localSheetId="64">#REF!</definedName>
    <definedName name="________________PG2" localSheetId="77">#REF!</definedName>
    <definedName name="________________PG2" localSheetId="49">#REF!</definedName>
    <definedName name="________________PG2" localSheetId="40">#REF!</definedName>
    <definedName name="________________PG2" localSheetId="43">#REF!</definedName>
    <definedName name="________________PG2" localSheetId="13">#REF!</definedName>
    <definedName name="________________PG2" localSheetId="38">#REF!</definedName>
    <definedName name="________________PG2">#REF!</definedName>
    <definedName name="________________PG5" localSheetId="3">#REF!</definedName>
    <definedName name="________________PG5" localSheetId="7">#REF!</definedName>
    <definedName name="________________PG5" localSheetId="9">#REF!</definedName>
    <definedName name="________________PG5" localSheetId="10">#REF!</definedName>
    <definedName name="________________PG5" localSheetId="15">#REF!</definedName>
    <definedName name="________________PG5" localSheetId="19">#REF!</definedName>
    <definedName name="________________PG5" localSheetId="20">#REF!</definedName>
    <definedName name="________________PG5" localSheetId="24">#REF!</definedName>
    <definedName name="________________PG5" localSheetId="104">#REF!</definedName>
    <definedName name="________________PG5" localSheetId="65">#REF!</definedName>
    <definedName name="________________PG5" localSheetId="64">#REF!</definedName>
    <definedName name="________________PG5" localSheetId="77">#REF!</definedName>
    <definedName name="________________PG5" localSheetId="49">#REF!</definedName>
    <definedName name="________________PG5" localSheetId="40">#REF!</definedName>
    <definedName name="________________PG5" localSheetId="43">#REF!</definedName>
    <definedName name="________________PG5" localSheetId="13">#REF!</definedName>
    <definedName name="________________PG5" localSheetId="38">#REF!</definedName>
    <definedName name="________________PG5">#REF!</definedName>
    <definedName name="________________PG8" localSheetId="3">#REF!</definedName>
    <definedName name="________________PG8" localSheetId="7">#REF!</definedName>
    <definedName name="________________PG8" localSheetId="9">#REF!</definedName>
    <definedName name="________________PG8" localSheetId="10">#REF!</definedName>
    <definedName name="________________PG8" localSheetId="15">#REF!</definedName>
    <definedName name="________________PG8" localSheetId="19">#REF!</definedName>
    <definedName name="________________PG8" localSheetId="20">#REF!</definedName>
    <definedName name="________________PG8" localSheetId="24">#REF!</definedName>
    <definedName name="________________PG8" localSheetId="104">#REF!</definedName>
    <definedName name="________________PG8" localSheetId="65">#REF!</definedName>
    <definedName name="________________PG8" localSheetId="64">#REF!</definedName>
    <definedName name="________________PG8" localSheetId="77">#REF!</definedName>
    <definedName name="________________PG8" localSheetId="49">#REF!</definedName>
    <definedName name="________________PG8" localSheetId="40">#REF!</definedName>
    <definedName name="________________PG8" localSheetId="43">#REF!</definedName>
    <definedName name="________________PG8" localSheetId="13">#REF!</definedName>
    <definedName name="________________PG8" localSheetId="38">#REF!</definedName>
    <definedName name="________________PG8">#REF!</definedName>
    <definedName name="________________PG9" localSheetId="3">#REF!</definedName>
    <definedName name="________________PG9" localSheetId="7">#REF!</definedName>
    <definedName name="________________PG9" localSheetId="9">#REF!</definedName>
    <definedName name="________________PG9" localSheetId="10">#REF!</definedName>
    <definedName name="________________PG9" localSheetId="15">#REF!</definedName>
    <definedName name="________________PG9" localSheetId="19">#REF!</definedName>
    <definedName name="________________PG9" localSheetId="20">#REF!</definedName>
    <definedName name="________________PG9" localSheetId="24">#REF!</definedName>
    <definedName name="________________PG9" localSheetId="104">#REF!</definedName>
    <definedName name="________________PG9" localSheetId="65">#REF!</definedName>
    <definedName name="________________PG9" localSheetId="64">#REF!</definedName>
    <definedName name="________________PG9" localSheetId="77">#REF!</definedName>
    <definedName name="________________PG9" localSheetId="49">#REF!</definedName>
    <definedName name="________________PG9" localSheetId="40">#REF!</definedName>
    <definedName name="________________PG9" localSheetId="43">#REF!</definedName>
    <definedName name="________________PG9" localSheetId="13">#REF!</definedName>
    <definedName name="________________PG9" localSheetId="38">#REF!</definedName>
    <definedName name="________________PG9">#REF!</definedName>
    <definedName name="_______________PG10" localSheetId="3">#REF!</definedName>
    <definedName name="_______________PG10" localSheetId="7">#REF!</definedName>
    <definedName name="_______________PG10" localSheetId="9">#REF!</definedName>
    <definedName name="_______________PG10" localSheetId="10">#REF!</definedName>
    <definedName name="_______________PG10" localSheetId="15">#REF!</definedName>
    <definedName name="_______________PG10" localSheetId="19">#REF!</definedName>
    <definedName name="_______________PG10" localSheetId="20">#REF!</definedName>
    <definedName name="_______________PG10" localSheetId="24">#REF!</definedName>
    <definedName name="_______________PG10" localSheetId="104">#REF!</definedName>
    <definedName name="_______________PG10" localSheetId="65">#REF!</definedName>
    <definedName name="_______________PG10" localSheetId="64">#REF!</definedName>
    <definedName name="_______________PG10" localSheetId="77">#REF!</definedName>
    <definedName name="_______________PG10" localSheetId="49">#REF!</definedName>
    <definedName name="_______________PG10" localSheetId="40">#REF!</definedName>
    <definedName name="_______________PG10" localSheetId="43">#REF!</definedName>
    <definedName name="_______________PG10" localSheetId="13">#REF!</definedName>
    <definedName name="_______________PG10" localSheetId="38">#REF!</definedName>
    <definedName name="_______________PG10">#REF!</definedName>
    <definedName name="_______________PG2" localSheetId="3">#REF!</definedName>
    <definedName name="_______________PG2" localSheetId="7">#REF!</definedName>
    <definedName name="_______________PG2" localSheetId="9">#REF!</definedName>
    <definedName name="_______________PG2" localSheetId="10">#REF!</definedName>
    <definedName name="_______________PG2" localSheetId="15">#REF!</definedName>
    <definedName name="_______________PG2" localSheetId="19">#REF!</definedName>
    <definedName name="_______________PG2" localSheetId="20">#REF!</definedName>
    <definedName name="_______________PG2" localSheetId="24">#REF!</definedName>
    <definedName name="_______________PG2" localSheetId="104">#REF!</definedName>
    <definedName name="_______________PG2" localSheetId="65">#REF!</definedName>
    <definedName name="_______________PG2" localSheetId="64">#REF!</definedName>
    <definedName name="_______________PG2" localSheetId="77">#REF!</definedName>
    <definedName name="_______________PG2" localSheetId="49">#REF!</definedName>
    <definedName name="_______________PG2" localSheetId="40">#REF!</definedName>
    <definedName name="_______________PG2" localSheetId="43">#REF!</definedName>
    <definedName name="_______________PG2" localSheetId="13">#REF!</definedName>
    <definedName name="_______________PG2" localSheetId="38">#REF!</definedName>
    <definedName name="_______________PG2">#REF!</definedName>
    <definedName name="_______________PG5" localSheetId="3">#REF!</definedName>
    <definedName name="_______________PG5" localSheetId="7">#REF!</definedName>
    <definedName name="_______________PG5" localSheetId="9">#REF!</definedName>
    <definedName name="_______________PG5" localSheetId="10">#REF!</definedName>
    <definedName name="_______________PG5" localSheetId="15">#REF!</definedName>
    <definedName name="_______________PG5" localSheetId="19">#REF!</definedName>
    <definedName name="_______________PG5" localSheetId="20">#REF!</definedName>
    <definedName name="_______________PG5" localSheetId="24">#REF!</definedName>
    <definedName name="_______________PG5" localSheetId="104">#REF!</definedName>
    <definedName name="_______________PG5" localSheetId="65">#REF!</definedName>
    <definedName name="_______________PG5" localSheetId="64">#REF!</definedName>
    <definedName name="_______________PG5" localSheetId="77">#REF!</definedName>
    <definedName name="_______________PG5" localSheetId="49">#REF!</definedName>
    <definedName name="_______________PG5" localSheetId="40">#REF!</definedName>
    <definedName name="_______________PG5" localSheetId="43">#REF!</definedName>
    <definedName name="_______________PG5" localSheetId="13">#REF!</definedName>
    <definedName name="_______________PG5" localSheetId="38">#REF!</definedName>
    <definedName name="_______________PG5">#REF!</definedName>
    <definedName name="_______________PG8" localSheetId="3">#REF!</definedName>
    <definedName name="_______________PG8" localSheetId="7">#REF!</definedName>
    <definedName name="_______________PG8" localSheetId="9">#REF!</definedName>
    <definedName name="_______________PG8" localSheetId="10">#REF!</definedName>
    <definedName name="_______________PG8" localSheetId="15">#REF!</definedName>
    <definedName name="_______________PG8" localSheetId="19">#REF!</definedName>
    <definedName name="_______________PG8" localSheetId="20">#REF!</definedName>
    <definedName name="_______________PG8" localSheetId="24">#REF!</definedName>
    <definedName name="_______________PG8" localSheetId="104">#REF!</definedName>
    <definedName name="_______________PG8" localSheetId="65">#REF!</definedName>
    <definedName name="_______________PG8" localSheetId="64">#REF!</definedName>
    <definedName name="_______________PG8" localSheetId="77">#REF!</definedName>
    <definedName name="_______________PG8" localSheetId="49">#REF!</definedName>
    <definedName name="_______________PG8" localSheetId="40">#REF!</definedName>
    <definedName name="_______________PG8" localSheetId="43">#REF!</definedName>
    <definedName name="_______________PG8" localSheetId="13">#REF!</definedName>
    <definedName name="_______________PG8" localSheetId="38">#REF!</definedName>
    <definedName name="_______________PG8">#REF!</definedName>
    <definedName name="_______________PG9" localSheetId="3">#REF!</definedName>
    <definedName name="_______________PG9" localSheetId="7">#REF!</definedName>
    <definedName name="_______________PG9" localSheetId="9">#REF!</definedName>
    <definedName name="_______________PG9" localSheetId="10">#REF!</definedName>
    <definedName name="_______________PG9" localSheetId="15">#REF!</definedName>
    <definedName name="_______________PG9" localSheetId="19">#REF!</definedName>
    <definedName name="_______________PG9" localSheetId="20">#REF!</definedName>
    <definedName name="_______________PG9" localSheetId="24">#REF!</definedName>
    <definedName name="_______________PG9" localSheetId="104">#REF!</definedName>
    <definedName name="_______________PG9" localSheetId="65">#REF!</definedName>
    <definedName name="_______________PG9" localSheetId="64">#REF!</definedName>
    <definedName name="_______________PG9" localSheetId="77">#REF!</definedName>
    <definedName name="_______________PG9" localSheetId="49">#REF!</definedName>
    <definedName name="_______________PG9" localSheetId="40">#REF!</definedName>
    <definedName name="_______________PG9" localSheetId="43">#REF!</definedName>
    <definedName name="_______________PG9" localSheetId="13">#REF!</definedName>
    <definedName name="_______________PG9" localSheetId="38">#REF!</definedName>
    <definedName name="_______________PG9">#REF!</definedName>
    <definedName name="______________PG10" localSheetId="3">#REF!</definedName>
    <definedName name="______________PG10" localSheetId="7">#REF!</definedName>
    <definedName name="______________PG10" localSheetId="9">#REF!</definedName>
    <definedName name="______________PG10" localSheetId="10">#REF!</definedName>
    <definedName name="______________PG10" localSheetId="15">#REF!</definedName>
    <definedName name="______________PG10" localSheetId="19">#REF!</definedName>
    <definedName name="______________PG10" localSheetId="20">#REF!</definedName>
    <definedName name="______________PG10" localSheetId="24">#REF!</definedName>
    <definedName name="______________PG10" localSheetId="104">#REF!</definedName>
    <definedName name="______________PG10" localSheetId="65">#REF!</definedName>
    <definedName name="______________PG10" localSheetId="64">#REF!</definedName>
    <definedName name="______________PG10" localSheetId="77">#REF!</definedName>
    <definedName name="______________PG10" localSheetId="49">#REF!</definedName>
    <definedName name="______________PG10" localSheetId="40">#REF!</definedName>
    <definedName name="______________PG10" localSheetId="43">#REF!</definedName>
    <definedName name="______________PG10" localSheetId="13">#REF!</definedName>
    <definedName name="______________PG10" localSheetId="38">#REF!</definedName>
    <definedName name="______________PG10">#REF!</definedName>
    <definedName name="______________PG2" localSheetId="3">#REF!</definedName>
    <definedName name="______________PG2" localSheetId="7">#REF!</definedName>
    <definedName name="______________PG2" localSheetId="9">#REF!</definedName>
    <definedName name="______________PG2" localSheetId="10">#REF!</definedName>
    <definedName name="______________PG2" localSheetId="15">#REF!</definedName>
    <definedName name="______________PG2" localSheetId="19">#REF!</definedName>
    <definedName name="______________PG2" localSheetId="20">#REF!</definedName>
    <definedName name="______________PG2" localSheetId="24">#REF!</definedName>
    <definedName name="______________PG2" localSheetId="104">#REF!</definedName>
    <definedName name="______________PG2" localSheetId="65">#REF!</definedName>
    <definedName name="______________PG2" localSheetId="64">#REF!</definedName>
    <definedName name="______________PG2" localSheetId="77">#REF!</definedName>
    <definedName name="______________PG2" localSheetId="49">#REF!</definedName>
    <definedName name="______________PG2" localSheetId="40">#REF!</definedName>
    <definedName name="______________PG2" localSheetId="43">#REF!</definedName>
    <definedName name="______________PG2" localSheetId="13">#REF!</definedName>
    <definedName name="______________PG2" localSheetId="38">#REF!</definedName>
    <definedName name="______________PG2">#REF!</definedName>
    <definedName name="______________PG5" localSheetId="3">#REF!</definedName>
    <definedName name="______________PG5" localSheetId="7">#REF!</definedName>
    <definedName name="______________PG5" localSheetId="9">#REF!</definedName>
    <definedName name="______________PG5" localSheetId="10">#REF!</definedName>
    <definedName name="______________PG5" localSheetId="15">#REF!</definedName>
    <definedName name="______________PG5" localSheetId="19">#REF!</definedName>
    <definedName name="______________PG5" localSheetId="20">#REF!</definedName>
    <definedName name="______________PG5" localSheetId="24">#REF!</definedName>
    <definedName name="______________PG5" localSheetId="104">#REF!</definedName>
    <definedName name="______________PG5" localSheetId="65">#REF!</definedName>
    <definedName name="______________PG5" localSheetId="64">#REF!</definedName>
    <definedName name="______________PG5" localSheetId="77">#REF!</definedName>
    <definedName name="______________PG5" localSheetId="49">#REF!</definedName>
    <definedName name="______________PG5" localSheetId="40">#REF!</definedName>
    <definedName name="______________PG5" localSheetId="43">#REF!</definedName>
    <definedName name="______________PG5" localSheetId="13">#REF!</definedName>
    <definedName name="______________PG5" localSheetId="38">#REF!</definedName>
    <definedName name="______________PG5">#REF!</definedName>
    <definedName name="______________PG8" localSheetId="3">#REF!</definedName>
    <definedName name="______________PG8" localSheetId="7">#REF!</definedName>
    <definedName name="______________PG8" localSheetId="9">#REF!</definedName>
    <definedName name="______________PG8" localSheetId="10">#REF!</definedName>
    <definedName name="______________PG8" localSheetId="15">#REF!</definedName>
    <definedName name="______________PG8" localSheetId="19">#REF!</definedName>
    <definedName name="______________PG8" localSheetId="20">#REF!</definedName>
    <definedName name="______________PG8" localSheetId="24">#REF!</definedName>
    <definedName name="______________PG8" localSheetId="104">#REF!</definedName>
    <definedName name="______________PG8" localSheetId="65">#REF!</definedName>
    <definedName name="______________PG8" localSheetId="64">#REF!</definedName>
    <definedName name="______________PG8" localSheetId="77">#REF!</definedName>
    <definedName name="______________PG8" localSheetId="49">#REF!</definedName>
    <definedName name="______________PG8" localSheetId="40">#REF!</definedName>
    <definedName name="______________PG8" localSheetId="43">#REF!</definedName>
    <definedName name="______________PG8" localSheetId="13">#REF!</definedName>
    <definedName name="______________PG8" localSheetId="38">#REF!</definedName>
    <definedName name="______________PG8">#REF!</definedName>
    <definedName name="______________PG9" localSheetId="3">#REF!</definedName>
    <definedName name="______________PG9" localSheetId="7">#REF!</definedName>
    <definedName name="______________PG9" localSheetId="9">#REF!</definedName>
    <definedName name="______________PG9" localSheetId="10">#REF!</definedName>
    <definedName name="______________PG9" localSheetId="15">#REF!</definedName>
    <definedName name="______________PG9" localSheetId="19">#REF!</definedName>
    <definedName name="______________PG9" localSheetId="20">#REF!</definedName>
    <definedName name="______________PG9" localSheetId="24">#REF!</definedName>
    <definedName name="______________PG9" localSheetId="104">#REF!</definedName>
    <definedName name="______________PG9" localSheetId="65">#REF!</definedName>
    <definedName name="______________PG9" localSheetId="64">#REF!</definedName>
    <definedName name="______________PG9" localSheetId="77">#REF!</definedName>
    <definedName name="______________PG9" localSheetId="49">#REF!</definedName>
    <definedName name="______________PG9" localSheetId="40">#REF!</definedName>
    <definedName name="______________PG9" localSheetId="43">#REF!</definedName>
    <definedName name="______________PG9" localSheetId="13">#REF!</definedName>
    <definedName name="______________PG9" localSheetId="38">#REF!</definedName>
    <definedName name="______________PG9">#REF!</definedName>
    <definedName name="_____________OP11" localSheetId="3">#REF!</definedName>
    <definedName name="_____________OP11" localSheetId="7">#REF!</definedName>
    <definedName name="_____________OP11" localSheetId="9">#REF!</definedName>
    <definedName name="_____________OP11" localSheetId="10">#REF!</definedName>
    <definedName name="_____________OP11" localSheetId="15">#REF!</definedName>
    <definedName name="_____________OP11" localSheetId="19">#REF!</definedName>
    <definedName name="_____________OP11" localSheetId="20">#REF!</definedName>
    <definedName name="_____________OP11" localSheetId="24">#REF!</definedName>
    <definedName name="_____________OP11" localSheetId="104">#REF!</definedName>
    <definedName name="_____________OP11" localSheetId="65">#REF!</definedName>
    <definedName name="_____________OP11" localSheetId="64">#REF!</definedName>
    <definedName name="_____________OP11" localSheetId="77">#REF!</definedName>
    <definedName name="_____________OP11" localSheetId="49">#REF!</definedName>
    <definedName name="_____________OP11" localSheetId="40">#REF!</definedName>
    <definedName name="_____________OP11" localSheetId="43">#REF!</definedName>
    <definedName name="_____________OP11" localSheetId="13">#REF!</definedName>
    <definedName name="_____________OP11" localSheetId="38">#REF!</definedName>
    <definedName name="_____________OP11">#REF!</definedName>
    <definedName name="_____________OP12" localSheetId="3">#REF!</definedName>
    <definedName name="_____________OP12" localSheetId="7">#REF!</definedName>
    <definedName name="_____________OP12" localSheetId="9">#REF!</definedName>
    <definedName name="_____________OP12" localSheetId="10">#REF!</definedName>
    <definedName name="_____________OP12" localSheetId="15">#REF!</definedName>
    <definedName name="_____________OP12" localSheetId="19">#REF!</definedName>
    <definedName name="_____________OP12" localSheetId="20">#REF!</definedName>
    <definedName name="_____________OP12" localSheetId="24">#REF!</definedName>
    <definedName name="_____________OP12" localSheetId="104">#REF!</definedName>
    <definedName name="_____________OP12" localSheetId="65">#REF!</definedName>
    <definedName name="_____________OP12" localSheetId="64">#REF!</definedName>
    <definedName name="_____________OP12" localSheetId="77">#REF!</definedName>
    <definedName name="_____________OP12" localSheetId="49">#REF!</definedName>
    <definedName name="_____________OP12" localSheetId="40">#REF!</definedName>
    <definedName name="_____________OP12" localSheetId="43">#REF!</definedName>
    <definedName name="_____________OP12" localSheetId="13">#REF!</definedName>
    <definedName name="_____________OP12" localSheetId="38">#REF!</definedName>
    <definedName name="_____________OP12">#REF!</definedName>
    <definedName name="_____________OP13" localSheetId="3">#REF!</definedName>
    <definedName name="_____________OP13" localSheetId="7">#REF!</definedName>
    <definedName name="_____________OP13" localSheetId="9">#REF!</definedName>
    <definedName name="_____________OP13" localSheetId="10">#REF!</definedName>
    <definedName name="_____________OP13" localSheetId="15">#REF!</definedName>
    <definedName name="_____________OP13" localSheetId="19">#REF!</definedName>
    <definedName name="_____________OP13" localSheetId="20">#REF!</definedName>
    <definedName name="_____________OP13" localSheetId="24">#REF!</definedName>
    <definedName name="_____________OP13" localSheetId="104">#REF!</definedName>
    <definedName name="_____________OP13" localSheetId="65">#REF!</definedName>
    <definedName name="_____________OP13" localSheetId="64">#REF!</definedName>
    <definedName name="_____________OP13" localSheetId="77">#REF!</definedName>
    <definedName name="_____________OP13" localSheetId="49">#REF!</definedName>
    <definedName name="_____________OP13" localSheetId="40">#REF!</definedName>
    <definedName name="_____________OP13" localSheetId="43">#REF!</definedName>
    <definedName name="_____________OP13" localSheetId="13">#REF!</definedName>
    <definedName name="_____________OP13" localSheetId="38">#REF!</definedName>
    <definedName name="_____________OP13">#REF!</definedName>
    <definedName name="_____________OP14" localSheetId="3">#REF!</definedName>
    <definedName name="_____________OP14" localSheetId="7">#REF!</definedName>
    <definedName name="_____________OP14" localSheetId="9">#REF!</definedName>
    <definedName name="_____________OP14" localSheetId="10">#REF!</definedName>
    <definedName name="_____________OP14" localSheetId="15">#REF!</definedName>
    <definedName name="_____________OP14" localSheetId="19">#REF!</definedName>
    <definedName name="_____________OP14" localSheetId="20">#REF!</definedName>
    <definedName name="_____________OP14" localSheetId="24">#REF!</definedName>
    <definedName name="_____________OP14" localSheetId="104">#REF!</definedName>
    <definedName name="_____________OP14" localSheetId="65">#REF!</definedName>
    <definedName name="_____________OP14" localSheetId="64">#REF!</definedName>
    <definedName name="_____________OP14" localSheetId="77">#REF!</definedName>
    <definedName name="_____________OP14" localSheetId="49">#REF!</definedName>
    <definedName name="_____________OP14" localSheetId="40">#REF!</definedName>
    <definedName name="_____________OP14" localSheetId="43">#REF!</definedName>
    <definedName name="_____________OP14" localSheetId="13">#REF!</definedName>
    <definedName name="_____________OP14" localSheetId="38">#REF!</definedName>
    <definedName name="_____________OP14">#REF!</definedName>
    <definedName name="_____________OP15" localSheetId="3">#REF!</definedName>
    <definedName name="_____________OP15" localSheetId="7">#REF!</definedName>
    <definedName name="_____________OP15" localSheetId="9">#REF!</definedName>
    <definedName name="_____________OP15" localSheetId="10">#REF!</definedName>
    <definedName name="_____________OP15" localSheetId="15">#REF!</definedName>
    <definedName name="_____________OP15" localSheetId="19">#REF!</definedName>
    <definedName name="_____________OP15" localSheetId="20">#REF!</definedName>
    <definedName name="_____________OP15" localSheetId="24">#REF!</definedName>
    <definedName name="_____________OP15" localSheetId="104">#REF!</definedName>
    <definedName name="_____________OP15" localSheetId="65">#REF!</definedName>
    <definedName name="_____________OP15" localSheetId="64">#REF!</definedName>
    <definedName name="_____________OP15" localSheetId="77">#REF!</definedName>
    <definedName name="_____________OP15" localSheetId="49">#REF!</definedName>
    <definedName name="_____________OP15" localSheetId="40">#REF!</definedName>
    <definedName name="_____________OP15" localSheetId="43">#REF!</definedName>
    <definedName name="_____________OP15" localSheetId="13">#REF!</definedName>
    <definedName name="_____________OP15" localSheetId="38">#REF!</definedName>
    <definedName name="_____________OP15">#REF!</definedName>
    <definedName name="_____________OP2" localSheetId="3">#REF!</definedName>
    <definedName name="_____________OP2" localSheetId="7">#REF!</definedName>
    <definedName name="_____________OP2" localSheetId="9">#REF!</definedName>
    <definedName name="_____________OP2" localSheetId="10">#REF!</definedName>
    <definedName name="_____________OP2" localSheetId="15">#REF!</definedName>
    <definedName name="_____________OP2" localSheetId="19">#REF!</definedName>
    <definedName name="_____________OP2" localSheetId="20">#REF!</definedName>
    <definedName name="_____________OP2" localSheetId="24">#REF!</definedName>
    <definedName name="_____________OP2" localSheetId="104">#REF!</definedName>
    <definedName name="_____________OP2" localSheetId="65">#REF!</definedName>
    <definedName name="_____________OP2" localSheetId="64">#REF!</definedName>
    <definedName name="_____________OP2" localSheetId="77">#REF!</definedName>
    <definedName name="_____________OP2" localSheetId="49">#REF!</definedName>
    <definedName name="_____________OP2" localSheetId="40">#REF!</definedName>
    <definedName name="_____________OP2" localSheetId="43">#REF!</definedName>
    <definedName name="_____________OP2" localSheetId="13">#REF!</definedName>
    <definedName name="_____________OP2" localSheetId="38">#REF!</definedName>
    <definedName name="_____________OP2">#REF!</definedName>
    <definedName name="_____________OP3" localSheetId="3">#REF!</definedName>
    <definedName name="_____________OP3" localSheetId="7">#REF!</definedName>
    <definedName name="_____________OP3" localSheetId="9">#REF!</definedName>
    <definedName name="_____________OP3" localSheetId="10">#REF!</definedName>
    <definedName name="_____________OP3" localSheetId="15">#REF!</definedName>
    <definedName name="_____________OP3" localSheetId="19">#REF!</definedName>
    <definedName name="_____________OP3" localSheetId="20">#REF!</definedName>
    <definedName name="_____________OP3" localSheetId="24">#REF!</definedName>
    <definedName name="_____________OP3" localSheetId="104">#REF!</definedName>
    <definedName name="_____________OP3" localSheetId="65">#REF!</definedName>
    <definedName name="_____________OP3" localSheetId="64">#REF!</definedName>
    <definedName name="_____________OP3" localSheetId="77">#REF!</definedName>
    <definedName name="_____________OP3" localSheetId="49">#REF!</definedName>
    <definedName name="_____________OP3" localSheetId="40">#REF!</definedName>
    <definedName name="_____________OP3" localSheetId="43">#REF!</definedName>
    <definedName name="_____________OP3" localSheetId="13">#REF!</definedName>
    <definedName name="_____________OP3" localSheetId="38">#REF!</definedName>
    <definedName name="_____________OP3">#REF!</definedName>
    <definedName name="_____________OP4" localSheetId="3">#REF!</definedName>
    <definedName name="_____________OP4" localSheetId="7">#REF!</definedName>
    <definedName name="_____________OP4" localSheetId="9">#REF!</definedName>
    <definedName name="_____________OP4" localSheetId="10">#REF!</definedName>
    <definedName name="_____________OP4" localSheetId="15">#REF!</definedName>
    <definedName name="_____________OP4" localSheetId="19">#REF!</definedName>
    <definedName name="_____________OP4" localSheetId="20">#REF!</definedName>
    <definedName name="_____________OP4" localSheetId="24">#REF!</definedName>
    <definedName name="_____________OP4" localSheetId="104">#REF!</definedName>
    <definedName name="_____________OP4" localSheetId="65">#REF!</definedName>
    <definedName name="_____________OP4" localSheetId="64">#REF!</definedName>
    <definedName name="_____________OP4" localSheetId="77">#REF!</definedName>
    <definedName name="_____________OP4" localSheetId="49">#REF!</definedName>
    <definedName name="_____________OP4" localSheetId="40">#REF!</definedName>
    <definedName name="_____________OP4" localSheetId="43">#REF!</definedName>
    <definedName name="_____________OP4" localSheetId="13">#REF!</definedName>
    <definedName name="_____________OP4" localSheetId="38">#REF!</definedName>
    <definedName name="_____________OP4">#REF!</definedName>
    <definedName name="_____________OP5" localSheetId="3">#REF!</definedName>
    <definedName name="_____________OP5" localSheetId="7">#REF!</definedName>
    <definedName name="_____________OP5" localSheetId="9">#REF!</definedName>
    <definedName name="_____________OP5" localSheetId="10">#REF!</definedName>
    <definedName name="_____________OP5" localSheetId="15">#REF!</definedName>
    <definedName name="_____________OP5" localSheetId="19">#REF!</definedName>
    <definedName name="_____________OP5" localSheetId="20">#REF!</definedName>
    <definedName name="_____________OP5" localSheetId="24">#REF!</definedName>
    <definedName name="_____________OP5" localSheetId="104">#REF!</definedName>
    <definedName name="_____________OP5" localSheetId="65">#REF!</definedName>
    <definedName name="_____________OP5" localSheetId="64">#REF!</definedName>
    <definedName name="_____________OP5" localSheetId="77">#REF!</definedName>
    <definedName name="_____________OP5" localSheetId="49">#REF!</definedName>
    <definedName name="_____________OP5" localSheetId="40">#REF!</definedName>
    <definedName name="_____________OP5" localSheetId="43">#REF!</definedName>
    <definedName name="_____________OP5" localSheetId="13">#REF!</definedName>
    <definedName name="_____________OP5" localSheetId="38">#REF!</definedName>
    <definedName name="_____________OP5">#REF!</definedName>
    <definedName name="_____________OP6" localSheetId="3">#REF!</definedName>
    <definedName name="_____________OP6" localSheetId="7">#REF!</definedName>
    <definedName name="_____________OP6" localSheetId="9">#REF!</definedName>
    <definedName name="_____________OP6" localSheetId="10">#REF!</definedName>
    <definedName name="_____________OP6" localSheetId="15">#REF!</definedName>
    <definedName name="_____________OP6" localSheetId="19">#REF!</definedName>
    <definedName name="_____________OP6" localSheetId="20">#REF!</definedName>
    <definedName name="_____________OP6" localSheetId="24">#REF!</definedName>
    <definedName name="_____________OP6" localSheetId="104">#REF!</definedName>
    <definedName name="_____________OP6" localSheetId="65">#REF!</definedName>
    <definedName name="_____________OP6" localSheetId="64">#REF!</definedName>
    <definedName name="_____________OP6" localSheetId="77">#REF!</definedName>
    <definedName name="_____________OP6" localSheetId="49">#REF!</definedName>
    <definedName name="_____________OP6" localSheetId="40">#REF!</definedName>
    <definedName name="_____________OP6" localSheetId="43">#REF!</definedName>
    <definedName name="_____________OP6" localSheetId="13">#REF!</definedName>
    <definedName name="_____________OP6" localSheetId="38">#REF!</definedName>
    <definedName name="_____________OP6">#REF!</definedName>
    <definedName name="_____________OP7" localSheetId="3">#REF!</definedName>
    <definedName name="_____________OP7" localSheetId="7">#REF!</definedName>
    <definedName name="_____________OP7" localSheetId="9">#REF!</definedName>
    <definedName name="_____________OP7" localSheetId="10">#REF!</definedName>
    <definedName name="_____________OP7" localSheetId="15">#REF!</definedName>
    <definedName name="_____________OP7" localSheetId="19">#REF!</definedName>
    <definedName name="_____________OP7" localSheetId="20">#REF!</definedName>
    <definedName name="_____________OP7" localSheetId="24">#REF!</definedName>
    <definedName name="_____________OP7" localSheetId="104">#REF!</definedName>
    <definedName name="_____________OP7" localSheetId="65">#REF!</definedName>
    <definedName name="_____________OP7" localSheetId="64">#REF!</definedName>
    <definedName name="_____________OP7" localSheetId="77">#REF!</definedName>
    <definedName name="_____________OP7" localSheetId="49">#REF!</definedName>
    <definedName name="_____________OP7" localSheetId="40">#REF!</definedName>
    <definedName name="_____________OP7" localSheetId="43">#REF!</definedName>
    <definedName name="_____________OP7" localSheetId="13">#REF!</definedName>
    <definedName name="_____________OP7" localSheetId="38">#REF!</definedName>
    <definedName name="_____________OP7">#REF!</definedName>
    <definedName name="_____________OP8" localSheetId="3">#REF!</definedName>
    <definedName name="_____________OP8" localSheetId="7">#REF!</definedName>
    <definedName name="_____________OP8" localSheetId="9">#REF!</definedName>
    <definedName name="_____________OP8" localSheetId="10">#REF!</definedName>
    <definedName name="_____________OP8" localSheetId="15">#REF!</definedName>
    <definedName name="_____________OP8" localSheetId="19">#REF!</definedName>
    <definedName name="_____________OP8" localSheetId="20">#REF!</definedName>
    <definedName name="_____________OP8" localSheetId="24">#REF!</definedName>
    <definedName name="_____________OP8" localSheetId="104">#REF!</definedName>
    <definedName name="_____________OP8" localSheetId="65">#REF!</definedName>
    <definedName name="_____________OP8" localSheetId="64">#REF!</definedName>
    <definedName name="_____________OP8" localSheetId="77">#REF!</definedName>
    <definedName name="_____________OP8" localSheetId="49">#REF!</definedName>
    <definedName name="_____________OP8" localSheetId="40">#REF!</definedName>
    <definedName name="_____________OP8" localSheetId="43">#REF!</definedName>
    <definedName name="_____________OP8" localSheetId="13">#REF!</definedName>
    <definedName name="_____________OP8" localSheetId="38">#REF!</definedName>
    <definedName name="_____________OP8">#REF!</definedName>
    <definedName name="_____________OP9" localSheetId="3">#REF!</definedName>
    <definedName name="_____________OP9" localSheetId="7">#REF!</definedName>
    <definedName name="_____________OP9" localSheetId="9">#REF!</definedName>
    <definedName name="_____________OP9" localSheetId="10">#REF!</definedName>
    <definedName name="_____________OP9" localSheetId="15">#REF!</definedName>
    <definedName name="_____________OP9" localSheetId="19">#REF!</definedName>
    <definedName name="_____________OP9" localSheetId="20">#REF!</definedName>
    <definedName name="_____________OP9" localSheetId="24">#REF!</definedName>
    <definedName name="_____________OP9" localSheetId="104">#REF!</definedName>
    <definedName name="_____________OP9" localSheetId="65">#REF!</definedName>
    <definedName name="_____________OP9" localSheetId="64">#REF!</definedName>
    <definedName name="_____________OP9" localSheetId="77">#REF!</definedName>
    <definedName name="_____________OP9" localSheetId="49">#REF!</definedName>
    <definedName name="_____________OP9" localSheetId="40">#REF!</definedName>
    <definedName name="_____________OP9" localSheetId="43">#REF!</definedName>
    <definedName name="_____________OP9" localSheetId="13">#REF!</definedName>
    <definedName name="_____________OP9" localSheetId="38">#REF!</definedName>
    <definedName name="_____________OP9">#REF!</definedName>
    <definedName name="_____________PG10" localSheetId="3">#REF!</definedName>
    <definedName name="_____________PG10" localSheetId="7">#REF!</definedName>
    <definedName name="_____________PG10" localSheetId="9">#REF!</definedName>
    <definedName name="_____________PG10" localSheetId="10">#REF!</definedName>
    <definedName name="_____________PG10" localSheetId="15">#REF!</definedName>
    <definedName name="_____________PG10" localSheetId="19">#REF!</definedName>
    <definedName name="_____________PG10" localSheetId="20">#REF!</definedName>
    <definedName name="_____________PG10" localSheetId="24">#REF!</definedName>
    <definedName name="_____________PG10" localSheetId="104">#REF!</definedName>
    <definedName name="_____________PG10" localSheetId="65">#REF!</definedName>
    <definedName name="_____________PG10" localSheetId="64">#REF!</definedName>
    <definedName name="_____________PG10" localSheetId="77">#REF!</definedName>
    <definedName name="_____________PG10" localSheetId="49">#REF!</definedName>
    <definedName name="_____________PG10" localSheetId="40">#REF!</definedName>
    <definedName name="_____________PG10" localSheetId="43">#REF!</definedName>
    <definedName name="_____________PG10" localSheetId="13">#REF!</definedName>
    <definedName name="_____________PG10" localSheetId="38">#REF!</definedName>
    <definedName name="_____________PG10">#REF!</definedName>
    <definedName name="_____________PG2" localSheetId="3">#REF!</definedName>
    <definedName name="_____________PG2" localSheetId="7">#REF!</definedName>
    <definedName name="_____________PG2" localSheetId="9">#REF!</definedName>
    <definedName name="_____________PG2" localSheetId="10">#REF!</definedName>
    <definedName name="_____________PG2" localSheetId="15">#REF!</definedName>
    <definedName name="_____________PG2" localSheetId="19">#REF!</definedName>
    <definedName name="_____________PG2" localSheetId="20">#REF!</definedName>
    <definedName name="_____________PG2" localSheetId="24">#REF!</definedName>
    <definedName name="_____________PG2" localSheetId="104">#REF!</definedName>
    <definedName name="_____________PG2" localSheetId="65">#REF!</definedName>
    <definedName name="_____________PG2" localSheetId="64">#REF!</definedName>
    <definedName name="_____________PG2" localSheetId="77">#REF!</definedName>
    <definedName name="_____________PG2" localSheetId="49">#REF!</definedName>
    <definedName name="_____________PG2" localSheetId="40">#REF!</definedName>
    <definedName name="_____________PG2" localSheetId="43">#REF!</definedName>
    <definedName name="_____________PG2" localSheetId="13">#REF!</definedName>
    <definedName name="_____________PG2" localSheetId="38">#REF!</definedName>
    <definedName name="_____________PG2">#REF!</definedName>
    <definedName name="_____________PG5" localSheetId="3">#REF!</definedName>
    <definedName name="_____________PG5" localSheetId="7">#REF!</definedName>
    <definedName name="_____________PG5" localSheetId="9">#REF!</definedName>
    <definedName name="_____________PG5" localSheetId="10">#REF!</definedName>
    <definedName name="_____________PG5" localSheetId="15">#REF!</definedName>
    <definedName name="_____________PG5" localSheetId="19">#REF!</definedName>
    <definedName name="_____________PG5" localSheetId="20">#REF!</definedName>
    <definedName name="_____________PG5" localSheetId="24">#REF!</definedName>
    <definedName name="_____________PG5" localSheetId="104">#REF!</definedName>
    <definedName name="_____________PG5" localSheetId="65">#REF!</definedName>
    <definedName name="_____________PG5" localSheetId="64">#REF!</definedName>
    <definedName name="_____________PG5" localSheetId="77">#REF!</definedName>
    <definedName name="_____________PG5" localSheetId="49">#REF!</definedName>
    <definedName name="_____________PG5" localSheetId="40">#REF!</definedName>
    <definedName name="_____________PG5" localSheetId="43">#REF!</definedName>
    <definedName name="_____________PG5" localSheetId="13">#REF!</definedName>
    <definedName name="_____________PG5" localSheetId="38">#REF!</definedName>
    <definedName name="_____________PG5">#REF!</definedName>
    <definedName name="_____________PG8" localSheetId="3">#REF!</definedName>
    <definedName name="_____________PG8" localSheetId="7">#REF!</definedName>
    <definedName name="_____________PG8" localSheetId="9">#REF!</definedName>
    <definedName name="_____________PG8" localSheetId="10">#REF!</definedName>
    <definedName name="_____________PG8" localSheetId="15">#REF!</definedName>
    <definedName name="_____________PG8" localSheetId="19">#REF!</definedName>
    <definedName name="_____________PG8" localSheetId="20">#REF!</definedName>
    <definedName name="_____________PG8" localSheetId="24">#REF!</definedName>
    <definedName name="_____________PG8" localSheetId="104">#REF!</definedName>
    <definedName name="_____________PG8" localSheetId="65">#REF!</definedName>
    <definedName name="_____________PG8" localSheetId="64">#REF!</definedName>
    <definedName name="_____________PG8" localSheetId="77">#REF!</definedName>
    <definedName name="_____________PG8" localSheetId="49">#REF!</definedName>
    <definedName name="_____________PG8" localSheetId="40">#REF!</definedName>
    <definedName name="_____________PG8" localSheetId="43">#REF!</definedName>
    <definedName name="_____________PG8" localSheetId="13">#REF!</definedName>
    <definedName name="_____________PG8" localSheetId="38">#REF!</definedName>
    <definedName name="_____________PG8">#REF!</definedName>
    <definedName name="_____________PG9" localSheetId="3">#REF!</definedName>
    <definedName name="_____________PG9" localSheetId="7">#REF!</definedName>
    <definedName name="_____________PG9" localSheetId="9">#REF!</definedName>
    <definedName name="_____________PG9" localSheetId="10">#REF!</definedName>
    <definedName name="_____________PG9" localSheetId="15">#REF!</definedName>
    <definedName name="_____________PG9" localSheetId="19">#REF!</definedName>
    <definedName name="_____________PG9" localSheetId="20">#REF!</definedName>
    <definedName name="_____________PG9" localSheetId="24">#REF!</definedName>
    <definedName name="_____________PG9" localSheetId="104">#REF!</definedName>
    <definedName name="_____________PG9" localSheetId="65">#REF!</definedName>
    <definedName name="_____________PG9" localSheetId="64">#REF!</definedName>
    <definedName name="_____________PG9" localSheetId="77">#REF!</definedName>
    <definedName name="_____________PG9" localSheetId="49">#REF!</definedName>
    <definedName name="_____________PG9" localSheetId="40">#REF!</definedName>
    <definedName name="_____________PG9" localSheetId="43">#REF!</definedName>
    <definedName name="_____________PG9" localSheetId="13">#REF!</definedName>
    <definedName name="_____________PG9" localSheetId="38">#REF!</definedName>
    <definedName name="_____________PG9">#REF!</definedName>
    <definedName name="____________OP1" localSheetId="3">#REF!</definedName>
    <definedName name="____________OP1" localSheetId="7">#REF!</definedName>
    <definedName name="____________OP1" localSheetId="9">#REF!</definedName>
    <definedName name="____________OP1" localSheetId="10">#REF!</definedName>
    <definedName name="____________OP1" localSheetId="15">#REF!</definedName>
    <definedName name="____________OP1" localSheetId="19">#REF!</definedName>
    <definedName name="____________OP1" localSheetId="20">#REF!</definedName>
    <definedName name="____________OP1" localSheetId="24">#REF!</definedName>
    <definedName name="____________OP1" localSheetId="104">#REF!</definedName>
    <definedName name="____________OP1" localSheetId="65">#REF!</definedName>
    <definedName name="____________OP1" localSheetId="64">#REF!</definedName>
    <definedName name="____________OP1" localSheetId="77">#REF!</definedName>
    <definedName name="____________OP1" localSheetId="49">#REF!</definedName>
    <definedName name="____________OP1" localSheetId="40">#REF!</definedName>
    <definedName name="____________OP1" localSheetId="43">#REF!</definedName>
    <definedName name="____________OP1" localSheetId="13">#REF!</definedName>
    <definedName name="____________OP1" localSheetId="38">#REF!</definedName>
    <definedName name="____________OP1">#REF!</definedName>
    <definedName name="____________OP10" localSheetId="3">#REF!</definedName>
    <definedName name="____________OP10" localSheetId="7">#REF!</definedName>
    <definedName name="____________OP10" localSheetId="9">#REF!</definedName>
    <definedName name="____________OP10" localSheetId="10">#REF!</definedName>
    <definedName name="____________OP10" localSheetId="15">#REF!</definedName>
    <definedName name="____________OP10" localSheetId="19">#REF!</definedName>
    <definedName name="____________OP10" localSheetId="20">#REF!</definedName>
    <definedName name="____________OP10" localSheetId="24">#REF!</definedName>
    <definedName name="____________OP10" localSheetId="104">#REF!</definedName>
    <definedName name="____________OP10" localSheetId="65">#REF!</definedName>
    <definedName name="____________OP10" localSheetId="64">#REF!</definedName>
    <definedName name="____________OP10" localSheetId="77">#REF!</definedName>
    <definedName name="____________OP10" localSheetId="49">#REF!</definedName>
    <definedName name="____________OP10" localSheetId="40">#REF!</definedName>
    <definedName name="____________OP10" localSheetId="43">#REF!</definedName>
    <definedName name="____________OP10" localSheetId="13">#REF!</definedName>
    <definedName name="____________OP10" localSheetId="38">#REF!</definedName>
    <definedName name="____________OP10">#REF!</definedName>
    <definedName name="____________OP11" localSheetId="3">#REF!</definedName>
    <definedName name="____________OP11" localSheetId="7">#REF!</definedName>
    <definedName name="____________OP11" localSheetId="9">#REF!</definedName>
    <definedName name="____________OP11" localSheetId="10">#REF!</definedName>
    <definedName name="____________OP11" localSheetId="15">#REF!</definedName>
    <definedName name="____________OP11" localSheetId="19">#REF!</definedName>
    <definedName name="____________OP11" localSheetId="20">#REF!</definedName>
    <definedName name="____________OP11" localSheetId="24">#REF!</definedName>
    <definedName name="____________OP11" localSheetId="104">#REF!</definedName>
    <definedName name="____________OP11" localSheetId="65">#REF!</definedName>
    <definedName name="____________OP11" localSheetId="64">#REF!</definedName>
    <definedName name="____________OP11" localSheetId="77">#REF!</definedName>
    <definedName name="____________OP11" localSheetId="49">#REF!</definedName>
    <definedName name="____________OP11" localSheetId="40">#REF!</definedName>
    <definedName name="____________OP11" localSheetId="43">#REF!</definedName>
    <definedName name="____________OP11" localSheetId="13">#REF!</definedName>
    <definedName name="____________OP11" localSheetId="38">#REF!</definedName>
    <definedName name="____________OP11">#REF!</definedName>
    <definedName name="____________OP12" localSheetId="3">#REF!</definedName>
    <definedName name="____________OP12" localSheetId="7">#REF!</definedName>
    <definedName name="____________OP12" localSheetId="9">#REF!</definedName>
    <definedName name="____________OP12" localSheetId="10">#REF!</definedName>
    <definedName name="____________OP12" localSheetId="15">#REF!</definedName>
    <definedName name="____________OP12" localSheetId="19">#REF!</definedName>
    <definedName name="____________OP12" localSheetId="20">#REF!</definedName>
    <definedName name="____________OP12" localSheetId="24">#REF!</definedName>
    <definedName name="____________OP12" localSheetId="104">#REF!</definedName>
    <definedName name="____________OP12" localSheetId="65">#REF!</definedName>
    <definedName name="____________OP12" localSheetId="64">#REF!</definedName>
    <definedName name="____________OP12" localSheetId="77">#REF!</definedName>
    <definedName name="____________OP12" localSheetId="49">#REF!</definedName>
    <definedName name="____________OP12" localSheetId="40">#REF!</definedName>
    <definedName name="____________OP12" localSheetId="43">#REF!</definedName>
    <definedName name="____________OP12" localSheetId="13">#REF!</definedName>
    <definedName name="____________OP12" localSheetId="38">#REF!</definedName>
    <definedName name="____________OP12">#REF!</definedName>
    <definedName name="____________OP13" localSheetId="3">#REF!</definedName>
    <definedName name="____________OP13" localSheetId="7">#REF!</definedName>
    <definedName name="____________OP13" localSheetId="9">#REF!</definedName>
    <definedName name="____________OP13" localSheetId="10">#REF!</definedName>
    <definedName name="____________OP13" localSheetId="15">#REF!</definedName>
    <definedName name="____________OP13" localSheetId="19">#REF!</definedName>
    <definedName name="____________OP13" localSheetId="20">#REF!</definedName>
    <definedName name="____________OP13" localSheetId="24">#REF!</definedName>
    <definedName name="____________OP13" localSheetId="104">#REF!</definedName>
    <definedName name="____________OP13" localSheetId="65">#REF!</definedName>
    <definedName name="____________OP13" localSheetId="64">#REF!</definedName>
    <definedName name="____________OP13" localSheetId="77">#REF!</definedName>
    <definedName name="____________OP13" localSheetId="49">#REF!</definedName>
    <definedName name="____________OP13" localSheetId="40">#REF!</definedName>
    <definedName name="____________OP13" localSheetId="43">#REF!</definedName>
    <definedName name="____________OP13" localSheetId="13">#REF!</definedName>
    <definedName name="____________OP13" localSheetId="38">#REF!</definedName>
    <definedName name="____________OP13">#REF!</definedName>
    <definedName name="____________OP14" localSheetId="3">#REF!</definedName>
    <definedName name="____________OP14" localSheetId="7">#REF!</definedName>
    <definedName name="____________OP14" localSheetId="9">#REF!</definedName>
    <definedName name="____________OP14" localSheetId="10">#REF!</definedName>
    <definedName name="____________OP14" localSheetId="15">#REF!</definedName>
    <definedName name="____________OP14" localSheetId="19">#REF!</definedName>
    <definedName name="____________OP14" localSheetId="20">#REF!</definedName>
    <definedName name="____________OP14" localSheetId="24">#REF!</definedName>
    <definedName name="____________OP14" localSheetId="104">#REF!</definedName>
    <definedName name="____________OP14" localSheetId="65">#REF!</definedName>
    <definedName name="____________OP14" localSheetId="64">#REF!</definedName>
    <definedName name="____________OP14" localSheetId="77">#REF!</definedName>
    <definedName name="____________OP14" localSheetId="49">#REF!</definedName>
    <definedName name="____________OP14" localSheetId="40">#REF!</definedName>
    <definedName name="____________OP14" localSheetId="43">#REF!</definedName>
    <definedName name="____________OP14" localSheetId="13">#REF!</definedName>
    <definedName name="____________OP14" localSheetId="38">#REF!</definedName>
    <definedName name="____________OP14">#REF!</definedName>
    <definedName name="____________OP15" localSheetId="3">#REF!</definedName>
    <definedName name="____________OP15" localSheetId="7">#REF!</definedName>
    <definedName name="____________OP15" localSheetId="9">#REF!</definedName>
    <definedName name="____________OP15" localSheetId="10">#REF!</definedName>
    <definedName name="____________OP15" localSheetId="15">#REF!</definedName>
    <definedName name="____________OP15" localSheetId="19">#REF!</definedName>
    <definedName name="____________OP15" localSheetId="20">#REF!</definedName>
    <definedName name="____________OP15" localSheetId="24">#REF!</definedName>
    <definedName name="____________OP15" localSheetId="104">#REF!</definedName>
    <definedName name="____________OP15" localSheetId="65">#REF!</definedName>
    <definedName name="____________OP15" localSheetId="64">#REF!</definedName>
    <definedName name="____________OP15" localSheetId="77">#REF!</definedName>
    <definedName name="____________OP15" localSheetId="49">#REF!</definedName>
    <definedName name="____________OP15" localSheetId="40">#REF!</definedName>
    <definedName name="____________OP15" localSheetId="43">#REF!</definedName>
    <definedName name="____________OP15" localSheetId="13">#REF!</definedName>
    <definedName name="____________OP15" localSheetId="38">#REF!</definedName>
    <definedName name="____________OP15">#REF!</definedName>
    <definedName name="____________OP2" localSheetId="3">#REF!</definedName>
    <definedName name="____________OP2" localSheetId="7">#REF!</definedName>
    <definedName name="____________OP2" localSheetId="9">#REF!</definedName>
    <definedName name="____________OP2" localSheetId="10">#REF!</definedName>
    <definedName name="____________OP2" localSheetId="15">#REF!</definedName>
    <definedName name="____________OP2" localSheetId="19">#REF!</definedName>
    <definedName name="____________OP2" localSheetId="20">#REF!</definedName>
    <definedName name="____________OP2" localSheetId="24">#REF!</definedName>
    <definedName name="____________OP2" localSheetId="104">#REF!</definedName>
    <definedName name="____________OP2" localSheetId="65">#REF!</definedName>
    <definedName name="____________OP2" localSheetId="64">#REF!</definedName>
    <definedName name="____________OP2" localSheetId="77">#REF!</definedName>
    <definedName name="____________OP2" localSheetId="49">#REF!</definedName>
    <definedName name="____________OP2" localSheetId="40">#REF!</definedName>
    <definedName name="____________OP2" localSheetId="43">#REF!</definedName>
    <definedName name="____________OP2" localSheetId="13">#REF!</definedName>
    <definedName name="____________OP2" localSheetId="38">#REF!</definedName>
    <definedName name="____________OP2">#REF!</definedName>
    <definedName name="____________OP3" localSheetId="3">#REF!</definedName>
    <definedName name="____________OP3" localSheetId="7">#REF!</definedName>
    <definedName name="____________OP3" localSheetId="9">#REF!</definedName>
    <definedName name="____________OP3" localSheetId="10">#REF!</definedName>
    <definedName name="____________OP3" localSheetId="15">#REF!</definedName>
    <definedName name="____________OP3" localSheetId="19">#REF!</definedName>
    <definedName name="____________OP3" localSheetId="20">#REF!</definedName>
    <definedName name="____________OP3" localSheetId="24">#REF!</definedName>
    <definedName name="____________OP3" localSheetId="104">#REF!</definedName>
    <definedName name="____________OP3" localSheetId="65">#REF!</definedName>
    <definedName name="____________OP3" localSheetId="64">#REF!</definedName>
    <definedName name="____________OP3" localSheetId="77">#REF!</definedName>
    <definedName name="____________OP3" localSheetId="49">#REF!</definedName>
    <definedName name="____________OP3" localSheetId="40">#REF!</definedName>
    <definedName name="____________OP3" localSheetId="43">#REF!</definedName>
    <definedName name="____________OP3" localSheetId="13">#REF!</definedName>
    <definedName name="____________OP3" localSheetId="38">#REF!</definedName>
    <definedName name="____________OP3">#REF!</definedName>
    <definedName name="____________OP4" localSheetId="3">#REF!</definedName>
    <definedName name="____________OP4" localSheetId="7">#REF!</definedName>
    <definedName name="____________OP4" localSheetId="9">#REF!</definedName>
    <definedName name="____________OP4" localSheetId="10">#REF!</definedName>
    <definedName name="____________OP4" localSheetId="15">#REF!</definedName>
    <definedName name="____________OP4" localSheetId="19">#REF!</definedName>
    <definedName name="____________OP4" localSheetId="20">#REF!</definedName>
    <definedName name="____________OP4" localSheetId="24">#REF!</definedName>
    <definedName name="____________OP4" localSheetId="104">#REF!</definedName>
    <definedName name="____________OP4" localSheetId="65">#REF!</definedName>
    <definedName name="____________OP4" localSheetId="64">#REF!</definedName>
    <definedName name="____________OP4" localSheetId="77">#REF!</definedName>
    <definedName name="____________OP4" localSheetId="49">#REF!</definedName>
    <definedName name="____________OP4" localSheetId="40">#REF!</definedName>
    <definedName name="____________OP4" localSheetId="43">#REF!</definedName>
    <definedName name="____________OP4" localSheetId="13">#REF!</definedName>
    <definedName name="____________OP4" localSheetId="38">#REF!</definedName>
    <definedName name="____________OP4">#REF!</definedName>
    <definedName name="____________OP5" localSheetId="3">#REF!</definedName>
    <definedName name="____________OP5" localSheetId="7">#REF!</definedName>
    <definedName name="____________OP5" localSheetId="9">#REF!</definedName>
    <definedName name="____________OP5" localSheetId="10">#REF!</definedName>
    <definedName name="____________OP5" localSheetId="15">#REF!</definedName>
    <definedName name="____________OP5" localSheetId="19">#REF!</definedName>
    <definedName name="____________OP5" localSheetId="20">#REF!</definedName>
    <definedName name="____________OP5" localSheetId="24">#REF!</definedName>
    <definedName name="____________OP5" localSheetId="104">#REF!</definedName>
    <definedName name="____________OP5" localSheetId="65">#REF!</definedName>
    <definedName name="____________OP5" localSheetId="64">#REF!</definedName>
    <definedName name="____________OP5" localSheetId="77">#REF!</definedName>
    <definedName name="____________OP5" localSheetId="49">#REF!</definedName>
    <definedName name="____________OP5" localSheetId="40">#REF!</definedName>
    <definedName name="____________OP5" localSheetId="43">#REF!</definedName>
    <definedName name="____________OP5" localSheetId="13">#REF!</definedName>
    <definedName name="____________OP5" localSheetId="38">#REF!</definedName>
    <definedName name="____________OP5">#REF!</definedName>
    <definedName name="____________OP6" localSheetId="3">#REF!</definedName>
    <definedName name="____________OP6" localSheetId="7">#REF!</definedName>
    <definedName name="____________OP6" localSheetId="9">#REF!</definedName>
    <definedName name="____________OP6" localSheetId="10">#REF!</definedName>
    <definedName name="____________OP6" localSheetId="15">#REF!</definedName>
    <definedName name="____________OP6" localSheetId="19">#REF!</definedName>
    <definedName name="____________OP6" localSheetId="20">#REF!</definedName>
    <definedName name="____________OP6" localSheetId="24">#REF!</definedName>
    <definedName name="____________OP6" localSheetId="104">#REF!</definedName>
    <definedName name="____________OP6" localSheetId="65">#REF!</definedName>
    <definedName name="____________OP6" localSheetId="64">#REF!</definedName>
    <definedName name="____________OP6" localSheetId="77">#REF!</definedName>
    <definedName name="____________OP6" localSheetId="49">#REF!</definedName>
    <definedName name="____________OP6" localSheetId="40">#REF!</definedName>
    <definedName name="____________OP6" localSheetId="43">#REF!</definedName>
    <definedName name="____________OP6" localSheetId="13">#REF!</definedName>
    <definedName name="____________OP6" localSheetId="38">#REF!</definedName>
    <definedName name="____________OP6">#REF!</definedName>
    <definedName name="____________OP7" localSheetId="3">#REF!</definedName>
    <definedName name="____________OP7" localSheetId="7">#REF!</definedName>
    <definedName name="____________OP7" localSheetId="9">#REF!</definedName>
    <definedName name="____________OP7" localSheetId="10">#REF!</definedName>
    <definedName name="____________OP7" localSheetId="15">#REF!</definedName>
    <definedName name="____________OP7" localSheetId="19">#REF!</definedName>
    <definedName name="____________OP7" localSheetId="20">#REF!</definedName>
    <definedName name="____________OP7" localSheetId="24">#REF!</definedName>
    <definedName name="____________OP7" localSheetId="104">#REF!</definedName>
    <definedName name="____________OP7" localSheetId="65">#REF!</definedName>
    <definedName name="____________OP7" localSheetId="64">#REF!</definedName>
    <definedName name="____________OP7" localSheetId="77">#REF!</definedName>
    <definedName name="____________OP7" localSheetId="49">#REF!</definedName>
    <definedName name="____________OP7" localSheetId="40">#REF!</definedName>
    <definedName name="____________OP7" localSheetId="43">#REF!</definedName>
    <definedName name="____________OP7" localSheetId="13">#REF!</definedName>
    <definedName name="____________OP7" localSheetId="38">#REF!</definedName>
    <definedName name="____________OP7">#REF!</definedName>
    <definedName name="____________OP8" localSheetId="3">#REF!</definedName>
    <definedName name="____________OP8" localSheetId="7">#REF!</definedName>
    <definedName name="____________OP8" localSheetId="9">#REF!</definedName>
    <definedName name="____________OP8" localSheetId="10">#REF!</definedName>
    <definedName name="____________OP8" localSheetId="15">#REF!</definedName>
    <definedName name="____________OP8" localSheetId="19">#REF!</definedName>
    <definedName name="____________OP8" localSheetId="20">#REF!</definedName>
    <definedName name="____________OP8" localSheetId="24">#REF!</definedName>
    <definedName name="____________OP8" localSheetId="104">#REF!</definedName>
    <definedName name="____________OP8" localSheetId="65">#REF!</definedName>
    <definedName name="____________OP8" localSheetId="64">#REF!</definedName>
    <definedName name="____________OP8" localSheetId="77">#REF!</definedName>
    <definedName name="____________OP8" localSheetId="49">#REF!</definedName>
    <definedName name="____________OP8" localSheetId="40">#REF!</definedName>
    <definedName name="____________OP8" localSheetId="43">#REF!</definedName>
    <definedName name="____________OP8" localSheetId="13">#REF!</definedName>
    <definedName name="____________OP8" localSheetId="38">#REF!</definedName>
    <definedName name="____________OP8">#REF!</definedName>
    <definedName name="____________OP9" localSheetId="3">#REF!</definedName>
    <definedName name="____________OP9" localSheetId="7">#REF!</definedName>
    <definedName name="____________OP9" localSheetId="9">#REF!</definedName>
    <definedName name="____________OP9" localSheetId="10">#REF!</definedName>
    <definedName name="____________OP9" localSheetId="15">#REF!</definedName>
    <definedName name="____________OP9" localSheetId="19">#REF!</definedName>
    <definedName name="____________OP9" localSheetId="20">#REF!</definedName>
    <definedName name="____________OP9" localSheetId="24">#REF!</definedName>
    <definedName name="____________OP9" localSheetId="104">#REF!</definedName>
    <definedName name="____________OP9" localSheetId="65">#REF!</definedName>
    <definedName name="____________OP9" localSheetId="64">#REF!</definedName>
    <definedName name="____________OP9" localSheetId="77">#REF!</definedName>
    <definedName name="____________OP9" localSheetId="49">#REF!</definedName>
    <definedName name="____________OP9" localSheetId="40">#REF!</definedName>
    <definedName name="____________OP9" localSheetId="43">#REF!</definedName>
    <definedName name="____________OP9" localSheetId="13">#REF!</definedName>
    <definedName name="____________OP9" localSheetId="38">#REF!</definedName>
    <definedName name="____________OP9">#REF!</definedName>
    <definedName name="____________PG10" localSheetId="3">#REF!</definedName>
    <definedName name="____________PG10" localSheetId="7">#REF!</definedName>
    <definedName name="____________PG10" localSheetId="9">#REF!</definedName>
    <definedName name="____________PG10" localSheetId="10">#REF!</definedName>
    <definedName name="____________PG10" localSheetId="15">#REF!</definedName>
    <definedName name="____________PG10" localSheetId="19">#REF!</definedName>
    <definedName name="____________PG10" localSheetId="20">#REF!</definedName>
    <definedName name="____________PG10" localSheetId="24">#REF!</definedName>
    <definedName name="____________PG10" localSheetId="104">#REF!</definedName>
    <definedName name="____________PG10" localSheetId="65">#REF!</definedName>
    <definedName name="____________PG10" localSheetId="64">#REF!</definedName>
    <definedName name="____________PG10" localSheetId="77">#REF!</definedName>
    <definedName name="____________PG10" localSheetId="49">#REF!</definedName>
    <definedName name="____________PG10" localSheetId="40">#REF!</definedName>
    <definedName name="____________PG10" localSheetId="43">#REF!</definedName>
    <definedName name="____________PG10" localSheetId="13">#REF!</definedName>
    <definedName name="____________PG10" localSheetId="38">#REF!</definedName>
    <definedName name="____________PG10">#REF!</definedName>
    <definedName name="____________PG2" localSheetId="3">#REF!</definedName>
    <definedName name="____________PG2" localSheetId="7">#REF!</definedName>
    <definedName name="____________PG2" localSheetId="9">#REF!</definedName>
    <definedName name="____________PG2" localSheetId="10">#REF!</definedName>
    <definedName name="____________PG2" localSheetId="15">#REF!</definedName>
    <definedName name="____________PG2" localSheetId="19">#REF!</definedName>
    <definedName name="____________PG2" localSheetId="20">#REF!</definedName>
    <definedName name="____________PG2" localSheetId="24">#REF!</definedName>
    <definedName name="____________PG2" localSheetId="104">#REF!</definedName>
    <definedName name="____________PG2" localSheetId="65">#REF!</definedName>
    <definedName name="____________PG2" localSheetId="64">#REF!</definedName>
    <definedName name="____________PG2" localSheetId="77">#REF!</definedName>
    <definedName name="____________PG2" localSheetId="49">#REF!</definedName>
    <definedName name="____________PG2" localSheetId="40">#REF!</definedName>
    <definedName name="____________PG2" localSheetId="43">#REF!</definedName>
    <definedName name="____________PG2" localSheetId="13">#REF!</definedName>
    <definedName name="____________PG2" localSheetId="38">#REF!</definedName>
    <definedName name="____________PG2">#REF!</definedName>
    <definedName name="____________PG5" localSheetId="3">#REF!</definedName>
    <definedName name="____________PG5" localSheetId="7">#REF!</definedName>
    <definedName name="____________PG5" localSheetId="9">#REF!</definedName>
    <definedName name="____________PG5" localSheetId="10">#REF!</definedName>
    <definedName name="____________PG5" localSheetId="15">#REF!</definedName>
    <definedName name="____________PG5" localSheetId="19">#REF!</definedName>
    <definedName name="____________PG5" localSheetId="20">#REF!</definedName>
    <definedName name="____________PG5" localSheetId="24">#REF!</definedName>
    <definedName name="____________PG5" localSheetId="104">#REF!</definedName>
    <definedName name="____________PG5" localSheetId="65">#REF!</definedName>
    <definedName name="____________PG5" localSheetId="64">#REF!</definedName>
    <definedName name="____________PG5" localSheetId="77">#REF!</definedName>
    <definedName name="____________PG5" localSheetId="49">#REF!</definedName>
    <definedName name="____________PG5" localSheetId="40">#REF!</definedName>
    <definedName name="____________PG5" localSheetId="43">#REF!</definedName>
    <definedName name="____________PG5" localSheetId="13">#REF!</definedName>
    <definedName name="____________PG5" localSheetId="38">#REF!</definedName>
    <definedName name="____________PG5">#REF!</definedName>
    <definedName name="____________PG8" localSheetId="3">#REF!</definedName>
    <definedName name="____________PG8" localSheetId="7">#REF!</definedName>
    <definedName name="____________PG8" localSheetId="9">#REF!</definedName>
    <definedName name="____________PG8" localSheetId="10">#REF!</definedName>
    <definedName name="____________PG8" localSheetId="15">#REF!</definedName>
    <definedName name="____________PG8" localSheetId="19">#REF!</definedName>
    <definedName name="____________PG8" localSheetId="20">#REF!</definedName>
    <definedName name="____________PG8" localSheetId="24">#REF!</definedName>
    <definedName name="____________PG8" localSheetId="104">#REF!</definedName>
    <definedName name="____________PG8" localSheetId="65">#REF!</definedName>
    <definedName name="____________PG8" localSheetId="64">#REF!</definedName>
    <definedName name="____________PG8" localSheetId="77">#REF!</definedName>
    <definedName name="____________PG8" localSheetId="49">#REF!</definedName>
    <definedName name="____________PG8" localSheetId="40">#REF!</definedName>
    <definedName name="____________PG8" localSheetId="43">#REF!</definedName>
    <definedName name="____________PG8" localSheetId="13">#REF!</definedName>
    <definedName name="____________PG8" localSheetId="38">#REF!</definedName>
    <definedName name="____________PG8">#REF!</definedName>
    <definedName name="____________PG9" localSheetId="3">#REF!</definedName>
    <definedName name="____________PG9" localSheetId="7">#REF!</definedName>
    <definedName name="____________PG9" localSheetId="9">#REF!</definedName>
    <definedName name="____________PG9" localSheetId="10">#REF!</definedName>
    <definedName name="____________PG9" localSheetId="15">#REF!</definedName>
    <definedName name="____________PG9" localSheetId="19">#REF!</definedName>
    <definedName name="____________PG9" localSheetId="20">#REF!</definedName>
    <definedName name="____________PG9" localSheetId="24">#REF!</definedName>
    <definedName name="____________PG9" localSheetId="104">#REF!</definedName>
    <definedName name="____________PG9" localSheetId="65">#REF!</definedName>
    <definedName name="____________PG9" localSheetId="64">#REF!</definedName>
    <definedName name="____________PG9" localSheetId="77">#REF!</definedName>
    <definedName name="____________PG9" localSheetId="49">#REF!</definedName>
    <definedName name="____________PG9" localSheetId="40">#REF!</definedName>
    <definedName name="____________PG9" localSheetId="43">#REF!</definedName>
    <definedName name="____________PG9" localSheetId="13">#REF!</definedName>
    <definedName name="____________PG9" localSheetId="38">#REF!</definedName>
    <definedName name="____________PG9">#REF!</definedName>
    <definedName name="___________kb2" localSheetId="105" hidden="1">{#N/A,#N/A,FALSE,"F1-Currrent";#N/A,#N/A,FALSE,"F2-Current";#N/A,#N/A,FALSE,"F2-Proposed";#N/A,#N/A,FALSE,"F3-Current";#N/A,#N/A,FALSE,"F4-Current";#N/A,#N/A,FALSE,"F4-Proposed";#N/A,#N/A,FALSE,"Controls"}</definedName>
    <definedName name="___________kb2" localSheetId="96" hidden="1">{#N/A,#N/A,FALSE,"F1-Currrent";#N/A,#N/A,FALSE,"F2-Current";#N/A,#N/A,FALSE,"F2-Proposed";#N/A,#N/A,FALSE,"F3-Current";#N/A,#N/A,FALSE,"F4-Current";#N/A,#N/A,FALSE,"F4-Proposed";#N/A,#N/A,FALSE,"Controls"}</definedName>
    <definedName name="___________kb2" localSheetId="44" hidden="1">{#N/A,#N/A,FALSE,"F1-Currrent";#N/A,#N/A,FALSE,"F2-Current";#N/A,#N/A,FALSE,"F2-Proposed";#N/A,#N/A,FALSE,"F3-Current";#N/A,#N/A,FALSE,"F4-Current";#N/A,#N/A,FALSE,"F4-Proposed";#N/A,#N/A,FALSE,"Controls"}</definedName>
    <definedName name="___________kb2" hidden="1">{#N/A,#N/A,FALSE,"F1-Currrent";#N/A,#N/A,FALSE,"F2-Current";#N/A,#N/A,FALSE,"F2-Proposed";#N/A,#N/A,FALSE,"F3-Current";#N/A,#N/A,FALSE,"F4-Current";#N/A,#N/A,FALSE,"F4-Proposed";#N/A,#N/A,FALSE,"Controls"}</definedName>
    <definedName name="___________OP1" localSheetId="3">#REF!</definedName>
    <definedName name="___________OP1" localSheetId="7">#REF!</definedName>
    <definedName name="___________OP1" localSheetId="9">#REF!</definedName>
    <definedName name="___________OP1" localSheetId="10">#REF!</definedName>
    <definedName name="___________OP1" localSheetId="15">#REF!</definedName>
    <definedName name="___________OP1" localSheetId="19">#REF!</definedName>
    <definedName name="___________OP1" localSheetId="20">#REF!</definedName>
    <definedName name="___________OP1" localSheetId="24">#REF!</definedName>
    <definedName name="___________OP1" localSheetId="104">#REF!</definedName>
    <definedName name="___________OP1" localSheetId="65">#REF!</definedName>
    <definedName name="___________OP1" localSheetId="64">#REF!</definedName>
    <definedName name="___________OP1" localSheetId="77">#REF!</definedName>
    <definedName name="___________OP1" localSheetId="49">#REF!</definedName>
    <definedName name="___________OP1" localSheetId="40">#REF!</definedName>
    <definedName name="___________OP1" localSheetId="43">#REF!</definedName>
    <definedName name="___________OP1" localSheetId="13">#REF!</definedName>
    <definedName name="___________OP1" localSheetId="38">#REF!</definedName>
    <definedName name="___________OP1">#REF!</definedName>
    <definedName name="___________OP10" localSheetId="3">#REF!</definedName>
    <definedName name="___________OP10" localSheetId="7">#REF!</definedName>
    <definedName name="___________OP10" localSheetId="9">#REF!</definedName>
    <definedName name="___________OP10" localSheetId="10">#REF!</definedName>
    <definedName name="___________OP10" localSheetId="15">#REF!</definedName>
    <definedName name="___________OP10" localSheetId="19">#REF!</definedName>
    <definedName name="___________OP10" localSheetId="20">#REF!</definedName>
    <definedName name="___________OP10" localSheetId="24">#REF!</definedName>
    <definedName name="___________OP10" localSheetId="104">#REF!</definedName>
    <definedName name="___________OP10" localSheetId="65">#REF!</definedName>
    <definedName name="___________OP10" localSheetId="64">#REF!</definedName>
    <definedName name="___________OP10" localSheetId="77">#REF!</definedName>
    <definedName name="___________OP10" localSheetId="49">#REF!</definedName>
    <definedName name="___________OP10" localSheetId="40">#REF!</definedName>
    <definedName name="___________OP10" localSheetId="43">#REF!</definedName>
    <definedName name="___________OP10" localSheetId="13">#REF!</definedName>
    <definedName name="___________OP10" localSheetId="38">#REF!</definedName>
    <definedName name="___________OP10">#REF!</definedName>
    <definedName name="___________OP11" localSheetId="3">#REF!</definedName>
    <definedName name="___________OP11" localSheetId="7">#REF!</definedName>
    <definedName name="___________OP11" localSheetId="9">#REF!</definedName>
    <definedName name="___________OP11" localSheetId="10">#REF!</definedName>
    <definedName name="___________OP11" localSheetId="15">#REF!</definedName>
    <definedName name="___________OP11" localSheetId="19">#REF!</definedName>
    <definedName name="___________OP11" localSheetId="20">#REF!</definedName>
    <definedName name="___________OP11" localSheetId="24">#REF!</definedName>
    <definedName name="___________OP11" localSheetId="104">#REF!</definedName>
    <definedName name="___________OP11" localSheetId="65">#REF!</definedName>
    <definedName name="___________OP11" localSheetId="64">#REF!</definedName>
    <definedName name="___________OP11" localSheetId="77">#REF!</definedName>
    <definedName name="___________OP11" localSheetId="49">#REF!</definedName>
    <definedName name="___________OP11" localSheetId="40">#REF!</definedName>
    <definedName name="___________OP11" localSheetId="43">#REF!</definedName>
    <definedName name="___________OP11" localSheetId="13">#REF!</definedName>
    <definedName name="___________OP11" localSheetId="38">#REF!</definedName>
    <definedName name="___________OP11">#REF!</definedName>
    <definedName name="___________OP12" localSheetId="3">#REF!</definedName>
    <definedName name="___________OP12" localSheetId="7">#REF!</definedName>
    <definedName name="___________OP12" localSheetId="9">#REF!</definedName>
    <definedName name="___________OP12" localSheetId="10">#REF!</definedName>
    <definedName name="___________OP12" localSheetId="15">#REF!</definedName>
    <definedName name="___________OP12" localSheetId="19">#REF!</definedName>
    <definedName name="___________OP12" localSheetId="20">#REF!</definedName>
    <definedName name="___________OP12" localSheetId="24">#REF!</definedName>
    <definedName name="___________OP12" localSheetId="104">#REF!</definedName>
    <definedName name="___________OP12" localSheetId="65">#REF!</definedName>
    <definedName name="___________OP12" localSheetId="64">#REF!</definedName>
    <definedName name="___________OP12" localSheetId="77">#REF!</definedName>
    <definedName name="___________OP12" localSheetId="49">#REF!</definedName>
    <definedName name="___________OP12" localSheetId="40">#REF!</definedName>
    <definedName name="___________OP12" localSheetId="43">#REF!</definedName>
    <definedName name="___________OP12" localSheetId="13">#REF!</definedName>
    <definedName name="___________OP12" localSheetId="38">#REF!</definedName>
    <definedName name="___________OP12">#REF!</definedName>
    <definedName name="___________OP13" localSheetId="3">#REF!</definedName>
    <definedName name="___________OP13" localSheetId="7">#REF!</definedName>
    <definedName name="___________OP13" localSheetId="9">#REF!</definedName>
    <definedName name="___________OP13" localSheetId="10">#REF!</definedName>
    <definedName name="___________OP13" localSheetId="15">#REF!</definedName>
    <definedName name="___________OP13" localSheetId="19">#REF!</definedName>
    <definedName name="___________OP13" localSheetId="20">#REF!</definedName>
    <definedName name="___________OP13" localSheetId="24">#REF!</definedName>
    <definedName name="___________OP13" localSheetId="104">#REF!</definedName>
    <definedName name="___________OP13" localSheetId="65">#REF!</definedName>
    <definedName name="___________OP13" localSheetId="64">#REF!</definedName>
    <definedName name="___________OP13" localSheetId="77">#REF!</definedName>
    <definedName name="___________OP13" localSheetId="49">#REF!</definedName>
    <definedName name="___________OP13" localSheetId="40">#REF!</definedName>
    <definedName name="___________OP13" localSheetId="43">#REF!</definedName>
    <definedName name="___________OP13" localSheetId="13">#REF!</definedName>
    <definedName name="___________OP13" localSheetId="38">#REF!</definedName>
    <definedName name="___________OP13">#REF!</definedName>
    <definedName name="___________OP14" localSheetId="3">#REF!</definedName>
    <definedName name="___________OP14" localSheetId="7">#REF!</definedName>
    <definedName name="___________OP14" localSheetId="9">#REF!</definedName>
    <definedName name="___________OP14" localSheetId="10">#REF!</definedName>
    <definedName name="___________OP14" localSheetId="15">#REF!</definedName>
    <definedName name="___________OP14" localSheetId="19">#REF!</definedName>
    <definedName name="___________OP14" localSheetId="20">#REF!</definedName>
    <definedName name="___________OP14" localSheetId="24">#REF!</definedName>
    <definedName name="___________OP14" localSheetId="104">#REF!</definedName>
    <definedName name="___________OP14" localSheetId="65">#REF!</definedName>
    <definedName name="___________OP14" localSheetId="64">#REF!</definedName>
    <definedName name="___________OP14" localSheetId="77">#REF!</definedName>
    <definedName name="___________OP14" localSheetId="49">#REF!</definedName>
    <definedName name="___________OP14" localSheetId="40">#REF!</definedName>
    <definedName name="___________OP14" localSheetId="43">#REF!</definedName>
    <definedName name="___________OP14" localSheetId="13">#REF!</definedName>
    <definedName name="___________OP14" localSheetId="38">#REF!</definedName>
    <definedName name="___________OP14">#REF!</definedName>
    <definedName name="___________OP15" localSheetId="3">#REF!</definedName>
    <definedName name="___________OP15" localSheetId="7">#REF!</definedName>
    <definedName name="___________OP15" localSheetId="9">#REF!</definedName>
    <definedName name="___________OP15" localSheetId="10">#REF!</definedName>
    <definedName name="___________OP15" localSheetId="15">#REF!</definedName>
    <definedName name="___________OP15" localSheetId="19">#REF!</definedName>
    <definedName name="___________OP15" localSheetId="20">#REF!</definedName>
    <definedName name="___________OP15" localSheetId="24">#REF!</definedName>
    <definedName name="___________OP15" localSheetId="104">#REF!</definedName>
    <definedName name="___________OP15" localSheetId="65">#REF!</definedName>
    <definedName name="___________OP15" localSheetId="64">#REF!</definedName>
    <definedName name="___________OP15" localSheetId="77">#REF!</definedName>
    <definedName name="___________OP15" localSheetId="49">#REF!</definedName>
    <definedName name="___________OP15" localSheetId="40">#REF!</definedName>
    <definedName name="___________OP15" localSheetId="43">#REF!</definedName>
    <definedName name="___________OP15" localSheetId="13">#REF!</definedName>
    <definedName name="___________OP15" localSheetId="38">#REF!</definedName>
    <definedName name="___________OP15">#REF!</definedName>
    <definedName name="___________OP2" localSheetId="3">#REF!</definedName>
    <definedName name="___________OP2" localSheetId="7">#REF!</definedName>
    <definedName name="___________OP2" localSheetId="9">#REF!</definedName>
    <definedName name="___________OP2" localSheetId="10">#REF!</definedName>
    <definedName name="___________OP2" localSheetId="15">#REF!</definedName>
    <definedName name="___________OP2" localSheetId="19">#REF!</definedName>
    <definedName name="___________OP2" localSheetId="20">#REF!</definedName>
    <definedName name="___________OP2" localSheetId="24">#REF!</definedName>
    <definedName name="___________OP2" localSheetId="104">#REF!</definedName>
    <definedName name="___________OP2" localSheetId="65">#REF!</definedName>
    <definedName name="___________OP2" localSheetId="64">#REF!</definedName>
    <definedName name="___________OP2" localSheetId="77">#REF!</definedName>
    <definedName name="___________OP2" localSheetId="49">#REF!</definedName>
    <definedName name="___________OP2" localSheetId="40">#REF!</definedName>
    <definedName name="___________OP2" localSheetId="43">#REF!</definedName>
    <definedName name="___________OP2" localSheetId="13">#REF!</definedName>
    <definedName name="___________OP2" localSheetId="38">#REF!</definedName>
    <definedName name="___________OP2">#REF!</definedName>
    <definedName name="___________OP3" localSheetId="3">#REF!</definedName>
    <definedName name="___________OP3" localSheetId="7">#REF!</definedName>
    <definedName name="___________OP3" localSheetId="9">#REF!</definedName>
    <definedName name="___________OP3" localSheetId="10">#REF!</definedName>
    <definedName name="___________OP3" localSheetId="15">#REF!</definedName>
    <definedName name="___________OP3" localSheetId="19">#REF!</definedName>
    <definedName name="___________OP3" localSheetId="20">#REF!</definedName>
    <definedName name="___________OP3" localSheetId="24">#REF!</definedName>
    <definedName name="___________OP3" localSheetId="104">#REF!</definedName>
    <definedName name="___________OP3" localSheetId="65">#REF!</definedName>
    <definedName name="___________OP3" localSheetId="64">#REF!</definedName>
    <definedName name="___________OP3" localSheetId="77">#REF!</definedName>
    <definedName name="___________OP3" localSheetId="49">#REF!</definedName>
    <definedName name="___________OP3" localSheetId="40">#REF!</definedName>
    <definedName name="___________OP3" localSheetId="43">#REF!</definedName>
    <definedName name="___________OP3" localSheetId="13">#REF!</definedName>
    <definedName name="___________OP3" localSheetId="38">#REF!</definedName>
    <definedName name="___________OP3">#REF!</definedName>
    <definedName name="___________OP4" localSheetId="3">#REF!</definedName>
    <definedName name="___________OP4" localSheetId="7">#REF!</definedName>
    <definedName name="___________OP4" localSheetId="9">#REF!</definedName>
    <definedName name="___________OP4" localSheetId="10">#REF!</definedName>
    <definedName name="___________OP4" localSheetId="15">#REF!</definedName>
    <definedName name="___________OP4" localSheetId="19">#REF!</definedName>
    <definedName name="___________OP4" localSheetId="20">#REF!</definedName>
    <definedName name="___________OP4" localSheetId="24">#REF!</definedName>
    <definedName name="___________OP4" localSheetId="104">#REF!</definedName>
    <definedName name="___________OP4" localSheetId="65">#REF!</definedName>
    <definedName name="___________OP4" localSheetId="64">#REF!</definedName>
    <definedName name="___________OP4" localSheetId="77">#REF!</definedName>
    <definedName name="___________OP4" localSheetId="49">#REF!</definedName>
    <definedName name="___________OP4" localSheetId="40">#REF!</definedName>
    <definedName name="___________OP4" localSheetId="43">#REF!</definedName>
    <definedName name="___________OP4" localSheetId="13">#REF!</definedName>
    <definedName name="___________OP4" localSheetId="38">#REF!</definedName>
    <definedName name="___________OP4">#REF!</definedName>
    <definedName name="___________OP5" localSheetId="3">#REF!</definedName>
    <definedName name="___________OP5" localSheetId="7">#REF!</definedName>
    <definedName name="___________OP5" localSheetId="9">#REF!</definedName>
    <definedName name="___________OP5" localSheetId="10">#REF!</definedName>
    <definedName name="___________OP5" localSheetId="15">#REF!</definedName>
    <definedName name="___________OP5" localSheetId="19">#REF!</definedName>
    <definedName name="___________OP5" localSheetId="20">#REF!</definedName>
    <definedName name="___________OP5" localSheetId="24">#REF!</definedName>
    <definedName name="___________OP5" localSheetId="104">#REF!</definedName>
    <definedName name="___________OP5" localSheetId="65">#REF!</definedName>
    <definedName name="___________OP5" localSheetId="64">#REF!</definedName>
    <definedName name="___________OP5" localSheetId="77">#REF!</definedName>
    <definedName name="___________OP5" localSheetId="49">#REF!</definedName>
    <definedName name="___________OP5" localSheetId="40">#REF!</definedName>
    <definedName name="___________OP5" localSheetId="43">#REF!</definedName>
    <definedName name="___________OP5" localSheetId="13">#REF!</definedName>
    <definedName name="___________OP5" localSheetId="38">#REF!</definedName>
    <definedName name="___________OP5">#REF!</definedName>
    <definedName name="___________OP6" localSheetId="3">#REF!</definedName>
    <definedName name="___________OP6" localSheetId="7">#REF!</definedName>
    <definedName name="___________OP6" localSheetId="9">#REF!</definedName>
    <definedName name="___________OP6" localSheetId="10">#REF!</definedName>
    <definedName name="___________OP6" localSheetId="15">#REF!</definedName>
    <definedName name="___________OP6" localSheetId="19">#REF!</definedName>
    <definedName name="___________OP6" localSheetId="20">#REF!</definedName>
    <definedName name="___________OP6" localSheetId="24">#REF!</definedName>
    <definedName name="___________OP6" localSheetId="104">#REF!</definedName>
    <definedName name="___________OP6" localSheetId="65">#REF!</definedName>
    <definedName name="___________OP6" localSheetId="64">#REF!</definedName>
    <definedName name="___________OP6" localSheetId="77">#REF!</definedName>
    <definedName name="___________OP6" localSheetId="49">#REF!</definedName>
    <definedName name="___________OP6" localSheetId="40">#REF!</definedName>
    <definedName name="___________OP6" localSheetId="43">#REF!</definedName>
    <definedName name="___________OP6" localSheetId="13">#REF!</definedName>
    <definedName name="___________OP6" localSheetId="38">#REF!</definedName>
    <definedName name="___________OP6">#REF!</definedName>
    <definedName name="___________OP7" localSheetId="3">#REF!</definedName>
    <definedName name="___________OP7" localSheetId="7">#REF!</definedName>
    <definedName name="___________OP7" localSheetId="9">#REF!</definedName>
    <definedName name="___________OP7" localSheetId="10">#REF!</definedName>
    <definedName name="___________OP7" localSheetId="15">#REF!</definedName>
    <definedName name="___________OP7" localSheetId="19">#REF!</definedName>
    <definedName name="___________OP7" localSheetId="20">#REF!</definedName>
    <definedName name="___________OP7" localSheetId="24">#REF!</definedName>
    <definedName name="___________OP7" localSheetId="104">#REF!</definedName>
    <definedName name="___________OP7" localSheetId="65">#REF!</definedName>
    <definedName name="___________OP7" localSheetId="64">#REF!</definedName>
    <definedName name="___________OP7" localSheetId="77">#REF!</definedName>
    <definedName name="___________OP7" localSheetId="49">#REF!</definedName>
    <definedName name="___________OP7" localSheetId="40">#REF!</definedName>
    <definedName name="___________OP7" localSheetId="43">#REF!</definedName>
    <definedName name="___________OP7" localSheetId="13">#REF!</definedName>
    <definedName name="___________OP7" localSheetId="38">#REF!</definedName>
    <definedName name="___________OP7">#REF!</definedName>
    <definedName name="___________OP8" localSheetId="3">#REF!</definedName>
    <definedName name="___________OP8" localSheetId="7">#REF!</definedName>
    <definedName name="___________OP8" localSheetId="9">#REF!</definedName>
    <definedName name="___________OP8" localSheetId="10">#REF!</definedName>
    <definedName name="___________OP8" localSheetId="15">#REF!</definedName>
    <definedName name="___________OP8" localSheetId="19">#REF!</definedName>
    <definedName name="___________OP8" localSheetId="20">#REF!</definedName>
    <definedName name="___________OP8" localSheetId="24">#REF!</definedName>
    <definedName name="___________OP8" localSheetId="104">#REF!</definedName>
    <definedName name="___________OP8" localSheetId="65">#REF!</definedName>
    <definedName name="___________OP8" localSheetId="64">#REF!</definedName>
    <definedName name="___________OP8" localSheetId="77">#REF!</definedName>
    <definedName name="___________OP8" localSheetId="49">#REF!</definedName>
    <definedName name="___________OP8" localSheetId="40">#REF!</definedName>
    <definedName name="___________OP8" localSheetId="43">#REF!</definedName>
    <definedName name="___________OP8" localSheetId="13">#REF!</definedName>
    <definedName name="___________OP8" localSheetId="38">#REF!</definedName>
    <definedName name="___________OP8">#REF!</definedName>
    <definedName name="___________OP9" localSheetId="3">#REF!</definedName>
    <definedName name="___________OP9" localSheetId="7">#REF!</definedName>
    <definedName name="___________OP9" localSheetId="9">#REF!</definedName>
    <definedName name="___________OP9" localSheetId="10">#REF!</definedName>
    <definedName name="___________OP9" localSheetId="15">#REF!</definedName>
    <definedName name="___________OP9" localSheetId="19">#REF!</definedName>
    <definedName name="___________OP9" localSheetId="20">#REF!</definedName>
    <definedName name="___________OP9" localSheetId="24">#REF!</definedName>
    <definedName name="___________OP9" localSheetId="104">#REF!</definedName>
    <definedName name="___________OP9" localSheetId="65">#REF!</definedName>
    <definedName name="___________OP9" localSheetId="64">#REF!</definedName>
    <definedName name="___________OP9" localSheetId="77">#REF!</definedName>
    <definedName name="___________OP9" localSheetId="49">#REF!</definedName>
    <definedName name="___________OP9" localSheetId="40">#REF!</definedName>
    <definedName name="___________OP9" localSheetId="43">#REF!</definedName>
    <definedName name="___________OP9" localSheetId="13">#REF!</definedName>
    <definedName name="___________OP9" localSheetId="38">#REF!</definedName>
    <definedName name="___________OP9">#REF!</definedName>
    <definedName name="___________PG10" localSheetId="3">#REF!</definedName>
    <definedName name="___________PG10" localSheetId="7">#REF!</definedName>
    <definedName name="___________PG10" localSheetId="9">#REF!</definedName>
    <definedName name="___________PG10" localSheetId="10">#REF!</definedName>
    <definedName name="___________PG10" localSheetId="15">#REF!</definedName>
    <definedName name="___________PG10" localSheetId="19">#REF!</definedName>
    <definedName name="___________PG10" localSheetId="20">#REF!</definedName>
    <definedName name="___________PG10" localSheetId="24">#REF!</definedName>
    <definedName name="___________PG10" localSheetId="104">#REF!</definedName>
    <definedName name="___________PG10" localSheetId="65">#REF!</definedName>
    <definedName name="___________PG10" localSheetId="64">#REF!</definedName>
    <definedName name="___________PG10" localSheetId="77">#REF!</definedName>
    <definedName name="___________PG10" localSheetId="49">#REF!</definedName>
    <definedName name="___________PG10" localSheetId="40">#REF!</definedName>
    <definedName name="___________PG10" localSheetId="43">#REF!</definedName>
    <definedName name="___________PG10" localSheetId="13">#REF!</definedName>
    <definedName name="___________PG10" localSheetId="38">#REF!</definedName>
    <definedName name="___________PG10">#REF!</definedName>
    <definedName name="___________PG2" localSheetId="3">#REF!</definedName>
    <definedName name="___________PG2" localSheetId="7">#REF!</definedName>
    <definedName name="___________PG2" localSheetId="9">#REF!</definedName>
    <definedName name="___________PG2" localSheetId="10">#REF!</definedName>
    <definedName name="___________PG2" localSheetId="15">#REF!</definedName>
    <definedName name="___________PG2" localSheetId="19">#REF!</definedName>
    <definedName name="___________PG2" localSheetId="20">#REF!</definedName>
    <definedName name="___________PG2" localSheetId="24">#REF!</definedName>
    <definedName name="___________PG2" localSheetId="104">#REF!</definedName>
    <definedName name="___________PG2" localSheetId="65">#REF!</definedName>
    <definedName name="___________PG2" localSheetId="64">#REF!</definedName>
    <definedName name="___________PG2" localSheetId="77">#REF!</definedName>
    <definedName name="___________PG2" localSheetId="49">#REF!</definedName>
    <definedName name="___________PG2" localSheetId="40">#REF!</definedName>
    <definedName name="___________PG2" localSheetId="43">#REF!</definedName>
    <definedName name="___________PG2" localSheetId="13">#REF!</definedName>
    <definedName name="___________PG2" localSheetId="38">#REF!</definedName>
    <definedName name="___________PG2">#REF!</definedName>
    <definedName name="___________PG5" localSheetId="3">#REF!</definedName>
    <definedName name="___________PG5" localSheetId="7">#REF!</definedName>
    <definedName name="___________PG5" localSheetId="9">#REF!</definedName>
    <definedName name="___________PG5" localSheetId="10">#REF!</definedName>
    <definedName name="___________PG5" localSheetId="15">#REF!</definedName>
    <definedName name="___________PG5" localSheetId="19">#REF!</definedName>
    <definedName name="___________PG5" localSheetId="20">#REF!</definedName>
    <definedName name="___________PG5" localSheetId="24">#REF!</definedName>
    <definedName name="___________PG5" localSheetId="104">#REF!</definedName>
    <definedName name="___________PG5" localSheetId="65">#REF!</definedName>
    <definedName name="___________PG5" localSheetId="64">#REF!</definedName>
    <definedName name="___________PG5" localSheetId="77">#REF!</definedName>
    <definedName name="___________PG5" localSheetId="49">#REF!</definedName>
    <definedName name="___________PG5" localSheetId="40">#REF!</definedName>
    <definedName name="___________PG5" localSheetId="43">#REF!</definedName>
    <definedName name="___________PG5" localSheetId="13">#REF!</definedName>
    <definedName name="___________PG5" localSheetId="38">#REF!</definedName>
    <definedName name="___________PG5">#REF!</definedName>
    <definedName name="___________PG8" localSheetId="3">#REF!</definedName>
    <definedName name="___________PG8" localSheetId="7">#REF!</definedName>
    <definedName name="___________PG8" localSheetId="9">#REF!</definedName>
    <definedName name="___________PG8" localSheetId="10">#REF!</definedName>
    <definedName name="___________PG8" localSheetId="15">#REF!</definedName>
    <definedName name="___________PG8" localSheetId="19">#REF!</definedName>
    <definedName name="___________PG8" localSheetId="20">#REF!</definedName>
    <definedName name="___________PG8" localSheetId="24">#REF!</definedName>
    <definedName name="___________PG8" localSheetId="104">#REF!</definedName>
    <definedName name="___________PG8" localSheetId="65">#REF!</definedName>
    <definedName name="___________PG8" localSheetId="64">#REF!</definedName>
    <definedName name="___________PG8" localSheetId="77">#REF!</definedName>
    <definedName name="___________PG8" localSheetId="49">#REF!</definedName>
    <definedName name="___________PG8" localSheetId="40">#REF!</definedName>
    <definedName name="___________PG8" localSheetId="43">#REF!</definedName>
    <definedName name="___________PG8" localSheetId="13">#REF!</definedName>
    <definedName name="___________PG8" localSheetId="38">#REF!</definedName>
    <definedName name="___________PG8">#REF!</definedName>
    <definedName name="___________PG9" localSheetId="3">#REF!</definedName>
    <definedName name="___________PG9" localSheetId="7">#REF!</definedName>
    <definedName name="___________PG9" localSheetId="9">#REF!</definedName>
    <definedName name="___________PG9" localSheetId="10">#REF!</definedName>
    <definedName name="___________PG9" localSheetId="15">#REF!</definedName>
    <definedName name="___________PG9" localSheetId="19">#REF!</definedName>
    <definedName name="___________PG9" localSheetId="20">#REF!</definedName>
    <definedName name="___________PG9" localSheetId="24">#REF!</definedName>
    <definedName name="___________PG9" localSheetId="104">#REF!</definedName>
    <definedName name="___________PG9" localSheetId="65">#REF!</definedName>
    <definedName name="___________PG9" localSheetId="64">#REF!</definedName>
    <definedName name="___________PG9" localSheetId="77">#REF!</definedName>
    <definedName name="___________PG9" localSheetId="49">#REF!</definedName>
    <definedName name="___________PG9" localSheetId="40">#REF!</definedName>
    <definedName name="___________PG9" localSheetId="43">#REF!</definedName>
    <definedName name="___________PG9" localSheetId="13">#REF!</definedName>
    <definedName name="___________PG9" localSheetId="38">#REF!</definedName>
    <definedName name="___________PG9">#REF!</definedName>
    <definedName name="__________kb2" localSheetId="105" hidden="1">{#N/A,#N/A,FALSE,"F1-Currrent";#N/A,#N/A,FALSE,"F2-Current";#N/A,#N/A,FALSE,"F2-Proposed";#N/A,#N/A,FALSE,"F3-Current";#N/A,#N/A,FALSE,"F4-Current";#N/A,#N/A,FALSE,"F4-Proposed";#N/A,#N/A,FALSE,"Controls"}</definedName>
    <definedName name="__________kb2" localSheetId="96" hidden="1">{#N/A,#N/A,FALSE,"F1-Currrent";#N/A,#N/A,FALSE,"F2-Current";#N/A,#N/A,FALSE,"F2-Proposed";#N/A,#N/A,FALSE,"F3-Current";#N/A,#N/A,FALSE,"F4-Current";#N/A,#N/A,FALSE,"F4-Proposed";#N/A,#N/A,FALSE,"Controls"}</definedName>
    <definedName name="__________kb2" localSheetId="44" hidden="1">{#N/A,#N/A,FALSE,"F1-Currrent";#N/A,#N/A,FALSE,"F2-Current";#N/A,#N/A,FALSE,"F2-Proposed";#N/A,#N/A,FALSE,"F3-Current";#N/A,#N/A,FALSE,"F4-Current";#N/A,#N/A,FALSE,"F4-Proposed";#N/A,#N/A,FALSE,"Controls"}</definedName>
    <definedName name="__________kb2" hidden="1">{#N/A,#N/A,FALSE,"F1-Currrent";#N/A,#N/A,FALSE,"F2-Current";#N/A,#N/A,FALSE,"F2-Proposed";#N/A,#N/A,FALSE,"F3-Current";#N/A,#N/A,FALSE,"F4-Current";#N/A,#N/A,FALSE,"F4-Proposed";#N/A,#N/A,FALSE,"Controls"}</definedName>
    <definedName name="__________OP1" localSheetId="3">#REF!</definedName>
    <definedName name="__________OP1" localSheetId="7">#REF!</definedName>
    <definedName name="__________OP1" localSheetId="9">#REF!</definedName>
    <definedName name="__________OP1" localSheetId="10">#REF!</definedName>
    <definedName name="__________OP1" localSheetId="15">#REF!</definedName>
    <definedName name="__________OP1" localSheetId="19">#REF!</definedName>
    <definedName name="__________OP1" localSheetId="20">#REF!</definedName>
    <definedName name="__________OP1" localSheetId="24">#REF!</definedName>
    <definedName name="__________OP1" localSheetId="104">#REF!</definedName>
    <definedName name="__________OP1" localSheetId="65">#REF!</definedName>
    <definedName name="__________OP1" localSheetId="64">#REF!</definedName>
    <definedName name="__________OP1" localSheetId="77">#REF!</definedName>
    <definedName name="__________OP1" localSheetId="49">#REF!</definedName>
    <definedName name="__________OP1" localSheetId="40">#REF!</definedName>
    <definedName name="__________OP1" localSheetId="43">#REF!</definedName>
    <definedName name="__________OP1" localSheetId="13">#REF!</definedName>
    <definedName name="__________OP1" localSheetId="38">#REF!</definedName>
    <definedName name="__________OP1">#REF!</definedName>
    <definedName name="__________OP10" localSheetId="3">#REF!</definedName>
    <definedName name="__________OP10" localSheetId="7">#REF!</definedName>
    <definedName name="__________OP10" localSheetId="9">#REF!</definedName>
    <definedName name="__________OP10" localSheetId="10">#REF!</definedName>
    <definedName name="__________OP10" localSheetId="15">#REF!</definedName>
    <definedName name="__________OP10" localSheetId="19">#REF!</definedName>
    <definedName name="__________OP10" localSheetId="20">#REF!</definedName>
    <definedName name="__________OP10" localSheetId="24">#REF!</definedName>
    <definedName name="__________OP10" localSheetId="104">#REF!</definedName>
    <definedName name="__________OP10" localSheetId="65">#REF!</definedName>
    <definedName name="__________OP10" localSheetId="64">#REF!</definedName>
    <definedName name="__________OP10" localSheetId="77">#REF!</definedName>
    <definedName name="__________OP10" localSheetId="49">#REF!</definedName>
    <definedName name="__________OP10" localSheetId="40">#REF!</definedName>
    <definedName name="__________OP10" localSheetId="43">#REF!</definedName>
    <definedName name="__________OP10" localSheetId="13">#REF!</definedName>
    <definedName name="__________OP10" localSheetId="38">#REF!</definedName>
    <definedName name="__________OP10">#REF!</definedName>
    <definedName name="__________OP11" localSheetId="3">#REF!</definedName>
    <definedName name="__________OP11" localSheetId="7">#REF!</definedName>
    <definedName name="__________OP11" localSheetId="9">#REF!</definedName>
    <definedName name="__________OP11" localSheetId="10">#REF!</definedName>
    <definedName name="__________OP11" localSheetId="15">#REF!</definedName>
    <definedName name="__________OP11" localSheetId="19">#REF!</definedName>
    <definedName name="__________OP11" localSheetId="20">#REF!</definedName>
    <definedName name="__________OP11" localSheetId="24">#REF!</definedName>
    <definedName name="__________OP11" localSheetId="104">#REF!</definedName>
    <definedName name="__________OP11" localSheetId="65">#REF!</definedName>
    <definedName name="__________OP11" localSheetId="64">#REF!</definedName>
    <definedName name="__________OP11" localSheetId="77">#REF!</definedName>
    <definedName name="__________OP11" localSheetId="49">#REF!</definedName>
    <definedName name="__________OP11" localSheetId="40">#REF!</definedName>
    <definedName name="__________OP11" localSheetId="43">#REF!</definedName>
    <definedName name="__________OP11" localSheetId="13">#REF!</definedName>
    <definedName name="__________OP11" localSheetId="38">#REF!</definedName>
    <definedName name="__________OP11">#REF!</definedName>
    <definedName name="__________OP12" localSheetId="3">#REF!</definedName>
    <definedName name="__________OP12" localSheetId="7">#REF!</definedName>
    <definedName name="__________OP12" localSheetId="9">#REF!</definedName>
    <definedName name="__________OP12" localSheetId="10">#REF!</definedName>
    <definedName name="__________OP12" localSheetId="15">#REF!</definedName>
    <definedName name="__________OP12" localSheetId="19">#REF!</definedName>
    <definedName name="__________OP12" localSheetId="20">#REF!</definedName>
    <definedName name="__________OP12" localSheetId="24">#REF!</definedName>
    <definedName name="__________OP12" localSheetId="104">#REF!</definedName>
    <definedName name="__________OP12" localSheetId="65">#REF!</definedName>
    <definedName name="__________OP12" localSheetId="64">#REF!</definedName>
    <definedName name="__________OP12" localSheetId="77">#REF!</definedName>
    <definedName name="__________OP12" localSheetId="49">#REF!</definedName>
    <definedName name="__________OP12" localSheetId="40">#REF!</definedName>
    <definedName name="__________OP12" localSheetId="43">#REF!</definedName>
    <definedName name="__________OP12" localSheetId="13">#REF!</definedName>
    <definedName name="__________OP12" localSheetId="38">#REF!</definedName>
    <definedName name="__________OP12">#REF!</definedName>
    <definedName name="__________OP13" localSheetId="3">#REF!</definedName>
    <definedName name="__________OP13" localSheetId="7">#REF!</definedName>
    <definedName name="__________OP13" localSheetId="9">#REF!</definedName>
    <definedName name="__________OP13" localSheetId="10">#REF!</definedName>
    <definedName name="__________OP13" localSheetId="15">#REF!</definedName>
    <definedName name="__________OP13" localSheetId="19">#REF!</definedName>
    <definedName name="__________OP13" localSheetId="20">#REF!</definedName>
    <definedName name="__________OP13" localSheetId="24">#REF!</definedName>
    <definedName name="__________OP13" localSheetId="104">#REF!</definedName>
    <definedName name="__________OP13" localSheetId="65">#REF!</definedName>
    <definedName name="__________OP13" localSheetId="64">#REF!</definedName>
    <definedName name="__________OP13" localSheetId="77">#REF!</definedName>
    <definedName name="__________OP13" localSheetId="49">#REF!</definedName>
    <definedName name="__________OP13" localSheetId="40">#REF!</definedName>
    <definedName name="__________OP13" localSheetId="43">#REF!</definedName>
    <definedName name="__________OP13" localSheetId="13">#REF!</definedName>
    <definedName name="__________OP13" localSheetId="38">#REF!</definedName>
    <definedName name="__________OP13">#REF!</definedName>
    <definedName name="__________OP14" localSheetId="3">#REF!</definedName>
    <definedName name="__________OP14" localSheetId="7">#REF!</definedName>
    <definedName name="__________OP14" localSheetId="9">#REF!</definedName>
    <definedName name="__________OP14" localSheetId="10">#REF!</definedName>
    <definedName name="__________OP14" localSheetId="15">#REF!</definedName>
    <definedName name="__________OP14" localSheetId="19">#REF!</definedName>
    <definedName name="__________OP14" localSheetId="20">#REF!</definedName>
    <definedName name="__________OP14" localSheetId="24">#REF!</definedName>
    <definedName name="__________OP14" localSheetId="104">#REF!</definedName>
    <definedName name="__________OP14" localSheetId="65">#REF!</definedName>
    <definedName name="__________OP14" localSheetId="64">#REF!</definedName>
    <definedName name="__________OP14" localSheetId="77">#REF!</definedName>
    <definedName name="__________OP14" localSheetId="49">#REF!</definedName>
    <definedName name="__________OP14" localSheetId="40">#REF!</definedName>
    <definedName name="__________OP14" localSheetId="43">#REF!</definedName>
    <definedName name="__________OP14" localSheetId="13">#REF!</definedName>
    <definedName name="__________OP14" localSheetId="38">#REF!</definedName>
    <definedName name="__________OP14">#REF!</definedName>
    <definedName name="__________OP15" localSheetId="3">#REF!</definedName>
    <definedName name="__________OP15" localSheetId="7">#REF!</definedName>
    <definedName name="__________OP15" localSheetId="9">#REF!</definedName>
    <definedName name="__________OP15" localSheetId="10">#REF!</definedName>
    <definedName name="__________OP15" localSheetId="15">#REF!</definedName>
    <definedName name="__________OP15" localSheetId="19">#REF!</definedName>
    <definedName name="__________OP15" localSheetId="20">#REF!</definedName>
    <definedName name="__________OP15" localSheetId="24">#REF!</definedName>
    <definedName name="__________OP15" localSheetId="104">#REF!</definedName>
    <definedName name="__________OP15" localSheetId="65">#REF!</definedName>
    <definedName name="__________OP15" localSheetId="64">#REF!</definedName>
    <definedName name="__________OP15" localSheetId="77">#REF!</definedName>
    <definedName name="__________OP15" localSheetId="49">#REF!</definedName>
    <definedName name="__________OP15" localSheetId="40">#REF!</definedName>
    <definedName name="__________OP15" localSheetId="43">#REF!</definedName>
    <definedName name="__________OP15" localSheetId="13">#REF!</definedName>
    <definedName name="__________OP15" localSheetId="38">#REF!</definedName>
    <definedName name="__________OP15">#REF!</definedName>
    <definedName name="__________OP2" localSheetId="3">#REF!</definedName>
    <definedName name="__________OP2" localSheetId="7">#REF!</definedName>
    <definedName name="__________OP2" localSheetId="9">#REF!</definedName>
    <definedName name="__________OP2" localSheetId="10">#REF!</definedName>
    <definedName name="__________OP2" localSheetId="15">#REF!</definedName>
    <definedName name="__________OP2" localSheetId="19">#REF!</definedName>
    <definedName name="__________OP2" localSheetId="20">#REF!</definedName>
    <definedName name="__________OP2" localSheetId="24">#REF!</definedName>
    <definedName name="__________OP2" localSheetId="104">#REF!</definedName>
    <definedName name="__________OP2" localSheetId="65">#REF!</definedName>
    <definedName name="__________OP2" localSheetId="64">#REF!</definedName>
    <definedName name="__________OP2" localSheetId="77">#REF!</definedName>
    <definedName name="__________OP2" localSheetId="49">#REF!</definedName>
    <definedName name="__________OP2" localSheetId="40">#REF!</definedName>
    <definedName name="__________OP2" localSheetId="43">#REF!</definedName>
    <definedName name="__________OP2" localSheetId="13">#REF!</definedName>
    <definedName name="__________OP2" localSheetId="38">#REF!</definedName>
    <definedName name="__________OP2">#REF!</definedName>
    <definedName name="__________OP3" localSheetId="3">#REF!</definedName>
    <definedName name="__________OP3" localSheetId="7">#REF!</definedName>
    <definedName name="__________OP3" localSheetId="9">#REF!</definedName>
    <definedName name="__________OP3" localSheetId="10">#REF!</definedName>
    <definedName name="__________OP3" localSheetId="15">#REF!</definedName>
    <definedName name="__________OP3" localSheetId="19">#REF!</definedName>
    <definedName name="__________OP3" localSheetId="20">#REF!</definedName>
    <definedName name="__________OP3" localSheetId="24">#REF!</definedName>
    <definedName name="__________OP3" localSheetId="104">#REF!</definedName>
    <definedName name="__________OP3" localSheetId="65">#REF!</definedName>
    <definedName name="__________OP3" localSheetId="64">#REF!</definedName>
    <definedName name="__________OP3" localSheetId="77">#REF!</definedName>
    <definedName name="__________OP3" localSheetId="49">#REF!</definedName>
    <definedName name="__________OP3" localSheetId="40">#REF!</definedName>
    <definedName name="__________OP3" localSheetId="43">#REF!</definedName>
    <definedName name="__________OP3" localSheetId="13">#REF!</definedName>
    <definedName name="__________OP3" localSheetId="38">#REF!</definedName>
    <definedName name="__________OP3">#REF!</definedName>
    <definedName name="__________OP4" localSheetId="3">#REF!</definedName>
    <definedName name="__________OP4" localSheetId="7">#REF!</definedName>
    <definedName name="__________OP4" localSheetId="9">#REF!</definedName>
    <definedName name="__________OP4" localSheetId="10">#REF!</definedName>
    <definedName name="__________OP4" localSheetId="15">#REF!</definedName>
    <definedName name="__________OP4" localSheetId="19">#REF!</definedName>
    <definedName name="__________OP4" localSheetId="20">#REF!</definedName>
    <definedName name="__________OP4" localSheetId="24">#REF!</definedName>
    <definedName name="__________OP4" localSheetId="104">#REF!</definedName>
    <definedName name="__________OP4" localSheetId="65">#REF!</definedName>
    <definedName name="__________OP4" localSheetId="64">#REF!</definedName>
    <definedName name="__________OP4" localSheetId="77">#REF!</definedName>
    <definedName name="__________OP4" localSheetId="49">#REF!</definedName>
    <definedName name="__________OP4" localSheetId="40">#REF!</definedName>
    <definedName name="__________OP4" localSheetId="43">#REF!</definedName>
    <definedName name="__________OP4" localSheetId="13">#REF!</definedName>
    <definedName name="__________OP4" localSheetId="38">#REF!</definedName>
    <definedName name="__________OP4">#REF!</definedName>
    <definedName name="__________OP5" localSheetId="3">#REF!</definedName>
    <definedName name="__________OP5" localSheetId="7">#REF!</definedName>
    <definedName name="__________OP5" localSheetId="9">#REF!</definedName>
    <definedName name="__________OP5" localSheetId="10">#REF!</definedName>
    <definedName name="__________OP5" localSheetId="15">#REF!</definedName>
    <definedName name="__________OP5" localSheetId="19">#REF!</definedName>
    <definedName name="__________OP5" localSheetId="20">#REF!</definedName>
    <definedName name="__________OP5" localSheetId="24">#REF!</definedName>
    <definedName name="__________OP5" localSheetId="104">#REF!</definedName>
    <definedName name="__________OP5" localSheetId="65">#REF!</definedName>
    <definedName name="__________OP5" localSheetId="64">#REF!</definedName>
    <definedName name="__________OP5" localSheetId="77">#REF!</definedName>
    <definedName name="__________OP5" localSheetId="49">#REF!</definedName>
    <definedName name="__________OP5" localSheetId="40">#REF!</definedName>
    <definedName name="__________OP5" localSheetId="43">#REF!</definedName>
    <definedName name="__________OP5" localSheetId="13">#REF!</definedName>
    <definedName name="__________OP5" localSheetId="38">#REF!</definedName>
    <definedName name="__________OP5">#REF!</definedName>
    <definedName name="__________OP6" localSheetId="3">#REF!</definedName>
    <definedName name="__________OP6" localSheetId="7">#REF!</definedName>
    <definedName name="__________OP6" localSheetId="9">#REF!</definedName>
    <definedName name="__________OP6" localSheetId="10">#REF!</definedName>
    <definedName name="__________OP6" localSheetId="15">#REF!</definedName>
    <definedName name="__________OP6" localSheetId="19">#REF!</definedName>
    <definedName name="__________OP6" localSheetId="20">#REF!</definedName>
    <definedName name="__________OP6" localSheetId="24">#REF!</definedName>
    <definedName name="__________OP6" localSheetId="104">#REF!</definedName>
    <definedName name="__________OP6" localSheetId="65">#REF!</definedName>
    <definedName name="__________OP6" localSheetId="64">#REF!</definedName>
    <definedName name="__________OP6" localSheetId="77">#REF!</definedName>
    <definedName name="__________OP6" localSheetId="49">#REF!</definedName>
    <definedName name="__________OP6" localSheetId="40">#REF!</definedName>
    <definedName name="__________OP6" localSheetId="43">#REF!</definedName>
    <definedName name="__________OP6" localSheetId="13">#REF!</definedName>
    <definedName name="__________OP6" localSheetId="38">#REF!</definedName>
    <definedName name="__________OP6">#REF!</definedName>
    <definedName name="__________OP7" localSheetId="3">#REF!</definedName>
    <definedName name="__________OP7" localSheetId="7">#REF!</definedName>
    <definedName name="__________OP7" localSheetId="9">#REF!</definedName>
    <definedName name="__________OP7" localSheetId="10">#REF!</definedName>
    <definedName name="__________OP7" localSheetId="15">#REF!</definedName>
    <definedName name="__________OP7" localSheetId="19">#REF!</definedName>
    <definedName name="__________OP7" localSheetId="20">#REF!</definedName>
    <definedName name="__________OP7" localSheetId="24">#REF!</definedName>
    <definedName name="__________OP7" localSheetId="104">#REF!</definedName>
    <definedName name="__________OP7" localSheetId="65">#REF!</definedName>
    <definedName name="__________OP7" localSheetId="64">#REF!</definedName>
    <definedName name="__________OP7" localSheetId="77">#REF!</definedName>
    <definedName name="__________OP7" localSheetId="49">#REF!</definedName>
    <definedName name="__________OP7" localSheetId="40">#REF!</definedName>
    <definedName name="__________OP7" localSheetId="43">#REF!</definedName>
    <definedName name="__________OP7" localSheetId="13">#REF!</definedName>
    <definedName name="__________OP7" localSheetId="38">#REF!</definedName>
    <definedName name="__________OP7">#REF!</definedName>
    <definedName name="__________OP8" localSheetId="3">#REF!</definedName>
    <definedName name="__________OP8" localSheetId="7">#REF!</definedName>
    <definedName name="__________OP8" localSheetId="9">#REF!</definedName>
    <definedName name="__________OP8" localSheetId="10">#REF!</definedName>
    <definedName name="__________OP8" localSheetId="15">#REF!</definedName>
    <definedName name="__________OP8" localSheetId="19">#REF!</definedName>
    <definedName name="__________OP8" localSheetId="20">#REF!</definedName>
    <definedName name="__________OP8" localSheetId="24">#REF!</definedName>
    <definedName name="__________OP8" localSheetId="104">#REF!</definedName>
    <definedName name="__________OP8" localSheetId="65">#REF!</definedName>
    <definedName name="__________OP8" localSheetId="64">#REF!</definedName>
    <definedName name="__________OP8" localSheetId="77">#REF!</definedName>
    <definedName name="__________OP8" localSheetId="49">#REF!</definedName>
    <definedName name="__________OP8" localSheetId="40">#REF!</definedName>
    <definedName name="__________OP8" localSheetId="43">#REF!</definedName>
    <definedName name="__________OP8" localSheetId="13">#REF!</definedName>
    <definedName name="__________OP8" localSheetId="38">#REF!</definedName>
    <definedName name="__________OP8">#REF!</definedName>
    <definedName name="__________OP9" localSheetId="3">#REF!</definedName>
    <definedName name="__________OP9" localSheetId="7">#REF!</definedName>
    <definedName name="__________OP9" localSheetId="9">#REF!</definedName>
    <definedName name="__________OP9" localSheetId="10">#REF!</definedName>
    <definedName name="__________OP9" localSheetId="15">#REF!</definedName>
    <definedName name="__________OP9" localSheetId="19">#REF!</definedName>
    <definedName name="__________OP9" localSheetId="20">#REF!</definedName>
    <definedName name="__________OP9" localSheetId="24">#REF!</definedName>
    <definedName name="__________OP9" localSheetId="104">#REF!</definedName>
    <definedName name="__________OP9" localSheetId="65">#REF!</definedName>
    <definedName name="__________OP9" localSheetId="64">#REF!</definedName>
    <definedName name="__________OP9" localSheetId="77">#REF!</definedName>
    <definedName name="__________OP9" localSheetId="49">#REF!</definedName>
    <definedName name="__________OP9" localSheetId="40">#REF!</definedName>
    <definedName name="__________OP9" localSheetId="43">#REF!</definedName>
    <definedName name="__________OP9" localSheetId="13">#REF!</definedName>
    <definedName name="__________OP9" localSheetId="38">#REF!</definedName>
    <definedName name="__________OP9">#REF!</definedName>
    <definedName name="__________PG10" localSheetId="3">#REF!</definedName>
    <definedName name="__________PG10" localSheetId="7">#REF!</definedName>
    <definedName name="__________PG10" localSheetId="9">#REF!</definedName>
    <definedName name="__________PG10" localSheetId="10">#REF!</definedName>
    <definedName name="__________PG10" localSheetId="15">#REF!</definedName>
    <definedName name="__________PG10" localSheetId="19">#REF!</definedName>
    <definedName name="__________PG10" localSheetId="20">#REF!</definedName>
    <definedName name="__________PG10" localSheetId="24">#REF!</definedName>
    <definedName name="__________PG10" localSheetId="104">#REF!</definedName>
    <definedName name="__________PG10" localSheetId="65">#REF!</definedName>
    <definedName name="__________PG10" localSheetId="64">#REF!</definedName>
    <definedName name="__________PG10" localSheetId="77">#REF!</definedName>
    <definedName name="__________PG10" localSheetId="49">#REF!</definedName>
    <definedName name="__________PG10" localSheetId="40">#REF!</definedName>
    <definedName name="__________PG10" localSheetId="43">#REF!</definedName>
    <definedName name="__________PG10" localSheetId="13">#REF!</definedName>
    <definedName name="__________PG10" localSheetId="38">#REF!</definedName>
    <definedName name="__________PG10">#REF!</definedName>
    <definedName name="__________PG2" localSheetId="3">#REF!</definedName>
    <definedName name="__________PG2" localSheetId="7">#REF!</definedName>
    <definedName name="__________PG2" localSheetId="9">#REF!</definedName>
    <definedName name="__________PG2" localSheetId="10">#REF!</definedName>
    <definedName name="__________PG2" localSheetId="15">#REF!</definedName>
    <definedName name="__________PG2" localSheetId="19">#REF!</definedName>
    <definedName name="__________PG2" localSheetId="20">#REF!</definedName>
    <definedName name="__________PG2" localSheetId="24">#REF!</definedName>
    <definedName name="__________PG2" localSheetId="104">#REF!</definedName>
    <definedName name="__________PG2" localSheetId="65">#REF!</definedName>
    <definedName name="__________PG2" localSheetId="64">#REF!</definedName>
    <definedName name="__________PG2" localSheetId="77">#REF!</definedName>
    <definedName name="__________PG2" localSheetId="49">#REF!</definedName>
    <definedName name="__________PG2" localSheetId="40">#REF!</definedName>
    <definedName name="__________PG2" localSheetId="43">#REF!</definedName>
    <definedName name="__________PG2" localSheetId="13">#REF!</definedName>
    <definedName name="__________PG2" localSheetId="38">#REF!</definedName>
    <definedName name="__________PG2">#REF!</definedName>
    <definedName name="__________PG5" localSheetId="3">#REF!</definedName>
    <definedName name="__________PG5" localSheetId="7">#REF!</definedName>
    <definedName name="__________PG5" localSheetId="9">#REF!</definedName>
    <definedName name="__________PG5" localSheetId="10">#REF!</definedName>
    <definedName name="__________PG5" localSheetId="15">#REF!</definedName>
    <definedName name="__________PG5" localSheetId="19">#REF!</definedName>
    <definedName name="__________PG5" localSheetId="20">#REF!</definedName>
    <definedName name="__________PG5" localSheetId="24">#REF!</definedName>
    <definedName name="__________PG5" localSheetId="104">#REF!</definedName>
    <definedName name="__________PG5" localSheetId="65">#REF!</definedName>
    <definedName name="__________PG5" localSheetId="64">#REF!</definedName>
    <definedName name="__________PG5" localSheetId="77">#REF!</definedName>
    <definedName name="__________PG5" localSheetId="49">#REF!</definedName>
    <definedName name="__________PG5" localSheetId="40">#REF!</definedName>
    <definedName name="__________PG5" localSheetId="43">#REF!</definedName>
    <definedName name="__________PG5" localSheetId="13">#REF!</definedName>
    <definedName name="__________PG5" localSheetId="38">#REF!</definedName>
    <definedName name="__________PG5">#REF!</definedName>
    <definedName name="__________PG8" localSheetId="3">#REF!</definedName>
    <definedName name="__________PG8" localSheetId="7">#REF!</definedName>
    <definedName name="__________PG8" localSheetId="9">#REF!</definedName>
    <definedName name="__________PG8" localSheetId="10">#REF!</definedName>
    <definedName name="__________PG8" localSheetId="15">#REF!</definedName>
    <definedName name="__________PG8" localSheetId="19">#REF!</definedName>
    <definedName name="__________PG8" localSheetId="20">#REF!</definedName>
    <definedName name="__________PG8" localSheetId="24">#REF!</definedName>
    <definedName name="__________PG8" localSheetId="104">#REF!</definedName>
    <definedName name="__________PG8" localSheetId="65">#REF!</definedName>
    <definedName name="__________PG8" localSheetId="64">#REF!</definedName>
    <definedName name="__________PG8" localSheetId="77">#REF!</definedName>
    <definedName name="__________PG8" localSheetId="49">#REF!</definedName>
    <definedName name="__________PG8" localSheetId="40">#REF!</definedName>
    <definedName name="__________PG8" localSheetId="43">#REF!</definedName>
    <definedName name="__________PG8" localSheetId="13">#REF!</definedName>
    <definedName name="__________PG8" localSheetId="38">#REF!</definedName>
    <definedName name="__________PG8">#REF!</definedName>
    <definedName name="__________PG9" localSheetId="3">#REF!</definedName>
    <definedName name="__________PG9" localSheetId="7">#REF!</definedName>
    <definedName name="__________PG9" localSheetId="9">#REF!</definedName>
    <definedName name="__________PG9" localSheetId="10">#REF!</definedName>
    <definedName name="__________PG9" localSheetId="15">#REF!</definedName>
    <definedName name="__________PG9" localSheetId="19">#REF!</definedName>
    <definedName name="__________PG9" localSheetId="20">#REF!</definedName>
    <definedName name="__________PG9" localSheetId="24">#REF!</definedName>
    <definedName name="__________PG9" localSheetId="104">#REF!</definedName>
    <definedName name="__________PG9" localSheetId="65">#REF!</definedName>
    <definedName name="__________PG9" localSheetId="64">#REF!</definedName>
    <definedName name="__________PG9" localSheetId="77">#REF!</definedName>
    <definedName name="__________PG9" localSheetId="49">#REF!</definedName>
    <definedName name="__________PG9" localSheetId="40">#REF!</definedName>
    <definedName name="__________PG9" localSheetId="43">#REF!</definedName>
    <definedName name="__________PG9" localSheetId="13">#REF!</definedName>
    <definedName name="__________PG9" localSheetId="38">#REF!</definedName>
    <definedName name="__________PG9">#REF!</definedName>
    <definedName name="_________kb2" localSheetId="105" hidden="1">{#N/A,#N/A,FALSE,"F1-Currrent";#N/A,#N/A,FALSE,"F2-Current";#N/A,#N/A,FALSE,"F2-Proposed";#N/A,#N/A,FALSE,"F3-Current";#N/A,#N/A,FALSE,"F4-Current";#N/A,#N/A,FALSE,"F4-Proposed";#N/A,#N/A,FALSE,"Controls"}</definedName>
    <definedName name="_________kb2" localSheetId="96" hidden="1">{#N/A,#N/A,FALSE,"F1-Currrent";#N/A,#N/A,FALSE,"F2-Current";#N/A,#N/A,FALSE,"F2-Proposed";#N/A,#N/A,FALSE,"F3-Current";#N/A,#N/A,FALSE,"F4-Current";#N/A,#N/A,FALSE,"F4-Proposed";#N/A,#N/A,FALSE,"Controls"}</definedName>
    <definedName name="_________kb2" localSheetId="44" hidden="1">{#N/A,#N/A,FALSE,"F1-Currrent";#N/A,#N/A,FALSE,"F2-Current";#N/A,#N/A,FALSE,"F2-Proposed";#N/A,#N/A,FALSE,"F3-Current";#N/A,#N/A,FALSE,"F4-Current";#N/A,#N/A,FALSE,"F4-Proposed";#N/A,#N/A,FALSE,"Controls"}</definedName>
    <definedName name="_________kb2" hidden="1">{#N/A,#N/A,FALSE,"F1-Currrent";#N/A,#N/A,FALSE,"F2-Current";#N/A,#N/A,FALSE,"F2-Proposed";#N/A,#N/A,FALSE,"F3-Current";#N/A,#N/A,FALSE,"F4-Current";#N/A,#N/A,FALSE,"F4-Proposed";#N/A,#N/A,FALSE,"Controls"}</definedName>
    <definedName name="_________OP1" localSheetId="3">#REF!</definedName>
    <definedName name="_________OP1" localSheetId="7">#REF!</definedName>
    <definedName name="_________OP1" localSheetId="9">#REF!</definedName>
    <definedName name="_________OP1" localSheetId="10">#REF!</definedName>
    <definedName name="_________OP1" localSheetId="15">#REF!</definedName>
    <definedName name="_________OP1" localSheetId="19">#REF!</definedName>
    <definedName name="_________OP1" localSheetId="20">#REF!</definedName>
    <definedName name="_________OP1" localSheetId="24">#REF!</definedName>
    <definedName name="_________OP1" localSheetId="104">#REF!</definedName>
    <definedName name="_________OP1" localSheetId="65">#REF!</definedName>
    <definedName name="_________OP1" localSheetId="64">#REF!</definedName>
    <definedName name="_________OP1" localSheetId="77">#REF!</definedName>
    <definedName name="_________OP1" localSheetId="49">#REF!</definedName>
    <definedName name="_________OP1" localSheetId="40">#REF!</definedName>
    <definedName name="_________OP1" localSheetId="43">#REF!</definedName>
    <definedName name="_________OP1" localSheetId="13">#REF!</definedName>
    <definedName name="_________OP1" localSheetId="38">#REF!</definedName>
    <definedName name="_________OP1">#REF!</definedName>
    <definedName name="_________OP10" localSheetId="3">#REF!</definedName>
    <definedName name="_________OP10" localSheetId="7">#REF!</definedName>
    <definedName name="_________OP10" localSheetId="9">#REF!</definedName>
    <definedName name="_________OP10" localSheetId="10">#REF!</definedName>
    <definedName name="_________OP10" localSheetId="15">#REF!</definedName>
    <definedName name="_________OP10" localSheetId="19">#REF!</definedName>
    <definedName name="_________OP10" localSheetId="20">#REF!</definedName>
    <definedName name="_________OP10" localSheetId="24">#REF!</definedName>
    <definedName name="_________OP10" localSheetId="104">#REF!</definedName>
    <definedName name="_________OP10" localSheetId="65">#REF!</definedName>
    <definedName name="_________OP10" localSheetId="64">#REF!</definedName>
    <definedName name="_________OP10" localSheetId="77">#REF!</definedName>
    <definedName name="_________OP10" localSheetId="49">#REF!</definedName>
    <definedName name="_________OP10" localSheetId="40">#REF!</definedName>
    <definedName name="_________OP10" localSheetId="43">#REF!</definedName>
    <definedName name="_________OP10" localSheetId="13">#REF!</definedName>
    <definedName name="_________OP10" localSheetId="38">#REF!</definedName>
    <definedName name="_________OP10">#REF!</definedName>
    <definedName name="_________OP11" localSheetId="3">#REF!</definedName>
    <definedName name="_________OP11" localSheetId="7">#REF!</definedName>
    <definedName name="_________OP11" localSheetId="9">#REF!</definedName>
    <definedName name="_________OP11" localSheetId="10">#REF!</definedName>
    <definedName name="_________OP11" localSheetId="15">#REF!</definedName>
    <definedName name="_________OP11" localSheetId="19">#REF!</definedName>
    <definedName name="_________OP11" localSheetId="20">#REF!</definedName>
    <definedName name="_________OP11" localSheetId="24">#REF!</definedName>
    <definedName name="_________OP11" localSheetId="104">#REF!</definedName>
    <definedName name="_________OP11" localSheetId="65">#REF!</definedName>
    <definedName name="_________OP11" localSheetId="64">#REF!</definedName>
    <definedName name="_________OP11" localSheetId="77">#REF!</definedName>
    <definedName name="_________OP11" localSheetId="49">#REF!</definedName>
    <definedName name="_________OP11" localSheetId="40">#REF!</definedName>
    <definedName name="_________OP11" localSheetId="43">#REF!</definedName>
    <definedName name="_________OP11" localSheetId="13">#REF!</definedName>
    <definedName name="_________OP11" localSheetId="38">#REF!</definedName>
    <definedName name="_________OP11">#REF!</definedName>
    <definedName name="_________OP12" localSheetId="3">#REF!</definedName>
    <definedName name="_________OP12" localSheetId="7">#REF!</definedName>
    <definedName name="_________OP12" localSheetId="9">#REF!</definedName>
    <definedName name="_________OP12" localSheetId="10">#REF!</definedName>
    <definedName name="_________OP12" localSheetId="15">#REF!</definedName>
    <definedName name="_________OP12" localSheetId="19">#REF!</definedName>
    <definedName name="_________OP12" localSheetId="20">#REF!</definedName>
    <definedName name="_________OP12" localSheetId="24">#REF!</definedName>
    <definedName name="_________OP12" localSheetId="104">#REF!</definedName>
    <definedName name="_________OP12" localSheetId="65">#REF!</definedName>
    <definedName name="_________OP12" localSheetId="64">#REF!</definedName>
    <definedName name="_________OP12" localSheetId="77">#REF!</definedName>
    <definedName name="_________OP12" localSheetId="49">#REF!</definedName>
    <definedName name="_________OP12" localSheetId="40">#REF!</definedName>
    <definedName name="_________OP12" localSheetId="43">#REF!</definedName>
    <definedName name="_________OP12" localSheetId="13">#REF!</definedName>
    <definedName name="_________OP12" localSheetId="38">#REF!</definedName>
    <definedName name="_________OP12">#REF!</definedName>
    <definedName name="_________OP13" localSheetId="3">#REF!</definedName>
    <definedName name="_________OP13" localSheetId="7">#REF!</definedName>
    <definedName name="_________OP13" localSheetId="9">#REF!</definedName>
    <definedName name="_________OP13" localSheetId="10">#REF!</definedName>
    <definedName name="_________OP13" localSheetId="15">#REF!</definedName>
    <definedName name="_________OP13" localSheetId="19">#REF!</definedName>
    <definedName name="_________OP13" localSheetId="20">#REF!</definedName>
    <definedName name="_________OP13" localSheetId="24">#REF!</definedName>
    <definedName name="_________OP13" localSheetId="104">#REF!</definedName>
    <definedName name="_________OP13" localSheetId="65">#REF!</definedName>
    <definedName name="_________OP13" localSheetId="64">#REF!</definedName>
    <definedName name="_________OP13" localSheetId="77">#REF!</definedName>
    <definedName name="_________OP13" localSheetId="49">#REF!</definedName>
    <definedName name="_________OP13" localSheetId="40">#REF!</definedName>
    <definedName name="_________OP13" localSheetId="43">#REF!</definedName>
    <definedName name="_________OP13" localSheetId="13">#REF!</definedName>
    <definedName name="_________OP13" localSheetId="38">#REF!</definedName>
    <definedName name="_________OP13">#REF!</definedName>
    <definedName name="_________OP14" localSheetId="3">#REF!</definedName>
    <definedName name="_________OP14" localSheetId="7">#REF!</definedName>
    <definedName name="_________OP14" localSheetId="9">#REF!</definedName>
    <definedName name="_________OP14" localSheetId="10">#REF!</definedName>
    <definedName name="_________OP14" localSheetId="15">#REF!</definedName>
    <definedName name="_________OP14" localSheetId="19">#REF!</definedName>
    <definedName name="_________OP14" localSheetId="20">#REF!</definedName>
    <definedName name="_________OP14" localSheetId="24">#REF!</definedName>
    <definedName name="_________OP14" localSheetId="104">#REF!</definedName>
    <definedName name="_________OP14" localSheetId="65">#REF!</definedName>
    <definedName name="_________OP14" localSheetId="64">#REF!</definedName>
    <definedName name="_________OP14" localSheetId="77">#REF!</definedName>
    <definedName name="_________OP14" localSheetId="49">#REF!</definedName>
    <definedName name="_________OP14" localSheetId="40">#REF!</definedName>
    <definedName name="_________OP14" localSheetId="43">#REF!</definedName>
    <definedName name="_________OP14" localSheetId="13">#REF!</definedName>
    <definedName name="_________OP14" localSheetId="38">#REF!</definedName>
    <definedName name="_________OP14">#REF!</definedName>
    <definedName name="_________OP15" localSheetId="3">#REF!</definedName>
    <definedName name="_________OP15" localSheetId="7">#REF!</definedName>
    <definedName name="_________OP15" localSheetId="9">#REF!</definedName>
    <definedName name="_________OP15" localSheetId="10">#REF!</definedName>
    <definedName name="_________OP15" localSheetId="15">#REF!</definedName>
    <definedName name="_________OP15" localSheetId="19">#REF!</definedName>
    <definedName name="_________OP15" localSheetId="20">#REF!</definedName>
    <definedName name="_________OP15" localSheetId="24">#REF!</definedName>
    <definedName name="_________OP15" localSheetId="104">#REF!</definedName>
    <definedName name="_________OP15" localSheetId="65">#REF!</definedName>
    <definedName name="_________OP15" localSheetId="64">#REF!</definedName>
    <definedName name="_________OP15" localSheetId="77">#REF!</definedName>
    <definedName name="_________OP15" localSheetId="49">#REF!</definedName>
    <definedName name="_________OP15" localSheetId="40">#REF!</definedName>
    <definedName name="_________OP15" localSheetId="43">#REF!</definedName>
    <definedName name="_________OP15" localSheetId="13">#REF!</definedName>
    <definedName name="_________OP15" localSheetId="38">#REF!</definedName>
    <definedName name="_________OP15">#REF!</definedName>
    <definedName name="_________OP2" localSheetId="3">#REF!</definedName>
    <definedName name="_________OP2" localSheetId="7">#REF!</definedName>
    <definedName name="_________OP2" localSheetId="9">#REF!</definedName>
    <definedName name="_________OP2" localSheetId="10">#REF!</definedName>
    <definedName name="_________OP2" localSheetId="15">#REF!</definedName>
    <definedName name="_________OP2" localSheetId="19">#REF!</definedName>
    <definedName name="_________OP2" localSheetId="20">#REF!</definedName>
    <definedName name="_________OP2" localSheetId="24">#REF!</definedName>
    <definedName name="_________OP2" localSheetId="104">#REF!</definedName>
    <definedName name="_________OP2" localSheetId="65">#REF!</definedName>
    <definedName name="_________OP2" localSheetId="64">#REF!</definedName>
    <definedName name="_________OP2" localSheetId="77">#REF!</definedName>
    <definedName name="_________OP2" localSheetId="49">#REF!</definedName>
    <definedName name="_________OP2" localSheetId="40">#REF!</definedName>
    <definedName name="_________OP2" localSheetId="43">#REF!</definedName>
    <definedName name="_________OP2" localSheetId="13">#REF!</definedName>
    <definedName name="_________OP2" localSheetId="38">#REF!</definedName>
    <definedName name="_________OP2">#REF!</definedName>
    <definedName name="_________OP3" localSheetId="3">#REF!</definedName>
    <definedName name="_________OP3" localSheetId="7">#REF!</definedName>
    <definedName name="_________OP3" localSheetId="9">#REF!</definedName>
    <definedName name="_________OP3" localSheetId="10">#REF!</definedName>
    <definedName name="_________OP3" localSheetId="15">#REF!</definedName>
    <definedName name="_________OP3" localSheetId="19">#REF!</definedName>
    <definedName name="_________OP3" localSheetId="20">#REF!</definedName>
    <definedName name="_________OP3" localSheetId="24">#REF!</definedName>
    <definedName name="_________OP3" localSheetId="104">#REF!</definedName>
    <definedName name="_________OP3" localSheetId="65">#REF!</definedName>
    <definedName name="_________OP3" localSheetId="64">#REF!</definedName>
    <definedName name="_________OP3" localSheetId="77">#REF!</definedName>
    <definedName name="_________OP3" localSheetId="49">#REF!</definedName>
    <definedName name="_________OP3" localSheetId="40">#REF!</definedName>
    <definedName name="_________OP3" localSheetId="43">#REF!</definedName>
    <definedName name="_________OP3" localSheetId="13">#REF!</definedName>
    <definedName name="_________OP3" localSheetId="38">#REF!</definedName>
    <definedName name="_________OP3">#REF!</definedName>
    <definedName name="_________OP4" localSheetId="3">#REF!</definedName>
    <definedName name="_________OP4" localSheetId="7">#REF!</definedName>
    <definedName name="_________OP4" localSheetId="9">#REF!</definedName>
    <definedName name="_________OP4" localSheetId="10">#REF!</definedName>
    <definedName name="_________OP4" localSheetId="15">#REF!</definedName>
    <definedName name="_________OP4" localSheetId="19">#REF!</definedName>
    <definedName name="_________OP4" localSheetId="20">#REF!</definedName>
    <definedName name="_________OP4" localSheetId="24">#REF!</definedName>
    <definedName name="_________OP4" localSheetId="104">#REF!</definedName>
    <definedName name="_________OP4" localSheetId="65">#REF!</definedName>
    <definedName name="_________OP4" localSheetId="64">#REF!</definedName>
    <definedName name="_________OP4" localSheetId="77">#REF!</definedName>
    <definedName name="_________OP4" localSheetId="49">#REF!</definedName>
    <definedName name="_________OP4" localSheetId="40">#REF!</definedName>
    <definedName name="_________OP4" localSheetId="43">#REF!</definedName>
    <definedName name="_________OP4" localSheetId="13">#REF!</definedName>
    <definedName name="_________OP4" localSheetId="38">#REF!</definedName>
    <definedName name="_________OP4">#REF!</definedName>
    <definedName name="_________OP5" localSheetId="3">#REF!</definedName>
    <definedName name="_________OP5" localSheetId="7">#REF!</definedName>
    <definedName name="_________OP5" localSheetId="9">#REF!</definedName>
    <definedName name="_________OP5" localSheetId="10">#REF!</definedName>
    <definedName name="_________OP5" localSheetId="15">#REF!</definedName>
    <definedName name="_________OP5" localSheetId="19">#REF!</definedName>
    <definedName name="_________OP5" localSheetId="20">#REF!</definedName>
    <definedName name="_________OP5" localSheetId="24">#REF!</definedName>
    <definedName name="_________OP5" localSheetId="104">#REF!</definedName>
    <definedName name="_________OP5" localSheetId="65">#REF!</definedName>
    <definedName name="_________OP5" localSheetId="64">#REF!</definedName>
    <definedName name="_________OP5" localSheetId="77">#REF!</definedName>
    <definedName name="_________OP5" localSheetId="49">#REF!</definedName>
    <definedName name="_________OP5" localSheetId="40">#REF!</definedName>
    <definedName name="_________OP5" localSheetId="43">#REF!</definedName>
    <definedName name="_________OP5" localSheetId="13">#REF!</definedName>
    <definedName name="_________OP5" localSheetId="38">#REF!</definedName>
    <definedName name="_________OP5">#REF!</definedName>
    <definedName name="_________OP6" localSheetId="3">#REF!</definedName>
    <definedName name="_________OP6" localSheetId="7">#REF!</definedName>
    <definedName name="_________OP6" localSheetId="9">#REF!</definedName>
    <definedName name="_________OP6" localSheetId="10">#REF!</definedName>
    <definedName name="_________OP6" localSheetId="15">#REF!</definedName>
    <definedName name="_________OP6" localSheetId="19">#REF!</definedName>
    <definedName name="_________OP6" localSheetId="20">#REF!</definedName>
    <definedName name="_________OP6" localSheetId="24">#REF!</definedName>
    <definedName name="_________OP6" localSheetId="104">#REF!</definedName>
    <definedName name="_________OP6" localSheetId="65">#REF!</definedName>
    <definedName name="_________OP6" localSheetId="64">#REF!</definedName>
    <definedName name="_________OP6" localSheetId="77">#REF!</definedName>
    <definedName name="_________OP6" localSheetId="49">#REF!</definedName>
    <definedName name="_________OP6" localSheetId="40">#REF!</definedName>
    <definedName name="_________OP6" localSheetId="43">#REF!</definedName>
    <definedName name="_________OP6" localSheetId="13">#REF!</definedName>
    <definedName name="_________OP6" localSheetId="38">#REF!</definedName>
    <definedName name="_________OP6">#REF!</definedName>
    <definedName name="_________OP7" localSheetId="3">#REF!</definedName>
    <definedName name="_________OP7" localSheetId="7">#REF!</definedName>
    <definedName name="_________OP7" localSheetId="9">#REF!</definedName>
    <definedName name="_________OP7" localSheetId="10">#REF!</definedName>
    <definedName name="_________OP7" localSheetId="15">#REF!</definedName>
    <definedName name="_________OP7" localSheetId="19">#REF!</definedName>
    <definedName name="_________OP7" localSheetId="20">#REF!</definedName>
    <definedName name="_________OP7" localSheetId="24">#REF!</definedName>
    <definedName name="_________OP7" localSheetId="104">#REF!</definedName>
    <definedName name="_________OP7" localSheetId="65">#REF!</definedName>
    <definedName name="_________OP7" localSheetId="64">#REF!</definedName>
    <definedName name="_________OP7" localSheetId="77">#REF!</definedName>
    <definedName name="_________OP7" localSheetId="49">#REF!</definedName>
    <definedName name="_________OP7" localSheetId="40">#REF!</definedName>
    <definedName name="_________OP7" localSheetId="43">#REF!</definedName>
    <definedName name="_________OP7" localSheetId="13">#REF!</definedName>
    <definedName name="_________OP7" localSheetId="38">#REF!</definedName>
    <definedName name="_________OP7">#REF!</definedName>
    <definedName name="_________OP8" localSheetId="3">#REF!</definedName>
    <definedName name="_________OP8" localSheetId="7">#REF!</definedName>
    <definedName name="_________OP8" localSheetId="9">#REF!</definedName>
    <definedName name="_________OP8" localSheetId="10">#REF!</definedName>
    <definedName name="_________OP8" localSheetId="15">#REF!</definedName>
    <definedName name="_________OP8" localSheetId="19">#REF!</definedName>
    <definedName name="_________OP8" localSheetId="20">#REF!</definedName>
    <definedName name="_________OP8" localSheetId="24">#REF!</definedName>
    <definedName name="_________OP8" localSheetId="104">#REF!</definedName>
    <definedName name="_________OP8" localSheetId="65">#REF!</definedName>
    <definedName name="_________OP8" localSheetId="64">#REF!</definedName>
    <definedName name="_________OP8" localSheetId="77">#REF!</definedName>
    <definedName name="_________OP8" localSheetId="49">#REF!</definedName>
    <definedName name="_________OP8" localSheetId="40">#REF!</definedName>
    <definedName name="_________OP8" localSheetId="43">#REF!</definedName>
    <definedName name="_________OP8" localSheetId="13">#REF!</definedName>
    <definedName name="_________OP8" localSheetId="38">#REF!</definedName>
    <definedName name="_________OP8">#REF!</definedName>
    <definedName name="_________OP9" localSheetId="3">#REF!</definedName>
    <definedName name="_________OP9" localSheetId="7">#REF!</definedName>
    <definedName name="_________OP9" localSheetId="9">#REF!</definedName>
    <definedName name="_________OP9" localSheetId="10">#REF!</definedName>
    <definedName name="_________OP9" localSheetId="15">#REF!</definedName>
    <definedName name="_________OP9" localSheetId="19">#REF!</definedName>
    <definedName name="_________OP9" localSheetId="20">#REF!</definedName>
    <definedName name="_________OP9" localSheetId="24">#REF!</definedName>
    <definedName name="_________OP9" localSheetId="104">#REF!</definedName>
    <definedName name="_________OP9" localSheetId="65">#REF!</definedName>
    <definedName name="_________OP9" localSheetId="64">#REF!</definedName>
    <definedName name="_________OP9" localSheetId="77">#REF!</definedName>
    <definedName name="_________OP9" localSheetId="49">#REF!</definedName>
    <definedName name="_________OP9" localSheetId="40">#REF!</definedName>
    <definedName name="_________OP9" localSheetId="43">#REF!</definedName>
    <definedName name="_________OP9" localSheetId="13">#REF!</definedName>
    <definedName name="_________OP9" localSheetId="38">#REF!</definedName>
    <definedName name="_________OP9">#REF!</definedName>
    <definedName name="_________PG10" localSheetId="3">#REF!</definedName>
    <definedName name="_________PG10" localSheetId="7">#REF!</definedName>
    <definedName name="_________PG10" localSheetId="9">#REF!</definedName>
    <definedName name="_________PG10" localSheetId="10">#REF!</definedName>
    <definedName name="_________PG10" localSheetId="15">#REF!</definedName>
    <definedName name="_________PG10" localSheetId="19">#REF!</definedName>
    <definedName name="_________PG10" localSheetId="20">#REF!</definedName>
    <definedName name="_________PG10" localSheetId="24">#REF!</definedName>
    <definedName name="_________PG10" localSheetId="104">#REF!</definedName>
    <definedName name="_________PG10" localSheetId="65">#REF!</definedName>
    <definedName name="_________PG10" localSheetId="64">#REF!</definedName>
    <definedName name="_________PG10" localSheetId="77">#REF!</definedName>
    <definedName name="_________PG10" localSheetId="49">#REF!</definedName>
    <definedName name="_________PG10" localSheetId="40">#REF!</definedName>
    <definedName name="_________PG10" localSheetId="43">#REF!</definedName>
    <definedName name="_________PG10" localSheetId="13">#REF!</definedName>
    <definedName name="_________PG10" localSheetId="38">#REF!</definedName>
    <definedName name="_________PG10">#REF!</definedName>
    <definedName name="_________PG2" localSheetId="3">#REF!</definedName>
    <definedName name="_________PG2" localSheetId="7">#REF!</definedName>
    <definedName name="_________PG2" localSheetId="9">#REF!</definedName>
    <definedName name="_________PG2" localSheetId="10">#REF!</definedName>
    <definedName name="_________PG2" localSheetId="15">#REF!</definedName>
    <definedName name="_________PG2" localSheetId="19">#REF!</definedName>
    <definedName name="_________PG2" localSheetId="20">#REF!</definedName>
    <definedName name="_________PG2" localSheetId="24">#REF!</definedName>
    <definedName name="_________PG2" localSheetId="104">#REF!</definedName>
    <definedName name="_________PG2" localSheetId="65">#REF!</definedName>
    <definedName name="_________PG2" localSheetId="64">#REF!</definedName>
    <definedName name="_________PG2" localSheetId="77">#REF!</definedName>
    <definedName name="_________PG2" localSheetId="49">#REF!</definedName>
    <definedName name="_________PG2" localSheetId="40">#REF!</definedName>
    <definedName name="_________PG2" localSheetId="43">#REF!</definedName>
    <definedName name="_________PG2" localSheetId="13">#REF!</definedName>
    <definedName name="_________PG2" localSheetId="38">#REF!</definedName>
    <definedName name="_________PG2">#REF!</definedName>
    <definedName name="_________PG5" localSheetId="3">#REF!</definedName>
    <definedName name="_________PG5" localSheetId="7">#REF!</definedName>
    <definedName name="_________PG5" localSheetId="9">#REF!</definedName>
    <definedName name="_________PG5" localSheetId="10">#REF!</definedName>
    <definedName name="_________PG5" localSheetId="15">#REF!</definedName>
    <definedName name="_________PG5" localSheetId="19">#REF!</definedName>
    <definedName name="_________PG5" localSheetId="20">#REF!</definedName>
    <definedName name="_________PG5" localSheetId="24">#REF!</definedName>
    <definedName name="_________PG5" localSheetId="104">#REF!</definedName>
    <definedName name="_________PG5" localSheetId="65">#REF!</definedName>
    <definedName name="_________PG5" localSheetId="64">#REF!</definedName>
    <definedName name="_________PG5" localSheetId="77">#REF!</definedName>
    <definedName name="_________PG5" localSheetId="49">#REF!</definedName>
    <definedName name="_________PG5" localSheetId="40">#REF!</definedName>
    <definedName name="_________PG5" localSheetId="43">#REF!</definedName>
    <definedName name="_________PG5" localSheetId="13">#REF!</definedName>
    <definedName name="_________PG5" localSheetId="38">#REF!</definedName>
    <definedName name="_________PG5">#REF!</definedName>
    <definedName name="_________PG8" localSheetId="3">#REF!</definedName>
    <definedName name="_________PG8" localSheetId="7">#REF!</definedName>
    <definedName name="_________PG8" localSheetId="9">#REF!</definedName>
    <definedName name="_________PG8" localSheetId="10">#REF!</definedName>
    <definedName name="_________PG8" localSheetId="15">#REF!</definedName>
    <definedName name="_________PG8" localSheetId="19">#REF!</definedName>
    <definedName name="_________PG8" localSheetId="20">#REF!</definedName>
    <definedName name="_________PG8" localSheetId="24">#REF!</definedName>
    <definedName name="_________PG8" localSheetId="104">#REF!</definedName>
    <definedName name="_________PG8" localSheetId="65">#REF!</definedName>
    <definedName name="_________PG8" localSheetId="64">#REF!</definedName>
    <definedName name="_________PG8" localSheetId="77">#REF!</definedName>
    <definedName name="_________PG8" localSheetId="49">#REF!</definedName>
    <definedName name="_________PG8" localSheetId="40">#REF!</definedName>
    <definedName name="_________PG8" localSheetId="43">#REF!</definedName>
    <definedName name="_________PG8" localSheetId="13">#REF!</definedName>
    <definedName name="_________PG8" localSheetId="38">#REF!</definedName>
    <definedName name="_________PG8">#REF!</definedName>
    <definedName name="_________PG9" localSheetId="3">#REF!</definedName>
    <definedName name="_________PG9" localSheetId="7">#REF!</definedName>
    <definedName name="_________PG9" localSheetId="9">#REF!</definedName>
    <definedName name="_________PG9" localSheetId="10">#REF!</definedName>
    <definedName name="_________PG9" localSheetId="15">#REF!</definedName>
    <definedName name="_________PG9" localSheetId="19">#REF!</definedName>
    <definedName name="_________PG9" localSheetId="20">#REF!</definedName>
    <definedName name="_________PG9" localSheetId="24">#REF!</definedName>
    <definedName name="_________PG9" localSheetId="104">#REF!</definedName>
    <definedName name="_________PG9" localSheetId="65">#REF!</definedName>
    <definedName name="_________PG9" localSheetId="64">#REF!</definedName>
    <definedName name="_________PG9" localSheetId="77">#REF!</definedName>
    <definedName name="_________PG9" localSheetId="49">#REF!</definedName>
    <definedName name="_________PG9" localSheetId="40">#REF!</definedName>
    <definedName name="_________PG9" localSheetId="43">#REF!</definedName>
    <definedName name="_________PG9" localSheetId="13">#REF!</definedName>
    <definedName name="_________PG9" localSheetId="38">#REF!</definedName>
    <definedName name="_________PG9">#REF!</definedName>
    <definedName name="________kb2" localSheetId="105" hidden="1">{#N/A,#N/A,FALSE,"F1-Currrent";#N/A,#N/A,FALSE,"F2-Current";#N/A,#N/A,FALSE,"F2-Proposed";#N/A,#N/A,FALSE,"F3-Current";#N/A,#N/A,FALSE,"F4-Current";#N/A,#N/A,FALSE,"F4-Proposed";#N/A,#N/A,FALSE,"Controls"}</definedName>
    <definedName name="________kb2" localSheetId="96" hidden="1">{#N/A,#N/A,FALSE,"F1-Currrent";#N/A,#N/A,FALSE,"F2-Current";#N/A,#N/A,FALSE,"F2-Proposed";#N/A,#N/A,FALSE,"F3-Current";#N/A,#N/A,FALSE,"F4-Current";#N/A,#N/A,FALSE,"F4-Proposed";#N/A,#N/A,FALSE,"Controls"}</definedName>
    <definedName name="________kb2" localSheetId="44" hidden="1">{#N/A,#N/A,FALSE,"F1-Currrent";#N/A,#N/A,FALSE,"F2-Current";#N/A,#N/A,FALSE,"F2-Proposed";#N/A,#N/A,FALSE,"F3-Current";#N/A,#N/A,FALSE,"F4-Current";#N/A,#N/A,FALSE,"F4-Proposed";#N/A,#N/A,FALSE,"Controls"}</definedName>
    <definedName name="________kb2" hidden="1">{#N/A,#N/A,FALSE,"F1-Currrent";#N/A,#N/A,FALSE,"F2-Current";#N/A,#N/A,FALSE,"F2-Proposed";#N/A,#N/A,FALSE,"F3-Current";#N/A,#N/A,FALSE,"F4-Current";#N/A,#N/A,FALSE,"F4-Proposed";#N/A,#N/A,FALSE,"Controls"}</definedName>
    <definedName name="________OP1" localSheetId="3">#REF!</definedName>
    <definedName name="________OP1" localSheetId="7">#REF!</definedName>
    <definedName name="________OP1" localSheetId="9">#REF!</definedName>
    <definedName name="________OP1" localSheetId="10">#REF!</definedName>
    <definedName name="________OP1" localSheetId="15">#REF!</definedName>
    <definedName name="________OP1" localSheetId="19">#REF!</definedName>
    <definedName name="________OP1" localSheetId="20">#REF!</definedName>
    <definedName name="________OP1" localSheetId="24">#REF!</definedName>
    <definedName name="________OP1" localSheetId="104">#REF!</definedName>
    <definedName name="________OP1" localSheetId="65">#REF!</definedName>
    <definedName name="________OP1" localSheetId="64">#REF!</definedName>
    <definedName name="________OP1" localSheetId="77">#REF!</definedName>
    <definedName name="________OP1" localSheetId="49">#REF!</definedName>
    <definedName name="________OP1" localSheetId="40">#REF!</definedName>
    <definedName name="________OP1" localSheetId="43">#REF!</definedName>
    <definedName name="________OP1" localSheetId="13">#REF!</definedName>
    <definedName name="________OP1" localSheetId="38">#REF!</definedName>
    <definedName name="________OP1">#REF!</definedName>
    <definedName name="________OP10" localSheetId="3">#REF!</definedName>
    <definedName name="________OP10" localSheetId="7">#REF!</definedName>
    <definedName name="________OP10" localSheetId="9">#REF!</definedName>
    <definedName name="________OP10" localSheetId="10">#REF!</definedName>
    <definedName name="________OP10" localSheetId="15">#REF!</definedName>
    <definedName name="________OP10" localSheetId="19">#REF!</definedName>
    <definedName name="________OP10" localSheetId="20">#REF!</definedName>
    <definedName name="________OP10" localSheetId="24">#REF!</definedName>
    <definedName name="________OP10" localSheetId="104">#REF!</definedName>
    <definedName name="________OP10" localSheetId="65">#REF!</definedName>
    <definedName name="________OP10" localSheetId="64">#REF!</definedName>
    <definedName name="________OP10" localSheetId="77">#REF!</definedName>
    <definedName name="________OP10" localSheetId="49">#REF!</definedName>
    <definedName name="________OP10" localSheetId="40">#REF!</definedName>
    <definedName name="________OP10" localSheetId="43">#REF!</definedName>
    <definedName name="________OP10" localSheetId="13">#REF!</definedName>
    <definedName name="________OP10" localSheetId="38">#REF!</definedName>
    <definedName name="________OP10">#REF!</definedName>
    <definedName name="________OP11" localSheetId="3">#REF!</definedName>
    <definedName name="________OP11" localSheetId="7">#REF!</definedName>
    <definedName name="________OP11" localSheetId="9">#REF!</definedName>
    <definedName name="________OP11" localSheetId="10">#REF!</definedName>
    <definedName name="________OP11" localSheetId="15">#REF!</definedName>
    <definedName name="________OP11" localSheetId="19">#REF!</definedName>
    <definedName name="________OP11" localSheetId="20">#REF!</definedName>
    <definedName name="________OP11" localSheetId="24">#REF!</definedName>
    <definedName name="________OP11" localSheetId="104">#REF!</definedName>
    <definedName name="________OP11" localSheetId="65">#REF!</definedName>
    <definedName name="________OP11" localSheetId="64">#REF!</definedName>
    <definedName name="________OP11" localSheetId="77">#REF!</definedName>
    <definedName name="________OP11" localSheetId="49">#REF!</definedName>
    <definedName name="________OP11" localSheetId="40">#REF!</definedName>
    <definedName name="________OP11" localSheetId="43">#REF!</definedName>
    <definedName name="________OP11" localSheetId="13">#REF!</definedName>
    <definedName name="________OP11" localSheetId="38">#REF!</definedName>
    <definedName name="________OP11">#REF!</definedName>
    <definedName name="________OP12" localSheetId="3">#REF!</definedName>
    <definedName name="________OP12" localSheetId="7">#REF!</definedName>
    <definedName name="________OP12" localSheetId="9">#REF!</definedName>
    <definedName name="________OP12" localSheetId="10">#REF!</definedName>
    <definedName name="________OP12" localSheetId="15">#REF!</definedName>
    <definedName name="________OP12" localSheetId="19">#REF!</definedName>
    <definedName name="________OP12" localSheetId="20">#REF!</definedName>
    <definedName name="________OP12" localSheetId="24">#REF!</definedName>
    <definedName name="________OP12" localSheetId="104">#REF!</definedName>
    <definedName name="________OP12" localSheetId="65">#REF!</definedName>
    <definedName name="________OP12" localSheetId="64">#REF!</definedName>
    <definedName name="________OP12" localSheetId="77">#REF!</definedName>
    <definedName name="________OP12" localSheetId="49">#REF!</definedName>
    <definedName name="________OP12" localSheetId="40">#REF!</definedName>
    <definedName name="________OP12" localSheetId="43">#REF!</definedName>
    <definedName name="________OP12" localSheetId="13">#REF!</definedName>
    <definedName name="________OP12" localSheetId="38">#REF!</definedName>
    <definedName name="________OP12">#REF!</definedName>
    <definedName name="________OP13" localSheetId="3">#REF!</definedName>
    <definedName name="________OP13" localSheetId="7">#REF!</definedName>
    <definedName name="________OP13" localSheetId="9">#REF!</definedName>
    <definedName name="________OP13" localSheetId="10">#REF!</definedName>
    <definedName name="________OP13" localSheetId="15">#REF!</definedName>
    <definedName name="________OP13" localSheetId="19">#REF!</definedName>
    <definedName name="________OP13" localSheetId="20">#REF!</definedName>
    <definedName name="________OP13" localSheetId="24">#REF!</definedName>
    <definedName name="________OP13" localSheetId="104">#REF!</definedName>
    <definedName name="________OP13" localSheetId="65">#REF!</definedName>
    <definedName name="________OP13" localSheetId="64">#REF!</definedName>
    <definedName name="________OP13" localSheetId="77">#REF!</definedName>
    <definedName name="________OP13" localSheetId="49">#REF!</definedName>
    <definedName name="________OP13" localSheetId="40">#REF!</definedName>
    <definedName name="________OP13" localSheetId="43">#REF!</definedName>
    <definedName name="________OP13" localSheetId="13">#REF!</definedName>
    <definedName name="________OP13" localSheetId="38">#REF!</definedName>
    <definedName name="________OP13">#REF!</definedName>
    <definedName name="________OP14" localSheetId="3">#REF!</definedName>
    <definedName name="________OP14" localSheetId="7">#REF!</definedName>
    <definedName name="________OP14" localSheetId="9">#REF!</definedName>
    <definedName name="________OP14" localSheetId="10">#REF!</definedName>
    <definedName name="________OP14" localSheetId="15">#REF!</definedName>
    <definedName name="________OP14" localSheetId="19">#REF!</definedName>
    <definedName name="________OP14" localSheetId="20">#REF!</definedName>
    <definedName name="________OP14" localSheetId="24">#REF!</definedName>
    <definedName name="________OP14" localSheetId="104">#REF!</definedName>
    <definedName name="________OP14" localSheetId="65">#REF!</definedName>
    <definedName name="________OP14" localSheetId="64">#REF!</definedName>
    <definedName name="________OP14" localSheetId="77">#REF!</definedName>
    <definedName name="________OP14" localSheetId="49">#REF!</definedName>
    <definedName name="________OP14" localSheetId="40">#REF!</definedName>
    <definedName name="________OP14" localSheetId="43">#REF!</definedName>
    <definedName name="________OP14" localSheetId="13">#REF!</definedName>
    <definedName name="________OP14" localSheetId="38">#REF!</definedName>
    <definedName name="________OP14">#REF!</definedName>
    <definedName name="________OP15" localSheetId="3">#REF!</definedName>
    <definedName name="________OP15" localSheetId="7">#REF!</definedName>
    <definedName name="________OP15" localSheetId="9">#REF!</definedName>
    <definedName name="________OP15" localSheetId="10">#REF!</definedName>
    <definedName name="________OP15" localSheetId="15">#REF!</definedName>
    <definedName name="________OP15" localSheetId="19">#REF!</definedName>
    <definedName name="________OP15" localSheetId="20">#REF!</definedName>
    <definedName name="________OP15" localSheetId="24">#REF!</definedName>
    <definedName name="________OP15" localSheetId="104">#REF!</definedName>
    <definedName name="________OP15" localSheetId="65">#REF!</definedName>
    <definedName name="________OP15" localSheetId="64">#REF!</definedName>
    <definedName name="________OP15" localSheetId="77">#REF!</definedName>
    <definedName name="________OP15" localSheetId="49">#REF!</definedName>
    <definedName name="________OP15" localSheetId="40">#REF!</definedName>
    <definedName name="________OP15" localSheetId="43">#REF!</definedName>
    <definedName name="________OP15" localSheetId="13">#REF!</definedName>
    <definedName name="________OP15" localSheetId="38">#REF!</definedName>
    <definedName name="________OP15">#REF!</definedName>
    <definedName name="________OP2" localSheetId="3">#REF!</definedName>
    <definedName name="________OP2" localSheetId="7">#REF!</definedName>
    <definedName name="________OP2" localSheetId="9">#REF!</definedName>
    <definedName name="________OP2" localSheetId="10">#REF!</definedName>
    <definedName name="________OP2" localSheetId="15">#REF!</definedName>
    <definedName name="________OP2" localSheetId="19">#REF!</definedName>
    <definedName name="________OP2" localSheetId="20">#REF!</definedName>
    <definedName name="________OP2" localSheetId="24">#REF!</definedName>
    <definedName name="________OP2" localSheetId="104">#REF!</definedName>
    <definedName name="________OP2" localSheetId="65">#REF!</definedName>
    <definedName name="________OP2" localSheetId="64">#REF!</definedName>
    <definedName name="________OP2" localSheetId="77">#REF!</definedName>
    <definedName name="________OP2" localSheetId="49">#REF!</definedName>
    <definedName name="________OP2" localSheetId="40">#REF!</definedName>
    <definedName name="________OP2" localSheetId="43">#REF!</definedName>
    <definedName name="________OP2" localSheetId="13">#REF!</definedName>
    <definedName name="________OP2" localSheetId="38">#REF!</definedName>
    <definedName name="________OP2">#REF!</definedName>
    <definedName name="________OP3" localSheetId="3">#REF!</definedName>
    <definedName name="________OP3" localSheetId="7">#REF!</definedName>
    <definedName name="________OP3" localSheetId="9">#REF!</definedName>
    <definedName name="________OP3" localSheetId="10">#REF!</definedName>
    <definedName name="________OP3" localSheetId="15">#REF!</definedName>
    <definedName name="________OP3" localSheetId="19">#REF!</definedName>
    <definedName name="________OP3" localSheetId="20">#REF!</definedName>
    <definedName name="________OP3" localSheetId="24">#REF!</definedName>
    <definedName name="________OP3" localSheetId="104">#REF!</definedName>
    <definedName name="________OP3" localSheetId="65">#REF!</definedName>
    <definedName name="________OP3" localSheetId="64">#REF!</definedName>
    <definedName name="________OP3" localSheetId="77">#REF!</definedName>
    <definedName name="________OP3" localSheetId="49">#REF!</definedName>
    <definedName name="________OP3" localSheetId="40">#REF!</definedName>
    <definedName name="________OP3" localSheetId="43">#REF!</definedName>
    <definedName name="________OP3" localSheetId="13">#REF!</definedName>
    <definedName name="________OP3" localSheetId="38">#REF!</definedName>
    <definedName name="________OP3">#REF!</definedName>
    <definedName name="________OP4" localSheetId="3">#REF!</definedName>
    <definedName name="________OP4" localSheetId="7">#REF!</definedName>
    <definedName name="________OP4" localSheetId="9">#REF!</definedName>
    <definedName name="________OP4" localSheetId="10">#REF!</definedName>
    <definedName name="________OP4" localSheetId="15">#REF!</definedName>
    <definedName name="________OP4" localSheetId="19">#REF!</definedName>
    <definedName name="________OP4" localSheetId="20">#REF!</definedName>
    <definedName name="________OP4" localSheetId="24">#REF!</definedName>
    <definedName name="________OP4" localSheetId="104">#REF!</definedName>
    <definedName name="________OP4" localSheetId="65">#REF!</definedName>
    <definedName name="________OP4" localSheetId="64">#REF!</definedName>
    <definedName name="________OP4" localSheetId="77">#REF!</definedName>
    <definedName name="________OP4" localSheetId="49">#REF!</definedName>
    <definedName name="________OP4" localSheetId="40">#REF!</definedName>
    <definedName name="________OP4" localSheetId="43">#REF!</definedName>
    <definedName name="________OP4" localSheetId="13">#REF!</definedName>
    <definedName name="________OP4" localSheetId="38">#REF!</definedName>
    <definedName name="________OP4">#REF!</definedName>
    <definedName name="________OP5" localSheetId="3">#REF!</definedName>
    <definedName name="________OP5" localSheetId="7">#REF!</definedName>
    <definedName name="________OP5" localSheetId="9">#REF!</definedName>
    <definedName name="________OP5" localSheetId="10">#REF!</definedName>
    <definedName name="________OP5" localSheetId="15">#REF!</definedName>
    <definedName name="________OP5" localSheetId="19">#REF!</definedName>
    <definedName name="________OP5" localSheetId="20">#REF!</definedName>
    <definedName name="________OP5" localSheetId="24">#REF!</definedName>
    <definedName name="________OP5" localSheetId="104">#REF!</definedName>
    <definedName name="________OP5" localSheetId="65">#REF!</definedName>
    <definedName name="________OP5" localSheetId="64">#REF!</definedName>
    <definedName name="________OP5" localSheetId="77">#REF!</definedName>
    <definedName name="________OP5" localSheetId="49">#REF!</definedName>
    <definedName name="________OP5" localSheetId="40">#REF!</definedName>
    <definedName name="________OP5" localSheetId="43">#REF!</definedName>
    <definedName name="________OP5" localSheetId="13">#REF!</definedName>
    <definedName name="________OP5" localSheetId="38">#REF!</definedName>
    <definedName name="________OP5">#REF!</definedName>
    <definedName name="________OP6" localSheetId="3">#REF!</definedName>
    <definedName name="________OP6" localSheetId="7">#REF!</definedName>
    <definedName name="________OP6" localSheetId="9">#REF!</definedName>
    <definedName name="________OP6" localSheetId="10">#REF!</definedName>
    <definedName name="________OP6" localSheetId="15">#REF!</definedName>
    <definedName name="________OP6" localSheetId="19">#REF!</definedName>
    <definedName name="________OP6" localSheetId="20">#REF!</definedName>
    <definedName name="________OP6" localSheetId="24">#REF!</definedName>
    <definedName name="________OP6" localSheetId="104">#REF!</definedName>
    <definedName name="________OP6" localSheetId="65">#REF!</definedName>
    <definedName name="________OP6" localSheetId="64">#REF!</definedName>
    <definedName name="________OP6" localSheetId="77">#REF!</definedName>
    <definedName name="________OP6" localSheetId="49">#REF!</definedName>
    <definedName name="________OP6" localSheetId="40">#REF!</definedName>
    <definedName name="________OP6" localSheetId="43">#REF!</definedName>
    <definedName name="________OP6" localSheetId="13">#REF!</definedName>
    <definedName name="________OP6" localSheetId="38">#REF!</definedName>
    <definedName name="________OP6">#REF!</definedName>
    <definedName name="________OP7" localSheetId="3">#REF!</definedName>
    <definedName name="________OP7" localSheetId="7">#REF!</definedName>
    <definedName name="________OP7" localSheetId="9">#REF!</definedName>
    <definedName name="________OP7" localSheetId="10">#REF!</definedName>
    <definedName name="________OP7" localSheetId="15">#REF!</definedName>
    <definedName name="________OP7" localSheetId="19">#REF!</definedName>
    <definedName name="________OP7" localSheetId="20">#REF!</definedName>
    <definedName name="________OP7" localSheetId="24">#REF!</definedName>
    <definedName name="________OP7" localSheetId="104">#REF!</definedName>
    <definedName name="________OP7" localSheetId="65">#REF!</definedName>
    <definedName name="________OP7" localSheetId="64">#REF!</definedName>
    <definedName name="________OP7" localSheetId="77">#REF!</definedName>
    <definedName name="________OP7" localSheetId="49">#REF!</definedName>
    <definedName name="________OP7" localSheetId="40">#REF!</definedName>
    <definedName name="________OP7" localSheetId="43">#REF!</definedName>
    <definedName name="________OP7" localSheetId="13">#REF!</definedName>
    <definedName name="________OP7" localSheetId="38">#REF!</definedName>
    <definedName name="________OP7">#REF!</definedName>
    <definedName name="________OP8" localSheetId="3">#REF!</definedName>
    <definedName name="________OP8" localSheetId="7">#REF!</definedName>
    <definedName name="________OP8" localSheetId="9">#REF!</definedName>
    <definedName name="________OP8" localSheetId="10">#REF!</definedName>
    <definedName name="________OP8" localSheetId="15">#REF!</definedName>
    <definedName name="________OP8" localSheetId="19">#REF!</definedName>
    <definedName name="________OP8" localSheetId="20">#REF!</definedName>
    <definedName name="________OP8" localSheetId="24">#REF!</definedName>
    <definedName name="________OP8" localSheetId="104">#REF!</definedName>
    <definedName name="________OP8" localSheetId="65">#REF!</definedName>
    <definedName name="________OP8" localSheetId="64">#REF!</definedName>
    <definedName name="________OP8" localSheetId="77">#REF!</definedName>
    <definedName name="________OP8" localSheetId="49">#REF!</definedName>
    <definedName name="________OP8" localSheetId="40">#REF!</definedName>
    <definedName name="________OP8" localSheetId="43">#REF!</definedName>
    <definedName name="________OP8" localSheetId="13">#REF!</definedName>
    <definedName name="________OP8" localSheetId="38">#REF!</definedName>
    <definedName name="________OP8">#REF!</definedName>
    <definedName name="________OP9" localSheetId="3">#REF!</definedName>
    <definedName name="________OP9" localSheetId="7">#REF!</definedName>
    <definedName name="________OP9" localSheetId="9">#REF!</definedName>
    <definedName name="________OP9" localSheetId="10">#REF!</definedName>
    <definedName name="________OP9" localSheetId="15">#REF!</definedName>
    <definedName name="________OP9" localSheetId="19">#REF!</definedName>
    <definedName name="________OP9" localSheetId="20">#REF!</definedName>
    <definedName name="________OP9" localSheetId="24">#REF!</definedName>
    <definedName name="________OP9" localSheetId="104">#REF!</definedName>
    <definedName name="________OP9" localSheetId="65">#REF!</definedName>
    <definedName name="________OP9" localSheetId="64">#REF!</definedName>
    <definedName name="________OP9" localSheetId="77">#REF!</definedName>
    <definedName name="________OP9" localSheetId="49">#REF!</definedName>
    <definedName name="________OP9" localSheetId="40">#REF!</definedName>
    <definedName name="________OP9" localSheetId="43">#REF!</definedName>
    <definedName name="________OP9" localSheetId="13">#REF!</definedName>
    <definedName name="________OP9" localSheetId="38">#REF!</definedName>
    <definedName name="________OP9">#REF!</definedName>
    <definedName name="________PG10" localSheetId="3">#REF!</definedName>
    <definedName name="________PG10" localSheetId="7">#REF!</definedName>
    <definedName name="________PG10" localSheetId="9">#REF!</definedName>
    <definedName name="________PG10" localSheetId="10">#REF!</definedName>
    <definedName name="________PG10" localSheetId="15">#REF!</definedName>
    <definedName name="________PG10" localSheetId="19">#REF!</definedName>
    <definedName name="________PG10" localSheetId="20">#REF!</definedName>
    <definedName name="________PG10" localSheetId="24">#REF!</definedName>
    <definedName name="________PG10" localSheetId="104">#REF!</definedName>
    <definedName name="________PG10" localSheetId="65">#REF!</definedName>
    <definedName name="________PG10" localSheetId="64">#REF!</definedName>
    <definedName name="________PG10" localSheetId="77">#REF!</definedName>
    <definedName name="________PG10" localSheetId="49">#REF!</definedName>
    <definedName name="________PG10" localSheetId="40">#REF!</definedName>
    <definedName name="________PG10" localSheetId="43">#REF!</definedName>
    <definedName name="________PG10" localSheetId="13">#REF!</definedName>
    <definedName name="________PG10" localSheetId="38">#REF!</definedName>
    <definedName name="________PG10">#REF!</definedName>
    <definedName name="________PG2" localSheetId="3">#REF!</definedName>
    <definedName name="________PG2" localSheetId="7">#REF!</definedName>
    <definedName name="________PG2" localSheetId="9">#REF!</definedName>
    <definedName name="________PG2" localSheetId="10">#REF!</definedName>
    <definedName name="________PG2" localSheetId="15">#REF!</definedName>
    <definedName name="________PG2" localSheetId="19">#REF!</definedName>
    <definedName name="________PG2" localSheetId="20">#REF!</definedName>
    <definedName name="________PG2" localSheetId="24">#REF!</definedName>
    <definedName name="________PG2" localSheetId="104">#REF!</definedName>
    <definedName name="________PG2" localSheetId="65">#REF!</definedName>
    <definedName name="________PG2" localSheetId="64">#REF!</definedName>
    <definedName name="________PG2" localSheetId="77">#REF!</definedName>
    <definedName name="________PG2" localSheetId="49">#REF!</definedName>
    <definedName name="________PG2" localSheetId="40">#REF!</definedName>
    <definedName name="________PG2" localSheetId="43">#REF!</definedName>
    <definedName name="________PG2" localSheetId="13">#REF!</definedName>
    <definedName name="________PG2" localSheetId="38">#REF!</definedName>
    <definedName name="________PG2">#REF!</definedName>
    <definedName name="________PG5" localSheetId="3">#REF!</definedName>
    <definedName name="________PG5" localSheetId="7">#REF!</definedName>
    <definedName name="________PG5" localSheetId="9">#REF!</definedName>
    <definedName name="________PG5" localSheetId="10">#REF!</definedName>
    <definedName name="________PG5" localSheetId="15">#REF!</definedName>
    <definedName name="________PG5" localSheetId="19">#REF!</definedName>
    <definedName name="________PG5" localSheetId="20">#REF!</definedName>
    <definedName name="________PG5" localSheetId="24">#REF!</definedName>
    <definedName name="________PG5" localSheetId="104">#REF!</definedName>
    <definedName name="________PG5" localSheetId="65">#REF!</definedName>
    <definedName name="________PG5" localSheetId="64">#REF!</definedName>
    <definedName name="________PG5" localSheetId="77">#REF!</definedName>
    <definedName name="________PG5" localSheetId="49">#REF!</definedName>
    <definedName name="________PG5" localSheetId="40">#REF!</definedName>
    <definedName name="________PG5" localSheetId="43">#REF!</definedName>
    <definedName name="________PG5" localSheetId="13">#REF!</definedName>
    <definedName name="________PG5" localSheetId="38">#REF!</definedName>
    <definedName name="________PG5">#REF!</definedName>
    <definedName name="________PG8" localSheetId="3">#REF!</definedName>
    <definedName name="________PG8" localSheetId="7">#REF!</definedName>
    <definedName name="________PG8" localSheetId="9">#REF!</definedName>
    <definedName name="________PG8" localSheetId="10">#REF!</definedName>
    <definedName name="________PG8" localSheetId="15">#REF!</definedName>
    <definedName name="________PG8" localSheetId="19">#REF!</definedName>
    <definedName name="________PG8" localSheetId="20">#REF!</definedName>
    <definedName name="________PG8" localSheetId="24">#REF!</definedName>
    <definedName name="________PG8" localSheetId="104">#REF!</definedName>
    <definedName name="________PG8" localSheetId="65">#REF!</definedName>
    <definedName name="________PG8" localSheetId="64">#REF!</definedName>
    <definedName name="________PG8" localSheetId="77">#REF!</definedName>
    <definedName name="________PG8" localSheetId="49">#REF!</definedName>
    <definedName name="________PG8" localSheetId="40">#REF!</definedName>
    <definedName name="________PG8" localSheetId="43">#REF!</definedName>
    <definedName name="________PG8" localSheetId="13">#REF!</definedName>
    <definedName name="________PG8" localSheetId="38">#REF!</definedName>
    <definedName name="________PG8">#REF!</definedName>
    <definedName name="________PG9" localSheetId="3">#REF!</definedName>
    <definedName name="________PG9" localSheetId="7">#REF!</definedName>
    <definedName name="________PG9" localSheetId="9">#REF!</definedName>
    <definedName name="________PG9" localSheetId="10">#REF!</definedName>
    <definedName name="________PG9" localSheetId="15">#REF!</definedName>
    <definedName name="________PG9" localSheetId="19">#REF!</definedName>
    <definedName name="________PG9" localSheetId="20">#REF!</definedName>
    <definedName name="________PG9" localSheetId="24">#REF!</definedName>
    <definedName name="________PG9" localSheetId="104">#REF!</definedName>
    <definedName name="________PG9" localSheetId="65">#REF!</definedName>
    <definedName name="________PG9" localSheetId="64">#REF!</definedName>
    <definedName name="________PG9" localSheetId="77">#REF!</definedName>
    <definedName name="________PG9" localSheetId="49">#REF!</definedName>
    <definedName name="________PG9" localSheetId="40">#REF!</definedName>
    <definedName name="________PG9" localSheetId="43">#REF!</definedName>
    <definedName name="________PG9" localSheetId="13">#REF!</definedName>
    <definedName name="________PG9" localSheetId="38">#REF!</definedName>
    <definedName name="________PG9">#REF!</definedName>
    <definedName name="_______kb2" localSheetId="105" hidden="1">{#N/A,#N/A,FALSE,"F1-Currrent";#N/A,#N/A,FALSE,"F2-Current";#N/A,#N/A,FALSE,"F2-Proposed";#N/A,#N/A,FALSE,"F3-Current";#N/A,#N/A,FALSE,"F4-Current";#N/A,#N/A,FALSE,"F4-Proposed";#N/A,#N/A,FALSE,"Controls"}</definedName>
    <definedName name="_______kb2" localSheetId="96" hidden="1">{#N/A,#N/A,FALSE,"F1-Currrent";#N/A,#N/A,FALSE,"F2-Current";#N/A,#N/A,FALSE,"F2-Proposed";#N/A,#N/A,FALSE,"F3-Current";#N/A,#N/A,FALSE,"F4-Current";#N/A,#N/A,FALSE,"F4-Proposed";#N/A,#N/A,FALSE,"Controls"}</definedName>
    <definedName name="_______kb2" localSheetId="44" hidden="1">{#N/A,#N/A,FALSE,"F1-Currrent";#N/A,#N/A,FALSE,"F2-Current";#N/A,#N/A,FALSE,"F2-Proposed";#N/A,#N/A,FALSE,"F3-Current";#N/A,#N/A,FALSE,"F4-Current";#N/A,#N/A,FALSE,"F4-Proposed";#N/A,#N/A,FALSE,"Controls"}</definedName>
    <definedName name="_______kb2" hidden="1">{#N/A,#N/A,FALSE,"F1-Currrent";#N/A,#N/A,FALSE,"F2-Current";#N/A,#N/A,FALSE,"F2-Proposed";#N/A,#N/A,FALSE,"F3-Current";#N/A,#N/A,FALSE,"F4-Current";#N/A,#N/A,FALSE,"F4-Proposed";#N/A,#N/A,FALSE,"Controls"}</definedName>
    <definedName name="_______key2" localSheetId="3" hidden="1">#REF!</definedName>
    <definedName name="_______key2" localSheetId="7" hidden="1">#REF!</definedName>
    <definedName name="_______key2" localSheetId="9" hidden="1">#REF!</definedName>
    <definedName name="_______key2" localSheetId="10" hidden="1">#REF!</definedName>
    <definedName name="_______key2" localSheetId="15" hidden="1">#REF!</definedName>
    <definedName name="_______key2" localSheetId="18" hidden="1">#REF!</definedName>
    <definedName name="_______key2" localSheetId="19" hidden="1">#REF!</definedName>
    <definedName name="_______key2" localSheetId="20" hidden="1">#REF!</definedName>
    <definedName name="_______key2" localSheetId="23" hidden="1">#REF!</definedName>
    <definedName name="_______key2" localSheetId="24" hidden="1">#REF!</definedName>
    <definedName name="_______key2" localSheetId="35" hidden="1">#REF!</definedName>
    <definedName name="_______key2" localSheetId="58" hidden="1">#REF!</definedName>
    <definedName name="_______key2" localSheetId="60" hidden="1">#REF!</definedName>
    <definedName name="_______key2" localSheetId="51" hidden="1">#REF!</definedName>
    <definedName name="_______key2" localSheetId="54" hidden="1">#REF!</definedName>
    <definedName name="_______key2" localSheetId="47" hidden="1">#REF!</definedName>
    <definedName name="_______key2" localSheetId="105" hidden="1">#REF!</definedName>
    <definedName name="_______key2" localSheetId="104" hidden="1">#REF!</definedName>
    <definedName name="_______key2" localSheetId="88" hidden="1">#REF!</definedName>
    <definedName name="_______key2" localSheetId="89" hidden="1">#REF!</definedName>
    <definedName name="_______key2" localSheetId="87" hidden="1">#REF!</definedName>
    <definedName name="_______key2" localSheetId="90" hidden="1">#REF!</definedName>
    <definedName name="_______key2" localSheetId="70" hidden="1">#REF!</definedName>
    <definedName name="_______key2" localSheetId="65" hidden="1">#REF!</definedName>
    <definedName name="_______key2" localSheetId="64" hidden="1">#REF!</definedName>
    <definedName name="_______key2" localSheetId="77" hidden="1">#REF!</definedName>
    <definedName name="_______key2" localSheetId="49" hidden="1">#REF!</definedName>
    <definedName name="_______key2" localSheetId="57" hidden="1">#REF!</definedName>
    <definedName name="_______key2" localSheetId="59" hidden="1">#REF!</definedName>
    <definedName name="_______key2" localSheetId="40" hidden="1">#REF!</definedName>
    <definedName name="_______key2" localSheetId="43" hidden="1">#REF!</definedName>
    <definedName name="_______key2" localSheetId="55" hidden="1">#REF!</definedName>
    <definedName name="_______key2" localSheetId="13" hidden="1">#REF!</definedName>
    <definedName name="_______key2" localSheetId="11" hidden="1">#REF!</definedName>
    <definedName name="_______key2" localSheetId="38" hidden="1">#REF!</definedName>
    <definedName name="_______key2" localSheetId="41" hidden="1">#REF!</definedName>
    <definedName name="_______key2" localSheetId="101" hidden="1">#REF!</definedName>
    <definedName name="_______key2" localSheetId="102" hidden="1">#REF!</definedName>
    <definedName name="_______key2" localSheetId="103" hidden="1">#REF!</definedName>
    <definedName name="_______key2" localSheetId="97" hidden="1">#REF!</definedName>
    <definedName name="_______key2" localSheetId="42" hidden="1">#REF!</definedName>
    <definedName name="_______key2" localSheetId="12" hidden="1">#REF!</definedName>
    <definedName name="_______key2" localSheetId="73" hidden="1">#REF!</definedName>
    <definedName name="_______key2" localSheetId="74" hidden="1">#REF!</definedName>
    <definedName name="_______key2" hidden="1">#REF!</definedName>
    <definedName name="_______OP1" localSheetId="3">#REF!</definedName>
    <definedName name="_______OP1" localSheetId="7">#REF!</definedName>
    <definedName name="_______OP1" localSheetId="9">#REF!</definedName>
    <definedName name="_______OP1" localSheetId="10">#REF!</definedName>
    <definedName name="_______OP1" localSheetId="15">#REF!</definedName>
    <definedName name="_______OP1" localSheetId="19">#REF!</definedName>
    <definedName name="_______OP1" localSheetId="20">#REF!</definedName>
    <definedName name="_______OP1" localSheetId="24">#REF!</definedName>
    <definedName name="_______OP1" localSheetId="104">#REF!</definedName>
    <definedName name="_______OP1" localSheetId="65">#REF!</definedName>
    <definedName name="_______OP1" localSheetId="64">#REF!</definedName>
    <definedName name="_______OP1" localSheetId="77">#REF!</definedName>
    <definedName name="_______OP1" localSheetId="49">#REF!</definedName>
    <definedName name="_______OP1" localSheetId="40">#REF!</definedName>
    <definedName name="_______OP1" localSheetId="43">#REF!</definedName>
    <definedName name="_______OP1" localSheetId="13">#REF!</definedName>
    <definedName name="_______OP1" localSheetId="38">#REF!</definedName>
    <definedName name="_______OP1">#REF!</definedName>
    <definedName name="_______OP10" localSheetId="3">#REF!</definedName>
    <definedName name="_______OP10" localSheetId="7">#REF!</definedName>
    <definedName name="_______OP10" localSheetId="9">#REF!</definedName>
    <definedName name="_______OP10" localSheetId="10">#REF!</definedName>
    <definedName name="_______OP10" localSheetId="15">#REF!</definedName>
    <definedName name="_______OP10" localSheetId="19">#REF!</definedName>
    <definedName name="_______OP10" localSheetId="20">#REF!</definedName>
    <definedName name="_______OP10" localSheetId="24">#REF!</definedName>
    <definedName name="_______OP10" localSheetId="104">#REF!</definedName>
    <definedName name="_______OP10" localSheetId="65">#REF!</definedName>
    <definedName name="_______OP10" localSheetId="64">#REF!</definedName>
    <definedName name="_______OP10" localSheetId="77">#REF!</definedName>
    <definedName name="_______OP10" localSheetId="49">#REF!</definedName>
    <definedName name="_______OP10" localSheetId="40">#REF!</definedName>
    <definedName name="_______OP10" localSheetId="43">#REF!</definedName>
    <definedName name="_______OP10" localSheetId="13">#REF!</definedName>
    <definedName name="_______OP10" localSheetId="38">#REF!</definedName>
    <definedName name="_______OP10">#REF!</definedName>
    <definedName name="_______OP11" localSheetId="3">#REF!</definedName>
    <definedName name="_______OP11" localSheetId="7">#REF!</definedName>
    <definedName name="_______OP11" localSheetId="9">#REF!</definedName>
    <definedName name="_______OP11" localSheetId="10">#REF!</definedName>
    <definedName name="_______OP11" localSheetId="15">#REF!</definedName>
    <definedName name="_______OP11" localSheetId="19">#REF!</definedName>
    <definedName name="_______OP11" localSheetId="20">#REF!</definedName>
    <definedName name="_______OP11" localSheetId="24">#REF!</definedName>
    <definedName name="_______OP11" localSheetId="104">#REF!</definedName>
    <definedName name="_______OP11" localSheetId="65">#REF!</definedName>
    <definedName name="_______OP11" localSheetId="64">#REF!</definedName>
    <definedName name="_______OP11" localSheetId="77">#REF!</definedName>
    <definedName name="_______OP11" localSheetId="49">#REF!</definedName>
    <definedName name="_______OP11" localSheetId="40">#REF!</definedName>
    <definedName name="_______OP11" localSheetId="43">#REF!</definedName>
    <definedName name="_______OP11" localSheetId="13">#REF!</definedName>
    <definedName name="_______OP11" localSheetId="38">#REF!</definedName>
    <definedName name="_______OP11">#REF!</definedName>
    <definedName name="_______OP12" localSheetId="3">#REF!</definedName>
    <definedName name="_______OP12" localSheetId="7">#REF!</definedName>
    <definedName name="_______OP12" localSheetId="9">#REF!</definedName>
    <definedName name="_______OP12" localSheetId="10">#REF!</definedName>
    <definedName name="_______OP12" localSheetId="15">#REF!</definedName>
    <definedName name="_______OP12" localSheetId="19">#REF!</definedName>
    <definedName name="_______OP12" localSheetId="20">#REF!</definedName>
    <definedName name="_______OP12" localSheetId="24">#REF!</definedName>
    <definedName name="_______OP12" localSheetId="104">#REF!</definedName>
    <definedName name="_______OP12" localSheetId="65">#REF!</definedName>
    <definedName name="_______OP12" localSheetId="64">#REF!</definedName>
    <definedName name="_______OP12" localSheetId="77">#REF!</definedName>
    <definedName name="_______OP12" localSheetId="49">#REF!</definedName>
    <definedName name="_______OP12" localSheetId="40">#REF!</definedName>
    <definedName name="_______OP12" localSheetId="43">#REF!</definedName>
    <definedName name="_______OP12" localSheetId="13">#REF!</definedName>
    <definedName name="_______OP12" localSheetId="38">#REF!</definedName>
    <definedName name="_______OP12">#REF!</definedName>
    <definedName name="_______OP13" localSheetId="3">#REF!</definedName>
    <definedName name="_______OP13" localSheetId="7">#REF!</definedName>
    <definedName name="_______OP13" localSheetId="9">#REF!</definedName>
    <definedName name="_______OP13" localSheetId="10">#REF!</definedName>
    <definedName name="_______OP13" localSheetId="15">#REF!</definedName>
    <definedName name="_______OP13" localSheetId="19">#REF!</definedName>
    <definedName name="_______OP13" localSheetId="20">#REF!</definedName>
    <definedName name="_______OP13" localSheetId="24">#REF!</definedName>
    <definedName name="_______OP13" localSheetId="104">#REF!</definedName>
    <definedName name="_______OP13" localSheetId="65">#REF!</definedName>
    <definedName name="_______OP13" localSheetId="64">#REF!</definedName>
    <definedName name="_______OP13" localSheetId="77">#REF!</definedName>
    <definedName name="_______OP13" localSheetId="49">#REF!</definedName>
    <definedName name="_______OP13" localSheetId="40">#REF!</definedName>
    <definedName name="_______OP13" localSheetId="43">#REF!</definedName>
    <definedName name="_______OP13" localSheetId="13">#REF!</definedName>
    <definedName name="_______OP13" localSheetId="38">#REF!</definedName>
    <definedName name="_______OP13">#REF!</definedName>
    <definedName name="_______OP14" localSheetId="3">#REF!</definedName>
    <definedName name="_______OP14" localSheetId="7">#REF!</definedName>
    <definedName name="_______OP14" localSheetId="9">#REF!</definedName>
    <definedName name="_______OP14" localSheetId="10">#REF!</definedName>
    <definedName name="_______OP14" localSheetId="15">#REF!</definedName>
    <definedName name="_______OP14" localSheetId="19">#REF!</definedName>
    <definedName name="_______OP14" localSheetId="20">#REF!</definedName>
    <definedName name="_______OP14" localSheetId="24">#REF!</definedName>
    <definedName name="_______OP14" localSheetId="104">#REF!</definedName>
    <definedName name="_______OP14" localSheetId="65">#REF!</definedName>
    <definedName name="_______OP14" localSheetId="64">#REF!</definedName>
    <definedName name="_______OP14" localSheetId="77">#REF!</definedName>
    <definedName name="_______OP14" localSheetId="49">#REF!</definedName>
    <definedName name="_______OP14" localSheetId="40">#REF!</definedName>
    <definedName name="_______OP14" localSheetId="43">#REF!</definedName>
    <definedName name="_______OP14" localSheetId="13">#REF!</definedName>
    <definedName name="_______OP14" localSheetId="38">#REF!</definedName>
    <definedName name="_______OP14">#REF!</definedName>
    <definedName name="_______OP15" localSheetId="3">#REF!</definedName>
    <definedName name="_______OP15" localSheetId="7">#REF!</definedName>
    <definedName name="_______OP15" localSheetId="9">#REF!</definedName>
    <definedName name="_______OP15" localSheetId="10">#REF!</definedName>
    <definedName name="_______OP15" localSheetId="15">#REF!</definedName>
    <definedName name="_______OP15" localSheetId="19">#REF!</definedName>
    <definedName name="_______OP15" localSheetId="20">#REF!</definedName>
    <definedName name="_______OP15" localSheetId="24">#REF!</definedName>
    <definedName name="_______OP15" localSheetId="104">#REF!</definedName>
    <definedName name="_______OP15" localSheetId="65">#REF!</definedName>
    <definedName name="_______OP15" localSheetId="64">#REF!</definedName>
    <definedName name="_______OP15" localSheetId="77">#REF!</definedName>
    <definedName name="_______OP15" localSheetId="49">#REF!</definedName>
    <definedName name="_______OP15" localSheetId="40">#REF!</definedName>
    <definedName name="_______OP15" localSheetId="43">#REF!</definedName>
    <definedName name="_______OP15" localSheetId="13">#REF!</definedName>
    <definedName name="_______OP15" localSheetId="38">#REF!</definedName>
    <definedName name="_______OP15">#REF!</definedName>
    <definedName name="_______OP2" localSheetId="3">#REF!</definedName>
    <definedName name="_______OP2" localSheetId="7">#REF!</definedName>
    <definedName name="_______OP2" localSheetId="9">#REF!</definedName>
    <definedName name="_______OP2" localSheetId="10">#REF!</definedName>
    <definedName name="_______OP2" localSheetId="15">#REF!</definedName>
    <definedName name="_______OP2" localSheetId="19">#REF!</definedName>
    <definedName name="_______OP2" localSheetId="20">#REF!</definedName>
    <definedName name="_______OP2" localSheetId="24">#REF!</definedName>
    <definedName name="_______OP2" localSheetId="104">#REF!</definedName>
    <definedName name="_______OP2" localSheetId="65">#REF!</definedName>
    <definedName name="_______OP2" localSheetId="64">#REF!</definedName>
    <definedName name="_______OP2" localSheetId="77">#REF!</definedName>
    <definedName name="_______OP2" localSheetId="49">#REF!</definedName>
    <definedName name="_______OP2" localSheetId="40">#REF!</definedName>
    <definedName name="_______OP2" localSheetId="43">#REF!</definedName>
    <definedName name="_______OP2" localSheetId="13">#REF!</definedName>
    <definedName name="_______OP2" localSheetId="38">#REF!</definedName>
    <definedName name="_______OP2">#REF!</definedName>
    <definedName name="_______OP3" localSheetId="3">#REF!</definedName>
    <definedName name="_______OP3" localSheetId="7">#REF!</definedName>
    <definedName name="_______OP3" localSheetId="9">#REF!</definedName>
    <definedName name="_______OP3" localSheetId="10">#REF!</definedName>
    <definedName name="_______OP3" localSheetId="15">#REF!</definedName>
    <definedName name="_______OP3" localSheetId="19">#REF!</definedName>
    <definedName name="_______OP3" localSheetId="20">#REF!</definedName>
    <definedName name="_______OP3" localSheetId="24">#REF!</definedName>
    <definedName name="_______OP3" localSheetId="104">#REF!</definedName>
    <definedName name="_______OP3" localSheetId="65">#REF!</definedName>
    <definedName name="_______OP3" localSheetId="64">#REF!</definedName>
    <definedName name="_______OP3" localSheetId="77">#REF!</definedName>
    <definedName name="_______OP3" localSheetId="49">#REF!</definedName>
    <definedName name="_______OP3" localSheetId="40">#REF!</definedName>
    <definedName name="_______OP3" localSheetId="43">#REF!</definedName>
    <definedName name="_______OP3" localSheetId="13">#REF!</definedName>
    <definedName name="_______OP3" localSheetId="38">#REF!</definedName>
    <definedName name="_______OP3">#REF!</definedName>
    <definedName name="_______OP4" localSheetId="3">#REF!</definedName>
    <definedName name="_______OP4" localSheetId="7">#REF!</definedName>
    <definedName name="_______OP4" localSheetId="9">#REF!</definedName>
    <definedName name="_______OP4" localSheetId="10">#REF!</definedName>
    <definedName name="_______OP4" localSheetId="15">#REF!</definedName>
    <definedName name="_______OP4" localSheetId="19">#REF!</definedName>
    <definedName name="_______OP4" localSheetId="20">#REF!</definedName>
    <definedName name="_______OP4" localSheetId="24">#REF!</definedName>
    <definedName name="_______OP4" localSheetId="104">#REF!</definedName>
    <definedName name="_______OP4" localSheetId="65">#REF!</definedName>
    <definedName name="_______OP4" localSheetId="64">#REF!</definedName>
    <definedName name="_______OP4" localSheetId="77">#REF!</definedName>
    <definedName name="_______OP4" localSheetId="49">#REF!</definedName>
    <definedName name="_______OP4" localSheetId="40">#REF!</definedName>
    <definedName name="_______OP4" localSheetId="43">#REF!</definedName>
    <definedName name="_______OP4" localSheetId="13">#REF!</definedName>
    <definedName name="_______OP4" localSheetId="38">#REF!</definedName>
    <definedName name="_______OP4">#REF!</definedName>
    <definedName name="_______OP5" localSheetId="3">#REF!</definedName>
    <definedName name="_______OP5" localSheetId="7">#REF!</definedName>
    <definedName name="_______OP5" localSheetId="9">#REF!</definedName>
    <definedName name="_______OP5" localSheetId="10">#REF!</definedName>
    <definedName name="_______OP5" localSheetId="15">#REF!</definedName>
    <definedName name="_______OP5" localSheetId="19">#REF!</definedName>
    <definedName name="_______OP5" localSheetId="20">#REF!</definedName>
    <definedName name="_______OP5" localSheetId="24">#REF!</definedName>
    <definedName name="_______OP5" localSheetId="104">#REF!</definedName>
    <definedName name="_______OP5" localSheetId="65">#REF!</definedName>
    <definedName name="_______OP5" localSheetId="64">#REF!</definedName>
    <definedName name="_______OP5" localSheetId="77">#REF!</definedName>
    <definedName name="_______OP5" localSheetId="49">#REF!</definedName>
    <definedName name="_______OP5" localSheetId="40">#REF!</definedName>
    <definedName name="_______OP5" localSheetId="43">#REF!</definedName>
    <definedName name="_______OP5" localSheetId="13">#REF!</definedName>
    <definedName name="_______OP5" localSheetId="38">#REF!</definedName>
    <definedName name="_______OP5">#REF!</definedName>
    <definedName name="_______OP6" localSheetId="3">#REF!</definedName>
    <definedName name="_______OP6" localSheetId="7">#REF!</definedName>
    <definedName name="_______OP6" localSheetId="9">#REF!</definedName>
    <definedName name="_______OP6" localSheetId="10">#REF!</definedName>
    <definedName name="_______OP6" localSheetId="15">#REF!</definedName>
    <definedName name="_______OP6" localSheetId="19">#REF!</definedName>
    <definedName name="_______OP6" localSheetId="20">#REF!</definedName>
    <definedName name="_______OP6" localSheetId="24">#REF!</definedName>
    <definedName name="_______OP6" localSheetId="104">#REF!</definedName>
    <definedName name="_______OP6" localSheetId="65">#REF!</definedName>
    <definedName name="_______OP6" localSheetId="64">#REF!</definedName>
    <definedName name="_______OP6" localSheetId="77">#REF!</definedName>
    <definedName name="_______OP6" localSheetId="49">#REF!</definedName>
    <definedName name="_______OP6" localSheetId="40">#REF!</definedName>
    <definedName name="_______OP6" localSheetId="43">#REF!</definedName>
    <definedName name="_______OP6" localSheetId="13">#REF!</definedName>
    <definedName name="_______OP6" localSheetId="38">#REF!</definedName>
    <definedName name="_______OP6">#REF!</definedName>
    <definedName name="_______OP7" localSheetId="3">#REF!</definedName>
    <definedName name="_______OP7" localSheetId="7">#REF!</definedName>
    <definedName name="_______OP7" localSheetId="9">#REF!</definedName>
    <definedName name="_______OP7" localSheetId="10">#REF!</definedName>
    <definedName name="_______OP7" localSheetId="15">#REF!</definedName>
    <definedName name="_______OP7" localSheetId="19">#REF!</definedName>
    <definedName name="_______OP7" localSheetId="20">#REF!</definedName>
    <definedName name="_______OP7" localSheetId="24">#REF!</definedName>
    <definedName name="_______OP7" localSheetId="104">#REF!</definedName>
    <definedName name="_______OP7" localSheetId="65">#REF!</definedName>
    <definedName name="_______OP7" localSheetId="64">#REF!</definedName>
    <definedName name="_______OP7" localSheetId="77">#REF!</definedName>
    <definedName name="_______OP7" localSheetId="49">#REF!</definedName>
    <definedName name="_______OP7" localSheetId="40">#REF!</definedName>
    <definedName name="_______OP7" localSheetId="43">#REF!</definedName>
    <definedName name="_______OP7" localSheetId="13">#REF!</definedName>
    <definedName name="_______OP7" localSheetId="38">#REF!</definedName>
    <definedName name="_______OP7">#REF!</definedName>
    <definedName name="_______OP8" localSheetId="3">#REF!</definedName>
    <definedName name="_______OP8" localSheetId="7">#REF!</definedName>
    <definedName name="_______OP8" localSheetId="9">#REF!</definedName>
    <definedName name="_______OP8" localSheetId="10">#REF!</definedName>
    <definedName name="_______OP8" localSheetId="15">#REF!</definedName>
    <definedName name="_______OP8" localSheetId="19">#REF!</definedName>
    <definedName name="_______OP8" localSheetId="20">#REF!</definedName>
    <definedName name="_______OP8" localSheetId="24">#REF!</definedName>
    <definedName name="_______OP8" localSheetId="104">#REF!</definedName>
    <definedName name="_______OP8" localSheetId="65">#REF!</definedName>
    <definedName name="_______OP8" localSheetId="64">#REF!</definedName>
    <definedName name="_______OP8" localSheetId="77">#REF!</definedName>
    <definedName name="_______OP8" localSheetId="49">#REF!</definedName>
    <definedName name="_______OP8" localSheetId="40">#REF!</definedName>
    <definedName name="_______OP8" localSheetId="43">#REF!</definedName>
    <definedName name="_______OP8" localSheetId="13">#REF!</definedName>
    <definedName name="_______OP8" localSheetId="38">#REF!</definedName>
    <definedName name="_______OP8">#REF!</definedName>
    <definedName name="_______OP9" localSheetId="3">#REF!</definedName>
    <definedName name="_______OP9" localSheetId="7">#REF!</definedName>
    <definedName name="_______OP9" localSheetId="9">#REF!</definedName>
    <definedName name="_______OP9" localSheetId="10">#REF!</definedName>
    <definedName name="_______OP9" localSheetId="15">#REF!</definedName>
    <definedName name="_______OP9" localSheetId="19">#REF!</definedName>
    <definedName name="_______OP9" localSheetId="20">#REF!</definedName>
    <definedName name="_______OP9" localSheetId="24">#REF!</definedName>
    <definedName name="_______OP9" localSheetId="104">#REF!</definedName>
    <definedName name="_______OP9" localSheetId="65">#REF!</definedName>
    <definedName name="_______OP9" localSheetId="64">#REF!</definedName>
    <definedName name="_______OP9" localSheetId="77">#REF!</definedName>
    <definedName name="_______OP9" localSheetId="49">#REF!</definedName>
    <definedName name="_______OP9" localSheetId="40">#REF!</definedName>
    <definedName name="_______OP9" localSheetId="43">#REF!</definedName>
    <definedName name="_______OP9" localSheetId="13">#REF!</definedName>
    <definedName name="_______OP9" localSheetId="38">#REF!</definedName>
    <definedName name="_______OP9">#REF!</definedName>
    <definedName name="_______PG10" localSheetId="3">#REF!</definedName>
    <definedName name="_______PG10" localSheetId="7">#REF!</definedName>
    <definedName name="_______PG10" localSheetId="9">#REF!</definedName>
    <definedName name="_______PG10" localSheetId="10">#REF!</definedName>
    <definedName name="_______PG10" localSheetId="15">#REF!</definedName>
    <definedName name="_______PG10" localSheetId="19">#REF!</definedName>
    <definedName name="_______PG10" localSheetId="20">#REF!</definedName>
    <definedName name="_______PG10" localSheetId="24">#REF!</definedName>
    <definedName name="_______PG10" localSheetId="104">#REF!</definedName>
    <definedName name="_______PG10" localSheetId="65">#REF!</definedName>
    <definedName name="_______PG10" localSheetId="64">#REF!</definedName>
    <definedName name="_______PG10" localSheetId="77">#REF!</definedName>
    <definedName name="_______PG10" localSheetId="49">#REF!</definedName>
    <definedName name="_______PG10" localSheetId="40">#REF!</definedName>
    <definedName name="_______PG10" localSheetId="43">#REF!</definedName>
    <definedName name="_______PG10" localSheetId="13">#REF!</definedName>
    <definedName name="_______PG10" localSheetId="38">#REF!</definedName>
    <definedName name="_______PG10">#REF!</definedName>
    <definedName name="_______PG2" localSheetId="3">#REF!</definedName>
    <definedName name="_______PG2" localSheetId="7">#REF!</definedName>
    <definedName name="_______PG2" localSheetId="9">#REF!</definedName>
    <definedName name="_______PG2" localSheetId="10">#REF!</definedName>
    <definedName name="_______PG2" localSheetId="15">#REF!</definedName>
    <definedName name="_______PG2" localSheetId="19">#REF!</definedName>
    <definedName name="_______PG2" localSheetId="20">#REF!</definedName>
    <definedName name="_______PG2" localSheetId="24">#REF!</definedName>
    <definedName name="_______PG2" localSheetId="104">#REF!</definedName>
    <definedName name="_______PG2" localSheetId="65">#REF!</definedName>
    <definedName name="_______PG2" localSheetId="64">#REF!</definedName>
    <definedName name="_______PG2" localSheetId="77">#REF!</definedName>
    <definedName name="_______PG2" localSheetId="49">#REF!</definedName>
    <definedName name="_______PG2" localSheetId="40">#REF!</definedName>
    <definedName name="_______PG2" localSheetId="43">#REF!</definedName>
    <definedName name="_______PG2" localSheetId="13">#REF!</definedName>
    <definedName name="_______PG2" localSheetId="38">#REF!</definedName>
    <definedName name="_______PG2">#REF!</definedName>
    <definedName name="_______PG5" localSheetId="3">#REF!</definedName>
    <definedName name="_______PG5" localSheetId="7">#REF!</definedName>
    <definedName name="_______PG5" localSheetId="9">#REF!</definedName>
    <definedName name="_______PG5" localSheetId="10">#REF!</definedName>
    <definedName name="_______PG5" localSheetId="15">#REF!</definedName>
    <definedName name="_______PG5" localSheetId="19">#REF!</definedName>
    <definedName name="_______PG5" localSheetId="20">#REF!</definedName>
    <definedName name="_______PG5" localSheetId="24">#REF!</definedName>
    <definedName name="_______PG5" localSheetId="104">#REF!</definedName>
    <definedName name="_______PG5" localSheetId="65">#REF!</definedName>
    <definedName name="_______PG5" localSheetId="64">#REF!</definedName>
    <definedName name="_______PG5" localSheetId="77">#REF!</definedName>
    <definedName name="_______PG5" localSheetId="49">#REF!</definedName>
    <definedName name="_______PG5" localSheetId="40">#REF!</definedName>
    <definedName name="_______PG5" localSheetId="43">#REF!</definedName>
    <definedName name="_______PG5" localSheetId="13">#REF!</definedName>
    <definedName name="_______PG5" localSheetId="38">#REF!</definedName>
    <definedName name="_______PG5">#REF!</definedName>
    <definedName name="_______PG8" localSheetId="3">#REF!</definedName>
    <definedName name="_______PG8" localSheetId="7">#REF!</definedName>
    <definedName name="_______PG8" localSheetId="9">#REF!</definedName>
    <definedName name="_______PG8" localSheetId="10">#REF!</definedName>
    <definedName name="_______PG8" localSheetId="15">#REF!</definedName>
    <definedName name="_______PG8" localSheetId="19">#REF!</definedName>
    <definedName name="_______PG8" localSheetId="20">#REF!</definedName>
    <definedName name="_______PG8" localSheetId="24">#REF!</definedName>
    <definedName name="_______PG8" localSheetId="104">#REF!</definedName>
    <definedName name="_______PG8" localSheetId="65">#REF!</definedName>
    <definedName name="_______PG8" localSheetId="64">#REF!</definedName>
    <definedName name="_______PG8" localSheetId="77">#REF!</definedName>
    <definedName name="_______PG8" localSheetId="49">#REF!</definedName>
    <definedName name="_______PG8" localSheetId="40">#REF!</definedName>
    <definedName name="_______PG8" localSheetId="43">#REF!</definedName>
    <definedName name="_______PG8" localSheetId="13">#REF!</definedName>
    <definedName name="_______PG8" localSheetId="38">#REF!</definedName>
    <definedName name="_______PG8">#REF!</definedName>
    <definedName name="_______PG9" localSheetId="3">#REF!</definedName>
    <definedName name="_______PG9" localSheetId="7">#REF!</definedName>
    <definedName name="_______PG9" localSheetId="9">#REF!</definedName>
    <definedName name="_______PG9" localSheetId="10">#REF!</definedName>
    <definedName name="_______PG9" localSheetId="15">#REF!</definedName>
    <definedName name="_______PG9" localSheetId="19">#REF!</definedName>
    <definedName name="_______PG9" localSheetId="20">#REF!</definedName>
    <definedName name="_______PG9" localSheetId="24">#REF!</definedName>
    <definedName name="_______PG9" localSheetId="104">#REF!</definedName>
    <definedName name="_______PG9" localSheetId="65">#REF!</definedName>
    <definedName name="_______PG9" localSheetId="64">#REF!</definedName>
    <definedName name="_______PG9" localSheetId="77">#REF!</definedName>
    <definedName name="_______PG9" localSheetId="49">#REF!</definedName>
    <definedName name="_______PG9" localSheetId="40">#REF!</definedName>
    <definedName name="_______PG9" localSheetId="43">#REF!</definedName>
    <definedName name="_______PG9" localSheetId="13">#REF!</definedName>
    <definedName name="_______PG9" localSheetId="38">#REF!</definedName>
    <definedName name="_______PG9">#REF!</definedName>
    <definedName name="_______so2" localSheetId="3">#REF!</definedName>
    <definedName name="_______so2" localSheetId="7">#REF!</definedName>
    <definedName name="_______so2" localSheetId="9">#REF!</definedName>
    <definedName name="_______so2" localSheetId="10">#REF!</definedName>
    <definedName name="_______so2" localSheetId="15">#REF!</definedName>
    <definedName name="_______so2" localSheetId="19">#REF!</definedName>
    <definedName name="_______so2" localSheetId="20">#REF!</definedName>
    <definedName name="_______so2" localSheetId="24">#REF!</definedName>
    <definedName name="_______so2" localSheetId="104">#REF!</definedName>
    <definedName name="_______so2" localSheetId="65">#REF!</definedName>
    <definedName name="_______so2" localSheetId="64">#REF!</definedName>
    <definedName name="_______so2" localSheetId="77">#REF!</definedName>
    <definedName name="_______so2" localSheetId="49">#REF!</definedName>
    <definedName name="_______so2" localSheetId="40">#REF!</definedName>
    <definedName name="_______so2" localSheetId="43">#REF!</definedName>
    <definedName name="_______so2" localSheetId="13">#REF!</definedName>
    <definedName name="_______so2" localSheetId="38">#REF!</definedName>
    <definedName name="_______so2">#REF!</definedName>
    <definedName name="______kb2" localSheetId="105" hidden="1">{#N/A,#N/A,FALSE,"F1-Currrent";#N/A,#N/A,FALSE,"F2-Current";#N/A,#N/A,FALSE,"F2-Proposed";#N/A,#N/A,FALSE,"F3-Current";#N/A,#N/A,FALSE,"F4-Current";#N/A,#N/A,FALSE,"F4-Proposed";#N/A,#N/A,FALSE,"Controls"}</definedName>
    <definedName name="______kb2" localSheetId="96" hidden="1">{#N/A,#N/A,FALSE,"F1-Currrent";#N/A,#N/A,FALSE,"F2-Current";#N/A,#N/A,FALSE,"F2-Proposed";#N/A,#N/A,FALSE,"F3-Current";#N/A,#N/A,FALSE,"F4-Current";#N/A,#N/A,FALSE,"F4-Proposed";#N/A,#N/A,FALSE,"Controls"}</definedName>
    <definedName name="______kb2" localSheetId="44" hidden="1">{#N/A,#N/A,FALSE,"F1-Currrent";#N/A,#N/A,FALSE,"F2-Current";#N/A,#N/A,FALSE,"F2-Proposed";#N/A,#N/A,FALSE,"F3-Current";#N/A,#N/A,FALSE,"F4-Current";#N/A,#N/A,FALSE,"F4-Proposed";#N/A,#N/A,FALSE,"Controls"}</definedName>
    <definedName name="______kb2" hidden="1">{#N/A,#N/A,FALSE,"F1-Currrent";#N/A,#N/A,FALSE,"F2-Current";#N/A,#N/A,FALSE,"F2-Proposed";#N/A,#N/A,FALSE,"F3-Current";#N/A,#N/A,FALSE,"F4-Current";#N/A,#N/A,FALSE,"F4-Proposed";#N/A,#N/A,FALSE,"Controls"}</definedName>
    <definedName name="______key2" localSheetId="3" hidden="1">#REF!</definedName>
    <definedName name="______key2" localSheetId="7" hidden="1">#REF!</definedName>
    <definedName name="______key2" localSheetId="9" hidden="1">#REF!</definedName>
    <definedName name="______key2" localSheetId="10" hidden="1">#REF!</definedName>
    <definedName name="______key2" localSheetId="15" hidden="1">#REF!</definedName>
    <definedName name="______key2" localSheetId="18" hidden="1">#REF!</definedName>
    <definedName name="______key2" localSheetId="19" hidden="1">#REF!</definedName>
    <definedName name="______key2" localSheetId="20" hidden="1">#REF!</definedName>
    <definedName name="______key2" localSheetId="23" hidden="1">#REF!</definedName>
    <definedName name="______key2" localSheetId="24" hidden="1">#REF!</definedName>
    <definedName name="______key2" localSheetId="35" hidden="1">#REF!</definedName>
    <definedName name="______key2" localSheetId="58" hidden="1">#REF!</definedName>
    <definedName name="______key2" localSheetId="60" hidden="1">#REF!</definedName>
    <definedName name="______key2" localSheetId="51" hidden="1">#REF!</definedName>
    <definedName name="______key2" localSheetId="54" hidden="1">#REF!</definedName>
    <definedName name="______key2" localSheetId="47" hidden="1">#REF!</definedName>
    <definedName name="______key2" localSheetId="105" hidden="1">#REF!</definedName>
    <definedName name="______key2" localSheetId="104" hidden="1">#REF!</definedName>
    <definedName name="______key2" localSheetId="88" hidden="1">#REF!</definedName>
    <definedName name="______key2" localSheetId="89" hidden="1">#REF!</definedName>
    <definedName name="______key2" localSheetId="87" hidden="1">#REF!</definedName>
    <definedName name="______key2" localSheetId="90" hidden="1">#REF!</definedName>
    <definedName name="______key2" localSheetId="70" hidden="1">#REF!</definedName>
    <definedName name="______key2" localSheetId="65" hidden="1">#REF!</definedName>
    <definedName name="______key2" localSheetId="64" hidden="1">#REF!</definedName>
    <definedName name="______key2" localSheetId="77" hidden="1">#REF!</definedName>
    <definedName name="______key2" localSheetId="49" hidden="1">#REF!</definedName>
    <definedName name="______key2" localSheetId="57" hidden="1">#REF!</definedName>
    <definedName name="______key2" localSheetId="59" hidden="1">#REF!</definedName>
    <definedName name="______key2" localSheetId="40" hidden="1">#REF!</definedName>
    <definedName name="______key2" localSheetId="43" hidden="1">#REF!</definedName>
    <definedName name="______key2" localSheetId="55" hidden="1">#REF!</definedName>
    <definedName name="______key2" localSheetId="13" hidden="1">#REF!</definedName>
    <definedName name="______key2" localSheetId="11" hidden="1">#REF!</definedName>
    <definedName name="______key2" localSheetId="38" hidden="1">#REF!</definedName>
    <definedName name="______key2" localSheetId="41" hidden="1">#REF!</definedName>
    <definedName name="______key2" localSheetId="101" hidden="1">#REF!</definedName>
    <definedName name="______key2" localSheetId="102" hidden="1">#REF!</definedName>
    <definedName name="______key2" localSheetId="103" hidden="1">#REF!</definedName>
    <definedName name="______key2" localSheetId="97" hidden="1">#REF!</definedName>
    <definedName name="______key2" localSheetId="42" hidden="1">#REF!</definedName>
    <definedName name="______key2" localSheetId="12" hidden="1">#REF!</definedName>
    <definedName name="______key2" localSheetId="73" hidden="1">#REF!</definedName>
    <definedName name="______key2" localSheetId="74" hidden="1">#REF!</definedName>
    <definedName name="______key2" hidden="1">#REF!</definedName>
    <definedName name="______OP1" localSheetId="3">#REF!</definedName>
    <definedName name="______OP1" localSheetId="7">#REF!</definedName>
    <definedName name="______OP1" localSheetId="9">#REF!</definedName>
    <definedName name="______OP1" localSheetId="10">#REF!</definedName>
    <definedName name="______OP1" localSheetId="15">#REF!</definedName>
    <definedName name="______OP1" localSheetId="19">#REF!</definedName>
    <definedName name="______OP1" localSheetId="20">#REF!</definedName>
    <definedName name="______OP1" localSheetId="24">#REF!</definedName>
    <definedName name="______OP1" localSheetId="104">#REF!</definedName>
    <definedName name="______OP1" localSheetId="65">#REF!</definedName>
    <definedName name="______OP1" localSheetId="64">#REF!</definedName>
    <definedName name="______OP1" localSheetId="77">#REF!</definedName>
    <definedName name="______OP1" localSheetId="49">#REF!</definedName>
    <definedName name="______OP1" localSheetId="40">#REF!</definedName>
    <definedName name="______OP1" localSheetId="43">#REF!</definedName>
    <definedName name="______OP1" localSheetId="13">#REF!</definedName>
    <definedName name="______OP1" localSheetId="38">#REF!</definedName>
    <definedName name="______OP1">#REF!</definedName>
    <definedName name="______OP10" localSheetId="3">#REF!</definedName>
    <definedName name="______OP10" localSheetId="7">#REF!</definedName>
    <definedName name="______OP10" localSheetId="9">#REF!</definedName>
    <definedName name="______OP10" localSheetId="10">#REF!</definedName>
    <definedName name="______OP10" localSheetId="15">#REF!</definedName>
    <definedName name="______OP10" localSheetId="19">#REF!</definedName>
    <definedName name="______OP10" localSheetId="20">#REF!</definedName>
    <definedName name="______OP10" localSheetId="24">#REF!</definedName>
    <definedName name="______OP10" localSheetId="104">#REF!</definedName>
    <definedName name="______OP10" localSheetId="65">#REF!</definedName>
    <definedName name="______OP10" localSheetId="64">#REF!</definedName>
    <definedName name="______OP10" localSheetId="77">#REF!</definedName>
    <definedName name="______OP10" localSheetId="49">#REF!</definedName>
    <definedName name="______OP10" localSheetId="40">#REF!</definedName>
    <definedName name="______OP10" localSheetId="43">#REF!</definedName>
    <definedName name="______OP10" localSheetId="13">#REF!</definedName>
    <definedName name="______OP10" localSheetId="38">#REF!</definedName>
    <definedName name="______OP10">#REF!</definedName>
    <definedName name="______OP11" localSheetId="3">#REF!</definedName>
    <definedName name="______OP11" localSheetId="7">#REF!</definedName>
    <definedName name="______OP11" localSheetId="9">#REF!</definedName>
    <definedName name="______OP11" localSheetId="10">#REF!</definedName>
    <definedName name="______OP11" localSheetId="15">#REF!</definedName>
    <definedName name="______OP11" localSheetId="19">#REF!</definedName>
    <definedName name="______OP11" localSheetId="20">#REF!</definedName>
    <definedName name="______OP11" localSheetId="24">#REF!</definedName>
    <definedName name="______OP11" localSheetId="104">#REF!</definedName>
    <definedName name="______OP11" localSheetId="65">#REF!</definedName>
    <definedName name="______OP11" localSheetId="64">#REF!</definedName>
    <definedName name="______OP11" localSheetId="77">#REF!</definedName>
    <definedName name="______OP11" localSheetId="49">#REF!</definedName>
    <definedName name="______OP11" localSheetId="40">#REF!</definedName>
    <definedName name="______OP11" localSheetId="43">#REF!</definedName>
    <definedName name="______OP11" localSheetId="13">#REF!</definedName>
    <definedName name="______OP11" localSheetId="38">#REF!</definedName>
    <definedName name="______OP11">#REF!</definedName>
    <definedName name="______OP12" localSheetId="3">#REF!</definedName>
    <definedName name="______OP12" localSheetId="7">#REF!</definedName>
    <definedName name="______OP12" localSheetId="9">#REF!</definedName>
    <definedName name="______OP12" localSheetId="10">#REF!</definedName>
    <definedName name="______OP12" localSheetId="15">#REF!</definedName>
    <definedName name="______OP12" localSheetId="19">#REF!</definedName>
    <definedName name="______OP12" localSheetId="20">#REF!</definedName>
    <definedName name="______OP12" localSheetId="24">#REF!</definedName>
    <definedName name="______OP12" localSheetId="104">#REF!</definedName>
    <definedName name="______OP12" localSheetId="65">#REF!</definedName>
    <definedName name="______OP12" localSheetId="64">#REF!</definedName>
    <definedName name="______OP12" localSheetId="77">#REF!</definedName>
    <definedName name="______OP12" localSheetId="49">#REF!</definedName>
    <definedName name="______OP12" localSheetId="40">#REF!</definedName>
    <definedName name="______OP12" localSheetId="43">#REF!</definedName>
    <definedName name="______OP12" localSheetId="13">#REF!</definedName>
    <definedName name="______OP12" localSheetId="38">#REF!</definedName>
    <definedName name="______OP12">#REF!</definedName>
    <definedName name="______OP13" localSheetId="3">#REF!</definedName>
    <definedName name="______OP13" localSheetId="7">#REF!</definedName>
    <definedName name="______OP13" localSheetId="9">#REF!</definedName>
    <definedName name="______OP13" localSheetId="10">#REF!</definedName>
    <definedName name="______OP13" localSheetId="15">#REF!</definedName>
    <definedName name="______OP13" localSheetId="19">#REF!</definedName>
    <definedName name="______OP13" localSheetId="20">#REF!</definedName>
    <definedName name="______OP13" localSheetId="24">#REF!</definedName>
    <definedName name="______OP13" localSheetId="104">#REF!</definedName>
    <definedName name="______OP13" localSheetId="65">#REF!</definedName>
    <definedName name="______OP13" localSheetId="64">#REF!</definedName>
    <definedName name="______OP13" localSheetId="77">#REF!</definedName>
    <definedName name="______OP13" localSheetId="49">#REF!</definedName>
    <definedName name="______OP13" localSheetId="40">#REF!</definedName>
    <definedName name="______OP13" localSheetId="43">#REF!</definedName>
    <definedName name="______OP13" localSheetId="13">#REF!</definedName>
    <definedName name="______OP13" localSheetId="38">#REF!</definedName>
    <definedName name="______OP13">#REF!</definedName>
    <definedName name="______OP14" localSheetId="3">#REF!</definedName>
    <definedName name="______OP14" localSheetId="7">#REF!</definedName>
    <definedName name="______OP14" localSheetId="9">#REF!</definedName>
    <definedName name="______OP14" localSheetId="10">#REF!</definedName>
    <definedName name="______OP14" localSheetId="15">#REF!</definedName>
    <definedName name="______OP14" localSheetId="19">#REF!</definedName>
    <definedName name="______OP14" localSheetId="20">#REF!</definedName>
    <definedName name="______OP14" localSheetId="24">#REF!</definedName>
    <definedName name="______OP14" localSheetId="104">#REF!</definedName>
    <definedName name="______OP14" localSheetId="65">#REF!</definedName>
    <definedName name="______OP14" localSheetId="64">#REF!</definedName>
    <definedName name="______OP14" localSheetId="77">#REF!</definedName>
    <definedName name="______OP14" localSheetId="49">#REF!</definedName>
    <definedName name="______OP14" localSheetId="40">#REF!</definedName>
    <definedName name="______OP14" localSheetId="43">#REF!</definedName>
    <definedName name="______OP14" localSheetId="13">#REF!</definedName>
    <definedName name="______OP14" localSheetId="38">#REF!</definedName>
    <definedName name="______OP14">#REF!</definedName>
    <definedName name="______OP15" localSheetId="3">#REF!</definedName>
    <definedName name="______OP15" localSheetId="7">#REF!</definedName>
    <definedName name="______OP15" localSheetId="9">#REF!</definedName>
    <definedName name="______OP15" localSheetId="10">#REF!</definedName>
    <definedName name="______OP15" localSheetId="15">#REF!</definedName>
    <definedName name="______OP15" localSheetId="19">#REF!</definedName>
    <definedName name="______OP15" localSheetId="20">#REF!</definedName>
    <definedName name="______OP15" localSheetId="24">#REF!</definedName>
    <definedName name="______OP15" localSheetId="104">#REF!</definedName>
    <definedName name="______OP15" localSheetId="65">#REF!</definedName>
    <definedName name="______OP15" localSheetId="64">#REF!</definedName>
    <definedName name="______OP15" localSheetId="77">#REF!</definedName>
    <definedName name="______OP15" localSheetId="49">#REF!</definedName>
    <definedName name="______OP15" localSheetId="40">#REF!</definedName>
    <definedName name="______OP15" localSheetId="43">#REF!</definedName>
    <definedName name="______OP15" localSheetId="13">#REF!</definedName>
    <definedName name="______OP15" localSheetId="38">#REF!</definedName>
    <definedName name="______OP15">#REF!</definedName>
    <definedName name="______OP2" localSheetId="3">#REF!</definedName>
    <definedName name="______OP2" localSheetId="7">#REF!</definedName>
    <definedName name="______OP2" localSheetId="9">#REF!</definedName>
    <definedName name="______OP2" localSheetId="10">#REF!</definedName>
    <definedName name="______OP2" localSheetId="15">#REF!</definedName>
    <definedName name="______OP2" localSheetId="19">#REF!</definedName>
    <definedName name="______OP2" localSheetId="20">#REF!</definedName>
    <definedName name="______OP2" localSheetId="24">#REF!</definedName>
    <definedName name="______OP2" localSheetId="104">#REF!</definedName>
    <definedName name="______OP2" localSheetId="65">#REF!</definedName>
    <definedName name="______OP2" localSheetId="64">#REF!</definedName>
    <definedName name="______OP2" localSheetId="77">#REF!</definedName>
    <definedName name="______OP2" localSheetId="49">#REF!</definedName>
    <definedName name="______OP2" localSheetId="40">#REF!</definedName>
    <definedName name="______OP2" localSheetId="43">#REF!</definedName>
    <definedName name="______OP2" localSheetId="13">#REF!</definedName>
    <definedName name="______OP2" localSheetId="38">#REF!</definedName>
    <definedName name="______OP2">#REF!</definedName>
    <definedName name="______OP3" localSheetId="3">#REF!</definedName>
    <definedName name="______OP3" localSheetId="7">#REF!</definedName>
    <definedName name="______OP3" localSheetId="9">#REF!</definedName>
    <definedName name="______OP3" localSheetId="10">#REF!</definedName>
    <definedName name="______OP3" localSheetId="15">#REF!</definedName>
    <definedName name="______OP3" localSheetId="19">#REF!</definedName>
    <definedName name="______OP3" localSheetId="20">#REF!</definedName>
    <definedName name="______OP3" localSheetId="24">#REF!</definedName>
    <definedName name="______OP3" localSheetId="104">#REF!</definedName>
    <definedName name="______OP3" localSheetId="65">#REF!</definedName>
    <definedName name="______OP3" localSheetId="64">#REF!</definedName>
    <definedName name="______OP3" localSheetId="77">#REF!</definedName>
    <definedName name="______OP3" localSheetId="49">#REF!</definedName>
    <definedName name="______OP3" localSheetId="40">#REF!</definedName>
    <definedName name="______OP3" localSheetId="43">#REF!</definedName>
    <definedName name="______OP3" localSheetId="13">#REF!</definedName>
    <definedName name="______OP3" localSheetId="38">#REF!</definedName>
    <definedName name="______OP3">#REF!</definedName>
    <definedName name="______OP4" localSheetId="3">#REF!</definedName>
    <definedName name="______OP4" localSheetId="7">#REF!</definedName>
    <definedName name="______OP4" localSheetId="9">#REF!</definedName>
    <definedName name="______OP4" localSheetId="10">#REF!</definedName>
    <definedName name="______OP4" localSheetId="15">#REF!</definedName>
    <definedName name="______OP4" localSheetId="19">#REF!</definedName>
    <definedName name="______OP4" localSheetId="20">#REF!</definedName>
    <definedName name="______OP4" localSheetId="24">#REF!</definedName>
    <definedName name="______OP4" localSheetId="104">#REF!</definedName>
    <definedName name="______OP4" localSheetId="65">#REF!</definedName>
    <definedName name="______OP4" localSheetId="64">#REF!</definedName>
    <definedName name="______OP4" localSheetId="77">#REF!</definedName>
    <definedName name="______OP4" localSheetId="49">#REF!</definedName>
    <definedName name="______OP4" localSheetId="40">#REF!</definedName>
    <definedName name="______OP4" localSheetId="43">#REF!</definedName>
    <definedName name="______OP4" localSheetId="13">#REF!</definedName>
    <definedName name="______OP4" localSheetId="38">#REF!</definedName>
    <definedName name="______OP4">#REF!</definedName>
    <definedName name="______OP5" localSheetId="3">#REF!</definedName>
    <definedName name="______OP5" localSheetId="7">#REF!</definedName>
    <definedName name="______OP5" localSheetId="9">#REF!</definedName>
    <definedName name="______OP5" localSheetId="10">#REF!</definedName>
    <definedName name="______OP5" localSheetId="15">#REF!</definedName>
    <definedName name="______OP5" localSheetId="19">#REF!</definedName>
    <definedName name="______OP5" localSheetId="20">#REF!</definedName>
    <definedName name="______OP5" localSheetId="24">#REF!</definedName>
    <definedName name="______OP5" localSheetId="104">#REF!</definedName>
    <definedName name="______OP5" localSheetId="65">#REF!</definedName>
    <definedName name="______OP5" localSheetId="64">#REF!</definedName>
    <definedName name="______OP5" localSheetId="77">#REF!</definedName>
    <definedName name="______OP5" localSheetId="49">#REF!</definedName>
    <definedName name="______OP5" localSheetId="40">#REF!</definedName>
    <definedName name="______OP5" localSheetId="43">#REF!</definedName>
    <definedName name="______OP5" localSheetId="13">#REF!</definedName>
    <definedName name="______OP5" localSheetId="38">#REF!</definedName>
    <definedName name="______OP5">#REF!</definedName>
    <definedName name="______OP6" localSheetId="3">#REF!</definedName>
    <definedName name="______OP6" localSheetId="7">#REF!</definedName>
    <definedName name="______OP6" localSheetId="9">#REF!</definedName>
    <definedName name="______OP6" localSheetId="10">#REF!</definedName>
    <definedName name="______OP6" localSheetId="15">#REF!</definedName>
    <definedName name="______OP6" localSheetId="19">#REF!</definedName>
    <definedName name="______OP6" localSheetId="20">#REF!</definedName>
    <definedName name="______OP6" localSheetId="24">#REF!</definedName>
    <definedName name="______OP6" localSheetId="104">#REF!</definedName>
    <definedName name="______OP6" localSheetId="65">#REF!</definedName>
    <definedName name="______OP6" localSheetId="64">#REF!</definedName>
    <definedName name="______OP6" localSheetId="77">#REF!</definedName>
    <definedName name="______OP6" localSheetId="49">#REF!</definedName>
    <definedName name="______OP6" localSheetId="40">#REF!</definedName>
    <definedName name="______OP6" localSheetId="43">#REF!</definedName>
    <definedName name="______OP6" localSheetId="13">#REF!</definedName>
    <definedName name="______OP6" localSheetId="38">#REF!</definedName>
    <definedName name="______OP6">#REF!</definedName>
    <definedName name="______OP7" localSheetId="3">#REF!</definedName>
    <definedName name="______OP7" localSheetId="7">#REF!</definedName>
    <definedName name="______OP7" localSheetId="9">#REF!</definedName>
    <definedName name="______OP7" localSheetId="10">#REF!</definedName>
    <definedName name="______OP7" localSheetId="15">#REF!</definedName>
    <definedName name="______OP7" localSheetId="19">#REF!</definedName>
    <definedName name="______OP7" localSheetId="20">#REF!</definedName>
    <definedName name="______OP7" localSheetId="24">#REF!</definedName>
    <definedName name="______OP7" localSheetId="104">#REF!</definedName>
    <definedName name="______OP7" localSheetId="65">#REF!</definedName>
    <definedName name="______OP7" localSheetId="64">#REF!</definedName>
    <definedName name="______OP7" localSheetId="77">#REF!</definedName>
    <definedName name="______OP7" localSheetId="49">#REF!</definedName>
    <definedName name="______OP7" localSheetId="40">#REF!</definedName>
    <definedName name="______OP7" localSheetId="43">#REF!</definedName>
    <definedName name="______OP7" localSheetId="13">#REF!</definedName>
    <definedName name="______OP7" localSheetId="38">#REF!</definedName>
    <definedName name="______OP7">#REF!</definedName>
    <definedName name="______OP8" localSheetId="3">#REF!</definedName>
    <definedName name="______OP8" localSheetId="7">#REF!</definedName>
    <definedName name="______OP8" localSheetId="9">#REF!</definedName>
    <definedName name="______OP8" localSheetId="10">#REF!</definedName>
    <definedName name="______OP8" localSheetId="15">#REF!</definedName>
    <definedName name="______OP8" localSheetId="19">#REF!</definedName>
    <definedName name="______OP8" localSheetId="20">#REF!</definedName>
    <definedName name="______OP8" localSheetId="24">#REF!</definedName>
    <definedName name="______OP8" localSheetId="104">#REF!</definedName>
    <definedName name="______OP8" localSheetId="65">#REF!</definedName>
    <definedName name="______OP8" localSheetId="64">#REF!</definedName>
    <definedName name="______OP8" localSheetId="77">#REF!</definedName>
    <definedName name="______OP8" localSheetId="49">#REF!</definedName>
    <definedName name="______OP8" localSheetId="40">#REF!</definedName>
    <definedName name="______OP8" localSheetId="43">#REF!</definedName>
    <definedName name="______OP8" localSheetId="13">#REF!</definedName>
    <definedName name="______OP8" localSheetId="38">#REF!</definedName>
    <definedName name="______OP8">#REF!</definedName>
    <definedName name="______OP9" localSheetId="3">#REF!</definedName>
    <definedName name="______OP9" localSheetId="7">#REF!</definedName>
    <definedName name="______OP9" localSheetId="9">#REF!</definedName>
    <definedName name="______OP9" localSheetId="10">#REF!</definedName>
    <definedName name="______OP9" localSheetId="15">#REF!</definedName>
    <definedName name="______OP9" localSheetId="19">#REF!</definedName>
    <definedName name="______OP9" localSheetId="20">#REF!</definedName>
    <definedName name="______OP9" localSheetId="24">#REF!</definedName>
    <definedName name="______OP9" localSheetId="104">#REF!</definedName>
    <definedName name="______OP9" localSheetId="65">#REF!</definedName>
    <definedName name="______OP9" localSheetId="64">#REF!</definedName>
    <definedName name="______OP9" localSheetId="77">#REF!</definedName>
    <definedName name="______OP9" localSheetId="49">#REF!</definedName>
    <definedName name="______OP9" localSheetId="40">#REF!</definedName>
    <definedName name="______OP9" localSheetId="43">#REF!</definedName>
    <definedName name="______OP9" localSheetId="13">#REF!</definedName>
    <definedName name="______OP9" localSheetId="38">#REF!</definedName>
    <definedName name="______OP9">#REF!</definedName>
    <definedName name="______PG10" localSheetId="3">#REF!</definedName>
    <definedName name="______PG10" localSheetId="7">#REF!</definedName>
    <definedName name="______PG10" localSheetId="9">#REF!</definedName>
    <definedName name="______PG10" localSheetId="10">#REF!</definedName>
    <definedName name="______PG10" localSheetId="15">#REF!</definedName>
    <definedName name="______PG10" localSheetId="19">#REF!</definedName>
    <definedName name="______PG10" localSheetId="20">#REF!</definedName>
    <definedName name="______PG10" localSheetId="24">#REF!</definedName>
    <definedName name="______PG10" localSheetId="104">#REF!</definedName>
    <definedName name="______PG10" localSheetId="65">#REF!</definedName>
    <definedName name="______PG10" localSheetId="64">#REF!</definedName>
    <definedName name="______PG10" localSheetId="77">#REF!</definedName>
    <definedName name="______PG10" localSheetId="49">#REF!</definedName>
    <definedName name="______PG10" localSheetId="40">#REF!</definedName>
    <definedName name="______PG10" localSheetId="43">#REF!</definedName>
    <definedName name="______PG10" localSheetId="13">#REF!</definedName>
    <definedName name="______PG10" localSheetId="38">#REF!</definedName>
    <definedName name="______PG10">#REF!</definedName>
    <definedName name="______PG2" localSheetId="3">#REF!</definedName>
    <definedName name="______PG2" localSheetId="7">#REF!</definedName>
    <definedName name="______PG2" localSheetId="9">#REF!</definedName>
    <definedName name="______PG2" localSheetId="10">#REF!</definedName>
    <definedName name="______PG2" localSheetId="15">#REF!</definedName>
    <definedName name="______PG2" localSheetId="19">#REF!</definedName>
    <definedName name="______PG2" localSheetId="20">#REF!</definedName>
    <definedName name="______PG2" localSheetId="24">#REF!</definedName>
    <definedName name="______PG2" localSheetId="104">#REF!</definedName>
    <definedName name="______PG2" localSheetId="65">#REF!</definedName>
    <definedName name="______PG2" localSheetId="64">#REF!</definedName>
    <definedName name="______PG2" localSheetId="77">#REF!</definedName>
    <definedName name="______PG2" localSheetId="49">#REF!</definedName>
    <definedName name="______PG2" localSheetId="40">#REF!</definedName>
    <definedName name="______PG2" localSheetId="43">#REF!</definedName>
    <definedName name="______PG2" localSheetId="13">#REF!</definedName>
    <definedName name="______PG2" localSheetId="38">#REF!</definedName>
    <definedName name="______PG2">#REF!</definedName>
    <definedName name="______PG5" localSheetId="3">#REF!</definedName>
    <definedName name="______PG5" localSheetId="7">#REF!</definedName>
    <definedName name="______PG5" localSheetId="9">#REF!</definedName>
    <definedName name="______PG5" localSheetId="10">#REF!</definedName>
    <definedName name="______PG5" localSheetId="15">#REF!</definedName>
    <definedName name="______PG5" localSheetId="19">#REF!</definedName>
    <definedName name="______PG5" localSheetId="20">#REF!</definedName>
    <definedName name="______PG5" localSheetId="24">#REF!</definedName>
    <definedName name="______PG5" localSheetId="104">#REF!</definedName>
    <definedName name="______PG5" localSheetId="65">#REF!</definedName>
    <definedName name="______PG5" localSheetId="64">#REF!</definedName>
    <definedName name="______PG5" localSheetId="77">#REF!</definedName>
    <definedName name="______PG5" localSheetId="49">#REF!</definedName>
    <definedName name="______PG5" localSheetId="40">#REF!</definedName>
    <definedName name="______PG5" localSheetId="43">#REF!</definedName>
    <definedName name="______PG5" localSheetId="13">#REF!</definedName>
    <definedName name="______PG5" localSheetId="38">#REF!</definedName>
    <definedName name="______PG5">#REF!</definedName>
    <definedName name="______PG8" localSheetId="3">#REF!</definedName>
    <definedName name="______PG8" localSheetId="7">#REF!</definedName>
    <definedName name="______PG8" localSheetId="9">#REF!</definedName>
    <definedName name="______PG8" localSheetId="10">#REF!</definedName>
    <definedName name="______PG8" localSheetId="15">#REF!</definedName>
    <definedName name="______PG8" localSheetId="19">#REF!</definedName>
    <definedName name="______PG8" localSheetId="20">#REF!</definedName>
    <definedName name="______PG8" localSheetId="24">#REF!</definedName>
    <definedName name="______PG8" localSheetId="104">#REF!</definedName>
    <definedName name="______PG8" localSheetId="65">#REF!</definedName>
    <definedName name="______PG8" localSheetId="64">#REF!</definedName>
    <definedName name="______PG8" localSheetId="77">#REF!</definedName>
    <definedName name="______PG8" localSheetId="49">#REF!</definedName>
    <definedName name="______PG8" localSheetId="40">#REF!</definedName>
    <definedName name="______PG8" localSheetId="43">#REF!</definedName>
    <definedName name="______PG8" localSheetId="13">#REF!</definedName>
    <definedName name="______PG8" localSheetId="38">#REF!</definedName>
    <definedName name="______PG8">#REF!</definedName>
    <definedName name="______PG9" localSheetId="3">#REF!</definedName>
    <definedName name="______PG9" localSheetId="7">#REF!</definedName>
    <definedName name="______PG9" localSheetId="9">#REF!</definedName>
    <definedName name="______PG9" localSheetId="10">#REF!</definedName>
    <definedName name="______PG9" localSheetId="15">#REF!</definedName>
    <definedName name="______PG9" localSheetId="19">#REF!</definedName>
    <definedName name="______PG9" localSheetId="20">#REF!</definedName>
    <definedName name="______PG9" localSheetId="24">#REF!</definedName>
    <definedName name="______PG9" localSheetId="104">#REF!</definedName>
    <definedName name="______PG9" localSheetId="65">#REF!</definedName>
    <definedName name="______PG9" localSheetId="64">#REF!</definedName>
    <definedName name="______PG9" localSheetId="77">#REF!</definedName>
    <definedName name="______PG9" localSheetId="49">#REF!</definedName>
    <definedName name="______PG9" localSheetId="40">#REF!</definedName>
    <definedName name="______PG9" localSheetId="43">#REF!</definedName>
    <definedName name="______PG9" localSheetId="13">#REF!</definedName>
    <definedName name="______PG9" localSheetId="38">#REF!</definedName>
    <definedName name="______PG9">#REF!</definedName>
    <definedName name="______so2" localSheetId="3">#REF!</definedName>
    <definedName name="______so2" localSheetId="7">#REF!</definedName>
    <definedName name="______so2" localSheetId="9">#REF!</definedName>
    <definedName name="______so2" localSheetId="10">#REF!</definedName>
    <definedName name="______so2" localSheetId="15">#REF!</definedName>
    <definedName name="______so2" localSheetId="19">#REF!</definedName>
    <definedName name="______so2" localSheetId="20">#REF!</definedName>
    <definedName name="______so2" localSheetId="24">#REF!</definedName>
    <definedName name="______so2" localSheetId="104">#REF!</definedName>
    <definedName name="______so2" localSheetId="65">#REF!</definedName>
    <definedName name="______so2" localSheetId="64">#REF!</definedName>
    <definedName name="______so2" localSheetId="77">#REF!</definedName>
    <definedName name="______so2" localSheetId="49">#REF!</definedName>
    <definedName name="______so2" localSheetId="40">#REF!</definedName>
    <definedName name="______so2" localSheetId="43">#REF!</definedName>
    <definedName name="______so2" localSheetId="13">#REF!</definedName>
    <definedName name="______so2" localSheetId="38">#REF!</definedName>
    <definedName name="______so2">#REF!</definedName>
    <definedName name="_____API2" localSheetId="3">#REF!</definedName>
    <definedName name="_____API2" localSheetId="7">#REF!</definedName>
    <definedName name="_____API2" localSheetId="9">#REF!</definedName>
    <definedName name="_____API2" localSheetId="10">#REF!</definedName>
    <definedName name="_____API2" localSheetId="15">#REF!</definedName>
    <definedName name="_____API2" localSheetId="19">#REF!</definedName>
    <definedName name="_____API2" localSheetId="20">#REF!</definedName>
    <definedName name="_____API2" localSheetId="24">#REF!</definedName>
    <definedName name="_____API2" localSheetId="104">#REF!</definedName>
    <definedName name="_____API2" localSheetId="65">#REF!</definedName>
    <definedName name="_____API2" localSheetId="64">#REF!</definedName>
    <definedName name="_____API2" localSheetId="77">#REF!</definedName>
    <definedName name="_____API2" localSheetId="49">#REF!</definedName>
    <definedName name="_____API2" localSheetId="40">#REF!</definedName>
    <definedName name="_____API2" localSheetId="43">#REF!</definedName>
    <definedName name="_____API2" localSheetId="13">#REF!</definedName>
    <definedName name="_____API2" localSheetId="38">#REF!</definedName>
    <definedName name="_____API2">#REF!</definedName>
    <definedName name="_____kb2" localSheetId="105" hidden="1">{#N/A,#N/A,FALSE,"F1-Currrent";#N/A,#N/A,FALSE,"F2-Current";#N/A,#N/A,FALSE,"F2-Proposed";#N/A,#N/A,FALSE,"F3-Current";#N/A,#N/A,FALSE,"F4-Current";#N/A,#N/A,FALSE,"F4-Proposed";#N/A,#N/A,FALSE,"Controls"}</definedName>
    <definedName name="_____kb2" localSheetId="96" hidden="1">{#N/A,#N/A,FALSE,"F1-Currrent";#N/A,#N/A,FALSE,"F2-Current";#N/A,#N/A,FALSE,"F2-Proposed";#N/A,#N/A,FALSE,"F3-Current";#N/A,#N/A,FALSE,"F4-Current";#N/A,#N/A,FALSE,"F4-Proposed";#N/A,#N/A,FALSE,"Controls"}</definedName>
    <definedName name="_____kb2" localSheetId="44" hidden="1">{#N/A,#N/A,FALSE,"F1-Currrent";#N/A,#N/A,FALSE,"F2-Current";#N/A,#N/A,FALSE,"F2-Proposed";#N/A,#N/A,FALSE,"F3-Current";#N/A,#N/A,FALSE,"F4-Current";#N/A,#N/A,FALSE,"F4-Proposed";#N/A,#N/A,FALSE,"Controls"}</definedName>
    <definedName name="_____kb2" hidden="1">{#N/A,#N/A,FALSE,"F1-Currrent";#N/A,#N/A,FALSE,"F2-Current";#N/A,#N/A,FALSE,"F2-Proposed";#N/A,#N/A,FALSE,"F3-Current";#N/A,#N/A,FALSE,"F4-Current";#N/A,#N/A,FALSE,"F4-Proposed";#N/A,#N/A,FALSE,"Controls"}</definedName>
    <definedName name="_____key2" localSheetId="3" hidden="1">#REF!</definedName>
    <definedName name="_____key2" localSheetId="7" hidden="1">#REF!</definedName>
    <definedName name="_____key2" localSheetId="9" hidden="1">#REF!</definedName>
    <definedName name="_____key2" localSheetId="10" hidden="1">#REF!</definedName>
    <definedName name="_____key2" localSheetId="15" hidden="1">#REF!</definedName>
    <definedName name="_____key2" localSheetId="18" hidden="1">#REF!</definedName>
    <definedName name="_____key2" localSheetId="19" hidden="1">#REF!</definedName>
    <definedName name="_____key2" localSheetId="20" hidden="1">#REF!</definedName>
    <definedName name="_____key2" localSheetId="23" hidden="1">#REF!</definedName>
    <definedName name="_____key2" localSheetId="24" hidden="1">#REF!</definedName>
    <definedName name="_____key2" localSheetId="35" hidden="1">#REF!</definedName>
    <definedName name="_____key2" localSheetId="58" hidden="1">#REF!</definedName>
    <definedName name="_____key2" localSheetId="60" hidden="1">#REF!</definedName>
    <definedName name="_____key2" localSheetId="51" hidden="1">#REF!</definedName>
    <definedName name="_____key2" localSheetId="54" hidden="1">#REF!</definedName>
    <definedName name="_____key2" localSheetId="47" hidden="1">#REF!</definedName>
    <definedName name="_____key2" localSheetId="105" hidden="1">#REF!</definedName>
    <definedName name="_____key2" localSheetId="104" hidden="1">#REF!</definedName>
    <definedName name="_____key2" localSheetId="88" hidden="1">#REF!</definedName>
    <definedName name="_____key2" localSheetId="89" hidden="1">#REF!</definedName>
    <definedName name="_____key2" localSheetId="87" hidden="1">#REF!</definedName>
    <definedName name="_____key2" localSheetId="90" hidden="1">#REF!</definedName>
    <definedName name="_____key2" localSheetId="70" hidden="1">#REF!</definedName>
    <definedName name="_____key2" localSheetId="65" hidden="1">#REF!</definedName>
    <definedName name="_____key2" localSheetId="64" hidden="1">#REF!</definedName>
    <definedName name="_____key2" localSheetId="77" hidden="1">#REF!</definedName>
    <definedName name="_____key2" localSheetId="49" hidden="1">#REF!</definedName>
    <definedName name="_____key2" localSheetId="57" hidden="1">#REF!</definedName>
    <definedName name="_____key2" localSheetId="59" hidden="1">#REF!</definedName>
    <definedName name="_____key2" localSheetId="40" hidden="1">#REF!</definedName>
    <definedName name="_____key2" localSheetId="43" hidden="1">#REF!</definedName>
    <definedName name="_____key2" localSheetId="55" hidden="1">#REF!</definedName>
    <definedName name="_____key2" localSheetId="13" hidden="1">#REF!</definedName>
    <definedName name="_____key2" localSheetId="11" hidden="1">#REF!</definedName>
    <definedName name="_____key2" localSheetId="38" hidden="1">#REF!</definedName>
    <definedName name="_____key2" localSheetId="41" hidden="1">#REF!</definedName>
    <definedName name="_____key2" localSheetId="101" hidden="1">#REF!</definedName>
    <definedName name="_____key2" localSheetId="102" hidden="1">#REF!</definedName>
    <definedName name="_____key2" localSheetId="103" hidden="1">#REF!</definedName>
    <definedName name="_____key2" localSheetId="97" hidden="1">#REF!</definedName>
    <definedName name="_____key2" localSheetId="42" hidden="1">#REF!</definedName>
    <definedName name="_____key2" localSheetId="12" hidden="1">#REF!</definedName>
    <definedName name="_____key2" localSheetId="73" hidden="1">#REF!</definedName>
    <definedName name="_____key2" localSheetId="74" hidden="1">#REF!</definedName>
    <definedName name="_____key2" hidden="1">#REF!</definedName>
    <definedName name="_____MW2" localSheetId="3">#REF!</definedName>
    <definedName name="_____MW2" localSheetId="7">#REF!</definedName>
    <definedName name="_____MW2" localSheetId="9">#REF!</definedName>
    <definedName name="_____MW2" localSheetId="10">#REF!</definedName>
    <definedName name="_____MW2" localSheetId="15">#REF!</definedName>
    <definedName name="_____MW2" localSheetId="19">#REF!</definedName>
    <definedName name="_____MW2" localSheetId="20">#REF!</definedName>
    <definedName name="_____MW2" localSheetId="24">#REF!</definedName>
    <definedName name="_____MW2" localSheetId="104">#REF!</definedName>
    <definedName name="_____MW2" localSheetId="65">#REF!</definedName>
    <definedName name="_____MW2" localSheetId="64">#REF!</definedName>
    <definedName name="_____MW2" localSheetId="77">#REF!</definedName>
    <definedName name="_____MW2" localSheetId="49">#REF!</definedName>
    <definedName name="_____MW2" localSheetId="40">#REF!</definedName>
    <definedName name="_____MW2" localSheetId="43">#REF!</definedName>
    <definedName name="_____MW2" localSheetId="13">#REF!</definedName>
    <definedName name="_____MW2" localSheetId="38">#REF!</definedName>
    <definedName name="_____MW2">#REF!</definedName>
    <definedName name="_____OP1" localSheetId="3">#REF!</definedName>
    <definedName name="_____OP1" localSheetId="7">#REF!</definedName>
    <definedName name="_____OP1" localSheetId="9">#REF!</definedName>
    <definedName name="_____OP1" localSheetId="10">#REF!</definedName>
    <definedName name="_____OP1" localSheetId="15">#REF!</definedName>
    <definedName name="_____OP1" localSheetId="19">#REF!</definedName>
    <definedName name="_____OP1" localSheetId="20">#REF!</definedName>
    <definedName name="_____OP1" localSheetId="24">#REF!</definedName>
    <definedName name="_____OP1" localSheetId="104">#REF!</definedName>
    <definedName name="_____OP1" localSheetId="65">#REF!</definedName>
    <definedName name="_____OP1" localSheetId="64">#REF!</definedName>
    <definedName name="_____OP1" localSheetId="77">#REF!</definedName>
    <definedName name="_____OP1" localSheetId="49">#REF!</definedName>
    <definedName name="_____OP1" localSheetId="40">#REF!</definedName>
    <definedName name="_____OP1" localSheetId="43">#REF!</definedName>
    <definedName name="_____OP1" localSheetId="13">#REF!</definedName>
    <definedName name="_____OP1" localSheetId="38">#REF!</definedName>
    <definedName name="_____OP1">#REF!</definedName>
    <definedName name="_____OP10" localSheetId="3">#REF!</definedName>
    <definedName name="_____OP10" localSheetId="7">#REF!</definedName>
    <definedName name="_____OP10" localSheetId="9">#REF!</definedName>
    <definedName name="_____OP10" localSheetId="10">#REF!</definedName>
    <definedName name="_____OP10" localSheetId="15">#REF!</definedName>
    <definedName name="_____OP10" localSheetId="19">#REF!</definedName>
    <definedName name="_____OP10" localSheetId="20">#REF!</definedName>
    <definedName name="_____OP10" localSheetId="24">#REF!</definedName>
    <definedName name="_____OP10" localSheetId="104">#REF!</definedName>
    <definedName name="_____OP10" localSheetId="65">#REF!</definedName>
    <definedName name="_____OP10" localSheetId="64">#REF!</definedName>
    <definedName name="_____OP10" localSheetId="77">#REF!</definedName>
    <definedName name="_____OP10" localSheetId="49">#REF!</definedName>
    <definedName name="_____OP10" localSheetId="40">#REF!</definedName>
    <definedName name="_____OP10" localSheetId="43">#REF!</definedName>
    <definedName name="_____OP10" localSheetId="13">#REF!</definedName>
    <definedName name="_____OP10" localSheetId="38">#REF!</definedName>
    <definedName name="_____OP10">#REF!</definedName>
    <definedName name="_____OP11" localSheetId="3">#REF!</definedName>
    <definedName name="_____OP11" localSheetId="7">#REF!</definedName>
    <definedName name="_____OP11" localSheetId="9">#REF!</definedName>
    <definedName name="_____OP11" localSheetId="10">#REF!</definedName>
    <definedName name="_____OP11" localSheetId="15">#REF!</definedName>
    <definedName name="_____OP11" localSheetId="19">#REF!</definedName>
    <definedName name="_____OP11" localSheetId="20">#REF!</definedName>
    <definedName name="_____OP11" localSheetId="24">#REF!</definedName>
    <definedName name="_____OP11" localSheetId="104">#REF!</definedName>
    <definedName name="_____OP11" localSheetId="65">#REF!</definedName>
    <definedName name="_____OP11" localSheetId="64">#REF!</definedName>
    <definedName name="_____OP11" localSheetId="77">#REF!</definedName>
    <definedName name="_____OP11" localSheetId="49">#REF!</definedName>
    <definedName name="_____OP11" localSheetId="40">#REF!</definedName>
    <definedName name="_____OP11" localSheetId="43">#REF!</definedName>
    <definedName name="_____OP11" localSheetId="13">#REF!</definedName>
    <definedName name="_____OP11" localSheetId="38">#REF!</definedName>
    <definedName name="_____OP11">#REF!</definedName>
    <definedName name="_____OP12" localSheetId="3">#REF!</definedName>
    <definedName name="_____OP12" localSheetId="7">#REF!</definedName>
    <definedName name="_____OP12" localSheetId="9">#REF!</definedName>
    <definedName name="_____OP12" localSheetId="10">#REF!</definedName>
    <definedName name="_____OP12" localSheetId="15">#REF!</definedName>
    <definedName name="_____OP12" localSheetId="19">#REF!</definedName>
    <definedName name="_____OP12" localSheetId="20">#REF!</definedName>
    <definedName name="_____OP12" localSheetId="24">#REF!</definedName>
    <definedName name="_____OP12" localSheetId="104">#REF!</definedName>
    <definedName name="_____OP12" localSheetId="65">#REF!</definedName>
    <definedName name="_____OP12" localSheetId="64">#REF!</definedName>
    <definedName name="_____OP12" localSheetId="77">#REF!</definedName>
    <definedName name="_____OP12" localSheetId="49">#REF!</definedName>
    <definedName name="_____OP12" localSheetId="40">#REF!</definedName>
    <definedName name="_____OP12" localSheetId="43">#REF!</definedName>
    <definedName name="_____OP12" localSheetId="13">#REF!</definedName>
    <definedName name="_____OP12" localSheetId="38">#REF!</definedName>
    <definedName name="_____OP12">#REF!</definedName>
    <definedName name="_____OP13" localSheetId="3">#REF!</definedName>
    <definedName name="_____OP13" localSheetId="7">#REF!</definedName>
    <definedName name="_____OP13" localSheetId="9">#REF!</definedName>
    <definedName name="_____OP13" localSheetId="10">#REF!</definedName>
    <definedName name="_____OP13" localSheetId="15">#REF!</definedName>
    <definedName name="_____OP13" localSheetId="19">#REF!</definedName>
    <definedName name="_____OP13" localSheetId="20">#REF!</definedName>
    <definedName name="_____OP13" localSheetId="24">#REF!</definedName>
    <definedName name="_____OP13" localSheetId="104">#REF!</definedName>
    <definedName name="_____OP13" localSheetId="65">#REF!</definedName>
    <definedName name="_____OP13" localSheetId="64">#REF!</definedName>
    <definedName name="_____OP13" localSheetId="77">#REF!</definedName>
    <definedName name="_____OP13" localSheetId="49">#REF!</definedName>
    <definedName name="_____OP13" localSheetId="40">#REF!</definedName>
    <definedName name="_____OP13" localSheetId="43">#REF!</definedName>
    <definedName name="_____OP13" localSheetId="13">#REF!</definedName>
    <definedName name="_____OP13" localSheetId="38">#REF!</definedName>
    <definedName name="_____OP13">#REF!</definedName>
    <definedName name="_____OP14" localSheetId="3">#REF!</definedName>
    <definedName name="_____OP14" localSheetId="7">#REF!</definedName>
    <definedName name="_____OP14" localSheetId="9">#REF!</definedName>
    <definedName name="_____OP14" localSheetId="10">#REF!</definedName>
    <definedName name="_____OP14" localSheetId="15">#REF!</definedName>
    <definedName name="_____OP14" localSheetId="19">#REF!</definedName>
    <definedName name="_____OP14" localSheetId="20">#REF!</definedName>
    <definedName name="_____OP14" localSheetId="24">#REF!</definedName>
    <definedName name="_____OP14" localSheetId="104">#REF!</definedName>
    <definedName name="_____OP14" localSheetId="65">#REF!</definedName>
    <definedName name="_____OP14" localSheetId="64">#REF!</definedName>
    <definedName name="_____OP14" localSheetId="77">#REF!</definedName>
    <definedName name="_____OP14" localSheetId="49">#REF!</definedName>
    <definedName name="_____OP14" localSheetId="40">#REF!</definedName>
    <definedName name="_____OP14" localSheetId="43">#REF!</definedName>
    <definedName name="_____OP14" localSheetId="13">#REF!</definedName>
    <definedName name="_____OP14" localSheetId="38">#REF!</definedName>
    <definedName name="_____OP14">#REF!</definedName>
    <definedName name="_____OP15" localSheetId="3">#REF!</definedName>
    <definedName name="_____OP15" localSheetId="7">#REF!</definedName>
    <definedName name="_____OP15" localSheetId="9">#REF!</definedName>
    <definedName name="_____OP15" localSheetId="10">#REF!</definedName>
    <definedName name="_____OP15" localSheetId="15">#REF!</definedName>
    <definedName name="_____OP15" localSheetId="19">#REF!</definedName>
    <definedName name="_____OP15" localSheetId="20">#REF!</definedName>
    <definedName name="_____OP15" localSheetId="24">#REF!</definedName>
    <definedName name="_____OP15" localSheetId="104">#REF!</definedName>
    <definedName name="_____OP15" localSheetId="65">#REF!</definedName>
    <definedName name="_____OP15" localSheetId="64">#REF!</definedName>
    <definedName name="_____OP15" localSheetId="77">#REF!</definedName>
    <definedName name="_____OP15" localSheetId="49">#REF!</definedName>
    <definedName name="_____OP15" localSheetId="40">#REF!</definedName>
    <definedName name="_____OP15" localSheetId="43">#REF!</definedName>
    <definedName name="_____OP15" localSheetId="13">#REF!</definedName>
    <definedName name="_____OP15" localSheetId="38">#REF!</definedName>
    <definedName name="_____OP15">#REF!</definedName>
    <definedName name="_____OP2" localSheetId="3">#REF!</definedName>
    <definedName name="_____OP2" localSheetId="7">#REF!</definedName>
    <definedName name="_____OP2" localSheetId="9">#REF!</definedName>
    <definedName name="_____OP2" localSheetId="10">#REF!</definedName>
    <definedName name="_____OP2" localSheetId="15">#REF!</definedName>
    <definedName name="_____OP2" localSheetId="19">#REF!</definedName>
    <definedName name="_____OP2" localSheetId="20">#REF!</definedName>
    <definedName name="_____OP2" localSheetId="24">#REF!</definedName>
    <definedName name="_____OP2" localSheetId="104">#REF!</definedName>
    <definedName name="_____OP2" localSheetId="65">#REF!</definedName>
    <definedName name="_____OP2" localSheetId="64">#REF!</definedName>
    <definedName name="_____OP2" localSheetId="77">#REF!</definedName>
    <definedName name="_____OP2" localSheetId="49">#REF!</definedName>
    <definedName name="_____OP2" localSheetId="40">#REF!</definedName>
    <definedName name="_____OP2" localSheetId="43">#REF!</definedName>
    <definedName name="_____OP2" localSheetId="13">#REF!</definedName>
    <definedName name="_____OP2" localSheetId="38">#REF!</definedName>
    <definedName name="_____OP2">#REF!</definedName>
    <definedName name="_____OP3" localSheetId="3">#REF!</definedName>
    <definedName name="_____OP3" localSheetId="7">#REF!</definedName>
    <definedName name="_____OP3" localSheetId="9">#REF!</definedName>
    <definedName name="_____OP3" localSheetId="10">#REF!</definedName>
    <definedName name="_____OP3" localSheetId="15">#REF!</definedName>
    <definedName name="_____OP3" localSheetId="19">#REF!</definedName>
    <definedName name="_____OP3" localSheetId="20">#REF!</definedName>
    <definedName name="_____OP3" localSheetId="24">#REF!</definedName>
    <definedName name="_____OP3" localSheetId="104">#REF!</definedName>
    <definedName name="_____OP3" localSheetId="65">#REF!</definedName>
    <definedName name="_____OP3" localSheetId="64">#REF!</definedName>
    <definedName name="_____OP3" localSheetId="77">#REF!</definedName>
    <definedName name="_____OP3" localSheetId="49">#REF!</definedName>
    <definedName name="_____OP3" localSheetId="40">#REF!</definedName>
    <definedName name="_____OP3" localSheetId="43">#REF!</definedName>
    <definedName name="_____OP3" localSheetId="13">#REF!</definedName>
    <definedName name="_____OP3" localSheetId="38">#REF!</definedName>
    <definedName name="_____OP3">#REF!</definedName>
    <definedName name="_____OP4" localSheetId="3">#REF!</definedName>
    <definedName name="_____OP4" localSheetId="7">#REF!</definedName>
    <definedName name="_____OP4" localSheetId="9">#REF!</definedName>
    <definedName name="_____OP4" localSheetId="10">#REF!</definedName>
    <definedName name="_____OP4" localSheetId="15">#REF!</definedName>
    <definedName name="_____OP4" localSheetId="19">#REF!</definedName>
    <definedName name="_____OP4" localSheetId="20">#REF!</definedName>
    <definedName name="_____OP4" localSheetId="24">#REF!</definedName>
    <definedName name="_____OP4" localSheetId="104">#REF!</definedName>
    <definedName name="_____OP4" localSheetId="65">#REF!</definedName>
    <definedName name="_____OP4" localSheetId="64">#REF!</definedName>
    <definedName name="_____OP4" localSheetId="77">#REF!</definedName>
    <definedName name="_____OP4" localSheetId="49">#REF!</definedName>
    <definedName name="_____OP4" localSheetId="40">#REF!</definedName>
    <definedName name="_____OP4" localSheetId="43">#REF!</definedName>
    <definedName name="_____OP4" localSheetId="13">#REF!</definedName>
    <definedName name="_____OP4" localSheetId="38">#REF!</definedName>
    <definedName name="_____OP4">#REF!</definedName>
    <definedName name="_____OP5" localSheetId="3">#REF!</definedName>
    <definedName name="_____OP5" localSheetId="7">#REF!</definedName>
    <definedName name="_____OP5" localSheetId="9">#REF!</definedName>
    <definedName name="_____OP5" localSheetId="10">#REF!</definedName>
    <definedName name="_____OP5" localSheetId="15">#REF!</definedName>
    <definedName name="_____OP5" localSheetId="19">#REF!</definedName>
    <definedName name="_____OP5" localSheetId="20">#REF!</definedName>
    <definedName name="_____OP5" localSheetId="24">#REF!</definedName>
    <definedName name="_____OP5" localSheetId="104">#REF!</definedName>
    <definedName name="_____OP5" localSheetId="65">#REF!</definedName>
    <definedName name="_____OP5" localSheetId="64">#REF!</definedName>
    <definedName name="_____OP5" localSheetId="77">#REF!</definedName>
    <definedName name="_____OP5" localSheetId="49">#REF!</definedName>
    <definedName name="_____OP5" localSheetId="40">#REF!</definedName>
    <definedName name="_____OP5" localSheetId="43">#REF!</definedName>
    <definedName name="_____OP5" localSheetId="13">#REF!</definedName>
    <definedName name="_____OP5" localSheetId="38">#REF!</definedName>
    <definedName name="_____OP5">#REF!</definedName>
    <definedName name="_____OP6" localSheetId="3">#REF!</definedName>
    <definedName name="_____OP6" localSheetId="7">#REF!</definedName>
    <definedName name="_____OP6" localSheetId="9">#REF!</definedName>
    <definedName name="_____OP6" localSheetId="10">#REF!</definedName>
    <definedName name="_____OP6" localSheetId="15">#REF!</definedName>
    <definedName name="_____OP6" localSheetId="19">#REF!</definedName>
    <definedName name="_____OP6" localSheetId="20">#REF!</definedName>
    <definedName name="_____OP6" localSheetId="24">#REF!</definedName>
    <definedName name="_____OP6" localSheetId="104">#REF!</definedName>
    <definedName name="_____OP6" localSheetId="65">#REF!</definedName>
    <definedName name="_____OP6" localSheetId="64">#REF!</definedName>
    <definedName name="_____OP6" localSheetId="77">#REF!</definedName>
    <definedName name="_____OP6" localSheetId="49">#REF!</definedName>
    <definedName name="_____OP6" localSheetId="40">#REF!</definedName>
    <definedName name="_____OP6" localSheetId="43">#REF!</definedName>
    <definedName name="_____OP6" localSheetId="13">#REF!</definedName>
    <definedName name="_____OP6" localSheetId="38">#REF!</definedName>
    <definedName name="_____OP6">#REF!</definedName>
    <definedName name="_____OP7" localSheetId="3">#REF!</definedName>
    <definedName name="_____OP7" localSheetId="7">#REF!</definedName>
    <definedName name="_____OP7" localSheetId="9">#REF!</definedName>
    <definedName name="_____OP7" localSheetId="10">#REF!</definedName>
    <definedName name="_____OP7" localSheetId="15">#REF!</definedName>
    <definedName name="_____OP7" localSheetId="19">#REF!</definedName>
    <definedName name="_____OP7" localSheetId="20">#REF!</definedName>
    <definedName name="_____OP7" localSheetId="24">#REF!</definedName>
    <definedName name="_____OP7" localSheetId="104">#REF!</definedName>
    <definedName name="_____OP7" localSheetId="65">#REF!</definedName>
    <definedName name="_____OP7" localSheetId="64">#REF!</definedName>
    <definedName name="_____OP7" localSheetId="77">#REF!</definedName>
    <definedName name="_____OP7" localSheetId="49">#REF!</definedName>
    <definedName name="_____OP7" localSheetId="40">#REF!</definedName>
    <definedName name="_____OP7" localSheetId="43">#REF!</definedName>
    <definedName name="_____OP7" localSheetId="13">#REF!</definedName>
    <definedName name="_____OP7" localSheetId="38">#REF!</definedName>
    <definedName name="_____OP7">#REF!</definedName>
    <definedName name="_____OP8" localSheetId="3">#REF!</definedName>
    <definedName name="_____OP8" localSheetId="7">#REF!</definedName>
    <definedName name="_____OP8" localSheetId="9">#REF!</definedName>
    <definedName name="_____OP8" localSheetId="10">#REF!</definedName>
    <definedName name="_____OP8" localSheetId="15">#REF!</definedName>
    <definedName name="_____OP8" localSheetId="19">#REF!</definedName>
    <definedName name="_____OP8" localSheetId="20">#REF!</definedName>
    <definedName name="_____OP8" localSheetId="24">#REF!</definedName>
    <definedName name="_____OP8" localSheetId="104">#REF!</definedName>
    <definedName name="_____OP8" localSheetId="65">#REF!</definedName>
    <definedName name="_____OP8" localSheetId="64">#REF!</definedName>
    <definedName name="_____OP8" localSheetId="77">#REF!</definedName>
    <definedName name="_____OP8" localSheetId="49">#REF!</definedName>
    <definedName name="_____OP8" localSheetId="40">#REF!</definedName>
    <definedName name="_____OP8" localSheetId="43">#REF!</definedName>
    <definedName name="_____OP8" localSheetId="13">#REF!</definedName>
    <definedName name="_____OP8" localSheetId="38">#REF!</definedName>
    <definedName name="_____OP8">#REF!</definedName>
    <definedName name="_____OP9" localSheetId="3">#REF!</definedName>
    <definedName name="_____OP9" localSheetId="7">#REF!</definedName>
    <definedName name="_____OP9" localSheetId="9">#REF!</definedName>
    <definedName name="_____OP9" localSheetId="10">#REF!</definedName>
    <definedName name="_____OP9" localSheetId="15">#REF!</definedName>
    <definedName name="_____OP9" localSheetId="19">#REF!</definedName>
    <definedName name="_____OP9" localSheetId="20">#REF!</definedName>
    <definedName name="_____OP9" localSheetId="24">#REF!</definedName>
    <definedName name="_____OP9" localSheetId="104">#REF!</definedName>
    <definedName name="_____OP9" localSheetId="65">#REF!</definedName>
    <definedName name="_____OP9" localSheetId="64">#REF!</definedName>
    <definedName name="_____OP9" localSheetId="77">#REF!</definedName>
    <definedName name="_____OP9" localSheetId="49">#REF!</definedName>
    <definedName name="_____OP9" localSheetId="40">#REF!</definedName>
    <definedName name="_____OP9" localSheetId="43">#REF!</definedName>
    <definedName name="_____OP9" localSheetId="13">#REF!</definedName>
    <definedName name="_____OP9" localSheetId="38">#REF!</definedName>
    <definedName name="_____OP9">#REF!</definedName>
    <definedName name="_____PG10" localSheetId="3">#REF!</definedName>
    <definedName name="_____PG10" localSheetId="7">#REF!</definedName>
    <definedName name="_____PG10" localSheetId="9">#REF!</definedName>
    <definedName name="_____PG10" localSheetId="10">#REF!</definedName>
    <definedName name="_____PG10" localSheetId="15">#REF!</definedName>
    <definedName name="_____PG10" localSheetId="19">#REF!</definedName>
    <definedName name="_____PG10" localSheetId="20">#REF!</definedName>
    <definedName name="_____PG10" localSheetId="24">#REF!</definedName>
    <definedName name="_____PG10" localSheetId="104">#REF!</definedName>
    <definedName name="_____PG10" localSheetId="65">#REF!</definedName>
    <definedName name="_____PG10" localSheetId="64">#REF!</definedName>
    <definedName name="_____PG10" localSheetId="77">#REF!</definedName>
    <definedName name="_____PG10" localSheetId="49">#REF!</definedName>
    <definedName name="_____PG10" localSheetId="40">#REF!</definedName>
    <definedName name="_____PG10" localSheetId="43">#REF!</definedName>
    <definedName name="_____PG10" localSheetId="13">#REF!</definedName>
    <definedName name="_____PG10" localSheetId="38">#REF!</definedName>
    <definedName name="_____PG10">#REF!</definedName>
    <definedName name="_____PG2" localSheetId="3">#REF!</definedName>
    <definedName name="_____PG2" localSheetId="7">#REF!</definedName>
    <definedName name="_____PG2" localSheetId="9">#REF!</definedName>
    <definedName name="_____PG2" localSheetId="10">#REF!</definedName>
    <definedName name="_____PG2" localSheetId="15">#REF!</definedName>
    <definedName name="_____PG2" localSheetId="19">#REF!</definedName>
    <definedName name="_____PG2" localSheetId="20">#REF!</definedName>
    <definedName name="_____PG2" localSheetId="24">#REF!</definedName>
    <definedName name="_____PG2" localSheetId="104">#REF!</definedName>
    <definedName name="_____PG2" localSheetId="65">#REF!</definedName>
    <definedName name="_____PG2" localSheetId="64">#REF!</definedName>
    <definedName name="_____PG2" localSheetId="77">#REF!</definedName>
    <definedName name="_____PG2" localSheetId="49">#REF!</definedName>
    <definedName name="_____PG2" localSheetId="40">#REF!</definedName>
    <definedName name="_____PG2" localSheetId="43">#REF!</definedName>
    <definedName name="_____PG2" localSheetId="13">#REF!</definedName>
    <definedName name="_____PG2" localSheetId="38">#REF!</definedName>
    <definedName name="_____PG2">#REF!</definedName>
    <definedName name="_____PG5" localSheetId="3">#REF!</definedName>
    <definedName name="_____PG5" localSheetId="7">#REF!</definedName>
    <definedName name="_____PG5" localSheetId="9">#REF!</definedName>
    <definedName name="_____PG5" localSheetId="10">#REF!</definedName>
    <definedName name="_____PG5" localSheetId="15">#REF!</definedName>
    <definedName name="_____PG5" localSheetId="19">#REF!</definedName>
    <definedName name="_____PG5" localSheetId="20">#REF!</definedName>
    <definedName name="_____PG5" localSheetId="24">#REF!</definedName>
    <definedName name="_____PG5" localSheetId="104">#REF!</definedName>
    <definedName name="_____PG5" localSheetId="65">#REF!</definedName>
    <definedName name="_____PG5" localSheetId="64">#REF!</definedName>
    <definedName name="_____PG5" localSheetId="77">#REF!</definedName>
    <definedName name="_____PG5" localSheetId="49">#REF!</definedName>
    <definedName name="_____PG5" localSheetId="40">#REF!</definedName>
    <definedName name="_____PG5" localSheetId="43">#REF!</definedName>
    <definedName name="_____PG5" localSheetId="13">#REF!</definedName>
    <definedName name="_____PG5" localSheetId="38">#REF!</definedName>
    <definedName name="_____PG5">#REF!</definedName>
    <definedName name="_____PG8" localSheetId="3">#REF!</definedName>
    <definedName name="_____PG8" localSheetId="7">#REF!</definedName>
    <definedName name="_____PG8" localSheetId="9">#REF!</definedName>
    <definedName name="_____PG8" localSheetId="10">#REF!</definedName>
    <definedName name="_____PG8" localSheetId="15">#REF!</definedName>
    <definedName name="_____PG8" localSheetId="19">#REF!</definedName>
    <definedName name="_____PG8" localSheetId="20">#REF!</definedName>
    <definedName name="_____PG8" localSheetId="24">#REF!</definedName>
    <definedName name="_____PG8" localSheetId="104">#REF!</definedName>
    <definedName name="_____PG8" localSheetId="65">#REF!</definedName>
    <definedName name="_____PG8" localSheetId="64">#REF!</definedName>
    <definedName name="_____PG8" localSheetId="77">#REF!</definedName>
    <definedName name="_____PG8" localSheetId="49">#REF!</definedName>
    <definedName name="_____PG8" localSheetId="40">#REF!</definedName>
    <definedName name="_____PG8" localSheetId="43">#REF!</definedName>
    <definedName name="_____PG8" localSheetId="13">#REF!</definedName>
    <definedName name="_____PG8" localSheetId="38">#REF!</definedName>
    <definedName name="_____PG8">#REF!</definedName>
    <definedName name="_____PG9" localSheetId="3">#REF!</definedName>
    <definedName name="_____PG9" localSheetId="7">#REF!</definedName>
    <definedName name="_____PG9" localSheetId="9">#REF!</definedName>
    <definedName name="_____PG9" localSheetId="10">#REF!</definedName>
    <definedName name="_____PG9" localSheetId="15">#REF!</definedName>
    <definedName name="_____PG9" localSheetId="19">#REF!</definedName>
    <definedName name="_____PG9" localSheetId="20">#REF!</definedName>
    <definedName name="_____PG9" localSheetId="24">#REF!</definedName>
    <definedName name="_____PG9" localSheetId="104">#REF!</definedName>
    <definedName name="_____PG9" localSheetId="65">#REF!</definedName>
    <definedName name="_____PG9" localSheetId="64">#REF!</definedName>
    <definedName name="_____PG9" localSheetId="77">#REF!</definedName>
    <definedName name="_____PG9" localSheetId="49">#REF!</definedName>
    <definedName name="_____PG9" localSheetId="40">#REF!</definedName>
    <definedName name="_____PG9" localSheetId="43">#REF!</definedName>
    <definedName name="_____PG9" localSheetId="13">#REF!</definedName>
    <definedName name="_____PG9" localSheetId="38">#REF!</definedName>
    <definedName name="_____PG9">#REF!</definedName>
    <definedName name="_____Pi2" localSheetId="3">#REF!</definedName>
    <definedName name="_____Pi2" localSheetId="7">#REF!</definedName>
    <definedName name="_____Pi2" localSheetId="9">#REF!</definedName>
    <definedName name="_____Pi2" localSheetId="10">#REF!</definedName>
    <definedName name="_____Pi2" localSheetId="15">#REF!</definedName>
    <definedName name="_____Pi2" localSheetId="19">#REF!</definedName>
    <definedName name="_____Pi2" localSheetId="20">#REF!</definedName>
    <definedName name="_____Pi2" localSheetId="24">#REF!</definedName>
    <definedName name="_____Pi2" localSheetId="104">#REF!</definedName>
    <definedName name="_____Pi2" localSheetId="65">#REF!</definedName>
    <definedName name="_____Pi2" localSheetId="64">#REF!</definedName>
    <definedName name="_____Pi2" localSheetId="77">#REF!</definedName>
    <definedName name="_____Pi2" localSheetId="49">#REF!</definedName>
    <definedName name="_____Pi2" localSheetId="40">#REF!</definedName>
    <definedName name="_____Pi2" localSheetId="43">#REF!</definedName>
    <definedName name="_____Pi2" localSheetId="13">#REF!</definedName>
    <definedName name="_____Pi2" localSheetId="38">#REF!</definedName>
    <definedName name="_____Pi2">#REF!</definedName>
    <definedName name="_____Rs2" localSheetId="3">#REF!</definedName>
    <definedName name="_____Rs2" localSheetId="7">#REF!</definedName>
    <definedName name="_____Rs2" localSheetId="9">#REF!</definedName>
    <definedName name="_____Rs2" localSheetId="10">#REF!</definedName>
    <definedName name="_____Rs2" localSheetId="15">#REF!</definedName>
    <definedName name="_____Rs2" localSheetId="19">#REF!</definedName>
    <definedName name="_____Rs2" localSheetId="20">#REF!</definedName>
    <definedName name="_____Rs2" localSheetId="24">#REF!</definedName>
    <definedName name="_____Rs2" localSheetId="104">#REF!</definedName>
    <definedName name="_____Rs2" localSheetId="65">#REF!</definedName>
    <definedName name="_____Rs2" localSheetId="64">#REF!</definedName>
    <definedName name="_____Rs2" localSheetId="77">#REF!</definedName>
    <definedName name="_____Rs2" localSheetId="49">#REF!</definedName>
    <definedName name="_____Rs2" localSheetId="40">#REF!</definedName>
    <definedName name="_____Rs2" localSheetId="43">#REF!</definedName>
    <definedName name="_____Rs2" localSheetId="13">#REF!</definedName>
    <definedName name="_____Rs2" localSheetId="38">#REF!</definedName>
    <definedName name="_____Rs2">#REF!</definedName>
    <definedName name="_____SGi2" localSheetId="3">#REF!</definedName>
    <definedName name="_____SGi2" localSheetId="7">#REF!</definedName>
    <definedName name="_____SGi2" localSheetId="9">#REF!</definedName>
    <definedName name="_____SGi2" localSheetId="10">#REF!</definedName>
    <definedName name="_____SGi2" localSheetId="15">#REF!</definedName>
    <definedName name="_____SGi2" localSheetId="19">#REF!</definedName>
    <definedName name="_____SGi2" localSheetId="20">#REF!</definedName>
    <definedName name="_____SGi2" localSheetId="24">#REF!</definedName>
    <definedName name="_____SGi2" localSheetId="104">#REF!</definedName>
    <definedName name="_____SGi2" localSheetId="65">#REF!</definedName>
    <definedName name="_____SGi2" localSheetId="64">#REF!</definedName>
    <definedName name="_____SGi2" localSheetId="77">#REF!</definedName>
    <definedName name="_____SGi2" localSheetId="49">#REF!</definedName>
    <definedName name="_____SGi2" localSheetId="40">#REF!</definedName>
    <definedName name="_____SGi2" localSheetId="43">#REF!</definedName>
    <definedName name="_____SGi2" localSheetId="13">#REF!</definedName>
    <definedName name="_____SGi2" localSheetId="38">#REF!</definedName>
    <definedName name="_____SGi2">#REF!</definedName>
    <definedName name="_____so2" localSheetId="3">#REF!</definedName>
    <definedName name="_____so2" localSheetId="7">#REF!</definedName>
    <definedName name="_____so2" localSheetId="9">#REF!</definedName>
    <definedName name="_____so2" localSheetId="10">#REF!</definedName>
    <definedName name="_____so2" localSheetId="15">#REF!</definedName>
    <definedName name="_____so2" localSheetId="19">#REF!</definedName>
    <definedName name="_____so2" localSheetId="20">#REF!</definedName>
    <definedName name="_____so2" localSheetId="24">#REF!</definedName>
    <definedName name="_____so2" localSheetId="104">#REF!</definedName>
    <definedName name="_____so2" localSheetId="65">#REF!</definedName>
    <definedName name="_____so2" localSheetId="64">#REF!</definedName>
    <definedName name="_____so2" localSheetId="77">#REF!</definedName>
    <definedName name="_____so2" localSheetId="49">#REF!</definedName>
    <definedName name="_____so2" localSheetId="40">#REF!</definedName>
    <definedName name="_____so2" localSheetId="43">#REF!</definedName>
    <definedName name="_____so2" localSheetId="13">#REF!</definedName>
    <definedName name="_____so2" localSheetId="38">#REF!</definedName>
    <definedName name="_____so2">#REF!</definedName>
    <definedName name="_____Ti2" localSheetId="3">#REF!</definedName>
    <definedName name="_____Ti2" localSheetId="7">#REF!</definedName>
    <definedName name="_____Ti2" localSheetId="9">#REF!</definedName>
    <definedName name="_____Ti2" localSheetId="10">#REF!</definedName>
    <definedName name="_____Ti2" localSheetId="15">#REF!</definedName>
    <definedName name="_____Ti2" localSheetId="19">#REF!</definedName>
    <definedName name="_____Ti2" localSheetId="20">#REF!</definedName>
    <definedName name="_____Ti2" localSheetId="24">#REF!</definedName>
    <definedName name="_____Ti2" localSheetId="104">#REF!</definedName>
    <definedName name="_____Ti2" localSheetId="65">#REF!</definedName>
    <definedName name="_____Ti2" localSheetId="64">#REF!</definedName>
    <definedName name="_____Ti2" localSheetId="77">#REF!</definedName>
    <definedName name="_____Ti2" localSheetId="49">#REF!</definedName>
    <definedName name="_____Ti2" localSheetId="40">#REF!</definedName>
    <definedName name="_____Ti2" localSheetId="43">#REF!</definedName>
    <definedName name="_____Ti2" localSheetId="13">#REF!</definedName>
    <definedName name="_____Ti2" localSheetId="38">#REF!</definedName>
    <definedName name="_____Ti2">#REF!</definedName>
    <definedName name="_____Voc2" localSheetId="3">#REF!</definedName>
    <definedName name="_____Voc2" localSheetId="7">#REF!</definedName>
    <definedName name="_____Voc2" localSheetId="9">#REF!</definedName>
    <definedName name="_____Voc2" localSheetId="10">#REF!</definedName>
    <definedName name="_____Voc2" localSheetId="15">#REF!</definedName>
    <definedName name="_____Voc2" localSheetId="19">#REF!</definedName>
    <definedName name="_____Voc2" localSheetId="20">#REF!</definedName>
    <definedName name="_____Voc2" localSheetId="24">#REF!</definedName>
    <definedName name="_____Voc2" localSheetId="104">#REF!</definedName>
    <definedName name="_____Voc2" localSheetId="65">#REF!</definedName>
    <definedName name="_____Voc2" localSheetId="64">#REF!</definedName>
    <definedName name="_____Voc2" localSheetId="77">#REF!</definedName>
    <definedName name="_____Voc2" localSheetId="49">#REF!</definedName>
    <definedName name="_____Voc2" localSheetId="40">#REF!</definedName>
    <definedName name="_____Voc2" localSheetId="43">#REF!</definedName>
    <definedName name="_____Voc2" localSheetId="13">#REF!</definedName>
    <definedName name="_____Voc2" localSheetId="38">#REF!</definedName>
    <definedName name="_____Voc2">#REF!</definedName>
    <definedName name="____API2" localSheetId="3">#REF!</definedName>
    <definedName name="____API2" localSheetId="7">#REF!</definedName>
    <definedName name="____API2" localSheetId="9">#REF!</definedName>
    <definedName name="____API2" localSheetId="10">#REF!</definedName>
    <definedName name="____API2" localSheetId="15">#REF!</definedName>
    <definedName name="____API2" localSheetId="19">#REF!</definedName>
    <definedName name="____API2" localSheetId="20">#REF!</definedName>
    <definedName name="____API2" localSheetId="24">#REF!</definedName>
    <definedName name="____API2" localSheetId="104">#REF!</definedName>
    <definedName name="____API2" localSheetId="65">#REF!</definedName>
    <definedName name="____API2" localSheetId="64">#REF!</definedName>
    <definedName name="____API2" localSheetId="77">#REF!</definedName>
    <definedName name="____API2" localSheetId="49">#REF!</definedName>
    <definedName name="____API2" localSheetId="40">#REF!</definedName>
    <definedName name="____API2" localSheetId="43">#REF!</definedName>
    <definedName name="____API2" localSheetId="13">#REF!</definedName>
    <definedName name="____API2" localSheetId="38">#REF!</definedName>
    <definedName name="____API2">#REF!</definedName>
    <definedName name="____kb2" localSheetId="105" hidden="1">{#N/A,#N/A,FALSE,"F1-Currrent";#N/A,#N/A,FALSE,"F2-Current";#N/A,#N/A,FALSE,"F2-Proposed";#N/A,#N/A,FALSE,"F3-Current";#N/A,#N/A,FALSE,"F4-Current";#N/A,#N/A,FALSE,"F4-Proposed";#N/A,#N/A,FALSE,"Controls"}</definedName>
    <definedName name="____kb2" localSheetId="96" hidden="1">{#N/A,#N/A,FALSE,"F1-Currrent";#N/A,#N/A,FALSE,"F2-Current";#N/A,#N/A,FALSE,"F2-Proposed";#N/A,#N/A,FALSE,"F3-Current";#N/A,#N/A,FALSE,"F4-Current";#N/A,#N/A,FALSE,"F4-Proposed";#N/A,#N/A,FALSE,"Controls"}</definedName>
    <definedName name="____kb2" localSheetId="44" hidden="1">{#N/A,#N/A,FALSE,"F1-Currrent";#N/A,#N/A,FALSE,"F2-Current";#N/A,#N/A,FALSE,"F2-Proposed";#N/A,#N/A,FALSE,"F3-Current";#N/A,#N/A,FALSE,"F4-Current";#N/A,#N/A,FALSE,"F4-Proposed";#N/A,#N/A,FALSE,"Controls"}</definedName>
    <definedName name="____kb2" hidden="1">{#N/A,#N/A,FALSE,"F1-Currrent";#N/A,#N/A,FALSE,"F2-Current";#N/A,#N/A,FALSE,"F2-Proposed";#N/A,#N/A,FALSE,"F3-Current";#N/A,#N/A,FALSE,"F4-Current";#N/A,#N/A,FALSE,"F4-Proposed";#N/A,#N/A,FALSE,"Controls"}</definedName>
    <definedName name="____key2" localSheetId="3" hidden="1">#REF!</definedName>
    <definedName name="____key2" localSheetId="7" hidden="1">#REF!</definedName>
    <definedName name="____key2" localSheetId="9" hidden="1">#REF!</definedName>
    <definedName name="____key2" localSheetId="10" hidden="1">#REF!</definedName>
    <definedName name="____key2" localSheetId="15" hidden="1">#REF!</definedName>
    <definedName name="____key2" localSheetId="18" hidden="1">#REF!</definedName>
    <definedName name="____key2" localSheetId="19" hidden="1">#REF!</definedName>
    <definedName name="____key2" localSheetId="20" hidden="1">#REF!</definedName>
    <definedName name="____key2" localSheetId="23" hidden="1">#REF!</definedName>
    <definedName name="____key2" localSheetId="24" hidden="1">#REF!</definedName>
    <definedName name="____key2" localSheetId="35" hidden="1">#REF!</definedName>
    <definedName name="____key2" localSheetId="58" hidden="1">#REF!</definedName>
    <definedName name="____key2" localSheetId="60" hidden="1">#REF!</definedName>
    <definedName name="____key2" localSheetId="51" hidden="1">#REF!</definedName>
    <definedName name="____key2" localSheetId="54" hidden="1">#REF!</definedName>
    <definedName name="____key2" localSheetId="47" hidden="1">#REF!</definedName>
    <definedName name="____key2" localSheetId="105" hidden="1">#REF!</definedName>
    <definedName name="____key2" localSheetId="104" hidden="1">#REF!</definedName>
    <definedName name="____key2" localSheetId="88" hidden="1">#REF!</definedName>
    <definedName name="____key2" localSheetId="89" hidden="1">#REF!</definedName>
    <definedName name="____key2" localSheetId="87" hidden="1">#REF!</definedName>
    <definedName name="____key2" localSheetId="90" hidden="1">#REF!</definedName>
    <definedName name="____key2" localSheetId="70" hidden="1">#REF!</definedName>
    <definedName name="____key2" localSheetId="65" hidden="1">#REF!</definedName>
    <definedName name="____key2" localSheetId="64" hidden="1">#REF!</definedName>
    <definedName name="____key2" localSheetId="77" hidden="1">#REF!</definedName>
    <definedName name="____key2" localSheetId="49" hidden="1">#REF!</definedName>
    <definedName name="____key2" localSheetId="57" hidden="1">#REF!</definedName>
    <definedName name="____key2" localSheetId="59" hidden="1">#REF!</definedName>
    <definedName name="____key2" localSheetId="40" hidden="1">#REF!</definedName>
    <definedName name="____key2" localSheetId="43" hidden="1">#REF!</definedName>
    <definedName name="____key2" localSheetId="55" hidden="1">#REF!</definedName>
    <definedName name="____key2" localSheetId="13" hidden="1">#REF!</definedName>
    <definedName name="____key2" localSheetId="11" hidden="1">#REF!</definedName>
    <definedName name="____key2" localSheetId="38" hidden="1">#REF!</definedName>
    <definedName name="____key2" localSheetId="41" hidden="1">#REF!</definedName>
    <definedName name="____key2" localSheetId="101" hidden="1">#REF!</definedName>
    <definedName name="____key2" localSheetId="102" hidden="1">#REF!</definedName>
    <definedName name="____key2" localSheetId="103" hidden="1">#REF!</definedName>
    <definedName name="____key2" localSheetId="97" hidden="1">#REF!</definedName>
    <definedName name="____key2" localSheetId="42" hidden="1">#REF!</definedName>
    <definedName name="____key2" localSheetId="12" hidden="1">#REF!</definedName>
    <definedName name="____key2" localSheetId="73" hidden="1">#REF!</definedName>
    <definedName name="____key2" localSheetId="74" hidden="1">#REF!</definedName>
    <definedName name="____key2" hidden="1">#REF!</definedName>
    <definedName name="____MW2" localSheetId="3">#REF!</definedName>
    <definedName name="____MW2" localSheetId="7">#REF!</definedName>
    <definedName name="____MW2" localSheetId="9">#REF!</definedName>
    <definedName name="____MW2" localSheetId="10">#REF!</definedName>
    <definedName name="____MW2" localSheetId="15">#REF!</definedName>
    <definedName name="____MW2" localSheetId="19">#REF!</definedName>
    <definedName name="____MW2" localSheetId="20">#REF!</definedName>
    <definedName name="____MW2" localSheetId="24">#REF!</definedName>
    <definedName name="____MW2" localSheetId="104">#REF!</definedName>
    <definedName name="____MW2" localSheetId="65">#REF!</definedName>
    <definedName name="____MW2" localSheetId="64">#REF!</definedName>
    <definedName name="____MW2" localSheetId="77">#REF!</definedName>
    <definedName name="____MW2" localSheetId="49">#REF!</definedName>
    <definedName name="____MW2" localSheetId="40">#REF!</definedName>
    <definedName name="____MW2" localSheetId="43">#REF!</definedName>
    <definedName name="____MW2" localSheetId="13">#REF!</definedName>
    <definedName name="____MW2" localSheetId="38">#REF!</definedName>
    <definedName name="____MW2">#REF!</definedName>
    <definedName name="____OP1" localSheetId="3">#REF!</definedName>
    <definedName name="____OP1" localSheetId="7">#REF!</definedName>
    <definedName name="____OP1" localSheetId="9">#REF!</definedName>
    <definedName name="____OP1" localSheetId="10">#REF!</definedName>
    <definedName name="____OP1" localSheetId="15">#REF!</definedName>
    <definedName name="____OP1" localSheetId="19">#REF!</definedName>
    <definedName name="____OP1" localSheetId="20">#REF!</definedName>
    <definedName name="____OP1" localSheetId="24">#REF!</definedName>
    <definedName name="____OP1" localSheetId="104">#REF!</definedName>
    <definedName name="____OP1" localSheetId="65">#REF!</definedName>
    <definedName name="____OP1" localSheetId="64">#REF!</definedName>
    <definedName name="____OP1" localSheetId="77">#REF!</definedName>
    <definedName name="____OP1" localSheetId="49">#REF!</definedName>
    <definedName name="____OP1" localSheetId="40">#REF!</definedName>
    <definedName name="____OP1" localSheetId="43">#REF!</definedName>
    <definedName name="____OP1" localSheetId="13">#REF!</definedName>
    <definedName name="____OP1" localSheetId="38">#REF!</definedName>
    <definedName name="____OP1">#REF!</definedName>
    <definedName name="____OP10" localSheetId="3">#REF!</definedName>
    <definedName name="____OP10" localSheetId="7">#REF!</definedName>
    <definedName name="____OP10" localSheetId="9">#REF!</definedName>
    <definedName name="____OP10" localSheetId="10">#REF!</definedName>
    <definedName name="____OP10" localSheetId="15">#REF!</definedName>
    <definedName name="____OP10" localSheetId="19">#REF!</definedName>
    <definedName name="____OP10" localSheetId="20">#REF!</definedName>
    <definedName name="____OP10" localSheetId="24">#REF!</definedName>
    <definedName name="____OP10" localSheetId="104">#REF!</definedName>
    <definedName name="____OP10" localSheetId="65">#REF!</definedName>
    <definedName name="____OP10" localSheetId="64">#REF!</definedName>
    <definedName name="____OP10" localSheetId="77">#REF!</definedName>
    <definedName name="____OP10" localSheetId="49">#REF!</definedName>
    <definedName name="____OP10" localSheetId="40">#REF!</definedName>
    <definedName name="____OP10" localSheetId="43">#REF!</definedName>
    <definedName name="____OP10" localSheetId="13">#REF!</definedName>
    <definedName name="____OP10" localSheetId="38">#REF!</definedName>
    <definedName name="____OP10">#REF!</definedName>
    <definedName name="____OP11" localSheetId="3">#REF!</definedName>
    <definedName name="____OP11" localSheetId="7">#REF!</definedName>
    <definedName name="____OP11" localSheetId="9">#REF!</definedName>
    <definedName name="____OP11" localSheetId="10">#REF!</definedName>
    <definedName name="____OP11" localSheetId="15">#REF!</definedName>
    <definedName name="____OP11" localSheetId="19">#REF!</definedName>
    <definedName name="____OP11" localSheetId="20">#REF!</definedName>
    <definedName name="____OP11" localSheetId="24">#REF!</definedName>
    <definedName name="____OP11" localSheetId="104">#REF!</definedName>
    <definedName name="____OP11" localSheetId="65">#REF!</definedName>
    <definedName name="____OP11" localSheetId="64">#REF!</definedName>
    <definedName name="____OP11" localSheetId="77">#REF!</definedName>
    <definedName name="____OP11" localSheetId="49">#REF!</definedName>
    <definedName name="____OP11" localSheetId="40">#REF!</definedName>
    <definedName name="____OP11" localSheetId="43">#REF!</definedName>
    <definedName name="____OP11" localSheetId="13">#REF!</definedName>
    <definedName name="____OP11" localSheetId="38">#REF!</definedName>
    <definedName name="____OP11">#REF!</definedName>
    <definedName name="____OP12" localSheetId="3">#REF!</definedName>
    <definedName name="____OP12" localSheetId="7">#REF!</definedName>
    <definedName name="____OP12" localSheetId="9">#REF!</definedName>
    <definedName name="____OP12" localSheetId="10">#REF!</definedName>
    <definedName name="____OP12" localSheetId="15">#REF!</definedName>
    <definedName name="____OP12" localSheetId="19">#REF!</definedName>
    <definedName name="____OP12" localSheetId="20">#REF!</definedName>
    <definedName name="____OP12" localSheetId="24">#REF!</definedName>
    <definedName name="____OP12" localSheetId="104">#REF!</definedName>
    <definedName name="____OP12" localSheetId="65">#REF!</definedName>
    <definedName name="____OP12" localSheetId="64">#REF!</definedName>
    <definedName name="____OP12" localSheetId="77">#REF!</definedName>
    <definedName name="____OP12" localSheetId="49">#REF!</definedName>
    <definedName name="____OP12" localSheetId="40">#REF!</definedName>
    <definedName name="____OP12" localSheetId="43">#REF!</definedName>
    <definedName name="____OP12" localSheetId="13">#REF!</definedName>
    <definedName name="____OP12" localSheetId="38">#REF!</definedName>
    <definedName name="____OP12">#REF!</definedName>
    <definedName name="____OP13" localSheetId="3">#REF!</definedName>
    <definedName name="____OP13" localSheetId="7">#REF!</definedName>
    <definedName name="____OP13" localSheetId="9">#REF!</definedName>
    <definedName name="____OP13" localSheetId="10">#REF!</definedName>
    <definedName name="____OP13" localSheetId="15">#REF!</definedName>
    <definedName name="____OP13" localSheetId="19">#REF!</definedName>
    <definedName name="____OP13" localSheetId="20">#REF!</definedName>
    <definedName name="____OP13" localSheetId="24">#REF!</definedName>
    <definedName name="____OP13" localSheetId="104">#REF!</definedName>
    <definedName name="____OP13" localSheetId="65">#REF!</definedName>
    <definedName name="____OP13" localSheetId="64">#REF!</definedName>
    <definedName name="____OP13" localSheetId="77">#REF!</definedName>
    <definedName name="____OP13" localSheetId="49">#REF!</definedName>
    <definedName name="____OP13" localSheetId="40">#REF!</definedName>
    <definedName name="____OP13" localSheetId="43">#REF!</definedName>
    <definedName name="____OP13" localSheetId="13">#REF!</definedName>
    <definedName name="____OP13" localSheetId="38">#REF!</definedName>
    <definedName name="____OP13">#REF!</definedName>
    <definedName name="____OP14" localSheetId="3">#REF!</definedName>
    <definedName name="____OP14" localSheetId="7">#REF!</definedName>
    <definedName name="____OP14" localSheetId="9">#REF!</definedName>
    <definedName name="____OP14" localSheetId="10">#REF!</definedName>
    <definedName name="____OP14" localSheetId="15">#REF!</definedName>
    <definedName name="____OP14" localSheetId="19">#REF!</definedName>
    <definedName name="____OP14" localSheetId="20">#REF!</definedName>
    <definedName name="____OP14" localSheetId="24">#REF!</definedName>
    <definedName name="____OP14" localSheetId="104">#REF!</definedName>
    <definedName name="____OP14" localSheetId="65">#REF!</definedName>
    <definedName name="____OP14" localSheetId="64">#REF!</definedName>
    <definedName name="____OP14" localSheetId="77">#REF!</definedName>
    <definedName name="____OP14" localSheetId="49">#REF!</definedName>
    <definedName name="____OP14" localSheetId="40">#REF!</definedName>
    <definedName name="____OP14" localSheetId="43">#REF!</definedName>
    <definedName name="____OP14" localSheetId="13">#REF!</definedName>
    <definedName name="____OP14" localSheetId="38">#REF!</definedName>
    <definedName name="____OP14">#REF!</definedName>
    <definedName name="____OP15" localSheetId="3">#REF!</definedName>
    <definedName name="____OP15" localSheetId="7">#REF!</definedName>
    <definedName name="____OP15" localSheetId="9">#REF!</definedName>
    <definedName name="____OP15" localSheetId="10">#REF!</definedName>
    <definedName name="____OP15" localSheetId="15">#REF!</definedName>
    <definedName name="____OP15" localSheetId="19">#REF!</definedName>
    <definedName name="____OP15" localSheetId="20">#REF!</definedName>
    <definedName name="____OP15" localSheetId="24">#REF!</definedName>
    <definedName name="____OP15" localSheetId="104">#REF!</definedName>
    <definedName name="____OP15" localSheetId="65">#REF!</definedName>
    <definedName name="____OP15" localSheetId="64">#REF!</definedName>
    <definedName name="____OP15" localSheetId="77">#REF!</definedName>
    <definedName name="____OP15" localSheetId="49">#REF!</definedName>
    <definedName name="____OP15" localSheetId="40">#REF!</definedName>
    <definedName name="____OP15" localSheetId="43">#REF!</definedName>
    <definedName name="____OP15" localSheetId="13">#REF!</definedName>
    <definedName name="____OP15" localSheetId="38">#REF!</definedName>
    <definedName name="____OP15">#REF!</definedName>
    <definedName name="____OP2" localSheetId="3">#REF!</definedName>
    <definedName name="____OP2" localSheetId="7">#REF!</definedName>
    <definedName name="____OP2" localSheetId="9">#REF!</definedName>
    <definedName name="____OP2" localSheetId="10">#REF!</definedName>
    <definedName name="____OP2" localSheetId="15">#REF!</definedName>
    <definedName name="____OP2" localSheetId="19">#REF!</definedName>
    <definedName name="____OP2" localSheetId="20">#REF!</definedName>
    <definedName name="____OP2" localSheetId="24">#REF!</definedName>
    <definedName name="____OP2" localSheetId="104">#REF!</definedName>
    <definedName name="____OP2" localSheetId="65">#REF!</definedName>
    <definedName name="____OP2" localSheetId="64">#REF!</definedName>
    <definedName name="____OP2" localSheetId="77">#REF!</definedName>
    <definedName name="____OP2" localSheetId="49">#REF!</definedName>
    <definedName name="____OP2" localSheetId="40">#REF!</definedName>
    <definedName name="____OP2" localSheetId="43">#REF!</definedName>
    <definedName name="____OP2" localSheetId="13">#REF!</definedName>
    <definedName name="____OP2" localSheetId="38">#REF!</definedName>
    <definedName name="____OP2">#REF!</definedName>
    <definedName name="____OP3" localSheetId="3">#REF!</definedName>
    <definedName name="____OP3" localSheetId="7">#REF!</definedName>
    <definedName name="____OP3" localSheetId="9">#REF!</definedName>
    <definedName name="____OP3" localSheetId="10">#REF!</definedName>
    <definedName name="____OP3" localSheetId="15">#REF!</definedName>
    <definedName name="____OP3" localSheetId="19">#REF!</definedName>
    <definedName name="____OP3" localSheetId="20">#REF!</definedName>
    <definedName name="____OP3" localSheetId="24">#REF!</definedName>
    <definedName name="____OP3" localSheetId="104">#REF!</definedName>
    <definedName name="____OP3" localSheetId="65">#REF!</definedName>
    <definedName name="____OP3" localSheetId="64">#REF!</definedName>
    <definedName name="____OP3" localSheetId="77">#REF!</definedName>
    <definedName name="____OP3" localSheetId="49">#REF!</definedName>
    <definedName name="____OP3" localSheetId="40">#REF!</definedName>
    <definedName name="____OP3" localSheetId="43">#REF!</definedName>
    <definedName name="____OP3" localSheetId="13">#REF!</definedName>
    <definedName name="____OP3" localSheetId="38">#REF!</definedName>
    <definedName name="____OP3">#REF!</definedName>
    <definedName name="____OP4" localSheetId="3">#REF!</definedName>
    <definedName name="____OP4" localSheetId="7">#REF!</definedName>
    <definedName name="____OP4" localSheetId="9">#REF!</definedName>
    <definedName name="____OP4" localSheetId="10">#REF!</definedName>
    <definedName name="____OP4" localSheetId="15">#REF!</definedName>
    <definedName name="____OP4" localSheetId="19">#REF!</definedName>
    <definedName name="____OP4" localSheetId="20">#REF!</definedName>
    <definedName name="____OP4" localSheetId="24">#REF!</definedName>
    <definedName name="____OP4" localSheetId="104">#REF!</definedName>
    <definedName name="____OP4" localSheetId="65">#REF!</definedName>
    <definedName name="____OP4" localSheetId="64">#REF!</definedName>
    <definedName name="____OP4" localSheetId="77">#REF!</definedName>
    <definedName name="____OP4" localSheetId="49">#REF!</definedName>
    <definedName name="____OP4" localSheetId="40">#REF!</definedName>
    <definedName name="____OP4" localSheetId="43">#REF!</definedName>
    <definedName name="____OP4" localSheetId="13">#REF!</definedName>
    <definedName name="____OP4" localSheetId="38">#REF!</definedName>
    <definedName name="____OP4">#REF!</definedName>
    <definedName name="____OP5" localSheetId="3">#REF!</definedName>
    <definedName name="____OP5" localSheetId="7">#REF!</definedName>
    <definedName name="____OP5" localSheetId="9">#REF!</definedName>
    <definedName name="____OP5" localSheetId="10">#REF!</definedName>
    <definedName name="____OP5" localSheetId="15">#REF!</definedName>
    <definedName name="____OP5" localSheetId="19">#REF!</definedName>
    <definedName name="____OP5" localSheetId="20">#REF!</definedName>
    <definedName name="____OP5" localSheetId="24">#REF!</definedName>
    <definedName name="____OP5" localSheetId="104">#REF!</definedName>
    <definedName name="____OP5" localSheetId="65">#REF!</definedName>
    <definedName name="____OP5" localSheetId="64">#REF!</definedName>
    <definedName name="____OP5" localSheetId="77">#REF!</definedName>
    <definedName name="____OP5" localSheetId="49">#REF!</definedName>
    <definedName name="____OP5" localSheetId="40">#REF!</definedName>
    <definedName name="____OP5" localSheetId="43">#REF!</definedName>
    <definedName name="____OP5" localSheetId="13">#REF!</definedName>
    <definedName name="____OP5" localSheetId="38">#REF!</definedName>
    <definedName name="____OP5">#REF!</definedName>
    <definedName name="____OP6" localSheetId="3">#REF!</definedName>
    <definedName name="____OP6" localSheetId="7">#REF!</definedName>
    <definedName name="____OP6" localSheetId="9">#REF!</definedName>
    <definedName name="____OP6" localSheetId="10">#REF!</definedName>
    <definedName name="____OP6" localSheetId="15">#REF!</definedName>
    <definedName name="____OP6" localSheetId="19">#REF!</definedName>
    <definedName name="____OP6" localSheetId="20">#REF!</definedName>
    <definedName name="____OP6" localSheetId="24">#REF!</definedName>
    <definedName name="____OP6" localSheetId="104">#REF!</definedName>
    <definedName name="____OP6" localSheetId="65">#REF!</definedName>
    <definedName name="____OP6" localSheetId="64">#REF!</definedName>
    <definedName name="____OP6" localSheetId="77">#REF!</definedName>
    <definedName name="____OP6" localSheetId="49">#REF!</definedName>
    <definedName name="____OP6" localSheetId="40">#REF!</definedName>
    <definedName name="____OP6" localSheetId="43">#REF!</definedName>
    <definedName name="____OP6" localSheetId="13">#REF!</definedName>
    <definedName name="____OP6" localSheetId="38">#REF!</definedName>
    <definedName name="____OP6">#REF!</definedName>
    <definedName name="____OP7" localSheetId="3">#REF!</definedName>
    <definedName name="____OP7" localSheetId="7">#REF!</definedName>
    <definedName name="____OP7" localSheetId="9">#REF!</definedName>
    <definedName name="____OP7" localSheetId="10">#REF!</definedName>
    <definedName name="____OP7" localSheetId="15">#REF!</definedName>
    <definedName name="____OP7" localSheetId="19">#REF!</definedName>
    <definedName name="____OP7" localSheetId="20">#REF!</definedName>
    <definedName name="____OP7" localSheetId="24">#REF!</definedName>
    <definedName name="____OP7" localSheetId="104">#REF!</definedName>
    <definedName name="____OP7" localSheetId="65">#REF!</definedName>
    <definedName name="____OP7" localSheetId="64">#REF!</definedName>
    <definedName name="____OP7" localSheetId="77">#REF!</definedName>
    <definedName name="____OP7" localSheetId="49">#REF!</definedName>
    <definedName name="____OP7" localSheetId="40">#REF!</definedName>
    <definedName name="____OP7" localSheetId="43">#REF!</definedName>
    <definedName name="____OP7" localSheetId="13">#REF!</definedName>
    <definedName name="____OP7" localSheetId="38">#REF!</definedName>
    <definedName name="____OP7">#REF!</definedName>
    <definedName name="____OP8" localSheetId="3">#REF!</definedName>
    <definedName name="____OP8" localSheetId="7">#REF!</definedName>
    <definedName name="____OP8" localSheetId="9">#REF!</definedName>
    <definedName name="____OP8" localSheetId="10">#REF!</definedName>
    <definedName name="____OP8" localSheetId="15">#REF!</definedName>
    <definedName name="____OP8" localSheetId="19">#REF!</definedName>
    <definedName name="____OP8" localSheetId="20">#REF!</definedName>
    <definedName name="____OP8" localSheetId="24">#REF!</definedName>
    <definedName name="____OP8" localSheetId="104">#REF!</definedName>
    <definedName name="____OP8" localSheetId="65">#REF!</definedName>
    <definedName name="____OP8" localSheetId="64">#REF!</definedName>
    <definedName name="____OP8" localSheetId="77">#REF!</definedName>
    <definedName name="____OP8" localSheetId="49">#REF!</definedName>
    <definedName name="____OP8" localSheetId="40">#REF!</definedName>
    <definedName name="____OP8" localSheetId="43">#REF!</definedName>
    <definedName name="____OP8" localSheetId="13">#REF!</definedName>
    <definedName name="____OP8" localSheetId="38">#REF!</definedName>
    <definedName name="____OP8">#REF!</definedName>
    <definedName name="____OP9" localSheetId="3">#REF!</definedName>
    <definedName name="____OP9" localSheetId="7">#REF!</definedName>
    <definedName name="____OP9" localSheetId="9">#REF!</definedName>
    <definedName name="____OP9" localSheetId="10">#REF!</definedName>
    <definedName name="____OP9" localSheetId="15">#REF!</definedName>
    <definedName name="____OP9" localSheetId="19">#REF!</definedName>
    <definedName name="____OP9" localSheetId="20">#REF!</definedName>
    <definedName name="____OP9" localSheetId="24">#REF!</definedName>
    <definedName name="____OP9" localSheetId="104">#REF!</definedName>
    <definedName name="____OP9" localSheetId="65">#REF!</definedName>
    <definedName name="____OP9" localSheetId="64">#REF!</definedName>
    <definedName name="____OP9" localSheetId="77">#REF!</definedName>
    <definedName name="____OP9" localSheetId="49">#REF!</definedName>
    <definedName name="____OP9" localSheetId="40">#REF!</definedName>
    <definedName name="____OP9" localSheetId="43">#REF!</definedName>
    <definedName name="____OP9" localSheetId="13">#REF!</definedName>
    <definedName name="____OP9" localSheetId="38">#REF!</definedName>
    <definedName name="____OP9">#REF!</definedName>
    <definedName name="____PG10" localSheetId="3">#REF!</definedName>
    <definedName name="____PG10" localSheetId="7">#REF!</definedName>
    <definedName name="____PG10" localSheetId="9">#REF!</definedName>
    <definedName name="____PG10" localSheetId="10">#REF!</definedName>
    <definedName name="____PG10" localSheetId="15">#REF!</definedName>
    <definedName name="____PG10" localSheetId="19">#REF!</definedName>
    <definedName name="____PG10" localSheetId="20">#REF!</definedName>
    <definedName name="____PG10" localSheetId="24">#REF!</definedName>
    <definedName name="____PG10" localSheetId="104">#REF!</definedName>
    <definedName name="____PG10" localSheetId="65">#REF!</definedName>
    <definedName name="____PG10" localSheetId="64">#REF!</definedName>
    <definedName name="____PG10" localSheetId="77">#REF!</definedName>
    <definedName name="____PG10" localSheetId="49">#REF!</definedName>
    <definedName name="____PG10" localSheetId="40">#REF!</definedName>
    <definedName name="____PG10" localSheetId="43">#REF!</definedName>
    <definedName name="____PG10" localSheetId="13">#REF!</definedName>
    <definedName name="____PG10" localSheetId="38">#REF!</definedName>
    <definedName name="____PG10">#REF!</definedName>
    <definedName name="____PG2" localSheetId="3">#REF!</definedName>
    <definedName name="____PG2" localSheetId="7">#REF!</definedName>
    <definedName name="____PG2" localSheetId="9">#REF!</definedName>
    <definedName name="____PG2" localSheetId="10">#REF!</definedName>
    <definedName name="____PG2" localSheetId="15">#REF!</definedName>
    <definedName name="____PG2" localSheetId="19">#REF!</definedName>
    <definedName name="____PG2" localSheetId="20">#REF!</definedName>
    <definedName name="____PG2" localSheetId="24">#REF!</definedName>
    <definedName name="____PG2" localSheetId="104">#REF!</definedName>
    <definedName name="____PG2" localSheetId="65">#REF!</definedName>
    <definedName name="____PG2" localSheetId="64">#REF!</definedName>
    <definedName name="____PG2" localSheetId="77">#REF!</definedName>
    <definedName name="____PG2" localSheetId="49">#REF!</definedName>
    <definedName name="____PG2" localSheetId="40">#REF!</definedName>
    <definedName name="____PG2" localSheetId="43">#REF!</definedName>
    <definedName name="____PG2" localSheetId="13">#REF!</definedName>
    <definedName name="____PG2" localSheetId="38">#REF!</definedName>
    <definedName name="____PG2">#REF!</definedName>
    <definedName name="____PG5" localSheetId="3">#REF!</definedName>
    <definedName name="____PG5" localSheetId="7">#REF!</definedName>
    <definedName name="____PG5" localSheetId="9">#REF!</definedName>
    <definedName name="____PG5" localSheetId="10">#REF!</definedName>
    <definedName name="____PG5" localSheetId="15">#REF!</definedName>
    <definedName name="____PG5" localSheetId="19">#REF!</definedName>
    <definedName name="____PG5" localSheetId="20">#REF!</definedName>
    <definedName name="____PG5" localSheetId="24">#REF!</definedName>
    <definedName name="____PG5" localSheetId="104">#REF!</definedName>
    <definedName name="____PG5" localSheetId="65">#REF!</definedName>
    <definedName name="____PG5" localSheetId="64">#REF!</definedName>
    <definedName name="____PG5" localSheetId="77">#REF!</definedName>
    <definedName name="____PG5" localSheetId="49">#REF!</definedName>
    <definedName name="____PG5" localSheetId="40">#REF!</definedName>
    <definedName name="____PG5" localSheetId="43">#REF!</definedName>
    <definedName name="____PG5" localSheetId="13">#REF!</definedName>
    <definedName name="____PG5" localSheetId="38">#REF!</definedName>
    <definedName name="____PG5">#REF!</definedName>
    <definedName name="____PG8" localSheetId="3">#REF!</definedName>
    <definedName name="____PG8" localSheetId="7">#REF!</definedName>
    <definedName name="____PG8" localSheetId="9">#REF!</definedName>
    <definedName name="____PG8" localSheetId="10">#REF!</definedName>
    <definedName name="____PG8" localSheetId="15">#REF!</definedName>
    <definedName name="____PG8" localSheetId="19">#REF!</definedName>
    <definedName name="____PG8" localSheetId="20">#REF!</definedName>
    <definedName name="____PG8" localSheetId="24">#REF!</definedName>
    <definedName name="____PG8" localSheetId="104">#REF!</definedName>
    <definedName name="____PG8" localSheetId="65">#REF!</definedName>
    <definedName name="____PG8" localSheetId="64">#REF!</definedName>
    <definedName name="____PG8" localSheetId="77">#REF!</definedName>
    <definedName name="____PG8" localSheetId="49">#REF!</definedName>
    <definedName name="____PG8" localSheetId="40">#REF!</definedName>
    <definedName name="____PG8" localSheetId="43">#REF!</definedName>
    <definedName name="____PG8" localSheetId="13">#REF!</definedName>
    <definedName name="____PG8" localSheetId="38">#REF!</definedName>
    <definedName name="____PG8">#REF!</definedName>
    <definedName name="____PG9" localSheetId="3">#REF!</definedName>
    <definedName name="____PG9" localSheetId="7">#REF!</definedName>
    <definedName name="____PG9" localSheetId="9">#REF!</definedName>
    <definedName name="____PG9" localSheetId="10">#REF!</definedName>
    <definedName name="____PG9" localSheetId="15">#REF!</definedName>
    <definedName name="____PG9" localSheetId="19">#REF!</definedName>
    <definedName name="____PG9" localSheetId="20">#REF!</definedName>
    <definedName name="____PG9" localSheetId="24">#REF!</definedName>
    <definedName name="____PG9" localSheetId="104">#REF!</definedName>
    <definedName name="____PG9" localSheetId="65">#REF!</definedName>
    <definedName name="____PG9" localSheetId="64">#REF!</definedName>
    <definedName name="____PG9" localSheetId="77">#REF!</definedName>
    <definedName name="____PG9" localSheetId="49">#REF!</definedName>
    <definedName name="____PG9" localSheetId="40">#REF!</definedName>
    <definedName name="____PG9" localSheetId="43">#REF!</definedName>
    <definedName name="____PG9" localSheetId="13">#REF!</definedName>
    <definedName name="____PG9" localSheetId="38">#REF!</definedName>
    <definedName name="____PG9">#REF!</definedName>
    <definedName name="____Pi2" localSheetId="3">#REF!</definedName>
    <definedName name="____Pi2" localSheetId="7">#REF!</definedName>
    <definedName name="____Pi2" localSheetId="9">#REF!</definedName>
    <definedName name="____Pi2" localSheetId="10">#REF!</definedName>
    <definedName name="____Pi2" localSheetId="15">#REF!</definedName>
    <definedName name="____Pi2" localSheetId="19">#REF!</definedName>
    <definedName name="____Pi2" localSheetId="20">#REF!</definedName>
    <definedName name="____Pi2" localSheetId="24">#REF!</definedName>
    <definedName name="____Pi2" localSheetId="104">#REF!</definedName>
    <definedName name="____Pi2" localSheetId="65">#REF!</definedName>
    <definedName name="____Pi2" localSheetId="64">#REF!</definedName>
    <definedName name="____Pi2" localSheetId="77">#REF!</definedName>
    <definedName name="____Pi2" localSheetId="49">#REF!</definedName>
    <definedName name="____Pi2" localSheetId="40">#REF!</definedName>
    <definedName name="____Pi2" localSheetId="43">#REF!</definedName>
    <definedName name="____Pi2" localSheetId="13">#REF!</definedName>
    <definedName name="____Pi2" localSheetId="38">#REF!</definedName>
    <definedName name="____Pi2">#REF!</definedName>
    <definedName name="____Rs2" localSheetId="3">#REF!</definedName>
    <definedName name="____Rs2" localSheetId="7">#REF!</definedName>
    <definedName name="____Rs2" localSheetId="9">#REF!</definedName>
    <definedName name="____Rs2" localSheetId="10">#REF!</definedName>
    <definedName name="____Rs2" localSheetId="15">#REF!</definedName>
    <definedName name="____Rs2" localSheetId="19">#REF!</definedName>
    <definedName name="____Rs2" localSheetId="20">#REF!</definedName>
    <definedName name="____Rs2" localSheetId="24">#REF!</definedName>
    <definedName name="____Rs2" localSheetId="104">#REF!</definedName>
    <definedName name="____Rs2" localSheetId="65">#REF!</definedName>
    <definedName name="____Rs2" localSheetId="64">#REF!</definedName>
    <definedName name="____Rs2" localSheetId="77">#REF!</definedName>
    <definedName name="____Rs2" localSheetId="49">#REF!</definedName>
    <definedName name="____Rs2" localSheetId="40">#REF!</definedName>
    <definedName name="____Rs2" localSheetId="43">#REF!</definedName>
    <definedName name="____Rs2" localSheetId="13">#REF!</definedName>
    <definedName name="____Rs2" localSheetId="38">#REF!</definedName>
    <definedName name="____Rs2">#REF!</definedName>
    <definedName name="____SGi2" localSheetId="3">#REF!</definedName>
    <definedName name="____SGi2" localSheetId="7">#REF!</definedName>
    <definedName name="____SGi2" localSheetId="9">#REF!</definedName>
    <definedName name="____SGi2" localSheetId="10">#REF!</definedName>
    <definedName name="____SGi2" localSheetId="15">#REF!</definedName>
    <definedName name="____SGi2" localSheetId="19">#REF!</definedName>
    <definedName name="____SGi2" localSheetId="20">#REF!</definedName>
    <definedName name="____SGi2" localSheetId="24">#REF!</definedName>
    <definedName name="____SGi2" localSheetId="104">#REF!</definedName>
    <definedName name="____SGi2" localSheetId="65">#REF!</definedName>
    <definedName name="____SGi2" localSheetId="64">#REF!</definedName>
    <definedName name="____SGi2" localSheetId="77">#REF!</definedName>
    <definedName name="____SGi2" localSheetId="49">#REF!</definedName>
    <definedName name="____SGi2" localSheetId="40">#REF!</definedName>
    <definedName name="____SGi2" localSheetId="43">#REF!</definedName>
    <definedName name="____SGi2" localSheetId="13">#REF!</definedName>
    <definedName name="____SGi2" localSheetId="38">#REF!</definedName>
    <definedName name="____SGi2">#REF!</definedName>
    <definedName name="____so2" localSheetId="3">#REF!</definedName>
    <definedName name="____so2" localSheetId="7">#REF!</definedName>
    <definedName name="____so2" localSheetId="9">#REF!</definedName>
    <definedName name="____so2" localSheetId="10">#REF!</definedName>
    <definedName name="____so2" localSheetId="15">#REF!</definedName>
    <definedName name="____so2" localSheetId="19">#REF!</definedName>
    <definedName name="____so2" localSheetId="20">#REF!</definedName>
    <definedName name="____so2" localSheetId="24">#REF!</definedName>
    <definedName name="____so2" localSheetId="104">#REF!</definedName>
    <definedName name="____so2" localSheetId="65">#REF!</definedName>
    <definedName name="____so2" localSheetId="64">#REF!</definedName>
    <definedName name="____so2" localSheetId="77">#REF!</definedName>
    <definedName name="____so2" localSheetId="49">#REF!</definedName>
    <definedName name="____so2" localSheetId="40">#REF!</definedName>
    <definedName name="____so2" localSheetId="43">#REF!</definedName>
    <definedName name="____so2" localSheetId="13">#REF!</definedName>
    <definedName name="____so2" localSheetId="38">#REF!</definedName>
    <definedName name="____so2">#REF!</definedName>
    <definedName name="____Ti2" localSheetId="3">#REF!</definedName>
    <definedName name="____Ti2" localSheetId="7">#REF!</definedName>
    <definedName name="____Ti2" localSheetId="9">#REF!</definedName>
    <definedName name="____Ti2" localSheetId="10">#REF!</definedName>
    <definedName name="____Ti2" localSheetId="15">#REF!</definedName>
    <definedName name="____Ti2" localSheetId="19">#REF!</definedName>
    <definedName name="____Ti2" localSheetId="20">#REF!</definedName>
    <definedName name="____Ti2" localSheetId="24">#REF!</definedName>
    <definedName name="____Ti2" localSheetId="104">#REF!</definedName>
    <definedName name="____Ti2" localSheetId="65">#REF!</definedName>
    <definedName name="____Ti2" localSheetId="64">#REF!</definedName>
    <definedName name="____Ti2" localSheetId="77">#REF!</definedName>
    <definedName name="____Ti2" localSheetId="49">#REF!</definedName>
    <definedName name="____Ti2" localSheetId="40">#REF!</definedName>
    <definedName name="____Ti2" localSheetId="43">#REF!</definedName>
    <definedName name="____Ti2" localSheetId="13">#REF!</definedName>
    <definedName name="____Ti2" localSheetId="38">#REF!</definedName>
    <definedName name="____Ti2">#REF!</definedName>
    <definedName name="____Voc2" localSheetId="3">#REF!</definedName>
    <definedName name="____Voc2" localSheetId="7">#REF!</definedName>
    <definedName name="____Voc2" localSheetId="9">#REF!</definedName>
    <definedName name="____Voc2" localSheetId="10">#REF!</definedName>
    <definedName name="____Voc2" localSheetId="15">#REF!</definedName>
    <definedName name="____Voc2" localSheetId="19">#REF!</definedName>
    <definedName name="____Voc2" localSheetId="20">#REF!</definedName>
    <definedName name="____Voc2" localSheetId="24">#REF!</definedName>
    <definedName name="____Voc2" localSheetId="104">#REF!</definedName>
    <definedName name="____Voc2" localSheetId="65">#REF!</definedName>
    <definedName name="____Voc2" localSheetId="64">#REF!</definedName>
    <definedName name="____Voc2" localSheetId="77">#REF!</definedName>
    <definedName name="____Voc2" localSheetId="49">#REF!</definedName>
    <definedName name="____Voc2" localSheetId="40">#REF!</definedName>
    <definedName name="____Voc2" localSheetId="43">#REF!</definedName>
    <definedName name="____Voc2" localSheetId="13">#REF!</definedName>
    <definedName name="____Voc2" localSheetId="38">#REF!</definedName>
    <definedName name="____Voc2">#REF!</definedName>
    <definedName name="___API2" localSheetId="3">#REF!</definedName>
    <definedName name="___API2" localSheetId="7">#REF!</definedName>
    <definedName name="___API2" localSheetId="9">#REF!</definedName>
    <definedName name="___API2" localSheetId="10">#REF!</definedName>
    <definedName name="___API2" localSheetId="15">#REF!</definedName>
    <definedName name="___API2" localSheetId="19">#REF!</definedName>
    <definedName name="___API2" localSheetId="20">#REF!</definedName>
    <definedName name="___API2" localSheetId="24">#REF!</definedName>
    <definedName name="___API2" localSheetId="104">#REF!</definedName>
    <definedName name="___API2" localSheetId="65">#REF!</definedName>
    <definedName name="___API2" localSheetId="64">#REF!</definedName>
    <definedName name="___API2" localSheetId="77">#REF!</definedName>
    <definedName name="___API2" localSheetId="49">#REF!</definedName>
    <definedName name="___API2" localSheetId="40">#REF!</definedName>
    <definedName name="___API2" localSheetId="43">#REF!</definedName>
    <definedName name="___API2" localSheetId="13">#REF!</definedName>
    <definedName name="___API2" localSheetId="38">#REF!</definedName>
    <definedName name="___API2">#REF!</definedName>
    <definedName name="___EPN28"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_EPN28" localSheetId="9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_EPN28"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_EPN2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_kb2" localSheetId="105" hidden="1">{#N/A,#N/A,FALSE,"F1-Currrent";#N/A,#N/A,FALSE,"F2-Current";#N/A,#N/A,FALSE,"F2-Proposed";#N/A,#N/A,FALSE,"F3-Current";#N/A,#N/A,FALSE,"F4-Current";#N/A,#N/A,FALSE,"F4-Proposed";#N/A,#N/A,FALSE,"Controls"}</definedName>
    <definedName name="___kb2" localSheetId="96" hidden="1">{#N/A,#N/A,FALSE,"F1-Currrent";#N/A,#N/A,FALSE,"F2-Current";#N/A,#N/A,FALSE,"F2-Proposed";#N/A,#N/A,FALSE,"F3-Current";#N/A,#N/A,FALSE,"F4-Current";#N/A,#N/A,FALSE,"F4-Proposed";#N/A,#N/A,FALSE,"Controls"}</definedName>
    <definedName name="___kb2" localSheetId="44" hidden="1">{#N/A,#N/A,FALSE,"F1-Currrent";#N/A,#N/A,FALSE,"F2-Current";#N/A,#N/A,FALSE,"F2-Proposed";#N/A,#N/A,FALSE,"F3-Current";#N/A,#N/A,FALSE,"F4-Current";#N/A,#N/A,FALSE,"F4-Proposed";#N/A,#N/A,FALSE,"Controls"}</definedName>
    <definedName name="___kb2" hidden="1">{#N/A,#N/A,FALSE,"F1-Currrent";#N/A,#N/A,FALSE,"F2-Current";#N/A,#N/A,FALSE,"F2-Proposed";#N/A,#N/A,FALSE,"F3-Current";#N/A,#N/A,FALSE,"F4-Current";#N/A,#N/A,FALSE,"F4-Proposed";#N/A,#N/A,FALSE,"Controls"}</definedName>
    <definedName name="___key2" localSheetId="3" hidden="1">#REF!</definedName>
    <definedName name="___key2" localSheetId="7" hidden="1">#REF!</definedName>
    <definedName name="___key2" localSheetId="9" hidden="1">#REF!</definedName>
    <definedName name="___key2" localSheetId="10" hidden="1">#REF!</definedName>
    <definedName name="___key2" localSheetId="15" hidden="1">#REF!</definedName>
    <definedName name="___key2" localSheetId="18" hidden="1">#REF!</definedName>
    <definedName name="___key2" localSheetId="19" hidden="1">#REF!</definedName>
    <definedName name="___key2" localSheetId="20" hidden="1">#REF!</definedName>
    <definedName name="___key2" localSheetId="23" hidden="1">#REF!</definedName>
    <definedName name="___key2" localSheetId="24" hidden="1">#REF!</definedName>
    <definedName name="___key2" localSheetId="35" hidden="1">#REF!</definedName>
    <definedName name="___key2" localSheetId="58" hidden="1">#REF!</definedName>
    <definedName name="___key2" localSheetId="60" hidden="1">#REF!</definedName>
    <definedName name="___key2" localSheetId="51" hidden="1">#REF!</definedName>
    <definedName name="___key2" localSheetId="54" hidden="1">#REF!</definedName>
    <definedName name="___key2" localSheetId="47" hidden="1">#REF!</definedName>
    <definedName name="___key2" localSheetId="105" hidden="1">#REF!</definedName>
    <definedName name="___key2" localSheetId="104" hidden="1">#REF!</definedName>
    <definedName name="___key2" localSheetId="88" hidden="1">#REF!</definedName>
    <definedName name="___key2" localSheetId="89" hidden="1">#REF!</definedName>
    <definedName name="___key2" localSheetId="87" hidden="1">#REF!</definedName>
    <definedName name="___key2" localSheetId="90" hidden="1">#REF!</definedName>
    <definedName name="___key2" localSheetId="70" hidden="1">#REF!</definedName>
    <definedName name="___key2" localSheetId="65" hidden="1">#REF!</definedName>
    <definedName name="___key2" localSheetId="64" hidden="1">#REF!</definedName>
    <definedName name="___key2" localSheetId="77" hidden="1">#REF!</definedName>
    <definedName name="___key2" localSheetId="49" hidden="1">#REF!</definedName>
    <definedName name="___key2" localSheetId="57" hidden="1">#REF!</definedName>
    <definedName name="___key2" localSheetId="59" hidden="1">#REF!</definedName>
    <definedName name="___key2" localSheetId="40" hidden="1">#REF!</definedName>
    <definedName name="___key2" localSheetId="43" hidden="1">#REF!</definedName>
    <definedName name="___key2" localSheetId="55" hidden="1">#REF!</definedName>
    <definedName name="___key2" localSheetId="13" hidden="1">#REF!</definedName>
    <definedName name="___key2" localSheetId="11" hidden="1">#REF!</definedName>
    <definedName name="___key2" localSheetId="38" hidden="1">#REF!</definedName>
    <definedName name="___key2" localSheetId="41" hidden="1">#REF!</definedName>
    <definedName name="___key2" localSheetId="101" hidden="1">#REF!</definedName>
    <definedName name="___key2" localSheetId="102" hidden="1">#REF!</definedName>
    <definedName name="___key2" localSheetId="103" hidden="1">#REF!</definedName>
    <definedName name="___key2" localSheetId="97" hidden="1">#REF!</definedName>
    <definedName name="___key2" localSheetId="42" hidden="1">#REF!</definedName>
    <definedName name="___key2" localSheetId="12" hidden="1">#REF!</definedName>
    <definedName name="___key2" localSheetId="73" hidden="1">#REF!</definedName>
    <definedName name="___key2" localSheetId="74" hidden="1">#REF!</definedName>
    <definedName name="___key2" hidden="1">#REF!</definedName>
    <definedName name="___MW2" localSheetId="3">#REF!</definedName>
    <definedName name="___MW2" localSheetId="7">#REF!</definedName>
    <definedName name="___MW2" localSheetId="9">#REF!</definedName>
    <definedName name="___MW2" localSheetId="10">#REF!</definedName>
    <definedName name="___MW2" localSheetId="15">#REF!</definedName>
    <definedName name="___MW2" localSheetId="19">#REF!</definedName>
    <definedName name="___MW2" localSheetId="20">#REF!</definedName>
    <definedName name="___MW2" localSheetId="24">#REF!</definedName>
    <definedName name="___MW2" localSheetId="104">#REF!</definedName>
    <definedName name="___MW2" localSheetId="65">#REF!</definedName>
    <definedName name="___MW2" localSheetId="64">#REF!</definedName>
    <definedName name="___MW2" localSheetId="77">#REF!</definedName>
    <definedName name="___MW2" localSheetId="49">#REF!</definedName>
    <definedName name="___MW2" localSheetId="40">#REF!</definedName>
    <definedName name="___MW2" localSheetId="43">#REF!</definedName>
    <definedName name="___MW2" localSheetId="13">#REF!</definedName>
    <definedName name="___MW2" localSheetId="38">#REF!</definedName>
    <definedName name="___MW2">#REF!</definedName>
    <definedName name="___OP1" localSheetId="3">#REF!</definedName>
    <definedName name="___OP1" localSheetId="7">#REF!</definedName>
    <definedName name="___OP1" localSheetId="9">#REF!</definedName>
    <definedName name="___OP1" localSheetId="10">#REF!</definedName>
    <definedName name="___OP1" localSheetId="15">#REF!</definedName>
    <definedName name="___OP1" localSheetId="19">#REF!</definedName>
    <definedName name="___OP1" localSheetId="20">#REF!</definedName>
    <definedName name="___OP1" localSheetId="24">#REF!</definedName>
    <definedName name="___OP1" localSheetId="104">#REF!</definedName>
    <definedName name="___OP1" localSheetId="65">#REF!</definedName>
    <definedName name="___OP1" localSheetId="64">#REF!</definedName>
    <definedName name="___OP1" localSheetId="77">#REF!</definedName>
    <definedName name="___OP1" localSheetId="49">#REF!</definedName>
    <definedName name="___OP1" localSheetId="40">#REF!</definedName>
    <definedName name="___OP1" localSheetId="43">#REF!</definedName>
    <definedName name="___OP1" localSheetId="13">#REF!</definedName>
    <definedName name="___OP1" localSheetId="38">#REF!</definedName>
    <definedName name="___OP1">#REF!</definedName>
    <definedName name="___OP10" localSheetId="3">#REF!</definedName>
    <definedName name="___OP10" localSheetId="7">#REF!</definedName>
    <definedName name="___OP10" localSheetId="9">#REF!</definedName>
    <definedName name="___OP10" localSheetId="10">#REF!</definedName>
    <definedName name="___OP10" localSheetId="15">#REF!</definedName>
    <definedName name="___OP10" localSheetId="19">#REF!</definedName>
    <definedName name="___OP10" localSheetId="20">#REF!</definedName>
    <definedName name="___OP10" localSheetId="24">#REF!</definedName>
    <definedName name="___OP10" localSheetId="104">#REF!</definedName>
    <definedName name="___OP10" localSheetId="65">#REF!</definedName>
    <definedName name="___OP10" localSheetId="64">#REF!</definedName>
    <definedName name="___OP10" localSheetId="77">#REF!</definedName>
    <definedName name="___OP10" localSheetId="49">#REF!</definedName>
    <definedName name="___OP10" localSheetId="40">#REF!</definedName>
    <definedName name="___OP10" localSheetId="43">#REF!</definedName>
    <definedName name="___OP10" localSheetId="13">#REF!</definedName>
    <definedName name="___OP10" localSheetId="38">#REF!</definedName>
    <definedName name="___OP10">#REF!</definedName>
    <definedName name="___OP11" localSheetId="3">#REF!</definedName>
    <definedName name="___OP11" localSheetId="7">#REF!</definedName>
    <definedName name="___OP11" localSheetId="9">#REF!</definedName>
    <definedName name="___OP11" localSheetId="10">#REF!</definedName>
    <definedName name="___OP11" localSheetId="15">#REF!</definedName>
    <definedName name="___OP11" localSheetId="19">#REF!</definedName>
    <definedName name="___OP11" localSheetId="20">#REF!</definedName>
    <definedName name="___OP11" localSheetId="24">#REF!</definedName>
    <definedName name="___OP11" localSheetId="104">#REF!</definedName>
    <definedName name="___OP11" localSheetId="65">#REF!</definedName>
    <definedName name="___OP11" localSheetId="64">#REF!</definedName>
    <definedName name="___OP11" localSheetId="77">#REF!</definedName>
    <definedName name="___OP11" localSheetId="49">#REF!</definedName>
    <definedName name="___OP11" localSheetId="40">#REF!</definedName>
    <definedName name="___OP11" localSheetId="43">#REF!</definedName>
    <definedName name="___OP11" localSheetId="13">#REF!</definedName>
    <definedName name="___OP11" localSheetId="38">#REF!</definedName>
    <definedName name="___OP11">#REF!</definedName>
    <definedName name="___OP12" localSheetId="3">#REF!</definedName>
    <definedName name="___OP12" localSheetId="7">#REF!</definedName>
    <definedName name="___OP12" localSheetId="9">#REF!</definedName>
    <definedName name="___OP12" localSheetId="10">#REF!</definedName>
    <definedName name="___OP12" localSheetId="15">#REF!</definedName>
    <definedName name="___OP12" localSheetId="19">#REF!</definedName>
    <definedName name="___OP12" localSheetId="20">#REF!</definedName>
    <definedName name="___OP12" localSheetId="24">#REF!</definedName>
    <definedName name="___OP12" localSheetId="104">#REF!</definedName>
    <definedName name="___OP12" localSheetId="65">#REF!</definedName>
    <definedName name="___OP12" localSheetId="64">#REF!</definedName>
    <definedName name="___OP12" localSheetId="77">#REF!</definedName>
    <definedName name="___OP12" localSheetId="49">#REF!</definedName>
    <definedName name="___OP12" localSheetId="40">#REF!</definedName>
    <definedName name="___OP12" localSheetId="43">#REF!</definedName>
    <definedName name="___OP12" localSheetId="13">#REF!</definedName>
    <definedName name="___OP12" localSheetId="38">#REF!</definedName>
    <definedName name="___OP12">#REF!</definedName>
    <definedName name="___OP13" localSheetId="3">#REF!</definedName>
    <definedName name="___OP13" localSheetId="7">#REF!</definedName>
    <definedName name="___OP13" localSheetId="9">#REF!</definedName>
    <definedName name="___OP13" localSheetId="10">#REF!</definedName>
    <definedName name="___OP13" localSheetId="15">#REF!</definedName>
    <definedName name="___OP13" localSheetId="19">#REF!</definedName>
    <definedName name="___OP13" localSheetId="20">#REF!</definedName>
    <definedName name="___OP13" localSheetId="24">#REF!</definedName>
    <definedName name="___OP13" localSheetId="104">#REF!</definedName>
    <definedName name="___OP13" localSheetId="65">#REF!</definedName>
    <definedName name="___OP13" localSheetId="64">#REF!</definedName>
    <definedName name="___OP13" localSheetId="77">#REF!</definedName>
    <definedName name="___OP13" localSheetId="49">#REF!</definedName>
    <definedName name="___OP13" localSheetId="40">#REF!</definedName>
    <definedName name="___OP13" localSheetId="43">#REF!</definedName>
    <definedName name="___OP13" localSheetId="13">#REF!</definedName>
    <definedName name="___OP13" localSheetId="38">#REF!</definedName>
    <definedName name="___OP13">#REF!</definedName>
    <definedName name="___OP14" localSheetId="3">#REF!</definedName>
    <definedName name="___OP14" localSheetId="7">#REF!</definedName>
    <definedName name="___OP14" localSheetId="9">#REF!</definedName>
    <definedName name="___OP14" localSheetId="10">#REF!</definedName>
    <definedName name="___OP14" localSheetId="15">#REF!</definedName>
    <definedName name="___OP14" localSheetId="19">#REF!</definedName>
    <definedName name="___OP14" localSheetId="20">#REF!</definedName>
    <definedName name="___OP14" localSheetId="24">#REF!</definedName>
    <definedName name="___OP14" localSheetId="104">#REF!</definedName>
    <definedName name="___OP14" localSheetId="65">#REF!</definedName>
    <definedName name="___OP14" localSheetId="64">#REF!</definedName>
    <definedName name="___OP14" localSheetId="77">#REF!</definedName>
    <definedName name="___OP14" localSheetId="49">#REF!</definedName>
    <definedName name="___OP14" localSheetId="40">#REF!</definedName>
    <definedName name="___OP14" localSheetId="43">#REF!</definedName>
    <definedName name="___OP14" localSheetId="13">#REF!</definedName>
    <definedName name="___OP14" localSheetId="38">#REF!</definedName>
    <definedName name="___OP14">#REF!</definedName>
    <definedName name="___OP15" localSheetId="3">#REF!</definedName>
    <definedName name="___OP15" localSheetId="7">#REF!</definedName>
    <definedName name="___OP15" localSheetId="9">#REF!</definedName>
    <definedName name="___OP15" localSheetId="10">#REF!</definedName>
    <definedName name="___OP15" localSheetId="15">#REF!</definedName>
    <definedName name="___OP15" localSheetId="19">#REF!</definedName>
    <definedName name="___OP15" localSheetId="20">#REF!</definedName>
    <definedName name="___OP15" localSheetId="24">#REF!</definedName>
    <definedName name="___OP15" localSheetId="104">#REF!</definedName>
    <definedName name="___OP15" localSheetId="65">#REF!</definedName>
    <definedName name="___OP15" localSheetId="64">#REF!</definedName>
    <definedName name="___OP15" localSheetId="77">#REF!</definedName>
    <definedName name="___OP15" localSheetId="49">#REF!</definedName>
    <definedName name="___OP15" localSheetId="40">#REF!</definedName>
    <definedName name="___OP15" localSheetId="43">#REF!</definedName>
    <definedName name="___OP15" localSheetId="13">#REF!</definedName>
    <definedName name="___OP15" localSheetId="38">#REF!</definedName>
    <definedName name="___OP15">#REF!</definedName>
    <definedName name="___OP2" localSheetId="3">#REF!</definedName>
    <definedName name="___OP2" localSheetId="7">#REF!</definedName>
    <definedName name="___OP2" localSheetId="9">#REF!</definedName>
    <definedName name="___OP2" localSheetId="10">#REF!</definedName>
    <definedName name="___OP2" localSheetId="15">#REF!</definedName>
    <definedName name="___OP2" localSheetId="19">#REF!</definedName>
    <definedName name="___OP2" localSheetId="20">#REF!</definedName>
    <definedName name="___OP2" localSheetId="24">#REF!</definedName>
    <definedName name="___OP2" localSheetId="104">#REF!</definedName>
    <definedName name="___OP2" localSheetId="65">#REF!</definedName>
    <definedName name="___OP2" localSheetId="64">#REF!</definedName>
    <definedName name="___OP2" localSheetId="77">#REF!</definedName>
    <definedName name="___OP2" localSheetId="49">#REF!</definedName>
    <definedName name="___OP2" localSheetId="40">#REF!</definedName>
    <definedName name="___OP2" localSheetId="43">#REF!</definedName>
    <definedName name="___OP2" localSheetId="13">#REF!</definedName>
    <definedName name="___OP2" localSheetId="38">#REF!</definedName>
    <definedName name="___OP2">#REF!</definedName>
    <definedName name="___OP3" localSheetId="3">#REF!</definedName>
    <definedName name="___OP3" localSheetId="7">#REF!</definedName>
    <definedName name="___OP3" localSheetId="9">#REF!</definedName>
    <definedName name="___OP3" localSheetId="10">#REF!</definedName>
    <definedName name="___OP3" localSheetId="15">#REF!</definedName>
    <definedName name="___OP3" localSheetId="19">#REF!</definedName>
    <definedName name="___OP3" localSheetId="20">#REF!</definedName>
    <definedName name="___OP3" localSheetId="24">#REF!</definedName>
    <definedName name="___OP3" localSheetId="104">#REF!</definedName>
    <definedName name="___OP3" localSheetId="65">#REF!</definedName>
    <definedName name="___OP3" localSheetId="64">#REF!</definedName>
    <definedName name="___OP3" localSheetId="77">#REF!</definedName>
    <definedName name="___OP3" localSheetId="49">#REF!</definedName>
    <definedName name="___OP3" localSheetId="40">#REF!</definedName>
    <definedName name="___OP3" localSheetId="43">#REF!</definedName>
    <definedName name="___OP3" localSheetId="13">#REF!</definedName>
    <definedName name="___OP3" localSheetId="38">#REF!</definedName>
    <definedName name="___OP3">#REF!</definedName>
    <definedName name="___OP4" localSheetId="3">#REF!</definedName>
    <definedName name="___OP4" localSheetId="7">#REF!</definedName>
    <definedName name="___OP4" localSheetId="9">#REF!</definedName>
    <definedName name="___OP4" localSheetId="10">#REF!</definedName>
    <definedName name="___OP4" localSheetId="15">#REF!</definedName>
    <definedName name="___OP4" localSheetId="19">#REF!</definedName>
    <definedName name="___OP4" localSheetId="20">#REF!</definedName>
    <definedName name="___OP4" localSheetId="24">#REF!</definedName>
    <definedName name="___OP4" localSheetId="104">#REF!</definedName>
    <definedName name="___OP4" localSheetId="65">#REF!</definedName>
    <definedName name="___OP4" localSheetId="64">#REF!</definedName>
    <definedName name="___OP4" localSheetId="77">#REF!</definedName>
    <definedName name="___OP4" localSheetId="49">#REF!</definedName>
    <definedName name="___OP4" localSheetId="40">#REF!</definedName>
    <definedName name="___OP4" localSheetId="43">#REF!</definedName>
    <definedName name="___OP4" localSheetId="13">#REF!</definedName>
    <definedName name="___OP4" localSheetId="38">#REF!</definedName>
    <definedName name="___OP4">#REF!</definedName>
    <definedName name="___OP5" localSheetId="3">#REF!</definedName>
    <definedName name="___OP5" localSheetId="7">#REF!</definedName>
    <definedName name="___OP5" localSheetId="9">#REF!</definedName>
    <definedName name="___OP5" localSheetId="10">#REF!</definedName>
    <definedName name="___OP5" localSheetId="15">#REF!</definedName>
    <definedName name="___OP5" localSheetId="19">#REF!</definedName>
    <definedName name="___OP5" localSheetId="20">#REF!</definedName>
    <definedName name="___OP5" localSheetId="24">#REF!</definedName>
    <definedName name="___OP5" localSheetId="104">#REF!</definedName>
    <definedName name="___OP5" localSheetId="65">#REF!</definedName>
    <definedName name="___OP5" localSheetId="64">#REF!</definedName>
    <definedName name="___OP5" localSheetId="77">#REF!</definedName>
    <definedName name="___OP5" localSheetId="49">#REF!</definedName>
    <definedName name="___OP5" localSheetId="40">#REF!</definedName>
    <definedName name="___OP5" localSheetId="43">#REF!</definedName>
    <definedName name="___OP5" localSheetId="13">#REF!</definedName>
    <definedName name="___OP5" localSheetId="38">#REF!</definedName>
    <definedName name="___OP5">#REF!</definedName>
    <definedName name="___OP6" localSheetId="3">#REF!</definedName>
    <definedName name="___OP6" localSheetId="7">#REF!</definedName>
    <definedName name="___OP6" localSheetId="9">#REF!</definedName>
    <definedName name="___OP6" localSheetId="10">#REF!</definedName>
    <definedName name="___OP6" localSheetId="15">#REF!</definedName>
    <definedName name="___OP6" localSheetId="19">#REF!</definedName>
    <definedName name="___OP6" localSheetId="20">#REF!</definedName>
    <definedName name="___OP6" localSheetId="24">#REF!</definedName>
    <definedName name="___OP6" localSheetId="104">#REF!</definedName>
    <definedName name="___OP6" localSheetId="65">#REF!</definedName>
    <definedName name="___OP6" localSheetId="64">#REF!</definedName>
    <definedName name="___OP6" localSheetId="77">#REF!</definedName>
    <definedName name="___OP6" localSheetId="49">#REF!</definedName>
    <definedName name="___OP6" localSheetId="40">#REF!</definedName>
    <definedName name="___OP6" localSheetId="43">#REF!</definedName>
    <definedName name="___OP6" localSheetId="13">#REF!</definedName>
    <definedName name="___OP6" localSheetId="38">#REF!</definedName>
    <definedName name="___OP6">#REF!</definedName>
    <definedName name="___OP7" localSheetId="3">#REF!</definedName>
    <definedName name="___OP7" localSheetId="7">#REF!</definedName>
    <definedName name="___OP7" localSheetId="9">#REF!</definedName>
    <definedName name="___OP7" localSheetId="10">#REF!</definedName>
    <definedName name="___OP7" localSheetId="15">#REF!</definedName>
    <definedName name="___OP7" localSheetId="19">#REF!</definedName>
    <definedName name="___OP7" localSheetId="20">#REF!</definedName>
    <definedName name="___OP7" localSheetId="24">#REF!</definedName>
    <definedName name="___OP7" localSheetId="104">#REF!</definedName>
    <definedName name="___OP7" localSheetId="65">#REF!</definedName>
    <definedName name="___OP7" localSheetId="64">#REF!</definedName>
    <definedName name="___OP7" localSheetId="77">#REF!</definedName>
    <definedName name="___OP7" localSheetId="49">#REF!</definedName>
    <definedName name="___OP7" localSheetId="40">#REF!</definedName>
    <definedName name="___OP7" localSheetId="43">#REF!</definedName>
    <definedName name="___OP7" localSheetId="13">#REF!</definedName>
    <definedName name="___OP7" localSheetId="38">#REF!</definedName>
    <definedName name="___OP7">#REF!</definedName>
    <definedName name="___OP8" localSheetId="3">#REF!</definedName>
    <definedName name="___OP8" localSheetId="7">#REF!</definedName>
    <definedName name="___OP8" localSheetId="9">#REF!</definedName>
    <definedName name="___OP8" localSheetId="10">#REF!</definedName>
    <definedName name="___OP8" localSheetId="15">#REF!</definedName>
    <definedName name="___OP8" localSheetId="19">#REF!</definedName>
    <definedName name="___OP8" localSheetId="20">#REF!</definedName>
    <definedName name="___OP8" localSheetId="24">#REF!</definedName>
    <definedName name="___OP8" localSheetId="104">#REF!</definedName>
    <definedName name="___OP8" localSheetId="65">#REF!</definedName>
    <definedName name="___OP8" localSheetId="64">#REF!</definedName>
    <definedName name="___OP8" localSheetId="77">#REF!</definedName>
    <definedName name="___OP8" localSheetId="49">#REF!</definedName>
    <definedName name="___OP8" localSheetId="40">#REF!</definedName>
    <definedName name="___OP8" localSheetId="43">#REF!</definedName>
    <definedName name="___OP8" localSheetId="13">#REF!</definedName>
    <definedName name="___OP8" localSheetId="38">#REF!</definedName>
    <definedName name="___OP8">#REF!</definedName>
    <definedName name="___OP9" localSheetId="3">#REF!</definedName>
    <definedName name="___OP9" localSheetId="7">#REF!</definedName>
    <definedName name="___OP9" localSheetId="9">#REF!</definedName>
    <definedName name="___OP9" localSheetId="10">#REF!</definedName>
    <definedName name="___OP9" localSheetId="15">#REF!</definedName>
    <definedName name="___OP9" localSheetId="19">#REF!</definedName>
    <definedName name="___OP9" localSheetId="20">#REF!</definedName>
    <definedName name="___OP9" localSheetId="24">#REF!</definedName>
    <definedName name="___OP9" localSheetId="104">#REF!</definedName>
    <definedName name="___OP9" localSheetId="65">#REF!</definedName>
    <definedName name="___OP9" localSheetId="64">#REF!</definedName>
    <definedName name="___OP9" localSheetId="77">#REF!</definedName>
    <definedName name="___OP9" localSheetId="49">#REF!</definedName>
    <definedName name="___OP9" localSheetId="40">#REF!</definedName>
    <definedName name="___OP9" localSheetId="43">#REF!</definedName>
    <definedName name="___OP9" localSheetId="13">#REF!</definedName>
    <definedName name="___OP9" localSheetId="38">#REF!</definedName>
    <definedName name="___OP9">#REF!</definedName>
    <definedName name="___PG10" localSheetId="3">#REF!</definedName>
    <definedName name="___PG10" localSheetId="7">#REF!</definedName>
    <definedName name="___PG10" localSheetId="9">#REF!</definedName>
    <definedName name="___PG10" localSheetId="10">#REF!</definedName>
    <definedName name="___PG10" localSheetId="15">#REF!</definedName>
    <definedName name="___PG10" localSheetId="19">#REF!</definedName>
    <definedName name="___PG10" localSheetId="20">#REF!</definedName>
    <definedName name="___PG10" localSheetId="24">#REF!</definedName>
    <definedName name="___PG10" localSheetId="104">#REF!</definedName>
    <definedName name="___PG10" localSheetId="65">#REF!</definedName>
    <definedName name="___PG10" localSheetId="64">#REF!</definedName>
    <definedName name="___PG10" localSheetId="77">#REF!</definedName>
    <definedName name="___PG10" localSheetId="49">#REF!</definedName>
    <definedName name="___PG10" localSheetId="40">#REF!</definedName>
    <definedName name="___PG10" localSheetId="43">#REF!</definedName>
    <definedName name="___PG10" localSheetId="13">#REF!</definedName>
    <definedName name="___PG10" localSheetId="38">#REF!</definedName>
    <definedName name="___PG10">#REF!</definedName>
    <definedName name="___PG2" localSheetId="3">#REF!</definedName>
    <definedName name="___PG2" localSheetId="7">#REF!</definedName>
    <definedName name="___PG2" localSheetId="9">#REF!</definedName>
    <definedName name="___PG2" localSheetId="10">#REF!</definedName>
    <definedName name="___PG2" localSheetId="15">#REF!</definedName>
    <definedName name="___PG2" localSheetId="19">#REF!</definedName>
    <definedName name="___PG2" localSheetId="20">#REF!</definedName>
    <definedName name="___PG2" localSheetId="24">#REF!</definedName>
    <definedName name="___PG2" localSheetId="104">#REF!</definedName>
    <definedName name="___PG2" localSheetId="65">#REF!</definedName>
    <definedName name="___PG2" localSheetId="64">#REF!</definedName>
    <definedName name="___PG2" localSheetId="77">#REF!</definedName>
    <definedName name="___PG2" localSheetId="49">#REF!</definedName>
    <definedName name="___PG2" localSheetId="40">#REF!</definedName>
    <definedName name="___PG2" localSheetId="43">#REF!</definedName>
    <definedName name="___PG2" localSheetId="13">#REF!</definedName>
    <definedName name="___PG2" localSheetId="38">#REF!</definedName>
    <definedName name="___PG2">#REF!</definedName>
    <definedName name="___PG5" localSheetId="3">#REF!</definedName>
    <definedName name="___PG5" localSheetId="7">#REF!</definedName>
    <definedName name="___PG5" localSheetId="9">#REF!</definedName>
    <definedName name="___PG5" localSheetId="10">#REF!</definedName>
    <definedName name="___PG5" localSheetId="15">#REF!</definedName>
    <definedName name="___PG5" localSheetId="19">#REF!</definedName>
    <definedName name="___PG5" localSheetId="20">#REF!</definedName>
    <definedName name="___PG5" localSheetId="24">#REF!</definedName>
    <definedName name="___PG5" localSheetId="104">#REF!</definedName>
    <definedName name="___PG5" localSheetId="65">#REF!</definedName>
    <definedName name="___PG5" localSheetId="64">#REF!</definedName>
    <definedName name="___PG5" localSheetId="77">#REF!</definedName>
    <definedName name="___PG5" localSheetId="49">#REF!</definedName>
    <definedName name="___PG5" localSheetId="40">#REF!</definedName>
    <definedName name="___PG5" localSheetId="43">#REF!</definedName>
    <definedName name="___PG5" localSheetId="13">#REF!</definedName>
    <definedName name="___PG5" localSheetId="38">#REF!</definedName>
    <definedName name="___PG5">#REF!</definedName>
    <definedName name="___PG8" localSheetId="3">#REF!</definedName>
    <definedName name="___PG8" localSheetId="7">#REF!</definedName>
    <definedName name="___PG8" localSheetId="9">#REF!</definedName>
    <definedName name="___PG8" localSheetId="10">#REF!</definedName>
    <definedName name="___PG8" localSheetId="15">#REF!</definedName>
    <definedName name="___PG8" localSheetId="19">#REF!</definedName>
    <definedName name="___PG8" localSheetId="20">#REF!</definedName>
    <definedName name="___PG8" localSheetId="24">#REF!</definedName>
    <definedName name="___PG8" localSheetId="104">#REF!</definedName>
    <definedName name="___PG8" localSheetId="65">#REF!</definedName>
    <definedName name="___PG8" localSheetId="64">#REF!</definedName>
    <definedName name="___PG8" localSheetId="77">#REF!</definedName>
    <definedName name="___PG8" localSheetId="49">#REF!</definedName>
    <definedName name="___PG8" localSheetId="40">#REF!</definedName>
    <definedName name="___PG8" localSheetId="43">#REF!</definedName>
    <definedName name="___PG8" localSheetId="13">#REF!</definedName>
    <definedName name="___PG8" localSheetId="38">#REF!</definedName>
    <definedName name="___PG8">#REF!</definedName>
    <definedName name="___PG9" localSheetId="3">#REF!</definedName>
    <definedName name="___PG9" localSheetId="7">#REF!</definedName>
    <definedName name="___PG9" localSheetId="9">#REF!</definedName>
    <definedName name="___PG9" localSheetId="10">#REF!</definedName>
    <definedName name="___PG9" localSheetId="15">#REF!</definedName>
    <definedName name="___PG9" localSheetId="19">#REF!</definedName>
    <definedName name="___PG9" localSheetId="20">#REF!</definedName>
    <definedName name="___PG9" localSheetId="24">#REF!</definedName>
    <definedName name="___PG9" localSheetId="104">#REF!</definedName>
    <definedName name="___PG9" localSheetId="65">#REF!</definedName>
    <definedName name="___PG9" localSheetId="64">#REF!</definedName>
    <definedName name="___PG9" localSheetId="77">#REF!</definedName>
    <definedName name="___PG9" localSheetId="49">#REF!</definedName>
    <definedName name="___PG9" localSheetId="40">#REF!</definedName>
    <definedName name="___PG9" localSheetId="43">#REF!</definedName>
    <definedName name="___PG9" localSheetId="13">#REF!</definedName>
    <definedName name="___PG9" localSheetId="38">#REF!</definedName>
    <definedName name="___PG9">#REF!</definedName>
    <definedName name="___Pi2" localSheetId="3">#REF!</definedName>
    <definedName name="___Pi2" localSheetId="7">#REF!</definedName>
    <definedName name="___Pi2" localSheetId="9">#REF!</definedName>
    <definedName name="___Pi2" localSheetId="10">#REF!</definedName>
    <definedName name="___Pi2" localSheetId="15">#REF!</definedName>
    <definedName name="___Pi2" localSheetId="19">#REF!</definedName>
    <definedName name="___Pi2" localSheetId="20">#REF!</definedName>
    <definedName name="___Pi2" localSheetId="24">#REF!</definedName>
    <definedName name="___Pi2" localSheetId="104">#REF!</definedName>
    <definedName name="___Pi2" localSheetId="65">#REF!</definedName>
    <definedName name="___Pi2" localSheetId="64">#REF!</definedName>
    <definedName name="___Pi2" localSheetId="77">#REF!</definedName>
    <definedName name="___Pi2" localSheetId="49">#REF!</definedName>
    <definedName name="___Pi2" localSheetId="40">#REF!</definedName>
    <definedName name="___Pi2" localSheetId="43">#REF!</definedName>
    <definedName name="___Pi2" localSheetId="13">#REF!</definedName>
    <definedName name="___Pi2" localSheetId="38">#REF!</definedName>
    <definedName name="___Pi2">#REF!</definedName>
    <definedName name="___Rs2" localSheetId="3">#REF!</definedName>
    <definedName name="___Rs2" localSheetId="7">#REF!</definedName>
    <definedName name="___Rs2" localSheetId="9">#REF!</definedName>
    <definedName name="___Rs2" localSheetId="10">#REF!</definedName>
    <definedName name="___Rs2" localSheetId="15">#REF!</definedName>
    <definedName name="___Rs2" localSheetId="19">#REF!</definedName>
    <definedName name="___Rs2" localSheetId="20">#REF!</definedName>
    <definedName name="___Rs2" localSheetId="24">#REF!</definedName>
    <definedName name="___Rs2" localSheetId="104">#REF!</definedName>
    <definedName name="___Rs2" localSheetId="65">#REF!</definedName>
    <definedName name="___Rs2" localSheetId="64">#REF!</definedName>
    <definedName name="___Rs2" localSheetId="77">#REF!</definedName>
    <definedName name="___Rs2" localSheetId="49">#REF!</definedName>
    <definedName name="___Rs2" localSheetId="40">#REF!</definedName>
    <definedName name="___Rs2" localSheetId="43">#REF!</definedName>
    <definedName name="___Rs2" localSheetId="13">#REF!</definedName>
    <definedName name="___Rs2" localSheetId="38">#REF!</definedName>
    <definedName name="___Rs2">#REF!</definedName>
    <definedName name="___SGi2" localSheetId="3">#REF!</definedName>
    <definedName name="___SGi2" localSheetId="7">#REF!</definedName>
    <definedName name="___SGi2" localSheetId="9">#REF!</definedName>
    <definedName name="___SGi2" localSheetId="10">#REF!</definedName>
    <definedName name="___SGi2" localSheetId="15">#REF!</definedName>
    <definedName name="___SGi2" localSheetId="19">#REF!</definedName>
    <definedName name="___SGi2" localSheetId="20">#REF!</definedName>
    <definedName name="___SGi2" localSheetId="24">#REF!</definedName>
    <definedName name="___SGi2" localSheetId="104">#REF!</definedName>
    <definedName name="___SGi2" localSheetId="65">#REF!</definedName>
    <definedName name="___SGi2" localSheetId="64">#REF!</definedName>
    <definedName name="___SGi2" localSheetId="77">#REF!</definedName>
    <definedName name="___SGi2" localSheetId="49">#REF!</definedName>
    <definedName name="___SGi2" localSheetId="40">#REF!</definedName>
    <definedName name="___SGi2" localSheetId="43">#REF!</definedName>
    <definedName name="___SGi2" localSheetId="13">#REF!</definedName>
    <definedName name="___SGi2" localSheetId="38">#REF!</definedName>
    <definedName name="___SGi2">#REF!</definedName>
    <definedName name="___SO2" localSheetId="3">#REF!</definedName>
    <definedName name="___SO2" localSheetId="7">#REF!</definedName>
    <definedName name="___SO2" localSheetId="9">#REF!</definedName>
    <definedName name="___SO2" localSheetId="10">#REF!</definedName>
    <definedName name="___SO2" localSheetId="15">#REF!</definedName>
    <definedName name="___SO2" localSheetId="19">#REF!</definedName>
    <definedName name="___SO2" localSheetId="20">#REF!</definedName>
    <definedName name="___SO2" localSheetId="24">#REF!</definedName>
    <definedName name="___SO2" localSheetId="104">#REF!</definedName>
    <definedName name="___SO2" localSheetId="65">#REF!</definedName>
    <definedName name="___SO2" localSheetId="64">#REF!</definedName>
    <definedName name="___SO2" localSheetId="77">#REF!</definedName>
    <definedName name="___SO2" localSheetId="49">#REF!</definedName>
    <definedName name="___SO2" localSheetId="40">#REF!</definedName>
    <definedName name="___SO2" localSheetId="43">#REF!</definedName>
    <definedName name="___SO2" localSheetId="13">#REF!</definedName>
    <definedName name="___SO2" localSheetId="38">#REF!</definedName>
    <definedName name="___SO2">#REF!</definedName>
    <definedName name="___SRC1" localSheetId="3">#REF!</definedName>
    <definedName name="___SRC1" localSheetId="7">#REF!</definedName>
    <definedName name="___SRC1" localSheetId="9">#REF!</definedName>
    <definedName name="___SRC1" localSheetId="10">#REF!</definedName>
    <definedName name="___SRC1" localSheetId="15">#REF!</definedName>
    <definedName name="___SRC1" localSheetId="19">#REF!</definedName>
    <definedName name="___SRC1" localSheetId="20">#REF!</definedName>
    <definedName name="___SRC1" localSheetId="24">#REF!</definedName>
    <definedName name="___SRC1" localSheetId="104">#REF!</definedName>
    <definedName name="___SRC1" localSheetId="65">#REF!</definedName>
    <definedName name="___SRC1" localSheetId="64">#REF!</definedName>
    <definedName name="___SRC1" localSheetId="77">#REF!</definedName>
    <definedName name="___SRC1" localSheetId="49">#REF!</definedName>
    <definedName name="___SRC1" localSheetId="40">#REF!</definedName>
    <definedName name="___SRC1" localSheetId="43">#REF!</definedName>
    <definedName name="___SRC1" localSheetId="13">#REF!</definedName>
    <definedName name="___SRC1" localSheetId="38">#REF!</definedName>
    <definedName name="___SRC1">#REF!</definedName>
    <definedName name="___SRC10" localSheetId="3">#REF!</definedName>
    <definedName name="___SRC10" localSheetId="7">#REF!</definedName>
    <definedName name="___SRC10" localSheetId="9">#REF!</definedName>
    <definedName name="___SRC10" localSheetId="10">#REF!</definedName>
    <definedName name="___SRC10" localSheetId="15">#REF!</definedName>
    <definedName name="___SRC10" localSheetId="19">#REF!</definedName>
    <definedName name="___SRC10" localSheetId="20">#REF!</definedName>
    <definedName name="___SRC10" localSheetId="24">#REF!</definedName>
    <definedName name="___SRC10" localSheetId="104">#REF!</definedName>
    <definedName name="___SRC10" localSheetId="65">#REF!</definedName>
    <definedName name="___SRC10" localSheetId="64">#REF!</definedName>
    <definedName name="___SRC10" localSheetId="77">#REF!</definedName>
    <definedName name="___SRC10" localSheetId="49">#REF!</definedName>
    <definedName name="___SRC10" localSheetId="40">#REF!</definedName>
    <definedName name="___SRC10" localSheetId="43">#REF!</definedName>
    <definedName name="___SRC10" localSheetId="13">#REF!</definedName>
    <definedName name="___SRC10" localSheetId="38">#REF!</definedName>
    <definedName name="___SRC10">#REF!</definedName>
    <definedName name="___SRC11" localSheetId="3">#REF!</definedName>
    <definedName name="___SRC11" localSheetId="7">#REF!</definedName>
    <definedName name="___SRC11" localSheetId="9">#REF!</definedName>
    <definedName name="___SRC11" localSheetId="10">#REF!</definedName>
    <definedName name="___SRC11" localSheetId="15">#REF!</definedName>
    <definedName name="___SRC11" localSheetId="19">#REF!</definedName>
    <definedName name="___SRC11" localSheetId="20">#REF!</definedName>
    <definedName name="___SRC11" localSheetId="24">#REF!</definedName>
    <definedName name="___SRC11" localSheetId="104">#REF!</definedName>
    <definedName name="___SRC11" localSheetId="65">#REF!</definedName>
    <definedName name="___SRC11" localSheetId="64">#REF!</definedName>
    <definedName name="___SRC11" localSheetId="77">#REF!</definedName>
    <definedName name="___SRC11" localSheetId="49">#REF!</definedName>
    <definedName name="___SRC11" localSheetId="40">#REF!</definedName>
    <definedName name="___SRC11" localSheetId="43">#REF!</definedName>
    <definedName name="___SRC11" localSheetId="13">#REF!</definedName>
    <definedName name="___SRC11" localSheetId="38">#REF!</definedName>
    <definedName name="___SRC11">#REF!</definedName>
    <definedName name="___SRC12" localSheetId="3">#REF!</definedName>
    <definedName name="___SRC12" localSheetId="7">#REF!</definedName>
    <definedName name="___SRC12" localSheetId="9">#REF!</definedName>
    <definedName name="___SRC12" localSheetId="10">#REF!</definedName>
    <definedName name="___SRC12" localSheetId="15">#REF!</definedName>
    <definedName name="___SRC12" localSheetId="19">#REF!</definedName>
    <definedName name="___SRC12" localSheetId="20">#REF!</definedName>
    <definedName name="___SRC12" localSheetId="24">#REF!</definedName>
    <definedName name="___SRC12" localSheetId="104">#REF!</definedName>
    <definedName name="___SRC12" localSheetId="65">#REF!</definedName>
    <definedName name="___SRC12" localSheetId="64">#REF!</definedName>
    <definedName name="___SRC12" localSheetId="77">#REF!</definedName>
    <definedName name="___SRC12" localSheetId="49">#REF!</definedName>
    <definedName name="___SRC12" localSheetId="40">#REF!</definedName>
    <definedName name="___SRC12" localSheetId="43">#REF!</definedName>
    <definedName name="___SRC12" localSheetId="13">#REF!</definedName>
    <definedName name="___SRC12" localSheetId="38">#REF!</definedName>
    <definedName name="___SRC12">#REF!</definedName>
    <definedName name="___SRC13" localSheetId="3">#REF!</definedName>
    <definedName name="___SRC13" localSheetId="7">#REF!</definedName>
    <definedName name="___SRC13" localSheetId="9">#REF!</definedName>
    <definedName name="___SRC13" localSheetId="10">#REF!</definedName>
    <definedName name="___SRC13" localSheetId="15">#REF!</definedName>
    <definedName name="___SRC13" localSheetId="19">#REF!</definedName>
    <definedName name="___SRC13" localSheetId="20">#REF!</definedName>
    <definedName name="___SRC13" localSheetId="24">#REF!</definedName>
    <definedName name="___SRC13" localSheetId="104">#REF!</definedName>
    <definedName name="___SRC13" localSheetId="65">#REF!</definedName>
    <definedName name="___SRC13" localSheetId="64">#REF!</definedName>
    <definedName name="___SRC13" localSheetId="77">#REF!</definedName>
    <definedName name="___SRC13" localSheetId="49">#REF!</definedName>
    <definedName name="___SRC13" localSheetId="40">#REF!</definedName>
    <definedName name="___SRC13" localSheetId="43">#REF!</definedName>
    <definedName name="___SRC13" localSheetId="13">#REF!</definedName>
    <definedName name="___SRC13" localSheetId="38">#REF!</definedName>
    <definedName name="___SRC13">#REF!</definedName>
    <definedName name="___SRC17" localSheetId="3">#REF!</definedName>
    <definedName name="___SRC17" localSheetId="7">#REF!</definedName>
    <definedName name="___SRC17" localSheetId="9">#REF!</definedName>
    <definedName name="___SRC17" localSheetId="10">#REF!</definedName>
    <definedName name="___SRC17" localSheetId="15">#REF!</definedName>
    <definedName name="___SRC17" localSheetId="19">#REF!</definedName>
    <definedName name="___SRC17" localSheetId="20">#REF!</definedName>
    <definedName name="___SRC17" localSheetId="24">#REF!</definedName>
    <definedName name="___SRC17" localSheetId="104">#REF!</definedName>
    <definedName name="___SRC17" localSheetId="65">#REF!</definedName>
    <definedName name="___SRC17" localSheetId="64">#REF!</definedName>
    <definedName name="___SRC17" localSheetId="77">#REF!</definedName>
    <definedName name="___SRC17" localSheetId="49">#REF!</definedName>
    <definedName name="___SRC17" localSheetId="40">#REF!</definedName>
    <definedName name="___SRC17" localSheetId="43">#REF!</definedName>
    <definedName name="___SRC17" localSheetId="13">#REF!</definedName>
    <definedName name="___SRC17" localSheetId="38">#REF!</definedName>
    <definedName name="___SRC17">#REF!</definedName>
    <definedName name="___SRC19" localSheetId="3">#REF!</definedName>
    <definedName name="___SRC19" localSheetId="7">#REF!</definedName>
    <definedName name="___SRC19" localSheetId="9">#REF!</definedName>
    <definedName name="___SRC19" localSheetId="10">#REF!</definedName>
    <definedName name="___SRC19" localSheetId="15">#REF!</definedName>
    <definedName name="___SRC19" localSheetId="19">#REF!</definedName>
    <definedName name="___SRC19" localSheetId="20">#REF!</definedName>
    <definedName name="___SRC19" localSheetId="24">#REF!</definedName>
    <definedName name="___SRC19" localSheetId="104">#REF!</definedName>
    <definedName name="___SRC19" localSheetId="65">#REF!</definedName>
    <definedName name="___SRC19" localSheetId="64">#REF!</definedName>
    <definedName name="___SRC19" localSheetId="77">#REF!</definedName>
    <definedName name="___SRC19" localSheetId="49">#REF!</definedName>
    <definedName name="___SRC19" localSheetId="40">#REF!</definedName>
    <definedName name="___SRC19" localSheetId="43">#REF!</definedName>
    <definedName name="___SRC19" localSheetId="13">#REF!</definedName>
    <definedName name="___SRC19" localSheetId="38">#REF!</definedName>
    <definedName name="___SRC19">#REF!</definedName>
    <definedName name="___SRC2" localSheetId="3">#REF!</definedName>
    <definedName name="___SRC2" localSheetId="7">#REF!</definedName>
    <definedName name="___SRC2" localSheetId="9">#REF!</definedName>
    <definedName name="___SRC2" localSheetId="10">#REF!</definedName>
    <definedName name="___SRC2" localSheetId="15">#REF!</definedName>
    <definedName name="___SRC2" localSheetId="19">#REF!</definedName>
    <definedName name="___SRC2" localSheetId="20">#REF!</definedName>
    <definedName name="___SRC2" localSheetId="24">#REF!</definedName>
    <definedName name="___SRC2" localSheetId="104">#REF!</definedName>
    <definedName name="___SRC2" localSheetId="65">#REF!</definedName>
    <definedName name="___SRC2" localSheetId="64">#REF!</definedName>
    <definedName name="___SRC2" localSheetId="77">#REF!</definedName>
    <definedName name="___SRC2" localSheetId="49">#REF!</definedName>
    <definedName name="___SRC2" localSheetId="40">#REF!</definedName>
    <definedName name="___SRC2" localSheetId="43">#REF!</definedName>
    <definedName name="___SRC2" localSheetId="13">#REF!</definedName>
    <definedName name="___SRC2" localSheetId="38">#REF!</definedName>
    <definedName name="___SRC2">#REF!</definedName>
    <definedName name="___SRC21" localSheetId="3">#REF!</definedName>
    <definedName name="___SRC21" localSheetId="7">#REF!</definedName>
    <definedName name="___SRC21" localSheetId="9">#REF!</definedName>
    <definedName name="___SRC21" localSheetId="10">#REF!</definedName>
    <definedName name="___SRC21" localSheetId="15">#REF!</definedName>
    <definedName name="___SRC21" localSheetId="19">#REF!</definedName>
    <definedName name="___SRC21" localSheetId="20">#REF!</definedName>
    <definedName name="___SRC21" localSheetId="24">#REF!</definedName>
    <definedName name="___SRC21" localSheetId="104">#REF!</definedName>
    <definedName name="___SRC21" localSheetId="65">#REF!</definedName>
    <definedName name="___SRC21" localSheetId="64">#REF!</definedName>
    <definedName name="___SRC21" localSheetId="77">#REF!</definedName>
    <definedName name="___SRC21" localSheetId="49">#REF!</definedName>
    <definedName name="___SRC21" localSheetId="40">#REF!</definedName>
    <definedName name="___SRC21" localSheetId="43">#REF!</definedName>
    <definedName name="___SRC21" localSheetId="13">#REF!</definedName>
    <definedName name="___SRC21" localSheetId="38">#REF!</definedName>
    <definedName name="___SRC21">#REF!</definedName>
    <definedName name="___SRC24" localSheetId="3">#REF!</definedName>
    <definedName name="___SRC24" localSheetId="7">#REF!</definedName>
    <definedName name="___SRC24" localSheetId="9">#REF!</definedName>
    <definedName name="___SRC24" localSheetId="10">#REF!</definedName>
    <definedName name="___SRC24" localSheetId="15">#REF!</definedName>
    <definedName name="___SRC24" localSheetId="19">#REF!</definedName>
    <definedName name="___SRC24" localSheetId="20">#REF!</definedName>
    <definedName name="___SRC24" localSheetId="24">#REF!</definedName>
    <definedName name="___SRC24" localSheetId="104">#REF!</definedName>
    <definedName name="___SRC24" localSheetId="65">#REF!</definedName>
    <definedName name="___SRC24" localSheetId="64">#REF!</definedName>
    <definedName name="___SRC24" localSheetId="77">#REF!</definedName>
    <definedName name="___SRC24" localSheetId="49">#REF!</definedName>
    <definedName name="___SRC24" localSheetId="40">#REF!</definedName>
    <definedName name="___SRC24" localSheetId="43">#REF!</definedName>
    <definedName name="___SRC24" localSheetId="13">#REF!</definedName>
    <definedName name="___SRC24" localSheetId="38">#REF!</definedName>
    <definedName name="___SRC24">#REF!</definedName>
    <definedName name="___SRC25" localSheetId="3">#REF!</definedName>
    <definedName name="___SRC25" localSheetId="7">#REF!</definedName>
    <definedName name="___SRC25" localSheetId="9">#REF!</definedName>
    <definedName name="___SRC25" localSheetId="10">#REF!</definedName>
    <definedName name="___SRC25" localSheetId="15">#REF!</definedName>
    <definedName name="___SRC25" localSheetId="19">#REF!</definedName>
    <definedName name="___SRC25" localSheetId="20">#REF!</definedName>
    <definedName name="___SRC25" localSheetId="24">#REF!</definedName>
    <definedName name="___SRC25" localSheetId="104">#REF!</definedName>
    <definedName name="___SRC25" localSheetId="65">#REF!</definedName>
    <definedName name="___SRC25" localSheetId="64">#REF!</definedName>
    <definedName name="___SRC25" localSheetId="77">#REF!</definedName>
    <definedName name="___SRC25" localSheetId="49">#REF!</definedName>
    <definedName name="___SRC25" localSheetId="40">#REF!</definedName>
    <definedName name="___SRC25" localSheetId="43">#REF!</definedName>
    <definedName name="___SRC25" localSheetId="13">#REF!</definedName>
    <definedName name="___SRC25" localSheetId="38">#REF!</definedName>
    <definedName name="___SRC25">#REF!</definedName>
    <definedName name="___SRC26" localSheetId="3">#REF!</definedName>
    <definedName name="___SRC26" localSheetId="7">#REF!</definedName>
    <definedName name="___SRC26" localSheetId="9">#REF!</definedName>
    <definedName name="___SRC26" localSheetId="10">#REF!</definedName>
    <definedName name="___SRC26" localSheetId="15">#REF!</definedName>
    <definedName name="___SRC26" localSheetId="19">#REF!</definedName>
    <definedName name="___SRC26" localSheetId="20">#REF!</definedName>
    <definedName name="___SRC26" localSheetId="24">#REF!</definedName>
    <definedName name="___SRC26" localSheetId="104">#REF!</definedName>
    <definedName name="___SRC26" localSheetId="65">#REF!</definedName>
    <definedName name="___SRC26" localSheetId="64">#REF!</definedName>
    <definedName name="___SRC26" localSheetId="77">#REF!</definedName>
    <definedName name="___SRC26" localSheetId="49">#REF!</definedName>
    <definedName name="___SRC26" localSheetId="40">#REF!</definedName>
    <definedName name="___SRC26" localSheetId="43">#REF!</definedName>
    <definedName name="___SRC26" localSheetId="13">#REF!</definedName>
    <definedName name="___SRC26" localSheetId="38">#REF!</definedName>
    <definedName name="___SRC26">#REF!</definedName>
    <definedName name="___SRC27" localSheetId="3">#REF!</definedName>
    <definedName name="___SRC27" localSheetId="7">#REF!</definedName>
    <definedName name="___SRC27" localSheetId="9">#REF!</definedName>
    <definedName name="___SRC27" localSheetId="10">#REF!</definedName>
    <definedName name="___SRC27" localSheetId="15">#REF!</definedName>
    <definedName name="___SRC27" localSheetId="19">#REF!</definedName>
    <definedName name="___SRC27" localSheetId="20">#REF!</definedName>
    <definedName name="___SRC27" localSheetId="24">#REF!</definedName>
    <definedName name="___SRC27" localSheetId="104">#REF!</definedName>
    <definedName name="___SRC27" localSheetId="65">#REF!</definedName>
    <definedName name="___SRC27" localSheetId="64">#REF!</definedName>
    <definedName name="___SRC27" localSheetId="77">#REF!</definedName>
    <definedName name="___SRC27" localSheetId="49">#REF!</definedName>
    <definedName name="___SRC27" localSheetId="40">#REF!</definedName>
    <definedName name="___SRC27" localSheetId="43">#REF!</definedName>
    <definedName name="___SRC27" localSheetId="13">#REF!</definedName>
    <definedName name="___SRC27" localSheetId="38">#REF!</definedName>
    <definedName name="___SRC27">#REF!</definedName>
    <definedName name="___SRC28" localSheetId="3">#REF!</definedName>
    <definedName name="___SRC28" localSheetId="7">#REF!</definedName>
    <definedName name="___SRC28" localSheetId="9">#REF!</definedName>
    <definedName name="___SRC28" localSheetId="10">#REF!</definedName>
    <definedName name="___SRC28" localSheetId="15">#REF!</definedName>
    <definedName name="___SRC28" localSheetId="19">#REF!</definedName>
    <definedName name="___SRC28" localSheetId="20">#REF!</definedName>
    <definedName name="___SRC28" localSheetId="24">#REF!</definedName>
    <definedName name="___SRC28" localSheetId="104">#REF!</definedName>
    <definedName name="___SRC28" localSheetId="65">#REF!</definedName>
    <definedName name="___SRC28" localSheetId="64">#REF!</definedName>
    <definedName name="___SRC28" localSheetId="77">#REF!</definedName>
    <definedName name="___SRC28" localSheetId="49">#REF!</definedName>
    <definedName name="___SRC28" localSheetId="40">#REF!</definedName>
    <definedName name="___SRC28" localSheetId="43">#REF!</definedName>
    <definedName name="___SRC28" localSheetId="13">#REF!</definedName>
    <definedName name="___SRC28" localSheetId="38">#REF!</definedName>
    <definedName name="___SRC28">#REF!</definedName>
    <definedName name="___SRC3" localSheetId="3">#REF!</definedName>
    <definedName name="___SRC3" localSheetId="7">#REF!</definedName>
    <definedName name="___SRC3" localSheetId="9">#REF!</definedName>
    <definedName name="___SRC3" localSheetId="10">#REF!</definedName>
    <definedName name="___SRC3" localSheetId="15">#REF!</definedName>
    <definedName name="___SRC3" localSheetId="19">#REF!</definedName>
    <definedName name="___SRC3" localSheetId="20">#REF!</definedName>
    <definedName name="___SRC3" localSheetId="24">#REF!</definedName>
    <definedName name="___SRC3" localSheetId="104">#REF!</definedName>
    <definedName name="___SRC3" localSheetId="65">#REF!</definedName>
    <definedName name="___SRC3" localSheetId="64">#REF!</definedName>
    <definedName name="___SRC3" localSheetId="77">#REF!</definedName>
    <definedName name="___SRC3" localSheetId="49">#REF!</definedName>
    <definedName name="___SRC3" localSheetId="40">#REF!</definedName>
    <definedName name="___SRC3" localSheetId="43">#REF!</definedName>
    <definedName name="___SRC3" localSheetId="13">#REF!</definedName>
    <definedName name="___SRC3" localSheetId="38">#REF!</definedName>
    <definedName name="___SRC3">#REF!</definedName>
    <definedName name="___SRC31" localSheetId="3">#REF!</definedName>
    <definedName name="___SRC31" localSheetId="7">#REF!</definedName>
    <definedName name="___SRC31" localSheetId="9">#REF!</definedName>
    <definedName name="___SRC31" localSheetId="10">#REF!</definedName>
    <definedName name="___SRC31" localSheetId="15">#REF!</definedName>
    <definedName name="___SRC31" localSheetId="19">#REF!</definedName>
    <definedName name="___SRC31" localSheetId="20">#REF!</definedName>
    <definedName name="___SRC31" localSheetId="24">#REF!</definedName>
    <definedName name="___SRC31" localSheetId="104">#REF!</definedName>
    <definedName name="___SRC31" localSheetId="65">#REF!</definedName>
    <definedName name="___SRC31" localSheetId="64">#REF!</definedName>
    <definedName name="___SRC31" localSheetId="77">#REF!</definedName>
    <definedName name="___SRC31" localSheetId="49">#REF!</definedName>
    <definedName name="___SRC31" localSheetId="40">#REF!</definedName>
    <definedName name="___SRC31" localSheetId="43">#REF!</definedName>
    <definedName name="___SRC31" localSheetId="13">#REF!</definedName>
    <definedName name="___SRC31" localSheetId="38">#REF!</definedName>
    <definedName name="___SRC31">#REF!</definedName>
    <definedName name="___SRC32" localSheetId="3">#REF!</definedName>
    <definedName name="___SRC32" localSheetId="7">#REF!</definedName>
    <definedName name="___SRC32" localSheetId="9">#REF!</definedName>
    <definedName name="___SRC32" localSheetId="10">#REF!</definedName>
    <definedName name="___SRC32" localSheetId="15">#REF!</definedName>
    <definedName name="___SRC32" localSheetId="19">#REF!</definedName>
    <definedName name="___SRC32" localSheetId="20">#REF!</definedName>
    <definedName name="___SRC32" localSheetId="24">#REF!</definedName>
    <definedName name="___SRC32" localSheetId="104">#REF!</definedName>
    <definedName name="___SRC32" localSheetId="65">#REF!</definedName>
    <definedName name="___SRC32" localSheetId="64">#REF!</definedName>
    <definedName name="___SRC32" localSheetId="77">#REF!</definedName>
    <definedName name="___SRC32" localSheetId="49">#REF!</definedName>
    <definedName name="___SRC32" localSheetId="40">#REF!</definedName>
    <definedName name="___SRC32" localSheetId="43">#REF!</definedName>
    <definedName name="___SRC32" localSheetId="13">#REF!</definedName>
    <definedName name="___SRC32" localSheetId="38">#REF!</definedName>
    <definedName name="___SRC32">#REF!</definedName>
    <definedName name="___SRC33" localSheetId="3">#REF!</definedName>
    <definedName name="___SRC33" localSheetId="7">#REF!</definedName>
    <definedName name="___SRC33" localSheetId="9">#REF!</definedName>
    <definedName name="___SRC33" localSheetId="10">#REF!</definedName>
    <definedName name="___SRC33" localSheetId="15">#REF!</definedName>
    <definedName name="___SRC33" localSheetId="19">#REF!</definedName>
    <definedName name="___SRC33" localSheetId="20">#REF!</definedName>
    <definedName name="___SRC33" localSheetId="24">#REF!</definedName>
    <definedName name="___SRC33" localSheetId="104">#REF!</definedName>
    <definedName name="___SRC33" localSheetId="65">#REF!</definedName>
    <definedName name="___SRC33" localSheetId="64">#REF!</definedName>
    <definedName name="___SRC33" localSheetId="77">#REF!</definedName>
    <definedName name="___SRC33" localSheetId="49">#REF!</definedName>
    <definedName name="___SRC33" localSheetId="40">#REF!</definedName>
    <definedName name="___SRC33" localSheetId="43">#REF!</definedName>
    <definedName name="___SRC33" localSheetId="13">#REF!</definedName>
    <definedName name="___SRC33" localSheetId="38">#REF!</definedName>
    <definedName name="___SRC33">#REF!</definedName>
    <definedName name="___SRC37" localSheetId="3">#REF!</definedName>
    <definedName name="___SRC37" localSheetId="7">#REF!</definedName>
    <definedName name="___SRC37" localSheetId="9">#REF!</definedName>
    <definedName name="___SRC37" localSheetId="10">#REF!</definedName>
    <definedName name="___SRC37" localSheetId="15">#REF!</definedName>
    <definedName name="___SRC37" localSheetId="19">#REF!</definedName>
    <definedName name="___SRC37" localSheetId="20">#REF!</definedName>
    <definedName name="___SRC37" localSheetId="24">#REF!</definedName>
    <definedName name="___SRC37" localSheetId="104">#REF!</definedName>
    <definedName name="___SRC37" localSheetId="65">#REF!</definedName>
    <definedName name="___SRC37" localSheetId="64">#REF!</definedName>
    <definedName name="___SRC37" localSheetId="77">#REF!</definedName>
    <definedName name="___SRC37" localSheetId="49">#REF!</definedName>
    <definedName name="___SRC37" localSheetId="40">#REF!</definedName>
    <definedName name="___SRC37" localSheetId="43">#REF!</definedName>
    <definedName name="___SRC37" localSheetId="13">#REF!</definedName>
    <definedName name="___SRC37" localSheetId="38">#REF!</definedName>
    <definedName name="___SRC37">#REF!</definedName>
    <definedName name="___SRC38" localSheetId="3">#REF!</definedName>
    <definedName name="___SRC38" localSheetId="7">#REF!</definedName>
    <definedName name="___SRC38" localSheetId="9">#REF!</definedName>
    <definedName name="___SRC38" localSheetId="10">#REF!</definedName>
    <definedName name="___SRC38" localSheetId="15">#REF!</definedName>
    <definedName name="___SRC38" localSheetId="19">#REF!</definedName>
    <definedName name="___SRC38" localSheetId="20">#REF!</definedName>
    <definedName name="___SRC38" localSheetId="24">#REF!</definedName>
    <definedName name="___SRC38" localSheetId="104">#REF!</definedName>
    <definedName name="___SRC38" localSheetId="65">#REF!</definedName>
    <definedName name="___SRC38" localSheetId="64">#REF!</definedName>
    <definedName name="___SRC38" localSheetId="77">#REF!</definedName>
    <definedName name="___SRC38" localSheetId="49">#REF!</definedName>
    <definedName name="___SRC38" localSheetId="40">#REF!</definedName>
    <definedName name="___SRC38" localSheetId="43">#REF!</definedName>
    <definedName name="___SRC38" localSheetId="13">#REF!</definedName>
    <definedName name="___SRC38" localSheetId="38">#REF!</definedName>
    <definedName name="___SRC38">#REF!</definedName>
    <definedName name="___SRC4" localSheetId="3">#REF!</definedName>
    <definedName name="___SRC4" localSheetId="7">#REF!</definedName>
    <definedName name="___SRC4" localSheetId="9">#REF!</definedName>
    <definedName name="___SRC4" localSheetId="10">#REF!</definedName>
    <definedName name="___SRC4" localSheetId="15">#REF!</definedName>
    <definedName name="___SRC4" localSheetId="19">#REF!</definedName>
    <definedName name="___SRC4" localSheetId="20">#REF!</definedName>
    <definedName name="___SRC4" localSheetId="24">#REF!</definedName>
    <definedName name="___SRC4" localSheetId="104">#REF!</definedName>
    <definedName name="___SRC4" localSheetId="65">#REF!</definedName>
    <definedName name="___SRC4" localSheetId="64">#REF!</definedName>
    <definedName name="___SRC4" localSheetId="77">#REF!</definedName>
    <definedName name="___SRC4" localSheetId="49">#REF!</definedName>
    <definedName name="___SRC4" localSheetId="40">#REF!</definedName>
    <definedName name="___SRC4" localSheetId="43">#REF!</definedName>
    <definedName name="___SRC4" localSheetId="13">#REF!</definedName>
    <definedName name="___SRC4" localSheetId="38">#REF!</definedName>
    <definedName name="___SRC4">#REF!</definedName>
    <definedName name="___SRC44" localSheetId="3">#REF!</definedName>
    <definedName name="___SRC44" localSheetId="7">#REF!</definedName>
    <definedName name="___SRC44" localSheetId="9">#REF!</definedName>
    <definedName name="___SRC44" localSheetId="10">#REF!</definedName>
    <definedName name="___SRC44" localSheetId="15">#REF!</definedName>
    <definedName name="___SRC44" localSheetId="19">#REF!</definedName>
    <definedName name="___SRC44" localSheetId="20">#REF!</definedName>
    <definedName name="___SRC44" localSheetId="24">#REF!</definedName>
    <definedName name="___SRC44" localSheetId="104">#REF!</definedName>
    <definedName name="___SRC44" localSheetId="65">#REF!</definedName>
    <definedName name="___SRC44" localSheetId="64">#REF!</definedName>
    <definedName name="___SRC44" localSheetId="77">#REF!</definedName>
    <definedName name="___SRC44" localSheetId="49">#REF!</definedName>
    <definedName name="___SRC44" localSheetId="40">#REF!</definedName>
    <definedName name="___SRC44" localSheetId="43">#REF!</definedName>
    <definedName name="___SRC44" localSheetId="13">#REF!</definedName>
    <definedName name="___SRC44" localSheetId="38">#REF!</definedName>
    <definedName name="___SRC44">#REF!</definedName>
    <definedName name="___SRC46" localSheetId="3">#REF!</definedName>
    <definedName name="___SRC46" localSheetId="7">#REF!</definedName>
    <definedName name="___SRC46" localSheetId="9">#REF!</definedName>
    <definedName name="___SRC46" localSheetId="10">#REF!</definedName>
    <definedName name="___SRC46" localSheetId="15">#REF!</definedName>
    <definedName name="___SRC46" localSheetId="19">#REF!</definedName>
    <definedName name="___SRC46" localSheetId="20">#REF!</definedName>
    <definedName name="___SRC46" localSheetId="24">#REF!</definedName>
    <definedName name="___SRC46" localSheetId="104">#REF!</definedName>
    <definedName name="___SRC46" localSheetId="65">#REF!</definedName>
    <definedName name="___SRC46" localSheetId="64">#REF!</definedName>
    <definedName name="___SRC46" localSheetId="77">#REF!</definedName>
    <definedName name="___SRC46" localSheetId="49">#REF!</definedName>
    <definedName name="___SRC46" localSheetId="40">#REF!</definedName>
    <definedName name="___SRC46" localSheetId="43">#REF!</definedName>
    <definedName name="___SRC46" localSheetId="13">#REF!</definedName>
    <definedName name="___SRC46" localSheetId="38">#REF!</definedName>
    <definedName name="___SRC46">#REF!</definedName>
    <definedName name="___SRC47" localSheetId="3">#REF!</definedName>
    <definedName name="___SRC47" localSheetId="7">#REF!</definedName>
    <definedName name="___SRC47" localSheetId="9">#REF!</definedName>
    <definedName name="___SRC47" localSheetId="10">#REF!</definedName>
    <definedName name="___SRC47" localSheetId="15">#REF!</definedName>
    <definedName name="___SRC47" localSheetId="19">#REF!</definedName>
    <definedName name="___SRC47" localSheetId="20">#REF!</definedName>
    <definedName name="___SRC47" localSheetId="24">#REF!</definedName>
    <definedName name="___SRC47" localSheetId="104">#REF!</definedName>
    <definedName name="___SRC47" localSheetId="65">#REF!</definedName>
    <definedName name="___SRC47" localSheetId="64">#REF!</definedName>
    <definedName name="___SRC47" localSheetId="77">#REF!</definedName>
    <definedName name="___SRC47" localSheetId="49">#REF!</definedName>
    <definedName name="___SRC47" localSheetId="40">#REF!</definedName>
    <definedName name="___SRC47" localSheetId="43">#REF!</definedName>
    <definedName name="___SRC47" localSheetId="13">#REF!</definedName>
    <definedName name="___SRC47" localSheetId="38">#REF!</definedName>
    <definedName name="___SRC47">#REF!</definedName>
    <definedName name="___SRC48" localSheetId="3">#REF!</definedName>
    <definedName name="___SRC48" localSheetId="7">#REF!</definedName>
    <definedName name="___SRC48" localSheetId="9">#REF!</definedName>
    <definedName name="___SRC48" localSheetId="10">#REF!</definedName>
    <definedName name="___SRC48" localSheetId="15">#REF!</definedName>
    <definedName name="___SRC48" localSheetId="19">#REF!</definedName>
    <definedName name="___SRC48" localSheetId="20">#REF!</definedName>
    <definedName name="___SRC48" localSheetId="24">#REF!</definedName>
    <definedName name="___SRC48" localSheetId="104">#REF!</definedName>
    <definedName name="___SRC48" localSheetId="65">#REF!</definedName>
    <definedName name="___SRC48" localSheetId="64">#REF!</definedName>
    <definedName name="___SRC48" localSheetId="77">#REF!</definedName>
    <definedName name="___SRC48" localSheetId="49">#REF!</definedName>
    <definedName name="___SRC48" localSheetId="40">#REF!</definedName>
    <definedName name="___SRC48" localSheetId="43">#REF!</definedName>
    <definedName name="___SRC48" localSheetId="13">#REF!</definedName>
    <definedName name="___SRC48" localSheetId="38">#REF!</definedName>
    <definedName name="___SRC48">#REF!</definedName>
    <definedName name="___SRC49" localSheetId="3">#REF!</definedName>
    <definedName name="___SRC49" localSheetId="7">#REF!</definedName>
    <definedName name="___SRC49" localSheetId="9">#REF!</definedName>
    <definedName name="___SRC49" localSheetId="10">#REF!</definedName>
    <definedName name="___SRC49" localSheetId="15">#REF!</definedName>
    <definedName name="___SRC49" localSheetId="19">#REF!</definedName>
    <definedName name="___SRC49" localSheetId="20">#REF!</definedName>
    <definedName name="___SRC49" localSheetId="24">#REF!</definedName>
    <definedName name="___SRC49" localSheetId="104">#REF!</definedName>
    <definedName name="___SRC49" localSheetId="65">#REF!</definedName>
    <definedName name="___SRC49" localSheetId="64">#REF!</definedName>
    <definedName name="___SRC49" localSheetId="77">#REF!</definedName>
    <definedName name="___SRC49" localSheetId="49">#REF!</definedName>
    <definedName name="___SRC49" localSheetId="40">#REF!</definedName>
    <definedName name="___SRC49" localSheetId="43">#REF!</definedName>
    <definedName name="___SRC49" localSheetId="13">#REF!</definedName>
    <definedName name="___SRC49" localSheetId="38">#REF!</definedName>
    <definedName name="___SRC49">#REF!</definedName>
    <definedName name="___SRC5" localSheetId="3">#REF!</definedName>
    <definedName name="___SRC5" localSheetId="7">#REF!</definedName>
    <definedName name="___SRC5" localSheetId="9">#REF!</definedName>
    <definedName name="___SRC5" localSheetId="10">#REF!</definedName>
    <definedName name="___SRC5" localSheetId="15">#REF!</definedName>
    <definedName name="___SRC5" localSheetId="19">#REF!</definedName>
    <definedName name="___SRC5" localSheetId="20">#REF!</definedName>
    <definedName name="___SRC5" localSheetId="24">#REF!</definedName>
    <definedName name="___SRC5" localSheetId="104">#REF!</definedName>
    <definedName name="___SRC5" localSheetId="65">#REF!</definedName>
    <definedName name="___SRC5" localSheetId="64">#REF!</definedName>
    <definedName name="___SRC5" localSheetId="77">#REF!</definedName>
    <definedName name="___SRC5" localSheetId="49">#REF!</definedName>
    <definedName name="___SRC5" localSheetId="40">#REF!</definedName>
    <definedName name="___SRC5" localSheetId="43">#REF!</definedName>
    <definedName name="___SRC5" localSheetId="13">#REF!</definedName>
    <definedName name="___SRC5" localSheetId="38">#REF!</definedName>
    <definedName name="___SRC5">#REF!</definedName>
    <definedName name="___SRC50" localSheetId="3">#REF!</definedName>
    <definedName name="___SRC50" localSheetId="7">#REF!</definedName>
    <definedName name="___SRC50" localSheetId="9">#REF!</definedName>
    <definedName name="___SRC50" localSheetId="10">#REF!</definedName>
    <definedName name="___SRC50" localSheetId="15">#REF!</definedName>
    <definedName name="___SRC50" localSheetId="19">#REF!</definedName>
    <definedName name="___SRC50" localSheetId="20">#REF!</definedName>
    <definedName name="___SRC50" localSheetId="24">#REF!</definedName>
    <definedName name="___SRC50" localSheetId="104">#REF!</definedName>
    <definedName name="___SRC50" localSheetId="65">#REF!</definedName>
    <definedName name="___SRC50" localSheetId="64">#REF!</definedName>
    <definedName name="___SRC50" localSheetId="77">#REF!</definedName>
    <definedName name="___SRC50" localSheetId="49">#REF!</definedName>
    <definedName name="___SRC50" localSheetId="40">#REF!</definedName>
    <definedName name="___SRC50" localSheetId="43">#REF!</definedName>
    <definedName name="___SRC50" localSheetId="13">#REF!</definedName>
    <definedName name="___SRC50" localSheetId="38">#REF!</definedName>
    <definedName name="___SRC50">#REF!</definedName>
    <definedName name="___SRC55" localSheetId="3">#REF!</definedName>
    <definedName name="___SRC55" localSheetId="7">#REF!</definedName>
    <definedName name="___SRC55" localSheetId="9">#REF!</definedName>
    <definedName name="___SRC55" localSheetId="10">#REF!</definedName>
    <definedName name="___SRC55" localSheetId="15">#REF!</definedName>
    <definedName name="___SRC55" localSheetId="19">#REF!</definedName>
    <definedName name="___SRC55" localSheetId="20">#REF!</definedName>
    <definedName name="___SRC55" localSheetId="24">#REF!</definedName>
    <definedName name="___SRC55" localSheetId="104">#REF!</definedName>
    <definedName name="___SRC55" localSheetId="65">#REF!</definedName>
    <definedName name="___SRC55" localSheetId="64">#REF!</definedName>
    <definedName name="___SRC55" localSheetId="77">#REF!</definedName>
    <definedName name="___SRC55" localSheetId="49">#REF!</definedName>
    <definedName name="___SRC55" localSheetId="40">#REF!</definedName>
    <definedName name="___SRC55" localSheetId="43">#REF!</definedName>
    <definedName name="___SRC55" localSheetId="13">#REF!</definedName>
    <definedName name="___SRC55" localSheetId="38">#REF!</definedName>
    <definedName name="___SRC55">#REF!</definedName>
    <definedName name="___SRC56" localSheetId="3">#REF!</definedName>
    <definedName name="___SRC56" localSheetId="7">#REF!</definedName>
    <definedName name="___SRC56" localSheetId="9">#REF!</definedName>
    <definedName name="___SRC56" localSheetId="10">#REF!</definedName>
    <definedName name="___SRC56" localSheetId="15">#REF!</definedName>
    <definedName name="___SRC56" localSheetId="19">#REF!</definedName>
    <definedName name="___SRC56" localSheetId="20">#REF!</definedName>
    <definedName name="___SRC56" localSheetId="24">#REF!</definedName>
    <definedName name="___SRC56" localSheetId="104">#REF!</definedName>
    <definedName name="___SRC56" localSheetId="65">#REF!</definedName>
    <definedName name="___SRC56" localSheetId="64">#REF!</definedName>
    <definedName name="___SRC56" localSheetId="77">#REF!</definedName>
    <definedName name="___SRC56" localSheetId="49">#REF!</definedName>
    <definedName name="___SRC56" localSheetId="40">#REF!</definedName>
    <definedName name="___SRC56" localSheetId="43">#REF!</definedName>
    <definedName name="___SRC56" localSheetId="13">#REF!</definedName>
    <definedName name="___SRC56" localSheetId="38">#REF!</definedName>
    <definedName name="___SRC56">#REF!</definedName>
    <definedName name="___SRC57" localSheetId="3">#REF!</definedName>
    <definedName name="___SRC57" localSheetId="7">#REF!</definedName>
    <definedName name="___SRC57" localSheetId="9">#REF!</definedName>
    <definedName name="___SRC57" localSheetId="10">#REF!</definedName>
    <definedName name="___SRC57" localSheetId="15">#REF!</definedName>
    <definedName name="___SRC57" localSheetId="19">#REF!</definedName>
    <definedName name="___SRC57" localSheetId="20">#REF!</definedName>
    <definedName name="___SRC57" localSheetId="24">#REF!</definedName>
    <definedName name="___SRC57" localSheetId="104">#REF!</definedName>
    <definedName name="___SRC57" localSheetId="65">#REF!</definedName>
    <definedName name="___SRC57" localSheetId="64">#REF!</definedName>
    <definedName name="___SRC57" localSheetId="77">#REF!</definedName>
    <definedName name="___SRC57" localSheetId="49">#REF!</definedName>
    <definedName name="___SRC57" localSheetId="40">#REF!</definedName>
    <definedName name="___SRC57" localSheetId="43">#REF!</definedName>
    <definedName name="___SRC57" localSheetId="13">#REF!</definedName>
    <definedName name="___SRC57" localSheetId="38">#REF!</definedName>
    <definedName name="___SRC57">#REF!</definedName>
    <definedName name="___SRC58" localSheetId="3">#REF!</definedName>
    <definedName name="___SRC58" localSheetId="7">#REF!</definedName>
    <definedName name="___SRC58" localSheetId="9">#REF!</definedName>
    <definedName name="___SRC58" localSheetId="10">#REF!</definedName>
    <definedName name="___SRC58" localSheetId="15">#REF!</definedName>
    <definedName name="___SRC58" localSheetId="19">#REF!</definedName>
    <definedName name="___SRC58" localSheetId="20">#REF!</definedName>
    <definedName name="___SRC58" localSheetId="24">#REF!</definedName>
    <definedName name="___SRC58" localSheetId="104">#REF!</definedName>
    <definedName name="___SRC58" localSheetId="65">#REF!</definedName>
    <definedName name="___SRC58" localSheetId="64">#REF!</definedName>
    <definedName name="___SRC58" localSheetId="77">#REF!</definedName>
    <definedName name="___SRC58" localSheetId="49">#REF!</definedName>
    <definedName name="___SRC58" localSheetId="40">#REF!</definedName>
    <definedName name="___SRC58" localSheetId="43">#REF!</definedName>
    <definedName name="___SRC58" localSheetId="13">#REF!</definedName>
    <definedName name="___SRC58" localSheetId="38">#REF!</definedName>
    <definedName name="___SRC58">#REF!</definedName>
    <definedName name="___SRC6" localSheetId="3">#REF!</definedName>
    <definedName name="___SRC6" localSheetId="7">#REF!</definedName>
    <definedName name="___SRC6" localSheetId="9">#REF!</definedName>
    <definedName name="___SRC6" localSheetId="10">#REF!</definedName>
    <definedName name="___SRC6" localSheetId="15">#REF!</definedName>
    <definedName name="___SRC6" localSheetId="19">#REF!</definedName>
    <definedName name="___SRC6" localSheetId="20">#REF!</definedName>
    <definedName name="___SRC6" localSheetId="24">#REF!</definedName>
    <definedName name="___SRC6" localSheetId="104">#REF!</definedName>
    <definedName name="___SRC6" localSheetId="65">#REF!</definedName>
    <definedName name="___SRC6" localSheetId="64">#REF!</definedName>
    <definedName name="___SRC6" localSheetId="77">#REF!</definedName>
    <definedName name="___SRC6" localSheetId="49">#REF!</definedName>
    <definedName name="___SRC6" localSheetId="40">#REF!</definedName>
    <definedName name="___SRC6" localSheetId="43">#REF!</definedName>
    <definedName name="___SRC6" localSheetId="13">#REF!</definedName>
    <definedName name="___SRC6" localSheetId="38">#REF!</definedName>
    <definedName name="___SRC6">#REF!</definedName>
    <definedName name="___SRC60" localSheetId="3">#REF!</definedName>
    <definedName name="___SRC60" localSheetId="7">#REF!</definedName>
    <definedName name="___SRC60" localSheetId="9">#REF!</definedName>
    <definedName name="___SRC60" localSheetId="10">#REF!</definedName>
    <definedName name="___SRC60" localSheetId="15">#REF!</definedName>
    <definedName name="___SRC60" localSheetId="19">#REF!</definedName>
    <definedName name="___SRC60" localSheetId="20">#REF!</definedName>
    <definedName name="___SRC60" localSheetId="24">#REF!</definedName>
    <definedName name="___SRC60" localSheetId="104">#REF!</definedName>
    <definedName name="___SRC60" localSheetId="65">#REF!</definedName>
    <definedName name="___SRC60" localSheetId="64">#REF!</definedName>
    <definedName name="___SRC60" localSheetId="77">#REF!</definedName>
    <definedName name="___SRC60" localSheetId="49">#REF!</definedName>
    <definedName name="___SRC60" localSheetId="40">#REF!</definedName>
    <definedName name="___SRC60" localSheetId="43">#REF!</definedName>
    <definedName name="___SRC60" localSheetId="13">#REF!</definedName>
    <definedName name="___SRC60" localSheetId="38">#REF!</definedName>
    <definedName name="___SRC60">#REF!</definedName>
    <definedName name="___SRC61" localSheetId="3">#REF!</definedName>
    <definedName name="___SRC61" localSheetId="7">#REF!</definedName>
    <definedName name="___SRC61" localSheetId="9">#REF!</definedName>
    <definedName name="___SRC61" localSheetId="10">#REF!</definedName>
    <definedName name="___SRC61" localSheetId="15">#REF!</definedName>
    <definedName name="___SRC61" localSheetId="19">#REF!</definedName>
    <definedName name="___SRC61" localSheetId="20">#REF!</definedName>
    <definedName name="___SRC61" localSheetId="24">#REF!</definedName>
    <definedName name="___SRC61" localSheetId="104">#REF!</definedName>
    <definedName name="___SRC61" localSheetId="65">#REF!</definedName>
    <definedName name="___SRC61" localSheetId="64">#REF!</definedName>
    <definedName name="___SRC61" localSheetId="77">#REF!</definedName>
    <definedName name="___SRC61" localSheetId="49">#REF!</definedName>
    <definedName name="___SRC61" localSheetId="40">#REF!</definedName>
    <definedName name="___SRC61" localSheetId="43">#REF!</definedName>
    <definedName name="___SRC61" localSheetId="13">#REF!</definedName>
    <definedName name="___SRC61" localSheetId="38">#REF!</definedName>
    <definedName name="___SRC61">#REF!</definedName>
    <definedName name="___SRC62" localSheetId="3">#REF!</definedName>
    <definedName name="___SRC62" localSheetId="7">#REF!</definedName>
    <definedName name="___SRC62" localSheetId="9">#REF!</definedName>
    <definedName name="___SRC62" localSheetId="10">#REF!</definedName>
    <definedName name="___SRC62" localSheetId="15">#REF!</definedName>
    <definedName name="___SRC62" localSheetId="19">#REF!</definedName>
    <definedName name="___SRC62" localSheetId="20">#REF!</definedName>
    <definedName name="___SRC62" localSheetId="24">#REF!</definedName>
    <definedName name="___SRC62" localSheetId="104">#REF!</definedName>
    <definedName name="___SRC62" localSheetId="65">#REF!</definedName>
    <definedName name="___SRC62" localSheetId="64">#REF!</definedName>
    <definedName name="___SRC62" localSheetId="77">#REF!</definedName>
    <definedName name="___SRC62" localSheetId="49">#REF!</definedName>
    <definedName name="___SRC62" localSheetId="40">#REF!</definedName>
    <definedName name="___SRC62" localSheetId="43">#REF!</definedName>
    <definedName name="___SRC62" localSheetId="13">#REF!</definedName>
    <definedName name="___SRC62" localSheetId="38">#REF!</definedName>
    <definedName name="___SRC62">#REF!</definedName>
    <definedName name="___SRC63" localSheetId="3">#REF!</definedName>
    <definedName name="___SRC63" localSheetId="7">#REF!</definedName>
    <definedName name="___SRC63" localSheetId="9">#REF!</definedName>
    <definedName name="___SRC63" localSheetId="10">#REF!</definedName>
    <definedName name="___SRC63" localSheetId="15">#REF!</definedName>
    <definedName name="___SRC63" localSheetId="19">#REF!</definedName>
    <definedName name="___SRC63" localSheetId="20">#REF!</definedName>
    <definedName name="___SRC63" localSheetId="24">#REF!</definedName>
    <definedName name="___SRC63" localSheetId="104">#REF!</definedName>
    <definedName name="___SRC63" localSheetId="65">#REF!</definedName>
    <definedName name="___SRC63" localSheetId="64">#REF!</definedName>
    <definedName name="___SRC63" localSheetId="77">#REF!</definedName>
    <definedName name="___SRC63" localSheetId="49">#REF!</definedName>
    <definedName name="___SRC63" localSheetId="40">#REF!</definedName>
    <definedName name="___SRC63" localSheetId="43">#REF!</definedName>
    <definedName name="___SRC63" localSheetId="13">#REF!</definedName>
    <definedName name="___SRC63" localSheetId="38">#REF!</definedName>
    <definedName name="___SRC63">#REF!</definedName>
    <definedName name="___SRC64" localSheetId="3">#REF!</definedName>
    <definedName name="___SRC64" localSheetId="7">#REF!</definedName>
    <definedName name="___SRC64" localSheetId="9">#REF!</definedName>
    <definedName name="___SRC64" localSheetId="10">#REF!</definedName>
    <definedName name="___SRC64" localSheetId="15">#REF!</definedName>
    <definedName name="___SRC64" localSheetId="19">#REF!</definedName>
    <definedName name="___SRC64" localSheetId="20">#REF!</definedName>
    <definedName name="___SRC64" localSheetId="24">#REF!</definedName>
    <definedName name="___SRC64" localSheetId="104">#REF!</definedName>
    <definedName name="___SRC64" localSheetId="65">#REF!</definedName>
    <definedName name="___SRC64" localSheetId="64">#REF!</definedName>
    <definedName name="___SRC64" localSheetId="77">#REF!</definedName>
    <definedName name="___SRC64" localSheetId="49">#REF!</definedName>
    <definedName name="___SRC64" localSheetId="40">#REF!</definedName>
    <definedName name="___SRC64" localSheetId="43">#REF!</definedName>
    <definedName name="___SRC64" localSheetId="13">#REF!</definedName>
    <definedName name="___SRC64" localSheetId="38">#REF!</definedName>
    <definedName name="___SRC64">#REF!</definedName>
    <definedName name="___SRC65" localSheetId="3">#REF!</definedName>
    <definedName name="___SRC65" localSheetId="7">#REF!</definedName>
    <definedName name="___SRC65" localSheetId="9">#REF!</definedName>
    <definedName name="___SRC65" localSheetId="10">#REF!</definedName>
    <definedName name="___SRC65" localSheetId="15">#REF!</definedName>
    <definedName name="___SRC65" localSheetId="19">#REF!</definedName>
    <definedName name="___SRC65" localSheetId="20">#REF!</definedName>
    <definedName name="___SRC65" localSheetId="24">#REF!</definedName>
    <definedName name="___SRC65" localSheetId="104">#REF!</definedName>
    <definedName name="___SRC65" localSheetId="65">#REF!</definedName>
    <definedName name="___SRC65" localSheetId="64">#REF!</definedName>
    <definedName name="___SRC65" localSheetId="77">#REF!</definedName>
    <definedName name="___SRC65" localSheetId="49">#REF!</definedName>
    <definedName name="___SRC65" localSheetId="40">#REF!</definedName>
    <definedName name="___SRC65" localSheetId="43">#REF!</definedName>
    <definedName name="___SRC65" localSheetId="13">#REF!</definedName>
    <definedName name="___SRC65" localSheetId="38">#REF!</definedName>
    <definedName name="___SRC65">#REF!</definedName>
    <definedName name="___SRC67" localSheetId="3">#REF!</definedName>
    <definedName name="___SRC67" localSheetId="7">#REF!</definedName>
    <definedName name="___SRC67" localSheetId="9">#REF!</definedName>
    <definedName name="___SRC67" localSheetId="10">#REF!</definedName>
    <definedName name="___SRC67" localSheetId="15">#REF!</definedName>
    <definedName name="___SRC67" localSheetId="19">#REF!</definedName>
    <definedName name="___SRC67" localSheetId="20">#REF!</definedName>
    <definedName name="___SRC67" localSheetId="24">#REF!</definedName>
    <definedName name="___SRC67" localSheetId="104">#REF!</definedName>
    <definedName name="___SRC67" localSheetId="65">#REF!</definedName>
    <definedName name="___SRC67" localSheetId="64">#REF!</definedName>
    <definedName name="___SRC67" localSheetId="77">#REF!</definedName>
    <definedName name="___SRC67" localSheetId="49">#REF!</definedName>
    <definedName name="___SRC67" localSheetId="40">#REF!</definedName>
    <definedName name="___SRC67" localSheetId="43">#REF!</definedName>
    <definedName name="___SRC67" localSheetId="13">#REF!</definedName>
    <definedName name="___SRC67" localSheetId="38">#REF!</definedName>
    <definedName name="___SRC67">#REF!</definedName>
    <definedName name="___SRC68" localSheetId="3">#REF!</definedName>
    <definedName name="___SRC68" localSheetId="7">#REF!</definedName>
    <definedName name="___SRC68" localSheetId="9">#REF!</definedName>
    <definedName name="___SRC68" localSheetId="10">#REF!</definedName>
    <definedName name="___SRC68" localSheetId="15">#REF!</definedName>
    <definedName name="___SRC68" localSheetId="19">#REF!</definedName>
    <definedName name="___SRC68" localSheetId="20">#REF!</definedName>
    <definedName name="___SRC68" localSheetId="24">#REF!</definedName>
    <definedName name="___SRC68" localSheetId="104">#REF!</definedName>
    <definedName name="___SRC68" localSheetId="65">#REF!</definedName>
    <definedName name="___SRC68" localSheetId="64">#REF!</definedName>
    <definedName name="___SRC68" localSheetId="77">#REF!</definedName>
    <definedName name="___SRC68" localSheetId="49">#REF!</definedName>
    <definedName name="___SRC68" localSheetId="40">#REF!</definedName>
    <definedName name="___SRC68" localSheetId="43">#REF!</definedName>
    <definedName name="___SRC68" localSheetId="13">#REF!</definedName>
    <definedName name="___SRC68" localSheetId="38">#REF!</definedName>
    <definedName name="___SRC68">#REF!</definedName>
    <definedName name="___SRC69" localSheetId="3">#REF!</definedName>
    <definedName name="___SRC69" localSheetId="7">#REF!</definedName>
    <definedName name="___SRC69" localSheetId="9">#REF!</definedName>
    <definedName name="___SRC69" localSheetId="10">#REF!</definedName>
    <definedName name="___SRC69" localSheetId="15">#REF!</definedName>
    <definedName name="___SRC69" localSheetId="19">#REF!</definedName>
    <definedName name="___SRC69" localSheetId="20">#REF!</definedName>
    <definedName name="___SRC69" localSheetId="24">#REF!</definedName>
    <definedName name="___SRC69" localSheetId="104">#REF!</definedName>
    <definedName name="___SRC69" localSheetId="65">#REF!</definedName>
    <definedName name="___SRC69" localSheetId="64">#REF!</definedName>
    <definedName name="___SRC69" localSheetId="77">#REF!</definedName>
    <definedName name="___SRC69" localSheetId="49">#REF!</definedName>
    <definedName name="___SRC69" localSheetId="40">#REF!</definedName>
    <definedName name="___SRC69" localSheetId="43">#REF!</definedName>
    <definedName name="___SRC69" localSheetId="13">#REF!</definedName>
    <definedName name="___SRC69" localSheetId="38">#REF!</definedName>
    <definedName name="___SRC69">#REF!</definedName>
    <definedName name="___SRC7" localSheetId="3">#REF!</definedName>
    <definedName name="___SRC7" localSheetId="7">#REF!</definedName>
    <definedName name="___SRC7" localSheetId="9">#REF!</definedName>
    <definedName name="___SRC7" localSheetId="10">#REF!</definedName>
    <definedName name="___SRC7" localSheetId="15">#REF!</definedName>
    <definedName name="___SRC7" localSheetId="19">#REF!</definedName>
    <definedName name="___SRC7" localSheetId="20">#REF!</definedName>
    <definedName name="___SRC7" localSheetId="24">#REF!</definedName>
    <definedName name="___SRC7" localSheetId="104">#REF!</definedName>
    <definedName name="___SRC7" localSheetId="65">#REF!</definedName>
    <definedName name="___SRC7" localSheetId="64">#REF!</definedName>
    <definedName name="___SRC7" localSheetId="77">#REF!</definedName>
    <definedName name="___SRC7" localSheetId="49">#REF!</definedName>
    <definedName name="___SRC7" localSheetId="40">#REF!</definedName>
    <definedName name="___SRC7" localSheetId="43">#REF!</definedName>
    <definedName name="___SRC7" localSheetId="13">#REF!</definedName>
    <definedName name="___SRC7" localSheetId="38">#REF!</definedName>
    <definedName name="___SRC7">#REF!</definedName>
    <definedName name="___SRC70" localSheetId="3">#REF!</definedName>
    <definedName name="___SRC70" localSheetId="7">#REF!</definedName>
    <definedName name="___SRC70" localSheetId="9">#REF!</definedName>
    <definedName name="___SRC70" localSheetId="10">#REF!</definedName>
    <definedName name="___SRC70" localSheetId="15">#REF!</definedName>
    <definedName name="___SRC70" localSheetId="19">#REF!</definedName>
    <definedName name="___SRC70" localSheetId="20">#REF!</definedName>
    <definedName name="___SRC70" localSheetId="24">#REF!</definedName>
    <definedName name="___SRC70" localSheetId="104">#REF!</definedName>
    <definedName name="___SRC70" localSheetId="65">#REF!</definedName>
    <definedName name="___SRC70" localSheetId="64">#REF!</definedName>
    <definedName name="___SRC70" localSheetId="77">#REF!</definedName>
    <definedName name="___SRC70" localSheetId="49">#REF!</definedName>
    <definedName name="___SRC70" localSheetId="40">#REF!</definedName>
    <definedName name="___SRC70" localSheetId="43">#REF!</definedName>
    <definedName name="___SRC70" localSheetId="13">#REF!</definedName>
    <definedName name="___SRC70" localSheetId="38">#REF!</definedName>
    <definedName name="___SRC70">#REF!</definedName>
    <definedName name="___SRC71" localSheetId="3">#REF!</definedName>
    <definedName name="___SRC71" localSheetId="7">#REF!</definedName>
    <definedName name="___SRC71" localSheetId="9">#REF!</definedName>
    <definedName name="___SRC71" localSheetId="10">#REF!</definedName>
    <definedName name="___SRC71" localSheetId="15">#REF!</definedName>
    <definedName name="___SRC71" localSheetId="19">#REF!</definedName>
    <definedName name="___SRC71" localSheetId="20">#REF!</definedName>
    <definedName name="___SRC71" localSheetId="24">#REF!</definedName>
    <definedName name="___SRC71" localSheetId="104">#REF!</definedName>
    <definedName name="___SRC71" localSheetId="65">#REF!</definedName>
    <definedName name="___SRC71" localSheetId="64">#REF!</definedName>
    <definedName name="___SRC71" localSheetId="77">#REF!</definedName>
    <definedName name="___SRC71" localSheetId="49">#REF!</definedName>
    <definedName name="___SRC71" localSheetId="40">#REF!</definedName>
    <definedName name="___SRC71" localSheetId="43">#REF!</definedName>
    <definedName name="___SRC71" localSheetId="13">#REF!</definedName>
    <definedName name="___SRC71" localSheetId="38">#REF!</definedName>
    <definedName name="___SRC71">#REF!</definedName>
    <definedName name="___SRC72" localSheetId="3">#REF!</definedName>
    <definedName name="___SRC72" localSheetId="7">#REF!</definedName>
    <definedName name="___SRC72" localSheetId="9">#REF!</definedName>
    <definedName name="___SRC72" localSheetId="10">#REF!</definedName>
    <definedName name="___SRC72" localSheetId="15">#REF!</definedName>
    <definedName name="___SRC72" localSheetId="19">#REF!</definedName>
    <definedName name="___SRC72" localSheetId="20">#REF!</definedName>
    <definedName name="___SRC72" localSheetId="24">#REF!</definedName>
    <definedName name="___SRC72" localSheetId="104">#REF!</definedName>
    <definedName name="___SRC72" localSheetId="65">#REF!</definedName>
    <definedName name="___SRC72" localSheetId="64">#REF!</definedName>
    <definedName name="___SRC72" localSheetId="77">#REF!</definedName>
    <definedName name="___SRC72" localSheetId="49">#REF!</definedName>
    <definedName name="___SRC72" localSheetId="40">#REF!</definedName>
    <definedName name="___SRC72" localSheetId="43">#REF!</definedName>
    <definedName name="___SRC72" localSheetId="13">#REF!</definedName>
    <definedName name="___SRC72" localSheetId="38">#REF!</definedName>
    <definedName name="___SRC72">#REF!</definedName>
    <definedName name="___SRC73" localSheetId="3">#REF!</definedName>
    <definedName name="___SRC73" localSheetId="7">#REF!</definedName>
    <definedName name="___SRC73" localSheetId="9">#REF!</definedName>
    <definedName name="___SRC73" localSheetId="10">#REF!</definedName>
    <definedName name="___SRC73" localSheetId="15">#REF!</definedName>
    <definedName name="___SRC73" localSheetId="19">#REF!</definedName>
    <definedName name="___SRC73" localSheetId="20">#REF!</definedName>
    <definedName name="___SRC73" localSheetId="24">#REF!</definedName>
    <definedName name="___SRC73" localSheetId="104">#REF!</definedName>
    <definedName name="___SRC73" localSheetId="65">#REF!</definedName>
    <definedName name="___SRC73" localSheetId="64">#REF!</definedName>
    <definedName name="___SRC73" localSheetId="77">#REF!</definedName>
    <definedName name="___SRC73" localSheetId="49">#REF!</definedName>
    <definedName name="___SRC73" localSheetId="40">#REF!</definedName>
    <definedName name="___SRC73" localSheetId="43">#REF!</definedName>
    <definedName name="___SRC73" localSheetId="13">#REF!</definedName>
    <definedName name="___SRC73" localSheetId="38">#REF!</definedName>
    <definedName name="___SRC73">#REF!</definedName>
    <definedName name="___SRC74" localSheetId="3">#REF!</definedName>
    <definedName name="___SRC74" localSheetId="7">#REF!</definedName>
    <definedName name="___SRC74" localSheetId="9">#REF!</definedName>
    <definedName name="___SRC74" localSheetId="10">#REF!</definedName>
    <definedName name="___SRC74" localSheetId="15">#REF!</definedName>
    <definedName name="___SRC74" localSheetId="19">#REF!</definedName>
    <definedName name="___SRC74" localSheetId="20">#REF!</definedName>
    <definedName name="___SRC74" localSheetId="24">#REF!</definedName>
    <definedName name="___SRC74" localSheetId="104">#REF!</definedName>
    <definedName name="___SRC74" localSheetId="65">#REF!</definedName>
    <definedName name="___SRC74" localSheetId="64">#REF!</definedName>
    <definedName name="___SRC74" localSheetId="77">#REF!</definedName>
    <definedName name="___SRC74" localSheetId="49">#REF!</definedName>
    <definedName name="___SRC74" localSheetId="40">#REF!</definedName>
    <definedName name="___SRC74" localSheetId="43">#REF!</definedName>
    <definedName name="___SRC74" localSheetId="13">#REF!</definedName>
    <definedName name="___SRC74" localSheetId="38">#REF!</definedName>
    <definedName name="___SRC74">#REF!</definedName>
    <definedName name="___SRC75" localSheetId="3">#REF!</definedName>
    <definedName name="___SRC75" localSheetId="7">#REF!</definedName>
    <definedName name="___SRC75" localSheetId="9">#REF!</definedName>
    <definedName name="___SRC75" localSheetId="10">#REF!</definedName>
    <definedName name="___SRC75" localSheetId="15">#REF!</definedName>
    <definedName name="___SRC75" localSheetId="19">#REF!</definedName>
    <definedName name="___SRC75" localSheetId="20">#REF!</definedName>
    <definedName name="___SRC75" localSheetId="24">#REF!</definedName>
    <definedName name="___SRC75" localSheetId="104">#REF!</definedName>
    <definedName name="___SRC75" localSheetId="65">#REF!</definedName>
    <definedName name="___SRC75" localSheetId="64">#REF!</definedName>
    <definedName name="___SRC75" localSheetId="77">#REF!</definedName>
    <definedName name="___SRC75" localSheetId="49">#REF!</definedName>
    <definedName name="___SRC75" localSheetId="40">#REF!</definedName>
    <definedName name="___SRC75" localSheetId="43">#REF!</definedName>
    <definedName name="___SRC75" localSheetId="13">#REF!</definedName>
    <definedName name="___SRC75" localSheetId="38">#REF!</definedName>
    <definedName name="___SRC75">#REF!</definedName>
    <definedName name="___SRC76" localSheetId="3">#REF!</definedName>
    <definedName name="___SRC76" localSheetId="7">#REF!</definedName>
    <definedName name="___SRC76" localSheetId="9">#REF!</definedName>
    <definedName name="___SRC76" localSheetId="10">#REF!</definedName>
    <definedName name="___SRC76" localSheetId="15">#REF!</definedName>
    <definedName name="___SRC76" localSheetId="19">#REF!</definedName>
    <definedName name="___SRC76" localSheetId="20">#REF!</definedName>
    <definedName name="___SRC76" localSheetId="24">#REF!</definedName>
    <definedName name="___SRC76" localSheetId="104">#REF!</definedName>
    <definedName name="___SRC76" localSheetId="65">#REF!</definedName>
    <definedName name="___SRC76" localSheetId="64">#REF!</definedName>
    <definedName name="___SRC76" localSheetId="77">#REF!</definedName>
    <definedName name="___SRC76" localSheetId="49">#REF!</definedName>
    <definedName name="___SRC76" localSheetId="40">#REF!</definedName>
    <definedName name="___SRC76" localSheetId="43">#REF!</definedName>
    <definedName name="___SRC76" localSheetId="13">#REF!</definedName>
    <definedName name="___SRC76" localSheetId="38">#REF!</definedName>
    <definedName name="___SRC76">#REF!</definedName>
    <definedName name="___SRC77" localSheetId="3">#REF!</definedName>
    <definedName name="___SRC77" localSheetId="7">#REF!</definedName>
    <definedName name="___SRC77" localSheetId="9">#REF!</definedName>
    <definedName name="___SRC77" localSheetId="10">#REF!</definedName>
    <definedName name="___SRC77" localSheetId="15">#REF!</definedName>
    <definedName name="___SRC77" localSheetId="19">#REF!</definedName>
    <definedName name="___SRC77" localSheetId="20">#REF!</definedName>
    <definedName name="___SRC77" localSheetId="24">#REF!</definedName>
    <definedName name="___SRC77" localSheetId="104">#REF!</definedName>
    <definedName name="___SRC77" localSheetId="65">#REF!</definedName>
    <definedName name="___SRC77" localSheetId="64">#REF!</definedName>
    <definedName name="___SRC77" localSheetId="77">#REF!</definedName>
    <definedName name="___SRC77" localSheetId="49">#REF!</definedName>
    <definedName name="___SRC77" localSheetId="40">#REF!</definedName>
    <definedName name="___SRC77" localSheetId="43">#REF!</definedName>
    <definedName name="___SRC77" localSheetId="13">#REF!</definedName>
    <definedName name="___SRC77" localSheetId="38">#REF!</definedName>
    <definedName name="___SRC77">#REF!</definedName>
    <definedName name="___SRC78" localSheetId="3">#REF!</definedName>
    <definedName name="___SRC78" localSheetId="7">#REF!</definedName>
    <definedName name="___SRC78" localSheetId="9">#REF!</definedName>
    <definedName name="___SRC78" localSheetId="10">#REF!</definedName>
    <definedName name="___SRC78" localSheetId="15">#REF!</definedName>
    <definedName name="___SRC78" localSheetId="19">#REF!</definedName>
    <definedName name="___SRC78" localSheetId="20">#REF!</definedName>
    <definedName name="___SRC78" localSheetId="24">#REF!</definedName>
    <definedName name="___SRC78" localSheetId="104">#REF!</definedName>
    <definedName name="___SRC78" localSheetId="65">#REF!</definedName>
    <definedName name="___SRC78" localSheetId="64">#REF!</definedName>
    <definedName name="___SRC78" localSheetId="77">#REF!</definedName>
    <definedName name="___SRC78" localSheetId="49">#REF!</definedName>
    <definedName name="___SRC78" localSheetId="40">#REF!</definedName>
    <definedName name="___SRC78" localSheetId="43">#REF!</definedName>
    <definedName name="___SRC78" localSheetId="13">#REF!</definedName>
    <definedName name="___SRC78" localSheetId="38">#REF!</definedName>
    <definedName name="___SRC78">#REF!</definedName>
    <definedName name="___SRC8" localSheetId="3">#REF!</definedName>
    <definedName name="___SRC8" localSheetId="7">#REF!</definedName>
    <definedName name="___SRC8" localSheetId="9">#REF!</definedName>
    <definedName name="___SRC8" localSheetId="10">#REF!</definedName>
    <definedName name="___SRC8" localSheetId="15">#REF!</definedName>
    <definedName name="___SRC8" localSheetId="19">#REF!</definedName>
    <definedName name="___SRC8" localSheetId="20">#REF!</definedName>
    <definedName name="___SRC8" localSheetId="24">#REF!</definedName>
    <definedName name="___SRC8" localSheetId="104">#REF!</definedName>
    <definedName name="___SRC8" localSheetId="65">#REF!</definedName>
    <definedName name="___SRC8" localSheetId="64">#REF!</definedName>
    <definedName name="___SRC8" localSheetId="77">#REF!</definedName>
    <definedName name="___SRC8" localSheetId="49">#REF!</definedName>
    <definedName name="___SRC8" localSheetId="40">#REF!</definedName>
    <definedName name="___SRC8" localSheetId="43">#REF!</definedName>
    <definedName name="___SRC8" localSheetId="13">#REF!</definedName>
    <definedName name="___SRC8" localSheetId="38">#REF!</definedName>
    <definedName name="___SRC8">#REF!</definedName>
    <definedName name="___SRC81" localSheetId="3">#REF!</definedName>
    <definedName name="___SRC81" localSheetId="7">#REF!</definedName>
    <definedName name="___SRC81" localSheetId="9">#REF!</definedName>
    <definedName name="___SRC81" localSheetId="10">#REF!</definedName>
    <definedName name="___SRC81" localSheetId="15">#REF!</definedName>
    <definedName name="___SRC81" localSheetId="19">#REF!</definedName>
    <definedName name="___SRC81" localSheetId="20">#REF!</definedName>
    <definedName name="___SRC81" localSheetId="24">#REF!</definedName>
    <definedName name="___SRC81" localSheetId="104">#REF!</definedName>
    <definedName name="___SRC81" localSheetId="65">#REF!</definedName>
    <definedName name="___SRC81" localSheetId="64">#REF!</definedName>
    <definedName name="___SRC81" localSheetId="77">#REF!</definedName>
    <definedName name="___SRC81" localSheetId="49">#REF!</definedName>
    <definedName name="___SRC81" localSheetId="40">#REF!</definedName>
    <definedName name="___SRC81" localSheetId="43">#REF!</definedName>
    <definedName name="___SRC81" localSheetId="13">#REF!</definedName>
    <definedName name="___SRC81" localSheetId="38">#REF!</definedName>
    <definedName name="___SRC81">#REF!</definedName>
    <definedName name="___SRC82" localSheetId="3">#REF!</definedName>
    <definedName name="___SRC82" localSheetId="7">#REF!</definedName>
    <definedName name="___SRC82" localSheetId="9">#REF!</definedName>
    <definedName name="___SRC82" localSheetId="10">#REF!</definedName>
    <definedName name="___SRC82" localSheetId="15">#REF!</definedName>
    <definedName name="___SRC82" localSheetId="19">#REF!</definedName>
    <definedName name="___SRC82" localSheetId="20">#REF!</definedName>
    <definedName name="___SRC82" localSheetId="24">#REF!</definedName>
    <definedName name="___SRC82" localSheetId="104">#REF!</definedName>
    <definedName name="___SRC82" localSheetId="65">#REF!</definedName>
    <definedName name="___SRC82" localSheetId="64">#REF!</definedName>
    <definedName name="___SRC82" localSheetId="77">#REF!</definedName>
    <definedName name="___SRC82" localSheetId="49">#REF!</definedName>
    <definedName name="___SRC82" localSheetId="40">#REF!</definedName>
    <definedName name="___SRC82" localSheetId="43">#REF!</definedName>
    <definedName name="___SRC82" localSheetId="13">#REF!</definedName>
    <definedName name="___SRC82" localSheetId="38">#REF!</definedName>
    <definedName name="___SRC82">#REF!</definedName>
    <definedName name="___SRC83" localSheetId="3">#REF!</definedName>
    <definedName name="___SRC83" localSheetId="7">#REF!</definedName>
    <definedName name="___SRC83" localSheetId="9">#REF!</definedName>
    <definedName name="___SRC83" localSheetId="10">#REF!</definedName>
    <definedName name="___SRC83" localSheetId="15">#REF!</definedName>
    <definedName name="___SRC83" localSheetId="19">#REF!</definedName>
    <definedName name="___SRC83" localSheetId="20">#REF!</definedName>
    <definedName name="___SRC83" localSheetId="24">#REF!</definedName>
    <definedName name="___SRC83" localSheetId="104">#REF!</definedName>
    <definedName name="___SRC83" localSheetId="65">#REF!</definedName>
    <definedName name="___SRC83" localSheetId="64">#REF!</definedName>
    <definedName name="___SRC83" localSheetId="77">#REF!</definedName>
    <definedName name="___SRC83" localSheetId="49">#REF!</definedName>
    <definedName name="___SRC83" localSheetId="40">#REF!</definedName>
    <definedName name="___SRC83" localSheetId="43">#REF!</definedName>
    <definedName name="___SRC83" localSheetId="13">#REF!</definedName>
    <definedName name="___SRC83" localSheetId="38">#REF!</definedName>
    <definedName name="___SRC83">#REF!</definedName>
    <definedName name="___SRC9" localSheetId="3">#REF!</definedName>
    <definedName name="___SRC9" localSheetId="7">#REF!</definedName>
    <definedName name="___SRC9" localSheetId="9">#REF!</definedName>
    <definedName name="___SRC9" localSheetId="10">#REF!</definedName>
    <definedName name="___SRC9" localSheetId="15">#REF!</definedName>
    <definedName name="___SRC9" localSheetId="19">#REF!</definedName>
    <definedName name="___SRC9" localSheetId="20">#REF!</definedName>
    <definedName name="___SRC9" localSheetId="24">#REF!</definedName>
    <definedName name="___SRC9" localSheetId="104">#REF!</definedName>
    <definedName name="___SRC9" localSheetId="65">#REF!</definedName>
    <definedName name="___SRC9" localSheetId="64">#REF!</definedName>
    <definedName name="___SRC9" localSheetId="77">#REF!</definedName>
    <definedName name="___SRC9" localSheetId="49">#REF!</definedName>
    <definedName name="___SRC9" localSheetId="40">#REF!</definedName>
    <definedName name="___SRC9" localSheetId="43">#REF!</definedName>
    <definedName name="___SRC9" localSheetId="13">#REF!</definedName>
    <definedName name="___SRC9" localSheetId="38">#REF!</definedName>
    <definedName name="___SRC9">#REF!</definedName>
    <definedName name="___SRC90" localSheetId="3">#REF!</definedName>
    <definedName name="___SRC90" localSheetId="7">#REF!</definedName>
    <definedName name="___SRC90" localSheetId="9">#REF!</definedName>
    <definedName name="___SRC90" localSheetId="10">#REF!</definedName>
    <definedName name="___SRC90" localSheetId="15">#REF!</definedName>
    <definedName name="___SRC90" localSheetId="19">#REF!</definedName>
    <definedName name="___SRC90" localSheetId="20">#REF!</definedName>
    <definedName name="___SRC90" localSheetId="24">#REF!</definedName>
    <definedName name="___SRC90" localSheetId="104">#REF!</definedName>
    <definedName name="___SRC90" localSheetId="65">#REF!</definedName>
    <definedName name="___SRC90" localSheetId="64">#REF!</definedName>
    <definedName name="___SRC90" localSheetId="77">#REF!</definedName>
    <definedName name="___SRC90" localSheetId="49">#REF!</definedName>
    <definedName name="___SRC90" localSheetId="40">#REF!</definedName>
    <definedName name="___SRC90" localSheetId="43">#REF!</definedName>
    <definedName name="___SRC90" localSheetId="13">#REF!</definedName>
    <definedName name="___SRC90" localSheetId="38">#REF!</definedName>
    <definedName name="___SRC90">#REF!</definedName>
    <definedName name="___Ti2" localSheetId="3">#REF!</definedName>
    <definedName name="___Ti2" localSheetId="7">#REF!</definedName>
    <definedName name="___Ti2" localSheetId="9">#REF!</definedName>
    <definedName name="___Ti2" localSheetId="10">#REF!</definedName>
    <definedName name="___Ti2" localSheetId="15">#REF!</definedName>
    <definedName name="___Ti2" localSheetId="19">#REF!</definedName>
    <definedName name="___Ti2" localSheetId="20">#REF!</definedName>
    <definedName name="___Ti2" localSheetId="24">#REF!</definedName>
    <definedName name="___Ti2" localSheetId="104">#REF!</definedName>
    <definedName name="___Ti2" localSheetId="65">#REF!</definedName>
    <definedName name="___Ti2" localSheetId="64">#REF!</definedName>
    <definedName name="___Ti2" localSheetId="77">#REF!</definedName>
    <definedName name="___Ti2" localSheetId="49">#REF!</definedName>
    <definedName name="___Ti2" localSheetId="40">#REF!</definedName>
    <definedName name="___Ti2" localSheetId="43">#REF!</definedName>
    <definedName name="___Ti2" localSheetId="13">#REF!</definedName>
    <definedName name="___Ti2" localSheetId="38">#REF!</definedName>
    <definedName name="___Ti2">#REF!</definedName>
    <definedName name="___Voc2" localSheetId="3">#REF!</definedName>
    <definedName name="___Voc2" localSheetId="7">#REF!</definedName>
    <definedName name="___Voc2" localSheetId="9">#REF!</definedName>
    <definedName name="___Voc2" localSheetId="10">#REF!</definedName>
    <definedName name="___Voc2" localSheetId="15">#REF!</definedName>
    <definedName name="___Voc2" localSheetId="19">#REF!</definedName>
    <definedName name="___Voc2" localSheetId="20">#REF!</definedName>
    <definedName name="___Voc2" localSheetId="24">#REF!</definedName>
    <definedName name="___Voc2" localSheetId="104">#REF!</definedName>
    <definedName name="___Voc2" localSheetId="65">#REF!</definedName>
    <definedName name="___Voc2" localSheetId="64">#REF!</definedName>
    <definedName name="___Voc2" localSheetId="77">#REF!</definedName>
    <definedName name="___Voc2" localSheetId="49">#REF!</definedName>
    <definedName name="___Voc2" localSheetId="40">#REF!</definedName>
    <definedName name="___Voc2" localSheetId="43">#REF!</definedName>
    <definedName name="___Voc2" localSheetId="13">#REF!</definedName>
    <definedName name="___Voc2" localSheetId="38">#REF!</definedName>
    <definedName name="___Voc2">#REF!</definedName>
    <definedName name="__api2" localSheetId="3">#REF!</definedName>
    <definedName name="__api2" localSheetId="7">#REF!</definedName>
    <definedName name="__api2" localSheetId="9">#REF!</definedName>
    <definedName name="__api2" localSheetId="10">#REF!</definedName>
    <definedName name="__api2" localSheetId="15">#REF!</definedName>
    <definedName name="__api2" localSheetId="19">#REF!</definedName>
    <definedName name="__api2" localSheetId="20">#REF!</definedName>
    <definedName name="__api2" localSheetId="24">#REF!</definedName>
    <definedName name="__api2" localSheetId="104">#REF!</definedName>
    <definedName name="__api2" localSheetId="65">#REF!</definedName>
    <definedName name="__api2" localSheetId="64">#REF!</definedName>
    <definedName name="__api2" localSheetId="77">#REF!</definedName>
    <definedName name="__api2" localSheetId="49">#REF!</definedName>
    <definedName name="__api2" localSheetId="40">#REF!</definedName>
    <definedName name="__api2" localSheetId="43">#REF!</definedName>
    <definedName name="__api2" localSheetId="13">#REF!</definedName>
    <definedName name="__api2" localSheetId="38">#REF!</definedName>
    <definedName name="__api2">#REF!</definedName>
    <definedName name="__EPN28"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EPN28" localSheetId="9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EPN28"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EPN2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_IntlFixup" hidden="1">TRUE</definedName>
    <definedName name="__IntlFixupTable" localSheetId="3" hidden="1">#REF!</definedName>
    <definedName name="__IntlFixupTable" localSheetId="7" hidden="1">#REF!</definedName>
    <definedName name="__IntlFixupTable" localSheetId="9" hidden="1">#REF!</definedName>
    <definedName name="__IntlFixupTable" localSheetId="10" hidden="1">#REF!</definedName>
    <definedName name="__IntlFixupTable" localSheetId="15" hidden="1">#REF!</definedName>
    <definedName name="__IntlFixupTable" localSheetId="18" hidden="1">#REF!</definedName>
    <definedName name="__IntlFixupTable" localSheetId="19" hidden="1">#REF!</definedName>
    <definedName name="__IntlFixupTable" localSheetId="20" hidden="1">#REF!</definedName>
    <definedName name="__IntlFixupTable" localSheetId="23" hidden="1">#REF!</definedName>
    <definedName name="__IntlFixupTable" localSheetId="24" hidden="1">#REF!</definedName>
    <definedName name="__IntlFixupTable" localSheetId="35" hidden="1">#REF!</definedName>
    <definedName name="__IntlFixupTable" localSheetId="58" hidden="1">#REF!</definedName>
    <definedName name="__IntlFixupTable" localSheetId="60" hidden="1">#REF!</definedName>
    <definedName name="__IntlFixupTable" localSheetId="51" hidden="1">#REF!</definedName>
    <definedName name="__IntlFixupTable" localSheetId="54" hidden="1">#REF!</definedName>
    <definedName name="__IntlFixupTable" localSheetId="47" hidden="1">#REF!</definedName>
    <definedName name="__IntlFixupTable" localSheetId="105" hidden="1">#REF!</definedName>
    <definedName name="__IntlFixupTable" localSheetId="104" hidden="1">#REF!</definedName>
    <definedName name="__IntlFixupTable" localSheetId="88" hidden="1">#REF!</definedName>
    <definedName name="__IntlFixupTable" localSheetId="89" hidden="1">#REF!</definedName>
    <definedName name="__IntlFixupTable" localSheetId="87" hidden="1">#REF!</definedName>
    <definedName name="__IntlFixupTable" localSheetId="90" hidden="1">#REF!</definedName>
    <definedName name="__IntlFixupTable" localSheetId="70" hidden="1">#REF!</definedName>
    <definedName name="__IntlFixupTable" localSheetId="65" hidden="1">#REF!</definedName>
    <definedName name="__IntlFixupTable" localSheetId="64" hidden="1">#REF!</definedName>
    <definedName name="__IntlFixupTable" localSheetId="77" hidden="1">#REF!</definedName>
    <definedName name="__IntlFixupTable" localSheetId="49" hidden="1">#REF!</definedName>
    <definedName name="__IntlFixupTable" localSheetId="57" hidden="1">#REF!</definedName>
    <definedName name="__IntlFixupTable" localSheetId="59" hidden="1">#REF!</definedName>
    <definedName name="__IntlFixupTable" localSheetId="40" hidden="1">#REF!</definedName>
    <definedName name="__IntlFixupTable" localSheetId="43" hidden="1">#REF!</definedName>
    <definedName name="__IntlFixupTable" localSheetId="55" hidden="1">#REF!</definedName>
    <definedName name="__IntlFixupTable" localSheetId="13" hidden="1">#REF!</definedName>
    <definedName name="__IntlFixupTable" localSheetId="11" hidden="1">#REF!</definedName>
    <definedName name="__IntlFixupTable" localSheetId="38" hidden="1">#REF!</definedName>
    <definedName name="__IntlFixupTable" localSheetId="41" hidden="1">#REF!</definedName>
    <definedName name="__IntlFixupTable" localSheetId="101" hidden="1">#REF!</definedName>
    <definedName name="__IntlFixupTable" localSheetId="102" hidden="1">#REF!</definedName>
    <definedName name="__IntlFixupTable" localSheetId="103" hidden="1">#REF!</definedName>
    <definedName name="__IntlFixupTable" localSheetId="97" hidden="1">#REF!</definedName>
    <definedName name="__IntlFixupTable" localSheetId="42" hidden="1">#REF!</definedName>
    <definedName name="__IntlFixupTable" localSheetId="12" hidden="1">#REF!</definedName>
    <definedName name="__IntlFixupTable" localSheetId="73" hidden="1">#REF!</definedName>
    <definedName name="__IntlFixupTable" localSheetId="74" hidden="1">#REF!</definedName>
    <definedName name="__IntlFixupTable" hidden="1">#REF!</definedName>
    <definedName name="__kb2" localSheetId="105" hidden="1">{#N/A,#N/A,FALSE,"F1-Currrent";#N/A,#N/A,FALSE,"F2-Current";#N/A,#N/A,FALSE,"F2-Proposed";#N/A,#N/A,FALSE,"F3-Current";#N/A,#N/A,FALSE,"F4-Current";#N/A,#N/A,FALSE,"F4-Proposed";#N/A,#N/A,FALSE,"Controls"}</definedName>
    <definedName name="__kb2" localSheetId="96" hidden="1">{#N/A,#N/A,FALSE,"F1-Currrent";#N/A,#N/A,FALSE,"F2-Current";#N/A,#N/A,FALSE,"F2-Proposed";#N/A,#N/A,FALSE,"F3-Current";#N/A,#N/A,FALSE,"F4-Current";#N/A,#N/A,FALSE,"F4-Proposed";#N/A,#N/A,FALSE,"Controls"}</definedName>
    <definedName name="__kb2" localSheetId="44" hidden="1">{#N/A,#N/A,FALSE,"F1-Currrent";#N/A,#N/A,FALSE,"F2-Current";#N/A,#N/A,FALSE,"F2-Proposed";#N/A,#N/A,FALSE,"F3-Current";#N/A,#N/A,FALSE,"F4-Current";#N/A,#N/A,FALSE,"F4-Proposed";#N/A,#N/A,FALSE,"Controls"}</definedName>
    <definedName name="__kb2" hidden="1">{#N/A,#N/A,FALSE,"F1-Currrent";#N/A,#N/A,FALSE,"F2-Current";#N/A,#N/A,FALSE,"F2-Proposed";#N/A,#N/A,FALSE,"F3-Current";#N/A,#N/A,FALSE,"F4-Current";#N/A,#N/A,FALSE,"F4-Proposed";#N/A,#N/A,FALSE,"Controls"}</definedName>
    <definedName name="__key2" localSheetId="3" hidden="1">#REF!</definedName>
    <definedName name="__key2" localSheetId="7" hidden="1">#REF!</definedName>
    <definedName name="__key2" localSheetId="9" hidden="1">#REF!</definedName>
    <definedName name="__key2" localSheetId="10" hidden="1">#REF!</definedName>
    <definedName name="__key2" localSheetId="15" hidden="1">#REF!</definedName>
    <definedName name="__key2" localSheetId="18" hidden="1">#REF!</definedName>
    <definedName name="__key2" localSheetId="19" hidden="1">#REF!</definedName>
    <definedName name="__key2" localSheetId="20" hidden="1">#REF!</definedName>
    <definedName name="__key2" localSheetId="23" hidden="1">#REF!</definedName>
    <definedName name="__key2" localSheetId="24" hidden="1">#REF!</definedName>
    <definedName name="__key2" localSheetId="35" hidden="1">#REF!</definedName>
    <definedName name="__key2" localSheetId="58" hidden="1">#REF!</definedName>
    <definedName name="__key2" localSheetId="60" hidden="1">#REF!</definedName>
    <definedName name="__key2" localSheetId="51" hidden="1">#REF!</definedName>
    <definedName name="__key2" localSheetId="54" hidden="1">#REF!</definedName>
    <definedName name="__key2" localSheetId="47" hidden="1">#REF!</definedName>
    <definedName name="__key2" localSheetId="105" hidden="1">#REF!</definedName>
    <definedName name="__key2" localSheetId="104" hidden="1">#REF!</definedName>
    <definedName name="__key2" localSheetId="88" hidden="1">#REF!</definedName>
    <definedName name="__key2" localSheetId="89" hidden="1">#REF!</definedName>
    <definedName name="__key2" localSheetId="87" hidden="1">#REF!</definedName>
    <definedName name="__key2" localSheetId="90" hidden="1">#REF!</definedName>
    <definedName name="__key2" localSheetId="70" hidden="1">#REF!</definedName>
    <definedName name="__key2" localSheetId="65" hidden="1">#REF!</definedName>
    <definedName name="__key2" localSheetId="64" hidden="1">#REF!</definedName>
    <definedName name="__key2" localSheetId="77" hidden="1">#REF!</definedName>
    <definedName name="__key2" localSheetId="49" hidden="1">#REF!</definedName>
    <definedName name="__key2" localSheetId="57" hidden="1">#REF!</definedName>
    <definedName name="__key2" localSheetId="59" hidden="1">#REF!</definedName>
    <definedName name="__key2" localSheetId="40" hidden="1">#REF!</definedName>
    <definedName name="__key2" localSheetId="43" hidden="1">#REF!</definedName>
    <definedName name="__key2" localSheetId="55" hidden="1">#REF!</definedName>
    <definedName name="__key2" localSheetId="13" hidden="1">#REF!</definedName>
    <definedName name="__key2" localSheetId="11" hidden="1">#REF!</definedName>
    <definedName name="__key2" localSheetId="38" hidden="1">#REF!</definedName>
    <definedName name="__key2" localSheetId="41" hidden="1">#REF!</definedName>
    <definedName name="__key2" localSheetId="101" hidden="1">#REF!</definedName>
    <definedName name="__key2" localSheetId="102" hidden="1">#REF!</definedName>
    <definedName name="__key2" localSheetId="103" hidden="1">#REF!</definedName>
    <definedName name="__key2" localSheetId="97" hidden="1">#REF!</definedName>
    <definedName name="__key2" localSheetId="42" hidden="1">#REF!</definedName>
    <definedName name="__key2" localSheetId="12" hidden="1">#REF!</definedName>
    <definedName name="__key2" localSheetId="73" hidden="1">#REF!</definedName>
    <definedName name="__key2" localSheetId="74" hidden="1">#REF!</definedName>
    <definedName name="__key2" hidden="1">#REF!</definedName>
    <definedName name="__MW2" localSheetId="3">#REF!</definedName>
    <definedName name="__MW2" localSheetId="7">#REF!</definedName>
    <definedName name="__MW2" localSheetId="9">#REF!</definedName>
    <definedName name="__MW2" localSheetId="10">#REF!</definedName>
    <definedName name="__MW2" localSheetId="15">#REF!</definedName>
    <definedName name="__MW2" localSheetId="19">#REF!</definedName>
    <definedName name="__MW2" localSheetId="20">#REF!</definedName>
    <definedName name="__MW2" localSheetId="24">#REF!</definedName>
    <definedName name="__MW2" localSheetId="104">#REF!</definedName>
    <definedName name="__MW2" localSheetId="65">#REF!</definedName>
    <definedName name="__MW2" localSheetId="64">#REF!</definedName>
    <definedName name="__MW2" localSheetId="77">#REF!</definedName>
    <definedName name="__MW2" localSheetId="49">#REF!</definedName>
    <definedName name="__MW2" localSheetId="40">#REF!</definedName>
    <definedName name="__MW2" localSheetId="43">#REF!</definedName>
    <definedName name="__MW2" localSheetId="13">#REF!</definedName>
    <definedName name="__MW2" localSheetId="38">#REF!</definedName>
    <definedName name="__MW2">#REF!</definedName>
    <definedName name="__OP1" localSheetId="3">#REF!</definedName>
    <definedName name="__OP1" localSheetId="7">#REF!</definedName>
    <definedName name="__OP1" localSheetId="9">#REF!</definedName>
    <definedName name="__OP1" localSheetId="10">#REF!</definedName>
    <definedName name="__OP1" localSheetId="15">#REF!</definedName>
    <definedName name="__OP1" localSheetId="19">#REF!</definedName>
    <definedName name="__OP1" localSheetId="20">#REF!</definedName>
    <definedName name="__OP1" localSheetId="24">#REF!</definedName>
    <definedName name="__OP1" localSheetId="104">#REF!</definedName>
    <definedName name="__OP1" localSheetId="65">#REF!</definedName>
    <definedName name="__OP1" localSheetId="64">#REF!</definedName>
    <definedName name="__OP1" localSheetId="77">#REF!</definedName>
    <definedName name="__OP1" localSheetId="49">#REF!</definedName>
    <definedName name="__OP1" localSheetId="40">#REF!</definedName>
    <definedName name="__OP1" localSheetId="43">#REF!</definedName>
    <definedName name="__OP1" localSheetId="13">#REF!</definedName>
    <definedName name="__OP1" localSheetId="38">#REF!</definedName>
    <definedName name="__OP1">#REF!</definedName>
    <definedName name="__OP10" localSheetId="3">#REF!</definedName>
    <definedName name="__OP10" localSheetId="7">#REF!</definedName>
    <definedName name="__OP10" localSheetId="9">#REF!</definedName>
    <definedName name="__OP10" localSheetId="10">#REF!</definedName>
    <definedName name="__OP10" localSheetId="15">#REF!</definedName>
    <definedName name="__OP10" localSheetId="19">#REF!</definedName>
    <definedName name="__OP10" localSheetId="20">#REF!</definedName>
    <definedName name="__OP10" localSheetId="24">#REF!</definedName>
    <definedName name="__OP10" localSheetId="104">#REF!</definedName>
    <definedName name="__OP10" localSheetId="65">#REF!</definedName>
    <definedName name="__OP10" localSheetId="64">#REF!</definedName>
    <definedName name="__OP10" localSheetId="77">#REF!</definedName>
    <definedName name="__OP10" localSheetId="49">#REF!</definedName>
    <definedName name="__OP10" localSheetId="40">#REF!</definedName>
    <definedName name="__OP10" localSheetId="43">#REF!</definedName>
    <definedName name="__OP10" localSheetId="13">#REF!</definedName>
    <definedName name="__OP10" localSheetId="38">#REF!</definedName>
    <definedName name="__OP10">#REF!</definedName>
    <definedName name="__OP11" localSheetId="3">#REF!</definedName>
    <definedName name="__OP11" localSheetId="7">#REF!</definedName>
    <definedName name="__OP11" localSheetId="9">#REF!</definedName>
    <definedName name="__OP11" localSheetId="10">#REF!</definedName>
    <definedName name="__OP11" localSheetId="15">#REF!</definedName>
    <definedName name="__OP11" localSheetId="19">#REF!</definedName>
    <definedName name="__OP11" localSheetId="20">#REF!</definedName>
    <definedName name="__OP11" localSheetId="24">#REF!</definedName>
    <definedName name="__OP11" localSheetId="104">#REF!</definedName>
    <definedName name="__OP11" localSheetId="65">#REF!</definedName>
    <definedName name="__OP11" localSheetId="64">#REF!</definedName>
    <definedName name="__OP11" localSheetId="77">#REF!</definedName>
    <definedName name="__OP11" localSheetId="49">#REF!</definedName>
    <definedName name="__OP11" localSheetId="40">#REF!</definedName>
    <definedName name="__OP11" localSheetId="43">#REF!</definedName>
    <definedName name="__OP11" localSheetId="13">#REF!</definedName>
    <definedName name="__OP11" localSheetId="38">#REF!</definedName>
    <definedName name="__OP11">#REF!</definedName>
    <definedName name="__OP12" localSheetId="3">#REF!</definedName>
    <definedName name="__OP12" localSheetId="7">#REF!</definedName>
    <definedName name="__OP12" localSheetId="9">#REF!</definedName>
    <definedName name="__OP12" localSheetId="10">#REF!</definedName>
    <definedName name="__OP12" localSheetId="15">#REF!</definedName>
    <definedName name="__OP12" localSheetId="19">#REF!</definedName>
    <definedName name="__OP12" localSheetId="20">#REF!</definedName>
    <definedName name="__OP12" localSheetId="24">#REF!</definedName>
    <definedName name="__OP12" localSheetId="104">#REF!</definedName>
    <definedName name="__OP12" localSheetId="65">#REF!</definedName>
    <definedName name="__OP12" localSheetId="64">#REF!</definedName>
    <definedName name="__OP12" localSheetId="77">#REF!</definedName>
    <definedName name="__OP12" localSheetId="49">#REF!</definedName>
    <definedName name="__OP12" localSheetId="40">#REF!</definedName>
    <definedName name="__OP12" localSheetId="43">#REF!</definedName>
    <definedName name="__OP12" localSheetId="13">#REF!</definedName>
    <definedName name="__OP12" localSheetId="38">#REF!</definedName>
    <definedName name="__OP12">#REF!</definedName>
    <definedName name="__OP13" localSheetId="3">#REF!</definedName>
    <definedName name="__OP13" localSheetId="7">#REF!</definedName>
    <definedName name="__OP13" localSheetId="9">#REF!</definedName>
    <definedName name="__OP13" localSheetId="10">#REF!</definedName>
    <definedName name="__OP13" localSheetId="15">#REF!</definedName>
    <definedName name="__OP13" localSheetId="19">#REF!</definedName>
    <definedName name="__OP13" localSheetId="20">#REF!</definedName>
    <definedName name="__OP13" localSheetId="24">#REF!</definedName>
    <definedName name="__OP13" localSheetId="104">#REF!</definedName>
    <definedName name="__OP13" localSheetId="65">#REF!</definedName>
    <definedName name="__OP13" localSheetId="64">#REF!</definedName>
    <definedName name="__OP13" localSheetId="77">#REF!</definedName>
    <definedName name="__OP13" localSheetId="49">#REF!</definedName>
    <definedName name="__OP13" localSheetId="40">#REF!</definedName>
    <definedName name="__OP13" localSheetId="43">#REF!</definedName>
    <definedName name="__OP13" localSheetId="13">#REF!</definedName>
    <definedName name="__OP13" localSheetId="38">#REF!</definedName>
    <definedName name="__OP13">#REF!</definedName>
    <definedName name="__OP14" localSheetId="3">#REF!</definedName>
    <definedName name="__OP14" localSheetId="7">#REF!</definedName>
    <definedName name="__OP14" localSheetId="9">#REF!</definedName>
    <definedName name="__OP14" localSheetId="10">#REF!</definedName>
    <definedName name="__OP14" localSheetId="15">#REF!</definedName>
    <definedName name="__OP14" localSheetId="19">#REF!</definedName>
    <definedName name="__OP14" localSheetId="20">#REF!</definedName>
    <definedName name="__OP14" localSheetId="24">#REF!</definedName>
    <definedName name="__OP14" localSheetId="104">#REF!</definedName>
    <definedName name="__OP14" localSheetId="65">#REF!</definedName>
    <definedName name="__OP14" localSheetId="64">#REF!</definedName>
    <definedName name="__OP14" localSheetId="77">#REF!</definedName>
    <definedName name="__OP14" localSheetId="49">#REF!</definedName>
    <definedName name="__OP14" localSheetId="40">#REF!</definedName>
    <definedName name="__OP14" localSheetId="43">#REF!</definedName>
    <definedName name="__OP14" localSheetId="13">#REF!</definedName>
    <definedName name="__OP14" localSheetId="38">#REF!</definedName>
    <definedName name="__OP14">#REF!</definedName>
    <definedName name="__OP15" localSheetId="3">#REF!</definedName>
    <definedName name="__OP15" localSheetId="7">#REF!</definedName>
    <definedName name="__OP15" localSheetId="9">#REF!</definedName>
    <definedName name="__OP15" localSheetId="10">#REF!</definedName>
    <definedName name="__OP15" localSheetId="15">#REF!</definedName>
    <definedName name="__OP15" localSheetId="19">#REF!</definedName>
    <definedName name="__OP15" localSheetId="20">#REF!</definedName>
    <definedName name="__OP15" localSheetId="24">#REF!</definedName>
    <definedName name="__OP15" localSheetId="104">#REF!</definedName>
    <definedName name="__OP15" localSheetId="65">#REF!</definedName>
    <definedName name="__OP15" localSheetId="64">#REF!</definedName>
    <definedName name="__OP15" localSheetId="77">#REF!</definedName>
    <definedName name="__OP15" localSheetId="49">#REF!</definedName>
    <definedName name="__OP15" localSheetId="40">#REF!</definedName>
    <definedName name="__OP15" localSheetId="43">#REF!</definedName>
    <definedName name="__OP15" localSheetId="13">#REF!</definedName>
    <definedName name="__OP15" localSheetId="38">#REF!</definedName>
    <definedName name="__OP15">#REF!</definedName>
    <definedName name="__OP2" localSheetId="3">#REF!</definedName>
    <definedName name="__OP2" localSheetId="7">#REF!</definedName>
    <definedName name="__OP2" localSheetId="9">#REF!</definedName>
    <definedName name="__OP2" localSheetId="10">#REF!</definedName>
    <definedName name="__OP2" localSheetId="15">#REF!</definedName>
    <definedName name="__OP2" localSheetId="19">#REF!</definedName>
    <definedName name="__OP2" localSheetId="20">#REF!</definedName>
    <definedName name="__OP2" localSheetId="24">#REF!</definedName>
    <definedName name="__OP2" localSheetId="104">#REF!</definedName>
    <definedName name="__OP2" localSheetId="65">#REF!</definedName>
    <definedName name="__OP2" localSheetId="64">#REF!</definedName>
    <definedName name="__OP2" localSheetId="77">#REF!</definedName>
    <definedName name="__OP2" localSheetId="49">#REF!</definedName>
    <definedName name="__OP2" localSheetId="40">#REF!</definedName>
    <definedName name="__OP2" localSheetId="43">#REF!</definedName>
    <definedName name="__OP2" localSheetId="13">#REF!</definedName>
    <definedName name="__OP2" localSheetId="38">#REF!</definedName>
    <definedName name="__OP2">#REF!</definedName>
    <definedName name="__OP3" localSheetId="3">#REF!</definedName>
    <definedName name="__OP3" localSheetId="7">#REF!</definedName>
    <definedName name="__OP3" localSheetId="9">#REF!</definedName>
    <definedName name="__OP3" localSheetId="10">#REF!</definedName>
    <definedName name="__OP3" localSheetId="15">#REF!</definedName>
    <definedName name="__OP3" localSheetId="19">#REF!</definedName>
    <definedName name="__OP3" localSheetId="20">#REF!</definedName>
    <definedName name="__OP3" localSheetId="24">#REF!</definedName>
    <definedName name="__OP3" localSheetId="104">#REF!</definedName>
    <definedName name="__OP3" localSheetId="65">#REF!</definedName>
    <definedName name="__OP3" localSheetId="64">#REF!</definedName>
    <definedName name="__OP3" localSheetId="77">#REF!</definedName>
    <definedName name="__OP3" localSheetId="49">#REF!</definedName>
    <definedName name="__OP3" localSheetId="40">#REF!</definedName>
    <definedName name="__OP3" localSheetId="43">#REF!</definedName>
    <definedName name="__OP3" localSheetId="13">#REF!</definedName>
    <definedName name="__OP3" localSheetId="38">#REF!</definedName>
    <definedName name="__OP3">#REF!</definedName>
    <definedName name="__OP4" localSheetId="3">#REF!</definedName>
    <definedName name="__OP4" localSheetId="7">#REF!</definedName>
    <definedName name="__OP4" localSheetId="9">#REF!</definedName>
    <definedName name="__OP4" localSheetId="10">#REF!</definedName>
    <definedName name="__OP4" localSheetId="15">#REF!</definedName>
    <definedName name="__OP4" localSheetId="19">#REF!</definedName>
    <definedName name="__OP4" localSheetId="20">#REF!</definedName>
    <definedName name="__OP4" localSheetId="24">#REF!</definedName>
    <definedName name="__OP4" localSheetId="104">#REF!</definedName>
    <definedName name="__OP4" localSheetId="65">#REF!</definedName>
    <definedName name="__OP4" localSheetId="64">#REF!</definedName>
    <definedName name="__OP4" localSheetId="77">#REF!</definedName>
    <definedName name="__OP4" localSheetId="49">#REF!</definedName>
    <definedName name="__OP4" localSheetId="40">#REF!</definedName>
    <definedName name="__OP4" localSheetId="43">#REF!</definedName>
    <definedName name="__OP4" localSheetId="13">#REF!</definedName>
    <definedName name="__OP4" localSheetId="38">#REF!</definedName>
    <definedName name="__OP4">#REF!</definedName>
    <definedName name="__OP5" localSheetId="3">#REF!</definedName>
    <definedName name="__OP5" localSheetId="7">#REF!</definedName>
    <definedName name="__OP5" localSheetId="9">#REF!</definedName>
    <definedName name="__OP5" localSheetId="10">#REF!</definedName>
    <definedName name="__OP5" localSheetId="15">#REF!</definedName>
    <definedName name="__OP5" localSheetId="19">#REF!</definedName>
    <definedName name="__OP5" localSheetId="20">#REF!</definedName>
    <definedName name="__OP5" localSheetId="24">#REF!</definedName>
    <definedName name="__OP5" localSheetId="104">#REF!</definedName>
    <definedName name="__OP5" localSheetId="65">#REF!</definedName>
    <definedName name="__OP5" localSheetId="64">#REF!</definedName>
    <definedName name="__OP5" localSheetId="77">#REF!</definedName>
    <definedName name="__OP5" localSheetId="49">#REF!</definedName>
    <definedName name="__OP5" localSheetId="40">#REF!</definedName>
    <definedName name="__OP5" localSheetId="43">#REF!</definedName>
    <definedName name="__OP5" localSheetId="13">#REF!</definedName>
    <definedName name="__OP5" localSheetId="38">#REF!</definedName>
    <definedName name="__OP5">#REF!</definedName>
    <definedName name="__OP6" localSheetId="3">#REF!</definedName>
    <definedName name="__OP6" localSheetId="7">#REF!</definedName>
    <definedName name="__OP6" localSheetId="9">#REF!</definedName>
    <definedName name="__OP6" localSheetId="10">#REF!</definedName>
    <definedName name="__OP6" localSheetId="15">#REF!</definedName>
    <definedName name="__OP6" localSheetId="19">#REF!</definedName>
    <definedName name="__OP6" localSheetId="20">#REF!</definedName>
    <definedName name="__OP6" localSheetId="24">#REF!</definedName>
    <definedName name="__OP6" localSheetId="104">#REF!</definedName>
    <definedName name="__OP6" localSheetId="65">#REF!</definedName>
    <definedName name="__OP6" localSheetId="64">#REF!</definedName>
    <definedName name="__OP6" localSheetId="77">#REF!</definedName>
    <definedName name="__OP6" localSheetId="49">#REF!</definedName>
    <definedName name="__OP6" localSheetId="40">#REF!</definedName>
    <definedName name="__OP6" localSheetId="43">#REF!</definedName>
    <definedName name="__OP6" localSheetId="13">#REF!</definedName>
    <definedName name="__OP6" localSheetId="38">#REF!</definedName>
    <definedName name="__OP6">#REF!</definedName>
    <definedName name="__OP7" localSheetId="3">#REF!</definedName>
    <definedName name="__OP7" localSheetId="7">#REF!</definedName>
    <definedName name="__OP7" localSheetId="9">#REF!</definedName>
    <definedName name="__OP7" localSheetId="10">#REF!</definedName>
    <definedName name="__OP7" localSheetId="15">#REF!</definedName>
    <definedName name="__OP7" localSheetId="19">#REF!</definedName>
    <definedName name="__OP7" localSheetId="20">#REF!</definedName>
    <definedName name="__OP7" localSheetId="24">#REF!</definedName>
    <definedName name="__OP7" localSheetId="104">#REF!</definedName>
    <definedName name="__OP7" localSheetId="65">#REF!</definedName>
    <definedName name="__OP7" localSheetId="64">#REF!</definedName>
    <definedName name="__OP7" localSheetId="77">#REF!</definedName>
    <definedName name="__OP7" localSheetId="49">#REF!</definedName>
    <definedName name="__OP7" localSheetId="40">#REF!</definedName>
    <definedName name="__OP7" localSheetId="43">#REF!</definedName>
    <definedName name="__OP7" localSheetId="13">#REF!</definedName>
    <definedName name="__OP7" localSheetId="38">#REF!</definedName>
    <definedName name="__OP7">#REF!</definedName>
    <definedName name="__OP8" localSheetId="3">#REF!</definedName>
    <definedName name="__OP8" localSheetId="7">#REF!</definedName>
    <definedName name="__OP8" localSheetId="9">#REF!</definedName>
    <definedName name="__OP8" localSheetId="10">#REF!</definedName>
    <definedName name="__OP8" localSheetId="15">#REF!</definedName>
    <definedName name="__OP8" localSheetId="19">#REF!</definedName>
    <definedName name="__OP8" localSheetId="20">#REF!</definedName>
    <definedName name="__OP8" localSheetId="24">#REF!</definedName>
    <definedName name="__OP8" localSheetId="104">#REF!</definedName>
    <definedName name="__OP8" localSheetId="65">#REF!</definedName>
    <definedName name="__OP8" localSheetId="64">#REF!</definedName>
    <definedName name="__OP8" localSheetId="77">#REF!</definedName>
    <definedName name="__OP8" localSheetId="49">#REF!</definedName>
    <definedName name="__OP8" localSheetId="40">#REF!</definedName>
    <definedName name="__OP8" localSheetId="43">#REF!</definedName>
    <definedName name="__OP8" localSheetId="13">#REF!</definedName>
    <definedName name="__OP8" localSheetId="38">#REF!</definedName>
    <definedName name="__OP8">#REF!</definedName>
    <definedName name="__OP9" localSheetId="3">#REF!</definedName>
    <definedName name="__OP9" localSheetId="7">#REF!</definedName>
    <definedName name="__OP9" localSheetId="9">#REF!</definedName>
    <definedName name="__OP9" localSheetId="10">#REF!</definedName>
    <definedName name="__OP9" localSheetId="15">#REF!</definedName>
    <definedName name="__OP9" localSheetId="19">#REF!</definedName>
    <definedName name="__OP9" localSheetId="20">#REF!</definedName>
    <definedName name="__OP9" localSheetId="24">#REF!</definedName>
    <definedName name="__OP9" localSheetId="104">#REF!</definedName>
    <definedName name="__OP9" localSheetId="65">#REF!</definedName>
    <definedName name="__OP9" localSheetId="64">#REF!</definedName>
    <definedName name="__OP9" localSheetId="77">#REF!</definedName>
    <definedName name="__OP9" localSheetId="49">#REF!</definedName>
    <definedName name="__OP9" localSheetId="40">#REF!</definedName>
    <definedName name="__OP9" localSheetId="43">#REF!</definedName>
    <definedName name="__OP9" localSheetId="13">#REF!</definedName>
    <definedName name="__OP9" localSheetId="38">#REF!</definedName>
    <definedName name="__OP9">#REF!</definedName>
    <definedName name="__PG10" localSheetId="3">#REF!</definedName>
    <definedName name="__PG10" localSheetId="7">#REF!</definedName>
    <definedName name="__PG10" localSheetId="9">#REF!</definedName>
    <definedName name="__PG10" localSheetId="10">#REF!</definedName>
    <definedName name="__PG10" localSheetId="15">#REF!</definedName>
    <definedName name="__PG10" localSheetId="19">#REF!</definedName>
    <definedName name="__PG10" localSheetId="20">#REF!</definedName>
    <definedName name="__PG10" localSheetId="24">#REF!</definedName>
    <definedName name="__PG10" localSheetId="104">#REF!</definedName>
    <definedName name="__PG10" localSheetId="65">#REF!</definedName>
    <definedName name="__PG10" localSheetId="64">#REF!</definedName>
    <definedName name="__PG10" localSheetId="77">#REF!</definedName>
    <definedName name="__PG10" localSheetId="49">#REF!</definedName>
    <definedName name="__PG10" localSheetId="40">#REF!</definedName>
    <definedName name="__PG10" localSheetId="43">#REF!</definedName>
    <definedName name="__PG10" localSheetId="13">#REF!</definedName>
    <definedName name="__PG10" localSheetId="38">#REF!</definedName>
    <definedName name="__PG10">#REF!</definedName>
    <definedName name="__PG2" localSheetId="3">#REF!</definedName>
    <definedName name="__PG2" localSheetId="7">#REF!</definedName>
    <definedName name="__PG2" localSheetId="9">#REF!</definedName>
    <definedName name="__PG2" localSheetId="10">#REF!</definedName>
    <definedName name="__PG2" localSheetId="15">#REF!</definedName>
    <definedName name="__PG2" localSheetId="19">#REF!</definedName>
    <definedName name="__PG2" localSheetId="20">#REF!</definedName>
    <definedName name="__PG2" localSheetId="24">#REF!</definedName>
    <definedName name="__PG2" localSheetId="104">#REF!</definedName>
    <definedName name="__PG2" localSheetId="65">#REF!</definedName>
    <definedName name="__PG2" localSheetId="64">#REF!</definedName>
    <definedName name="__PG2" localSheetId="77">#REF!</definedName>
    <definedName name="__PG2" localSheetId="49">#REF!</definedName>
    <definedName name="__PG2" localSheetId="40">#REF!</definedName>
    <definedName name="__PG2" localSheetId="43">#REF!</definedName>
    <definedName name="__PG2" localSheetId="13">#REF!</definedName>
    <definedName name="__PG2" localSheetId="38">#REF!</definedName>
    <definedName name="__PG2">#REF!</definedName>
    <definedName name="__PG5" localSheetId="3">#REF!</definedName>
    <definedName name="__PG5" localSheetId="7">#REF!</definedName>
    <definedName name="__PG5" localSheetId="9">#REF!</definedName>
    <definedName name="__PG5" localSheetId="10">#REF!</definedName>
    <definedName name="__PG5" localSheetId="15">#REF!</definedName>
    <definedName name="__PG5" localSheetId="19">#REF!</definedName>
    <definedName name="__PG5" localSheetId="20">#REF!</definedName>
    <definedName name="__PG5" localSheetId="24">#REF!</definedName>
    <definedName name="__PG5" localSheetId="104">#REF!</definedName>
    <definedName name="__PG5" localSheetId="65">#REF!</definedName>
    <definedName name="__PG5" localSheetId="64">#REF!</definedName>
    <definedName name="__PG5" localSheetId="77">#REF!</definedName>
    <definedName name="__PG5" localSheetId="49">#REF!</definedName>
    <definedName name="__PG5" localSheetId="40">#REF!</definedName>
    <definedName name="__PG5" localSheetId="43">#REF!</definedName>
    <definedName name="__PG5" localSheetId="13">#REF!</definedName>
    <definedName name="__PG5" localSheetId="38">#REF!</definedName>
    <definedName name="__PG5">#REF!</definedName>
    <definedName name="__PG8" localSheetId="3">#REF!</definedName>
    <definedName name="__PG8" localSheetId="7">#REF!</definedName>
    <definedName name="__PG8" localSheetId="9">#REF!</definedName>
    <definedName name="__PG8" localSheetId="10">#REF!</definedName>
    <definedName name="__PG8" localSheetId="15">#REF!</definedName>
    <definedName name="__PG8" localSheetId="19">#REF!</definedName>
    <definedName name="__PG8" localSheetId="20">#REF!</definedName>
    <definedName name="__PG8" localSheetId="24">#REF!</definedName>
    <definedName name="__PG8" localSheetId="104">#REF!</definedName>
    <definedName name="__PG8" localSheetId="65">#REF!</definedName>
    <definedName name="__PG8" localSheetId="64">#REF!</definedName>
    <definedName name="__PG8" localSheetId="77">#REF!</definedName>
    <definedName name="__PG8" localSheetId="49">#REF!</definedName>
    <definedName name="__PG8" localSheetId="40">#REF!</definedName>
    <definedName name="__PG8" localSheetId="43">#REF!</definedName>
    <definedName name="__PG8" localSheetId="13">#REF!</definedName>
    <definedName name="__PG8" localSheetId="38">#REF!</definedName>
    <definedName name="__PG8">#REF!</definedName>
    <definedName name="__PG9" localSheetId="3">#REF!</definedName>
    <definedName name="__PG9" localSheetId="7">#REF!</definedName>
    <definedName name="__PG9" localSheetId="9">#REF!</definedName>
    <definedName name="__PG9" localSheetId="10">#REF!</definedName>
    <definedName name="__PG9" localSheetId="15">#REF!</definedName>
    <definedName name="__PG9" localSheetId="19">#REF!</definedName>
    <definedName name="__PG9" localSheetId="20">#REF!</definedName>
    <definedName name="__PG9" localSheetId="24">#REF!</definedName>
    <definedName name="__PG9" localSheetId="104">#REF!</definedName>
    <definedName name="__PG9" localSheetId="65">#REF!</definedName>
    <definedName name="__PG9" localSheetId="64">#REF!</definedName>
    <definedName name="__PG9" localSheetId="77">#REF!</definedName>
    <definedName name="__PG9" localSheetId="49">#REF!</definedName>
    <definedName name="__PG9" localSheetId="40">#REF!</definedName>
    <definedName name="__PG9" localSheetId="43">#REF!</definedName>
    <definedName name="__PG9" localSheetId="13">#REF!</definedName>
    <definedName name="__PG9" localSheetId="38">#REF!</definedName>
    <definedName name="__PG9">#REF!</definedName>
    <definedName name="__PI2" localSheetId="3">#REF!</definedName>
    <definedName name="__PI2" localSheetId="7">#REF!</definedName>
    <definedName name="__PI2" localSheetId="9">#REF!</definedName>
    <definedName name="__PI2" localSheetId="10">#REF!</definedName>
    <definedName name="__PI2" localSheetId="15">#REF!</definedName>
    <definedName name="__PI2" localSheetId="19">#REF!</definedName>
    <definedName name="__PI2" localSheetId="20">#REF!</definedName>
    <definedName name="__PI2" localSheetId="24">#REF!</definedName>
    <definedName name="__PI2" localSheetId="104">#REF!</definedName>
    <definedName name="__PI2" localSheetId="65">#REF!</definedName>
    <definedName name="__PI2" localSheetId="64">#REF!</definedName>
    <definedName name="__PI2" localSheetId="77">#REF!</definedName>
    <definedName name="__PI2" localSheetId="49">#REF!</definedName>
    <definedName name="__PI2" localSheetId="40">#REF!</definedName>
    <definedName name="__PI2" localSheetId="43">#REF!</definedName>
    <definedName name="__PI2" localSheetId="13">#REF!</definedName>
    <definedName name="__PI2" localSheetId="38">#REF!</definedName>
    <definedName name="__PI2">#REF!</definedName>
    <definedName name="__Rs2" localSheetId="3">#REF!</definedName>
    <definedName name="__Rs2" localSheetId="7">#REF!</definedName>
    <definedName name="__Rs2" localSheetId="9">#REF!</definedName>
    <definedName name="__Rs2" localSheetId="10">#REF!</definedName>
    <definedName name="__Rs2" localSheetId="15">#REF!</definedName>
    <definedName name="__Rs2" localSheetId="19">#REF!</definedName>
    <definedName name="__Rs2" localSheetId="20">#REF!</definedName>
    <definedName name="__Rs2" localSheetId="24">#REF!</definedName>
    <definedName name="__Rs2" localSheetId="104">#REF!</definedName>
    <definedName name="__Rs2" localSheetId="65">#REF!</definedName>
    <definedName name="__Rs2" localSheetId="64">#REF!</definedName>
    <definedName name="__Rs2" localSheetId="77">#REF!</definedName>
    <definedName name="__Rs2" localSheetId="49">#REF!</definedName>
    <definedName name="__Rs2" localSheetId="40">#REF!</definedName>
    <definedName name="__Rs2" localSheetId="43">#REF!</definedName>
    <definedName name="__Rs2" localSheetId="13">#REF!</definedName>
    <definedName name="__Rs2" localSheetId="38">#REF!</definedName>
    <definedName name="__Rs2">#REF!</definedName>
    <definedName name="__SGi2" localSheetId="3">#REF!</definedName>
    <definedName name="__SGi2" localSheetId="7">#REF!</definedName>
    <definedName name="__SGi2" localSheetId="9">#REF!</definedName>
    <definedName name="__SGi2" localSheetId="10">#REF!</definedName>
    <definedName name="__SGi2" localSheetId="15">#REF!</definedName>
    <definedName name="__SGi2" localSheetId="19">#REF!</definedName>
    <definedName name="__SGi2" localSheetId="20">#REF!</definedName>
    <definedName name="__SGi2" localSheetId="24">#REF!</definedName>
    <definedName name="__SGi2" localSheetId="104">#REF!</definedName>
    <definedName name="__SGi2" localSheetId="65">#REF!</definedName>
    <definedName name="__SGi2" localSheetId="64">#REF!</definedName>
    <definedName name="__SGi2" localSheetId="77">#REF!</definedName>
    <definedName name="__SGi2" localSheetId="49">#REF!</definedName>
    <definedName name="__SGi2" localSheetId="40">#REF!</definedName>
    <definedName name="__SGi2" localSheetId="43">#REF!</definedName>
    <definedName name="__SGi2" localSheetId="13">#REF!</definedName>
    <definedName name="__SGi2" localSheetId="38">#REF!</definedName>
    <definedName name="__SGi2">#REF!</definedName>
    <definedName name="__SO2" localSheetId="3">#REF!</definedName>
    <definedName name="__SO2" localSheetId="7">#REF!</definedName>
    <definedName name="__SO2" localSheetId="9">#REF!</definedName>
    <definedName name="__SO2" localSheetId="10">#REF!</definedName>
    <definedName name="__SO2" localSheetId="15">#REF!</definedName>
    <definedName name="__SO2" localSheetId="19">#REF!</definedName>
    <definedName name="__SO2" localSheetId="20">#REF!</definedName>
    <definedName name="__SO2" localSheetId="24">#REF!</definedName>
    <definedName name="__SO2" localSheetId="104">#REF!</definedName>
    <definedName name="__SO2" localSheetId="65">#REF!</definedName>
    <definedName name="__SO2" localSheetId="64">#REF!</definedName>
    <definedName name="__SO2" localSheetId="77">#REF!</definedName>
    <definedName name="__SO2" localSheetId="49">#REF!</definedName>
    <definedName name="__SO2" localSheetId="40">#REF!</definedName>
    <definedName name="__SO2" localSheetId="43">#REF!</definedName>
    <definedName name="__SO2" localSheetId="13">#REF!</definedName>
    <definedName name="__SO2" localSheetId="38">#REF!</definedName>
    <definedName name="__SO2">#REF!</definedName>
    <definedName name="__Ti2" localSheetId="3">#REF!</definedName>
    <definedName name="__Ti2" localSheetId="7">#REF!</definedName>
    <definedName name="__Ti2" localSheetId="9">#REF!</definedName>
    <definedName name="__Ti2" localSheetId="10">#REF!</definedName>
    <definedName name="__Ti2" localSheetId="15">#REF!</definedName>
    <definedName name="__Ti2" localSheetId="19">#REF!</definedName>
    <definedName name="__Ti2" localSheetId="20">#REF!</definedName>
    <definedName name="__Ti2" localSheetId="24">#REF!</definedName>
    <definedName name="__Ti2" localSheetId="104">#REF!</definedName>
    <definedName name="__Ti2" localSheetId="65">#REF!</definedName>
    <definedName name="__Ti2" localSheetId="64">#REF!</definedName>
    <definedName name="__Ti2" localSheetId="77">#REF!</definedName>
    <definedName name="__Ti2" localSheetId="49">#REF!</definedName>
    <definedName name="__Ti2" localSheetId="40">#REF!</definedName>
    <definedName name="__Ti2" localSheetId="43">#REF!</definedName>
    <definedName name="__Ti2" localSheetId="13">#REF!</definedName>
    <definedName name="__Ti2" localSheetId="38">#REF!</definedName>
    <definedName name="__Ti2">#REF!</definedName>
    <definedName name="__Voc2" localSheetId="3">#REF!</definedName>
    <definedName name="__Voc2" localSheetId="7">#REF!</definedName>
    <definedName name="__Voc2" localSheetId="9">#REF!</definedName>
    <definedName name="__Voc2" localSheetId="10">#REF!</definedName>
    <definedName name="__Voc2" localSheetId="15">#REF!</definedName>
    <definedName name="__Voc2" localSheetId="19">#REF!</definedName>
    <definedName name="__Voc2" localSheetId="20">#REF!</definedName>
    <definedName name="__Voc2" localSheetId="24">#REF!</definedName>
    <definedName name="__Voc2" localSheetId="104">#REF!</definedName>
    <definedName name="__Voc2" localSheetId="65">#REF!</definedName>
    <definedName name="__Voc2" localSheetId="64">#REF!</definedName>
    <definedName name="__Voc2" localSheetId="77">#REF!</definedName>
    <definedName name="__Voc2" localSheetId="49">#REF!</definedName>
    <definedName name="__Voc2" localSheetId="40">#REF!</definedName>
    <definedName name="__Voc2" localSheetId="43">#REF!</definedName>
    <definedName name="__Voc2" localSheetId="13">#REF!</definedName>
    <definedName name="__Voc2" localSheetId="38">#REF!</definedName>
    <definedName name="__Voc2">#REF!</definedName>
    <definedName name="_1Emissions_Test_Form" localSheetId="3">#REF!</definedName>
    <definedName name="_1Emissions_Test_Form" localSheetId="7">#REF!</definedName>
    <definedName name="_1Emissions_Test_Form" localSheetId="9">#REF!</definedName>
    <definedName name="_1Emissions_Test_Form" localSheetId="10">#REF!</definedName>
    <definedName name="_1Emissions_Test_Form" localSheetId="15">#REF!</definedName>
    <definedName name="_1Emissions_Test_Form" localSheetId="19">#REF!</definedName>
    <definedName name="_1Emissions_Test_Form" localSheetId="20">#REF!</definedName>
    <definedName name="_1Emissions_Test_Form" localSheetId="24">#REF!</definedName>
    <definedName name="_1Emissions_Test_Form" localSheetId="104">#REF!</definedName>
    <definedName name="_1Emissions_Test_Form" localSheetId="65">#REF!</definedName>
    <definedName name="_1Emissions_Test_Form" localSheetId="64">#REF!</definedName>
    <definedName name="_1Emissions_Test_Form" localSheetId="77">#REF!</definedName>
    <definedName name="_1Emissions_Test_Form" localSheetId="49">#REF!</definedName>
    <definedName name="_1Emissions_Test_Form" localSheetId="40">#REF!</definedName>
    <definedName name="_1Emissions_Test_Form" localSheetId="43">#REF!</definedName>
    <definedName name="_1Emissions_Test_Form" localSheetId="13">#REF!</definedName>
    <definedName name="_1Emissions_Test_Form" localSheetId="38">#REF!</definedName>
    <definedName name="_1Emissions_Test_Form">#REF!</definedName>
    <definedName name="_1TOTAL_ANNUAL_NOX__tpy">#N/A</definedName>
    <definedName name="_24hrEF" localSheetId="3">#REF!</definedName>
    <definedName name="_24hrEF" localSheetId="7">#REF!</definedName>
    <definedName name="_24hrEF" localSheetId="9">#REF!</definedName>
    <definedName name="_24hrEF" localSheetId="10">#REF!</definedName>
    <definedName name="_24hrEF" localSheetId="15">#REF!</definedName>
    <definedName name="_24hrEF" localSheetId="19">#REF!</definedName>
    <definedName name="_24hrEF" localSheetId="20">#REF!</definedName>
    <definedName name="_24hrEF" localSheetId="24">#REF!</definedName>
    <definedName name="_24hrEF" localSheetId="104">#REF!</definedName>
    <definedName name="_24hrEF" localSheetId="65">#REF!</definedName>
    <definedName name="_24hrEF" localSheetId="64">#REF!</definedName>
    <definedName name="_24hrEF" localSheetId="77">#REF!</definedName>
    <definedName name="_24hrEF" localSheetId="49">#REF!</definedName>
    <definedName name="_24hrEF" localSheetId="40">#REF!</definedName>
    <definedName name="_24hrEF" localSheetId="43">#REF!</definedName>
    <definedName name="_24hrEF" localSheetId="13">#REF!</definedName>
    <definedName name="_24hrEF" localSheetId="38">#REF!</definedName>
    <definedName name="_24hrEF">#REF!</definedName>
    <definedName name="_2S" localSheetId="3" hidden="1">[1]LOAD!#REF!</definedName>
    <definedName name="_2S" localSheetId="7" hidden="1">[1]LOAD!#REF!</definedName>
    <definedName name="_2S" localSheetId="9" hidden="1">[1]LOAD!#REF!</definedName>
    <definedName name="_2S" localSheetId="10" hidden="1">[1]LOAD!#REF!</definedName>
    <definedName name="_2S" localSheetId="15" hidden="1">[1]LOAD!#REF!</definedName>
    <definedName name="_2S" localSheetId="18" hidden="1">[1]LOAD!#REF!</definedName>
    <definedName name="_2S" localSheetId="19" hidden="1">[1]LOAD!#REF!</definedName>
    <definedName name="_2S" localSheetId="20" hidden="1">[1]LOAD!#REF!</definedName>
    <definedName name="_2S" localSheetId="23" hidden="1">[1]LOAD!#REF!</definedName>
    <definedName name="_2S" localSheetId="24" hidden="1">[1]LOAD!#REF!</definedName>
    <definedName name="_2S" localSheetId="35" hidden="1">[1]LOAD!#REF!</definedName>
    <definedName name="_2S" localSheetId="58" hidden="1">[1]LOAD!#REF!</definedName>
    <definedName name="_2S" localSheetId="60" hidden="1">[1]LOAD!#REF!</definedName>
    <definedName name="_2S" localSheetId="50" hidden="1">[1]LOAD!#REF!</definedName>
    <definedName name="_2S" localSheetId="51" hidden="1">[1]LOAD!#REF!</definedName>
    <definedName name="_2S" localSheetId="54" hidden="1">[1]LOAD!#REF!</definedName>
    <definedName name="_2S" localSheetId="47" hidden="1">[1]LOAD!#REF!</definedName>
    <definedName name="_2S" localSheetId="104" hidden="1">[1]LOAD!#REF!</definedName>
    <definedName name="_2S" localSheetId="88" hidden="1">[1]LOAD!#REF!</definedName>
    <definedName name="_2S" localSheetId="89" hidden="1">[1]LOAD!#REF!</definedName>
    <definedName name="_2S" localSheetId="87" hidden="1">[1]LOAD!#REF!</definedName>
    <definedName name="_2S" localSheetId="90" hidden="1">[1]LOAD!#REF!</definedName>
    <definedName name="_2S" localSheetId="70" hidden="1">[1]LOAD!#REF!</definedName>
    <definedName name="_2S" localSheetId="63" hidden="1">[1]LOAD!#REF!</definedName>
    <definedName name="_2S" localSheetId="65" hidden="1">[1]LOAD!#REF!</definedName>
    <definedName name="_2S" localSheetId="64" hidden="1">[1]LOAD!#REF!</definedName>
    <definedName name="_2S" localSheetId="77" hidden="1">[1]LOAD!#REF!</definedName>
    <definedName name="_2S" localSheetId="49" hidden="1">[1]LOAD!#REF!</definedName>
    <definedName name="_2S" localSheetId="48" hidden="1">[1]LOAD!#REF!</definedName>
    <definedName name="_2S" localSheetId="57" hidden="1">[1]LOAD!#REF!</definedName>
    <definedName name="_2S" localSheetId="59" hidden="1">[1]LOAD!#REF!</definedName>
    <definedName name="_2S" localSheetId="52" hidden="1">[1]LOAD!#REF!</definedName>
    <definedName name="_2S" localSheetId="67" hidden="1">[1]LOAD!#REF!</definedName>
    <definedName name="_2S" localSheetId="80" hidden="1">[1]LOAD!#REF!</definedName>
    <definedName name="_2S" localSheetId="40" hidden="1">[1]LOAD!#REF!</definedName>
    <definedName name="_2S" localSheetId="43" hidden="1">[1]LOAD!#REF!</definedName>
    <definedName name="_2S" localSheetId="55" hidden="1">[1]LOAD!#REF!</definedName>
    <definedName name="_2S" localSheetId="81" hidden="1">[1]LOAD!#REF!</definedName>
    <definedName name="_2S" localSheetId="53" hidden="1">[1]LOAD!#REF!</definedName>
    <definedName name="_2S" localSheetId="13" hidden="1">[1]LOAD!#REF!</definedName>
    <definedName name="_2S" localSheetId="11" hidden="1">[1]LOAD!#REF!</definedName>
    <definedName name="_2S" localSheetId="38" hidden="1">[1]LOAD!#REF!</definedName>
    <definedName name="_2S" localSheetId="41" hidden="1">[1]LOAD!#REF!</definedName>
    <definedName name="_2S" localSheetId="101" hidden="1">[1]LOAD!#REF!</definedName>
    <definedName name="_2S" localSheetId="102" hidden="1">[1]LOAD!#REF!</definedName>
    <definedName name="_2S" localSheetId="103" hidden="1">[1]LOAD!#REF!</definedName>
    <definedName name="_2S" localSheetId="97" hidden="1">[1]LOAD!#REF!</definedName>
    <definedName name="_2S" localSheetId="42" hidden="1">[1]LOAD!#REF!</definedName>
    <definedName name="_2S" localSheetId="12" hidden="1">[1]LOAD!#REF!</definedName>
    <definedName name="_2S" localSheetId="73" hidden="1">[1]LOAD!#REF!</definedName>
    <definedName name="_2S" localSheetId="74" hidden="1">[1]LOAD!#REF!</definedName>
    <definedName name="_2S" hidden="1">[1]LOAD!#REF!</definedName>
    <definedName name="_2TOTAL_ANNUAL_VOC__tpy">#N/A</definedName>
    <definedName name="_4_0_S" localSheetId="3" hidden="1">[1]LOAD!#REF!</definedName>
    <definedName name="_4_0_S" localSheetId="7" hidden="1">[1]LOAD!#REF!</definedName>
    <definedName name="_4_0_S" localSheetId="9" hidden="1">[1]LOAD!#REF!</definedName>
    <definedName name="_4_0_S" localSheetId="10" hidden="1">[1]LOAD!#REF!</definedName>
    <definedName name="_4_0_S" localSheetId="15" hidden="1">[1]LOAD!#REF!</definedName>
    <definedName name="_4_0_S" localSheetId="18" hidden="1">[1]LOAD!#REF!</definedName>
    <definedName name="_4_0_S" localSheetId="19" hidden="1">[1]LOAD!#REF!</definedName>
    <definedName name="_4_0_S" localSheetId="20" hidden="1">[1]LOAD!#REF!</definedName>
    <definedName name="_4_0_S" localSheetId="23" hidden="1">[1]LOAD!#REF!</definedName>
    <definedName name="_4_0_S" localSheetId="24" hidden="1">[1]LOAD!#REF!</definedName>
    <definedName name="_4_0_S" localSheetId="35" hidden="1">[1]LOAD!#REF!</definedName>
    <definedName name="_4_0_S" localSheetId="58" hidden="1">[1]LOAD!#REF!</definedName>
    <definedName name="_4_0_S" localSheetId="60" hidden="1">[1]LOAD!#REF!</definedName>
    <definedName name="_4_0_S" localSheetId="50" hidden="1">[1]LOAD!#REF!</definedName>
    <definedName name="_4_0_S" localSheetId="51" hidden="1">[1]LOAD!#REF!</definedName>
    <definedName name="_4_0_S" localSheetId="54" hidden="1">[1]LOAD!#REF!</definedName>
    <definedName name="_4_0_S" localSheetId="47" hidden="1">[1]LOAD!#REF!</definedName>
    <definedName name="_4_0_S" localSheetId="104" hidden="1">[1]LOAD!#REF!</definedName>
    <definedName name="_4_0_S" localSheetId="88" hidden="1">[1]LOAD!#REF!</definedName>
    <definedName name="_4_0_S" localSheetId="89" hidden="1">[1]LOAD!#REF!</definedName>
    <definedName name="_4_0_S" localSheetId="87" hidden="1">[1]LOAD!#REF!</definedName>
    <definedName name="_4_0_S" localSheetId="90" hidden="1">[1]LOAD!#REF!</definedName>
    <definedName name="_4_0_S" localSheetId="70" hidden="1">[1]LOAD!#REF!</definedName>
    <definedName name="_4_0_S" localSheetId="63" hidden="1">[1]LOAD!#REF!</definedName>
    <definedName name="_4_0_S" localSheetId="65" hidden="1">[1]LOAD!#REF!</definedName>
    <definedName name="_4_0_S" localSheetId="64" hidden="1">[1]LOAD!#REF!</definedName>
    <definedName name="_4_0_S" localSheetId="77" hidden="1">[1]LOAD!#REF!</definedName>
    <definedName name="_4_0_S" localSheetId="49" hidden="1">[1]LOAD!#REF!</definedName>
    <definedName name="_4_0_S" localSheetId="48" hidden="1">[1]LOAD!#REF!</definedName>
    <definedName name="_4_0_S" localSheetId="57" hidden="1">[1]LOAD!#REF!</definedName>
    <definedName name="_4_0_S" localSheetId="59" hidden="1">[1]LOAD!#REF!</definedName>
    <definedName name="_4_0_S" localSheetId="52" hidden="1">[1]LOAD!#REF!</definedName>
    <definedName name="_4_0_S" localSheetId="67" hidden="1">[1]LOAD!#REF!</definedName>
    <definedName name="_4_0_S" localSheetId="80" hidden="1">[1]LOAD!#REF!</definedName>
    <definedName name="_4_0_S" localSheetId="40" hidden="1">[1]LOAD!#REF!</definedName>
    <definedName name="_4_0_S" localSheetId="43" hidden="1">[1]LOAD!#REF!</definedName>
    <definedName name="_4_0_S" localSheetId="55" hidden="1">[1]LOAD!#REF!</definedName>
    <definedName name="_4_0_S" localSheetId="81" hidden="1">[1]LOAD!#REF!</definedName>
    <definedName name="_4_0_S" localSheetId="53" hidden="1">[1]LOAD!#REF!</definedName>
    <definedName name="_4_0_S" localSheetId="13" hidden="1">[1]LOAD!#REF!</definedName>
    <definedName name="_4_0_S" localSheetId="11" hidden="1">[1]LOAD!#REF!</definedName>
    <definedName name="_4_0_S" localSheetId="38" hidden="1">[1]LOAD!#REF!</definedName>
    <definedName name="_4_0_S" localSheetId="41" hidden="1">[1]LOAD!#REF!</definedName>
    <definedName name="_4_0_S" localSheetId="101" hidden="1">[1]LOAD!#REF!</definedName>
    <definedName name="_4_0_S" localSheetId="102" hidden="1">[1]LOAD!#REF!</definedName>
    <definedName name="_4_0_S" localSheetId="103" hidden="1">[1]LOAD!#REF!</definedName>
    <definedName name="_4_0_S" localSheetId="97" hidden="1">[1]LOAD!#REF!</definedName>
    <definedName name="_4_0_S" localSheetId="42" hidden="1">[1]LOAD!#REF!</definedName>
    <definedName name="_4_0_S" localSheetId="12" hidden="1">[1]LOAD!#REF!</definedName>
    <definedName name="_4_0_S" localSheetId="73" hidden="1">[1]LOAD!#REF!</definedName>
    <definedName name="_4_0_S" localSheetId="74" hidden="1">[1]LOAD!#REF!</definedName>
    <definedName name="_4_0_S" hidden="1">[1]LOAD!#REF!</definedName>
    <definedName name="_a" localSheetId="105" hidden="1">{#N/A,#N/A,FALSE,"Annual Summary";#N/A,#N/A,FALSE,"Hourly Summary";#N/A,#N/A,FALSE,"Flare Combustion";#N/A,#N/A,FALSE,"Shipping";#N/A,#N/A,FALSE,"Process Turnaround";#N/A,#N/A,FALSE,"Lab Samples";#N/A,#N/A,FALSE,"Product Cycles 5-4";#N/A,#N/A,FALSE,"5-4.1";#N/A,#N/A,FALSE,"5-4.2";#N/A,#N/A,FALSE,"Physical Prop Data"}</definedName>
    <definedName name="_a" localSheetId="96" hidden="1">{#N/A,#N/A,FALSE,"Annual Summary";#N/A,#N/A,FALSE,"Hourly Summary";#N/A,#N/A,FALSE,"Flare Combustion";#N/A,#N/A,FALSE,"Shipping";#N/A,#N/A,FALSE,"Process Turnaround";#N/A,#N/A,FALSE,"Lab Samples";#N/A,#N/A,FALSE,"Product Cycles 5-4";#N/A,#N/A,FALSE,"5-4.1";#N/A,#N/A,FALSE,"5-4.2";#N/A,#N/A,FALSE,"Physical Prop Data"}</definedName>
    <definedName name="_a" localSheetId="44" hidden="1">{#N/A,#N/A,FALSE,"Annual Summary";#N/A,#N/A,FALSE,"Hourly Summary";#N/A,#N/A,FALSE,"Flare Combustion";#N/A,#N/A,FALSE,"Shipping";#N/A,#N/A,FALSE,"Process Turnaround";#N/A,#N/A,FALSE,"Lab Samples";#N/A,#N/A,FALSE,"Product Cycles 5-4";#N/A,#N/A,FALSE,"5-4.1";#N/A,#N/A,FALSE,"5-4.2";#N/A,#N/A,FALSE,"Physical Prop Data"}</definedName>
    <definedName name="_a" hidden="1">{#N/A,#N/A,FALSE,"Annual Summary";#N/A,#N/A,FALSE,"Hourly Summary";#N/A,#N/A,FALSE,"Flare Combustion";#N/A,#N/A,FALSE,"Shipping";#N/A,#N/A,FALSE,"Process Turnaround";#N/A,#N/A,FALSE,"Lab Samples";#N/A,#N/A,FALSE,"Product Cycles 5-4";#N/A,#N/A,FALSE,"5-4.1";#N/A,#N/A,FALSE,"5-4.2";#N/A,#N/A,FALSE,"Physical Prop Data"}</definedName>
    <definedName name="_aa" localSheetId="105" hidden="1">{#N/A,#N/A,FALSE,"Annual Summary";#N/A,#N/A,FALSE,"Hourly Summary";#N/A,#N/A,FALSE,"Flare Combustion";#N/A,#N/A,FALSE,"Shipping";#N/A,#N/A,FALSE,"Process Turnaround";#N/A,#N/A,FALSE,"Lab Samples";#N/A,#N/A,FALSE,"Product Cycles 5-4";#N/A,#N/A,FALSE,"5-4.1";#N/A,#N/A,FALSE,"5-4.2";#N/A,#N/A,FALSE,"Physical Prop Data"}</definedName>
    <definedName name="_aa" localSheetId="96" hidden="1">{#N/A,#N/A,FALSE,"Annual Summary";#N/A,#N/A,FALSE,"Hourly Summary";#N/A,#N/A,FALSE,"Flare Combustion";#N/A,#N/A,FALSE,"Shipping";#N/A,#N/A,FALSE,"Process Turnaround";#N/A,#N/A,FALSE,"Lab Samples";#N/A,#N/A,FALSE,"Product Cycles 5-4";#N/A,#N/A,FALSE,"5-4.1";#N/A,#N/A,FALSE,"5-4.2";#N/A,#N/A,FALSE,"Physical Prop Data"}</definedName>
    <definedName name="_aa" localSheetId="44" hidden="1">{#N/A,#N/A,FALSE,"Annual Summary";#N/A,#N/A,FALSE,"Hourly Summary";#N/A,#N/A,FALSE,"Flare Combustion";#N/A,#N/A,FALSE,"Shipping";#N/A,#N/A,FALSE,"Process Turnaround";#N/A,#N/A,FALSE,"Lab Samples";#N/A,#N/A,FALSE,"Product Cycles 5-4";#N/A,#N/A,FALSE,"5-4.1";#N/A,#N/A,FALSE,"5-4.2";#N/A,#N/A,FALSE,"Physical Prop Data"}</definedName>
    <definedName name="_aa" hidden="1">{#N/A,#N/A,FALSE,"Annual Summary";#N/A,#N/A,FALSE,"Hourly Summary";#N/A,#N/A,FALSE,"Flare Combustion";#N/A,#N/A,FALSE,"Shipping";#N/A,#N/A,FALSE,"Process Turnaround";#N/A,#N/A,FALSE,"Lab Samples";#N/A,#N/A,FALSE,"Product Cycles 5-4";#N/A,#N/A,FALSE,"5-4.1";#N/A,#N/A,FALSE,"5-4.2";#N/A,#N/A,FALSE,"Physical Prop Data"}</definedName>
    <definedName name="_API2" localSheetId="3">#REF!</definedName>
    <definedName name="_API2" localSheetId="7">#REF!</definedName>
    <definedName name="_API2" localSheetId="9">#REF!</definedName>
    <definedName name="_API2" localSheetId="10">#REF!</definedName>
    <definedName name="_API2" localSheetId="15">#REF!</definedName>
    <definedName name="_API2" localSheetId="19">#REF!</definedName>
    <definedName name="_API2" localSheetId="20">#REF!</definedName>
    <definedName name="_API2" localSheetId="24">#REF!</definedName>
    <definedName name="_API2" localSheetId="104">#REF!</definedName>
    <definedName name="_API2" localSheetId="65">#REF!</definedName>
    <definedName name="_API2" localSheetId="64">#REF!</definedName>
    <definedName name="_API2" localSheetId="77">#REF!</definedName>
    <definedName name="_API2" localSheetId="49">#REF!</definedName>
    <definedName name="_API2" localSheetId="40">#REF!</definedName>
    <definedName name="_API2" localSheetId="43">#REF!</definedName>
    <definedName name="_API2" localSheetId="13">#REF!</definedName>
    <definedName name="_API2" localSheetId="38">#REF!</definedName>
    <definedName name="_API2">#REF!</definedName>
    <definedName name="_Dist_Values" localSheetId="3" hidden="1">#REF!</definedName>
    <definedName name="_Dist_Values" localSheetId="7" hidden="1">#REF!</definedName>
    <definedName name="_Dist_Values" localSheetId="9" hidden="1">#REF!</definedName>
    <definedName name="_Dist_Values" localSheetId="10" hidden="1">#REF!</definedName>
    <definedName name="_Dist_Values" localSheetId="15" hidden="1">#REF!</definedName>
    <definedName name="_Dist_Values" localSheetId="18" hidden="1">#REF!</definedName>
    <definedName name="_Dist_Values" localSheetId="19" hidden="1">#REF!</definedName>
    <definedName name="_Dist_Values" localSheetId="20" hidden="1">#REF!</definedName>
    <definedName name="_Dist_Values" localSheetId="23" hidden="1">#REF!</definedName>
    <definedName name="_Dist_Values" localSheetId="24" hidden="1">#REF!</definedName>
    <definedName name="_Dist_Values" localSheetId="35" hidden="1">#REF!</definedName>
    <definedName name="_Dist_Values" localSheetId="58" hidden="1">#REF!</definedName>
    <definedName name="_Dist_Values" localSheetId="60" hidden="1">#REF!</definedName>
    <definedName name="_Dist_Values" localSheetId="51" hidden="1">#REF!</definedName>
    <definedName name="_Dist_Values" localSheetId="54" hidden="1">#REF!</definedName>
    <definedName name="_Dist_Values" localSheetId="47" hidden="1">#REF!</definedName>
    <definedName name="_Dist_Values" localSheetId="105" hidden="1">#REF!</definedName>
    <definedName name="_Dist_Values" localSheetId="104" hidden="1">#REF!</definedName>
    <definedName name="_Dist_Values" localSheetId="88" hidden="1">#REF!</definedName>
    <definedName name="_Dist_Values" localSheetId="89" hidden="1">#REF!</definedName>
    <definedName name="_Dist_Values" localSheetId="87" hidden="1">#REF!</definedName>
    <definedName name="_Dist_Values" localSheetId="90" hidden="1">#REF!</definedName>
    <definedName name="_Dist_Values" localSheetId="70" hidden="1">#REF!</definedName>
    <definedName name="_Dist_Values" localSheetId="65" hidden="1">#REF!</definedName>
    <definedName name="_Dist_Values" localSheetId="64" hidden="1">#REF!</definedName>
    <definedName name="_Dist_Values" localSheetId="77" hidden="1">#REF!</definedName>
    <definedName name="_Dist_Values" localSheetId="49" hidden="1">#REF!</definedName>
    <definedName name="_Dist_Values" localSheetId="57" hidden="1">#REF!</definedName>
    <definedName name="_Dist_Values" localSheetId="59" hidden="1">#REF!</definedName>
    <definedName name="_Dist_Values" localSheetId="40" hidden="1">#REF!</definedName>
    <definedName name="_Dist_Values" localSheetId="43" hidden="1">#REF!</definedName>
    <definedName name="_Dist_Values" localSheetId="55" hidden="1">#REF!</definedName>
    <definedName name="_Dist_Values" localSheetId="13" hidden="1">#REF!</definedName>
    <definedName name="_Dist_Values" localSheetId="11" hidden="1">#REF!</definedName>
    <definedName name="_Dist_Values" localSheetId="38" hidden="1">#REF!</definedName>
    <definedName name="_Dist_Values" localSheetId="41" hidden="1">#REF!</definedName>
    <definedName name="_Dist_Values" localSheetId="101" hidden="1">#REF!</definedName>
    <definedName name="_Dist_Values" localSheetId="102" hidden="1">#REF!</definedName>
    <definedName name="_Dist_Values" localSheetId="103" hidden="1">#REF!</definedName>
    <definedName name="_Dist_Values" localSheetId="97" hidden="1">#REF!</definedName>
    <definedName name="_Dist_Values" localSheetId="42" hidden="1">#REF!</definedName>
    <definedName name="_Dist_Values" localSheetId="12" hidden="1">#REF!</definedName>
    <definedName name="_Dist_Values" localSheetId="73" hidden="1">#REF!</definedName>
    <definedName name="_Dist_Values" localSheetId="74" hidden="1">#REF!</definedName>
    <definedName name="_Dist_Values" hidden="1">#REF!</definedName>
    <definedName name="_Dist_Values1" localSheetId="3" hidden="1">#REF!</definedName>
    <definedName name="_Dist_Values1" localSheetId="7" hidden="1">#REF!</definedName>
    <definedName name="_Dist_Values1" localSheetId="9" hidden="1">#REF!</definedName>
    <definedName name="_Dist_Values1" localSheetId="10" hidden="1">#REF!</definedName>
    <definedName name="_Dist_Values1" localSheetId="15" hidden="1">#REF!</definedName>
    <definedName name="_Dist_Values1" localSheetId="18" hidden="1">#REF!</definedName>
    <definedName name="_Dist_Values1" localSheetId="19" hidden="1">#REF!</definedName>
    <definedName name="_Dist_Values1" localSheetId="20" hidden="1">#REF!</definedName>
    <definedName name="_Dist_Values1" localSheetId="23" hidden="1">#REF!</definedName>
    <definedName name="_Dist_Values1" localSheetId="24" hidden="1">#REF!</definedName>
    <definedName name="_Dist_Values1" localSheetId="35" hidden="1">#REF!</definedName>
    <definedName name="_Dist_Values1" localSheetId="58" hidden="1">#REF!</definedName>
    <definedName name="_Dist_Values1" localSheetId="60" hidden="1">#REF!</definedName>
    <definedName name="_Dist_Values1" localSheetId="51" hidden="1">#REF!</definedName>
    <definedName name="_Dist_Values1" localSheetId="54" hidden="1">#REF!</definedName>
    <definedName name="_Dist_Values1" localSheetId="47" hidden="1">#REF!</definedName>
    <definedName name="_Dist_Values1" localSheetId="105" hidden="1">#REF!</definedName>
    <definedName name="_Dist_Values1" localSheetId="104" hidden="1">#REF!</definedName>
    <definedName name="_Dist_Values1" localSheetId="88" hidden="1">#REF!</definedName>
    <definedName name="_Dist_Values1" localSheetId="89" hidden="1">#REF!</definedName>
    <definedName name="_Dist_Values1" localSheetId="87" hidden="1">#REF!</definedName>
    <definedName name="_Dist_Values1" localSheetId="90" hidden="1">#REF!</definedName>
    <definedName name="_Dist_Values1" localSheetId="70" hidden="1">#REF!</definedName>
    <definedName name="_Dist_Values1" localSheetId="65" hidden="1">#REF!</definedName>
    <definedName name="_Dist_Values1" localSheetId="64" hidden="1">#REF!</definedName>
    <definedName name="_Dist_Values1" localSheetId="77" hidden="1">#REF!</definedName>
    <definedName name="_Dist_Values1" localSheetId="49" hidden="1">#REF!</definedName>
    <definedName name="_Dist_Values1" localSheetId="57" hidden="1">#REF!</definedName>
    <definedName name="_Dist_Values1" localSheetId="59" hidden="1">#REF!</definedName>
    <definedName name="_Dist_Values1" localSheetId="40" hidden="1">#REF!</definedName>
    <definedName name="_Dist_Values1" localSheetId="43" hidden="1">#REF!</definedName>
    <definedName name="_Dist_Values1" localSheetId="55" hidden="1">#REF!</definedName>
    <definedName name="_Dist_Values1" localSheetId="13" hidden="1">#REF!</definedName>
    <definedName name="_Dist_Values1" localSheetId="11" hidden="1">#REF!</definedName>
    <definedName name="_Dist_Values1" localSheetId="38" hidden="1">#REF!</definedName>
    <definedName name="_Dist_Values1" localSheetId="41" hidden="1">#REF!</definedName>
    <definedName name="_Dist_Values1" localSheetId="101" hidden="1">#REF!</definedName>
    <definedName name="_Dist_Values1" localSheetId="102" hidden="1">#REF!</definedName>
    <definedName name="_Dist_Values1" localSheetId="103" hidden="1">#REF!</definedName>
    <definedName name="_Dist_Values1" localSheetId="97" hidden="1">#REF!</definedName>
    <definedName name="_Dist_Values1" localSheetId="42" hidden="1">#REF!</definedName>
    <definedName name="_Dist_Values1" localSheetId="12" hidden="1">#REF!</definedName>
    <definedName name="_Dist_Values1" localSheetId="73" hidden="1">#REF!</definedName>
    <definedName name="_Dist_Values1" localSheetId="74" hidden="1">#REF!</definedName>
    <definedName name="_Dist_Values1" hidden="1">#REF!</definedName>
    <definedName name="_dud2" localSheetId="3" hidden="1">#REF!</definedName>
    <definedName name="_dud2" localSheetId="7" hidden="1">#REF!</definedName>
    <definedName name="_dud2" localSheetId="9" hidden="1">#REF!</definedName>
    <definedName name="_dud2" localSheetId="10" hidden="1">#REF!</definedName>
    <definedName name="_dud2" localSheetId="15" hidden="1">#REF!</definedName>
    <definedName name="_dud2" localSheetId="18" hidden="1">#REF!</definedName>
    <definedName name="_dud2" localSheetId="19" hidden="1">#REF!</definedName>
    <definedName name="_dud2" localSheetId="20" hidden="1">#REF!</definedName>
    <definedName name="_dud2" localSheetId="23" hidden="1">#REF!</definedName>
    <definedName name="_dud2" localSheetId="24" hidden="1">#REF!</definedName>
    <definedName name="_dud2" localSheetId="35" hidden="1">#REF!</definedName>
    <definedName name="_dud2" localSheetId="58" hidden="1">#REF!</definedName>
    <definedName name="_dud2" localSheetId="60" hidden="1">#REF!</definedName>
    <definedName name="_dud2" localSheetId="51" hidden="1">#REF!</definedName>
    <definedName name="_dud2" localSheetId="54" hidden="1">#REF!</definedName>
    <definedName name="_dud2" localSheetId="47" hidden="1">#REF!</definedName>
    <definedName name="_dud2" localSheetId="105" hidden="1">#REF!</definedName>
    <definedName name="_dud2" localSheetId="104" hidden="1">#REF!</definedName>
    <definedName name="_dud2" localSheetId="88" hidden="1">#REF!</definedName>
    <definedName name="_dud2" localSheetId="89" hidden="1">#REF!</definedName>
    <definedName name="_dud2" localSheetId="87" hidden="1">#REF!</definedName>
    <definedName name="_dud2" localSheetId="90" hidden="1">#REF!</definedName>
    <definedName name="_dud2" localSheetId="70" hidden="1">#REF!</definedName>
    <definedName name="_dud2" localSheetId="65" hidden="1">#REF!</definedName>
    <definedName name="_dud2" localSheetId="64" hidden="1">#REF!</definedName>
    <definedName name="_dud2" localSheetId="77" hidden="1">#REF!</definedName>
    <definedName name="_dud2" localSheetId="49" hidden="1">#REF!</definedName>
    <definedName name="_dud2" localSheetId="57" hidden="1">#REF!</definedName>
    <definedName name="_dud2" localSheetId="59" hidden="1">#REF!</definedName>
    <definedName name="_dud2" localSheetId="40" hidden="1">#REF!</definedName>
    <definedName name="_dud2" localSheetId="43" hidden="1">#REF!</definedName>
    <definedName name="_dud2" localSheetId="55" hidden="1">#REF!</definedName>
    <definedName name="_dud2" localSheetId="13" hidden="1">#REF!</definedName>
    <definedName name="_dud2" localSheetId="11" hidden="1">#REF!</definedName>
    <definedName name="_dud2" localSheetId="38" hidden="1">#REF!</definedName>
    <definedName name="_dud2" localSheetId="41" hidden="1">#REF!</definedName>
    <definedName name="_dud2" localSheetId="101" hidden="1">#REF!</definedName>
    <definedName name="_dud2" localSheetId="102" hidden="1">#REF!</definedName>
    <definedName name="_dud2" localSheetId="103" hidden="1">#REF!</definedName>
    <definedName name="_dud2" localSheetId="97" hidden="1">#REF!</definedName>
    <definedName name="_dud2" localSheetId="42" hidden="1">#REF!</definedName>
    <definedName name="_dud2" localSheetId="12" hidden="1">#REF!</definedName>
    <definedName name="_dud2" localSheetId="73" hidden="1">#REF!</definedName>
    <definedName name="_dud2" localSheetId="74" hidden="1">#REF!</definedName>
    <definedName name="_dud2" hidden="1">#REF!</definedName>
    <definedName name="_em2" localSheetId="3">#REF!</definedName>
    <definedName name="_em2" localSheetId="7">#REF!</definedName>
    <definedName name="_em2" localSheetId="9">#REF!</definedName>
    <definedName name="_em2" localSheetId="10">#REF!</definedName>
    <definedName name="_em2" localSheetId="15">#REF!</definedName>
    <definedName name="_em2" localSheetId="19">#REF!</definedName>
    <definedName name="_em2" localSheetId="20">#REF!</definedName>
    <definedName name="_em2" localSheetId="24">#REF!</definedName>
    <definedName name="_em2" localSheetId="104">#REF!</definedName>
    <definedName name="_em2" localSheetId="65">#REF!</definedName>
    <definedName name="_em2" localSheetId="64">#REF!</definedName>
    <definedName name="_em2" localSheetId="77">#REF!</definedName>
    <definedName name="_em2" localSheetId="49">#REF!</definedName>
    <definedName name="_em2" localSheetId="40">#REF!</definedName>
    <definedName name="_em2" localSheetId="43">#REF!</definedName>
    <definedName name="_em2" localSheetId="13">#REF!</definedName>
    <definedName name="_em2" localSheetId="38">#REF!</definedName>
    <definedName name="_em2">#REF!</definedName>
    <definedName name="_em3" localSheetId="3">#REF!</definedName>
    <definedName name="_em3" localSheetId="7">#REF!</definedName>
    <definedName name="_em3" localSheetId="9">#REF!</definedName>
    <definedName name="_em3" localSheetId="10">#REF!</definedName>
    <definedName name="_em3" localSheetId="15">#REF!</definedName>
    <definedName name="_em3" localSheetId="19">#REF!</definedName>
    <definedName name="_em3" localSheetId="20">#REF!</definedName>
    <definedName name="_em3" localSheetId="24">#REF!</definedName>
    <definedName name="_em3" localSheetId="104">#REF!</definedName>
    <definedName name="_em3" localSheetId="65">#REF!</definedName>
    <definedName name="_em3" localSheetId="64">#REF!</definedName>
    <definedName name="_em3" localSheetId="77">#REF!</definedName>
    <definedName name="_em3" localSheetId="49">#REF!</definedName>
    <definedName name="_em3" localSheetId="40">#REF!</definedName>
    <definedName name="_em3" localSheetId="43">#REF!</definedName>
    <definedName name="_em3" localSheetId="13">#REF!</definedName>
    <definedName name="_em3" localSheetId="38">#REF!</definedName>
    <definedName name="_em3">#REF!</definedName>
    <definedName name="_EPN28" localSheetId="5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5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7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7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6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6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6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5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6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8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7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localSheetId="7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EPN28_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_Fill" localSheetId="3" hidden="1">#REF!</definedName>
    <definedName name="_Fill" localSheetId="7" hidden="1">#REF!</definedName>
    <definedName name="_Fill" localSheetId="9" hidden="1">#REF!</definedName>
    <definedName name="_Fill" localSheetId="10" hidden="1">#REF!</definedName>
    <definedName name="_Fill" localSheetId="15" hidden="1">#REF!</definedName>
    <definedName name="_Fill" localSheetId="18" hidden="1">#REF!</definedName>
    <definedName name="_Fill" localSheetId="19" hidden="1">#REF!</definedName>
    <definedName name="_Fill" localSheetId="20" hidden="1">#REF!</definedName>
    <definedName name="_Fill" localSheetId="23" hidden="1">#REF!</definedName>
    <definedName name="_Fill" localSheetId="24" hidden="1">#REF!</definedName>
    <definedName name="_Fill" localSheetId="35" hidden="1">#REF!</definedName>
    <definedName name="_Fill" localSheetId="58" hidden="1">#REF!</definedName>
    <definedName name="_Fill" localSheetId="60" hidden="1">#REF!</definedName>
    <definedName name="_Fill" localSheetId="51" hidden="1">#REF!</definedName>
    <definedName name="_Fill" localSheetId="54" hidden="1">#REF!</definedName>
    <definedName name="_Fill" localSheetId="47" hidden="1">#REF!</definedName>
    <definedName name="_Fill" localSheetId="105" hidden="1">#REF!</definedName>
    <definedName name="_Fill" localSheetId="104" hidden="1">#REF!</definedName>
    <definedName name="_Fill" localSheetId="88" hidden="1">#REF!</definedName>
    <definedName name="_Fill" localSheetId="89" hidden="1">#REF!</definedName>
    <definedName name="_Fill" localSheetId="87" hidden="1">#REF!</definedName>
    <definedName name="_Fill" localSheetId="90" hidden="1">#REF!</definedName>
    <definedName name="_Fill" localSheetId="70" hidden="1">#REF!</definedName>
    <definedName name="_Fill" localSheetId="63" hidden="1">#REF!</definedName>
    <definedName name="_Fill" localSheetId="65" hidden="1">#REF!</definedName>
    <definedName name="_Fill" localSheetId="64" hidden="1">#REF!</definedName>
    <definedName name="_Fill" localSheetId="77" hidden="1">#REF!</definedName>
    <definedName name="_Fill" localSheetId="49" hidden="1">#REF!</definedName>
    <definedName name="_Fill" localSheetId="48" hidden="1">#REF!</definedName>
    <definedName name="_Fill" localSheetId="57" hidden="1">#REF!</definedName>
    <definedName name="_Fill" localSheetId="59" hidden="1">#REF!</definedName>
    <definedName name="_Fill" localSheetId="52" hidden="1">#REF!</definedName>
    <definedName name="_Fill" localSheetId="67" hidden="1">#REF!</definedName>
    <definedName name="_Fill" localSheetId="80" hidden="1">#REF!</definedName>
    <definedName name="_Fill" localSheetId="40" hidden="1">#REF!</definedName>
    <definedName name="_Fill" localSheetId="43" hidden="1">#REF!</definedName>
    <definedName name="_Fill" localSheetId="55" hidden="1">#REF!</definedName>
    <definedName name="_Fill" localSheetId="81" hidden="1">#REF!</definedName>
    <definedName name="_Fill" localSheetId="53" hidden="1">#REF!</definedName>
    <definedName name="_Fill" localSheetId="13" hidden="1">#REF!</definedName>
    <definedName name="_Fill" localSheetId="11" hidden="1">#REF!</definedName>
    <definedName name="_Fill" localSheetId="38" hidden="1">#REF!</definedName>
    <definedName name="_Fill" localSheetId="41" hidden="1">#REF!</definedName>
    <definedName name="_Fill" localSheetId="101" hidden="1">#REF!</definedName>
    <definedName name="_Fill" localSheetId="102" hidden="1">#REF!</definedName>
    <definedName name="_Fill" localSheetId="103" hidden="1">#REF!</definedName>
    <definedName name="_Fill" localSheetId="97" hidden="1">#REF!</definedName>
    <definedName name="_Fill" localSheetId="42" hidden="1">#REF!</definedName>
    <definedName name="_Fill" localSheetId="12" hidden="1">#REF!</definedName>
    <definedName name="_Fill" localSheetId="73" hidden="1">#REF!</definedName>
    <definedName name="_Fill" localSheetId="74" hidden="1">#REF!</definedName>
    <definedName name="_Fill" hidden="1">#REF!</definedName>
    <definedName name="_Fill2" localSheetId="3" hidden="1">#REF!</definedName>
    <definedName name="_Fill2" localSheetId="7" hidden="1">#REF!</definedName>
    <definedName name="_Fill2" localSheetId="9" hidden="1">#REF!</definedName>
    <definedName name="_Fill2" localSheetId="10" hidden="1">#REF!</definedName>
    <definedName name="_Fill2" localSheetId="15" hidden="1">#REF!</definedName>
    <definedName name="_Fill2" localSheetId="18" hidden="1">#REF!</definedName>
    <definedName name="_Fill2" localSheetId="19" hidden="1">#REF!</definedName>
    <definedName name="_Fill2" localSheetId="20" hidden="1">#REF!</definedName>
    <definedName name="_Fill2" localSheetId="23" hidden="1">#REF!</definedName>
    <definedName name="_Fill2" localSheetId="24" hidden="1">#REF!</definedName>
    <definedName name="_Fill2" localSheetId="35" hidden="1">#REF!</definedName>
    <definedName name="_Fill2" localSheetId="58" hidden="1">#REF!</definedName>
    <definedName name="_Fill2" localSheetId="60" hidden="1">#REF!</definedName>
    <definedName name="_Fill2" localSheetId="51" hidden="1">#REF!</definedName>
    <definedName name="_Fill2" localSheetId="54" hidden="1">#REF!</definedName>
    <definedName name="_Fill2" localSheetId="47" hidden="1">#REF!</definedName>
    <definedName name="_Fill2" localSheetId="105" hidden="1">#REF!</definedName>
    <definedName name="_Fill2" localSheetId="104" hidden="1">#REF!</definedName>
    <definedName name="_Fill2" localSheetId="88" hidden="1">#REF!</definedName>
    <definedName name="_Fill2" localSheetId="89" hidden="1">#REF!</definedName>
    <definedName name="_Fill2" localSheetId="87" hidden="1">#REF!</definedName>
    <definedName name="_Fill2" localSheetId="90" hidden="1">#REF!</definedName>
    <definedName name="_Fill2" localSheetId="70" hidden="1">#REF!</definedName>
    <definedName name="_Fill2" localSheetId="65" hidden="1">#REF!</definedName>
    <definedName name="_Fill2" localSheetId="64" hidden="1">#REF!</definedName>
    <definedName name="_Fill2" localSheetId="77" hidden="1">#REF!</definedName>
    <definedName name="_Fill2" localSheetId="49" hidden="1">#REF!</definedName>
    <definedName name="_Fill2" localSheetId="57" hidden="1">#REF!</definedName>
    <definedName name="_Fill2" localSheetId="59" hidden="1">#REF!</definedName>
    <definedName name="_Fill2" localSheetId="40" hidden="1">#REF!</definedName>
    <definedName name="_Fill2" localSheetId="43" hidden="1">#REF!</definedName>
    <definedName name="_Fill2" localSheetId="55" hidden="1">#REF!</definedName>
    <definedName name="_Fill2" localSheetId="13" hidden="1">#REF!</definedName>
    <definedName name="_Fill2" localSheetId="11" hidden="1">#REF!</definedName>
    <definedName name="_Fill2" localSheetId="38" hidden="1">#REF!</definedName>
    <definedName name="_Fill2" localSheetId="41" hidden="1">#REF!</definedName>
    <definedName name="_Fill2" localSheetId="101" hidden="1">#REF!</definedName>
    <definedName name="_Fill2" localSheetId="102" hidden="1">#REF!</definedName>
    <definedName name="_Fill2" localSheetId="103" hidden="1">#REF!</definedName>
    <definedName name="_Fill2" localSheetId="97" hidden="1">#REF!</definedName>
    <definedName name="_Fill2" localSheetId="42" hidden="1">#REF!</definedName>
    <definedName name="_Fill2" localSheetId="12" hidden="1">#REF!</definedName>
    <definedName name="_Fill2" localSheetId="73" hidden="1">#REF!</definedName>
    <definedName name="_Fill2" localSheetId="74" hidden="1">#REF!</definedName>
    <definedName name="_Fill2" hidden="1">#REF!</definedName>
    <definedName name="_kb2" localSheetId="105" hidden="1">{#N/A,#N/A,FALSE,"F1-Currrent";#N/A,#N/A,FALSE,"F2-Current";#N/A,#N/A,FALSE,"F2-Proposed";#N/A,#N/A,FALSE,"F3-Current";#N/A,#N/A,FALSE,"F4-Current";#N/A,#N/A,FALSE,"F4-Proposed";#N/A,#N/A,FALSE,"Controls"}</definedName>
    <definedName name="_kb2" localSheetId="96" hidden="1">{#N/A,#N/A,FALSE,"F1-Currrent";#N/A,#N/A,FALSE,"F2-Current";#N/A,#N/A,FALSE,"F2-Proposed";#N/A,#N/A,FALSE,"F3-Current";#N/A,#N/A,FALSE,"F4-Current";#N/A,#N/A,FALSE,"F4-Proposed";#N/A,#N/A,FALSE,"Controls"}</definedName>
    <definedName name="_kb2" localSheetId="44" hidden="1">{#N/A,#N/A,FALSE,"F1-Currrent";#N/A,#N/A,FALSE,"F2-Current";#N/A,#N/A,FALSE,"F2-Proposed";#N/A,#N/A,FALSE,"F3-Current";#N/A,#N/A,FALSE,"F4-Current";#N/A,#N/A,FALSE,"F4-Proposed";#N/A,#N/A,FALSE,"Controls"}</definedName>
    <definedName name="_kb2" hidden="1">{#N/A,#N/A,FALSE,"F1-Currrent";#N/A,#N/A,FALSE,"F2-Current";#N/A,#N/A,FALSE,"F2-Proposed";#N/A,#N/A,FALSE,"F3-Current";#N/A,#N/A,FALSE,"F4-Current";#N/A,#N/A,FALSE,"F4-Proposed";#N/A,#N/A,FALSE,"Controls"}</definedName>
    <definedName name="_Key" localSheetId="3" hidden="1">#REF!</definedName>
    <definedName name="_Key" localSheetId="7" hidden="1">#REF!</definedName>
    <definedName name="_Key" localSheetId="9" hidden="1">#REF!</definedName>
    <definedName name="_Key" localSheetId="10" hidden="1">#REF!</definedName>
    <definedName name="_Key" localSheetId="15" hidden="1">#REF!</definedName>
    <definedName name="_Key" localSheetId="18" hidden="1">#REF!</definedName>
    <definedName name="_Key" localSheetId="19" hidden="1">#REF!</definedName>
    <definedName name="_Key" localSheetId="20" hidden="1">#REF!</definedName>
    <definedName name="_Key" localSheetId="23" hidden="1">#REF!</definedName>
    <definedName name="_Key" localSheetId="24" hidden="1">#REF!</definedName>
    <definedName name="_Key" localSheetId="35" hidden="1">#REF!</definedName>
    <definedName name="_Key" localSheetId="58" hidden="1">#REF!</definedName>
    <definedName name="_Key" localSheetId="60" hidden="1">#REF!</definedName>
    <definedName name="_Key" localSheetId="51" hidden="1">#REF!</definedName>
    <definedName name="_Key" localSheetId="54" hidden="1">#REF!</definedName>
    <definedName name="_Key" localSheetId="47" hidden="1">#REF!</definedName>
    <definedName name="_Key" localSheetId="105" hidden="1">#REF!</definedName>
    <definedName name="_Key" localSheetId="104" hidden="1">#REF!</definedName>
    <definedName name="_Key" localSheetId="88" hidden="1">#REF!</definedName>
    <definedName name="_Key" localSheetId="89" hidden="1">#REF!</definedName>
    <definedName name="_Key" localSheetId="87" hidden="1">#REF!</definedName>
    <definedName name="_Key" localSheetId="90" hidden="1">#REF!</definedName>
    <definedName name="_Key" localSheetId="70" hidden="1">#REF!</definedName>
    <definedName name="_Key" localSheetId="65" hidden="1">#REF!</definedName>
    <definedName name="_Key" localSheetId="64" hidden="1">#REF!</definedName>
    <definedName name="_Key" localSheetId="77" hidden="1">#REF!</definedName>
    <definedName name="_Key" localSheetId="49" hidden="1">#REF!</definedName>
    <definedName name="_Key" localSheetId="57" hidden="1">#REF!</definedName>
    <definedName name="_Key" localSheetId="59" hidden="1">#REF!</definedName>
    <definedName name="_Key" localSheetId="40" hidden="1">#REF!</definedName>
    <definedName name="_Key" localSheetId="43" hidden="1">#REF!</definedName>
    <definedName name="_Key" localSheetId="55" hidden="1">#REF!</definedName>
    <definedName name="_Key" localSheetId="13" hidden="1">#REF!</definedName>
    <definedName name="_Key" localSheetId="11" hidden="1">#REF!</definedName>
    <definedName name="_Key" localSheetId="38" hidden="1">#REF!</definedName>
    <definedName name="_Key" localSheetId="41" hidden="1">#REF!</definedName>
    <definedName name="_Key" localSheetId="101" hidden="1">#REF!</definedName>
    <definedName name="_Key" localSheetId="102" hidden="1">#REF!</definedName>
    <definedName name="_Key" localSheetId="103" hidden="1">#REF!</definedName>
    <definedName name="_Key" localSheetId="97" hidden="1">#REF!</definedName>
    <definedName name="_Key" localSheetId="42" hidden="1">#REF!</definedName>
    <definedName name="_Key" localSheetId="12" hidden="1">#REF!</definedName>
    <definedName name="_Key" localSheetId="73" hidden="1">#REF!</definedName>
    <definedName name="_Key" localSheetId="74" hidden="1">#REF!</definedName>
    <definedName name="_Key" hidden="1">#REF!</definedName>
    <definedName name="_Key1" localSheetId="3" hidden="1">[2]LOAD!#REF!</definedName>
    <definedName name="_Key1" localSheetId="7" hidden="1">[2]LOAD!#REF!</definedName>
    <definedName name="_Key1" localSheetId="9" hidden="1">[2]LOAD!#REF!</definedName>
    <definedName name="_Key1" localSheetId="10" hidden="1">[2]LOAD!#REF!</definedName>
    <definedName name="_Key1" localSheetId="15" hidden="1">[2]LOAD!#REF!</definedName>
    <definedName name="_Key1" localSheetId="18" hidden="1">[2]LOAD!#REF!</definedName>
    <definedName name="_Key1" localSheetId="19" hidden="1">[2]LOAD!#REF!</definedName>
    <definedName name="_Key1" localSheetId="20" hidden="1">[2]LOAD!#REF!</definedName>
    <definedName name="_Key1" localSheetId="23" hidden="1">[2]LOAD!#REF!</definedName>
    <definedName name="_Key1" localSheetId="24" hidden="1">[2]LOAD!#REF!</definedName>
    <definedName name="_Key1" localSheetId="35" hidden="1">[2]LOAD!#REF!</definedName>
    <definedName name="_Key1" localSheetId="58" hidden="1">[2]LOAD!#REF!</definedName>
    <definedName name="_Key1" localSheetId="60" hidden="1">[2]LOAD!#REF!</definedName>
    <definedName name="_Key1" localSheetId="50" hidden="1">[3]LOAD!#REF!</definedName>
    <definedName name="_Key1" localSheetId="51" hidden="1">[3]LOAD!#REF!</definedName>
    <definedName name="_Key1" localSheetId="54" hidden="1">[2]LOAD!#REF!</definedName>
    <definedName name="_Key1" localSheetId="47" hidden="1">[2]LOAD!#REF!</definedName>
    <definedName name="_Key1" localSheetId="104" hidden="1">[2]LOAD!#REF!</definedName>
    <definedName name="_Key1" localSheetId="88" hidden="1">[2]LOAD!#REF!</definedName>
    <definedName name="_Key1" localSheetId="89" hidden="1">[2]LOAD!#REF!</definedName>
    <definedName name="_Key1" localSheetId="87" hidden="1">[2]LOAD!#REF!</definedName>
    <definedName name="_Key1" localSheetId="90" hidden="1">[2]LOAD!#REF!</definedName>
    <definedName name="_Key1" localSheetId="70" hidden="1">[2]LOAD!#REF!</definedName>
    <definedName name="_Key1" localSheetId="63" hidden="1">[2]LOAD!#REF!</definedName>
    <definedName name="_Key1" localSheetId="65" hidden="1">[2]LOAD!#REF!</definedName>
    <definedName name="_Key1" localSheetId="64" hidden="1">[2]LOAD!#REF!</definedName>
    <definedName name="_Key1" localSheetId="77" hidden="1">[2]LOAD!#REF!</definedName>
    <definedName name="_Key1" localSheetId="49" hidden="1">[2]LOAD!#REF!</definedName>
    <definedName name="_Key1" localSheetId="48" hidden="1">[2]LOAD!#REF!</definedName>
    <definedName name="_Key1" localSheetId="57" hidden="1">[2]LOAD!#REF!</definedName>
    <definedName name="_Key1" localSheetId="59" hidden="1">[2]LOAD!#REF!</definedName>
    <definedName name="_Key1" localSheetId="67" hidden="1">[3]LOAD!#REF!</definedName>
    <definedName name="_Key1" localSheetId="80" hidden="1">[2]LOAD!#REF!</definedName>
    <definedName name="_Key1" localSheetId="40" hidden="1">[2]LOAD!#REF!</definedName>
    <definedName name="_Key1" localSheetId="43" hidden="1">[2]LOAD!#REF!</definedName>
    <definedName name="_Key1" localSheetId="55" hidden="1">[2]LOAD!#REF!</definedName>
    <definedName name="_Key1" localSheetId="81" hidden="1">[2]LOAD!#REF!</definedName>
    <definedName name="_Key1" localSheetId="53" hidden="1">[2]LOAD!#REF!</definedName>
    <definedName name="_Key1" localSheetId="13" hidden="1">[2]LOAD!#REF!</definedName>
    <definedName name="_Key1" localSheetId="11" hidden="1">[2]LOAD!#REF!</definedName>
    <definedName name="_Key1" localSheetId="38" hidden="1">[2]LOAD!#REF!</definedName>
    <definedName name="_Key1" localSheetId="41" hidden="1">[2]LOAD!#REF!</definedName>
    <definedName name="_Key1" localSheetId="101" hidden="1">[2]LOAD!#REF!</definedName>
    <definedName name="_Key1" localSheetId="102" hidden="1">[2]LOAD!#REF!</definedName>
    <definedName name="_Key1" localSheetId="103" hidden="1">[2]LOAD!#REF!</definedName>
    <definedName name="_Key1" localSheetId="97" hidden="1">[2]LOAD!#REF!</definedName>
    <definedName name="_Key1" localSheetId="42" hidden="1">[2]LOAD!#REF!</definedName>
    <definedName name="_Key1" localSheetId="12" hidden="1">[2]LOAD!#REF!</definedName>
    <definedName name="_Key1" localSheetId="73" hidden="1">[2]LOAD!#REF!</definedName>
    <definedName name="_Key1" localSheetId="74" hidden="1">[2]LOAD!#REF!</definedName>
    <definedName name="_Key1" hidden="1">[2]LOAD!#REF!</definedName>
    <definedName name="_key1_new" localSheetId="3" hidden="1">#REF!</definedName>
    <definedName name="_key1_new" localSheetId="7" hidden="1">#REF!</definedName>
    <definedName name="_key1_new" localSheetId="9" hidden="1">#REF!</definedName>
    <definedName name="_key1_new" localSheetId="10" hidden="1">#REF!</definedName>
    <definedName name="_key1_new" localSheetId="15" hidden="1">#REF!</definedName>
    <definedName name="_key1_new" localSheetId="18" hidden="1">#REF!</definedName>
    <definedName name="_key1_new" localSheetId="19" hidden="1">#REF!</definedName>
    <definedName name="_key1_new" localSheetId="20" hidden="1">#REF!</definedName>
    <definedName name="_key1_new" localSheetId="23" hidden="1">#REF!</definedName>
    <definedName name="_key1_new" localSheetId="24" hidden="1">#REF!</definedName>
    <definedName name="_key1_new" localSheetId="35" hidden="1">#REF!</definedName>
    <definedName name="_key1_new" localSheetId="58" hidden="1">#REF!</definedName>
    <definedName name="_key1_new" localSheetId="60" hidden="1">#REF!</definedName>
    <definedName name="_key1_new" localSheetId="51" hidden="1">#REF!</definedName>
    <definedName name="_key1_new" localSheetId="54" hidden="1">#REF!</definedName>
    <definedName name="_key1_new" localSheetId="47" hidden="1">#REF!</definedName>
    <definedName name="_key1_new" localSheetId="105" hidden="1">#REF!</definedName>
    <definedName name="_key1_new" localSheetId="104" hidden="1">#REF!</definedName>
    <definedName name="_key1_new" localSheetId="88" hidden="1">#REF!</definedName>
    <definedName name="_key1_new" localSheetId="89" hidden="1">#REF!</definedName>
    <definedName name="_key1_new" localSheetId="87" hidden="1">#REF!</definedName>
    <definedName name="_key1_new" localSheetId="90" hidden="1">#REF!</definedName>
    <definedName name="_key1_new" localSheetId="70" hidden="1">#REF!</definedName>
    <definedName name="_key1_new" localSheetId="65" hidden="1">#REF!</definedName>
    <definedName name="_key1_new" localSheetId="64" hidden="1">#REF!</definedName>
    <definedName name="_key1_new" localSheetId="77" hidden="1">#REF!</definedName>
    <definedName name="_key1_new" localSheetId="49" hidden="1">#REF!</definedName>
    <definedName name="_key1_new" localSheetId="57" hidden="1">#REF!</definedName>
    <definedName name="_key1_new" localSheetId="59" hidden="1">#REF!</definedName>
    <definedName name="_key1_new" localSheetId="40" hidden="1">#REF!</definedName>
    <definedName name="_key1_new" localSheetId="43" hidden="1">#REF!</definedName>
    <definedName name="_key1_new" localSheetId="55" hidden="1">#REF!</definedName>
    <definedName name="_key1_new" localSheetId="13" hidden="1">#REF!</definedName>
    <definedName name="_key1_new" localSheetId="11" hidden="1">#REF!</definedName>
    <definedName name="_key1_new" localSheetId="38" hidden="1">#REF!</definedName>
    <definedName name="_key1_new" localSheetId="41" hidden="1">#REF!</definedName>
    <definedName name="_key1_new" localSheetId="101" hidden="1">#REF!</definedName>
    <definedName name="_key1_new" localSheetId="102" hidden="1">#REF!</definedName>
    <definedName name="_key1_new" localSheetId="103" hidden="1">#REF!</definedName>
    <definedName name="_key1_new" localSheetId="97" hidden="1">#REF!</definedName>
    <definedName name="_key1_new" localSheetId="42" hidden="1">#REF!</definedName>
    <definedName name="_key1_new" localSheetId="12" hidden="1">#REF!</definedName>
    <definedName name="_key1_new" localSheetId="73" hidden="1">#REF!</definedName>
    <definedName name="_key1_new" localSheetId="74" hidden="1">#REF!</definedName>
    <definedName name="_key1_new" hidden="1">#REF!</definedName>
    <definedName name="_Key2" localSheetId="3" hidden="1">#REF!</definedName>
    <definedName name="_Key2" localSheetId="7" hidden="1">#REF!</definedName>
    <definedName name="_Key2" localSheetId="9" hidden="1">#REF!</definedName>
    <definedName name="_Key2" localSheetId="10" hidden="1">#REF!</definedName>
    <definedName name="_Key2" localSheetId="15" hidden="1">#REF!</definedName>
    <definedName name="_Key2" localSheetId="18" hidden="1">#REF!</definedName>
    <definedName name="_Key2" localSheetId="19" hidden="1">#REF!</definedName>
    <definedName name="_Key2" localSheetId="20" hidden="1">#REF!</definedName>
    <definedName name="_Key2" localSheetId="23" hidden="1">#REF!</definedName>
    <definedName name="_Key2" localSheetId="24" hidden="1">#REF!</definedName>
    <definedName name="_Key2" localSheetId="35" hidden="1">#REF!</definedName>
    <definedName name="_Key2" localSheetId="58" hidden="1">#REF!</definedName>
    <definedName name="_Key2" localSheetId="60" hidden="1">#REF!</definedName>
    <definedName name="_Key2" localSheetId="51" hidden="1">#REF!</definedName>
    <definedName name="_Key2" localSheetId="54" hidden="1">#REF!</definedName>
    <definedName name="_Key2" localSheetId="47" hidden="1">#REF!</definedName>
    <definedName name="_Key2" localSheetId="105" hidden="1">#REF!</definedName>
    <definedName name="_Key2" localSheetId="104" hidden="1">#REF!</definedName>
    <definedName name="_Key2" localSheetId="88" hidden="1">#REF!</definedName>
    <definedName name="_Key2" localSheetId="89" hidden="1">#REF!</definedName>
    <definedName name="_Key2" localSheetId="87" hidden="1">#REF!</definedName>
    <definedName name="_Key2" localSheetId="90" hidden="1">#REF!</definedName>
    <definedName name="_Key2" localSheetId="70" hidden="1">#REF!</definedName>
    <definedName name="_Key2" localSheetId="63" hidden="1">#REF!</definedName>
    <definedName name="_Key2" localSheetId="65" hidden="1">#REF!</definedName>
    <definedName name="_Key2" localSheetId="64" hidden="1">#REF!</definedName>
    <definedName name="_Key2" localSheetId="77" hidden="1">#REF!</definedName>
    <definedName name="_Key2" localSheetId="49" hidden="1">#REF!</definedName>
    <definedName name="_Key2" localSheetId="48" hidden="1">#REF!</definedName>
    <definedName name="_Key2" localSheetId="57" hidden="1">#REF!</definedName>
    <definedName name="_Key2" localSheetId="59" hidden="1">#REF!</definedName>
    <definedName name="_Key2" localSheetId="52" hidden="1">#REF!</definedName>
    <definedName name="_Key2" localSheetId="67" hidden="1">#REF!</definedName>
    <definedName name="_Key2" localSheetId="80" hidden="1">#REF!</definedName>
    <definedName name="_Key2" localSheetId="40" hidden="1">#REF!</definedName>
    <definedName name="_Key2" localSheetId="43" hidden="1">#REF!</definedName>
    <definedName name="_Key2" localSheetId="55" hidden="1">#REF!</definedName>
    <definedName name="_Key2" localSheetId="81" hidden="1">#REF!</definedName>
    <definedName name="_Key2" localSheetId="53" hidden="1">#REF!</definedName>
    <definedName name="_Key2" localSheetId="13" hidden="1">#REF!</definedName>
    <definedName name="_Key2" localSheetId="11" hidden="1">#REF!</definedName>
    <definedName name="_Key2" localSheetId="38" hidden="1">#REF!</definedName>
    <definedName name="_Key2" localSheetId="41" hidden="1">#REF!</definedName>
    <definedName name="_Key2" localSheetId="101" hidden="1">#REF!</definedName>
    <definedName name="_Key2" localSheetId="102" hidden="1">#REF!</definedName>
    <definedName name="_Key2" localSheetId="103" hidden="1">#REF!</definedName>
    <definedName name="_Key2" localSheetId="97" hidden="1">#REF!</definedName>
    <definedName name="_Key2" localSheetId="42" hidden="1">#REF!</definedName>
    <definedName name="_Key2" localSheetId="12" hidden="1">#REF!</definedName>
    <definedName name="_Key2" localSheetId="73" hidden="1">#REF!</definedName>
    <definedName name="_Key2" localSheetId="74" hidden="1">#REF!</definedName>
    <definedName name="_Key2" hidden="1">#REF!</definedName>
    <definedName name="_key22" localSheetId="3" hidden="1">#REF!</definedName>
    <definedName name="_key22" localSheetId="7" hidden="1">#REF!</definedName>
    <definedName name="_key22" localSheetId="9" hidden="1">#REF!</definedName>
    <definedName name="_key22" localSheetId="10" hidden="1">#REF!</definedName>
    <definedName name="_key22" localSheetId="15" hidden="1">#REF!</definedName>
    <definedName name="_key22" localSheetId="18" hidden="1">#REF!</definedName>
    <definedName name="_key22" localSheetId="19" hidden="1">#REF!</definedName>
    <definedName name="_key22" localSheetId="20" hidden="1">#REF!</definedName>
    <definedName name="_key22" localSheetId="23" hidden="1">#REF!</definedName>
    <definedName name="_key22" localSheetId="24" hidden="1">#REF!</definedName>
    <definedName name="_key22" localSheetId="35" hidden="1">#REF!</definedName>
    <definedName name="_key22" localSheetId="58" hidden="1">#REF!</definedName>
    <definedName name="_key22" localSheetId="60" hidden="1">#REF!</definedName>
    <definedName name="_key22" localSheetId="51" hidden="1">#REF!</definedName>
    <definedName name="_key22" localSheetId="54" hidden="1">#REF!</definedName>
    <definedName name="_key22" localSheetId="47" hidden="1">#REF!</definedName>
    <definedName name="_key22" localSheetId="105" hidden="1">#REF!</definedName>
    <definedName name="_key22" localSheetId="104" hidden="1">#REF!</definedName>
    <definedName name="_key22" localSheetId="88" hidden="1">#REF!</definedName>
    <definedName name="_key22" localSheetId="89" hidden="1">#REF!</definedName>
    <definedName name="_key22" localSheetId="87" hidden="1">#REF!</definedName>
    <definedName name="_key22" localSheetId="90" hidden="1">#REF!</definedName>
    <definedName name="_key22" localSheetId="70" hidden="1">#REF!</definedName>
    <definedName name="_key22" localSheetId="65" hidden="1">#REF!</definedName>
    <definedName name="_key22" localSheetId="64" hidden="1">#REF!</definedName>
    <definedName name="_key22" localSheetId="77" hidden="1">#REF!</definedName>
    <definedName name="_key22" localSheetId="49" hidden="1">#REF!</definedName>
    <definedName name="_key22" localSheetId="57" hidden="1">#REF!</definedName>
    <definedName name="_key22" localSheetId="59" hidden="1">#REF!</definedName>
    <definedName name="_key22" localSheetId="40" hidden="1">#REF!</definedName>
    <definedName name="_key22" localSheetId="43" hidden="1">#REF!</definedName>
    <definedName name="_key22" localSheetId="55" hidden="1">#REF!</definedName>
    <definedName name="_key22" localSheetId="13" hidden="1">#REF!</definedName>
    <definedName name="_key22" localSheetId="11" hidden="1">#REF!</definedName>
    <definedName name="_key22" localSheetId="38" hidden="1">#REF!</definedName>
    <definedName name="_key22" localSheetId="41" hidden="1">#REF!</definedName>
    <definedName name="_key22" localSheetId="101" hidden="1">#REF!</definedName>
    <definedName name="_key22" localSheetId="102" hidden="1">#REF!</definedName>
    <definedName name="_key22" localSheetId="103" hidden="1">#REF!</definedName>
    <definedName name="_key22" localSheetId="97" hidden="1">#REF!</definedName>
    <definedName name="_key22" localSheetId="42" hidden="1">#REF!</definedName>
    <definedName name="_key22" localSheetId="12" hidden="1">#REF!</definedName>
    <definedName name="_key22" localSheetId="73" hidden="1">#REF!</definedName>
    <definedName name="_key22" localSheetId="74" hidden="1">#REF!</definedName>
    <definedName name="_key22" hidden="1">#REF!</definedName>
    <definedName name="_MW2" localSheetId="3">#REF!</definedName>
    <definedName name="_MW2" localSheetId="7">#REF!</definedName>
    <definedName name="_MW2" localSheetId="9">#REF!</definedName>
    <definedName name="_MW2" localSheetId="10">#REF!</definedName>
    <definedName name="_MW2" localSheetId="15">#REF!</definedName>
    <definedName name="_MW2" localSheetId="19">#REF!</definedName>
    <definedName name="_MW2" localSheetId="20">#REF!</definedName>
    <definedName name="_MW2" localSheetId="24">#REF!</definedName>
    <definedName name="_MW2" localSheetId="104">#REF!</definedName>
    <definedName name="_MW2" localSheetId="65">#REF!</definedName>
    <definedName name="_MW2" localSheetId="64">#REF!</definedName>
    <definedName name="_MW2" localSheetId="77">#REF!</definedName>
    <definedName name="_MW2" localSheetId="49">#REF!</definedName>
    <definedName name="_MW2" localSheetId="40">#REF!</definedName>
    <definedName name="_MW2" localSheetId="43">#REF!</definedName>
    <definedName name="_MW2" localSheetId="13">#REF!</definedName>
    <definedName name="_MW2" localSheetId="38">#REF!</definedName>
    <definedName name="_MW2">#REF!</definedName>
    <definedName name="_OP1" localSheetId="3">#REF!</definedName>
    <definedName name="_OP1" localSheetId="7">#REF!</definedName>
    <definedName name="_OP1" localSheetId="9">#REF!</definedName>
    <definedName name="_OP1" localSheetId="10">#REF!</definedName>
    <definedName name="_OP1" localSheetId="15">#REF!</definedName>
    <definedName name="_OP1" localSheetId="19">#REF!</definedName>
    <definedName name="_OP1" localSheetId="20">#REF!</definedName>
    <definedName name="_OP1" localSheetId="24">#REF!</definedName>
    <definedName name="_OP1" localSheetId="104">#REF!</definedName>
    <definedName name="_OP1" localSheetId="65">#REF!</definedName>
    <definedName name="_OP1" localSheetId="64">#REF!</definedName>
    <definedName name="_OP1" localSheetId="77">#REF!</definedName>
    <definedName name="_OP1" localSheetId="49">#REF!</definedName>
    <definedName name="_OP1" localSheetId="40">#REF!</definedName>
    <definedName name="_OP1" localSheetId="43">#REF!</definedName>
    <definedName name="_OP1" localSheetId="13">#REF!</definedName>
    <definedName name="_OP1" localSheetId="38">#REF!</definedName>
    <definedName name="_OP1">#REF!</definedName>
    <definedName name="_OP10" localSheetId="3">#REF!</definedName>
    <definedName name="_OP10" localSheetId="7">#REF!</definedName>
    <definedName name="_OP10" localSheetId="9">#REF!</definedName>
    <definedName name="_OP10" localSheetId="10">#REF!</definedName>
    <definedName name="_OP10" localSheetId="15">#REF!</definedName>
    <definedName name="_OP10" localSheetId="19">#REF!</definedName>
    <definedName name="_OP10" localSheetId="20">#REF!</definedName>
    <definedName name="_OP10" localSheetId="24">#REF!</definedName>
    <definedName name="_OP10" localSheetId="104">#REF!</definedName>
    <definedName name="_OP10" localSheetId="65">#REF!</definedName>
    <definedName name="_OP10" localSheetId="64">#REF!</definedName>
    <definedName name="_OP10" localSheetId="77">#REF!</definedName>
    <definedName name="_OP10" localSheetId="49">#REF!</definedName>
    <definedName name="_OP10" localSheetId="40">#REF!</definedName>
    <definedName name="_OP10" localSheetId="43">#REF!</definedName>
    <definedName name="_OP10" localSheetId="13">#REF!</definedName>
    <definedName name="_OP10" localSheetId="38">#REF!</definedName>
    <definedName name="_OP10">#REF!</definedName>
    <definedName name="_OP11" localSheetId="3">#REF!</definedName>
    <definedName name="_OP11" localSheetId="7">#REF!</definedName>
    <definedName name="_OP11" localSheetId="9">#REF!</definedName>
    <definedName name="_OP11" localSheetId="10">#REF!</definedName>
    <definedName name="_OP11" localSheetId="15">#REF!</definedName>
    <definedName name="_OP11" localSheetId="19">#REF!</definedName>
    <definedName name="_OP11" localSheetId="20">#REF!</definedName>
    <definedName name="_OP11" localSheetId="24">#REF!</definedName>
    <definedName name="_OP11" localSheetId="104">#REF!</definedName>
    <definedName name="_OP11" localSheetId="65">#REF!</definedName>
    <definedName name="_OP11" localSheetId="64">#REF!</definedName>
    <definedName name="_OP11" localSheetId="77">#REF!</definedName>
    <definedName name="_OP11" localSheetId="49">#REF!</definedName>
    <definedName name="_OP11" localSheetId="40">#REF!</definedName>
    <definedName name="_OP11" localSheetId="43">#REF!</definedName>
    <definedName name="_OP11" localSheetId="13">#REF!</definedName>
    <definedName name="_OP11" localSheetId="38">#REF!</definedName>
    <definedName name="_OP11">#REF!</definedName>
    <definedName name="_OP12" localSheetId="3">#REF!</definedName>
    <definedName name="_OP12" localSheetId="7">#REF!</definedName>
    <definedName name="_OP12" localSheetId="9">#REF!</definedName>
    <definedName name="_OP12" localSheetId="10">#REF!</definedName>
    <definedName name="_OP12" localSheetId="15">#REF!</definedName>
    <definedName name="_OP12" localSheetId="19">#REF!</definedName>
    <definedName name="_OP12" localSheetId="20">#REF!</definedName>
    <definedName name="_OP12" localSheetId="24">#REF!</definedName>
    <definedName name="_OP12" localSheetId="104">#REF!</definedName>
    <definedName name="_OP12" localSheetId="65">#REF!</definedName>
    <definedName name="_OP12" localSheetId="64">#REF!</definedName>
    <definedName name="_OP12" localSheetId="77">#REF!</definedName>
    <definedName name="_OP12" localSheetId="49">#REF!</definedName>
    <definedName name="_OP12" localSheetId="40">#REF!</definedName>
    <definedName name="_OP12" localSheetId="43">#REF!</definedName>
    <definedName name="_OP12" localSheetId="13">#REF!</definedName>
    <definedName name="_OP12" localSheetId="38">#REF!</definedName>
    <definedName name="_OP12">#REF!</definedName>
    <definedName name="_OP13" localSheetId="3">#REF!</definedName>
    <definedName name="_OP13" localSheetId="7">#REF!</definedName>
    <definedName name="_OP13" localSheetId="9">#REF!</definedName>
    <definedName name="_OP13" localSheetId="10">#REF!</definedName>
    <definedName name="_OP13" localSheetId="15">#REF!</definedName>
    <definedName name="_OP13" localSheetId="19">#REF!</definedName>
    <definedName name="_OP13" localSheetId="20">#REF!</definedName>
    <definedName name="_OP13" localSheetId="24">#REF!</definedName>
    <definedName name="_OP13" localSheetId="104">#REF!</definedName>
    <definedName name="_OP13" localSheetId="65">#REF!</definedName>
    <definedName name="_OP13" localSheetId="64">#REF!</definedName>
    <definedName name="_OP13" localSheetId="77">#REF!</definedName>
    <definedName name="_OP13" localSheetId="49">#REF!</definedName>
    <definedName name="_OP13" localSheetId="40">#REF!</definedName>
    <definedName name="_OP13" localSheetId="43">#REF!</definedName>
    <definedName name="_OP13" localSheetId="13">#REF!</definedName>
    <definedName name="_OP13" localSheetId="38">#REF!</definedName>
    <definedName name="_OP13">#REF!</definedName>
    <definedName name="_OP14" localSheetId="3">#REF!</definedName>
    <definedName name="_OP14" localSheetId="7">#REF!</definedName>
    <definedName name="_OP14" localSheetId="9">#REF!</definedName>
    <definedName name="_OP14" localSheetId="10">#REF!</definedName>
    <definedName name="_OP14" localSheetId="15">#REF!</definedName>
    <definedName name="_OP14" localSheetId="19">#REF!</definedName>
    <definedName name="_OP14" localSheetId="20">#REF!</definedName>
    <definedName name="_OP14" localSheetId="24">#REF!</definedName>
    <definedName name="_OP14" localSheetId="104">#REF!</definedName>
    <definedName name="_OP14" localSheetId="65">#REF!</definedName>
    <definedName name="_OP14" localSheetId="64">#REF!</definedName>
    <definedName name="_OP14" localSheetId="77">#REF!</definedName>
    <definedName name="_OP14" localSheetId="49">#REF!</definedName>
    <definedName name="_OP14" localSheetId="40">#REF!</definedName>
    <definedName name="_OP14" localSheetId="43">#REF!</definedName>
    <definedName name="_OP14" localSheetId="13">#REF!</definedName>
    <definedName name="_OP14" localSheetId="38">#REF!</definedName>
    <definedName name="_OP14">#REF!</definedName>
    <definedName name="_OP15" localSheetId="3">#REF!</definedName>
    <definedName name="_OP15" localSheetId="7">#REF!</definedName>
    <definedName name="_OP15" localSheetId="9">#REF!</definedName>
    <definedName name="_OP15" localSheetId="10">#REF!</definedName>
    <definedName name="_OP15" localSheetId="15">#REF!</definedName>
    <definedName name="_OP15" localSheetId="19">#REF!</definedName>
    <definedName name="_OP15" localSheetId="20">#REF!</definedName>
    <definedName name="_OP15" localSheetId="24">#REF!</definedName>
    <definedName name="_OP15" localSheetId="104">#REF!</definedName>
    <definedName name="_OP15" localSheetId="65">#REF!</definedName>
    <definedName name="_OP15" localSheetId="64">#REF!</definedName>
    <definedName name="_OP15" localSheetId="77">#REF!</definedName>
    <definedName name="_OP15" localSheetId="49">#REF!</definedName>
    <definedName name="_OP15" localSheetId="40">#REF!</definedName>
    <definedName name="_OP15" localSheetId="43">#REF!</definedName>
    <definedName name="_OP15" localSheetId="13">#REF!</definedName>
    <definedName name="_OP15" localSheetId="38">#REF!</definedName>
    <definedName name="_OP15">#REF!</definedName>
    <definedName name="_OP2" localSheetId="3">#REF!</definedName>
    <definedName name="_OP2" localSheetId="7">#REF!</definedName>
    <definedName name="_OP2" localSheetId="9">#REF!</definedName>
    <definedName name="_OP2" localSheetId="10">#REF!</definedName>
    <definedName name="_OP2" localSheetId="15">#REF!</definedName>
    <definedName name="_OP2" localSheetId="19">#REF!</definedName>
    <definedName name="_OP2" localSheetId="20">#REF!</definedName>
    <definedName name="_OP2" localSheetId="24">#REF!</definedName>
    <definedName name="_OP2" localSheetId="104">#REF!</definedName>
    <definedName name="_OP2" localSheetId="65">#REF!</definedName>
    <definedName name="_OP2" localSheetId="64">#REF!</definedName>
    <definedName name="_OP2" localSheetId="77">#REF!</definedName>
    <definedName name="_OP2" localSheetId="49">#REF!</definedName>
    <definedName name="_OP2" localSheetId="40">#REF!</definedName>
    <definedName name="_OP2" localSheetId="43">#REF!</definedName>
    <definedName name="_OP2" localSheetId="13">#REF!</definedName>
    <definedName name="_OP2" localSheetId="38">#REF!</definedName>
    <definedName name="_OP2">#REF!</definedName>
    <definedName name="_OP3" localSheetId="3">#REF!</definedName>
    <definedName name="_OP3" localSheetId="7">#REF!</definedName>
    <definedName name="_OP3" localSheetId="9">#REF!</definedName>
    <definedName name="_OP3" localSheetId="10">#REF!</definedName>
    <definedName name="_OP3" localSheetId="15">#REF!</definedName>
    <definedName name="_OP3" localSheetId="19">#REF!</definedName>
    <definedName name="_OP3" localSheetId="20">#REF!</definedName>
    <definedName name="_OP3" localSheetId="24">#REF!</definedName>
    <definedName name="_OP3" localSheetId="104">#REF!</definedName>
    <definedName name="_OP3" localSheetId="65">#REF!</definedName>
    <definedName name="_OP3" localSheetId="64">#REF!</definedName>
    <definedName name="_OP3" localSheetId="77">#REF!</definedName>
    <definedName name="_OP3" localSheetId="49">#REF!</definedName>
    <definedName name="_OP3" localSheetId="40">#REF!</definedName>
    <definedName name="_OP3" localSheetId="43">#REF!</definedName>
    <definedName name="_OP3" localSheetId="13">#REF!</definedName>
    <definedName name="_OP3" localSheetId="38">#REF!</definedName>
    <definedName name="_OP3">#REF!</definedName>
    <definedName name="_OP4" localSheetId="3">#REF!</definedName>
    <definedName name="_OP4" localSheetId="7">#REF!</definedName>
    <definedName name="_OP4" localSheetId="9">#REF!</definedName>
    <definedName name="_OP4" localSheetId="10">#REF!</definedName>
    <definedName name="_OP4" localSheetId="15">#REF!</definedName>
    <definedName name="_OP4" localSheetId="19">#REF!</definedName>
    <definedName name="_OP4" localSheetId="20">#REF!</definedName>
    <definedName name="_OP4" localSheetId="24">#REF!</definedName>
    <definedName name="_OP4" localSheetId="104">#REF!</definedName>
    <definedName name="_OP4" localSheetId="65">#REF!</definedName>
    <definedName name="_OP4" localSheetId="64">#REF!</definedName>
    <definedName name="_OP4" localSheetId="77">#REF!</definedName>
    <definedName name="_OP4" localSheetId="49">#REF!</definedName>
    <definedName name="_OP4" localSheetId="40">#REF!</definedName>
    <definedName name="_OP4" localSheetId="43">#REF!</definedName>
    <definedName name="_OP4" localSheetId="13">#REF!</definedName>
    <definedName name="_OP4" localSheetId="38">#REF!</definedName>
    <definedName name="_OP4">#REF!</definedName>
    <definedName name="_OP5" localSheetId="3">#REF!</definedName>
    <definedName name="_OP5" localSheetId="7">#REF!</definedName>
    <definedName name="_OP5" localSheetId="9">#REF!</definedName>
    <definedName name="_OP5" localSheetId="10">#REF!</definedName>
    <definedName name="_OP5" localSheetId="15">#REF!</definedName>
    <definedName name="_OP5" localSheetId="19">#REF!</definedName>
    <definedName name="_OP5" localSheetId="20">#REF!</definedName>
    <definedName name="_OP5" localSheetId="24">#REF!</definedName>
    <definedName name="_OP5" localSheetId="104">#REF!</definedName>
    <definedName name="_OP5" localSheetId="65">#REF!</definedName>
    <definedName name="_OP5" localSheetId="64">#REF!</definedName>
    <definedName name="_OP5" localSheetId="77">#REF!</definedName>
    <definedName name="_OP5" localSheetId="49">#REF!</definedName>
    <definedName name="_OP5" localSheetId="40">#REF!</definedName>
    <definedName name="_OP5" localSheetId="43">#REF!</definedName>
    <definedName name="_OP5" localSheetId="13">#REF!</definedName>
    <definedName name="_OP5" localSheetId="38">#REF!</definedName>
    <definedName name="_OP5">#REF!</definedName>
    <definedName name="_OP6" localSheetId="3">#REF!</definedName>
    <definedName name="_OP6" localSheetId="7">#REF!</definedName>
    <definedName name="_OP6" localSheetId="9">#REF!</definedName>
    <definedName name="_OP6" localSheetId="10">#REF!</definedName>
    <definedName name="_OP6" localSheetId="15">#REF!</definedName>
    <definedName name="_OP6" localSheetId="19">#REF!</definedName>
    <definedName name="_OP6" localSheetId="20">#REF!</definedName>
    <definedName name="_OP6" localSheetId="24">#REF!</definedName>
    <definedName name="_OP6" localSheetId="104">#REF!</definedName>
    <definedName name="_OP6" localSheetId="65">#REF!</definedName>
    <definedName name="_OP6" localSheetId="64">#REF!</definedName>
    <definedName name="_OP6" localSheetId="77">#REF!</definedName>
    <definedName name="_OP6" localSheetId="49">#REF!</definedName>
    <definedName name="_OP6" localSheetId="40">#REF!</definedName>
    <definedName name="_OP6" localSheetId="43">#REF!</definedName>
    <definedName name="_OP6" localSheetId="13">#REF!</definedName>
    <definedName name="_OP6" localSheetId="38">#REF!</definedName>
    <definedName name="_OP6">#REF!</definedName>
    <definedName name="_OP7" localSheetId="3">#REF!</definedName>
    <definedName name="_OP7" localSheetId="7">#REF!</definedName>
    <definedName name="_OP7" localSheetId="9">#REF!</definedName>
    <definedName name="_OP7" localSheetId="10">#REF!</definedName>
    <definedName name="_OP7" localSheetId="15">#REF!</definedName>
    <definedName name="_OP7" localSheetId="19">#REF!</definedName>
    <definedName name="_OP7" localSheetId="20">#REF!</definedName>
    <definedName name="_OP7" localSheetId="24">#REF!</definedName>
    <definedName name="_OP7" localSheetId="104">#REF!</definedName>
    <definedName name="_OP7" localSheetId="65">#REF!</definedName>
    <definedName name="_OP7" localSheetId="64">#REF!</definedName>
    <definedName name="_OP7" localSheetId="77">#REF!</definedName>
    <definedName name="_OP7" localSheetId="49">#REF!</definedName>
    <definedName name="_OP7" localSheetId="40">#REF!</definedName>
    <definedName name="_OP7" localSheetId="43">#REF!</definedName>
    <definedName name="_OP7" localSheetId="13">#REF!</definedName>
    <definedName name="_OP7" localSheetId="38">#REF!</definedName>
    <definedName name="_OP7">#REF!</definedName>
    <definedName name="_OP8" localSheetId="3">#REF!</definedName>
    <definedName name="_OP8" localSheetId="7">#REF!</definedName>
    <definedName name="_OP8" localSheetId="9">#REF!</definedName>
    <definedName name="_OP8" localSheetId="10">#REF!</definedName>
    <definedName name="_OP8" localSheetId="15">#REF!</definedName>
    <definedName name="_OP8" localSheetId="19">#REF!</definedName>
    <definedName name="_OP8" localSheetId="20">#REF!</definedName>
    <definedName name="_OP8" localSheetId="24">#REF!</definedName>
    <definedName name="_OP8" localSheetId="104">#REF!</definedName>
    <definedName name="_OP8" localSheetId="65">#REF!</definedName>
    <definedName name="_OP8" localSheetId="64">#REF!</definedName>
    <definedName name="_OP8" localSheetId="77">#REF!</definedName>
    <definedName name="_OP8" localSheetId="49">#REF!</definedName>
    <definedName name="_OP8" localSheetId="40">#REF!</definedName>
    <definedName name="_OP8" localSheetId="43">#REF!</definedName>
    <definedName name="_OP8" localSheetId="13">#REF!</definedName>
    <definedName name="_OP8" localSheetId="38">#REF!</definedName>
    <definedName name="_OP8">#REF!</definedName>
    <definedName name="_OP9" localSheetId="3">#REF!</definedName>
    <definedName name="_OP9" localSheetId="7">#REF!</definedName>
    <definedName name="_OP9" localSheetId="9">#REF!</definedName>
    <definedName name="_OP9" localSheetId="10">#REF!</definedName>
    <definedName name="_OP9" localSheetId="15">#REF!</definedName>
    <definedName name="_OP9" localSheetId="19">#REF!</definedName>
    <definedName name="_OP9" localSheetId="20">#REF!</definedName>
    <definedName name="_OP9" localSheetId="24">#REF!</definedName>
    <definedName name="_OP9" localSheetId="104">#REF!</definedName>
    <definedName name="_OP9" localSheetId="65">#REF!</definedName>
    <definedName name="_OP9" localSheetId="64">#REF!</definedName>
    <definedName name="_OP9" localSheetId="77">#REF!</definedName>
    <definedName name="_OP9" localSheetId="49">#REF!</definedName>
    <definedName name="_OP9" localSheetId="40">#REF!</definedName>
    <definedName name="_OP9" localSheetId="43">#REF!</definedName>
    <definedName name="_OP9" localSheetId="13">#REF!</definedName>
    <definedName name="_OP9" localSheetId="38">#REF!</definedName>
    <definedName name="_OP9">#REF!</definedName>
    <definedName name="_Order1" hidden="1">255</definedName>
    <definedName name="_Order2" localSheetId="96" hidden="1">0</definedName>
    <definedName name="_Order2" hidden="1">255</definedName>
    <definedName name="_Parse_Out" localSheetId="3" hidden="1">#REF!</definedName>
    <definedName name="_Parse_Out" localSheetId="7" hidden="1">#REF!</definedName>
    <definedName name="_Parse_Out" localSheetId="9" hidden="1">#REF!</definedName>
    <definedName name="_Parse_Out" localSheetId="10" hidden="1">#REF!</definedName>
    <definedName name="_Parse_Out" localSheetId="15" hidden="1">#REF!</definedName>
    <definedName name="_Parse_Out" localSheetId="18" hidden="1">#REF!</definedName>
    <definedName name="_Parse_Out" localSheetId="19" hidden="1">#REF!</definedName>
    <definedName name="_Parse_Out" localSheetId="20" hidden="1">#REF!</definedName>
    <definedName name="_Parse_Out" localSheetId="23" hidden="1">#REF!</definedName>
    <definedName name="_Parse_Out" localSheetId="24" hidden="1">#REF!</definedName>
    <definedName name="_Parse_Out" localSheetId="35" hidden="1">#REF!</definedName>
    <definedName name="_Parse_Out" localSheetId="58" hidden="1">#REF!</definedName>
    <definedName name="_Parse_Out" localSheetId="60" hidden="1">#REF!</definedName>
    <definedName name="_Parse_Out" localSheetId="51" hidden="1">#REF!</definedName>
    <definedName name="_Parse_Out" localSheetId="54" hidden="1">#REF!</definedName>
    <definedName name="_Parse_Out" localSheetId="47" hidden="1">#REF!</definedName>
    <definedName name="_Parse_Out" localSheetId="105" hidden="1">#REF!</definedName>
    <definedName name="_Parse_Out" localSheetId="104" hidden="1">#REF!</definedName>
    <definedName name="_Parse_Out" localSheetId="88" hidden="1">#REF!</definedName>
    <definedName name="_Parse_Out" localSheetId="89" hidden="1">#REF!</definedName>
    <definedName name="_Parse_Out" localSheetId="87" hidden="1">#REF!</definedName>
    <definedName name="_Parse_Out" localSheetId="90" hidden="1">#REF!</definedName>
    <definedName name="_Parse_Out" localSheetId="70" hidden="1">#REF!</definedName>
    <definedName name="_Parse_Out" localSheetId="65" hidden="1">#REF!</definedName>
    <definedName name="_Parse_Out" localSheetId="64" hidden="1">#REF!</definedName>
    <definedName name="_Parse_Out" localSheetId="77" hidden="1">#REF!</definedName>
    <definedName name="_Parse_Out" localSheetId="49" hidden="1">#REF!</definedName>
    <definedName name="_Parse_Out" localSheetId="57" hidden="1">#REF!</definedName>
    <definedName name="_Parse_Out" localSheetId="59" hidden="1">#REF!</definedName>
    <definedName name="_Parse_Out" localSheetId="40" hidden="1">#REF!</definedName>
    <definedName name="_Parse_Out" localSheetId="43" hidden="1">#REF!</definedName>
    <definedName name="_Parse_Out" localSheetId="55" hidden="1">#REF!</definedName>
    <definedName name="_Parse_Out" localSheetId="13" hidden="1">#REF!</definedName>
    <definedName name="_Parse_Out" localSheetId="11" hidden="1">#REF!</definedName>
    <definedName name="_Parse_Out" localSheetId="38" hidden="1">#REF!</definedName>
    <definedName name="_Parse_Out" localSheetId="41" hidden="1">#REF!</definedName>
    <definedName name="_Parse_Out" localSheetId="101" hidden="1">#REF!</definedName>
    <definedName name="_Parse_Out" localSheetId="102" hidden="1">#REF!</definedName>
    <definedName name="_Parse_Out" localSheetId="103" hidden="1">#REF!</definedName>
    <definedName name="_Parse_Out" localSheetId="97" hidden="1">#REF!</definedName>
    <definedName name="_Parse_Out" localSheetId="42" hidden="1">#REF!</definedName>
    <definedName name="_Parse_Out" localSheetId="12" hidden="1">#REF!</definedName>
    <definedName name="_Parse_Out" localSheetId="73" hidden="1">#REF!</definedName>
    <definedName name="_Parse_Out" localSheetId="74" hidden="1">#REF!</definedName>
    <definedName name="_Parse_Out" hidden="1">#REF!</definedName>
    <definedName name="_PG10" localSheetId="3">#REF!</definedName>
    <definedName name="_PG10" localSheetId="7">#REF!</definedName>
    <definedName name="_PG10" localSheetId="9">#REF!</definedName>
    <definedName name="_PG10" localSheetId="10">#REF!</definedName>
    <definedName name="_PG10" localSheetId="15">#REF!</definedName>
    <definedName name="_PG10" localSheetId="19">#REF!</definedName>
    <definedName name="_PG10" localSheetId="20">#REF!</definedName>
    <definedName name="_PG10" localSheetId="24">#REF!</definedName>
    <definedName name="_PG10" localSheetId="104">#REF!</definedName>
    <definedName name="_PG10" localSheetId="65">#REF!</definedName>
    <definedName name="_PG10" localSheetId="64">#REF!</definedName>
    <definedName name="_PG10" localSheetId="77">#REF!</definedName>
    <definedName name="_PG10" localSheetId="49">#REF!</definedName>
    <definedName name="_PG10" localSheetId="40">#REF!</definedName>
    <definedName name="_PG10" localSheetId="43">#REF!</definedName>
    <definedName name="_PG10" localSheetId="13">#REF!</definedName>
    <definedName name="_PG10" localSheetId="38">#REF!</definedName>
    <definedName name="_PG10">#REF!</definedName>
    <definedName name="_PG2" localSheetId="3">#REF!</definedName>
    <definedName name="_PG2" localSheetId="7">#REF!</definedName>
    <definedName name="_PG2" localSheetId="9">#REF!</definedName>
    <definedName name="_PG2" localSheetId="10">#REF!</definedName>
    <definedName name="_PG2" localSheetId="15">#REF!</definedName>
    <definedName name="_PG2" localSheetId="19">#REF!</definedName>
    <definedName name="_PG2" localSheetId="20">#REF!</definedName>
    <definedName name="_PG2" localSheetId="24">#REF!</definedName>
    <definedName name="_PG2" localSheetId="104">#REF!</definedName>
    <definedName name="_PG2" localSheetId="65">#REF!</definedName>
    <definedName name="_PG2" localSheetId="64">#REF!</definedName>
    <definedName name="_PG2" localSheetId="77">#REF!</definedName>
    <definedName name="_PG2" localSheetId="49">#REF!</definedName>
    <definedName name="_PG2" localSheetId="40">#REF!</definedName>
    <definedName name="_PG2" localSheetId="43">#REF!</definedName>
    <definedName name="_PG2" localSheetId="13">#REF!</definedName>
    <definedName name="_PG2" localSheetId="38">#REF!</definedName>
    <definedName name="_PG2">#REF!</definedName>
    <definedName name="_PG5" localSheetId="3">#REF!</definedName>
    <definedName name="_PG5" localSheetId="7">#REF!</definedName>
    <definedName name="_PG5" localSheetId="9">#REF!</definedName>
    <definedName name="_PG5" localSheetId="10">#REF!</definedName>
    <definedName name="_PG5" localSheetId="15">#REF!</definedName>
    <definedName name="_PG5" localSheetId="19">#REF!</definedName>
    <definedName name="_PG5" localSheetId="20">#REF!</definedName>
    <definedName name="_PG5" localSheetId="24">#REF!</definedName>
    <definedName name="_PG5" localSheetId="104">#REF!</definedName>
    <definedName name="_PG5" localSheetId="65">#REF!</definedName>
    <definedName name="_PG5" localSheetId="64">#REF!</definedName>
    <definedName name="_PG5" localSheetId="77">#REF!</definedName>
    <definedName name="_PG5" localSheetId="49">#REF!</definedName>
    <definedName name="_PG5" localSheetId="40">#REF!</definedName>
    <definedName name="_PG5" localSheetId="43">#REF!</definedName>
    <definedName name="_PG5" localSheetId="13">#REF!</definedName>
    <definedName name="_PG5" localSheetId="38">#REF!</definedName>
    <definedName name="_PG5">#REF!</definedName>
    <definedName name="_PG8" localSheetId="3">#REF!</definedName>
    <definedName name="_PG8" localSheetId="7">#REF!</definedName>
    <definedName name="_PG8" localSheetId="9">#REF!</definedName>
    <definedName name="_PG8" localSheetId="10">#REF!</definedName>
    <definedName name="_PG8" localSheetId="15">#REF!</definedName>
    <definedName name="_PG8" localSheetId="19">#REF!</definedName>
    <definedName name="_PG8" localSheetId="20">#REF!</definedName>
    <definedName name="_PG8" localSheetId="24">#REF!</definedName>
    <definedName name="_PG8" localSheetId="104">#REF!</definedName>
    <definedName name="_PG8" localSheetId="65">#REF!</definedName>
    <definedName name="_PG8" localSheetId="64">#REF!</definedName>
    <definedName name="_PG8" localSheetId="77">#REF!</definedName>
    <definedName name="_PG8" localSheetId="49">#REF!</definedName>
    <definedName name="_PG8" localSheetId="40">#REF!</definedName>
    <definedName name="_PG8" localSheetId="43">#REF!</definedName>
    <definedName name="_PG8" localSheetId="13">#REF!</definedName>
    <definedName name="_PG8" localSheetId="38">#REF!</definedName>
    <definedName name="_PG8">#REF!</definedName>
    <definedName name="_PG9" localSheetId="3">#REF!</definedName>
    <definedName name="_PG9" localSheetId="7">#REF!</definedName>
    <definedName name="_PG9" localSheetId="9">#REF!</definedName>
    <definedName name="_PG9" localSheetId="10">#REF!</definedName>
    <definedName name="_PG9" localSheetId="15">#REF!</definedName>
    <definedName name="_PG9" localSheetId="19">#REF!</definedName>
    <definedName name="_PG9" localSheetId="20">#REF!</definedName>
    <definedName name="_PG9" localSheetId="24">#REF!</definedName>
    <definedName name="_PG9" localSheetId="104">#REF!</definedName>
    <definedName name="_PG9" localSheetId="65">#REF!</definedName>
    <definedName name="_PG9" localSheetId="64">#REF!</definedName>
    <definedName name="_PG9" localSheetId="77">#REF!</definedName>
    <definedName name="_PG9" localSheetId="49">#REF!</definedName>
    <definedName name="_PG9" localSheetId="40">#REF!</definedName>
    <definedName name="_PG9" localSheetId="43">#REF!</definedName>
    <definedName name="_PG9" localSheetId="13">#REF!</definedName>
    <definedName name="_PG9" localSheetId="38">#REF!</definedName>
    <definedName name="_PG9">#REF!</definedName>
    <definedName name="_Pi2" localSheetId="3">#REF!</definedName>
    <definedName name="_Pi2" localSheetId="7">#REF!</definedName>
    <definedName name="_Pi2" localSheetId="9">#REF!</definedName>
    <definedName name="_Pi2" localSheetId="10">#REF!</definedName>
    <definedName name="_Pi2" localSheetId="15">#REF!</definedName>
    <definedName name="_Pi2" localSheetId="19">#REF!</definedName>
    <definedName name="_Pi2" localSheetId="20">#REF!</definedName>
    <definedName name="_Pi2" localSheetId="24">#REF!</definedName>
    <definedName name="_Pi2" localSheetId="104">#REF!</definedName>
    <definedName name="_Pi2" localSheetId="65">#REF!</definedName>
    <definedName name="_Pi2" localSheetId="64">#REF!</definedName>
    <definedName name="_Pi2" localSheetId="77">#REF!</definedName>
    <definedName name="_Pi2" localSheetId="49">#REF!</definedName>
    <definedName name="_Pi2" localSheetId="40">#REF!</definedName>
    <definedName name="_Pi2" localSheetId="43">#REF!</definedName>
    <definedName name="_Pi2" localSheetId="13">#REF!</definedName>
    <definedName name="_Pi2" localSheetId="38">#REF!</definedName>
    <definedName name="_Pi2">#REF!</definedName>
    <definedName name="_Regression_Int" hidden="1">1</definedName>
    <definedName name="_Regression_Out" localSheetId="3" hidden="1">#REF!</definedName>
    <definedName name="_Regression_Out" localSheetId="7" hidden="1">#REF!</definedName>
    <definedName name="_Regression_Out" localSheetId="9" hidden="1">#REF!</definedName>
    <definedName name="_Regression_Out" localSheetId="10" hidden="1">#REF!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3" hidden="1">#REF!</definedName>
    <definedName name="_Regression_Out" localSheetId="24" hidden="1">#REF!</definedName>
    <definedName name="_Regression_Out" localSheetId="35" hidden="1">#REF!</definedName>
    <definedName name="_Regression_Out" localSheetId="58" hidden="1">#REF!</definedName>
    <definedName name="_Regression_Out" localSheetId="60" hidden="1">#REF!</definedName>
    <definedName name="_Regression_Out" localSheetId="51" hidden="1">#REF!</definedName>
    <definedName name="_Regression_Out" localSheetId="54" hidden="1">#REF!</definedName>
    <definedName name="_Regression_Out" localSheetId="47" hidden="1">#REF!</definedName>
    <definedName name="_Regression_Out" localSheetId="105" hidden="1">#REF!</definedName>
    <definedName name="_Regression_Out" localSheetId="104" hidden="1">#REF!</definedName>
    <definedName name="_Regression_Out" localSheetId="88" hidden="1">#REF!</definedName>
    <definedName name="_Regression_Out" localSheetId="89" hidden="1">#REF!</definedName>
    <definedName name="_Regression_Out" localSheetId="87" hidden="1">#REF!</definedName>
    <definedName name="_Regression_Out" localSheetId="90" hidden="1">#REF!</definedName>
    <definedName name="_Regression_Out" localSheetId="70" hidden="1">#REF!</definedName>
    <definedName name="_Regression_Out" localSheetId="65" hidden="1">#REF!</definedName>
    <definedName name="_Regression_Out" localSheetId="64" hidden="1">#REF!</definedName>
    <definedName name="_Regression_Out" localSheetId="77" hidden="1">#REF!</definedName>
    <definedName name="_Regression_Out" localSheetId="49" hidden="1">#REF!</definedName>
    <definedName name="_Regression_Out" localSheetId="57" hidden="1">#REF!</definedName>
    <definedName name="_Regression_Out" localSheetId="59" hidden="1">#REF!</definedName>
    <definedName name="_Regression_Out" localSheetId="40" hidden="1">#REF!</definedName>
    <definedName name="_Regression_Out" localSheetId="43" hidden="1">#REF!</definedName>
    <definedName name="_Regression_Out" localSheetId="55" hidden="1">#REF!</definedName>
    <definedName name="_Regression_Out" localSheetId="13" hidden="1">#REF!</definedName>
    <definedName name="_Regression_Out" localSheetId="11" hidden="1">#REF!</definedName>
    <definedName name="_Regression_Out" localSheetId="38" hidden="1">#REF!</definedName>
    <definedName name="_Regression_Out" localSheetId="41" hidden="1">#REF!</definedName>
    <definedName name="_Regression_Out" localSheetId="101" hidden="1">#REF!</definedName>
    <definedName name="_Regression_Out" localSheetId="102" hidden="1">#REF!</definedName>
    <definedName name="_Regression_Out" localSheetId="103" hidden="1">#REF!</definedName>
    <definedName name="_Regression_Out" localSheetId="97" hidden="1">#REF!</definedName>
    <definedName name="_Regression_Out" localSheetId="42" hidden="1">#REF!</definedName>
    <definedName name="_Regression_Out" localSheetId="12" hidden="1">#REF!</definedName>
    <definedName name="_Regression_Out" localSheetId="73" hidden="1">#REF!</definedName>
    <definedName name="_Regression_Out" localSheetId="74" hidden="1">#REF!</definedName>
    <definedName name="_Regression_Out" hidden="1">#REF!</definedName>
    <definedName name="_Regression_X" localSheetId="3" hidden="1">#REF!</definedName>
    <definedName name="_Regression_X" localSheetId="7" hidden="1">#REF!</definedName>
    <definedName name="_Regression_X" localSheetId="9" hidden="1">#REF!</definedName>
    <definedName name="_Regression_X" localSheetId="10" hidden="1">#REF!</definedName>
    <definedName name="_Regression_X" localSheetId="15" hidden="1">#REF!</definedName>
    <definedName name="_Regression_X" localSheetId="18" hidden="1">#REF!</definedName>
    <definedName name="_Regression_X" localSheetId="19" hidden="1">#REF!</definedName>
    <definedName name="_Regression_X" localSheetId="20" hidden="1">#REF!</definedName>
    <definedName name="_Regression_X" localSheetId="23" hidden="1">#REF!</definedName>
    <definedName name="_Regression_X" localSheetId="24" hidden="1">#REF!</definedName>
    <definedName name="_Regression_X" localSheetId="35" hidden="1">#REF!</definedName>
    <definedName name="_Regression_X" localSheetId="58" hidden="1">#REF!</definedName>
    <definedName name="_Regression_X" localSheetId="60" hidden="1">#REF!</definedName>
    <definedName name="_Regression_X" localSheetId="51" hidden="1">#REF!</definedName>
    <definedName name="_Regression_X" localSheetId="54" hidden="1">#REF!</definedName>
    <definedName name="_Regression_X" localSheetId="47" hidden="1">#REF!</definedName>
    <definedName name="_Regression_X" localSheetId="105" hidden="1">#REF!</definedName>
    <definedName name="_Regression_X" localSheetId="104" hidden="1">#REF!</definedName>
    <definedName name="_Regression_X" localSheetId="88" hidden="1">#REF!</definedName>
    <definedName name="_Regression_X" localSheetId="89" hidden="1">#REF!</definedName>
    <definedName name="_Regression_X" localSheetId="87" hidden="1">#REF!</definedName>
    <definedName name="_Regression_X" localSheetId="90" hidden="1">#REF!</definedName>
    <definedName name="_Regression_X" localSheetId="70" hidden="1">#REF!</definedName>
    <definedName name="_Regression_X" localSheetId="65" hidden="1">#REF!</definedName>
    <definedName name="_Regression_X" localSheetId="64" hidden="1">#REF!</definedName>
    <definedName name="_Regression_X" localSheetId="77" hidden="1">#REF!</definedName>
    <definedName name="_Regression_X" localSheetId="49" hidden="1">#REF!</definedName>
    <definedName name="_Regression_X" localSheetId="57" hidden="1">#REF!</definedName>
    <definedName name="_Regression_X" localSheetId="59" hidden="1">#REF!</definedName>
    <definedName name="_Regression_X" localSheetId="40" hidden="1">#REF!</definedName>
    <definedName name="_Regression_X" localSheetId="43" hidden="1">#REF!</definedName>
    <definedName name="_Regression_X" localSheetId="55" hidden="1">#REF!</definedName>
    <definedName name="_Regression_X" localSheetId="13" hidden="1">#REF!</definedName>
    <definedName name="_Regression_X" localSheetId="11" hidden="1">#REF!</definedName>
    <definedName name="_Regression_X" localSheetId="38" hidden="1">#REF!</definedName>
    <definedName name="_Regression_X" localSheetId="41" hidden="1">#REF!</definedName>
    <definedName name="_Regression_X" localSheetId="101" hidden="1">#REF!</definedName>
    <definedName name="_Regression_X" localSheetId="102" hidden="1">#REF!</definedName>
    <definedName name="_Regression_X" localSheetId="103" hidden="1">#REF!</definedName>
    <definedName name="_Regression_X" localSheetId="97" hidden="1">#REF!</definedName>
    <definedName name="_Regression_X" localSheetId="42" hidden="1">#REF!</definedName>
    <definedName name="_Regression_X" localSheetId="12" hidden="1">#REF!</definedName>
    <definedName name="_Regression_X" localSheetId="73" hidden="1">#REF!</definedName>
    <definedName name="_Regression_X" localSheetId="74" hidden="1">#REF!</definedName>
    <definedName name="_Regression_X" hidden="1">#REF!</definedName>
    <definedName name="_Regression_Y" localSheetId="3" hidden="1">#REF!</definedName>
    <definedName name="_Regression_Y" localSheetId="7" hidden="1">#REF!</definedName>
    <definedName name="_Regression_Y" localSheetId="9" hidden="1">#REF!</definedName>
    <definedName name="_Regression_Y" localSheetId="10" hidden="1">#REF!</definedName>
    <definedName name="_Regression_Y" localSheetId="15" hidden="1">#REF!</definedName>
    <definedName name="_Regression_Y" localSheetId="18" hidden="1">#REF!</definedName>
    <definedName name="_Regression_Y" localSheetId="19" hidden="1">#REF!</definedName>
    <definedName name="_Regression_Y" localSheetId="20" hidden="1">#REF!</definedName>
    <definedName name="_Regression_Y" localSheetId="23" hidden="1">#REF!</definedName>
    <definedName name="_Regression_Y" localSheetId="24" hidden="1">#REF!</definedName>
    <definedName name="_Regression_Y" localSheetId="35" hidden="1">#REF!</definedName>
    <definedName name="_Regression_Y" localSheetId="58" hidden="1">#REF!</definedName>
    <definedName name="_Regression_Y" localSheetId="60" hidden="1">#REF!</definedName>
    <definedName name="_Regression_Y" localSheetId="51" hidden="1">#REF!</definedName>
    <definedName name="_Regression_Y" localSheetId="54" hidden="1">#REF!</definedName>
    <definedName name="_Regression_Y" localSheetId="47" hidden="1">#REF!</definedName>
    <definedName name="_Regression_Y" localSheetId="105" hidden="1">#REF!</definedName>
    <definedName name="_Regression_Y" localSheetId="104" hidden="1">#REF!</definedName>
    <definedName name="_Regression_Y" localSheetId="88" hidden="1">#REF!</definedName>
    <definedName name="_Regression_Y" localSheetId="89" hidden="1">#REF!</definedName>
    <definedName name="_Regression_Y" localSheetId="87" hidden="1">#REF!</definedName>
    <definedName name="_Regression_Y" localSheetId="90" hidden="1">#REF!</definedName>
    <definedName name="_Regression_Y" localSheetId="70" hidden="1">#REF!</definedName>
    <definedName name="_Regression_Y" localSheetId="65" hidden="1">#REF!</definedName>
    <definedName name="_Regression_Y" localSheetId="64" hidden="1">#REF!</definedName>
    <definedName name="_Regression_Y" localSheetId="77" hidden="1">#REF!</definedName>
    <definedName name="_Regression_Y" localSheetId="49" hidden="1">#REF!</definedName>
    <definedName name="_Regression_Y" localSheetId="57" hidden="1">#REF!</definedName>
    <definedName name="_Regression_Y" localSheetId="59" hidden="1">#REF!</definedName>
    <definedName name="_Regression_Y" localSheetId="40" hidden="1">#REF!</definedName>
    <definedName name="_Regression_Y" localSheetId="43" hidden="1">#REF!</definedName>
    <definedName name="_Regression_Y" localSheetId="55" hidden="1">#REF!</definedName>
    <definedName name="_Regression_Y" localSheetId="13" hidden="1">#REF!</definedName>
    <definedName name="_Regression_Y" localSheetId="11" hidden="1">#REF!</definedName>
    <definedName name="_Regression_Y" localSheetId="38" hidden="1">#REF!</definedName>
    <definedName name="_Regression_Y" localSheetId="41" hidden="1">#REF!</definedName>
    <definedName name="_Regression_Y" localSheetId="101" hidden="1">#REF!</definedName>
    <definedName name="_Regression_Y" localSheetId="102" hidden="1">#REF!</definedName>
    <definedName name="_Regression_Y" localSheetId="103" hidden="1">#REF!</definedName>
    <definedName name="_Regression_Y" localSheetId="97" hidden="1">#REF!</definedName>
    <definedName name="_Regression_Y" localSheetId="42" hidden="1">#REF!</definedName>
    <definedName name="_Regression_Y" localSheetId="12" hidden="1">#REF!</definedName>
    <definedName name="_Regression_Y" localSheetId="73" hidden="1">#REF!</definedName>
    <definedName name="_Regression_Y" localSheetId="74" hidden="1">#REF!</definedName>
    <definedName name="_Regression_Y" hidden="1">#REF!</definedName>
    <definedName name="_Rs2" localSheetId="3">#REF!</definedName>
    <definedName name="_Rs2" localSheetId="7">#REF!</definedName>
    <definedName name="_Rs2" localSheetId="9">#REF!</definedName>
    <definedName name="_Rs2" localSheetId="10">#REF!</definedName>
    <definedName name="_Rs2" localSheetId="15">#REF!</definedName>
    <definedName name="_Rs2" localSheetId="19">#REF!</definedName>
    <definedName name="_Rs2" localSheetId="20">#REF!</definedName>
    <definedName name="_Rs2" localSheetId="24">#REF!</definedName>
    <definedName name="_Rs2" localSheetId="104">#REF!</definedName>
    <definedName name="_Rs2" localSheetId="65">#REF!</definedName>
    <definedName name="_Rs2" localSheetId="64">#REF!</definedName>
    <definedName name="_Rs2" localSheetId="77">#REF!</definedName>
    <definedName name="_Rs2" localSheetId="49">#REF!</definedName>
    <definedName name="_Rs2" localSheetId="40">#REF!</definedName>
    <definedName name="_Rs2" localSheetId="43">#REF!</definedName>
    <definedName name="_Rs2" localSheetId="13">#REF!</definedName>
    <definedName name="_Rs2" localSheetId="38">#REF!</definedName>
    <definedName name="_Rs2">#REF!</definedName>
    <definedName name="_SGi2" localSheetId="3">#REF!</definedName>
    <definedName name="_SGi2" localSheetId="7">#REF!</definedName>
    <definedName name="_SGi2" localSheetId="9">#REF!</definedName>
    <definedName name="_SGi2" localSheetId="10">#REF!</definedName>
    <definedName name="_SGi2" localSheetId="15">#REF!</definedName>
    <definedName name="_SGi2" localSheetId="19">#REF!</definedName>
    <definedName name="_SGi2" localSheetId="20">#REF!</definedName>
    <definedName name="_SGi2" localSheetId="24">#REF!</definedName>
    <definedName name="_SGi2" localSheetId="104">#REF!</definedName>
    <definedName name="_SGi2" localSheetId="65">#REF!</definedName>
    <definedName name="_SGi2" localSheetId="64">#REF!</definedName>
    <definedName name="_SGi2" localSheetId="77">#REF!</definedName>
    <definedName name="_SGi2" localSheetId="49">#REF!</definedName>
    <definedName name="_SGi2" localSheetId="40">#REF!</definedName>
    <definedName name="_SGi2" localSheetId="43">#REF!</definedName>
    <definedName name="_SGi2" localSheetId="13">#REF!</definedName>
    <definedName name="_SGi2" localSheetId="38">#REF!</definedName>
    <definedName name="_SGi2">#REF!</definedName>
    <definedName name="_so2" localSheetId="3">#REF!</definedName>
    <definedName name="_so2" localSheetId="7">#REF!</definedName>
    <definedName name="_so2" localSheetId="9">#REF!</definedName>
    <definedName name="_so2" localSheetId="10">#REF!</definedName>
    <definedName name="_so2" localSheetId="15">#REF!</definedName>
    <definedName name="_so2" localSheetId="19">#REF!</definedName>
    <definedName name="_so2" localSheetId="20">#REF!</definedName>
    <definedName name="_so2" localSheetId="24">#REF!</definedName>
    <definedName name="_so2" localSheetId="104">#REF!</definedName>
    <definedName name="_so2" localSheetId="65">#REF!</definedName>
    <definedName name="_so2" localSheetId="64">#REF!</definedName>
    <definedName name="_so2" localSheetId="77">#REF!</definedName>
    <definedName name="_so2" localSheetId="49">#REF!</definedName>
    <definedName name="_so2" localSheetId="40">#REF!</definedName>
    <definedName name="_so2" localSheetId="43">#REF!</definedName>
    <definedName name="_so2" localSheetId="13">#REF!</definedName>
    <definedName name="_so2" localSheetId="38">#REF!</definedName>
    <definedName name="_so2">#REF!</definedName>
    <definedName name="_Sort" localSheetId="3" hidden="1">[2]LOAD!#REF!</definedName>
    <definedName name="_Sort" localSheetId="7" hidden="1">[2]LOAD!#REF!</definedName>
    <definedName name="_Sort" localSheetId="9" hidden="1">[2]LOAD!#REF!</definedName>
    <definedName name="_Sort" localSheetId="10" hidden="1">[2]LOAD!#REF!</definedName>
    <definedName name="_Sort" localSheetId="15" hidden="1">[2]LOAD!#REF!</definedName>
    <definedName name="_Sort" localSheetId="18" hidden="1">[2]LOAD!#REF!</definedName>
    <definedName name="_Sort" localSheetId="19" hidden="1">[2]LOAD!#REF!</definedName>
    <definedName name="_Sort" localSheetId="20" hidden="1">[2]LOAD!#REF!</definedName>
    <definedName name="_Sort" localSheetId="23" hidden="1">[2]LOAD!#REF!</definedName>
    <definedName name="_Sort" localSheetId="24" hidden="1">[2]LOAD!#REF!</definedName>
    <definedName name="_Sort" localSheetId="35" hidden="1">[2]LOAD!#REF!</definedName>
    <definedName name="_Sort" localSheetId="58" hidden="1">[2]LOAD!#REF!</definedName>
    <definedName name="_Sort" localSheetId="60" hidden="1">[2]LOAD!#REF!</definedName>
    <definedName name="_Sort" localSheetId="50" hidden="1">[3]LOAD!#REF!</definedName>
    <definedName name="_Sort" localSheetId="51" hidden="1">[3]LOAD!#REF!</definedName>
    <definedName name="_Sort" localSheetId="54" hidden="1">[2]LOAD!#REF!</definedName>
    <definedName name="_Sort" localSheetId="47" hidden="1">[2]LOAD!#REF!</definedName>
    <definedName name="_Sort" localSheetId="104" hidden="1">[2]LOAD!#REF!</definedName>
    <definedName name="_Sort" localSheetId="88" hidden="1">[2]LOAD!#REF!</definedName>
    <definedName name="_Sort" localSheetId="89" hidden="1">[2]LOAD!#REF!</definedName>
    <definedName name="_Sort" localSheetId="87" hidden="1">[2]LOAD!#REF!</definedName>
    <definedName name="_Sort" localSheetId="90" hidden="1">[2]LOAD!#REF!</definedName>
    <definedName name="_Sort" localSheetId="70" hidden="1">[2]LOAD!#REF!</definedName>
    <definedName name="_Sort" localSheetId="63" hidden="1">[2]LOAD!#REF!</definedName>
    <definedName name="_Sort" localSheetId="65" hidden="1">[2]LOAD!#REF!</definedName>
    <definedName name="_Sort" localSheetId="64" hidden="1">[2]LOAD!#REF!</definedName>
    <definedName name="_Sort" localSheetId="77" hidden="1">[2]LOAD!#REF!</definedName>
    <definedName name="_Sort" localSheetId="49" hidden="1">[2]LOAD!#REF!</definedName>
    <definedName name="_Sort" localSheetId="48" hidden="1">[2]LOAD!#REF!</definedName>
    <definedName name="_Sort" localSheetId="57" hidden="1">[2]LOAD!#REF!</definedName>
    <definedName name="_Sort" localSheetId="59" hidden="1">[2]LOAD!#REF!</definedName>
    <definedName name="_Sort" localSheetId="67" hidden="1">[3]LOAD!#REF!</definedName>
    <definedName name="_Sort" localSheetId="80" hidden="1">[2]LOAD!#REF!</definedName>
    <definedName name="_Sort" localSheetId="40" hidden="1">[2]LOAD!#REF!</definedName>
    <definedName name="_Sort" localSheetId="43" hidden="1">[2]LOAD!#REF!</definedName>
    <definedName name="_Sort" localSheetId="55" hidden="1">[2]LOAD!#REF!</definedName>
    <definedName name="_Sort" localSheetId="81" hidden="1">[2]LOAD!#REF!</definedName>
    <definedName name="_Sort" localSheetId="53" hidden="1">[2]LOAD!#REF!</definedName>
    <definedName name="_Sort" localSheetId="13" hidden="1">[2]LOAD!#REF!</definedName>
    <definedName name="_Sort" localSheetId="11" hidden="1">[2]LOAD!#REF!</definedName>
    <definedName name="_Sort" localSheetId="38" hidden="1">[2]LOAD!#REF!</definedName>
    <definedName name="_Sort" localSheetId="41" hidden="1">[2]LOAD!#REF!</definedName>
    <definedName name="_Sort" localSheetId="101" hidden="1">[2]LOAD!#REF!</definedName>
    <definedName name="_Sort" localSheetId="102" hidden="1">[2]LOAD!#REF!</definedName>
    <definedName name="_Sort" localSheetId="103" hidden="1">[2]LOAD!#REF!</definedName>
    <definedName name="_Sort" localSheetId="97" hidden="1">[2]LOAD!#REF!</definedName>
    <definedName name="_Sort" localSheetId="42" hidden="1">[2]LOAD!#REF!</definedName>
    <definedName name="_Sort" localSheetId="12" hidden="1">[2]LOAD!#REF!</definedName>
    <definedName name="_Sort" localSheetId="73" hidden="1">[2]LOAD!#REF!</definedName>
    <definedName name="_Sort" localSheetId="74" hidden="1">[2]LOAD!#REF!</definedName>
    <definedName name="_Sort" hidden="1">[2]LOAD!#REF!</definedName>
    <definedName name="_Specialty" localSheetId="3">#REF!</definedName>
    <definedName name="_Specialty" localSheetId="7">#REF!</definedName>
    <definedName name="_Specialty" localSheetId="9">#REF!</definedName>
    <definedName name="_Specialty" localSheetId="10">#REF!</definedName>
    <definedName name="_Specialty" localSheetId="15">#REF!</definedName>
    <definedName name="_Specialty" localSheetId="19">#REF!</definedName>
    <definedName name="_Specialty" localSheetId="20">#REF!</definedName>
    <definedName name="_Specialty" localSheetId="24">#REF!</definedName>
    <definedName name="_Specialty" localSheetId="104">#REF!</definedName>
    <definedName name="_Specialty" localSheetId="65">#REF!</definedName>
    <definedName name="_Specialty" localSheetId="64">#REF!</definedName>
    <definedName name="_Specialty" localSheetId="77">#REF!</definedName>
    <definedName name="_Specialty" localSheetId="49">#REF!</definedName>
    <definedName name="_Specialty" localSheetId="40">#REF!</definedName>
    <definedName name="_Specialty" localSheetId="43">#REF!</definedName>
    <definedName name="_Specialty" localSheetId="13">#REF!</definedName>
    <definedName name="_Specialty" localSheetId="38">#REF!</definedName>
    <definedName name="_Specialty">#REF!</definedName>
    <definedName name="_SRC1" localSheetId="3">#REF!</definedName>
    <definedName name="_SRC1" localSheetId="7">#REF!</definedName>
    <definedName name="_SRC1" localSheetId="9">#REF!</definedName>
    <definedName name="_SRC1" localSheetId="10">#REF!</definedName>
    <definedName name="_SRC1" localSheetId="15">#REF!</definedName>
    <definedName name="_SRC1" localSheetId="19">#REF!</definedName>
    <definedName name="_SRC1" localSheetId="20">#REF!</definedName>
    <definedName name="_SRC1" localSheetId="24">#REF!</definedName>
    <definedName name="_SRC1" localSheetId="104">#REF!</definedName>
    <definedName name="_SRC1" localSheetId="65">#REF!</definedName>
    <definedName name="_SRC1" localSheetId="64">#REF!</definedName>
    <definedName name="_SRC1" localSheetId="77">#REF!</definedName>
    <definedName name="_SRC1" localSheetId="49">#REF!</definedName>
    <definedName name="_SRC1" localSheetId="40">#REF!</definedName>
    <definedName name="_SRC1" localSheetId="43">#REF!</definedName>
    <definedName name="_SRC1" localSheetId="13">#REF!</definedName>
    <definedName name="_SRC1" localSheetId="38">#REF!</definedName>
    <definedName name="_SRC1">#REF!</definedName>
    <definedName name="_SRC10" localSheetId="3">#REF!</definedName>
    <definedName name="_SRC10" localSheetId="7">#REF!</definedName>
    <definedName name="_SRC10" localSheetId="9">#REF!</definedName>
    <definedName name="_SRC10" localSheetId="10">#REF!</definedName>
    <definedName name="_SRC10" localSheetId="15">#REF!</definedName>
    <definedName name="_SRC10" localSheetId="19">#REF!</definedName>
    <definedName name="_SRC10" localSheetId="20">#REF!</definedName>
    <definedName name="_SRC10" localSheetId="24">#REF!</definedName>
    <definedName name="_SRC10" localSheetId="104">#REF!</definedName>
    <definedName name="_SRC10" localSheetId="65">#REF!</definedName>
    <definedName name="_SRC10" localSheetId="64">#REF!</definedName>
    <definedName name="_SRC10" localSheetId="77">#REF!</definedName>
    <definedName name="_SRC10" localSheetId="49">#REF!</definedName>
    <definedName name="_SRC10" localSheetId="40">#REF!</definedName>
    <definedName name="_SRC10" localSheetId="43">#REF!</definedName>
    <definedName name="_SRC10" localSheetId="13">#REF!</definedName>
    <definedName name="_SRC10" localSheetId="38">#REF!</definedName>
    <definedName name="_SRC10">#REF!</definedName>
    <definedName name="_SRC11" localSheetId="3">#REF!</definedName>
    <definedName name="_SRC11" localSheetId="7">#REF!</definedName>
    <definedName name="_SRC11" localSheetId="9">#REF!</definedName>
    <definedName name="_SRC11" localSheetId="10">#REF!</definedName>
    <definedName name="_SRC11" localSheetId="15">#REF!</definedName>
    <definedName name="_SRC11" localSheetId="19">#REF!</definedName>
    <definedName name="_SRC11" localSheetId="20">#REF!</definedName>
    <definedName name="_SRC11" localSheetId="24">#REF!</definedName>
    <definedName name="_SRC11" localSheetId="104">#REF!</definedName>
    <definedName name="_SRC11" localSheetId="65">#REF!</definedName>
    <definedName name="_SRC11" localSheetId="64">#REF!</definedName>
    <definedName name="_SRC11" localSheetId="77">#REF!</definedName>
    <definedName name="_SRC11" localSheetId="49">#REF!</definedName>
    <definedName name="_SRC11" localSheetId="40">#REF!</definedName>
    <definedName name="_SRC11" localSheetId="43">#REF!</definedName>
    <definedName name="_SRC11" localSheetId="13">#REF!</definedName>
    <definedName name="_SRC11" localSheetId="38">#REF!</definedName>
    <definedName name="_SRC11">#REF!</definedName>
    <definedName name="_SRC12" localSheetId="3">#REF!</definedName>
    <definedName name="_SRC12" localSheetId="7">#REF!</definedName>
    <definedName name="_SRC12" localSheetId="9">#REF!</definedName>
    <definedName name="_SRC12" localSheetId="10">#REF!</definedName>
    <definedName name="_SRC12" localSheetId="15">#REF!</definedName>
    <definedName name="_SRC12" localSheetId="19">#REF!</definedName>
    <definedName name="_SRC12" localSheetId="20">#REF!</definedName>
    <definedName name="_SRC12" localSheetId="24">#REF!</definedName>
    <definedName name="_SRC12" localSheetId="104">#REF!</definedName>
    <definedName name="_SRC12" localSheetId="65">#REF!</definedName>
    <definedName name="_SRC12" localSheetId="64">#REF!</definedName>
    <definedName name="_SRC12" localSheetId="77">#REF!</definedName>
    <definedName name="_SRC12" localSheetId="49">#REF!</definedName>
    <definedName name="_SRC12" localSheetId="40">#REF!</definedName>
    <definedName name="_SRC12" localSheetId="43">#REF!</definedName>
    <definedName name="_SRC12" localSheetId="13">#REF!</definedName>
    <definedName name="_SRC12" localSheetId="38">#REF!</definedName>
    <definedName name="_SRC12">#REF!</definedName>
    <definedName name="_SRC13" localSheetId="3">#REF!</definedName>
    <definedName name="_SRC13" localSheetId="7">#REF!</definedName>
    <definedName name="_SRC13" localSheetId="9">#REF!</definedName>
    <definedName name="_SRC13" localSheetId="10">#REF!</definedName>
    <definedName name="_SRC13" localSheetId="15">#REF!</definedName>
    <definedName name="_SRC13" localSheetId="19">#REF!</definedName>
    <definedName name="_SRC13" localSheetId="20">#REF!</definedName>
    <definedName name="_SRC13" localSheetId="24">#REF!</definedName>
    <definedName name="_SRC13" localSheetId="104">#REF!</definedName>
    <definedName name="_SRC13" localSheetId="65">#REF!</definedName>
    <definedName name="_SRC13" localSheetId="64">#REF!</definedName>
    <definedName name="_SRC13" localSheetId="77">#REF!</definedName>
    <definedName name="_SRC13" localSheetId="49">#REF!</definedName>
    <definedName name="_SRC13" localSheetId="40">#REF!</definedName>
    <definedName name="_SRC13" localSheetId="43">#REF!</definedName>
    <definedName name="_SRC13" localSheetId="13">#REF!</definedName>
    <definedName name="_SRC13" localSheetId="38">#REF!</definedName>
    <definedName name="_SRC13">#REF!</definedName>
    <definedName name="_SRC17" localSheetId="3">#REF!</definedName>
    <definedName name="_SRC17" localSheetId="7">#REF!</definedName>
    <definedName name="_SRC17" localSheetId="9">#REF!</definedName>
    <definedName name="_SRC17" localSheetId="10">#REF!</definedName>
    <definedName name="_SRC17" localSheetId="15">#REF!</definedName>
    <definedName name="_SRC17" localSheetId="19">#REF!</definedName>
    <definedName name="_SRC17" localSheetId="20">#REF!</definedName>
    <definedName name="_SRC17" localSheetId="24">#REF!</definedName>
    <definedName name="_SRC17" localSheetId="104">#REF!</definedName>
    <definedName name="_SRC17" localSheetId="65">#REF!</definedName>
    <definedName name="_SRC17" localSheetId="64">#REF!</definedName>
    <definedName name="_SRC17" localSheetId="77">#REF!</definedName>
    <definedName name="_SRC17" localSheetId="49">#REF!</definedName>
    <definedName name="_SRC17" localSheetId="40">#REF!</definedName>
    <definedName name="_SRC17" localSheetId="43">#REF!</definedName>
    <definedName name="_SRC17" localSheetId="13">#REF!</definedName>
    <definedName name="_SRC17" localSheetId="38">#REF!</definedName>
    <definedName name="_SRC17">#REF!</definedName>
    <definedName name="_SRC19" localSheetId="3">#REF!</definedName>
    <definedName name="_SRC19" localSheetId="7">#REF!</definedName>
    <definedName name="_SRC19" localSheetId="9">#REF!</definedName>
    <definedName name="_SRC19" localSheetId="10">#REF!</definedName>
    <definedName name="_SRC19" localSheetId="15">#REF!</definedName>
    <definedName name="_SRC19" localSheetId="19">#REF!</definedName>
    <definedName name="_SRC19" localSheetId="20">#REF!</definedName>
    <definedName name="_SRC19" localSheetId="24">#REF!</definedName>
    <definedName name="_SRC19" localSheetId="104">#REF!</definedName>
    <definedName name="_SRC19" localSheetId="65">#REF!</definedName>
    <definedName name="_SRC19" localSheetId="64">#REF!</definedName>
    <definedName name="_SRC19" localSheetId="77">#REF!</definedName>
    <definedName name="_SRC19" localSheetId="49">#REF!</definedName>
    <definedName name="_SRC19" localSheetId="40">#REF!</definedName>
    <definedName name="_SRC19" localSheetId="43">#REF!</definedName>
    <definedName name="_SRC19" localSheetId="13">#REF!</definedName>
    <definedName name="_SRC19" localSheetId="38">#REF!</definedName>
    <definedName name="_SRC19">#REF!</definedName>
    <definedName name="_SRC2" localSheetId="3">#REF!</definedName>
    <definedName name="_SRC2" localSheetId="7">#REF!</definedName>
    <definedName name="_SRC2" localSheetId="9">#REF!</definedName>
    <definedName name="_SRC2" localSheetId="10">#REF!</definedName>
    <definedName name="_SRC2" localSheetId="15">#REF!</definedName>
    <definedName name="_SRC2" localSheetId="19">#REF!</definedName>
    <definedName name="_SRC2" localSheetId="20">#REF!</definedName>
    <definedName name="_SRC2" localSheetId="24">#REF!</definedName>
    <definedName name="_SRC2" localSheetId="104">#REF!</definedName>
    <definedName name="_SRC2" localSheetId="65">#REF!</definedName>
    <definedName name="_SRC2" localSheetId="64">#REF!</definedName>
    <definedName name="_SRC2" localSheetId="77">#REF!</definedName>
    <definedName name="_SRC2" localSheetId="49">#REF!</definedName>
    <definedName name="_SRC2" localSheetId="40">#REF!</definedName>
    <definedName name="_SRC2" localSheetId="43">#REF!</definedName>
    <definedName name="_SRC2" localSheetId="13">#REF!</definedName>
    <definedName name="_SRC2" localSheetId="38">#REF!</definedName>
    <definedName name="_SRC2">#REF!</definedName>
    <definedName name="_SRC21" localSheetId="3">#REF!</definedName>
    <definedName name="_SRC21" localSheetId="7">#REF!</definedName>
    <definedName name="_SRC21" localSheetId="9">#REF!</definedName>
    <definedName name="_SRC21" localSheetId="10">#REF!</definedName>
    <definedName name="_SRC21" localSheetId="15">#REF!</definedName>
    <definedName name="_SRC21" localSheetId="19">#REF!</definedName>
    <definedName name="_SRC21" localSheetId="20">#REF!</definedName>
    <definedName name="_SRC21" localSheetId="24">#REF!</definedName>
    <definedName name="_SRC21" localSheetId="104">#REF!</definedName>
    <definedName name="_SRC21" localSheetId="65">#REF!</definedName>
    <definedName name="_SRC21" localSheetId="64">#REF!</definedName>
    <definedName name="_SRC21" localSheetId="77">#REF!</definedName>
    <definedName name="_SRC21" localSheetId="49">#REF!</definedName>
    <definedName name="_SRC21" localSheetId="40">#REF!</definedName>
    <definedName name="_SRC21" localSheetId="43">#REF!</definedName>
    <definedName name="_SRC21" localSheetId="13">#REF!</definedName>
    <definedName name="_SRC21" localSheetId="38">#REF!</definedName>
    <definedName name="_SRC21">#REF!</definedName>
    <definedName name="_SRC24" localSheetId="3">#REF!</definedName>
    <definedName name="_SRC24" localSheetId="7">#REF!</definedName>
    <definedName name="_SRC24" localSheetId="9">#REF!</definedName>
    <definedName name="_SRC24" localSheetId="10">#REF!</definedName>
    <definedName name="_SRC24" localSheetId="15">#REF!</definedName>
    <definedName name="_SRC24" localSheetId="19">#REF!</definedName>
    <definedName name="_SRC24" localSheetId="20">#REF!</definedName>
    <definedName name="_SRC24" localSheetId="24">#REF!</definedName>
    <definedName name="_SRC24" localSheetId="104">#REF!</definedName>
    <definedName name="_SRC24" localSheetId="65">#REF!</definedName>
    <definedName name="_SRC24" localSheetId="64">#REF!</definedName>
    <definedName name="_SRC24" localSheetId="77">#REF!</definedName>
    <definedName name="_SRC24" localSheetId="49">#REF!</definedName>
    <definedName name="_SRC24" localSheetId="40">#REF!</definedName>
    <definedName name="_SRC24" localSheetId="43">#REF!</definedName>
    <definedName name="_SRC24" localSheetId="13">#REF!</definedName>
    <definedName name="_SRC24" localSheetId="38">#REF!</definedName>
    <definedName name="_SRC24">#REF!</definedName>
    <definedName name="_SRC25" localSheetId="3">#REF!</definedName>
    <definedName name="_SRC25" localSheetId="7">#REF!</definedName>
    <definedName name="_SRC25" localSheetId="9">#REF!</definedName>
    <definedName name="_SRC25" localSheetId="10">#REF!</definedName>
    <definedName name="_SRC25" localSheetId="15">#REF!</definedName>
    <definedName name="_SRC25" localSheetId="19">#REF!</definedName>
    <definedName name="_SRC25" localSheetId="20">#REF!</definedName>
    <definedName name="_SRC25" localSheetId="24">#REF!</definedName>
    <definedName name="_SRC25" localSheetId="104">#REF!</definedName>
    <definedName name="_SRC25" localSheetId="65">#REF!</definedName>
    <definedName name="_SRC25" localSheetId="64">#REF!</definedName>
    <definedName name="_SRC25" localSheetId="77">#REF!</definedName>
    <definedName name="_SRC25" localSheetId="49">#REF!</definedName>
    <definedName name="_SRC25" localSheetId="40">#REF!</definedName>
    <definedName name="_SRC25" localSheetId="43">#REF!</definedName>
    <definedName name="_SRC25" localSheetId="13">#REF!</definedName>
    <definedName name="_SRC25" localSheetId="38">#REF!</definedName>
    <definedName name="_SRC25">#REF!</definedName>
    <definedName name="_SRC26" localSheetId="3">#REF!</definedName>
    <definedName name="_SRC26" localSheetId="7">#REF!</definedName>
    <definedName name="_SRC26" localSheetId="9">#REF!</definedName>
    <definedName name="_SRC26" localSheetId="10">#REF!</definedName>
    <definedName name="_SRC26" localSheetId="15">#REF!</definedName>
    <definedName name="_SRC26" localSheetId="19">#REF!</definedName>
    <definedName name="_SRC26" localSheetId="20">#REF!</definedName>
    <definedName name="_SRC26" localSheetId="24">#REF!</definedName>
    <definedName name="_SRC26" localSheetId="104">#REF!</definedName>
    <definedName name="_SRC26" localSheetId="65">#REF!</definedName>
    <definedName name="_SRC26" localSheetId="64">#REF!</definedName>
    <definedName name="_SRC26" localSheetId="77">#REF!</definedName>
    <definedName name="_SRC26" localSheetId="49">#REF!</definedName>
    <definedName name="_SRC26" localSheetId="40">#REF!</definedName>
    <definedName name="_SRC26" localSheetId="43">#REF!</definedName>
    <definedName name="_SRC26" localSheetId="13">#REF!</definedName>
    <definedName name="_SRC26" localSheetId="38">#REF!</definedName>
    <definedName name="_SRC26">#REF!</definedName>
    <definedName name="_SRC27" localSheetId="3">#REF!</definedName>
    <definedName name="_SRC27" localSheetId="7">#REF!</definedName>
    <definedName name="_SRC27" localSheetId="9">#REF!</definedName>
    <definedName name="_SRC27" localSheetId="10">#REF!</definedName>
    <definedName name="_SRC27" localSheetId="15">#REF!</definedName>
    <definedName name="_SRC27" localSheetId="19">#REF!</definedName>
    <definedName name="_SRC27" localSheetId="20">#REF!</definedName>
    <definedName name="_SRC27" localSheetId="24">#REF!</definedName>
    <definedName name="_SRC27" localSheetId="104">#REF!</definedName>
    <definedName name="_SRC27" localSheetId="65">#REF!</definedName>
    <definedName name="_SRC27" localSheetId="64">#REF!</definedName>
    <definedName name="_SRC27" localSheetId="77">#REF!</definedName>
    <definedName name="_SRC27" localSheetId="49">#REF!</definedName>
    <definedName name="_SRC27" localSheetId="40">#REF!</definedName>
    <definedName name="_SRC27" localSheetId="43">#REF!</definedName>
    <definedName name="_SRC27" localSheetId="13">#REF!</definedName>
    <definedName name="_SRC27" localSheetId="38">#REF!</definedName>
    <definedName name="_SRC27">#REF!</definedName>
    <definedName name="_SRC28" localSheetId="3">#REF!</definedName>
    <definedName name="_SRC28" localSheetId="7">#REF!</definedName>
    <definedName name="_SRC28" localSheetId="9">#REF!</definedName>
    <definedName name="_SRC28" localSheetId="10">#REF!</definedName>
    <definedName name="_SRC28" localSheetId="15">#REF!</definedName>
    <definedName name="_SRC28" localSheetId="19">#REF!</definedName>
    <definedName name="_SRC28" localSheetId="20">#REF!</definedName>
    <definedName name="_SRC28" localSheetId="24">#REF!</definedName>
    <definedName name="_SRC28" localSheetId="104">#REF!</definedName>
    <definedName name="_SRC28" localSheetId="65">#REF!</definedName>
    <definedName name="_SRC28" localSheetId="64">#REF!</definedName>
    <definedName name="_SRC28" localSheetId="77">#REF!</definedName>
    <definedName name="_SRC28" localSheetId="49">#REF!</definedName>
    <definedName name="_SRC28" localSheetId="40">#REF!</definedName>
    <definedName name="_SRC28" localSheetId="43">#REF!</definedName>
    <definedName name="_SRC28" localSheetId="13">#REF!</definedName>
    <definedName name="_SRC28" localSheetId="38">#REF!</definedName>
    <definedName name="_SRC28">#REF!</definedName>
    <definedName name="_SRC3" localSheetId="3">#REF!</definedName>
    <definedName name="_SRC3" localSheetId="7">#REF!</definedName>
    <definedName name="_SRC3" localSheetId="9">#REF!</definedName>
    <definedName name="_SRC3" localSheetId="10">#REF!</definedName>
    <definedName name="_SRC3" localSheetId="15">#REF!</definedName>
    <definedName name="_SRC3" localSheetId="19">#REF!</definedName>
    <definedName name="_SRC3" localSheetId="20">#REF!</definedName>
    <definedName name="_SRC3" localSheetId="24">#REF!</definedName>
    <definedName name="_SRC3" localSheetId="104">#REF!</definedName>
    <definedName name="_SRC3" localSheetId="65">#REF!</definedName>
    <definedName name="_SRC3" localSheetId="64">#REF!</definedName>
    <definedName name="_SRC3" localSheetId="77">#REF!</definedName>
    <definedName name="_SRC3" localSheetId="49">#REF!</definedName>
    <definedName name="_SRC3" localSheetId="40">#REF!</definedName>
    <definedName name="_SRC3" localSheetId="43">#REF!</definedName>
    <definedName name="_SRC3" localSheetId="13">#REF!</definedName>
    <definedName name="_SRC3" localSheetId="38">#REF!</definedName>
    <definedName name="_SRC3">#REF!</definedName>
    <definedName name="_SRC31" localSheetId="3">#REF!</definedName>
    <definedName name="_SRC31" localSheetId="7">#REF!</definedName>
    <definedName name="_SRC31" localSheetId="9">#REF!</definedName>
    <definedName name="_SRC31" localSheetId="10">#REF!</definedName>
    <definedName name="_SRC31" localSheetId="15">#REF!</definedName>
    <definedName name="_SRC31" localSheetId="19">#REF!</definedName>
    <definedName name="_SRC31" localSheetId="20">#REF!</definedName>
    <definedName name="_SRC31" localSheetId="24">#REF!</definedName>
    <definedName name="_SRC31" localSheetId="104">#REF!</definedName>
    <definedName name="_SRC31" localSheetId="65">#REF!</definedName>
    <definedName name="_SRC31" localSheetId="64">#REF!</definedName>
    <definedName name="_SRC31" localSheetId="77">#REF!</definedName>
    <definedName name="_SRC31" localSheetId="49">#REF!</definedName>
    <definedName name="_SRC31" localSheetId="40">#REF!</definedName>
    <definedName name="_SRC31" localSheetId="43">#REF!</definedName>
    <definedName name="_SRC31" localSheetId="13">#REF!</definedName>
    <definedName name="_SRC31" localSheetId="38">#REF!</definedName>
    <definedName name="_SRC31">#REF!</definedName>
    <definedName name="_SRC32" localSheetId="3">#REF!</definedName>
    <definedName name="_SRC32" localSheetId="7">#REF!</definedName>
    <definedName name="_SRC32" localSheetId="9">#REF!</definedName>
    <definedName name="_SRC32" localSheetId="10">#REF!</definedName>
    <definedName name="_SRC32" localSheetId="15">#REF!</definedName>
    <definedName name="_SRC32" localSheetId="19">#REF!</definedName>
    <definedName name="_SRC32" localSheetId="20">#REF!</definedName>
    <definedName name="_SRC32" localSheetId="24">#REF!</definedName>
    <definedName name="_SRC32" localSheetId="104">#REF!</definedName>
    <definedName name="_SRC32" localSheetId="65">#REF!</definedName>
    <definedName name="_SRC32" localSheetId="64">#REF!</definedName>
    <definedName name="_SRC32" localSheetId="77">#REF!</definedName>
    <definedName name="_SRC32" localSheetId="49">#REF!</definedName>
    <definedName name="_SRC32" localSheetId="40">#REF!</definedName>
    <definedName name="_SRC32" localSheetId="43">#REF!</definedName>
    <definedName name="_SRC32" localSheetId="13">#REF!</definedName>
    <definedName name="_SRC32" localSheetId="38">#REF!</definedName>
    <definedName name="_SRC32">#REF!</definedName>
    <definedName name="_SRC33" localSheetId="3">#REF!</definedName>
    <definedName name="_SRC33" localSheetId="7">#REF!</definedName>
    <definedName name="_SRC33" localSheetId="9">#REF!</definedName>
    <definedName name="_SRC33" localSheetId="10">#REF!</definedName>
    <definedName name="_SRC33" localSheetId="15">#REF!</definedName>
    <definedName name="_SRC33" localSheetId="19">#REF!</definedName>
    <definedName name="_SRC33" localSheetId="20">#REF!</definedName>
    <definedName name="_SRC33" localSheetId="24">#REF!</definedName>
    <definedName name="_SRC33" localSheetId="104">#REF!</definedName>
    <definedName name="_SRC33" localSheetId="65">#REF!</definedName>
    <definedName name="_SRC33" localSheetId="64">#REF!</definedName>
    <definedName name="_SRC33" localSheetId="77">#REF!</definedName>
    <definedName name="_SRC33" localSheetId="49">#REF!</definedName>
    <definedName name="_SRC33" localSheetId="40">#REF!</definedName>
    <definedName name="_SRC33" localSheetId="43">#REF!</definedName>
    <definedName name="_SRC33" localSheetId="13">#REF!</definedName>
    <definedName name="_SRC33" localSheetId="38">#REF!</definedName>
    <definedName name="_SRC33">#REF!</definedName>
    <definedName name="_SRC37" localSheetId="3">#REF!</definedName>
    <definedName name="_SRC37" localSheetId="7">#REF!</definedName>
    <definedName name="_SRC37" localSheetId="9">#REF!</definedName>
    <definedName name="_SRC37" localSheetId="10">#REF!</definedName>
    <definedName name="_SRC37" localSheetId="15">#REF!</definedName>
    <definedName name="_SRC37" localSheetId="19">#REF!</definedName>
    <definedName name="_SRC37" localSheetId="20">#REF!</definedName>
    <definedName name="_SRC37" localSheetId="24">#REF!</definedName>
    <definedName name="_SRC37" localSheetId="104">#REF!</definedName>
    <definedName name="_SRC37" localSheetId="65">#REF!</definedName>
    <definedName name="_SRC37" localSheetId="64">#REF!</definedName>
    <definedName name="_SRC37" localSheetId="77">#REF!</definedName>
    <definedName name="_SRC37" localSheetId="49">#REF!</definedName>
    <definedName name="_SRC37" localSheetId="40">#REF!</definedName>
    <definedName name="_SRC37" localSheetId="43">#REF!</definedName>
    <definedName name="_SRC37" localSheetId="13">#REF!</definedName>
    <definedName name="_SRC37" localSheetId="38">#REF!</definedName>
    <definedName name="_SRC37">#REF!</definedName>
    <definedName name="_SRC38" localSheetId="3">#REF!</definedName>
    <definedName name="_SRC38" localSheetId="7">#REF!</definedName>
    <definedName name="_SRC38" localSheetId="9">#REF!</definedName>
    <definedName name="_SRC38" localSheetId="10">#REF!</definedName>
    <definedName name="_SRC38" localSheetId="15">#REF!</definedName>
    <definedName name="_SRC38" localSheetId="19">#REF!</definedName>
    <definedName name="_SRC38" localSheetId="20">#REF!</definedName>
    <definedName name="_SRC38" localSheetId="24">#REF!</definedName>
    <definedName name="_SRC38" localSheetId="104">#REF!</definedName>
    <definedName name="_SRC38" localSheetId="65">#REF!</definedName>
    <definedName name="_SRC38" localSheetId="64">#REF!</definedName>
    <definedName name="_SRC38" localSheetId="77">#REF!</definedName>
    <definedName name="_SRC38" localSheetId="49">#REF!</definedName>
    <definedName name="_SRC38" localSheetId="40">#REF!</definedName>
    <definedName name="_SRC38" localSheetId="43">#REF!</definedName>
    <definedName name="_SRC38" localSheetId="13">#REF!</definedName>
    <definedName name="_SRC38" localSheetId="38">#REF!</definedName>
    <definedName name="_SRC38">#REF!</definedName>
    <definedName name="_SRC4" localSheetId="3">#REF!</definedName>
    <definedName name="_SRC4" localSheetId="7">#REF!</definedName>
    <definedName name="_SRC4" localSheetId="9">#REF!</definedName>
    <definedName name="_SRC4" localSheetId="10">#REF!</definedName>
    <definedName name="_SRC4" localSheetId="15">#REF!</definedName>
    <definedName name="_SRC4" localSheetId="19">#REF!</definedName>
    <definedName name="_SRC4" localSheetId="20">#REF!</definedName>
    <definedName name="_SRC4" localSheetId="24">#REF!</definedName>
    <definedName name="_SRC4" localSheetId="104">#REF!</definedName>
    <definedName name="_SRC4" localSheetId="65">#REF!</definedName>
    <definedName name="_SRC4" localSheetId="64">#REF!</definedName>
    <definedName name="_SRC4" localSheetId="77">#REF!</definedName>
    <definedName name="_SRC4" localSheetId="49">#REF!</definedName>
    <definedName name="_SRC4" localSheetId="40">#REF!</definedName>
    <definedName name="_SRC4" localSheetId="43">#REF!</definedName>
    <definedName name="_SRC4" localSheetId="13">#REF!</definedName>
    <definedName name="_SRC4" localSheetId="38">#REF!</definedName>
    <definedName name="_SRC4">#REF!</definedName>
    <definedName name="_SRC44" localSheetId="3">#REF!</definedName>
    <definedName name="_SRC44" localSheetId="7">#REF!</definedName>
    <definedName name="_SRC44" localSheetId="9">#REF!</definedName>
    <definedName name="_SRC44" localSheetId="10">#REF!</definedName>
    <definedName name="_SRC44" localSheetId="15">#REF!</definedName>
    <definedName name="_SRC44" localSheetId="19">#REF!</definedName>
    <definedName name="_SRC44" localSheetId="20">#REF!</definedName>
    <definedName name="_SRC44" localSheetId="24">#REF!</definedName>
    <definedName name="_SRC44" localSheetId="104">#REF!</definedName>
    <definedName name="_SRC44" localSheetId="65">#REF!</definedName>
    <definedName name="_SRC44" localSheetId="64">#REF!</definedName>
    <definedName name="_SRC44" localSheetId="77">#REF!</definedName>
    <definedName name="_SRC44" localSheetId="49">#REF!</definedName>
    <definedName name="_SRC44" localSheetId="40">#REF!</definedName>
    <definedName name="_SRC44" localSheetId="43">#REF!</definedName>
    <definedName name="_SRC44" localSheetId="13">#REF!</definedName>
    <definedName name="_SRC44" localSheetId="38">#REF!</definedName>
    <definedName name="_SRC44">#REF!</definedName>
    <definedName name="_SRC46" localSheetId="3">#REF!</definedName>
    <definedName name="_SRC46" localSheetId="7">#REF!</definedName>
    <definedName name="_SRC46" localSheetId="9">#REF!</definedName>
    <definedName name="_SRC46" localSheetId="10">#REF!</definedName>
    <definedName name="_SRC46" localSheetId="15">#REF!</definedName>
    <definedName name="_SRC46" localSheetId="19">#REF!</definedName>
    <definedName name="_SRC46" localSheetId="20">#REF!</definedName>
    <definedName name="_SRC46" localSheetId="24">#REF!</definedName>
    <definedName name="_SRC46" localSheetId="104">#REF!</definedName>
    <definedName name="_SRC46" localSheetId="65">#REF!</definedName>
    <definedName name="_SRC46" localSheetId="64">#REF!</definedName>
    <definedName name="_SRC46" localSheetId="77">#REF!</definedName>
    <definedName name="_SRC46" localSheetId="49">#REF!</definedName>
    <definedName name="_SRC46" localSheetId="40">#REF!</definedName>
    <definedName name="_SRC46" localSheetId="43">#REF!</definedName>
    <definedName name="_SRC46" localSheetId="13">#REF!</definedName>
    <definedName name="_SRC46" localSheetId="38">#REF!</definedName>
    <definedName name="_SRC46">#REF!</definedName>
    <definedName name="_SRC47" localSheetId="3">#REF!</definedName>
    <definedName name="_SRC47" localSheetId="7">#REF!</definedName>
    <definedName name="_SRC47" localSheetId="9">#REF!</definedName>
    <definedName name="_SRC47" localSheetId="10">#REF!</definedName>
    <definedName name="_SRC47" localSheetId="15">#REF!</definedName>
    <definedName name="_SRC47" localSheetId="19">#REF!</definedName>
    <definedName name="_SRC47" localSheetId="20">#REF!</definedName>
    <definedName name="_SRC47" localSheetId="24">#REF!</definedName>
    <definedName name="_SRC47" localSheetId="104">#REF!</definedName>
    <definedName name="_SRC47" localSheetId="65">#REF!</definedName>
    <definedName name="_SRC47" localSheetId="64">#REF!</definedName>
    <definedName name="_SRC47" localSheetId="77">#REF!</definedName>
    <definedName name="_SRC47" localSheetId="49">#REF!</definedName>
    <definedName name="_SRC47" localSheetId="40">#REF!</definedName>
    <definedName name="_SRC47" localSheetId="43">#REF!</definedName>
    <definedName name="_SRC47" localSheetId="13">#REF!</definedName>
    <definedName name="_SRC47" localSheetId="38">#REF!</definedName>
    <definedName name="_SRC47">#REF!</definedName>
    <definedName name="_SRC48" localSheetId="3">#REF!</definedName>
    <definedName name="_SRC48" localSheetId="7">#REF!</definedName>
    <definedName name="_SRC48" localSheetId="9">#REF!</definedName>
    <definedName name="_SRC48" localSheetId="10">#REF!</definedName>
    <definedName name="_SRC48" localSheetId="15">#REF!</definedName>
    <definedName name="_SRC48" localSheetId="19">#REF!</definedName>
    <definedName name="_SRC48" localSheetId="20">#REF!</definedName>
    <definedName name="_SRC48" localSheetId="24">#REF!</definedName>
    <definedName name="_SRC48" localSheetId="104">#REF!</definedName>
    <definedName name="_SRC48" localSheetId="65">#REF!</definedName>
    <definedName name="_SRC48" localSheetId="64">#REF!</definedName>
    <definedName name="_SRC48" localSheetId="77">#REF!</definedName>
    <definedName name="_SRC48" localSheetId="49">#REF!</definedName>
    <definedName name="_SRC48" localSheetId="40">#REF!</definedName>
    <definedName name="_SRC48" localSheetId="43">#REF!</definedName>
    <definedName name="_SRC48" localSheetId="13">#REF!</definedName>
    <definedName name="_SRC48" localSheetId="38">#REF!</definedName>
    <definedName name="_SRC48">#REF!</definedName>
    <definedName name="_SRC49" localSheetId="3">#REF!</definedName>
    <definedName name="_SRC49" localSheetId="7">#REF!</definedName>
    <definedName name="_SRC49" localSheetId="9">#REF!</definedName>
    <definedName name="_SRC49" localSheetId="10">#REF!</definedName>
    <definedName name="_SRC49" localSheetId="15">#REF!</definedName>
    <definedName name="_SRC49" localSheetId="19">#REF!</definedName>
    <definedName name="_SRC49" localSheetId="20">#REF!</definedName>
    <definedName name="_SRC49" localSheetId="24">#REF!</definedName>
    <definedName name="_SRC49" localSheetId="104">#REF!</definedName>
    <definedName name="_SRC49" localSheetId="65">#REF!</definedName>
    <definedName name="_SRC49" localSheetId="64">#REF!</definedName>
    <definedName name="_SRC49" localSheetId="77">#REF!</definedName>
    <definedName name="_SRC49" localSheetId="49">#REF!</definedName>
    <definedName name="_SRC49" localSheetId="40">#REF!</definedName>
    <definedName name="_SRC49" localSheetId="43">#REF!</definedName>
    <definedName name="_SRC49" localSheetId="13">#REF!</definedName>
    <definedName name="_SRC49" localSheetId="38">#REF!</definedName>
    <definedName name="_SRC49">#REF!</definedName>
    <definedName name="_SRC5" localSheetId="3">#REF!</definedName>
    <definedName name="_SRC5" localSheetId="7">#REF!</definedName>
    <definedName name="_SRC5" localSheetId="9">#REF!</definedName>
    <definedName name="_SRC5" localSheetId="10">#REF!</definedName>
    <definedName name="_SRC5" localSheetId="15">#REF!</definedName>
    <definedName name="_SRC5" localSheetId="19">#REF!</definedName>
    <definedName name="_SRC5" localSheetId="20">#REF!</definedName>
    <definedName name="_SRC5" localSheetId="24">#REF!</definedName>
    <definedName name="_SRC5" localSheetId="104">#REF!</definedName>
    <definedName name="_SRC5" localSheetId="65">#REF!</definedName>
    <definedName name="_SRC5" localSheetId="64">#REF!</definedName>
    <definedName name="_SRC5" localSheetId="77">#REF!</definedName>
    <definedName name="_SRC5" localSheetId="49">#REF!</definedName>
    <definedName name="_SRC5" localSheetId="40">#REF!</definedName>
    <definedName name="_SRC5" localSheetId="43">#REF!</definedName>
    <definedName name="_SRC5" localSheetId="13">#REF!</definedName>
    <definedName name="_SRC5" localSheetId="38">#REF!</definedName>
    <definedName name="_SRC5">#REF!</definedName>
    <definedName name="_SRC50" localSheetId="3">#REF!</definedName>
    <definedName name="_SRC50" localSheetId="7">#REF!</definedName>
    <definedName name="_SRC50" localSheetId="9">#REF!</definedName>
    <definedName name="_SRC50" localSheetId="10">#REF!</definedName>
    <definedName name="_SRC50" localSheetId="15">#REF!</definedName>
    <definedName name="_SRC50" localSheetId="19">#REF!</definedName>
    <definedName name="_SRC50" localSheetId="20">#REF!</definedName>
    <definedName name="_SRC50" localSheetId="24">#REF!</definedName>
    <definedName name="_SRC50" localSheetId="104">#REF!</definedName>
    <definedName name="_SRC50" localSheetId="65">#REF!</definedName>
    <definedName name="_SRC50" localSheetId="64">#REF!</definedName>
    <definedName name="_SRC50" localSheetId="77">#REF!</definedName>
    <definedName name="_SRC50" localSheetId="49">#REF!</definedName>
    <definedName name="_SRC50" localSheetId="40">#REF!</definedName>
    <definedName name="_SRC50" localSheetId="43">#REF!</definedName>
    <definedName name="_SRC50" localSheetId="13">#REF!</definedName>
    <definedName name="_SRC50" localSheetId="38">#REF!</definedName>
    <definedName name="_SRC50">#REF!</definedName>
    <definedName name="_SRC55" localSheetId="3">#REF!</definedName>
    <definedName name="_SRC55" localSheetId="7">#REF!</definedName>
    <definedName name="_SRC55" localSheetId="9">#REF!</definedName>
    <definedName name="_SRC55" localSheetId="10">#REF!</definedName>
    <definedName name="_SRC55" localSheetId="15">#REF!</definedName>
    <definedName name="_SRC55" localSheetId="19">#REF!</definedName>
    <definedName name="_SRC55" localSheetId="20">#REF!</definedName>
    <definedName name="_SRC55" localSheetId="24">#REF!</definedName>
    <definedName name="_SRC55" localSheetId="104">#REF!</definedName>
    <definedName name="_SRC55" localSheetId="65">#REF!</definedName>
    <definedName name="_SRC55" localSheetId="64">#REF!</definedName>
    <definedName name="_SRC55" localSheetId="77">#REF!</definedName>
    <definedName name="_SRC55" localSheetId="49">#REF!</definedName>
    <definedName name="_SRC55" localSheetId="40">#REF!</definedName>
    <definedName name="_SRC55" localSheetId="43">#REF!</definedName>
    <definedName name="_SRC55" localSheetId="13">#REF!</definedName>
    <definedName name="_SRC55" localSheetId="38">#REF!</definedName>
    <definedName name="_SRC55">#REF!</definedName>
    <definedName name="_SRC56" localSheetId="3">#REF!</definedName>
    <definedName name="_SRC56" localSheetId="7">#REF!</definedName>
    <definedName name="_SRC56" localSheetId="9">#REF!</definedName>
    <definedName name="_SRC56" localSheetId="10">#REF!</definedName>
    <definedName name="_SRC56" localSheetId="15">#REF!</definedName>
    <definedName name="_SRC56" localSheetId="19">#REF!</definedName>
    <definedName name="_SRC56" localSheetId="20">#REF!</definedName>
    <definedName name="_SRC56" localSheetId="24">#REF!</definedName>
    <definedName name="_SRC56" localSheetId="104">#REF!</definedName>
    <definedName name="_SRC56" localSheetId="65">#REF!</definedName>
    <definedName name="_SRC56" localSheetId="64">#REF!</definedName>
    <definedName name="_SRC56" localSheetId="77">#REF!</definedName>
    <definedName name="_SRC56" localSheetId="49">#REF!</definedName>
    <definedName name="_SRC56" localSheetId="40">#REF!</definedName>
    <definedName name="_SRC56" localSheetId="43">#REF!</definedName>
    <definedName name="_SRC56" localSheetId="13">#REF!</definedName>
    <definedName name="_SRC56" localSheetId="38">#REF!</definedName>
    <definedName name="_SRC56">#REF!</definedName>
    <definedName name="_SRC57" localSheetId="3">#REF!</definedName>
    <definedName name="_SRC57" localSheetId="7">#REF!</definedName>
    <definedName name="_SRC57" localSheetId="9">#REF!</definedName>
    <definedName name="_SRC57" localSheetId="10">#REF!</definedName>
    <definedName name="_SRC57" localSheetId="15">#REF!</definedName>
    <definedName name="_SRC57" localSheetId="19">#REF!</definedName>
    <definedName name="_SRC57" localSheetId="20">#REF!</definedName>
    <definedName name="_SRC57" localSheetId="24">#REF!</definedName>
    <definedName name="_SRC57" localSheetId="104">#REF!</definedName>
    <definedName name="_SRC57" localSheetId="65">#REF!</definedName>
    <definedName name="_SRC57" localSheetId="64">#REF!</definedName>
    <definedName name="_SRC57" localSheetId="77">#REF!</definedName>
    <definedName name="_SRC57" localSheetId="49">#REF!</definedName>
    <definedName name="_SRC57" localSheetId="40">#REF!</definedName>
    <definedName name="_SRC57" localSheetId="43">#REF!</definedName>
    <definedName name="_SRC57" localSheetId="13">#REF!</definedName>
    <definedName name="_SRC57" localSheetId="38">#REF!</definedName>
    <definedName name="_SRC57">#REF!</definedName>
    <definedName name="_SRC58" localSheetId="3">#REF!</definedName>
    <definedName name="_SRC58" localSheetId="7">#REF!</definedName>
    <definedName name="_SRC58" localSheetId="9">#REF!</definedName>
    <definedName name="_SRC58" localSheetId="10">#REF!</definedName>
    <definedName name="_SRC58" localSheetId="15">#REF!</definedName>
    <definedName name="_SRC58" localSheetId="19">#REF!</definedName>
    <definedName name="_SRC58" localSheetId="20">#REF!</definedName>
    <definedName name="_SRC58" localSheetId="24">#REF!</definedName>
    <definedName name="_SRC58" localSheetId="104">#REF!</definedName>
    <definedName name="_SRC58" localSheetId="65">#REF!</definedName>
    <definedName name="_SRC58" localSheetId="64">#REF!</definedName>
    <definedName name="_SRC58" localSheetId="77">#REF!</definedName>
    <definedName name="_SRC58" localSheetId="49">#REF!</definedName>
    <definedName name="_SRC58" localSheetId="40">#REF!</definedName>
    <definedName name="_SRC58" localSheetId="43">#REF!</definedName>
    <definedName name="_SRC58" localSheetId="13">#REF!</definedName>
    <definedName name="_SRC58" localSheetId="38">#REF!</definedName>
    <definedName name="_SRC58">#REF!</definedName>
    <definedName name="_SRC6" localSheetId="3">#REF!</definedName>
    <definedName name="_SRC6" localSheetId="7">#REF!</definedName>
    <definedName name="_SRC6" localSheetId="9">#REF!</definedName>
    <definedName name="_SRC6" localSheetId="10">#REF!</definedName>
    <definedName name="_SRC6" localSheetId="15">#REF!</definedName>
    <definedName name="_SRC6" localSheetId="19">#REF!</definedName>
    <definedName name="_SRC6" localSheetId="20">#REF!</definedName>
    <definedName name="_SRC6" localSheetId="24">#REF!</definedName>
    <definedName name="_SRC6" localSheetId="104">#REF!</definedName>
    <definedName name="_SRC6" localSheetId="65">#REF!</definedName>
    <definedName name="_SRC6" localSheetId="64">#REF!</definedName>
    <definedName name="_SRC6" localSheetId="77">#REF!</definedName>
    <definedName name="_SRC6" localSheetId="49">#REF!</definedName>
    <definedName name="_SRC6" localSheetId="40">#REF!</definedName>
    <definedName name="_SRC6" localSheetId="43">#REF!</definedName>
    <definedName name="_SRC6" localSheetId="13">#REF!</definedName>
    <definedName name="_SRC6" localSheetId="38">#REF!</definedName>
    <definedName name="_SRC6">#REF!</definedName>
    <definedName name="_SRC60" localSheetId="3">#REF!</definedName>
    <definedName name="_SRC60" localSheetId="7">#REF!</definedName>
    <definedName name="_SRC60" localSheetId="9">#REF!</definedName>
    <definedName name="_SRC60" localSheetId="10">#REF!</definedName>
    <definedName name="_SRC60" localSheetId="15">#REF!</definedName>
    <definedName name="_SRC60" localSheetId="19">#REF!</definedName>
    <definedName name="_SRC60" localSheetId="20">#REF!</definedName>
    <definedName name="_SRC60" localSheetId="24">#REF!</definedName>
    <definedName name="_SRC60" localSheetId="104">#REF!</definedName>
    <definedName name="_SRC60" localSheetId="65">#REF!</definedName>
    <definedName name="_SRC60" localSheetId="64">#REF!</definedName>
    <definedName name="_SRC60" localSheetId="77">#REF!</definedName>
    <definedName name="_SRC60" localSheetId="49">#REF!</definedName>
    <definedName name="_SRC60" localSheetId="40">#REF!</definedName>
    <definedName name="_SRC60" localSheetId="43">#REF!</definedName>
    <definedName name="_SRC60" localSheetId="13">#REF!</definedName>
    <definedName name="_SRC60" localSheetId="38">#REF!</definedName>
    <definedName name="_SRC60">#REF!</definedName>
    <definedName name="_SRC61" localSheetId="3">#REF!</definedName>
    <definedName name="_SRC61" localSheetId="7">#REF!</definedName>
    <definedName name="_SRC61" localSheetId="9">#REF!</definedName>
    <definedName name="_SRC61" localSheetId="10">#REF!</definedName>
    <definedName name="_SRC61" localSheetId="15">#REF!</definedName>
    <definedName name="_SRC61" localSheetId="19">#REF!</definedName>
    <definedName name="_SRC61" localSheetId="20">#REF!</definedName>
    <definedName name="_SRC61" localSheetId="24">#REF!</definedName>
    <definedName name="_SRC61" localSheetId="104">#REF!</definedName>
    <definedName name="_SRC61" localSheetId="65">#REF!</definedName>
    <definedName name="_SRC61" localSheetId="64">#REF!</definedName>
    <definedName name="_SRC61" localSheetId="77">#REF!</definedName>
    <definedName name="_SRC61" localSheetId="49">#REF!</definedName>
    <definedName name="_SRC61" localSheetId="40">#REF!</definedName>
    <definedName name="_SRC61" localSheetId="43">#REF!</definedName>
    <definedName name="_SRC61" localSheetId="13">#REF!</definedName>
    <definedName name="_SRC61" localSheetId="38">#REF!</definedName>
    <definedName name="_SRC61">#REF!</definedName>
    <definedName name="_SRC62" localSheetId="3">#REF!</definedName>
    <definedName name="_SRC62" localSheetId="7">#REF!</definedName>
    <definedName name="_SRC62" localSheetId="9">#REF!</definedName>
    <definedName name="_SRC62" localSheetId="10">#REF!</definedName>
    <definedName name="_SRC62" localSheetId="15">#REF!</definedName>
    <definedName name="_SRC62" localSheetId="19">#REF!</definedName>
    <definedName name="_SRC62" localSheetId="20">#REF!</definedName>
    <definedName name="_SRC62" localSheetId="24">#REF!</definedName>
    <definedName name="_SRC62" localSheetId="104">#REF!</definedName>
    <definedName name="_SRC62" localSheetId="65">#REF!</definedName>
    <definedName name="_SRC62" localSheetId="64">#REF!</definedName>
    <definedName name="_SRC62" localSheetId="77">#REF!</definedName>
    <definedName name="_SRC62" localSheetId="49">#REF!</definedName>
    <definedName name="_SRC62" localSheetId="40">#REF!</definedName>
    <definedName name="_SRC62" localSheetId="43">#REF!</definedName>
    <definedName name="_SRC62" localSheetId="13">#REF!</definedName>
    <definedName name="_SRC62" localSheetId="38">#REF!</definedName>
    <definedName name="_SRC62">#REF!</definedName>
    <definedName name="_SRC63" localSheetId="3">#REF!</definedName>
    <definedName name="_SRC63" localSheetId="7">#REF!</definedName>
    <definedName name="_SRC63" localSheetId="9">#REF!</definedName>
    <definedName name="_SRC63" localSheetId="10">#REF!</definedName>
    <definedName name="_SRC63" localSheetId="15">#REF!</definedName>
    <definedName name="_SRC63" localSheetId="19">#REF!</definedName>
    <definedName name="_SRC63" localSheetId="20">#REF!</definedName>
    <definedName name="_SRC63" localSheetId="24">#REF!</definedName>
    <definedName name="_SRC63" localSheetId="104">#REF!</definedName>
    <definedName name="_SRC63" localSheetId="65">#REF!</definedName>
    <definedName name="_SRC63" localSheetId="64">#REF!</definedName>
    <definedName name="_SRC63" localSheetId="77">#REF!</definedName>
    <definedName name="_SRC63" localSheetId="49">#REF!</definedName>
    <definedName name="_SRC63" localSheetId="40">#REF!</definedName>
    <definedName name="_SRC63" localSheetId="43">#REF!</definedName>
    <definedName name="_SRC63" localSheetId="13">#REF!</definedName>
    <definedName name="_SRC63" localSheetId="38">#REF!</definedName>
    <definedName name="_SRC63">#REF!</definedName>
    <definedName name="_SRC64" localSheetId="3">#REF!</definedName>
    <definedName name="_SRC64" localSheetId="7">#REF!</definedName>
    <definedName name="_SRC64" localSheetId="9">#REF!</definedName>
    <definedName name="_SRC64" localSheetId="10">#REF!</definedName>
    <definedName name="_SRC64" localSheetId="15">#REF!</definedName>
    <definedName name="_SRC64" localSheetId="19">#REF!</definedName>
    <definedName name="_SRC64" localSheetId="20">#REF!</definedName>
    <definedName name="_SRC64" localSheetId="24">#REF!</definedName>
    <definedName name="_SRC64" localSheetId="104">#REF!</definedName>
    <definedName name="_SRC64" localSheetId="65">#REF!</definedName>
    <definedName name="_SRC64" localSheetId="64">#REF!</definedName>
    <definedName name="_SRC64" localSheetId="77">#REF!</definedName>
    <definedName name="_SRC64" localSheetId="49">#REF!</definedName>
    <definedName name="_SRC64" localSheetId="40">#REF!</definedName>
    <definedName name="_SRC64" localSheetId="43">#REF!</definedName>
    <definedName name="_SRC64" localSheetId="13">#REF!</definedName>
    <definedName name="_SRC64" localSheetId="38">#REF!</definedName>
    <definedName name="_SRC64">#REF!</definedName>
    <definedName name="_SRC65" localSheetId="3">#REF!</definedName>
    <definedName name="_SRC65" localSheetId="7">#REF!</definedName>
    <definedName name="_SRC65" localSheetId="9">#REF!</definedName>
    <definedName name="_SRC65" localSheetId="10">#REF!</definedName>
    <definedName name="_SRC65" localSheetId="15">#REF!</definedName>
    <definedName name="_SRC65" localSheetId="19">#REF!</definedName>
    <definedName name="_SRC65" localSheetId="20">#REF!</definedName>
    <definedName name="_SRC65" localSheetId="24">#REF!</definedName>
    <definedName name="_SRC65" localSheetId="104">#REF!</definedName>
    <definedName name="_SRC65" localSheetId="65">#REF!</definedName>
    <definedName name="_SRC65" localSheetId="64">#REF!</definedName>
    <definedName name="_SRC65" localSheetId="77">#REF!</definedName>
    <definedName name="_SRC65" localSheetId="49">#REF!</definedName>
    <definedName name="_SRC65" localSheetId="40">#REF!</definedName>
    <definedName name="_SRC65" localSheetId="43">#REF!</definedName>
    <definedName name="_SRC65" localSheetId="13">#REF!</definedName>
    <definedName name="_SRC65" localSheetId="38">#REF!</definedName>
    <definedName name="_SRC65">#REF!</definedName>
    <definedName name="_SRC67" localSheetId="3">#REF!</definedName>
    <definedName name="_SRC67" localSheetId="7">#REF!</definedName>
    <definedName name="_SRC67" localSheetId="9">#REF!</definedName>
    <definedName name="_SRC67" localSheetId="10">#REF!</definedName>
    <definedName name="_SRC67" localSheetId="15">#REF!</definedName>
    <definedName name="_SRC67" localSheetId="19">#REF!</definedName>
    <definedName name="_SRC67" localSheetId="20">#REF!</definedName>
    <definedName name="_SRC67" localSheetId="24">#REF!</definedName>
    <definedName name="_SRC67" localSheetId="104">#REF!</definedName>
    <definedName name="_SRC67" localSheetId="65">#REF!</definedName>
    <definedName name="_SRC67" localSheetId="64">#REF!</definedName>
    <definedName name="_SRC67" localSheetId="77">#REF!</definedName>
    <definedName name="_SRC67" localSheetId="49">#REF!</definedName>
    <definedName name="_SRC67" localSheetId="40">#REF!</definedName>
    <definedName name="_SRC67" localSheetId="43">#REF!</definedName>
    <definedName name="_SRC67" localSheetId="13">#REF!</definedName>
    <definedName name="_SRC67" localSheetId="38">#REF!</definedName>
    <definedName name="_SRC67">#REF!</definedName>
    <definedName name="_SRC68" localSheetId="3">#REF!</definedName>
    <definedName name="_SRC68" localSheetId="7">#REF!</definedName>
    <definedName name="_SRC68" localSheetId="9">#REF!</definedName>
    <definedName name="_SRC68" localSheetId="10">#REF!</definedName>
    <definedName name="_SRC68" localSheetId="15">#REF!</definedName>
    <definedName name="_SRC68" localSheetId="19">#REF!</definedName>
    <definedName name="_SRC68" localSheetId="20">#REF!</definedName>
    <definedName name="_SRC68" localSheetId="24">#REF!</definedName>
    <definedName name="_SRC68" localSheetId="104">#REF!</definedName>
    <definedName name="_SRC68" localSheetId="65">#REF!</definedName>
    <definedName name="_SRC68" localSheetId="64">#REF!</definedName>
    <definedName name="_SRC68" localSheetId="77">#REF!</definedName>
    <definedName name="_SRC68" localSheetId="49">#REF!</definedName>
    <definedName name="_SRC68" localSheetId="40">#REF!</definedName>
    <definedName name="_SRC68" localSheetId="43">#REF!</definedName>
    <definedName name="_SRC68" localSheetId="13">#REF!</definedName>
    <definedName name="_SRC68" localSheetId="38">#REF!</definedName>
    <definedName name="_SRC68">#REF!</definedName>
    <definedName name="_SRC69" localSheetId="3">#REF!</definedName>
    <definedName name="_SRC69" localSheetId="7">#REF!</definedName>
    <definedName name="_SRC69" localSheetId="9">#REF!</definedName>
    <definedName name="_SRC69" localSheetId="10">#REF!</definedName>
    <definedName name="_SRC69" localSheetId="15">#REF!</definedName>
    <definedName name="_SRC69" localSheetId="19">#REF!</definedName>
    <definedName name="_SRC69" localSheetId="20">#REF!</definedName>
    <definedName name="_SRC69" localSheetId="24">#REF!</definedName>
    <definedName name="_SRC69" localSheetId="104">#REF!</definedName>
    <definedName name="_SRC69" localSheetId="65">#REF!</definedName>
    <definedName name="_SRC69" localSheetId="64">#REF!</definedName>
    <definedName name="_SRC69" localSheetId="77">#REF!</definedName>
    <definedName name="_SRC69" localSheetId="49">#REF!</definedName>
    <definedName name="_SRC69" localSheetId="40">#REF!</definedName>
    <definedName name="_SRC69" localSheetId="43">#REF!</definedName>
    <definedName name="_SRC69" localSheetId="13">#REF!</definedName>
    <definedName name="_SRC69" localSheetId="38">#REF!</definedName>
    <definedName name="_SRC69">#REF!</definedName>
    <definedName name="_SRC7" localSheetId="3">#REF!</definedName>
    <definedName name="_SRC7" localSheetId="7">#REF!</definedName>
    <definedName name="_SRC7" localSheetId="9">#REF!</definedName>
    <definedName name="_SRC7" localSheetId="10">#REF!</definedName>
    <definedName name="_SRC7" localSheetId="15">#REF!</definedName>
    <definedName name="_SRC7" localSheetId="19">#REF!</definedName>
    <definedName name="_SRC7" localSheetId="20">#REF!</definedName>
    <definedName name="_SRC7" localSheetId="24">#REF!</definedName>
    <definedName name="_SRC7" localSheetId="104">#REF!</definedName>
    <definedName name="_SRC7" localSheetId="65">#REF!</definedName>
    <definedName name="_SRC7" localSheetId="64">#REF!</definedName>
    <definedName name="_SRC7" localSheetId="77">#REF!</definedName>
    <definedName name="_SRC7" localSheetId="49">#REF!</definedName>
    <definedName name="_SRC7" localSheetId="40">#REF!</definedName>
    <definedName name="_SRC7" localSheetId="43">#REF!</definedName>
    <definedName name="_SRC7" localSheetId="13">#REF!</definedName>
    <definedName name="_SRC7" localSheetId="38">#REF!</definedName>
    <definedName name="_SRC7">#REF!</definedName>
    <definedName name="_SRC70" localSheetId="3">#REF!</definedName>
    <definedName name="_SRC70" localSheetId="7">#REF!</definedName>
    <definedName name="_SRC70" localSheetId="9">#REF!</definedName>
    <definedName name="_SRC70" localSheetId="10">#REF!</definedName>
    <definedName name="_SRC70" localSheetId="15">#REF!</definedName>
    <definedName name="_SRC70" localSheetId="19">#REF!</definedName>
    <definedName name="_SRC70" localSheetId="20">#REF!</definedName>
    <definedName name="_SRC70" localSheetId="24">#REF!</definedName>
    <definedName name="_SRC70" localSheetId="104">#REF!</definedName>
    <definedName name="_SRC70" localSheetId="65">#REF!</definedName>
    <definedName name="_SRC70" localSheetId="64">#REF!</definedName>
    <definedName name="_SRC70" localSheetId="77">#REF!</definedName>
    <definedName name="_SRC70" localSheetId="49">#REF!</definedName>
    <definedName name="_SRC70" localSheetId="40">#REF!</definedName>
    <definedName name="_SRC70" localSheetId="43">#REF!</definedName>
    <definedName name="_SRC70" localSheetId="13">#REF!</definedName>
    <definedName name="_SRC70" localSheetId="38">#REF!</definedName>
    <definedName name="_SRC70">#REF!</definedName>
    <definedName name="_SRC71" localSheetId="3">#REF!</definedName>
    <definedName name="_SRC71" localSheetId="7">#REF!</definedName>
    <definedName name="_SRC71" localSheetId="9">#REF!</definedName>
    <definedName name="_SRC71" localSheetId="10">#REF!</definedName>
    <definedName name="_SRC71" localSheetId="15">#REF!</definedName>
    <definedName name="_SRC71" localSheetId="19">#REF!</definedName>
    <definedName name="_SRC71" localSheetId="20">#REF!</definedName>
    <definedName name="_SRC71" localSheetId="24">#REF!</definedName>
    <definedName name="_SRC71" localSheetId="104">#REF!</definedName>
    <definedName name="_SRC71" localSheetId="65">#REF!</definedName>
    <definedName name="_SRC71" localSheetId="64">#REF!</definedName>
    <definedName name="_SRC71" localSheetId="77">#REF!</definedName>
    <definedName name="_SRC71" localSheetId="49">#REF!</definedName>
    <definedName name="_SRC71" localSheetId="40">#REF!</definedName>
    <definedName name="_SRC71" localSheetId="43">#REF!</definedName>
    <definedName name="_SRC71" localSheetId="13">#REF!</definedName>
    <definedName name="_SRC71" localSheetId="38">#REF!</definedName>
    <definedName name="_SRC71">#REF!</definedName>
    <definedName name="_SRC72" localSheetId="3">#REF!</definedName>
    <definedName name="_SRC72" localSheetId="7">#REF!</definedName>
    <definedName name="_SRC72" localSheetId="9">#REF!</definedName>
    <definedName name="_SRC72" localSheetId="10">#REF!</definedName>
    <definedName name="_SRC72" localSheetId="15">#REF!</definedName>
    <definedName name="_SRC72" localSheetId="19">#REF!</definedName>
    <definedName name="_SRC72" localSheetId="20">#REF!</definedName>
    <definedName name="_SRC72" localSheetId="24">#REF!</definedName>
    <definedName name="_SRC72" localSheetId="104">#REF!</definedName>
    <definedName name="_SRC72" localSheetId="65">#REF!</definedName>
    <definedName name="_SRC72" localSheetId="64">#REF!</definedName>
    <definedName name="_SRC72" localSheetId="77">#REF!</definedName>
    <definedName name="_SRC72" localSheetId="49">#REF!</definedName>
    <definedName name="_SRC72" localSheetId="40">#REF!</definedName>
    <definedName name="_SRC72" localSheetId="43">#REF!</definedName>
    <definedName name="_SRC72" localSheetId="13">#REF!</definedName>
    <definedName name="_SRC72" localSheetId="38">#REF!</definedName>
    <definedName name="_SRC72">#REF!</definedName>
    <definedName name="_SRC73" localSheetId="3">#REF!</definedName>
    <definedName name="_SRC73" localSheetId="7">#REF!</definedName>
    <definedName name="_SRC73" localSheetId="9">#REF!</definedName>
    <definedName name="_SRC73" localSheetId="10">#REF!</definedName>
    <definedName name="_SRC73" localSheetId="15">#REF!</definedName>
    <definedName name="_SRC73" localSheetId="19">#REF!</definedName>
    <definedName name="_SRC73" localSheetId="20">#REF!</definedName>
    <definedName name="_SRC73" localSheetId="24">#REF!</definedName>
    <definedName name="_SRC73" localSheetId="104">#REF!</definedName>
    <definedName name="_SRC73" localSheetId="65">#REF!</definedName>
    <definedName name="_SRC73" localSheetId="64">#REF!</definedName>
    <definedName name="_SRC73" localSheetId="77">#REF!</definedName>
    <definedName name="_SRC73" localSheetId="49">#REF!</definedName>
    <definedName name="_SRC73" localSheetId="40">#REF!</definedName>
    <definedName name="_SRC73" localSheetId="43">#REF!</definedName>
    <definedName name="_SRC73" localSheetId="13">#REF!</definedName>
    <definedName name="_SRC73" localSheetId="38">#REF!</definedName>
    <definedName name="_SRC73">#REF!</definedName>
    <definedName name="_SRC74" localSheetId="3">#REF!</definedName>
    <definedName name="_SRC74" localSheetId="7">#REF!</definedName>
    <definedName name="_SRC74" localSheetId="9">#REF!</definedName>
    <definedName name="_SRC74" localSheetId="10">#REF!</definedName>
    <definedName name="_SRC74" localSheetId="15">#REF!</definedName>
    <definedName name="_SRC74" localSheetId="19">#REF!</definedName>
    <definedName name="_SRC74" localSheetId="20">#REF!</definedName>
    <definedName name="_SRC74" localSheetId="24">#REF!</definedName>
    <definedName name="_SRC74" localSheetId="104">#REF!</definedName>
    <definedName name="_SRC74" localSheetId="65">#REF!</definedName>
    <definedName name="_SRC74" localSheetId="64">#REF!</definedName>
    <definedName name="_SRC74" localSheetId="77">#REF!</definedName>
    <definedName name="_SRC74" localSheetId="49">#REF!</definedName>
    <definedName name="_SRC74" localSheetId="40">#REF!</definedName>
    <definedName name="_SRC74" localSheetId="43">#REF!</definedName>
    <definedName name="_SRC74" localSheetId="13">#REF!</definedName>
    <definedName name="_SRC74" localSheetId="38">#REF!</definedName>
    <definedName name="_SRC74">#REF!</definedName>
    <definedName name="_SRC75" localSheetId="3">#REF!</definedName>
    <definedName name="_SRC75" localSheetId="7">#REF!</definedName>
    <definedName name="_SRC75" localSheetId="9">#REF!</definedName>
    <definedName name="_SRC75" localSheetId="10">#REF!</definedName>
    <definedName name="_SRC75" localSheetId="15">#REF!</definedName>
    <definedName name="_SRC75" localSheetId="19">#REF!</definedName>
    <definedName name="_SRC75" localSheetId="20">#REF!</definedName>
    <definedName name="_SRC75" localSheetId="24">#REF!</definedName>
    <definedName name="_SRC75" localSheetId="104">#REF!</definedName>
    <definedName name="_SRC75" localSheetId="65">#REF!</definedName>
    <definedName name="_SRC75" localSheetId="64">#REF!</definedName>
    <definedName name="_SRC75" localSheetId="77">#REF!</definedName>
    <definedName name="_SRC75" localSheetId="49">#REF!</definedName>
    <definedName name="_SRC75" localSheetId="40">#REF!</definedName>
    <definedName name="_SRC75" localSheetId="43">#REF!</definedName>
    <definedName name="_SRC75" localSheetId="13">#REF!</definedName>
    <definedName name="_SRC75" localSheetId="38">#REF!</definedName>
    <definedName name="_SRC75">#REF!</definedName>
    <definedName name="_SRC76" localSheetId="3">#REF!</definedName>
    <definedName name="_SRC76" localSheetId="7">#REF!</definedName>
    <definedName name="_SRC76" localSheetId="9">#REF!</definedName>
    <definedName name="_SRC76" localSheetId="10">#REF!</definedName>
    <definedName name="_SRC76" localSheetId="15">#REF!</definedName>
    <definedName name="_SRC76" localSheetId="19">#REF!</definedName>
    <definedName name="_SRC76" localSheetId="20">#REF!</definedName>
    <definedName name="_SRC76" localSheetId="24">#REF!</definedName>
    <definedName name="_SRC76" localSheetId="104">#REF!</definedName>
    <definedName name="_SRC76" localSheetId="65">#REF!</definedName>
    <definedName name="_SRC76" localSheetId="64">#REF!</definedName>
    <definedName name="_SRC76" localSheetId="77">#REF!</definedName>
    <definedName name="_SRC76" localSheetId="49">#REF!</definedName>
    <definedName name="_SRC76" localSheetId="40">#REF!</definedName>
    <definedName name="_SRC76" localSheetId="43">#REF!</definedName>
    <definedName name="_SRC76" localSheetId="13">#REF!</definedName>
    <definedName name="_SRC76" localSheetId="38">#REF!</definedName>
    <definedName name="_SRC76">#REF!</definedName>
    <definedName name="_SRC77" localSheetId="3">#REF!</definedName>
    <definedName name="_SRC77" localSheetId="7">#REF!</definedName>
    <definedName name="_SRC77" localSheetId="9">#REF!</definedName>
    <definedName name="_SRC77" localSheetId="10">#REF!</definedName>
    <definedName name="_SRC77" localSheetId="15">#REF!</definedName>
    <definedName name="_SRC77" localSheetId="19">#REF!</definedName>
    <definedName name="_SRC77" localSheetId="20">#REF!</definedName>
    <definedName name="_SRC77" localSheetId="24">#REF!</definedName>
    <definedName name="_SRC77" localSheetId="104">#REF!</definedName>
    <definedName name="_SRC77" localSheetId="65">#REF!</definedName>
    <definedName name="_SRC77" localSheetId="64">#REF!</definedName>
    <definedName name="_SRC77" localSheetId="77">#REF!</definedName>
    <definedName name="_SRC77" localSheetId="49">#REF!</definedName>
    <definedName name="_SRC77" localSheetId="40">#REF!</definedName>
    <definedName name="_SRC77" localSheetId="43">#REF!</definedName>
    <definedName name="_SRC77" localSheetId="13">#REF!</definedName>
    <definedName name="_SRC77" localSheetId="38">#REF!</definedName>
    <definedName name="_SRC77">#REF!</definedName>
    <definedName name="_SRC78" localSheetId="3">#REF!</definedName>
    <definedName name="_SRC78" localSheetId="7">#REF!</definedName>
    <definedName name="_SRC78" localSheetId="9">#REF!</definedName>
    <definedName name="_SRC78" localSheetId="10">#REF!</definedName>
    <definedName name="_SRC78" localSheetId="15">#REF!</definedName>
    <definedName name="_SRC78" localSheetId="19">#REF!</definedName>
    <definedName name="_SRC78" localSheetId="20">#REF!</definedName>
    <definedName name="_SRC78" localSheetId="24">#REF!</definedName>
    <definedName name="_SRC78" localSheetId="104">#REF!</definedName>
    <definedName name="_SRC78" localSheetId="65">#REF!</definedName>
    <definedName name="_SRC78" localSheetId="64">#REF!</definedName>
    <definedName name="_SRC78" localSheetId="77">#REF!</definedName>
    <definedName name="_SRC78" localSheetId="49">#REF!</definedName>
    <definedName name="_SRC78" localSheetId="40">#REF!</definedName>
    <definedName name="_SRC78" localSheetId="43">#REF!</definedName>
    <definedName name="_SRC78" localSheetId="13">#REF!</definedName>
    <definedName name="_SRC78" localSheetId="38">#REF!</definedName>
    <definedName name="_SRC78">#REF!</definedName>
    <definedName name="_SRC8" localSheetId="3">#REF!</definedName>
    <definedName name="_SRC8" localSheetId="7">#REF!</definedName>
    <definedName name="_SRC8" localSheetId="9">#REF!</definedName>
    <definedName name="_SRC8" localSheetId="10">#REF!</definedName>
    <definedName name="_SRC8" localSheetId="15">#REF!</definedName>
    <definedName name="_SRC8" localSheetId="19">#REF!</definedName>
    <definedName name="_SRC8" localSheetId="20">#REF!</definedName>
    <definedName name="_SRC8" localSheetId="24">#REF!</definedName>
    <definedName name="_SRC8" localSheetId="104">#REF!</definedName>
    <definedName name="_SRC8" localSheetId="65">#REF!</definedName>
    <definedName name="_SRC8" localSheetId="64">#REF!</definedName>
    <definedName name="_SRC8" localSheetId="77">#REF!</definedName>
    <definedName name="_SRC8" localSheetId="49">#REF!</definedName>
    <definedName name="_SRC8" localSheetId="40">#REF!</definedName>
    <definedName name="_SRC8" localSheetId="43">#REF!</definedName>
    <definedName name="_SRC8" localSheetId="13">#REF!</definedName>
    <definedName name="_SRC8" localSheetId="38">#REF!</definedName>
    <definedName name="_SRC8">#REF!</definedName>
    <definedName name="_SRC81" localSheetId="3">#REF!</definedName>
    <definedName name="_SRC81" localSheetId="7">#REF!</definedName>
    <definedName name="_SRC81" localSheetId="9">#REF!</definedName>
    <definedName name="_SRC81" localSheetId="10">#REF!</definedName>
    <definedName name="_SRC81" localSheetId="15">#REF!</definedName>
    <definedName name="_SRC81" localSheetId="19">#REF!</definedName>
    <definedName name="_SRC81" localSheetId="20">#REF!</definedName>
    <definedName name="_SRC81" localSheetId="24">#REF!</definedName>
    <definedName name="_SRC81" localSheetId="104">#REF!</definedName>
    <definedName name="_SRC81" localSheetId="65">#REF!</definedName>
    <definedName name="_SRC81" localSheetId="64">#REF!</definedName>
    <definedName name="_SRC81" localSheetId="77">#REF!</definedName>
    <definedName name="_SRC81" localSheetId="49">#REF!</definedName>
    <definedName name="_SRC81" localSheetId="40">#REF!</definedName>
    <definedName name="_SRC81" localSheetId="43">#REF!</definedName>
    <definedName name="_SRC81" localSheetId="13">#REF!</definedName>
    <definedName name="_SRC81" localSheetId="38">#REF!</definedName>
    <definedName name="_SRC81">#REF!</definedName>
    <definedName name="_SRC82" localSheetId="3">#REF!</definedName>
    <definedName name="_SRC82" localSheetId="7">#REF!</definedName>
    <definedName name="_SRC82" localSheetId="9">#REF!</definedName>
    <definedName name="_SRC82" localSheetId="10">#REF!</definedName>
    <definedName name="_SRC82" localSheetId="15">#REF!</definedName>
    <definedName name="_SRC82" localSheetId="19">#REF!</definedName>
    <definedName name="_SRC82" localSheetId="20">#REF!</definedName>
    <definedName name="_SRC82" localSheetId="24">#REF!</definedName>
    <definedName name="_SRC82" localSheetId="104">#REF!</definedName>
    <definedName name="_SRC82" localSheetId="65">#REF!</definedName>
    <definedName name="_SRC82" localSheetId="64">#REF!</definedName>
    <definedName name="_SRC82" localSheetId="77">#REF!</definedName>
    <definedName name="_SRC82" localSheetId="49">#REF!</definedName>
    <definedName name="_SRC82" localSheetId="40">#REF!</definedName>
    <definedName name="_SRC82" localSheetId="43">#REF!</definedName>
    <definedName name="_SRC82" localSheetId="13">#REF!</definedName>
    <definedName name="_SRC82" localSheetId="38">#REF!</definedName>
    <definedName name="_SRC82">#REF!</definedName>
    <definedName name="_SRC83" localSheetId="3">#REF!</definedName>
    <definedName name="_SRC83" localSheetId="7">#REF!</definedName>
    <definedName name="_SRC83" localSheetId="9">#REF!</definedName>
    <definedName name="_SRC83" localSheetId="10">#REF!</definedName>
    <definedName name="_SRC83" localSheetId="15">#REF!</definedName>
    <definedName name="_SRC83" localSheetId="19">#REF!</definedName>
    <definedName name="_SRC83" localSheetId="20">#REF!</definedName>
    <definedName name="_SRC83" localSheetId="24">#REF!</definedName>
    <definedName name="_SRC83" localSheetId="104">#REF!</definedName>
    <definedName name="_SRC83" localSheetId="65">#REF!</definedName>
    <definedName name="_SRC83" localSheetId="64">#REF!</definedName>
    <definedName name="_SRC83" localSheetId="77">#REF!</definedName>
    <definedName name="_SRC83" localSheetId="49">#REF!</definedName>
    <definedName name="_SRC83" localSheetId="40">#REF!</definedName>
    <definedName name="_SRC83" localSheetId="43">#REF!</definedName>
    <definedName name="_SRC83" localSheetId="13">#REF!</definedName>
    <definedName name="_SRC83" localSheetId="38">#REF!</definedName>
    <definedName name="_SRC83">#REF!</definedName>
    <definedName name="_SRC9" localSheetId="3">#REF!</definedName>
    <definedName name="_SRC9" localSheetId="7">#REF!</definedName>
    <definedName name="_SRC9" localSheetId="9">#REF!</definedName>
    <definedName name="_SRC9" localSheetId="10">#REF!</definedName>
    <definedName name="_SRC9" localSheetId="15">#REF!</definedName>
    <definedName name="_SRC9" localSheetId="19">#REF!</definedName>
    <definedName name="_SRC9" localSheetId="20">#REF!</definedName>
    <definedName name="_SRC9" localSheetId="24">#REF!</definedName>
    <definedName name="_SRC9" localSheetId="104">#REF!</definedName>
    <definedName name="_SRC9" localSheetId="65">#REF!</definedName>
    <definedName name="_SRC9" localSheetId="64">#REF!</definedName>
    <definedName name="_SRC9" localSheetId="77">#REF!</definedName>
    <definedName name="_SRC9" localSheetId="49">#REF!</definedName>
    <definedName name="_SRC9" localSheetId="40">#REF!</definedName>
    <definedName name="_SRC9" localSheetId="43">#REF!</definedName>
    <definedName name="_SRC9" localSheetId="13">#REF!</definedName>
    <definedName name="_SRC9" localSheetId="38">#REF!</definedName>
    <definedName name="_SRC9">#REF!</definedName>
    <definedName name="_SRC90" localSheetId="3">#REF!</definedName>
    <definedName name="_SRC90" localSheetId="7">#REF!</definedName>
    <definedName name="_SRC90" localSheetId="9">#REF!</definedName>
    <definedName name="_SRC90" localSheetId="10">#REF!</definedName>
    <definedName name="_SRC90" localSheetId="15">#REF!</definedName>
    <definedName name="_SRC90" localSheetId="19">#REF!</definedName>
    <definedName name="_SRC90" localSheetId="20">#REF!</definedName>
    <definedName name="_SRC90" localSheetId="24">#REF!</definedName>
    <definedName name="_SRC90" localSheetId="104">#REF!</definedName>
    <definedName name="_SRC90" localSheetId="65">#REF!</definedName>
    <definedName name="_SRC90" localSheetId="64">#REF!</definedName>
    <definedName name="_SRC90" localSheetId="77">#REF!</definedName>
    <definedName name="_SRC90" localSheetId="49">#REF!</definedName>
    <definedName name="_SRC90" localSheetId="40">#REF!</definedName>
    <definedName name="_SRC90" localSheetId="43">#REF!</definedName>
    <definedName name="_SRC90" localSheetId="13">#REF!</definedName>
    <definedName name="_SRC90" localSheetId="38">#REF!</definedName>
    <definedName name="_SRC90">#REF!</definedName>
    <definedName name="_Table1_In1" localSheetId="3" hidden="1">#REF!</definedName>
    <definedName name="_Table1_In1" localSheetId="7" hidden="1">#REF!</definedName>
    <definedName name="_Table1_In1" localSheetId="9" hidden="1">#REF!</definedName>
    <definedName name="_Table1_In1" localSheetId="10" hidden="1">#REF!</definedName>
    <definedName name="_Table1_In1" localSheetId="15" hidden="1">#REF!</definedName>
    <definedName name="_Table1_In1" localSheetId="18" hidden="1">#REF!</definedName>
    <definedName name="_Table1_In1" localSheetId="19" hidden="1">#REF!</definedName>
    <definedName name="_Table1_In1" localSheetId="20" hidden="1">#REF!</definedName>
    <definedName name="_Table1_In1" localSheetId="23" hidden="1">#REF!</definedName>
    <definedName name="_Table1_In1" localSheetId="24" hidden="1">#REF!</definedName>
    <definedName name="_Table1_In1" localSheetId="35" hidden="1">#REF!</definedName>
    <definedName name="_Table1_In1" localSheetId="58" hidden="1">#REF!</definedName>
    <definedName name="_Table1_In1" localSheetId="60" hidden="1">#REF!</definedName>
    <definedName name="_Table1_In1" localSheetId="51" hidden="1">#REF!</definedName>
    <definedName name="_Table1_In1" localSheetId="54" hidden="1">#REF!</definedName>
    <definedName name="_Table1_In1" localSheetId="47" hidden="1">#REF!</definedName>
    <definedName name="_Table1_In1" localSheetId="105" hidden="1">#REF!</definedName>
    <definedName name="_Table1_In1" localSheetId="104" hidden="1">#REF!</definedName>
    <definedName name="_Table1_In1" localSheetId="88" hidden="1">#REF!</definedName>
    <definedName name="_Table1_In1" localSheetId="89" hidden="1">#REF!</definedName>
    <definedName name="_Table1_In1" localSheetId="87" hidden="1">#REF!</definedName>
    <definedName name="_Table1_In1" localSheetId="90" hidden="1">#REF!</definedName>
    <definedName name="_Table1_In1" localSheetId="70" hidden="1">#REF!</definedName>
    <definedName name="_Table1_In1" localSheetId="65" hidden="1">#REF!</definedName>
    <definedName name="_Table1_In1" localSheetId="64" hidden="1">#REF!</definedName>
    <definedName name="_Table1_In1" localSheetId="77" hidden="1">#REF!</definedName>
    <definedName name="_Table1_In1" localSheetId="49" hidden="1">#REF!</definedName>
    <definedName name="_Table1_In1" localSheetId="57" hidden="1">#REF!</definedName>
    <definedName name="_Table1_In1" localSheetId="59" hidden="1">#REF!</definedName>
    <definedName name="_Table1_In1" localSheetId="40" hidden="1">#REF!</definedName>
    <definedName name="_Table1_In1" localSheetId="43" hidden="1">#REF!</definedName>
    <definedName name="_Table1_In1" localSheetId="55" hidden="1">#REF!</definedName>
    <definedName name="_Table1_In1" localSheetId="13" hidden="1">#REF!</definedName>
    <definedName name="_Table1_In1" localSheetId="11" hidden="1">#REF!</definedName>
    <definedName name="_Table1_In1" localSheetId="38" hidden="1">#REF!</definedName>
    <definedName name="_Table1_In1" localSheetId="41" hidden="1">#REF!</definedName>
    <definedName name="_Table1_In1" localSheetId="101" hidden="1">#REF!</definedName>
    <definedName name="_Table1_In1" localSheetId="102" hidden="1">#REF!</definedName>
    <definedName name="_Table1_In1" localSheetId="103" hidden="1">#REF!</definedName>
    <definedName name="_Table1_In1" localSheetId="97" hidden="1">#REF!</definedName>
    <definedName name="_Table1_In1" localSheetId="42" hidden="1">#REF!</definedName>
    <definedName name="_Table1_In1" localSheetId="12" hidden="1">#REF!</definedName>
    <definedName name="_Table1_In1" localSheetId="73" hidden="1">#REF!</definedName>
    <definedName name="_Table1_In1" localSheetId="74" hidden="1">#REF!</definedName>
    <definedName name="_Table1_In1" hidden="1">#REF!</definedName>
    <definedName name="_Table1_Out" localSheetId="3" hidden="1">#REF!</definedName>
    <definedName name="_Table1_Out" localSheetId="7" hidden="1">#REF!</definedName>
    <definedName name="_Table1_Out" localSheetId="9" hidden="1">#REF!</definedName>
    <definedName name="_Table1_Out" localSheetId="10" hidden="1">#REF!</definedName>
    <definedName name="_Table1_Out" localSheetId="15" hidden="1">#REF!</definedName>
    <definedName name="_Table1_Out" localSheetId="18" hidden="1">#REF!</definedName>
    <definedName name="_Table1_Out" localSheetId="19" hidden="1">#REF!</definedName>
    <definedName name="_Table1_Out" localSheetId="20" hidden="1">#REF!</definedName>
    <definedName name="_Table1_Out" localSheetId="23" hidden="1">#REF!</definedName>
    <definedName name="_Table1_Out" localSheetId="24" hidden="1">#REF!</definedName>
    <definedName name="_Table1_Out" localSheetId="35" hidden="1">#REF!</definedName>
    <definedName name="_Table1_Out" localSheetId="58" hidden="1">#REF!</definedName>
    <definedName name="_Table1_Out" localSheetId="60" hidden="1">#REF!</definedName>
    <definedName name="_Table1_Out" localSheetId="51" hidden="1">#REF!</definedName>
    <definedName name="_Table1_Out" localSheetId="54" hidden="1">#REF!</definedName>
    <definedName name="_Table1_Out" localSheetId="47" hidden="1">#REF!</definedName>
    <definedName name="_Table1_Out" localSheetId="105" hidden="1">#REF!</definedName>
    <definedName name="_Table1_Out" localSheetId="104" hidden="1">#REF!</definedName>
    <definedName name="_Table1_Out" localSheetId="88" hidden="1">#REF!</definedName>
    <definedName name="_Table1_Out" localSheetId="89" hidden="1">#REF!</definedName>
    <definedName name="_Table1_Out" localSheetId="87" hidden="1">#REF!</definedName>
    <definedName name="_Table1_Out" localSheetId="90" hidden="1">#REF!</definedName>
    <definedName name="_Table1_Out" localSheetId="70" hidden="1">#REF!</definedName>
    <definedName name="_Table1_Out" localSheetId="65" hidden="1">#REF!</definedName>
    <definedName name="_Table1_Out" localSheetId="64" hidden="1">#REF!</definedName>
    <definedName name="_Table1_Out" localSheetId="77" hidden="1">#REF!</definedName>
    <definedName name="_Table1_Out" localSheetId="49" hidden="1">#REF!</definedName>
    <definedName name="_Table1_Out" localSheetId="57" hidden="1">#REF!</definedName>
    <definedName name="_Table1_Out" localSheetId="59" hidden="1">#REF!</definedName>
    <definedName name="_Table1_Out" localSheetId="40" hidden="1">#REF!</definedName>
    <definedName name="_Table1_Out" localSheetId="43" hidden="1">#REF!</definedName>
    <definedName name="_Table1_Out" localSheetId="55" hidden="1">#REF!</definedName>
    <definedName name="_Table1_Out" localSheetId="13" hidden="1">#REF!</definedName>
    <definedName name="_Table1_Out" localSheetId="11" hidden="1">#REF!</definedName>
    <definedName name="_Table1_Out" localSheetId="38" hidden="1">#REF!</definedName>
    <definedName name="_Table1_Out" localSheetId="41" hidden="1">#REF!</definedName>
    <definedName name="_Table1_Out" localSheetId="101" hidden="1">#REF!</definedName>
    <definedName name="_Table1_Out" localSheetId="102" hidden="1">#REF!</definedName>
    <definedName name="_Table1_Out" localSheetId="103" hidden="1">#REF!</definedName>
    <definedName name="_Table1_Out" localSheetId="97" hidden="1">#REF!</definedName>
    <definedName name="_Table1_Out" localSheetId="42" hidden="1">#REF!</definedName>
    <definedName name="_Table1_Out" localSheetId="12" hidden="1">#REF!</definedName>
    <definedName name="_Table1_Out" localSheetId="73" hidden="1">#REF!</definedName>
    <definedName name="_Table1_Out" localSheetId="74" hidden="1">#REF!</definedName>
    <definedName name="_Table1_Out" hidden="1">#REF!</definedName>
    <definedName name="_Ti2" localSheetId="3">#REF!</definedName>
    <definedName name="_Ti2" localSheetId="7">#REF!</definedName>
    <definedName name="_Ti2" localSheetId="9">#REF!</definedName>
    <definedName name="_Ti2" localSheetId="10">#REF!</definedName>
    <definedName name="_Ti2" localSheetId="15">#REF!</definedName>
    <definedName name="_Ti2" localSheetId="19">#REF!</definedName>
    <definedName name="_Ti2" localSheetId="20">#REF!</definedName>
    <definedName name="_Ti2" localSheetId="24">#REF!</definedName>
    <definedName name="_Ti2" localSheetId="104">#REF!</definedName>
    <definedName name="_Ti2" localSheetId="65">#REF!</definedName>
    <definedName name="_Ti2" localSheetId="64">#REF!</definedName>
    <definedName name="_Ti2" localSheetId="77">#REF!</definedName>
    <definedName name="_Ti2" localSheetId="49">#REF!</definedName>
    <definedName name="_Ti2" localSheetId="40">#REF!</definedName>
    <definedName name="_Ti2" localSheetId="43">#REF!</definedName>
    <definedName name="_Ti2" localSheetId="13">#REF!</definedName>
    <definedName name="_Ti2" localSheetId="38">#REF!</definedName>
    <definedName name="_Ti2">#REF!</definedName>
    <definedName name="_Voc2" localSheetId="3">#REF!</definedName>
    <definedName name="_Voc2" localSheetId="7">#REF!</definedName>
    <definedName name="_Voc2" localSheetId="9">#REF!</definedName>
    <definedName name="_Voc2" localSheetId="10">#REF!</definedName>
    <definedName name="_Voc2" localSheetId="15">#REF!</definedName>
    <definedName name="_Voc2" localSheetId="19">#REF!</definedName>
    <definedName name="_Voc2" localSheetId="20">#REF!</definedName>
    <definedName name="_Voc2" localSheetId="24">#REF!</definedName>
    <definedName name="_Voc2" localSheetId="104">#REF!</definedName>
    <definedName name="_Voc2" localSheetId="65">#REF!</definedName>
    <definedName name="_Voc2" localSheetId="64">#REF!</definedName>
    <definedName name="_Voc2" localSheetId="77">#REF!</definedName>
    <definedName name="_Voc2" localSheetId="49">#REF!</definedName>
    <definedName name="_Voc2" localSheetId="40">#REF!</definedName>
    <definedName name="_Voc2" localSheetId="43">#REF!</definedName>
    <definedName name="_Voc2" localSheetId="13">#REF!</definedName>
    <definedName name="_Voc2" localSheetId="38">#REF!</definedName>
    <definedName name="_Voc2">#REF!</definedName>
    <definedName name="a" localSheetId="3">#REF!</definedName>
    <definedName name="a" localSheetId="7">#REF!</definedName>
    <definedName name="a" localSheetId="9">#REF!</definedName>
    <definedName name="a" localSheetId="10">#REF!</definedName>
    <definedName name="a" localSheetId="15">#REF!</definedName>
    <definedName name="a" localSheetId="19">#REF!</definedName>
    <definedName name="a" localSheetId="20">#REF!</definedName>
    <definedName name="a" localSheetId="24">#REF!</definedName>
    <definedName name="a" localSheetId="104">#REF!</definedName>
    <definedName name="a" localSheetId="65">#REF!</definedName>
    <definedName name="a" localSheetId="64">#REF!</definedName>
    <definedName name="a" localSheetId="77">#REF!</definedName>
    <definedName name="a" localSheetId="49">#REF!</definedName>
    <definedName name="a" localSheetId="48">#REF!</definedName>
    <definedName name="a" localSheetId="40">#REF!</definedName>
    <definedName name="a" localSheetId="43">#REF!</definedName>
    <definedName name="a" localSheetId="13">#REF!</definedName>
    <definedName name="a" localSheetId="38">#REF!</definedName>
    <definedName name="a">#REF!</definedName>
    <definedName name="A_12" localSheetId="3">'[4]Process Tanks'!#REF!</definedName>
    <definedName name="A_12" localSheetId="7">'[4]Process Tanks'!#REF!</definedName>
    <definedName name="A_12" localSheetId="9">'[4]Process Tanks'!#REF!</definedName>
    <definedName name="A_12" localSheetId="10">'[4]Process Tanks'!#REF!</definedName>
    <definedName name="A_12" localSheetId="15">'[4]Process Tanks'!#REF!</definedName>
    <definedName name="A_12" localSheetId="19">'[4]Process Tanks'!#REF!</definedName>
    <definedName name="A_12" localSheetId="20">'[4]Process Tanks'!#REF!</definedName>
    <definedName name="A_12" localSheetId="24">'[4]Process Tanks'!#REF!</definedName>
    <definedName name="A_12" localSheetId="104">'[4]Process Tanks'!#REF!</definedName>
    <definedName name="A_12" localSheetId="75">'[4]Process Tanks'!#REF!</definedName>
    <definedName name="A_12" localSheetId="65">'[4]Process Tanks'!#REF!</definedName>
    <definedName name="A_12" localSheetId="64">'[4]Process Tanks'!#REF!</definedName>
    <definedName name="A_12" localSheetId="77">'[4]Process Tanks'!#REF!</definedName>
    <definedName name="A_12" localSheetId="49">'[4]Process Tanks'!#REF!</definedName>
    <definedName name="A_12" localSheetId="48">'[4]Process Tanks'!#REF!</definedName>
    <definedName name="A_12" localSheetId="40">'[4]Process Tanks'!#REF!</definedName>
    <definedName name="A_12" localSheetId="43">'[4]Process Tanks'!#REF!</definedName>
    <definedName name="A_12" localSheetId="13">'[4]Process Tanks'!#REF!</definedName>
    <definedName name="A_12" localSheetId="38">'[4]Process Tanks'!#REF!</definedName>
    <definedName name="A_12">'[4]Process Tanks'!#REF!</definedName>
    <definedName name="A_21" localSheetId="3">'[4]Process Tanks'!#REF!</definedName>
    <definedName name="A_21" localSheetId="7">'[4]Process Tanks'!#REF!</definedName>
    <definedName name="A_21" localSheetId="9">'[4]Process Tanks'!#REF!</definedName>
    <definedName name="A_21" localSheetId="10">'[4]Process Tanks'!#REF!</definedName>
    <definedName name="A_21" localSheetId="15">'[4]Process Tanks'!#REF!</definedName>
    <definedName name="A_21" localSheetId="19">'[4]Process Tanks'!#REF!</definedName>
    <definedName name="A_21" localSheetId="20">'[4]Process Tanks'!#REF!</definedName>
    <definedName name="A_21" localSheetId="24">'[4]Process Tanks'!#REF!</definedName>
    <definedName name="A_21" localSheetId="104">'[4]Process Tanks'!#REF!</definedName>
    <definedName name="A_21" localSheetId="75">'[4]Process Tanks'!#REF!</definedName>
    <definedName name="A_21" localSheetId="65">'[4]Process Tanks'!#REF!</definedName>
    <definedName name="A_21" localSheetId="64">'[4]Process Tanks'!#REF!</definedName>
    <definedName name="A_21" localSheetId="77">'[4]Process Tanks'!#REF!</definedName>
    <definedName name="A_21" localSheetId="49">'[4]Process Tanks'!#REF!</definedName>
    <definedName name="A_21" localSheetId="48">'[4]Process Tanks'!#REF!</definedName>
    <definedName name="A_21" localSheetId="40">'[4]Process Tanks'!#REF!</definedName>
    <definedName name="A_21" localSheetId="43">'[4]Process Tanks'!#REF!</definedName>
    <definedName name="A_21" localSheetId="13">'[4]Process Tanks'!#REF!</definedName>
    <definedName name="A_21" localSheetId="38">'[4]Process Tanks'!#REF!</definedName>
    <definedName name="A_21">'[4]Process Tanks'!#REF!</definedName>
    <definedName name="a_factors" localSheetId="3">#REF!</definedName>
    <definedName name="a_factors" localSheetId="7">#REF!</definedName>
    <definedName name="a_factors" localSheetId="9">#REF!</definedName>
    <definedName name="a_factors" localSheetId="10">#REF!</definedName>
    <definedName name="a_factors" localSheetId="15">#REF!</definedName>
    <definedName name="a_factors" localSheetId="19">#REF!</definedName>
    <definedName name="a_factors" localSheetId="20">#REF!</definedName>
    <definedName name="a_factors" localSheetId="24">#REF!</definedName>
    <definedName name="a_factors" localSheetId="104">#REF!</definedName>
    <definedName name="a_factors" localSheetId="65">#REF!</definedName>
    <definedName name="a_factors" localSheetId="64">#REF!</definedName>
    <definedName name="a_factors" localSheetId="77">#REF!</definedName>
    <definedName name="a_factors" localSheetId="49">#REF!</definedName>
    <definedName name="a_factors" localSheetId="40">#REF!</definedName>
    <definedName name="a_factors" localSheetId="43">#REF!</definedName>
    <definedName name="a_factors" localSheetId="13">#REF!</definedName>
    <definedName name="a_factors" localSheetId="38">#REF!</definedName>
    <definedName name="a_factors">#REF!</definedName>
    <definedName name="A16BLA3Ar" localSheetId="5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5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7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7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6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6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6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9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5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6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8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7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7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_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a" localSheetId="3">#REF!</definedName>
    <definedName name="aa" localSheetId="7">#REF!</definedName>
    <definedName name="aa" localSheetId="9">#REF!</definedName>
    <definedName name="aa" localSheetId="10">#REF!</definedName>
    <definedName name="aa" localSheetId="15">#REF!</definedName>
    <definedName name="aa" localSheetId="19">#REF!</definedName>
    <definedName name="aa" localSheetId="20">#REF!</definedName>
    <definedName name="aa" localSheetId="24">#REF!</definedName>
    <definedName name="aa" localSheetId="104">#REF!</definedName>
    <definedName name="aa" localSheetId="65">#REF!</definedName>
    <definedName name="aa" localSheetId="64">#REF!</definedName>
    <definedName name="aa" localSheetId="77">#REF!</definedName>
    <definedName name="aa" localSheetId="49">#REF!</definedName>
    <definedName name="aa" localSheetId="40">#REF!</definedName>
    <definedName name="aa" localSheetId="43">#REF!</definedName>
    <definedName name="aa" localSheetId="13">#REF!</definedName>
    <definedName name="aa" localSheetId="38">#REF!</definedName>
    <definedName name="aa">#REF!</definedName>
    <definedName name="aaaa" localSheetId="105" hidden="1">{#N/A,#N/A,FALSE,"Annual Summary";#N/A,#N/A,FALSE,"Hourly Summary";#N/A,#N/A,FALSE,"Flare Combustion";#N/A,#N/A,FALSE,"Shipping";#N/A,#N/A,FALSE,"Process Turnaround";#N/A,#N/A,FALSE,"Lab Samples";#N/A,#N/A,FALSE,"Product Cycles 5-4";#N/A,#N/A,FALSE,"5-4.1";#N/A,#N/A,FALSE,"5-4.2";#N/A,#N/A,FALSE,"Physical Prop Data"}</definedName>
    <definedName name="aaaa" localSheetId="96" hidden="1">{#N/A,#N/A,FALSE,"Annual Summary";#N/A,#N/A,FALSE,"Hourly Summary";#N/A,#N/A,FALSE,"Flare Combustion";#N/A,#N/A,FALSE,"Shipping";#N/A,#N/A,FALSE,"Process Turnaround";#N/A,#N/A,FALSE,"Lab Samples";#N/A,#N/A,FALSE,"Product Cycles 5-4";#N/A,#N/A,FALSE,"5-4.1";#N/A,#N/A,FALSE,"5-4.2";#N/A,#N/A,FALSE,"Physical Prop Data"}</definedName>
    <definedName name="aaaa" localSheetId="44" hidden="1">{#N/A,#N/A,FALSE,"Annual Summary";#N/A,#N/A,FALSE,"Hourly Summary";#N/A,#N/A,FALSE,"Flare Combustion";#N/A,#N/A,FALSE,"Shipping";#N/A,#N/A,FALSE,"Process Turnaround";#N/A,#N/A,FALSE,"Lab Samples";#N/A,#N/A,FALSE,"Product Cycles 5-4";#N/A,#N/A,FALSE,"5-4.1";#N/A,#N/A,FALSE,"5-4.2";#N/A,#N/A,FALSE,"Physical Prop Data"}</definedName>
    <definedName name="aaaa" hidden="1">{#N/A,#N/A,FALSE,"Annual Summary";#N/A,#N/A,FALSE,"Hourly Summary";#N/A,#N/A,FALSE,"Flare Combustion";#N/A,#N/A,FALSE,"Shipping";#N/A,#N/A,FALSE,"Process Turnaround";#N/A,#N/A,FALSE,"Lab Samples";#N/A,#N/A,FALSE,"Product Cycles 5-4";#N/A,#N/A,FALSE,"5-4.1";#N/A,#N/A,FALSE,"5-4.2";#N/A,#N/A,FALSE,"Physical Prop Data"}</definedName>
    <definedName name="aabbcc" localSheetId="105" hidden="1">{#N/A,#N/A,FALSE,"Annual Summary";#N/A,#N/A,FALSE,"Hourly Summary";#N/A,#N/A,FALSE,"Flare Combustion";#N/A,#N/A,FALSE,"Shipping";#N/A,#N/A,FALSE,"Process Turnaround";#N/A,#N/A,FALSE,"Lab Samples";#N/A,#N/A,FALSE,"Product Cycles 5-4";#N/A,#N/A,FALSE,"5-4.1";#N/A,#N/A,FALSE,"5-4.2";#N/A,#N/A,FALSE,"Physical Prop Data"}</definedName>
    <definedName name="aabbcc" localSheetId="96" hidden="1">{#N/A,#N/A,FALSE,"Annual Summary";#N/A,#N/A,FALSE,"Hourly Summary";#N/A,#N/A,FALSE,"Flare Combustion";#N/A,#N/A,FALSE,"Shipping";#N/A,#N/A,FALSE,"Process Turnaround";#N/A,#N/A,FALSE,"Lab Samples";#N/A,#N/A,FALSE,"Product Cycles 5-4";#N/A,#N/A,FALSE,"5-4.1";#N/A,#N/A,FALSE,"5-4.2";#N/A,#N/A,FALSE,"Physical Prop Data"}</definedName>
    <definedName name="aabbcc" localSheetId="44" hidden="1">{#N/A,#N/A,FALSE,"Annual Summary";#N/A,#N/A,FALSE,"Hourly Summary";#N/A,#N/A,FALSE,"Flare Combustion";#N/A,#N/A,FALSE,"Shipping";#N/A,#N/A,FALSE,"Process Turnaround";#N/A,#N/A,FALSE,"Lab Samples";#N/A,#N/A,FALSE,"Product Cycles 5-4";#N/A,#N/A,FALSE,"5-4.1";#N/A,#N/A,FALSE,"5-4.2";#N/A,#N/A,FALSE,"Physical Prop Data"}</definedName>
    <definedName name="aabbcc" hidden="1">{#N/A,#N/A,FALSE,"Annual Summary";#N/A,#N/A,FALSE,"Hourly Summary";#N/A,#N/A,FALSE,"Flare Combustion";#N/A,#N/A,FALSE,"Shipping";#N/A,#N/A,FALSE,"Process Turnaround";#N/A,#N/A,FALSE,"Lab Samples";#N/A,#N/A,FALSE,"Product Cycles 5-4";#N/A,#N/A,FALSE,"5-4.1";#N/A,#N/A,FALSE,"5-4.2";#N/A,#N/A,FALSE,"Physical Prop Data"}</definedName>
    <definedName name="AAFILTER" localSheetId="3">#REF!</definedName>
    <definedName name="AAFILTER" localSheetId="7">#REF!</definedName>
    <definedName name="AAFILTER" localSheetId="9">#REF!</definedName>
    <definedName name="AAFILTER" localSheetId="10">#REF!</definedName>
    <definedName name="AAFILTER" localSheetId="15">#REF!</definedName>
    <definedName name="AAFILTER" localSheetId="19">#REF!</definedName>
    <definedName name="AAFILTER" localSheetId="20">#REF!</definedName>
    <definedName name="AAFILTER" localSheetId="24">#REF!</definedName>
    <definedName name="AAFILTER" localSheetId="104">#REF!</definedName>
    <definedName name="AAFILTER" localSheetId="65">#REF!</definedName>
    <definedName name="AAFILTER" localSheetId="64">#REF!</definedName>
    <definedName name="AAFILTER" localSheetId="77">#REF!</definedName>
    <definedName name="AAFILTER" localSheetId="49">#REF!</definedName>
    <definedName name="AAFILTER" localSheetId="40">#REF!</definedName>
    <definedName name="AAFILTER" localSheetId="43">#REF!</definedName>
    <definedName name="AAFILTER" localSheetId="13">#REF!</definedName>
    <definedName name="AAFILTER" localSheetId="38">#REF!</definedName>
    <definedName name="AAFILTER">#REF!</definedName>
    <definedName name="aappii" localSheetId="105" hidden="1">{#N/A,#N/A,FALSE,"Annual Summary";#N/A,#N/A,FALSE,"Hourly Summary";#N/A,#N/A,FALSE,"Flare Combustion";#N/A,#N/A,FALSE,"Shipping";#N/A,#N/A,FALSE,"Process Turnaround";#N/A,#N/A,FALSE,"Lab Samples";#N/A,#N/A,FALSE,"Product Cycles 5-4";#N/A,#N/A,FALSE,"5-4.1";#N/A,#N/A,FALSE,"5-4.2";#N/A,#N/A,FALSE,"Physical Prop Data"}</definedName>
    <definedName name="aappii" localSheetId="96" hidden="1">{#N/A,#N/A,FALSE,"Annual Summary";#N/A,#N/A,FALSE,"Hourly Summary";#N/A,#N/A,FALSE,"Flare Combustion";#N/A,#N/A,FALSE,"Shipping";#N/A,#N/A,FALSE,"Process Turnaround";#N/A,#N/A,FALSE,"Lab Samples";#N/A,#N/A,FALSE,"Product Cycles 5-4";#N/A,#N/A,FALSE,"5-4.1";#N/A,#N/A,FALSE,"5-4.2";#N/A,#N/A,FALSE,"Physical Prop Data"}</definedName>
    <definedName name="aappii" localSheetId="44" hidden="1">{#N/A,#N/A,FALSE,"Annual Summary";#N/A,#N/A,FALSE,"Hourly Summary";#N/A,#N/A,FALSE,"Flare Combustion";#N/A,#N/A,FALSE,"Shipping";#N/A,#N/A,FALSE,"Process Turnaround";#N/A,#N/A,FALSE,"Lab Samples";#N/A,#N/A,FALSE,"Product Cycles 5-4";#N/A,#N/A,FALSE,"5-4.1";#N/A,#N/A,FALSE,"5-4.2";#N/A,#N/A,FALSE,"Physical Prop Data"}</definedName>
    <definedName name="aappii" hidden="1">{#N/A,#N/A,FALSE,"Annual Summary";#N/A,#N/A,FALSE,"Hourly Summary";#N/A,#N/A,FALSE,"Flare Combustion";#N/A,#N/A,FALSE,"Shipping";#N/A,#N/A,FALSE,"Process Turnaround";#N/A,#N/A,FALSE,"Lab Samples";#N/A,#N/A,FALSE,"Product Cycles 5-4";#N/A,#N/A,FALSE,"5-4.1";#N/A,#N/A,FALSE,"5-4.2";#N/A,#N/A,FALSE,"Physical Prop Data"}</definedName>
    <definedName name="aareareafd" localSheetId="3">#REF!</definedName>
    <definedName name="aareareafd" localSheetId="7">#REF!</definedName>
    <definedName name="aareareafd" localSheetId="9">#REF!</definedName>
    <definedName name="aareareafd" localSheetId="10">#REF!</definedName>
    <definedName name="aareareafd" localSheetId="15">#REF!</definedName>
    <definedName name="aareareafd" localSheetId="19">#REF!</definedName>
    <definedName name="aareareafd" localSheetId="20">#REF!</definedName>
    <definedName name="aareareafd" localSheetId="24">#REF!</definedName>
    <definedName name="aareareafd" localSheetId="104">#REF!</definedName>
    <definedName name="aareareafd" localSheetId="65">#REF!</definedName>
    <definedName name="aareareafd" localSheetId="64">#REF!</definedName>
    <definedName name="aareareafd" localSheetId="77">#REF!</definedName>
    <definedName name="aareareafd" localSheetId="49">#REF!</definedName>
    <definedName name="aareareafd" localSheetId="40">#REF!</definedName>
    <definedName name="aareareafd" localSheetId="43">#REF!</definedName>
    <definedName name="aareareafd" localSheetId="13">#REF!</definedName>
    <definedName name="aareareafd" localSheetId="38">#REF!</definedName>
    <definedName name="aareareafd" localSheetId="97">#REF!</definedName>
    <definedName name="aareareafd">#REF!</definedName>
    <definedName name="Ab" localSheetId="3">#REF!</definedName>
    <definedName name="Ab" localSheetId="7">#REF!</definedName>
    <definedName name="Ab" localSheetId="9">#REF!</definedName>
    <definedName name="Ab" localSheetId="10">#REF!</definedName>
    <definedName name="Ab" localSheetId="15">#REF!</definedName>
    <definedName name="Ab" localSheetId="19">#REF!</definedName>
    <definedName name="Ab" localSheetId="20">#REF!</definedName>
    <definedName name="Ab" localSheetId="24">#REF!</definedName>
    <definedName name="Ab" localSheetId="104">#REF!</definedName>
    <definedName name="Ab" localSheetId="65">#REF!</definedName>
    <definedName name="Ab" localSheetId="64">#REF!</definedName>
    <definedName name="Ab" localSheetId="77">#REF!</definedName>
    <definedName name="Ab" localSheetId="49">#REF!</definedName>
    <definedName name="Ab" localSheetId="40">#REF!</definedName>
    <definedName name="Ab" localSheetId="43">#REF!</definedName>
    <definedName name="Ab" localSheetId="13">#REF!</definedName>
    <definedName name="Ab" localSheetId="38">#REF!</definedName>
    <definedName name="Ab">#REF!</definedName>
    <definedName name="abc" localSheetId="105" hidden="1">{#N/A,#N/A,FALSE,"Annual Summary";#N/A,#N/A,FALSE,"Hourly Summary";#N/A,#N/A,FALSE,"Flare Combustion";#N/A,#N/A,FALSE,"Shipping";#N/A,#N/A,FALSE,"Process Turnaround";#N/A,#N/A,FALSE,"Lab Samples";#N/A,#N/A,FALSE,"Product Cycles 5-4";#N/A,#N/A,FALSE,"5-4.1";#N/A,#N/A,FALSE,"5-4.2";#N/A,#N/A,FALSE,"Physical Prop Data"}</definedName>
    <definedName name="abc" localSheetId="96" hidden="1">{#N/A,#N/A,FALSE,"Annual Summary";#N/A,#N/A,FALSE,"Hourly Summary";#N/A,#N/A,FALSE,"Flare Combustion";#N/A,#N/A,FALSE,"Shipping";#N/A,#N/A,FALSE,"Process Turnaround";#N/A,#N/A,FALSE,"Lab Samples";#N/A,#N/A,FALSE,"Product Cycles 5-4";#N/A,#N/A,FALSE,"5-4.1";#N/A,#N/A,FALSE,"5-4.2";#N/A,#N/A,FALSE,"Physical Prop Data"}</definedName>
    <definedName name="abc" localSheetId="44" hidden="1">{#N/A,#N/A,FALSE,"Annual Summary";#N/A,#N/A,FALSE,"Hourly Summary";#N/A,#N/A,FALSE,"Flare Combustion";#N/A,#N/A,FALSE,"Shipping";#N/A,#N/A,FALSE,"Process Turnaround";#N/A,#N/A,FALSE,"Lab Samples";#N/A,#N/A,FALSE,"Product Cycles 5-4";#N/A,#N/A,FALSE,"5-4.1";#N/A,#N/A,FALSE,"5-4.2";#N/A,#N/A,FALSE,"Physical Prop Data"}</definedName>
    <definedName name="abc" hidden="1">{#N/A,#N/A,FALSE,"Annual Summary";#N/A,#N/A,FALSE,"Hourly Summary";#N/A,#N/A,FALSE,"Flare Combustion";#N/A,#N/A,FALSE,"Shipping";#N/A,#N/A,FALSE,"Process Turnaround";#N/A,#N/A,FALSE,"Lab Samples";#N/A,#N/A,FALSE,"Product Cycles 5-4";#N/A,#N/A,FALSE,"5-4.1";#N/A,#N/A,FALSE,"5-4.2";#N/A,#N/A,FALSE,"Physical Prop Data"}</definedName>
    <definedName name="Ac" localSheetId="3">#REF!</definedName>
    <definedName name="Ac" localSheetId="7">#REF!</definedName>
    <definedName name="Ac" localSheetId="9">#REF!</definedName>
    <definedName name="Ac" localSheetId="10">#REF!</definedName>
    <definedName name="Ac" localSheetId="15">#REF!</definedName>
    <definedName name="Ac" localSheetId="19">#REF!</definedName>
    <definedName name="Ac" localSheetId="20">#REF!</definedName>
    <definedName name="Ac" localSheetId="24">#REF!</definedName>
    <definedName name="Ac" localSheetId="104">#REF!</definedName>
    <definedName name="Ac" localSheetId="65">#REF!</definedName>
    <definedName name="Ac" localSheetId="64">#REF!</definedName>
    <definedName name="Ac" localSheetId="77">#REF!</definedName>
    <definedName name="Ac" localSheetId="49">#REF!</definedName>
    <definedName name="Ac" localSheetId="40">#REF!</definedName>
    <definedName name="Ac" localSheetId="43">#REF!</definedName>
    <definedName name="Ac" localSheetId="13">#REF!</definedName>
    <definedName name="Ac" localSheetId="38">#REF!</definedName>
    <definedName name="Ac">#REF!</definedName>
    <definedName name="Access" localSheetId="3">#REF!</definedName>
    <definedName name="Access" localSheetId="7">#REF!</definedName>
    <definedName name="Access" localSheetId="9">#REF!</definedName>
    <definedName name="Access" localSheetId="10">#REF!</definedName>
    <definedName name="Access" localSheetId="15">#REF!</definedName>
    <definedName name="Access" localSheetId="19">#REF!</definedName>
    <definedName name="Access" localSheetId="20">#REF!</definedName>
    <definedName name="Access" localSheetId="24">#REF!</definedName>
    <definedName name="Access" localSheetId="104">#REF!</definedName>
    <definedName name="Access" localSheetId="65">#REF!</definedName>
    <definedName name="Access" localSheetId="64">#REF!</definedName>
    <definedName name="Access" localSheetId="77">#REF!</definedName>
    <definedName name="Access" localSheetId="49">#REF!</definedName>
    <definedName name="Access" localSheetId="40">#REF!</definedName>
    <definedName name="Access" localSheetId="43">#REF!</definedName>
    <definedName name="Access" localSheetId="13">#REF!</definedName>
    <definedName name="Access" localSheetId="38">#REF!</definedName>
    <definedName name="Access">#REF!</definedName>
    <definedName name="ACCOUNT">#N/A</definedName>
    <definedName name="Accurate" localSheetId="3">#REF!</definedName>
    <definedName name="Accurate" localSheetId="7">#REF!</definedName>
    <definedName name="Accurate" localSheetId="9">#REF!</definedName>
    <definedName name="Accurate" localSheetId="10">#REF!</definedName>
    <definedName name="Accurate" localSheetId="15">#REF!</definedName>
    <definedName name="Accurate" localSheetId="19">#REF!</definedName>
    <definedName name="Accurate" localSheetId="20">#REF!</definedName>
    <definedName name="Accurate" localSheetId="24">#REF!</definedName>
    <definedName name="Accurate" localSheetId="104">#REF!</definedName>
    <definedName name="Accurate" localSheetId="65">#REF!</definedName>
    <definedName name="Accurate" localSheetId="64">#REF!</definedName>
    <definedName name="Accurate" localSheetId="77">#REF!</definedName>
    <definedName name="Accurate" localSheetId="49">#REF!</definedName>
    <definedName name="Accurate" localSheetId="40">#REF!</definedName>
    <definedName name="Accurate" localSheetId="43">#REF!</definedName>
    <definedName name="Accurate" localSheetId="13">#REF!</definedName>
    <definedName name="Accurate" localSheetId="38">#REF!</definedName>
    <definedName name="Accurate">#REF!</definedName>
    <definedName name="Acetic" localSheetId="3">#REF!</definedName>
    <definedName name="Acetic" localSheetId="7">#REF!</definedName>
    <definedName name="Acetic" localSheetId="9">#REF!</definedName>
    <definedName name="Acetic" localSheetId="10">#REF!</definedName>
    <definedName name="Acetic" localSheetId="15">#REF!</definedName>
    <definedName name="Acetic" localSheetId="19">#REF!</definedName>
    <definedName name="Acetic" localSheetId="20">#REF!</definedName>
    <definedName name="Acetic" localSheetId="24">#REF!</definedName>
    <definedName name="Acetic" localSheetId="104">#REF!</definedName>
    <definedName name="Acetic" localSheetId="65">#REF!</definedName>
    <definedName name="Acetic" localSheetId="64">#REF!</definedName>
    <definedName name="Acetic" localSheetId="77">#REF!</definedName>
    <definedName name="Acetic" localSheetId="49">#REF!</definedName>
    <definedName name="Acetic" localSheetId="40">#REF!</definedName>
    <definedName name="Acetic" localSheetId="43">#REF!</definedName>
    <definedName name="Acetic" localSheetId="13">#REF!</definedName>
    <definedName name="Acetic" localSheetId="38">#REF!</definedName>
    <definedName name="Acetic">#REF!</definedName>
    <definedName name="acre_sqft" localSheetId="3">#REF!</definedName>
    <definedName name="acre_sqft" localSheetId="7">#REF!</definedName>
    <definedName name="acre_sqft" localSheetId="9">#REF!</definedName>
    <definedName name="acre_sqft" localSheetId="10">#REF!</definedName>
    <definedName name="acre_sqft" localSheetId="15">#REF!</definedName>
    <definedName name="acre_sqft" localSheetId="19">#REF!</definedName>
    <definedName name="acre_sqft" localSheetId="20">#REF!</definedName>
    <definedName name="acre_sqft" localSheetId="24">#REF!</definedName>
    <definedName name="acre_sqft" localSheetId="104">#REF!</definedName>
    <definedName name="acre_sqft" localSheetId="65">#REF!</definedName>
    <definedName name="acre_sqft" localSheetId="64">#REF!</definedName>
    <definedName name="acre_sqft" localSheetId="77">#REF!</definedName>
    <definedName name="acre_sqft" localSheetId="49">#REF!</definedName>
    <definedName name="acre_sqft" localSheetId="40">#REF!</definedName>
    <definedName name="acre_sqft" localSheetId="43">#REF!</definedName>
    <definedName name="acre_sqft" localSheetId="13">#REF!</definedName>
    <definedName name="acre_sqft" localSheetId="38">#REF!</definedName>
    <definedName name="acre_sqft">#REF!</definedName>
    <definedName name="ACT_FUEL_USE" localSheetId="3">#REF!</definedName>
    <definedName name="ACT_FUEL_USE" localSheetId="7">#REF!</definedName>
    <definedName name="ACT_FUEL_USE" localSheetId="9">#REF!</definedName>
    <definedName name="ACT_FUEL_USE" localSheetId="10">#REF!</definedName>
    <definedName name="ACT_FUEL_USE" localSheetId="15">#REF!</definedName>
    <definedName name="ACT_FUEL_USE" localSheetId="19">#REF!</definedName>
    <definedName name="ACT_FUEL_USE" localSheetId="20">#REF!</definedName>
    <definedName name="ACT_FUEL_USE" localSheetId="24">#REF!</definedName>
    <definedName name="ACT_FUEL_USE" localSheetId="104">#REF!</definedName>
    <definedName name="ACT_FUEL_USE" localSheetId="65">#REF!</definedName>
    <definedName name="ACT_FUEL_USE" localSheetId="64">#REF!</definedName>
    <definedName name="ACT_FUEL_USE" localSheetId="77">#REF!</definedName>
    <definedName name="ACT_FUEL_USE" localSheetId="49">#REF!</definedName>
    <definedName name="ACT_FUEL_USE" localSheetId="40">#REF!</definedName>
    <definedName name="ACT_FUEL_USE" localSheetId="43">#REF!</definedName>
    <definedName name="ACT_FUEL_USE" localSheetId="13">#REF!</definedName>
    <definedName name="ACT_FUEL_USE" localSheetId="38">#REF!</definedName>
    <definedName name="ACT_FUEL_USE">#REF!</definedName>
    <definedName name="ad" localSheetId="105" hidden="1">{#N/A,#N/A,FALSE,"Annual Summary";#N/A,#N/A,FALSE,"Hourly Summary";#N/A,#N/A,FALSE,"Flare Combustion";#N/A,#N/A,FALSE,"Shipping";#N/A,#N/A,FALSE,"Process Turnaround";#N/A,#N/A,FALSE,"Lab Samples";#N/A,#N/A,FALSE,"Product Cycles 5-4";#N/A,#N/A,FALSE,"5-4.1";#N/A,#N/A,FALSE,"5-4.2";#N/A,#N/A,FALSE,"Physical Prop Data"}</definedName>
    <definedName name="ad" localSheetId="96" hidden="1">{#N/A,#N/A,FALSE,"Annual Summary";#N/A,#N/A,FALSE,"Hourly Summary";#N/A,#N/A,FALSE,"Flare Combustion";#N/A,#N/A,FALSE,"Shipping";#N/A,#N/A,FALSE,"Process Turnaround";#N/A,#N/A,FALSE,"Lab Samples";#N/A,#N/A,FALSE,"Product Cycles 5-4";#N/A,#N/A,FALSE,"5-4.1";#N/A,#N/A,FALSE,"5-4.2";#N/A,#N/A,FALSE,"Physical Prop Data"}</definedName>
    <definedName name="ad" localSheetId="44" hidden="1">{#N/A,#N/A,FALSE,"Annual Summary";#N/A,#N/A,FALSE,"Hourly Summary";#N/A,#N/A,FALSE,"Flare Combustion";#N/A,#N/A,FALSE,"Shipping";#N/A,#N/A,FALSE,"Process Turnaround";#N/A,#N/A,FALSE,"Lab Samples";#N/A,#N/A,FALSE,"Product Cycles 5-4";#N/A,#N/A,FALSE,"5-4.1";#N/A,#N/A,FALSE,"5-4.2";#N/A,#N/A,FALSE,"Physical Prop Data"}</definedName>
    <definedName name="ad" hidden="1">{#N/A,#N/A,FALSE,"Annual Summary";#N/A,#N/A,FALSE,"Hourly Summary";#N/A,#N/A,FALSE,"Flare Combustion";#N/A,#N/A,FALSE,"Shipping";#N/A,#N/A,FALSE,"Process Turnaround";#N/A,#N/A,FALSE,"Lab Samples";#N/A,#N/A,FALSE,"Product Cycles 5-4";#N/A,#N/A,FALSE,"5-4.1";#N/A,#N/A,FALSE,"5-4.2";#N/A,#N/A,FALSE,"Physical Prop Data"}</definedName>
    <definedName name="adaw">#N/A</definedName>
    <definedName name="add" localSheetId="3">#REF!</definedName>
    <definedName name="add" localSheetId="7">#REF!</definedName>
    <definedName name="add" localSheetId="9">#REF!</definedName>
    <definedName name="add" localSheetId="10">#REF!</definedName>
    <definedName name="add" localSheetId="15">#REF!</definedName>
    <definedName name="add" localSheetId="19">#REF!</definedName>
    <definedName name="add" localSheetId="20">#REF!</definedName>
    <definedName name="add" localSheetId="24">#REF!</definedName>
    <definedName name="add" localSheetId="104">#REF!</definedName>
    <definedName name="add" localSheetId="65">#REF!</definedName>
    <definedName name="add" localSheetId="64">#REF!</definedName>
    <definedName name="add" localSheetId="77">#REF!</definedName>
    <definedName name="add" localSheetId="49">#REF!</definedName>
    <definedName name="add" localSheetId="48">#REF!</definedName>
    <definedName name="add" localSheetId="40">#REF!</definedName>
    <definedName name="add" localSheetId="43">#REF!</definedName>
    <definedName name="add" localSheetId="13">#REF!</definedName>
    <definedName name="add" localSheetId="38">#REF!</definedName>
    <definedName name="add">#REF!</definedName>
    <definedName name="Additional1">"Edit Box 20"</definedName>
    <definedName name="Additional2">"Edit Box 22"</definedName>
    <definedName name="Additional3">"Edit Box 24"</definedName>
    <definedName name="Address" localSheetId="3">#REF!</definedName>
    <definedName name="Address" localSheetId="7">#REF!</definedName>
    <definedName name="Address" localSheetId="9">#REF!</definedName>
    <definedName name="Address" localSheetId="10">#REF!</definedName>
    <definedName name="Address" localSheetId="15">#REF!</definedName>
    <definedName name="Address" localSheetId="19">#REF!</definedName>
    <definedName name="Address" localSheetId="20">#REF!</definedName>
    <definedName name="Address" localSheetId="24">#REF!</definedName>
    <definedName name="Address" localSheetId="104">#REF!</definedName>
    <definedName name="Address" localSheetId="65">#REF!</definedName>
    <definedName name="Address" localSheetId="64">#REF!</definedName>
    <definedName name="Address" localSheetId="77">#REF!</definedName>
    <definedName name="Address" localSheetId="49">#REF!</definedName>
    <definedName name="Address" localSheetId="48">#REF!</definedName>
    <definedName name="Address" localSheetId="40">#REF!</definedName>
    <definedName name="Address" localSheetId="43">#REF!</definedName>
    <definedName name="Address" localSheetId="13">#REF!</definedName>
    <definedName name="Address" localSheetId="38">#REF!</definedName>
    <definedName name="Address">#REF!</definedName>
    <definedName name="addy" localSheetId="3">#REF!</definedName>
    <definedName name="addy" localSheetId="7">#REF!</definedName>
    <definedName name="addy" localSheetId="9">#REF!</definedName>
    <definedName name="addy" localSheetId="10">#REF!</definedName>
    <definedName name="addy" localSheetId="15">#REF!</definedName>
    <definedName name="addy" localSheetId="19">#REF!</definedName>
    <definedName name="addy" localSheetId="20">#REF!</definedName>
    <definedName name="addy" localSheetId="24">#REF!</definedName>
    <definedName name="addy" localSheetId="104">#REF!</definedName>
    <definedName name="addy" localSheetId="65">#REF!</definedName>
    <definedName name="addy" localSheetId="64">#REF!</definedName>
    <definedName name="addy" localSheetId="77">#REF!</definedName>
    <definedName name="addy" localSheetId="49">#REF!</definedName>
    <definedName name="addy" localSheetId="48">#REF!</definedName>
    <definedName name="addy" localSheetId="40">#REF!</definedName>
    <definedName name="addy" localSheetId="43">#REF!</definedName>
    <definedName name="addy" localSheetId="13">#REF!</definedName>
    <definedName name="addy" localSheetId="38">#REF!</definedName>
    <definedName name="addy">#REF!</definedName>
    <definedName name="adfasdf" localSheetId="3">#REF!</definedName>
    <definedName name="adfasdf" localSheetId="7">#REF!</definedName>
    <definedName name="adfasdf" localSheetId="9">#REF!</definedName>
    <definedName name="adfasdf" localSheetId="10">#REF!</definedName>
    <definedName name="adfasdf" localSheetId="15">#REF!</definedName>
    <definedName name="adfasdf" localSheetId="19">#REF!</definedName>
    <definedName name="adfasdf" localSheetId="20">#REF!</definedName>
    <definedName name="adfasdf" localSheetId="24">#REF!</definedName>
    <definedName name="adfasdf" localSheetId="104">#REF!</definedName>
    <definedName name="adfasdf" localSheetId="65">#REF!</definedName>
    <definedName name="adfasdf" localSheetId="64">#REF!</definedName>
    <definedName name="adfasdf" localSheetId="77">#REF!</definedName>
    <definedName name="adfasdf" localSheetId="49">#REF!</definedName>
    <definedName name="adfasdf" localSheetId="48">#REF!</definedName>
    <definedName name="adfasdf" localSheetId="40">#REF!</definedName>
    <definedName name="adfasdf" localSheetId="43">#REF!</definedName>
    <definedName name="adfasdf" localSheetId="13">#REF!</definedName>
    <definedName name="adfasdf" localSheetId="38">#REF!</definedName>
    <definedName name="adfasdf">#REF!</definedName>
    <definedName name="agit1" localSheetId="3">#REF!</definedName>
    <definedName name="agit1" localSheetId="7">#REF!</definedName>
    <definedName name="agit1" localSheetId="9">#REF!</definedName>
    <definedName name="agit1" localSheetId="10">#REF!</definedName>
    <definedName name="agit1" localSheetId="15">#REF!</definedName>
    <definedName name="agit1" localSheetId="19">#REF!</definedName>
    <definedName name="agit1" localSheetId="20">#REF!</definedName>
    <definedName name="agit1" localSheetId="24">#REF!</definedName>
    <definedName name="agit1" localSheetId="104">#REF!</definedName>
    <definedName name="agit1" localSheetId="65">#REF!</definedName>
    <definedName name="agit1" localSheetId="64">#REF!</definedName>
    <definedName name="agit1" localSheetId="77">#REF!</definedName>
    <definedName name="agit1" localSheetId="49">#REF!</definedName>
    <definedName name="agit1" localSheetId="40">#REF!</definedName>
    <definedName name="agit1" localSheetId="43">#REF!</definedName>
    <definedName name="agit1" localSheetId="13">#REF!</definedName>
    <definedName name="agit1" localSheetId="38">#REF!</definedName>
    <definedName name="agit1">#REF!</definedName>
    <definedName name="agit2" localSheetId="3">#REF!</definedName>
    <definedName name="agit2" localSheetId="7">#REF!</definedName>
    <definedName name="agit2" localSheetId="9">#REF!</definedName>
    <definedName name="agit2" localSheetId="10">#REF!</definedName>
    <definedName name="agit2" localSheetId="15">#REF!</definedName>
    <definedName name="agit2" localSheetId="19">#REF!</definedName>
    <definedName name="agit2" localSheetId="20">#REF!</definedName>
    <definedName name="agit2" localSheetId="24">#REF!</definedName>
    <definedName name="agit2" localSheetId="104">#REF!</definedName>
    <definedName name="agit2" localSheetId="65">#REF!</definedName>
    <definedName name="agit2" localSheetId="64">#REF!</definedName>
    <definedName name="agit2" localSheetId="77">#REF!</definedName>
    <definedName name="agit2" localSheetId="49">#REF!</definedName>
    <definedName name="agit2" localSheetId="40">#REF!</definedName>
    <definedName name="agit2" localSheetId="43">#REF!</definedName>
    <definedName name="agit2" localSheetId="13">#REF!</definedName>
    <definedName name="agit2" localSheetId="38">#REF!</definedName>
    <definedName name="agit2">#REF!</definedName>
    <definedName name="agit3" localSheetId="3">#REF!</definedName>
    <definedName name="agit3" localSheetId="7">#REF!</definedName>
    <definedName name="agit3" localSheetId="9">#REF!</definedName>
    <definedName name="agit3" localSheetId="10">#REF!</definedName>
    <definedName name="agit3" localSheetId="15">#REF!</definedName>
    <definedName name="agit3" localSheetId="19">#REF!</definedName>
    <definedName name="agit3" localSheetId="20">#REF!</definedName>
    <definedName name="agit3" localSheetId="24">#REF!</definedName>
    <definedName name="agit3" localSheetId="104">#REF!</definedName>
    <definedName name="agit3" localSheetId="65">#REF!</definedName>
    <definedName name="agit3" localSheetId="64">#REF!</definedName>
    <definedName name="agit3" localSheetId="77">#REF!</definedName>
    <definedName name="agit3" localSheetId="49">#REF!</definedName>
    <definedName name="agit3" localSheetId="40">#REF!</definedName>
    <definedName name="agit3" localSheetId="43">#REF!</definedName>
    <definedName name="agit3" localSheetId="13">#REF!</definedName>
    <definedName name="agit3" localSheetId="38">#REF!</definedName>
    <definedName name="agit3">#REF!</definedName>
    <definedName name="agit4" localSheetId="3">#REF!</definedName>
    <definedName name="agit4" localSheetId="7">#REF!</definedName>
    <definedName name="agit4" localSheetId="9">#REF!</definedName>
    <definedName name="agit4" localSheetId="10">#REF!</definedName>
    <definedName name="agit4" localSheetId="15">#REF!</definedName>
    <definedName name="agit4" localSheetId="19">#REF!</definedName>
    <definedName name="agit4" localSheetId="20">#REF!</definedName>
    <definedName name="agit4" localSheetId="24">#REF!</definedName>
    <definedName name="agit4" localSheetId="104">#REF!</definedName>
    <definedName name="agit4" localSheetId="65">#REF!</definedName>
    <definedName name="agit4" localSheetId="64">#REF!</definedName>
    <definedName name="agit4" localSheetId="77">#REF!</definedName>
    <definedName name="agit4" localSheetId="49">#REF!</definedName>
    <definedName name="agit4" localSheetId="40">#REF!</definedName>
    <definedName name="agit4" localSheetId="43">#REF!</definedName>
    <definedName name="agit4" localSheetId="13">#REF!</definedName>
    <definedName name="agit4" localSheetId="38">#REF!</definedName>
    <definedName name="agit4">#REF!</definedName>
    <definedName name="agittot" localSheetId="3">#REF!</definedName>
    <definedName name="agittot" localSheetId="7">#REF!</definedName>
    <definedName name="agittot" localSheetId="9">#REF!</definedName>
    <definedName name="agittot" localSheetId="10">#REF!</definedName>
    <definedName name="agittot" localSheetId="15">#REF!</definedName>
    <definedName name="agittot" localSheetId="19">#REF!</definedName>
    <definedName name="agittot" localSheetId="20">#REF!</definedName>
    <definedName name="agittot" localSheetId="24">#REF!</definedName>
    <definedName name="agittot" localSheetId="104">#REF!</definedName>
    <definedName name="agittot" localSheetId="65">#REF!</definedName>
    <definedName name="agittot" localSheetId="64">#REF!</definedName>
    <definedName name="agittot" localSheetId="77">#REF!</definedName>
    <definedName name="agittot" localSheetId="49">#REF!</definedName>
    <definedName name="agittot" localSheetId="40">#REF!</definedName>
    <definedName name="agittot" localSheetId="43">#REF!</definedName>
    <definedName name="agittot" localSheetId="13">#REF!</definedName>
    <definedName name="agittot" localSheetId="38">#REF!</definedName>
    <definedName name="agittot">#REF!</definedName>
    <definedName name="AL.SULFONATE" localSheetId="105" hidden="1">{#N/A,#N/A,FALSE,"Annual Summary";#N/A,#N/A,FALSE,"Hourly Summary";#N/A,#N/A,FALSE,"Flare Combustion";#N/A,#N/A,FALSE,"Shipping";#N/A,#N/A,FALSE,"Process Turnaround";#N/A,#N/A,FALSE,"Lab Samples";#N/A,#N/A,FALSE,"Product Cycles 5-4";#N/A,#N/A,FALSE,"5-4.1";#N/A,#N/A,FALSE,"5-4.2";#N/A,#N/A,FALSE,"Physical Prop Data"}</definedName>
    <definedName name="AL.SULFONATE" localSheetId="96" hidden="1">{#N/A,#N/A,FALSE,"Annual Summary";#N/A,#N/A,FALSE,"Hourly Summary";#N/A,#N/A,FALSE,"Flare Combustion";#N/A,#N/A,FALSE,"Shipping";#N/A,#N/A,FALSE,"Process Turnaround";#N/A,#N/A,FALSE,"Lab Samples";#N/A,#N/A,FALSE,"Product Cycles 5-4";#N/A,#N/A,FALSE,"5-4.1";#N/A,#N/A,FALSE,"5-4.2";#N/A,#N/A,FALSE,"Physical Prop Data"}</definedName>
    <definedName name="AL.SULFONATE" localSheetId="44" hidden="1">{#N/A,#N/A,FALSE,"Annual Summary";#N/A,#N/A,FALSE,"Hourly Summary";#N/A,#N/A,FALSE,"Flare Combustion";#N/A,#N/A,FALSE,"Shipping";#N/A,#N/A,FALSE,"Process Turnaround";#N/A,#N/A,FALSE,"Lab Samples";#N/A,#N/A,FALSE,"Product Cycles 5-4";#N/A,#N/A,FALSE,"5-4.1";#N/A,#N/A,FALSE,"5-4.2";#N/A,#N/A,FALSE,"Physical Prop Data"}</definedName>
    <definedName name="AL.SULFONATE" hidden="1">{#N/A,#N/A,FALSE,"Annual Summary";#N/A,#N/A,FALSE,"Hourly Summary";#N/A,#N/A,FALSE,"Flare Combustion";#N/A,#N/A,FALSE,"Shipping";#N/A,#N/A,FALSE,"Process Turnaround";#N/A,#N/A,FALSE,"Lab Samples";#N/A,#N/A,FALSE,"Product Cycles 5-4";#N/A,#N/A,FALSE,"5-4.1";#N/A,#N/A,FALSE,"5-4.2";#N/A,#N/A,FALSE,"Physical Prop Data"}</definedName>
    <definedName name="all" localSheetId="3">#REF!</definedName>
    <definedName name="all" localSheetId="7">#REF!</definedName>
    <definedName name="all" localSheetId="9">#REF!</definedName>
    <definedName name="all" localSheetId="10">#REF!</definedName>
    <definedName name="all" localSheetId="15">#REF!</definedName>
    <definedName name="all" localSheetId="19">#REF!</definedName>
    <definedName name="all" localSheetId="20">#REF!</definedName>
    <definedName name="all" localSheetId="24">#REF!</definedName>
    <definedName name="all" localSheetId="104">#REF!</definedName>
    <definedName name="all" localSheetId="65">#REF!</definedName>
    <definedName name="all" localSheetId="64">#REF!</definedName>
    <definedName name="all" localSheetId="77">#REF!</definedName>
    <definedName name="all" localSheetId="49">#REF!</definedName>
    <definedName name="all" localSheetId="40">#REF!</definedName>
    <definedName name="all" localSheetId="43">#REF!</definedName>
    <definedName name="all" localSheetId="13">#REF!</definedName>
    <definedName name="all" localSheetId="38">#REF!</definedName>
    <definedName name="all">#REF!</definedName>
    <definedName name="All_PM10" localSheetId="3">#REF!</definedName>
    <definedName name="All_PM10" localSheetId="7">#REF!</definedName>
    <definedName name="All_PM10" localSheetId="9">#REF!</definedName>
    <definedName name="All_PM10" localSheetId="10">#REF!</definedName>
    <definedName name="All_PM10" localSheetId="15">#REF!</definedName>
    <definedName name="All_PM10" localSheetId="19">#REF!</definedName>
    <definedName name="All_PM10" localSheetId="20">#REF!</definedName>
    <definedName name="All_PM10" localSheetId="24">#REF!</definedName>
    <definedName name="All_PM10" localSheetId="104">#REF!</definedName>
    <definedName name="All_PM10" localSheetId="65">#REF!</definedName>
    <definedName name="All_PM10" localSheetId="64">#REF!</definedName>
    <definedName name="All_PM10" localSheetId="77">#REF!</definedName>
    <definedName name="All_PM10" localSheetId="49">#REF!</definedName>
    <definedName name="All_PM10" localSheetId="40">#REF!</definedName>
    <definedName name="All_PM10" localSheetId="43">#REF!</definedName>
    <definedName name="All_PM10" localSheetId="13">#REF!</definedName>
    <definedName name="All_PM10" localSheetId="38">#REF!</definedName>
    <definedName name="All_PM10">#REF!</definedName>
    <definedName name="All_PM10_and_TSPbl" localSheetId="3">#REF!</definedName>
    <definedName name="All_PM10_and_TSPbl" localSheetId="7">#REF!</definedName>
    <definedName name="All_PM10_and_TSPbl" localSheetId="9">#REF!</definedName>
    <definedName name="All_PM10_and_TSPbl" localSheetId="10">#REF!</definedName>
    <definedName name="All_PM10_and_TSPbl" localSheetId="15">#REF!</definedName>
    <definedName name="All_PM10_and_TSPbl" localSheetId="19">#REF!</definedName>
    <definedName name="All_PM10_and_TSPbl" localSheetId="20">#REF!</definedName>
    <definedName name="All_PM10_and_TSPbl" localSheetId="24">#REF!</definedName>
    <definedName name="All_PM10_and_TSPbl" localSheetId="104">#REF!</definedName>
    <definedName name="All_PM10_and_TSPbl" localSheetId="65">#REF!</definedName>
    <definedName name="All_PM10_and_TSPbl" localSheetId="64">#REF!</definedName>
    <definedName name="All_PM10_and_TSPbl" localSheetId="77">#REF!</definedName>
    <definedName name="All_PM10_and_TSPbl" localSheetId="49">#REF!</definedName>
    <definedName name="All_PM10_and_TSPbl" localSheetId="40">#REF!</definedName>
    <definedName name="All_PM10_and_TSPbl" localSheetId="43">#REF!</definedName>
    <definedName name="All_PM10_and_TSPbl" localSheetId="13">#REF!</definedName>
    <definedName name="All_PM10_and_TSPbl" localSheetId="38">#REF!</definedName>
    <definedName name="All_PM10_and_TSPbl">#REF!</definedName>
    <definedName name="alpha" localSheetId="3">#REF!</definedName>
    <definedName name="alpha" localSheetId="7">#REF!</definedName>
    <definedName name="alpha" localSheetId="9">#REF!</definedName>
    <definedName name="alpha" localSheetId="10">#REF!</definedName>
    <definedName name="alpha" localSheetId="15">#REF!</definedName>
    <definedName name="alpha" localSheetId="19">#REF!</definedName>
    <definedName name="alpha" localSheetId="20">#REF!</definedName>
    <definedName name="alpha" localSheetId="24">#REF!</definedName>
    <definedName name="alpha" localSheetId="104">#REF!</definedName>
    <definedName name="alpha" localSheetId="65">#REF!</definedName>
    <definedName name="alpha" localSheetId="64">#REF!</definedName>
    <definedName name="alpha" localSheetId="77">#REF!</definedName>
    <definedName name="alpha" localSheetId="49">#REF!</definedName>
    <definedName name="alpha" localSheetId="40">#REF!</definedName>
    <definedName name="alpha" localSheetId="43">#REF!</definedName>
    <definedName name="alpha" localSheetId="13">#REF!</definedName>
    <definedName name="alpha" localSheetId="38">#REF!</definedName>
    <definedName name="alpha">#REF!</definedName>
    <definedName name="amt" localSheetId="3">#REF!</definedName>
    <definedName name="amt" localSheetId="7">#REF!</definedName>
    <definedName name="amt" localSheetId="9">#REF!</definedName>
    <definedName name="amt" localSheetId="10">#REF!</definedName>
    <definedName name="amt" localSheetId="15">#REF!</definedName>
    <definedName name="amt" localSheetId="19">#REF!</definedName>
    <definedName name="amt" localSheetId="20">#REF!</definedName>
    <definedName name="amt" localSheetId="24">#REF!</definedName>
    <definedName name="amt" localSheetId="104">#REF!</definedName>
    <definedName name="amt" localSheetId="65">#REF!</definedName>
    <definedName name="amt" localSheetId="64">#REF!</definedName>
    <definedName name="amt" localSheetId="77">#REF!</definedName>
    <definedName name="amt" localSheetId="49">#REF!</definedName>
    <definedName name="amt" localSheetId="40">#REF!</definedName>
    <definedName name="amt" localSheetId="43">#REF!</definedName>
    <definedName name="amt" localSheetId="13">#REF!</definedName>
    <definedName name="amt" localSheetId="38">#REF!</definedName>
    <definedName name="amt">#REF!</definedName>
    <definedName name="AngleClock">'[5]Building Rotate'!$D$5</definedName>
    <definedName name="AngleCounter">'[5]Building Rotate'!$D$6</definedName>
    <definedName name="AnnEF" localSheetId="3">#REF!</definedName>
    <definedName name="AnnEF" localSheetId="7">#REF!</definedName>
    <definedName name="AnnEF" localSheetId="9">#REF!</definedName>
    <definedName name="AnnEF" localSheetId="10">#REF!</definedName>
    <definedName name="AnnEF" localSheetId="15">#REF!</definedName>
    <definedName name="AnnEF" localSheetId="19">#REF!</definedName>
    <definedName name="AnnEF" localSheetId="20">#REF!</definedName>
    <definedName name="AnnEF" localSheetId="24">#REF!</definedName>
    <definedName name="AnnEF" localSheetId="104">#REF!</definedName>
    <definedName name="AnnEF" localSheetId="65">#REF!</definedName>
    <definedName name="AnnEF" localSheetId="64">#REF!</definedName>
    <definedName name="AnnEF" localSheetId="77">#REF!</definedName>
    <definedName name="AnnEF" localSheetId="49">#REF!</definedName>
    <definedName name="AnnEF" localSheetId="40">#REF!</definedName>
    <definedName name="AnnEF" localSheetId="43">#REF!</definedName>
    <definedName name="AnnEF" localSheetId="13">#REF!</definedName>
    <definedName name="AnnEF" localSheetId="38">#REF!</definedName>
    <definedName name="AnnEF">#REF!</definedName>
    <definedName name="Annual_Acetylene_Usage" localSheetId="3">#REF!</definedName>
    <definedName name="Annual_Acetylene_Usage" localSheetId="7">#REF!</definedName>
    <definedName name="Annual_Acetylene_Usage" localSheetId="9">#REF!</definedName>
    <definedName name="Annual_Acetylene_Usage" localSheetId="10">#REF!</definedName>
    <definedName name="Annual_Acetylene_Usage" localSheetId="15">#REF!</definedName>
    <definedName name="Annual_Acetylene_Usage" localSheetId="19">#REF!</definedName>
    <definedName name="Annual_Acetylene_Usage" localSheetId="20">#REF!</definedName>
    <definedName name="Annual_Acetylene_Usage" localSheetId="24">#REF!</definedName>
    <definedName name="Annual_Acetylene_Usage" localSheetId="104">#REF!</definedName>
    <definedName name="Annual_Acetylene_Usage" localSheetId="65">#REF!</definedName>
    <definedName name="Annual_Acetylene_Usage" localSheetId="64">#REF!</definedName>
    <definedName name="Annual_Acetylene_Usage" localSheetId="77">#REF!</definedName>
    <definedName name="Annual_Acetylene_Usage" localSheetId="49">#REF!</definedName>
    <definedName name="Annual_Acetylene_Usage" localSheetId="40">#REF!</definedName>
    <definedName name="Annual_Acetylene_Usage" localSheetId="43">#REF!</definedName>
    <definedName name="Annual_Acetylene_Usage" localSheetId="13">#REF!</definedName>
    <definedName name="Annual_Acetylene_Usage" localSheetId="38">#REF!</definedName>
    <definedName name="Annual_Acetylene_Usage">#REF!</definedName>
    <definedName name="AnnualFlows" localSheetId="3">#REF!</definedName>
    <definedName name="AnnualFlows" localSheetId="7">#REF!</definedName>
    <definedName name="AnnualFlows" localSheetId="9">#REF!</definedName>
    <definedName name="AnnualFlows" localSheetId="10">#REF!</definedName>
    <definedName name="AnnualFlows" localSheetId="15">#REF!</definedName>
    <definedName name="AnnualFlows" localSheetId="19">#REF!</definedName>
    <definedName name="AnnualFlows" localSheetId="20">#REF!</definedName>
    <definedName name="AnnualFlows" localSheetId="24">#REF!</definedName>
    <definedName name="AnnualFlows" localSheetId="104">#REF!</definedName>
    <definedName name="AnnualFlows" localSheetId="65">#REF!</definedName>
    <definedName name="AnnualFlows" localSheetId="64">#REF!</definedName>
    <definedName name="AnnualFlows" localSheetId="77">#REF!</definedName>
    <definedName name="AnnualFlows" localSheetId="49">#REF!</definedName>
    <definedName name="AnnualFlows" localSheetId="40">#REF!</definedName>
    <definedName name="AnnualFlows" localSheetId="43">#REF!</definedName>
    <definedName name="AnnualFlows" localSheetId="13">#REF!</definedName>
    <definedName name="AnnualFlows" localSheetId="38">#REF!</definedName>
    <definedName name="AnnualFlows">#REF!</definedName>
    <definedName name="AnnualSummary" localSheetId="3">#REF!</definedName>
    <definedName name="AnnualSummary" localSheetId="7">#REF!</definedName>
    <definedName name="AnnualSummary" localSheetId="9">#REF!</definedName>
    <definedName name="AnnualSummary" localSheetId="10">#REF!</definedName>
    <definedName name="AnnualSummary" localSheetId="15">#REF!</definedName>
    <definedName name="AnnualSummary" localSheetId="19">#REF!</definedName>
    <definedName name="AnnualSummary" localSheetId="20">#REF!</definedName>
    <definedName name="AnnualSummary" localSheetId="24">#REF!</definedName>
    <definedName name="AnnualSummary" localSheetId="104">#REF!</definedName>
    <definedName name="AnnualSummary" localSheetId="65">#REF!</definedName>
    <definedName name="AnnualSummary" localSheetId="64">#REF!</definedName>
    <definedName name="AnnualSummary" localSheetId="77">#REF!</definedName>
    <definedName name="AnnualSummary" localSheetId="49">#REF!</definedName>
    <definedName name="AnnualSummary" localSheetId="40">#REF!</definedName>
    <definedName name="AnnualSummary" localSheetId="43">#REF!</definedName>
    <definedName name="AnnualSummary" localSheetId="13">#REF!</definedName>
    <definedName name="AnnualSummary" localSheetId="38">#REF!</definedName>
    <definedName name="AnnualSummary">#REF!</definedName>
    <definedName name="anscount" hidden="1">2</definedName>
    <definedName name="antoine" localSheetId="3">#REF!</definedName>
    <definedName name="antoine" localSheetId="7">#REF!</definedName>
    <definedName name="antoine" localSheetId="9">#REF!</definedName>
    <definedName name="antoine" localSheetId="10">#REF!</definedName>
    <definedName name="antoine" localSheetId="15">#REF!</definedName>
    <definedName name="antoine" localSheetId="19">#REF!</definedName>
    <definedName name="antoine" localSheetId="20">#REF!</definedName>
    <definedName name="antoine" localSheetId="24">#REF!</definedName>
    <definedName name="antoine" localSheetId="104">#REF!</definedName>
    <definedName name="antoine" localSheetId="65">#REF!</definedName>
    <definedName name="antoine" localSheetId="64">#REF!</definedName>
    <definedName name="antoine" localSheetId="77">#REF!</definedName>
    <definedName name="antoine" localSheetId="49">#REF!</definedName>
    <definedName name="antoine" localSheetId="40">#REF!</definedName>
    <definedName name="antoine" localSheetId="43">#REF!</definedName>
    <definedName name="antoine" localSheetId="13">#REF!</definedName>
    <definedName name="antoine" localSheetId="38">#REF!</definedName>
    <definedName name="antoine">#REF!</definedName>
    <definedName name="ap" localSheetId="3">#REF!</definedName>
    <definedName name="ap" localSheetId="7">#REF!</definedName>
    <definedName name="ap" localSheetId="9">#REF!</definedName>
    <definedName name="ap" localSheetId="10">#REF!</definedName>
    <definedName name="ap" localSheetId="15">#REF!</definedName>
    <definedName name="ap" localSheetId="19">#REF!</definedName>
    <definedName name="ap" localSheetId="20">#REF!</definedName>
    <definedName name="ap" localSheetId="24">#REF!</definedName>
    <definedName name="ap" localSheetId="104">#REF!</definedName>
    <definedName name="ap" localSheetId="65">#REF!</definedName>
    <definedName name="ap" localSheetId="64">#REF!</definedName>
    <definedName name="ap" localSheetId="77">#REF!</definedName>
    <definedName name="ap" localSheetId="49">#REF!</definedName>
    <definedName name="ap" localSheetId="40">#REF!</definedName>
    <definedName name="ap" localSheetId="43">#REF!</definedName>
    <definedName name="ap" localSheetId="13">#REF!</definedName>
    <definedName name="ap" localSheetId="38">#REF!</definedName>
    <definedName name="ap">#REF!</definedName>
    <definedName name="AP_42_E" localSheetId="3">#REF!</definedName>
    <definedName name="AP_42_E" localSheetId="7">#REF!</definedName>
    <definedName name="AP_42_E" localSheetId="9">#REF!</definedName>
    <definedName name="AP_42_E" localSheetId="10">#REF!</definedName>
    <definedName name="AP_42_E" localSheetId="15">#REF!</definedName>
    <definedName name="AP_42_E" localSheetId="19">#REF!</definedName>
    <definedName name="AP_42_E" localSheetId="20">#REF!</definedName>
    <definedName name="AP_42_E" localSheetId="24">#REF!</definedName>
    <definedName name="AP_42_E" localSheetId="104">#REF!</definedName>
    <definedName name="AP_42_E" localSheetId="65">#REF!</definedName>
    <definedName name="AP_42_E" localSheetId="64">#REF!</definedName>
    <definedName name="AP_42_E" localSheetId="77">#REF!</definedName>
    <definedName name="AP_42_E" localSheetId="49">#REF!</definedName>
    <definedName name="AP_42_E" localSheetId="40">#REF!</definedName>
    <definedName name="AP_42_E" localSheetId="43">#REF!</definedName>
    <definedName name="AP_42_E" localSheetId="13">#REF!</definedName>
    <definedName name="AP_42_E" localSheetId="38">#REF!</definedName>
    <definedName name="AP_42_E">#REF!</definedName>
    <definedName name="AP42btu" localSheetId="3">#REF!</definedName>
    <definedName name="AP42btu" localSheetId="7">#REF!</definedName>
    <definedName name="AP42btu" localSheetId="9">#REF!</definedName>
    <definedName name="AP42btu" localSheetId="10">#REF!</definedName>
    <definedName name="AP42btu" localSheetId="15">#REF!</definedName>
    <definedName name="AP42btu" localSheetId="19">#REF!</definedName>
    <definedName name="AP42btu" localSheetId="20">#REF!</definedName>
    <definedName name="AP42btu" localSheetId="24">#REF!</definedName>
    <definedName name="AP42btu" localSheetId="104">#REF!</definedName>
    <definedName name="AP42btu" localSheetId="65">#REF!</definedName>
    <definedName name="AP42btu" localSheetId="64">#REF!</definedName>
    <definedName name="AP42btu" localSheetId="77">#REF!</definedName>
    <definedName name="AP42btu" localSheetId="49">#REF!</definedName>
    <definedName name="AP42btu" localSheetId="40">#REF!</definedName>
    <definedName name="AP42btu" localSheetId="43">#REF!</definedName>
    <definedName name="AP42btu" localSheetId="13">#REF!</definedName>
    <definedName name="AP42btu" localSheetId="38">#REF!</definedName>
    <definedName name="AP42btu">#REF!</definedName>
    <definedName name="APD" localSheetId="3">#REF!</definedName>
    <definedName name="APD" localSheetId="7">#REF!</definedName>
    <definedName name="APD" localSheetId="9">#REF!</definedName>
    <definedName name="APD" localSheetId="10">#REF!</definedName>
    <definedName name="APD" localSheetId="15">#REF!</definedName>
    <definedName name="APD" localSheetId="19">#REF!</definedName>
    <definedName name="APD" localSheetId="20">#REF!</definedName>
    <definedName name="APD" localSheetId="24">#REF!</definedName>
    <definedName name="APD" localSheetId="104">#REF!</definedName>
    <definedName name="APD" localSheetId="65">#REF!</definedName>
    <definedName name="APD" localSheetId="64">#REF!</definedName>
    <definedName name="APD" localSheetId="77">#REF!</definedName>
    <definedName name="APD" localSheetId="49">#REF!</definedName>
    <definedName name="APD" localSheetId="40">#REF!</definedName>
    <definedName name="APD" localSheetId="43">#REF!</definedName>
    <definedName name="APD" localSheetId="13">#REF!</definedName>
    <definedName name="APD" localSheetId="38">#REF!</definedName>
    <definedName name="APD">#REF!</definedName>
    <definedName name="API">[6]Flashing!$F$12</definedName>
    <definedName name="APR" localSheetId="3">#REF!</definedName>
    <definedName name="APR" localSheetId="7">#REF!</definedName>
    <definedName name="APR" localSheetId="9">#REF!</definedName>
    <definedName name="APR" localSheetId="10">#REF!</definedName>
    <definedName name="APR" localSheetId="15">#REF!</definedName>
    <definedName name="APR" localSheetId="19">#REF!</definedName>
    <definedName name="APR" localSheetId="20">#REF!</definedName>
    <definedName name="APR" localSheetId="24">#REF!</definedName>
    <definedName name="APR" localSheetId="104">#REF!</definedName>
    <definedName name="APR" localSheetId="65">#REF!</definedName>
    <definedName name="APR" localSheetId="64">#REF!</definedName>
    <definedName name="APR" localSheetId="77">#REF!</definedName>
    <definedName name="APR" localSheetId="49">#REF!</definedName>
    <definedName name="APR" localSheetId="40">#REF!</definedName>
    <definedName name="APR" localSheetId="43">#REF!</definedName>
    <definedName name="APR" localSheetId="13">#REF!</definedName>
    <definedName name="APR" localSheetId="38">#REF!</definedName>
    <definedName name="APR">#REF!</definedName>
    <definedName name="as" localSheetId="105" hidden="1">{#N/A,#N/A,FALSE,"Annual Summary";#N/A,#N/A,FALSE,"Hourly Summary";#N/A,#N/A,FALSE,"Flare Combustion";#N/A,#N/A,FALSE,"Shipping";#N/A,#N/A,FALSE,"Process Turnaround";#N/A,#N/A,FALSE,"Lab Samples";#N/A,#N/A,FALSE,"Product Cycles 5-4";#N/A,#N/A,FALSE,"5-4.1";#N/A,#N/A,FALSE,"5-4.2";#N/A,#N/A,FALSE,"Physical Prop Data"}</definedName>
    <definedName name="as" localSheetId="96" hidden="1">{#N/A,#N/A,FALSE,"Annual Summary";#N/A,#N/A,FALSE,"Hourly Summary";#N/A,#N/A,FALSE,"Flare Combustion";#N/A,#N/A,FALSE,"Shipping";#N/A,#N/A,FALSE,"Process Turnaround";#N/A,#N/A,FALSE,"Lab Samples";#N/A,#N/A,FALSE,"Product Cycles 5-4";#N/A,#N/A,FALSE,"5-4.1";#N/A,#N/A,FALSE,"5-4.2";#N/A,#N/A,FALSE,"Physical Prop Data"}</definedName>
    <definedName name="as" localSheetId="44" hidden="1">{#N/A,#N/A,FALSE,"Annual Summary";#N/A,#N/A,FALSE,"Hourly Summary";#N/A,#N/A,FALSE,"Flare Combustion";#N/A,#N/A,FALSE,"Shipping";#N/A,#N/A,FALSE,"Process Turnaround";#N/A,#N/A,FALSE,"Lab Samples";#N/A,#N/A,FALSE,"Product Cycles 5-4";#N/A,#N/A,FALSE,"5-4.1";#N/A,#N/A,FALSE,"5-4.2";#N/A,#N/A,FALSE,"Physical Prop Data"}</definedName>
    <definedName name="as" hidden="1">{#N/A,#N/A,FALSE,"Annual Summary";#N/A,#N/A,FALSE,"Hourly Summary";#N/A,#N/A,FALSE,"Flare Combustion";#N/A,#N/A,FALSE,"Shipping";#N/A,#N/A,FALSE,"Process Turnaround";#N/A,#N/A,FALSE,"Lab Samples";#N/A,#N/A,FALSE,"Product Cycles 5-4";#N/A,#N/A,FALSE,"5-4.1";#N/A,#N/A,FALSE,"5-4.2";#N/A,#N/A,FALSE,"Physical Prop Data"}</definedName>
    <definedName name="asdf" localSheetId="105" hidden="1">{#N/A,#N/A,FALSE,"Annual Summary";#N/A,#N/A,FALSE,"Hourly Summary";#N/A,#N/A,FALSE,"Flare Combustion";#N/A,#N/A,FALSE,"Shipping";#N/A,#N/A,FALSE,"Process Turnaround";#N/A,#N/A,FALSE,"Lab Samples";#N/A,#N/A,FALSE,"Product Cycles 5-4";#N/A,#N/A,FALSE,"5-4.1";#N/A,#N/A,FALSE,"5-4.2";#N/A,#N/A,FALSE,"Physical Prop Data"}</definedName>
    <definedName name="asdf" localSheetId="96" hidden="1">{#N/A,#N/A,FALSE,"Annual Summary";#N/A,#N/A,FALSE,"Hourly Summary";#N/A,#N/A,FALSE,"Flare Combustion";#N/A,#N/A,FALSE,"Shipping";#N/A,#N/A,FALSE,"Process Turnaround";#N/A,#N/A,FALSE,"Lab Samples";#N/A,#N/A,FALSE,"Product Cycles 5-4";#N/A,#N/A,FALSE,"5-4.1";#N/A,#N/A,FALSE,"5-4.2";#N/A,#N/A,FALSE,"Physical Prop Data"}</definedName>
    <definedName name="asdf" localSheetId="48">#REF!</definedName>
    <definedName name="asdf" localSheetId="44" hidden="1">{#N/A,#N/A,FALSE,"Annual Summary";#N/A,#N/A,FALSE,"Hourly Summary";#N/A,#N/A,FALSE,"Flare Combustion";#N/A,#N/A,FALSE,"Shipping";#N/A,#N/A,FALSE,"Process Turnaround";#N/A,#N/A,FALSE,"Lab Samples";#N/A,#N/A,FALSE,"Product Cycles 5-4";#N/A,#N/A,FALSE,"5-4.1";#N/A,#N/A,FALSE,"5-4.2";#N/A,#N/A,FALSE,"Physical Prop Data"}</definedName>
    <definedName name="asdf" hidden="1">{#N/A,#N/A,FALSE,"Annual Summary";#N/A,#N/A,FALSE,"Hourly Summary";#N/A,#N/A,FALSE,"Flare Combustion";#N/A,#N/A,FALSE,"Shipping";#N/A,#N/A,FALSE,"Process Turnaround";#N/A,#N/A,FALSE,"Lab Samples";#N/A,#N/A,FALSE,"Product Cycles 5-4";#N/A,#N/A,FALSE,"5-4.1";#N/A,#N/A,FALSE,"5-4.2";#N/A,#N/A,FALSE,"Physical Prop Data"}</definedName>
    <definedName name="asdfasfd" localSheetId="3">#REF!</definedName>
    <definedName name="asdfasfd" localSheetId="7">#REF!</definedName>
    <definedName name="asdfasfd" localSheetId="9">#REF!</definedName>
    <definedName name="asdfasfd" localSheetId="10">#REF!</definedName>
    <definedName name="asdfasfd" localSheetId="15">#REF!</definedName>
    <definedName name="asdfasfd" localSheetId="19">#REF!</definedName>
    <definedName name="asdfasfd" localSheetId="20">#REF!</definedName>
    <definedName name="asdfasfd" localSheetId="24">#REF!</definedName>
    <definedName name="asdfasfd" localSheetId="104">#REF!</definedName>
    <definedName name="asdfasfd" localSheetId="65">#REF!</definedName>
    <definedName name="asdfasfd" localSheetId="64">#REF!</definedName>
    <definedName name="asdfasfd" localSheetId="77">#REF!</definedName>
    <definedName name="asdfasfd" localSheetId="49">#REF!</definedName>
    <definedName name="asdfasfd" localSheetId="40">#REF!</definedName>
    <definedName name="asdfasfd" localSheetId="43">#REF!</definedName>
    <definedName name="asdfasfd" localSheetId="13">#REF!</definedName>
    <definedName name="asdfasfd" localSheetId="38">#REF!</definedName>
    <definedName name="asdfasfd">#REF!</definedName>
    <definedName name="asfdas" localSheetId="3">#REF!</definedName>
    <definedName name="asfdas" localSheetId="7">#REF!</definedName>
    <definedName name="asfdas" localSheetId="9">#REF!</definedName>
    <definedName name="asfdas" localSheetId="10">#REF!</definedName>
    <definedName name="asfdas" localSheetId="15">#REF!</definedName>
    <definedName name="asfdas" localSheetId="19">#REF!</definedName>
    <definedName name="asfdas" localSheetId="20">#REF!</definedName>
    <definedName name="asfdas" localSheetId="24">#REF!</definedName>
    <definedName name="asfdas" localSheetId="104">#REF!</definedName>
    <definedName name="asfdas" localSheetId="65">#REF!</definedName>
    <definedName name="asfdas" localSheetId="64">#REF!</definedName>
    <definedName name="asfdas" localSheetId="77">#REF!</definedName>
    <definedName name="asfdas" localSheetId="49">#REF!</definedName>
    <definedName name="asfdas" localSheetId="48">#REF!</definedName>
    <definedName name="asfdas" localSheetId="40">#REF!</definedName>
    <definedName name="asfdas" localSheetId="43">#REF!</definedName>
    <definedName name="asfdas" localSheetId="13">#REF!</definedName>
    <definedName name="asfdas" localSheetId="38">#REF!</definedName>
    <definedName name="asfdas">#REF!</definedName>
    <definedName name="Ash" localSheetId="3">#REF!</definedName>
    <definedName name="Ash" localSheetId="7">#REF!</definedName>
    <definedName name="Ash" localSheetId="9">#REF!</definedName>
    <definedName name="Ash" localSheetId="10">#REF!</definedName>
    <definedName name="Ash" localSheetId="15">#REF!</definedName>
    <definedName name="Ash" localSheetId="19">#REF!</definedName>
    <definedName name="Ash" localSheetId="20">#REF!</definedName>
    <definedName name="Ash" localSheetId="24">#REF!</definedName>
    <definedName name="Ash" localSheetId="104">#REF!</definedName>
    <definedName name="Ash" localSheetId="65">#REF!</definedName>
    <definedName name="Ash" localSheetId="64">#REF!</definedName>
    <definedName name="Ash" localSheetId="77">#REF!</definedName>
    <definedName name="Ash" localSheetId="49">#REF!</definedName>
    <definedName name="Ash" localSheetId="40">#REF!</definedName>
    <definedName name="Ash" localSheetId="43">#REF!</definedName>
    <definedName name="Ash" localSheetId="13">#REF!</definedName>
    <definedName name="Ash" localSheetId="38">#REF!</definedName>
    <definedName name="Ash">#REF!</definedName>
    <definedName name="AUG" localSheetId="3">#REF!</definedName>
    <definedName name="AUG" localSheetId="7">#REF!</definedName>
    <definedName name="AUG" localSheetId="9">#REF!</definedName>
    <definedName name="AUG" localSheetId="10">#REF!</definedName>
    <definedName name="AUG" localSheetId="15">#REF!</definedName>
    <definedName name="AUG" localSheetId="19">#REF!</definedName>
    <definedName name="AUG" localSheetId="20">#REF!</definedName>
    <definedName name="AUG" localSheetId="24">#REF!</definedName>
    <definedName name="AUG" localSheetId="104">#REF!</definedName>
    <definedName name="AUG" localSheetId="65">#REF!</definedName>
    <definedName name="AUG" localSheetId="64">#REF!</definedName>
    <definedName name="AUG" localSheetId="77">#REF!</definedName>
    <definedName name="AUG" localSheetId="49">#REF!</definedName>
    <definedName name="AUG" localSheetId="40">#REF!</definedName>
    <definedName name="AUG" localSheetId="43">#REF!</definedName>
    <definedName name="AUG" localSheetId="13">#REF!</definedName>
    <definedName name="AUG" localSheetId="38">#REF!</definedName>
    <definedName name="AUG">#REF!</definedName>
    <definedName name="AuxBoiler" localSheetId="3">#REF!</definedName>
    <definedName name="AuxBoiler" localSheetId="7">#REF!</definedName>
    <definedName name="AuxBoiler" localSheetId="9">#REF!</definedName>
    <definedName name="AuxBoiler" localSheetId="10">#REF!</definedName>
    <definedName name="AuxBoiler" localSheetId="15">#REF!</definedName>
    <definedName name="AuxBoiler" localSheetId="19">#REF!</definedName>
    <definedName name="AuxBoiler" localSheetId="20">#REF!</definedName>
    <definedName name="AuxBoiler" localSheetId="24">#REF!</definedName>
    <definedName name="AuxBoiler" localSheetId="104">#REF!</definedName>
    <definedName name="AuxBoiler" localSheetId="65">#REF!</definedName>
    <definedName name="AuxBoiler" localSheetId="64">#REF!</definedName>
    <definedName name="AuxBoiler" localSheetId="77">#REF!</definedName>
    <definedName name="AuxBoiler" localSheetId="49">#REF!</definedName>
    <definedName name="AuxBoiler" localSheetId="40">#REF!</definedName>
    <definedName name="AuxBoiler" localSheetId="43">#REF!</definedName>
    <definedName name="AuxBoiler" localSheetId="13">#REF!</definedName>
    <definedName name="AuxBoiler" localSheetId="38">#REF!</definedName>
    <definedName name="AuxBoiler">#REF!</definedName>
    <definedName name="AVETEMP" localSheetId="3">#REF!</definedName>
    <definedName name="AVETEMP" localSheetId="7">#REF!</definedName>
    <definedName name="AVETEMP" localSheetId="9">#REF!</definedName>
    <definedName name="AVETEMP" localSheetId="10">#REF!</definedName>
    <definedName name="AVETEMP" localSheetId="15">#REF!</definedName>
    <definedName name="AVETEMP" localSheetId="19">#REF!</definedName>
    <definedName name="AVETEMP" localSheetId="20">#REF!</definedName>
    <definedName name="AVETEMP" localSheetId="24">#REF!</definedName>
    <definedName name="AVETEMP" localSheetId="104">#REF!</definedName>
    <definedName name="AVETEMP" localSheetId="65">#REF!</definedName>
    <definedName name="AVETEMP" localSheetId="64">#REF!</definedName>
    <definedName name="AVETEMP" localSheetId="77">#REF!</definedName>
    <definedName name="AVETEMP" localSheetId="49">#REF!</definedName>
    <definedName name="AVETEMP" localSheetId="40">#REF!</definedName>
    <definedName name="AVETEMP" localSheetId="43">#REF!</definedName>
    <definedName name="AVETEMP" localSheetId="13">#REF!</definedName>
    <definedName name="AVETEMP" localSheetId="38">#REF!</definedName>
    <definedName name="AVETEMP">#REF!</definedName>
    <definedName name="avgdpw" localSheetId="3">#REF!</definedName>
    <definedName name="avgdpw" localSheetId="7">#REF!</definedName>
    <definedName name="avgdpw" localSheetId="9">#REF!</definedName>
    <definedName name="avgdpw" localSheetId="10">#REF!</definedName>
    <definedName name="avgdpw" localSheetId="15">#REF!</definedName>
    <definedName name="avgdpw" localSheetId="19">#REF!</definedName>
    <definedName name="avgdpw" localSheetId="20">#REF!</definedName>
    <definedName name="avgdpw" localSheetId="24">#REF!</definedName>
    <definedName name="avgdpw" localSheetId="104">#REF!</definedName>
    <definedName name="avgdpw" localSheetId="65">#REF!</definedName>
    <definedName name="avgdpw" localSheetId="64">#REF!</definedName>
    <definedName name="avgdpw" localSheetId="77">#REF!</definedName>
    <definedName name="avgdpw" localSheetId="49">#REF!</definedName>
    <definedName name="avgdpw" localSheetId="40">#REF!</definedName>
    <definedName name="avgdpw" localSheetId="43">#REF!</definedName>
    <definedName name="avgdpw" localSheetId="13">#REF!</definedName>
    <definedName name="avgdpw" localSheetId="38">#REF!</definedName>
    <definedName name="avgdpw">#REF!</definedName>
    <definedName name="avgfuel" localSheetId="3">#REF!</definedName>
    <definedName name="avgfuel" localSheetId="7">#REF!</definedName>
    <definedName name="avgfuel" localSheetId="9">#REF!</definedName>
    <definedName name="avgfuel" localSheetId="10">#REF!</definedName>
    <definedName name="avgfuel" localSheetId="15">#REF!</definedName>
    <definedName name="avgfuel" localSheetId="19">#REF!</definedName>
    <definedName name="avgfuel" localSheetId="20">#REF!</definedName>
    <definedName name="avgfuel" localSheetId="24">#REF!</definedName>
    <definedName name="avgfuel" localSheetId="104">#REF!</definedName>
    <definedName name="avgfuel" localSheetId="65">#REF!</definedName>
    <definedName name="avgfuel" localSheetId="64">#REF!</definedName>
    <definedName name="avgfuel" localSheetId="77">#REF!</definedName>
    <definedName name="avgfuel" localSheetId="49">#REF!</definedName>
    <definedName name="avgfuel" localSheetId="40">#REF!</definedName>
    <definedName name="avgfuel" localSheetId="43">#REF!</definedName>
    <definedName name="avgfuel" localSheetId="13">#REF!</definedName>
    <definedName name="avgfuel" localSheetId="38">#REF!</definedName>
    <definedName name="avgfuel">#REF!</definedName>
    <definedName name="avghour" localSheetId="3">#REF!</definedName>
    <definedName name="avghour" localSheetId="7">#REF!</definedName>
    <definedName name="avghour" localSheetId="9">#REF!</definedName>
    <definedName name="avghour" localSheetId="10">#REF!</definedName>
    <definedName name="avghour" localSheetId="15">#REF!</definedName>
    <definedName name="avghour" localSheetId="19">#REF!</definedName>
    <definedName name="avghour" localSheetId="20">#REF!</definedName>
    <definedName name="avghour" localSheetId="24">#REF!</definedName>
    <definedName name="avghour" localSheetId="104">#REF!</definedName>
    <definedName name="avghour" localSheetId="65">#REF!</definedName>
    <definedName name="avghour" localSheetId="64">#REF!</definedName>
    <definedName name="avghour" localSheetId="77">#REF!</definedName>
    <definedName name="avghour" localSheetId="49">#REF!</definedName>
    <definedName name="avghour" localSheetId="40">#REF!</definedName>
    <definedName name="avghour" localSheetId="43">#REF!</definedName>
    <definedName name="avghour" localSheetId="13">#REF!</definedName>
    <definedName name="avghour" localSheetId="38">#REF!</definedName>
    <definedName name="avghour">#REF!</definedName>
    <definedName name="avghpd" localSheetId="3">#REF!</definedName>
    <definedName name="avghpd" localSheetId="7">#REF!</definedName>
    <definedName name="avghpd" localSheetId="9">#REF!</definedName>
    <definedName name="avghpd" localSheetId="10">#REF!</definedName>
    <definedName name="avghpd" localSheetId="15">#REF!</definedName>
    <definedName name="avghpd" localSheetId="19">#REF!</definedName>
    <definedName name="avghpd" localSheetId="20">#REF!</definedName>
    <definedName name="avghpd" localSheetId="24">#REF!</definedName>
    <definedName name="avghpd" localSheetId="104">#REF!</definedName>
    <definedName name="avghpd" localSheetId="65">#REF!</definedName>
    <definedName name="avghpd" localSheetId="64">#REF!</definedName>
    <definedName name="avghpd" localSheetId="77">#REF!</definedName>
    <definedName name="avghpd" localSheetId="49">#REF!</definedName>
    <definedName name="avghpd" localSheetId="40">#REF!</definedName>
    <definedName name="avghpd" localSheetId="43">#REF!</definedName>
    <definedName name="avghpd" localSheetId="13">#REF!</definedName>
    <definedName name="avghpd" localSheetId="38">#REF!</definedName>
    <definedName name="avghpd">#REF!</definedName>
    <definedName name="avgrate" localSheetId="3">#REF!</definedName>
    <definedName name="avgrate" localSheetId="7">#REF!</definedName>
    <definedName name="avgrate" localSheetId="9">#REF!</definedName>
    <definedName name="avgrate" localSheetId="10">#REF!</definedName>
    <definedName name="avgrate" localSheetId="15">#REF!</definedName>
    <definedName name="avgrate" localSheetId="19">#REF!</definedName>
    <definedName name="avgrate" localSheetId="20">#REF!</definedName>
    <definedName name="avgrate" localSheetId="24">#REF!</definedName>
    <definedName name="avgrate" localSheetId="104">#REF!</definedName>
    <definedName name="avgrate" localSheetId="65">#REF!</definedName>
    <definedName name="avgrate" localSheetId="64">#REF!</definedName>
    <definedName name="avgrate" localSheetId="77">#REF!</definedName>
    <definedName name="avgrate" localSheetId="49">#REF!</definedName>
    <definedName name="avgrate" localSheetId="40">#REF!</definedName>
    <definedName name="avgrate" localSheetId="43">#REF!</definedName>
    <definedName name="avgrate" localSheetId="13">#REF!</definedName>
    <definedName name="avgrate" localSheetId="38">#REF!</definedName>
    <definedName name="avgrate">#REF!</definedName>
    <definedName name="avgT" localSheetId="3">#REF!</definedName>
    <definedName name="avgT" localSheetId="7">#REF!</definedName>
    <definedName name="avgT" localSheetId="9">#REF!</definedName>
    <definedName name="avgT" localSheetId="10">#REF!</definedName>
    <definedName name="avgT" localSheetId="15">#REF!</definedName>
    <definedName name="avgT" localSheetId="19">#REF!</definedName>
    <definedName name="avgT" localSheetId="20">#REF!</definedName>
    <definedName name="avgT" localSheetId="24">#REF!</definedName>
    <definedName name="avgT" localSheetId="104">#REF!</definedName>
    <definedName name="avgT" localSheetId="65">#REF!</definedName>
    <definedName name="avgT" localSheetId="64">#REF!</definedName>
    <definedName name="avgT" localSheetId="77">#REF!</definedName>
    <definedName name="avgT" localSheetId="49">#REF!</definedName>
    <definedName name="avgT" localSheetId="40">#REF!</definedName>
    <definedName name="avgT" localSheetId="43">#REF!</definedName>
    <definedName name="avgT" localSheetId="13">#REF!</definedName>
    <definedName name="avgT" localSheetId="38">#REF!</definedName>
    <definedName name="avgT">#REF!</definedName>
    <definedName name="avgVP" localSheetId="3">#REF!</definedName>
    <definedName name="avgVP" localSheetId="7">#REF!</definedName>
    <definedName name="avgVP" localSheetId="9">#REF!</definedName>
    <definedName name="avgVP" localSheetId="10">#REF!</definedName>
    <definedName name="avgVP" localSheetId="15">#REF!</definedName>
    <definedName name="avgVP" localSheetId="19">#REF!</definedName>
    <definedName name="avgVP" localSheetId="20">#REF!</definedName>
    <definedName name="avgVP" localSheetId="24">#REF!</definedName>
    <definedName name="avgVP" localSheetId="104">#REF!</definedName>
    <definedName name="avgVP" localSheetId="65">#REF!</definedName>
    <definedName name="avgVP" localSheetId="64">#REF!</definedName>
    <definedName name="avgVP" localSheetId="77">#REF!</definedName>
    <definedName name="avgVP" localSheetId="49">#REF!</definedName>
    <definedName name="avgVP" localSheetId="40">#REF!</definedName>
    <definedName name="avgVP" localSheetId="43">#REF!</definedName>
    <definedName name="avgVP" localSheetId="13">#REF!</definedName>
    <definedName name="avgVP" localSheetId="38">#REF!</definedName>
    <definedName name="avgVP">#REF!</definedName>
    <definedName name="avgwpy" localSheetId="3">#REF!</definedName>
    <definedName name="avgwpy" localSheetId="7">#REF!</definedName>
    <definedName name="avgwpy" localSheetId="9">#REF!</definedName>
    <definedName name="avgwpy" localSheetId="10">#REF!</definedName>
    <definedName name="avgwpy" localSheetId="15">#REF!</definedName>
    <definedName name="avgwpy" localSheetId="19">#REF!</definedName>
    <definedName name="avgwpy" localSheetId="20">#REF!</definedName>
    <definedName name="avgwpy" localSheetId="24">#REF!</definedName>
    <definedName name="avgwpy" localSheetId="104">#REF!</definedName>
    <definedName name="avgwpy" localSheetId="65">#REF!</definedName>
    <definedName name="avgwpy" localSheetId="64">#REF!</definedName>
    <definedName name="avgwpy" localSheetId="77">#REF!</definedName>
    <definedName name="avgwpy" localSheetId="49">#REF!</definedName>
    <definedName name="avgwpy" localSheetId="40">#REF!</definedName>
    <definedName name="avgwpy" localSheetId="43">#REF!</definedName>
    <definedName name="avgwpy" localSheetId="13">#REF!</definedName>
    <definedName name="avgwpy" localSheetId="38">#REF!</definedName>
    <definedName name="avgwpy">#REF!</definedName>
    <definedName name="b" localSheetId="3">#REF!</definedName>
    <definedName name="b" localSheetId="7">#REF!</definedName>
    <definedName name="b" localSheetId="9">#REF!</definedName>
    <definedName name="b" localSheetId="10">#REF!</definedName>
    <definedName name="b" localSheetId="15">#REF!</definedName>
    <definedName name="b" localSheetId="19">#REF!</definedName>
    <definedName name="b" localSheetId="20">#REF!</definedName>
    <definedName name="b" localSheetId="24">#REF!</definedName>
    <definedName name="b" localSheetId="104">#REF!</definedName>
    <definedName name="b" localSheetId="65">#REF!</definedName>
    <definedName name="b" localSheetId="64">#REF!</definedName>
    <definedName name="b" localSheetId="77">#REF!</definedName>
    <definedName name="b" localSheetId="49">#REF!</definedName>
    <definedName name="B" localSheetId="96" hidden="1">{#N/A,#N/A,FALSE,"Annual Summary";#N/A,#N/A,FALSE,"Hourly Summary";#N/A,#N/A,FALSE,"Flare Combustion";#N/A,#N/A,FALSE,"Shipping";#N/A,#N/A,FALSE,"Process Turnaround";#N/A,#N/A,FALSE,"Lab Samples";#N/A,#N/A,FALSE,"Product Cycles 5-4";#N/A,#N/A,FALSE,"5-4.1";#N/A,#N/A,FALSE,"5-4.2";#N/A,#N/A,FALSE,"Physical Prop Data"}</definedName>
    <definedName name="b" localSheetId="48">#REF!</definedName>
    <definedName name="b" localSheetId="40">#REF!</definedName>
    <definedName name="b" localSheetId="43">#REF!</definedName>
    <definedName name="b" localSheetId="13">#REF!</definedName>
    <definedName name="b" localSheetId="38">#REF!</definedName>
    <definedName name="b">#REF!</definedName>
    <definedName name="B1001btu" localSheetId="3">'[7]Operational Basis'!#REF!</definedName>
    <definedName name="B1001btu" localSheetId="7">'[7]Operational Basis'!#REF!</definedName>
    <definedName name="B1001btu" localSheetId="9">'[7]Operational Basis'!#REF!</definedName>
    <definedName name="B1001btu" localSheetId="10">'[7]Operational Basis'!#REF!</definedName>
    <definedName name="B1001btu" localSheetId="15">'[7]Operational Basis'!#REF!</definedName>
    <definedName name="B1001btu" localSheetId="19">'[7]Operational Basis'!#REF!</definedName>
    <definedName name="B1001btu" localSheetId="20">'[7]Operational Basis'!#REF!</definedName>
    <definedName name="B1001btu" localSheetId="24">'[7]Operational Basis'!#REF!</definedName>
    <definedName name="B1001btu" localSheetId="104">'[7]Operational Basis'!#REF!</definedName>
    <definedName name="B1001btu" localSheetId="65">'[7]Operational Basis'!#REF!</definedName>
    <definedName name="B1001btu" localSheetId="64">'[7]Operational Basis'!#REF!</definedName>
    <definedName name="B1001btu" localSheetId="77">'[7]Operational Basis'!#REF!</definedName>
    <definedName name="B1001btu" localSheetId="49">'[7]Operational Basis'!#REF!</definedName>
    <definedName name="B1001btu" localSheetId="40">'[7]Operational Basis'!#REF!</definedName>
    <definedName name="B1001btu" localSheetId="43">'[7]Operational Basis'!#REF!</definedName>
    <definedName name="B1001btu" localSheetId="13">'[7]Operational Basis'!#REF!</definedName>
    <definedName name="B1001btu" localSheetId="38">'[7]Operational Basis'!#REF!</definedName>
    <definedName name="B1001btu">'[7]Operational Basis'!#REF!</definedName>
    <definedName name="B1010btu" localSheetId="3">'[7]Operational Basis'!#REF!</definedName>
    <definedName name="B1010btu" localSheetId="7">'[7]Operational Basis'!#REF!</definedName>
    <definedName name="B1010btu" localSheetId="9">'[7]Operational Basis'!#REF!</definedName>
    <definedName name="B1010btu" localSheetId="10">'[7]Operational Basis'!#REF!</definedName>
    <definedName name="B1010btu" localSheetId="15">'[7]Operational Basis'!#REF!</definedName>
    <definedName name="B1010btu" localSheetId="19">'[7]Operational Basis'!#REF!</definedName>
    <definedName name="B1010btu" localSheetId="20">'[7]Operational Basis'!#REF!</definedName>
    <definedName name="B1010btu" localSheetId="24">'[7]Operational Basis'!#REF!</definedName>
    <definedName name="B1010btu" localSheetId="104">'[7]Operational Basis'!#REF!</definedName>
    <definedName name="B1010btu" localSheetId="65">'[7]Operational Basis'!#REF!</definedName>
    <definedName name="B1010btu" localSheetId="64">'[7]Operational Basis'!#REF!</definedName>
    <definedName name="B1010btu" localSheetId="77">'[7]Operational Basis'!#REF!</definedName>
    <definedName name="B1010btu" localSheetId="49">'[7]Operational Basis'!#REF!</definedName>
    <definedName name="B1010btu" localSheetId="40">'[7]Operational Basis'!#REF!</definedName>
    <definedName name="B1010btu" localSheetId="43">'[7]Operational Basis'!#REF!</definedName>
    <definedName name="B1010btu" localSheetId="13">'[7]Operational Basis'!#REF!</definedName>
    <definedName name="B1010btu" localSheetId="38">'[7]Operational Basis'!#REF!</definedName>
    <definedName name="B1010btu">'[7]Operational Basis'!#REF!</definedName>
    <definedName name="B1011btu" localSheetId="3">'[7]Operational Basis'!#REF!</definedName>
    <definedName name="B1011btu" localSheetId="7">'[7]Operational Basis'!#REF!</definedName>
    <definedName name="B1011btu" localSheetId="9">'[7]Operational Basis'!#REF!</definedName>
    <definedName name="B1011btu" localSheetId="10">'[7]Operational Basis'!#REF!</definedName>
    <definedName name="B1011btu" localSheetId="15">'[7]Operational Basis'!#REF!</definedName>
    <definedName name="B1011btu" localSheetId="19">'[7]Operational Basis'!#REF!</definedName>
    <definedName name="B1011btu" localSheetId="20">'[7]Operational Basis'!#REF!</definedName>
    <definedName name="B1011btu" localSheetId="24">'[7]Operational Basis'!#REF!</definedName>
    <definedName name="B1011btu" localSheetId="104">'[7]Operational Basis'!#REF!</definedName>
    <definedName name="B1011btu" localSheetId="65">'[7]Operational Basis'!#REF!</definedName>
    <definedName name="B1011btu" localSheetId="64">'[7]Operational Basis'!#REF!</definedName>
    <definedName name="B1011btu" localSheetId="77">'[7]Operational Basis'!#REF!</definedName>
    <definedName name="B1011btu" localSheetId="49">'[7]Operational Basis'!#REF!</definedName>
    <definedName name="B1011btu" localSheetId="40">'[7]Operational Basis'!#REF!</definedName>
    <definedName name="B1011btu" localSheetId="43">'[7]Operational Basis'!#REF!</definedName>
    <definedName name="B1011btu" localSheetId="13">'[7]Operational Basis'!#REF!</definedName>
    <definedName name="B1011btu" localSheetId="38">'[7]Operational Basis'!#REF!</definedName>
    <definedName name="B1011btu">'[7]Operational Basis'!#REF!</definedName>
    <definedName name="B1btu" localSheetId="3">'[7]Operational Basis'!#REF!</definedName>
    <definedName name="B1btu" localSheetId="7">'[7]Operational Basis'!#REF!</definedName>
    <definedName name="B1btu" localSheetId="9">'[7]Operational Basis'!#REF!</definedName>
    <definedName name="B1btu" localSheetId="10">'[7]Operational Basis'!#REF!</definedName>
    <definedName name="B1btu" localSheetId="15">'[7]Operational Basis'!#REF!</definedName>
    <definedName name="B1btu" localSheetId="19">'[7]Operational Basis'!#REF!</definedName>
    <definedName name="B1btu" localSheetId="20">'[7]Operational Basis'!#REF!</definedName>
    <definedName name="B1btu" localSheetId="24">'[7]Operational Basis'!#REF!</definedName>
    <definedName name="B1btu" localSheetId="104">'[7]Operational Basis'!#REF!</definedName>
    <definedName name="B1btu" localSheetId="65">'[7]Operational Basis'!#REF!</definedName>
    <definedName name="B1btu" localSheetId="64">'[7]Operational Basis'!#REF!</definedName>
    <definedName name="B1btu" localSheetId="77">'[7]Operational Basis'!#REF!</definedName>
    <definedName name="B1btu" localSheetId="49">'[7]Operational Basis'!#REF!</definedName>
    <definedName name="B1btu" localSheetId="40">'[7]Operational Basis'!#REF!</definedName>
    <definedName name="B1btu" localSheetId="43">'[7]Operational Basis'!#REF!</definedName>
    <definedName name="B1btu" localSheetId="13">'[7]Operational Basis'!#REF!</definedName>
    <definedName name="B1btu" localSheetId="38">'[7]Operational Basis'!#REF!</definedName>
    <definedName name="B1btu">'[7]Operational Basis'!#REF!</definedName>
    <definedName name="B2btu" localSheetId="3">'[7]Operational Basis'!#REF!</definedName>
    <definedName name="B2btu" localSheetId="7">'[7]Operational Basis'!#REF!</definedName>
    <definedName name="B2btu" localSheetId="9">'[7]Operational Basis'!#REF!</definedName>
    <definedName name="B2btu" localSheetId="10">'[7]Operational Basis'!#REF!</definedName>
    <definedName name="B2btu" localSheetId="15">'[7]Operational Basis'!#REF!</definedName>
    <definedName name="B2btu" localSheetId="19">'[7]Operational Basis'!#REF!</definedName>
    <definedName name="B2btu" localSheetId="20">'[7]Operational Basis'!#REF!</definedName>
    <definedName name="B2btu" localSheetId="24">'[7]Operational Basis'!#REF!</definedName>
    <definedName name="B2btu" localSheetId="104">'[7]Operational Basis'!#REF!</definedName>
    <definedName name="B2btu" localSheetId="65">'[7]Operational Basis'!#REF!</definedName>
    <definedName name="B2btu" localSheetId="64">'[7]Operational Basis'!#REF!</definedName>
    <definedName name="B2btu" localSheetId="77">'[7]Operational Basis'!#REF!</definedName>
    <definedName name="B2btu" localSheetId="49">'[7]Operational Basis'!#REF!</definedName>
    <definedName name="B2btu" localSheetId="40">'[7]Operational Basis'!#REF!</definedName>
    <definedName name="B2btu" localSheetId="43">'[7]Operational Basis'!#REF!</definedName>
    <definedName name="B2btu" localSheetId="13">'[7]Operational Basis'!#REF!</definedName>
    <definedName name="B2btu" localSheetId="38">'[7]Operational Basis'!#REF!</definedName>
    <definedName name="B2btu">'[7]Operational Basis'!#REF!</definedName>
    <definedName name="B3btu" localSheetId="3">'[7]Operational Basis'!#REF!</definedName>
    <definedName name="B3btu" localSheetId="7">'[7]Operational Basis'!#REF!</definedName>
    <definedName name="B3btu" localSheetId="9">'[7]Operational Basis'!#REF!</definedName>
    <definedName name="B3btu" localSheetId="10">'[7]Operational Basis'!#REF!</definedName>
    <definedName name="B3btu" localSheetId="15">'[7]Operational Basis'!#REF!</definedName>
    <definedName name="B3btu" localSheetId="19">'[7]Operational Basis'!#REF!</definedName>
    <definedName name="B3btu" localSheetId="20">'[7]Operational Basis'!#REF!</definedName>
    <definedName name="B3btu" localSheetId="24">'[7]Operational Basis'!#REF!</definedName>
    <definedName name="B3btu" localSheetId="104">'[7]Operational Basis'!#REF!</definedName>
    <definedName name="B3btu" localSheetId="65">'[7]Operational Basis'!#REF!</definedName>
    <definedName name="B3btu" localSheetId="64">'[7]Operational Basis'!#REF!</definedName>
    <definedName name="B3btu" localSheetId="77">'[7]Operational Basis'!#REF!</definedName>
    <definedName name="B3btu" localSheetId="49">'[7]Operational Basis'!#REF!</definedName>
    <definedName name="B3btu" localSheetId="40">'[7]Operational Basis'!#REF!</definedName>
    <definedName name="B3btu" localSheetId="43">'[7]Operational Basis'!#REF!</definedName>
    <definedName name="B3btu" localSheetId="13">'[7]Operational Basis'!#REF!</definedName>
    <definedName name="B3btu" localSheetId="38">'[7]Operational Basis'!#REF!</definedName>
    <definedName name="B3btu">'[7]Operational Basis'!#REF!</definedName>
    <definedName name="bagf1" localSheetId="3">#REF!</definedName>
    <definedName name="bagf1" localSheetId="7">#REF!</definedName>
    <definedName name="bagf1" localSheetId="9">#REF!</definedName>
    <definedName name="bagf1" localSheetId="10">#REF!</definedName>
    <definedName name="bagf1" localSheetId="15">#REF!</definedName>
    <definedName name="bagf1" localSheetId="19">#REF!</definedName>
    <definedName name="bagf1" localSheetId="20">#REF!</definedName>
    <definedName name="bagf1" localSheetId="24">#REF!</definedName>
    <definedName name="bagf1" localSheetId="104">#REF!</definedName>
    <definedName name="bagf1" localSheetId="65">#REF!</definedName>
    <definedName name="bagf1" localSheetId="64">#REF!</definedName>
    <definedName name="bagf1" localSheetId="77">#REF!</definedName>
    <definedName name="bagf1" localSheetId="49">#REF!</definedName>
    <definedName name="bagf1" localSheetId="40">#REF!</definedName>
    <definedName name="bagf1" localSheetId="43">#REF!</definedName>
    <definedName name="bagf1" localSheetId="13">#REF!</definedName>
    <definedName name="bagf1" localSheetId="38">#REF!</definedName>
    <definedName name="bagf1">#REF!</definedName>
    <definedName name="bagf2" localSheetId="3">#REF!</definedName>
    <definedName name="bagf2" localSheetId="7">#REF!</definedName>
    <definedName name="bagf2" localSheetId="9">#REF!</definedName>
    <definedName name="bagf2" localSheetId="10">#REF!</definedName>
    <definedName name="bagf2" localSheetId="15">#REF!</definedName>
    <definedName name="bagf2" localSheetId="19">#REF!</definedName>
    <definedName name="bagf2" localSheetId="20">#REF!</definedName>
    <definedName name="bagf2" localSheetId="24">#REF!</definedName>
    <definedName name="bagf2" localSheetId="104">#REF!</definedName>
    <definedName name="bagf2" localSheetId="65">#REF!</definedName>
    <definedName name="bagf2" localSheetId="64">#REF!</definedName>
    <definedName name="bagf2" localSheetId="77">#REF!</definedName>
    <definedName name="bagf2" localSheetId="49">#REF!</definedName>
    <definedName name="bagf2" localSheetId="40">#REF!</definedName>
    <definedName name="bagf2" localSheetId="43">#REF!</definedName>
    <definedName name="bagf2" localSheetId="13">#REF!</definedName>
    <definedName name="bagf2" localSheetId="38">#REF!</definedName>
    <definedName name="bagf2">#REF!</definedName>
    <definedName name="bagf3" localSheetId="3">#REF!</definedName>
    <definedName name="bagf3" localSheetId="7">#REF!</definedName>
    <definedName name="bagf3" localSheetId="9">#REF!</definedName>
    <definedName name="bagf3" localSheetId="10">#REF!</definedName>
    <definedName name="bagf3" localSheetId="15">#REF!</definedName>
    <definedName name="bagf3" localSheetId="19">#REF!</definedName>
    <definedName name="bagf3" localSheetId="20">#REF!</definedName>
    <definedName name="bagf3" localSheetId="24">#REF!</definedName>
    <definedName name="bagf3" localSheetId="104">#REF!</definedName>
    <definedName name="bagf3" localSheetId="65">#REF!</definedName>
    <definedName name="bagf3" localSheetId="64">#REF!</definedName>
    <definedName name="bagf3" localSheetId="77">#REF!</definedName>
    <definedName name="bagf3" localSheetId="49">#REF!</definedName>
    <definedName name="bagf3" localSheetId="40">#REF!</definedName>
    <definedName name="bagf3" localSheetId="43">#REF!</definedName>
    <definedName name="bagf3" localSheetId="13">#REF!</definedName>
    <definedName name="bagf3" localSheetId="38">#REF!</definedName>
    <definedName name="bagf3">#REF!</definedName>
    <definedName name="bagf4" localSheetId="3">#REF!</definedName>
    <definedName name="bagf4" localSheetId="7">#REF!</definedName>
    <definedName name="bagf4" localSheetId="9">#REF!</definedName>
    <definedName name="bagf4" localSheetId="10">#REF!</definedName>
    <definedName name="bagf4" localSheetId="15">#REF!</definedName>
    <definedName name="bagf4" localSheetId="19">#REF!</definedName>
    <definedName name="bagf4" localSheetId="20">#REF!</definedName>
    <definedName name="bagf4" localSheetId="24">#REF!</definedName>
    <definedName name="bagf4" localSheetId="104">#REF!</definedName>
    <definedName name="bagf4" localSheetId="65">#REF!</definedName>
    <definedName name="bagf4" localSheetId="64">#REF!</definedName>
    <definedName name="bagf4" localSheetId="77">#REF!</definedName>
    <definedName name="bagf4" localSheetId="49">#REF!</definedName>
    <definedName name="bagf4" localSheetId="40">#REF!</definedName>
    <definedName name="bagf4" localSheetId="43">#REF!</definedName>
    <definedName name="bagf4" localSheetId="13">#REF!</definedName>
    <definedName name="bagf4" localSheetId="38">#REF!</definedName>
    <definedName name="bagf4">#REF!</definedName>
    <definedName name="bagftot" localSheetId="3">#REF!</definedName>
    <definedName name="bagftot" localSheetId="7">#REF!</definedName>
    <definedName name="bagftot" localSheetId="9">#REF!</definedName>
    <definedName name="bagftot" localSheetId="10">#REF!</definedName>
    <definedName name="bagftot" localSheetId="15">#REF!</definedName>
    <definedName name="bagftot" localSheetId="19">#REF!</definedName>
    <definedName name="bagftot" localSheetId="20">#REF!</definedName>
    <definedName name="bagftot" localSheetId="24">#REF!</definedName>
    <definedName name="bagftot" localSheetId="104">#REF!</definedName>
    <definedName name="bagftot" localSheetId="65">#REF!</definedName>
    <definedName name="bagftot" localSheetId="64">#REF!</definedName>
    <definedName name="bagftot" localSheetId="77">#REF!</definedName>
    <definedName name="bagftot" localSheetId="49">#REF!</definedName>
    <definedName name="bagftot" localSheetId="40">#REF!</definedName>
    <definedName name="bagftot" localSheetId="43">#REF!</definedName>
    <definedName name="bagftot" localSheetId="13">#REF!</definedName>
    <definedName name="bagftot" localSheetId="38">#REF!</definedName>
    <definedName name="bagftot">#REF!</definedName>
    <definedName name="BALSHEET" localSheetId="3">#REF!</definedName>
    <definedName name="BALSHEET" localSheetId="7">#REF!</definedName>
    <definedName name="BALSHEET" localSheetId="9">#REF!</definedName>
    <definedName name="BALSHEET" localSheetId="10">#REF!</definedName>
    <definedName name="BALSHEET" localSheetId="15">#REF!</definedName>
    <definedName name="BALSHEET" localSheetId="19">#REF!</definedName>
    <definedName name="BALSHEET" localSheetId="20">#REF!</definedName>
    <definedName name="BALSHEET" localSheetId="24">#REF!</definedName>
    <definedName name="BALSHEET" localSheetId="104">#REF!</definedName>
    <definedName name="BALSHEET" localSheetId="65">#REF!</definedName>
    <definedName name="BALSHEET" localSheetId="64">#REF!</definedName>
    <definedName name="BALSHEET" localSheetId="77">#REF!</definedName>
    <definedName name="BALSHEET" localSheetId="49">#REF!</definedName>
    <definedName name="BALSHEET" localSheetId="40">#REF!</definedName>
    <definedName name="BALSHEET" localSheetId="43">#REF!</definedName>
    <definedName name="BALSHEET" localSheetId="13">#REF!</definedName>
    <definedName name="BALSHEET" localSheetId="38">#REF!</definedName>
    <definedName name="BALSHEET">#REF!</definedName>
    <definedName name="BalSheetYtd" localSheetId="3">#REF!</definedName>
    <definedName name="BalSheetYtd" localSheetId="7">#REF!</definedName>
    <definedName name="BalSheetYtd" localSheetId="9">#REF!</definedName>
    <definedName name="BalSheetYtd" localSheetId="10">#REF!</definedName>
    <definedName name="BalSheetYtd" localSheetId="15">#REF!</definedName>
    <definedName name="BalSheetYtd" localSheetId="19">#REF!</definedName>
    <definedName name="BalSheetYtd" localSheetId="20">#REF!</definedName>
    <definedName name="BalSheetYtd" localSheetId="24">#REF!</definedName>
    <definedName name="BalSheetYtd" localSheetId="104">#REF!</definedName>
    <definedName name="BalSheetYtd" localSheetId="65">#REF!</definedName>
    <definedName name="BalSheetYtd" localSheetId="64">#REF!</definedName>
    <definedName name="BalSheetYtd" localSheetId="77">#REF!</definedName>
    <definedName name="BalSheetYtd" localSheetId="49">#REF!</definedName>
    <definedName name="BalSheetYtd" localSheetId="40">#REF!</definedName>
    <definedName name="BalSheetYtd" localSheetId="43">#REF!</definedName>
    <definedName name="BalSheetYtd" localSheetId="13">#REF!</definedName>
    <definedName name="BalSheetYtd" localSheetId="38">#REF!</definedName>
    <definedName name="BalSheetYtd">#REF!</definedName>
    <definedName name="Bank" localSheetId="3">#REF!</definedName>
    <definedName name="Bank" localSheetId="7">#REF!</definedName>
    <definedName name="Bank" localSheetId="9">#REF!</definedName>
    <definedName name="Bank" localSheetId="10">#REF!</definedName>
    <definedName name="Bank" localSheetId="15">#REF!</definedName>
    <definedName name="Bank" localSheetId="19">#REF!</definedName>
    <definedName name="Bank" localSheetId="20">#REF!</definedName>
    <definedName name="Bank" localSheetId="24">#REF!</definedName>
    <definedName name="Bank" localSheetId="104">#REF!</definedName>
    <definedName name="Bank" localSheetId="65">#REF!</definedName>
    <definedName name="Bank" localSheetId="64">#REF!</definedName>
    <definedName name="Bank" localSheetId="77">#REF!</definedName>
    <definedName name="Bank" localSheetId="49">#REF!</definedName>
    <definedName name="Bank" localSheetId="40">#REF!</definedName>
    <definedName name="Bank" localSheetId="43">#REF!</definedName>
    <definedName name="Bank" localSheetId="13">#REF!</definedName>
    <definedName name="Bank" localSheetId="38">#REF!</definedName>
    <definedName name="Bank">#REF!</definedName>
    <definedName name="belt1" localSheetId="3">#REF!</definedName>
    <definedName name="belt1" localSheetId="7">#REF!</definedName>
    <definedName name="belt1" localSheetId="9">#REF!</definedName>
    <definedName name="belt1" localSheetId="10">#REF!</definedName>
    <definedName name="belt1" localSheetId="15">#REF!</definedName>
    <definedName name="belt1" localSheetId="19">#REF!</definedName>
    <definedName name="belt1" localSheetId="20">#REF!</definedName>
    <definedName name="belt1" localSheetId="24">#REF!</definedName>
    <definedName name="belt1" localSheetId="104">#REF!</definedName>
    <definedName name="belt1" localSheetId="65">#REF!</definedName>
    <definedName name="belt1" localSheetId="64">#REF!</definedName>
    <definedName name="belt1" localSheetId="77">#REF!</definedName>
    <definedName name="belt1" localSheetId="49">#REF!</definedName>
    <definedName name="belt1" localSheetId="40">#REF!</definedName>
    <definedName name="belt1" localSheetId="43">#REF!</definedName>
    <definedName name="belt1" localSheetId="13">#REF!</definedName>
    <definedName name="belt1" localSheetId="38">#REF!</definedName>
    <definedName name="belt1">#REF!</definedName>
    <definedName name="belt2" localSheetId="3">#REF!</definedName>
    <definedName name="belt2" localSheetId="7">#REF!</definedName>
    <definedName name="belt2" localSheetId="9">#REF!</definedName>
    <definedName name="belt2" localSheetId="10">#REF!</definedName>
    <definedName name="belt2" localSheetId="15">#REF!</definedName>
    <definedName name="belt2" localSheetId="19">#REF!</definedName>
    <definedName name="belt2" localSheetId="20">#REF!</definedName>
    <definedName name="belt2" localSheetId="24">#REF!</definedName>
    <definedName name="belt2" localSheetId="104">#REF!</definedName>
    <definedName name="belt2" localSheetId="65">#REF!</definedName>
    <definedName name="belt2" localSheetId="64">#REF!</definedName>
    <definedName name="belt2" localSheetId="77">#REF!</definedName>
    <definedName name="belt2" localSheetId="49">#REF!</definedName>
    <definedName name="belt2" localSheetId="40">#REF!</definedName>
    <definedName name="belt2" localSheetId="43">#REF!</definedName>
    <definedName name="belt2" localSheetId="13">#REF!</definedName>
    <definedName name="belt2" localSheetId="38">#REF!</definedName>
    <definedName name="belt2">#REF!</definedName>
    <definedName name="belt3" localSheetId="3">#REF!</definedName>
    <definedName name="belt3" localSheetId="7">#REF!</definedName>
    <definedName name="belt3" localSheetId="9">#REF!</definedName>
    <definedName name="belt3" localSheetId="10">#REF!</definedName>
    <definedName name="belt3" localSheetId="15">#REF!</definedName>
    <definedName name="belt3" localSheetId="19">#REF!</definedName>
    <definedName name="belt3" localSheetId="20">#REF!</definedName>
    <definedName name="belt3" localSheetId="24">#REF!</definedName>
    <definedName name="belt3" localSheetId="104">#REF!</definedName>
    <definedName name="belt3" localSheetId="65">#REF!</definedName>
    <definedName name="belt3" localSheetId="64">#REF!</definedName>
    <definedName name="belt3" localSheetId="77">#REF!</definedName>
    <definedName name="belt3" localSheetId="49">#REF!</definedName>
    <definedName name="belt3" localSheetId="40">#REF!</definedName>
    <definedName name="belt3" localSheetId="43">#REF!</definedName>
    <definedName name="belt3" localSheetId="13">#REF!</definedName>
    <definedName name="belt3" localSheetId="38">#REF!</definedName>
    <definedName name="belt3">#REF!</definedName>
    <definedName name="belt4" localSheetId="3">#REF!</definedName>
    <definedName name="belt4" localSheetId="7">#REF!</definedName>
    <definedName name="belt4" localSheetId="9">#REF!</definedName>
    <definedName name="belt4" localSheetId="10">#REF!</definedName>
    <definedName name="belt4" localSheetId="15">#REF!</definedName>
    <definedName name="belt4" localSheetId="19">#REF!</definedName>
    <definedName name="belt4" localSheetId="20">#REF!</definedName>
    <definedName name="belt4" localSheetId="24">#REF!</definedName>
    <definedName name="belt4" localSheetId="104">#REF!</definedName>
    <definedName name="belt4" localSheetId="65">#REF!</definedName>
    <definedName name="belt4" localSheetId="64">#REF!</definedName>
    <definedName name="belt4" localSheetId="77">#REF!</definedName>
    <definedName name="belt4" localSheetId="49">#REF!</definedName>
    <definedName name="belt4" localSheetId="40">#REF!</definedName>
    <definedName name="belt4" localSheetId="43">#REF!</definedName>
    <definedName name="belt4" localSheetId="13">#REF!</definedName>
    <definedName name="belt4" localSheetId="38">#REF!</definedName>
    <definedName name="belt4">#REF!</definedName>
    <definedName name="belttot" localSheetId="3">#REF!</definedName>
    <definedName name="belttot" localSheetId="7">#REF!</definedName>
    <definedName name="belttot" localSheetId="9">#REF!</definedName>
    <definedName name="belttot" localSheetId="10">#REF!</definedName>
    <definedName name="belttot" localSheetId="15">#REF!</definedName>
    <definedName name="belttot" localSheetId="19">#REF!</definedName>
    <definedName name="belttot" localSheetId="20">#REF!</definedName>
    <definedName name="belttot" localSheetId="24">#REF!</definedName>
    <definedName name="belttot" localSheetId="104">#REF!</definedName>
    <definedName name="belttot" localSheetId="65">#REF!</definedName>
    <definedName name="belttot" localSheetId="64">#REF!</definedName>
    <definedName name="belttot" localSheetId="77">#REF!</definedName>
    <definedName name="belttot" localSheetId="49">#REF!</definedName>
    <definedName name="belttot" localSheetId="40">#REF!</definedName>
    <definedName name="belttot" localSheetId="43">#REF!</definedName>
    <definedName name="belttot" localSheetId="13">#REF!</definedName>
    <definedName name="belttot" localSheetId="38">#REF!</definedName>
    <definedName name="belttot">#REF!</definedName>
    <definedName name="BENZ_Gas" localSheetId="3">#REF!</definedName>
    <definedName name="BENZ_Gas" localSheetId="7">#REF!</definedName>
    <definedName name="BENZ_Gas" localSheetId="9">#REF!</definedName>
    <definedName name="BENZ_Gas" localSheetId="10">#REF!</definedName>
    <definedName name="BENZ_Gas" localSheetId="15">#REF!</definedName>
    <definedName name="BENZ_Gas" localSheetId="19">#REF!</definedName>
    <definedName name="BENZ_Gas" localSheetId="20">#REF!</definedName>
    <definedName name="BENZ_Gas" localSheetId="24">#REF!</definedName>
    <definedName name="BENZ_Gas" localSheetId="104">#REF!</definedName>
    <definedName name="BENZ_Gas" localSheetId="65">#REF!</definedName>
    <definedName name="BENZ_Gas" localSheetId="64">#REF!</definedName>
    <definedName name="BENZ_Gas" localSheetId="77">#REF!</definedName>
    <definedName name="BENZ_Gas" localSheetId="49">#REF!</definedName>
    <definedName name="BENZ_Gas" localSheetId="40">#REF!</definedName>
    <definedName name="BENZ_Gas" localSheetId="43">#REF!</definedName>
    <definedName name="BENZ_Gas" localSheetId="13">#REF!</definedName>
    <definedName name="BENZ_Gas" localSheetId="38">#REF!</definedName>
    <definedName name="BENZ_Gas">#REF!</definedName>
    <definedName name="BENZ_Liq" localSheetId="3">#REF!</definedName>
    <definedName name="BENZ_Liq" localSheetId="7">#REF!</definedName>
    <definedName name="BENZ_Liq" localSheetId="9">#REF!</definedName>
    <definedName name="BENZ_Liq" localSheetId="10">#REF!</definedName>
    <definedName name="BENZ_Liq" localSheetId="15">#REF!</definedName>
    <definedName name="BENZ_Liq" localSheetId="19">#REF!</definedName>
    <definedName name="BENZ_Liq" localSheetId="20">#REF!</definedName>
    <definedName name="BENZ_Liq" localSheetId="24">#REF!</definedName>
    <definedName name="BENZ_Liq" localSheetId="104">#REF!</definedName>
    <definedName name="BENZ_Liq" localSheetId="65">#REF!</definedName>
    <definedName name="BENZ_Liq" localSheetId="64">#REF!</definedName>
    <definedName name="BENZ_Liq" localSheetId="77">#REF!</definedName>
    <definedName name="BENZ_Liq" localSheetId="49">#REF!</definedName>
    <definedName name="BENZ_Liq" localSheetId="40">#REF!</definedName>
    <definedName name="BENZ_Liq" localSheetId="43">#REF!</definedName>
    <definedName name="BENZ_Liq" localSheetId="13">#REF!</definedName>
    <definedName name="BENZ_Liq" localSheetId="38">#REF!</definedName>
    <definedName name="BENZ_Liq">#REF!</definedName>
    <definedName name="bidtab" localSheetId="3">#REF!</definedName>
    <definedName name="bidtab" localSheetId="7">#REF!</definedName>
    <definedName name="bidtab" localSheetId="9">#REF!</definedName>
    <definedName name="bidtab" localSheetId="10">#REF!</definedName>
    <definedName name="bidtab" localSheetId="15">#REF!</definedName>
    <definedName name="bidtab" localSheetId="19">#REF!</definedName>
    <definedName name="bidtab" localSheetId="20">#REF!</definedName>
    <definedName name="bidtab" localSheetId="24">#REF!</definedName>
    <definedName name="bidtab" localSheetId="104">#REF!</definedName>
    <definedName name="bidtab" localSheetId="65">#REF!</definedName>
    <definedName name="bidtab" localSheetId="64">#REF!</definedName>
    <definedName name="bidtab" localSheetId="77">#REF!</definedName>
    <definedName name="bidtab" localSheetId="49">#REF!</definedName>
    <definedName name="bidtab" localSheetId="40">#REF!</definedName>
    <definedName name="bidtab" localSheetId="43">#REF!</definedName>
    <definedName name="bidtab" localSheetId="13">#REF!</definedName>
    <definedName name="bidtab" localSheetId="38">#REF!</definedName>
    <definedName name="bidtab">#REF!</definedName>
    <definedName name="bigemiss" localSheetId="3">#REF!</definedName>
    <definedName name="bigemiss" localSheetId="7">#REF!</definedName>
    <definedName name="bigemiss" localSheetId="9">#REF!</definedName>
    <definedName name="bigemiss" localSheetId="10">#REF!</definedName>
    <definedName name="bigemiss" localSheetId="15">#REF!</definedName>
    <definedName name="bigemiss" localSheetId="19">#REF!</definedName>
    <definedName name="bigemiss" localSheetId="20">#REF!</definedName>
    <definedName name="bigemiss" localSheetId="24">#REF!</definedName>
    <definedName name="bigemiss" localSheetId="104">#REF!</definedName>
    <definedName name="bigemiss" localSheetId="65">#REF!</definedName>
    <definedName name="bigemiss" localSheetId="64">#REF!</definedName>
    <definedName name="bigemiss" localSheetId="77">#REF!</definedName>
    <definedName name="bigemiss" localSheetId="49">#REF!</definedName>
    <definedName name="bigemiss" localSheetId="40">#REF!</definedName>
    <definedName name="bigemiss" localSheetId="43">#REF!</definedName>
    <definedName name="bigemiss" localSheetId="13">#REF!</definedName>
    <definedName name="bigemiss" localSheetId="38">#REF!</definedName>
    <definedName name="bigemiss">#REF!</definedName>
    <definedName name="bigemiss1" localSheetId="3">#REF!</definedName>
    <definedName name="bigemiss1" localSheetId="7">#REF!</definedName>
    <definedName name="bigemiss1" localSheetId="9">#REF!</definedName>
    <definedName name="bigemiss1" localSheetId="10">#REF!</definedName>
    <definedName name="bigemiss1" localSheetId="15">#REF!</definedName>
    <definedName name="bigemiss1" localSheetId="19">#REF!</definedName>
    <definedName name="bigemiss1" localSheetId="20">#REF!</definedName>
    <definedName name="bigemiss1" localSheetId="24">#REF!</definedName>
    <definedName name="bigemiss1" localSheetId="104">#REF!</definedName>
    <definedName name="bigemiss1" localSheetId="65">#REF!</definedName>
    <definedName name="bigemiss1" localSheetId="64">#REF!</definedName>
    <definedName name="bigemiss1" localSheetId="77">#REF!</definedName>
    <definedName name="bigemiss1" localSheetId="49">#REF!</definedName>
    <definedName name="bigemiss1" localSheetId="40">#REF!</definedName>
    <definedName name="bigemiss1" localSheetId="43">#REF!</definedName>
    <definedName name="bigemiss1" localSheetId="13">#REF!</definedName>
    <definedName name="bigemiss1" localSheetId="38">#REF!</definedName>
    <definedName name="bigemiss1">#REF!</definedName>
    <definedName name="bigsheet" localSheetId="3">#REF!</definedName>
    <definedName name="bigsheet" localSheetId="7">#REF!</definedName>
    <definedName name="bigsheet" localSheetId="9">#REF!</definedName>
    <definedName name="bigsheet" localSheetId="10">#REF!</definedName>
    <definedName name="bigsheet" localSheetId="15">#REF!</definedName>
    <definedName name="bigsheet" localSheetId="19">#REF!</definedName>
    <definedName name="bigsheet" localSheetId="20">#REF!</definedName>
    <definedName name="bigsheet" localSheetId="24">#REF!</definedName>
    <definedName name="bigsheet" localSheetId="104">#REF!</definedName>
    <definedName name="bigsheet" localSheetId="65">#REF!</definedName>
    <definedName name="bigsheet" localSheetId="64">#REF!</definedName>
    <definedName name="bigsheet" localSheetId="77">#REF!</definedName>
    <definedName name="bigsheet" localSheetId="49">#REF!</definedName>
    <definedName name="bigsheet" localSheetId="40">#REF!</definedName>
    <definedName name="bigsheet" localSheetId="43">#REF!</definedName>
    <definedName name="bigsheet" localSheetId="13">#REF!</definedName>
    <definedName name="bigsheet" localSheetId="38">#REF!</definedName>
    <definedName name="bigsheet">#REF!</definedName>
    <definedName name="BOIL_SIZE_TYPE" localSheetId="3">#REF!</definedName>
    <definedName name="BOIL_SIZE_TYPE" localSheetId="7">#REF!</definedName>
    <definedName name="BOIL_SIZE_TYPE" localSheetId="9">#REF!</definedName>
    <definedName name="BOIL_SIZE_TYPE" localSheetId="10">#REF!</definedName>
    <definedName name="BOIL_SIZE_TYPE" localSheetId="15">#REF!</definedName>
    <definedName name="BOIL_SIZE_TYPE" localSheetId="19">#REF!</definedName>
    <definedName name="BOIL_SIZE_TYPE" localSheetId="20">#REF!</definedName>
    <definedName name="BOIL_SIZE_TYPE" localSheetId="24">#REF!</definedName>
    <definedName name="BOIL_SIZE_TYPE" localSheetId="104">#REF!</definedName>
    <definedName name="BOIL_SIZE_TYPE" localSheetId="65">#REF!</definedName>
    <definedName name="BOIL_SIZE_TYPE" localSheetId="64">#REF!</definedName>
    <definedName name="BOIL_SIZE_TYPE" localSheetId="77">#REF!</definedName>
    <definedName name="BOIL_SIZE_TYPE" localSheetId="49">#REF!</definedName>
    <definedName name="BOIL_SIZE_TYPE" localSheetId="40">#REF!</definedName>
    <definedName name="BOIL_SIZE_TYPE" localSheetId="43">#REF!</definedName>
    <definedName name="BOIL_SIZE_TYPE" localSheetId="13">#REF!</definedName>
    <definedName name="BOIL_SIZE_TYPE" localSheetId="38">#REF!</definedName>
    <definedName name="BOIL_SIZE_TYPE">#REF!</definedName>
    <definedName name="boil1" localSheetId="3">#REF!</definedName>
    <definedName name="boil1" localSheetId="7">#REF!</definedName>
    <definedName name="boil1" localSheetId="9">#REF!</definedName>
    <definedName name="boil1" localSheetId="10">#REF!</definedName>
    <definedName name="boil1" localSheetId="15">#REF!</definedName>
    <definedName name="boil1" localSheetId="19">#REF!</definedName>
    <definedName name="boil1" localSheetId="20">#REF!</definedName>
    <definedName name="boil1" localSheetId="24">#REF!</definedName>
    <definedName name="boil1" localSheetId="104">#REF!</definedName>
    <definedName name="boil1" localSheetId="65">#REF!</definedName>
    <definedName name="boil1" localSheetId="64">#REF!</definedName>
    <definedName name="boil1" localSheetId="77">#REF!</definedName>
    <definedName name="boil1" localSheetId="49">#REF!</definedName>
    <definedName name="boil1" localSheetId="40">#REF!</definedName>
    <definedName name="boil1" localSheetId="43">#REF!</definedName>
    <definedName name="boil1" localSheetId="13">#REF!</definedName>
    <definedName name="boil1" localSheetId="38">#REF!</definedName>
    <definedName name="boil1">#REF!</definedName>
    <definedName name="boil2" localSheetId="3">#REF!</definedName>
    <definedName name="boil2" localSheetId="7">#REF!</definedName>
    <definedName name="boil2" localSheetId="9">#REF!</definedName>
    <definedName name="boil2" localSheetId="10">#REF!</definedName>
    <definedName name="boil2" localSheetId="15">#REF!</definedName>
    <definedName name="boil2" localSheetId="19">#REF!</definedName>
    <definedName name="boil2" localSheetId="20">#REF!</definedName>
    <definedName name="boil2" localSheetId="24">#REF!</definedName>
    <definedName name="boil2" localSheetId="104">#REF!</definedName>
    <definedName name="boil2" localSheetId="65">#REF!</definedName>
    <definedName name="boil2" localSheetId="64">#REF!</definedName>
    <definedName name="boil2" localSheetId="77">#REF!</definedName>
    <definedName name="boil2" localSheetId="49">#REF!</definedName>
    <definedName name="boil2" localSheetId="40">#REF!</definedName>
    <definedName name="boil2" localSheetId="43">#REF!</definedName>
    <definedName name="boil2" localSheetId="13">#REF!</definedName>
    <definedName name="boil2" localSheetId="38">#REF!</definedName>
    <definedName name="boil2">#REF!</definedName>
    <definedName name="boil3" localSheetId="3">#REF!</definedName>
    <definedName name="boil3" localSheetId="7">#REF!</definedName>
    <definedName name="boil3" localSheetId="9">#REF!</definedName>
    <definedName name="boil3" localSheetId="10">#REF!</definedName>
    <definedName name="boil3" localSheetId="15">#REF!</definedName>
    <definedName name="boil3" localSheetId="19">#REF!</definedName>
    <definedName name="boil3" localSheetId="20">#REF!</definedName>
    <definedName name="boil3" localSheetId="24">#REF!</definedName>
    <definedName name="boil3" localSheetId="104">#REF!</definedName>
    <definedName name="boil3" localSheetId="65">#REF!</definedName>
    <definedName name="boil3" localSheetId="64">#REF!</definedName>
    <definedName name="boil3" localSheetId="77">#REF!</definedName>
    <definedName name="boil3" localSheetId="49">#REF!</definedName>
    <definedName name="boil3" localSheetId="40">#REF!</definedName>
    <definedName name="boil3" localSheetId="43">#REF!</definedName>
    <definedName name="boil3" localSheetId="13">#REF!</definedName>
    <definedName name="boil3" localSheetId="38">#REF!</definedName>
    <definedName name="boil3">#REF!</definedName>
    <definedName name="boil4" localSheetId="3">#REF!</definedName>
    <definedName name="boil4" localSheetId="7">#REF!</definedName>
    <definedName name="boil4" localSheetId="9">#REF!</definedName>
    <definedName name="boil4" localSheetId="10">#REF!</definedName>
    <definedName name="boil4" localSheetId="15">#REF!</definedName>
    <definedName name="boil4" localSheetId="19">#REF!</definedName>
    <definedName name="boil4" localSheetId="20">#REF!</definedName>
    <definedName name="boil4" localSheetId="24">#REF!</definedName>
    <definedName name="boil4" localSheetId="104">#REF!</definedName>
    <definedName name="boil4" localSheetId="65">#REF!</definedName>
    <definedName name="boil4" localSheetId="64">#REF!</definedName>
    <definedName name="boil4" localSheetId="77">#REF!</definedName>
    <definedName name="boil4" localSheetId="49">#REF!</definedName>
    <definedName name="boil4" localSheetId="40">#REF!</definedName>
    <definedName name="boil4" localSheetId="43">#REF!</definedName>
    <definedName name="boil4" localSheetId="13">#REF!</definedName>
    <definedName name="boil4" localSheetId="38">#REF!</definedName>
    <definedName name="boil4">#REF!</definedName>
    <definedName name="boiltot" localSheetId="3">#REF!</definedName>
    <definedName name="boiltot" localSheetId="7">#REF!</definedName>
    <definedName name="boiltot" localSheetId="9">#REF!</definedName>
    <definedName name="boiltot" localSheetId="10">#REF!</definedName>
    <definedName name="boiltot" localSheetId="15">#REF!</definedName>
    <definedName name="boiltot" localSheetId="19">#REF!</definedName>
    <definedName name="boiltot" localSheetId="20">#REF!</definedName>
    <definedName name="boiltot" localSheetId="24">#REF!</definedName>
    <definedName name="boiltot" localSheetId="104">#REF!</definedName>
    <definedName name="boiltot" localSheetId="65">#REF!</definedName>
    <definedName name="boiltot" localSheetId="64">#REF!</definedName>
    <definedName name="boiltot" localSheetId="77">#REF!</definedName>
    <definedName name="boiltot" localSheetId="49">#REF!</definedName>
    <definedName name="boiltot" localSheetId="40">#REF!</definedName>
    <definedName name="boiltot" localSheetId="43">#REF!</definedName>
    <definedName name="boiltot" localSheetId="13">#REF!</definedName>
    <definedName name="boiltot" localSheetId="38">#REF!</definedName>
    <definedName name="boiltot">#REF!</definedName>
    <definedName name="brinedensity" localSheetId="3">#REF!</definedName>
    <definedName name="brinedensity" localSheetId="7">#REF!</definedName>
    <definedName name="brinedensity" localSheetId="9">#REF!</definedName>
    <definedName name="brinedensity" localSheetId="10">#REF!</definedName>
    <definedName name="brinedensity" localSheetId="15">#REF!</definedName>
    <definedName name="brinedensity" localSheetId="19">#REF!</definedName>
    <definedName name="brinedensity" localSheetId="20">#REF!</definedName>
    <definedName name="brinedensity" localSheetId="24">#REF!</definedName>
    <definedName name="brinedensity" localSheetId="104">#REF!</definedName>
    <definedName name="brinedensity" localSheetId="65">#REF!</definedName>
    <definedName name="brinedensity" localSheetId="64">#REF!</definedName>
    <definedName name="brinedensity" localSheetId="77">#REF!</definedName>
    <definedName name="brinedensity" localSheetId="49">#REF!</definedName>
    <definedName name="brinedensity" localSheetId="40">#REF!</definedName>
    <definedName name="brinedensity" localSheetId="43">#REF!</definedName>
    <definedName name="brinedensity" localSheetId="13">#REF!</definedName>
    <definedName name="brinedensity" localSheetId="38">#REF!</definedName>
    <definedName name="brinedensity">#REF!</definedName>
    <definedName name="btank" localSheetId="3">#REF!</definedName>
    <definedName name="btank" localSheetId="7">#REF!</definedName>
    <definedName name="btank" localSheetId="9">#REF!</definedName>
    <definedName name="btank" localSheetId="10">#REF!</definedName>
    <definedName name="btank" localSheetId="15">#REF!</definedName>
    <definedName name="btank" localSheetId="19">#REF!</definedName>
    <definedName name="btank" localSheetId="20">#REF!</definedName>
    <definedName name="btank" localSheetId="24">#REF!</definedName>
    <definedName name="btank" localSheetId="104">#REF!</definedName>
    <definedName name="btank" localSheetId="65">#REF!</definedName>
    <definedName name="btank" localSheetId="64">#REF!</definedName>
    <definedName name="btank" localSheetId="77">#REF!</definedName>
    <definedName name="btank" localSheetId="49">#REF!</definedName>
    <definedName name="btank" localSheetId="40">#REF!</definedName>
    <definedName name="btank" localSheetId="43">#REF!</definedName>
    <definedName name="btank" localSheetId="13">#REF!</definedName>
    <definedName name="btank" localSheetId="38">#REF!</definedName>
    <definedName name="btank">#REF!</definedName>
    <definedName name="BTUval" localSheetId="3">#REF!</definedName>
    <definedName name="BTUval" localSheetId="7">#REF!</definedName>
    <definedName name="BTUval" localSheetId="9">#REF!</definedName>
    <definedName name="BTUval" localSheetId="10">#REF!</definedName>
    <definedName name="BTUval" localSheetId="15">#REF!</definedName>
    <definedName name="BTUval" localSheetId="19">#REF!</definedName>
    <definedName name="BTUval" localSheetId="20">#REF!</definedName>
    <definedName name="BTUval" localSheetId="24">#REF!</definedName>
    <definedName name="BTUval" localSheetId="104">#REF!</definedName>
    <definedName name="BTUval" localSheetId="65">#REF!</definedName>
    <definedName name="BTUval" localSheetId="64">#REF!</definedName>
    <definedName name="BTUval" localSheetId="77">#REF!</definedName>
    <definedName name="BTUval" localSheetId="49">#REF!</definedName>
    <definedName name="BTUval" localSheetId="40">#REF!</definedName>
    <definedName name="BTUval" localSheetId="43">#REF!</definedName>
    <definedName name="BTUval" localSheetId="13">#REF!</definedName>
    <definedName name="BTUval" localSheetId="38">#REF!</definedName>
    <definedName name="BTUval">#REF!</definedName>
    <definedName name="buck1" localSheetId="3">#REF!</definedName>
    <definedName name="buck1" localSheetId="7">#REF!</definedName>
    <definedName name="buck1" localSheetId="9">#REF!</definedName>
    <definedName name="buck1" localSheetId="10">#REF!</definedName>
    <definedName name="buck1" localSheetId="15">#REF!</definedName>
    <definedName name="buck1" localSheetId="19">#REF!</definedName>
    <definedName name="buck1" localSheetId="20">#REF!</definedName>
    <definedName name="buck1" localSheetId="24">#REF!</definedName>
    <definedName name="buck1" localSheetId="104">#REF!</definedName>
    <definedName name="buck1" localSheetId="65">#REF!</definedName>
    <definedName name="buck1" localSheetId="64">#REF!</definedName>
    <definedName name="buck1" localSheetId="77">#REF!</definedName>
    <definedName name="buck1" localSheetId="49">#REF!</definedName>
    <definedName name="buck1" localSheetId="40">#REF!</definedName>
    <definedName name="buck1" localSheetId="43">#REF!</definedName>
    <definedName name="buck1" localSheetId="13">#REF!</definedName>
    <definedName name="buck1" localSheetId="38">#REF!</definedName>
    <definedName name="buck1">#REF!</definedName>
    <definedName name="buck2" localSheetId="3">#REF!</definedName>
    <definedName name="buck2" localSheetId="7">#REF!</definedName>
    <definedName name="buck2" localSheetId="9">#REF!</definedName>
    <definedName name="buck2" localSheetId="10">#REF!</definedName>
    <definedName name="buck2" localSheetId="15">#REF!</definedName>
    <definedName name="buck2" localSheetId="19">#REF!</definedName>
    <definedName name="buck2" localSheetId="20">#REF!</definedName>
    <definedName name="buck2" localSheetId="24">#REF!</definedName>
    <definedName name="buck2" localSheetId="104">#REF!</definedName>
    <definedName name="buck2" localSheetId="65">#REF!</definedName>
    <definedName name="buck2" localSheetId="64">#REF!</definedName>
    <definedName name="buck2" localSheetId="77">#REF!</definedName>
    <definedName name="buck2" localSheetId="49">#REF!</definedName>
    <definedName name="buck2" localSheetId="40">#REF!</definedName>
    <definedName name="buck2" localSheetId="43">#REF!</definedName>
    <definedName name="buck2" localSheetId="13">#REF!</definedName>
    <definedName name="buck2" localSheetId="38">#REF!</definedName>
    <definedName name="buck2">#REF!</definedName>
    <definedName name="buck3" localSheetId="3">#REF!</definedName>
    <definedName name="buck3" localSheetId="7">#REF!</definedName>
    <definedName name="buck3" localSheetId="9">#REF!</definedName>
    <definedName name="buck3" localSheetId="10">#REF!</definedName>
    <definedName name="buck3" localSheetId="15">#REF!</definedName>
    <definedName name="buck3" localSheetId="19">#REF!</definedName>
    <definedName name="buck3" localSheetId="20">#REF!</definedName>
    <definedName name="buck3" localSheetId="24">#REF!</definedName>
    <definedName name="buck3" localSheetId="104">#REF!</definedName>
    <definedName name="buck3" localSheetId="65">#REF!</definedName>
    <definedName name="buck3" localSheetId="64">#REF!</definedName>
    <definedName name="buck3" localSheetId="77">#REF!</definedName>
    <definedName name="buck3" localSheetId="49">#REF!</definedName>
    <definedName name="buck3" localSheetId="40">#REF!</definedName>
    <definedName name="buck3" localSheetId="43">#REF!</definedName>
    <definedName name="buck3" localSheetId="13">#REF!</definedName>
    <definedName name="buck3" localSheetId="38">#REF!</definedName>
    <definedName name="buck3">#REF!</definedName>
    <definedName name="buck4" localSheetId="3">#REF!</definedName>
    <definedName name="buck4" localSheetId="7">#REF!</definedName>
    <definedName name="buck4" localSheetId="9">#REF!</definedName>
    <definedName name="buck4" localSheetId="10">#REF!</definedName>
    <definedName name="buck4" localSheetId="15">#REF!</definedName>
    <definedName name="buck4" localSheetId="19">#REF!</definedName>
    <definedName name="buck4" localSheetId="20">#REF!</definedName>
    <definedName name="buck4" localSheetId="24">#REF!</definedName>
    <definedName name="buck4" localSheetId="104">#REF!</definedName>
    <definedName name="buck4" localSheetId="65">#REF!</definedName>
    <definedName name="buck4" localSheetId="64">#REF!</definedName>
    <definedName name="buck4" localSheetId="77">#REF!</definedName>
    <definedName name="buck4" localSheetId="49">#REF!</definedName>
    <definedName name="buck4" localSheetId="40">#REF!</definedName>
    <definedName name="buck4" localSheetId="43">#REF!</definedName>
    <definedName name="buck4" localSheetId="13">#REF!</definedName>
    <definedName name="buck4" localSheetId="38">#REF!</definedName>
    <definedName name="buck4">#REF!</definedName>
    <definedName name="bucktot" localSheetId="3">#REF!</definedName>
    <definedName name="bucktot" localSheetId="7">#REF!</definedName>
    <definedName name="bucktot" localSheetId="9">#REF!</definedName>
    <definedName name="bucktot" localSheetId="10">#REF!</definedName>
    <definedName name="bucktot" localSheetId="15">#REF!</definedName>
    <definedName name="bucktot" localSheetId="19">#REF!</definedName>
    <definedName name="bucktot" localSheetId="20">#REF!</definedName>
    <definedName name="bucktot" localSheetId="24">#REF!</definedName>
    <definedName name="bucktot" localSheetId="104">#REF!</definedName>
    <definedName name="bucktot" localSheetId="65">#REF!</definedName>
    <definedName name="bucktot" localSheetId="64">#REF!</definedName>
    <definedName name="bucktot" localSheetId="77">#REF!</definedName>
    <definedName name="bucktot" localSheetId="49">#REF!</definedName>
    <definedName name="bucktot" localSheetId="40">#REF!</definedName>
    <definedName name="bucktot" localSheetId="43">#REF!</definedName>
    <definedName name="bucktot" localSheetId="13">#REF!</definedName>
    <definedName name="bucktot" localSheetId="38">#REF!</definedName>
    <definedName name="bucktot">#REF!</definedName>
    <definedName name="C_" localSheetId="3">'[4]Process Tanks'!#REF!</definedName>
    <definedName name="C_" localSheetId="7">'[4]Process Tanks'!#REF!</definedName>
    <definedName name="C_" localSheetId="9">'[4]Process Tanks'!#REF!</definedName>
    <definedName name="C_" localSheetId="10">'[4]Process Tanks'!#REF!</definedName>
    <definedName name="C_" localSheetId="15">'[4]Process Tanks'!#REF!</definedName>
    <definedName name="C_" localSheetId="19">'[4]Process Tanks'!#REF!</definedName>
    <definedName name="C_" localSheetId="20">'[4]Process Tanks'!#REF!</definedName>
    <definedName name="C_" localSheetId="24">'[4]Process Tanks'!#REF!</definedName>
    <definedName name="C_" localSheetId="104">'[4]Process Tanks'!#REF!</definedName>
    <definedName name="C_" localSheetId="75">'[4]Process Tanks'!#REF!</definedName>
    <definedName name="C_" localSheetId="65">'[4]Process Tanks'!#REF!</definedName>
    <definedName name="C_" localSheetId="64">'[4]Process Tanks'!#REF!</definedName>
    <definedName name="C_" localSheetId="77">'[4]Process Tanks'!#REF!</definedName>
    <definedName name="C_" localSheetId="49">'[4]Process Tanks'!#REF!</definedName>
    <definedName name="C_" localSheetId="48">'[4]Process Tanks'!#REF!</definedName>
    <definedName name="C_" localSheetId="40">'[4]Process Tanks'!#REF!</definedName>
    <definedName name="C_" localSheetId="43">'[4]Process Tanks'!#REF!</definedName>
    <definedName name="C_" localSheetId="13">'[4]Process Tanks'!#REF!</definedName>
    <definedName name="C_" localSheetId="38">'[4]Process Tanks'!#REF!</definedName>
    <definedName name="C_">'[4]Process Tanks'!#REF!</definedName>
    <definedName name="CA" localSheetId="3">#REF!</definedName>
    <definedName name="CA" localSheetId="7">#REF!</definedName>
    <definedName name="CA" localSheetId="9">#REF!</definedName>
    <definedName name="CA" localSheetId="10">#REF!</definedName>
    <definedName name="CA" localSheetId="15">#REF!</definedName>
    <definedName name="CA" localSheetId="19">#REF!</definedName>
    <definedName name="CA" localSheetId="20">#REF!</definedName>
    <definedName name="CA" localSheetId="24">#REF!</definedName>
    <definedName name="CA" localSheetId="104">#REF!</definedName>
    <definedName name="CA" localSheetId="65">#REF!</definedName>
    <definedName name="CA" localSheetId="64">#REF!</definedName>
    <definedName name="CA" localSheetId="77">#REF!</definedName>
    <definedName name="CA" localSheetId="49">#REF!</definedName>
    <definedName name="CA" localSheetId="40">#REF!</definedName>
    <definedName name="CA" localSheetId="43">#REF!</definedName>
    <definedName name="CA" localSheetId="13">#REF!</definedName>
    <definedName name="CA" localSheetId="38">#REF!</definedName>
    <definedName name="CA">#REF!</definedName>
    <definedName name="CABANA1" localSheetId="3">#REF!</definedName>
    <definedName name="CABANA1" localSheetId="7">#REF!</definedName>
    <definedName name="CABANA1" localSheetId="9">#REF!</definedName>
    <definedName name="CABANA1" localSheetId="10">#REF!</definedName>
    <definedName name="CABANA1" localSheetId="15">#REF!</definedName>
    <definedName name="CABANA1" localSheetId="19">#REF!</definedName>
    <definedName name="CABANA1" localSheetId="20">#REF!</definedName>
    <definedName name="CABANA1" localSheetId="24">#REF!</definedName>
    <definedName name="CABANA1" localSheetId="104">#REF!</definedName>
    <definedName name="CABANA1" localSheetId="65">#REF!</definedName>
    <definedName name="CABANA1" localSheetId="64">#REF!</definedName>
    <definedName name="CABANA1" localSheetId="77">#REF!</definedName>
    <definedName name="CABANA1" localSheetId="49">#REF!</definedName>
    <definedName name="CABANA1" localSheetId="40">#REF!</definedName>
    <definedName name="CABANA1" localSheetId="43">#REF!</definedName>
    <definedName name="CABANA1" localSheetId="13">#REF!</definedName>
    <definedName name="CABANA1" localSheetId="38">#REF!</definedName>
    <definedName name="CABANA1">#REF!</definedName>
    <definedName name="CABANA2" localSheetId="3">#REF!</definedName>
    <definedName name="CABANA2" localSheetId="7">#REF!</definedName>
    <definedName name="CABANA2" localSheetId="9">#REF!</definedName>
    <definedName name="CABANA2" localSheetId="10">#REF!</definedName>
    <definedName name="CABANA2" localSheetId="15">#REF!</definedName>
    <definedName name="CABANA2" localSheetId="19">#REF!</definedName>
    <definedName name="CABANA2" localSheetId="20">#REF!</definedName>
    <definedName name="CABANA2" localSheetId="24">#REF!</definedName>
    <definedName name="CABANA2" localSheetId="104">#REF!</definedName>
    <definedName name="CABANA2" localSheetId="65">#REF!</definedName>
    <definedName name="CABANA2" localSheetId="64">#REF!</definedName>
    <definedName name="CABANA2" localSheetId="77">#REF!</definedName>
    <definedName name="CABANA2" localSheetId="49">#REF!</definedName>
    <definedName name="CABANA2" localSheetId="40">#REF!</definedName>
    <definedName name="CABANA2" localSheetId="43">#REF!</definedName>
    <definedName name="CABANA2" localSheetId="13">#REF!</definedName>
    <definedName name="CABANA2" localSheetId="38">#REF!</definedName>
    <definedName name="CABANA2">#REF!</definedName>
    <definedName name="CABANA3" localSheetId="3">#REF!</definedName>
    <definedName name="CABANA3" localSheetId="7">#REF!</definedName>
    <definedName name="CABANA3" localSheetId="9">#REF!</definedName>
    <definedName name="CABANA3" localSheetId="10">#REF!</definedName>
    <definedName name="CABANA3" localSheetId="15">#REF!</definedName>
    <definedName name="CABANA3" localSheetId="19">#REF!</definedName>
    <definedName name="CABANA3" localSheetId="20">#REF!</definedName>
    <definedName name="CABANA3" localSheetId="24">#REF!</definedName>
    <definedName name="CABANA3" localSheetId="104">#REF!</definedName>
    <definedName name="CABANA3" localSheetId="65">#REF!</definedName>
    <definedName name="CABANA3" localSheetId="64">#REF!</definedName>
    <definedName name="CABANA3" localSheetId="77">#REF!</definedName>
    <definedName name="CABANA3" localSheetId="49">#REF!</definedName>
    <definedName name="CABANA3" localSheetId="40">#REF!</definedName>
    <definedName name="CABANA3" localSheetId="43">#REF!</definedName>
    <definedName name="CABANA3" localSheetId="13">#REF!</definedName>
    <definedName name="CABANA3" localSheetId="38">#REF!</definedName>
    <definedName name="CABANA3">#REF!</definedName>
    <definedName name="CABANA4" localSheetId="3">#REF!</definedName>
    <definedName name="CABANA4" localSheetId="7">#REF!</definedName>
    <definedName name="CABANA4" localSheetId="9">#REF!</definedName>
    <definedName name="CABANA4" localSheetId="10">#REF!</definedName>
    <definedName name="CABANA4" localSheetId="15">#REF!</definedName>
    <definedName name="CABANA4" localSheetId="19">#REF!</definedName>
    <definedName name="CABANA4" localSheetId="20">#REF!</definedName>
    <definedName name="CABANA4" localSheetId="24">#REF!</definedName>
    <definedName name="CABANA4" localSheetId="104">#REF!</definedName>
    <definedName name="CABANA4" localSheetId="65">#REF!</definedName>
    <definedName name="CABANA4" localSheetId="64">#REF!</definedName>
    <definedName name="CABANA4" localSheetId="77">#REF!</definedName>
    <definedName name="CABANA4" localSheetId="49">#REF!</definedName>
    <definedName name="CABANA4" localSheetId="40">#REF!</definedName>
    <definedName name="CABANA4" localSheetId="43">#REF!</definedName>
    <definedName name="CABANA4" localSheetId="13">#REF!</definedName>
    <definedName name="CABANA4" localSheetId="38">#REF!</definedName>
    <definedName name="CABANA4">#REF!</definedName>
    <definedName name="CALC_FUEL_USE" localSheetId="3">#REF!</definedName>
    <definedName name="CALC_FUEL_USE" localSheetId="7">#REF!</definedName>
    <definedName name="CALC_FUEL_USE" localSheetId="9">#REF!</definedName>
    <definedName name="CALC_FUEL_USE" localSheetId="10">#REF!</definedName>
    <definedName name="CALC_FUEL_USE" localSheetId="15">#REF!</definedName>
    <definedName name="CALC_FUEL_USE" localSheetId="19">#REF!</definedName>
    <definedName name="CALC_FUEL_USE" localSheetId="20">#REF!</definedName>
    <definedName name="CALC_FUEL_USE" localSheetId="24">#REF!</definedName>
    <definedName name="CALC_FUEL_USE" localSheetId="104">#REF!</definedName>
    <definedName name="CALC_FUEL_USE" localSheetId="65">#REF!</definedName>
    <definedName name="CALC_FUEL_USE" localSheetId="64">#REF!</definedName>
    <definedName name="CALC_FUEL_USE" localSheetId="77">#REF!</definedName>
    <definedName name="CALC_FUEL_USE" localSheetId="49">#REF!</definedName>
    <definedName name="CALC_FUEL_USE" localSheetId="40">#REF!</definedName>
    <definedName name="CALC_FUEL_USE" localSheetId="43">#REF!</definedName>
    <definedName name="CALC_FUEL_USE" localSheetId="13">#REF!</definedName>
    <definedName name="CALC_FUEL_USE" localSheetId="38">#REF!</definedName>
    <definedName name="CALC_FUEL_USE">#REF!</definedName>
    <definedName name="Calcs" localSheetId="3">#REF!</definedName>
    <definedName name="Calcs" localSheetId="7">#REF!</definedName>
    <definedName name="Calcs" localSheetId="9">#REF!</definedName>
    <definedName name="Calcs" localSheetId="10">#REF!</definedName>
    <definedName name="Calcs" localSheetId="15">#REF!</definedName>
    <definedName name="Calcs" localSheetId="19">#REF!</definedName>
    <definedName name="Calcs" localSheetId="20">#REF!</definedName>
    <definedName name="Calcs" localSheetId="24">#REF!</definedName>
    <definedName name="Calcs" localSheetId="104">#REF!</definedName>
    <definedName name="Calcs" localSheetId="65">#REF!</definedName>
    <definedName name="Calcs" localSheetId="64">#REF!</definedName>
    <definedName name="Calcs" localSheetId="77">#REF!</definedName>
    <definedName name="Calcs" localSheetId="49">#REF!</definedName>
    <definedName name="Calcs" localSheetId="40">#REF!</definedName>
    <definedName name="Calcs" localSheetId="43">#REF!</definedName>
    <definedName name="Calcs" localSheetId="13">#REF!</definedName>
    <definedName name="Calcs" localSheetId="38">#REF!</definedName>
    <definedName name="Calcs">#REF!</definedName>
    <definedName name="CASHFLOCALC" localSheetId="3">#REF!</definedName>
    <definedName name="CASHFLOCALC" localSheetId="7">#REF!</definedName>
    <definedName name="CASHFLOCALC" localSheetId="9">#REF!</definedName>
    <definedName name="CASHFLOCALC" localSheetId="10">#REF!</definedName>
    <definedName name="CASHFLOCALC" localSheetId="15">#REF!</definedName>
    <definedName name="CASHFLOCALC" localSheetId="19">#REF!</definedName>
    <definedName name="CASHFLOCALC" localSheetId="20">#REF!</definedName>
    <definedName name="CASHFLOCALC" localSheetId="24">#REF!</definedName>
    <definedName name="CASHFLOCALC" localSheetId="104">#REF!</definedName>
    <definedName name="CASHFLOCALC" localSheetId="65">#REF!</definedName>
    <definedName name="CASHFLOCALC" localSheetId="64">#REF!</definedName>
    <definedName name="CASHFLOCALC" localSheetId="77">#REF!</definedName>
    <definedName name="CASHFLOCALC" localSheetId="49">#REF!</definedName>
    <definedName name="CASHFLOCALC" localSheetId="40">#REF!</definedName>
    <definedName name="CASHFLOCALC" localSheetId="43">#REF!</definedName>
    <definedName name="CASHFLOCALC" localSheetId="13">#REF!</definedName>
    <definedName name="CASHFLOCALC" localSheetId="38">#REF!</definedName>
    <definedName name="CASHFLOCALC">#REF!</definedName>
    <definedName name="CASHFLOW" localSheetId="3">#REF!</definedName>
    <definedName name="CASHFLOW" localSheetId="7">#REF!</definedName>
    <definedName name="CASHFLOW" localSheetId="9">#REF!</definedName>
    <definedName name="CASHFLOW" localSheetId="10">#REF!</definedName>
    <definedName name="CASHFLOW" localSheetId="15">#REF!</definedName>
    <definedName name="CASHFLOW" localSheetId="19">#REF!</definedName>
    <definedName name="CASHFLOW" localSheetId="20">#REF!</definedName>
    <definedName name="CASHFLOW" localSheetId="24">#REF!</definedName>
    <definedName name="CASHFLOW" localSheetId="104">#REF!</definedName>
    <definedName name="CASHFLOW" localSheetId="65">#REF!</definedName>
    <definedName name="CASHFLOW" localSheetId="64">#REF!</definedName>
    <definedName name="CASHFLOW" localSheetId="77">#REF!</definedName>
    <definedName name="CASHFLOW" localSheetId="49">#REF!</definedName>
    <definedName name="CASHFLOW" localSheetId="40">#REF!</definedName>
    <definedName name="CASHFLOW" localSheetId="43">#REF!</definedName>
    <definedName name="CASHFLOW" localSheetId="13">#REF!</definedName>
    <definedName name="CASHFLOW" localSheetId="38">#REF!</definedName>
    <definedName name="CASHFLOW">#REF!</definedName>
    <definedName name="CASHFLOW2" localSheetId="3">#REF!</definedName>
    <definedName name="CASHFLOW2" localSheetId="7">#REF!</definedName>
    <definedName name="CASHFLOW2" localSheetId="9">#REF!</definedName>
    <definedName name="CASHFLOW2" localSheetId="10">#REF!</definedName>
    <definedName name="CASHFLOW2" localSheetId="15">#REF!</definedName>
    <definedName name="CASHFLOW2" localSheetId="19">#REF!</definedName>
    <definedName name="CASHFLOW2" localSheetId="20">#REF!</definedName>
    <definedName name="CASHFLOW2" localSheetId="24">#REF!</definedName>
    <definedName name="CASHFLOW2" localSheetId="104">#REF!</definedName>
    <definedName name="CASHFLOW2" localSheetId="65">#REF!</definedName>
    <definedName name="CASHFLOW2" localSheetId="64">#REF!</definedName>
    <definedName name="CASHFLOW2" localSheetId="77">#REF!</definedName>
    <definedName name="CASHFLOW2" localSheetId="49">#REF!</definedName>
    <definedName name="CASHFLOW2" localSheetId="40">#REF!</definedName>
    <definedName name="CASHFLOW2" localSheetId="43">#REF!</definedName>
    <definedName name="CASHFLOW2" localSheetId="13">#REF!</definedName>
    <definedName name="CASHFLOW2" localSheetId="38">#REF!</definedName>
    <definedName name="CASHFLOW2">#REF!</definedName>
    <definedName name="CASHFLOW3" localSheetId="3">#REF!</definedName>
    <definedName name="CASHFLOW3" localSheetId="7">#REF!</definedName>
    <definedName name="CASHFLOW3" localSheetId="9">#REF!</definedName>
    <definedName name="CASHFLOW3" localSheetId="10">#REF!</definedName>
    <definedName name="CASHFLOW3" localSheetId="15">#REF!</definedName>
    <definedName name="CASHFLOW3" localSheetId="19">#REF!</definedName>
    <definedName name="CASHFLOW3" localSheetId="20">#REF!</definedName>
    <definedName name="CASHFLOW3" localSheetId="24">#REF!</definedName>
    <definedName name="CASHFLOW3" localSheetId="104">#REF!</definedName>
    <definedName name="CASHFLOW3" localSheetId="65">#REF!</definedName>
    <definedName name="CASHFLOW3" localSheetId="64">#REF!</definedName>
    <definedName name="CASHFLOW3" localSheetId="77">#REF!</definedName>
    <definedName name="CASHFLOW3" localSheetId="49">#REF!</definedName>
    <definedName name="CASHFLOW3" localSheetId="40">#REF!</definedName>
    <definedName name="CASHFLOW3" localSheetId="43">#REF!</definedName>
    <definedName name="CASHFLOW3" localSheetId="13">#REF!</definedName>
    <definedName name="CASHFLOW3" localSheetId="38">#REF!</definedName>
    <definedName name="CASHFLOW3">#REF!</definedName>
    <definedName name="CASHFLOW4" localSheetId="3">#REF!</definedName>
    <definedName name="CASHFLOW4" localSheetId="7">#REF!</definedName>
    <definedName name="CASHFLOW4" localSheetId="9">#REF!</definedName>
    <definedName name="CASHFLOW4" localSheetId="10">#REF!</definedName>
    <definedName name="CASHFLOW4" localSheetId="15">#REF!</definedName>
    <definedName name="CASHFLOW4" localSheetId="19">#REF!</definedName>
    <definedName name="CASHFLOW4" localSheetId="20">#REF!</definedName>
    <definedName name="CASHFLOW4" localSheetId="24">#REF!</definedName>
    <definedName name="CASHFLOW4" localSheetId="104">#REF!</definedName>
    <definedName name="CASHFLOW4" localSheetId="65">#REF!</definedName>
    <definedName name="CASHFLOW4" localSheetId="64">#REF!</definedName>
    <definedName name="CASHFLOW4" localSheetId="77">#REF!</definedName>
    <definedName name="CASHFLOW4" localSheetId="49">#REF!</definedName>
    <definedName name="CASHFLOW4" localSheetId="40">#REF!</definedName>
    <definedName name="CASHFLOW4" localSheetId="43">#REF!</definedName>
    <definedName name="CASHFLOW4" localSheetId="13">#REF!</definedName>
    <definedName name="CASHFLOW4" localSheetId="38">#REF!</definedName>
    <definedName name="CASHFLOW4">#REF!</definedName>
    <definedName name="CashFlowByMonth" localSheetId="3">#REF!</definedName>
    <definedName name="CashFlowByMonth" localSheetId="7">#REF!</definedName>
    <definedName name="CashFlowByMonth" localSheetId="9">#REF!</definedName>
    <definedName name="CashFlowByMonth" localSheetId="10">#REF!</definedName>
    <definedName name="CashFlowByMonth" localSheetId="15">#REF!</definedName>
    <definedName name="CashFlowByMonth" localSheetId="19">#REF!</definedName>
    <definedName name="CashFlowByMonth" localSheetId="20">#REF!</definedName>
    <definedName name="CashFlowByMonth" localSheetId="24">#REF!</definedName>
    <definedName name="CashFlowByMonth" localSheetId="104">#REF!</definedName>
    <definedName name="CashFlowByMonth" localSheetId="65">#REF!</definedName>
    <definedName name="CashFlowByMonth" localSheetId="64">#REF!</definedName>
    <definedName name="CashFlowByMonth" localSheetId="77">#REF!</definedName>
    <definedName name="CashFlowByMonth" localSheetId="49">#REF!</definedName>
    <definedName name="CashFlowByMonth" localSheetId="40">#REF!</definedName>
    <definedName name="CashFlowByMonth" localSheetId="43">#REF!</definedName>
    <definedName name="CashFlowByMonth" localSheetId="13">#REF!</definedName>
    <definedName name="CashFlowByMonth" localSheetId="38">#REF!</definedName>
    <definedName name="CashFlowByMonth">#REF!</definedName>
    <definedName name="CashFlowYtd" localSheetId="3">#REF!</definedName>
    <definedName name="CashFlowYtd" localSheetId="7">#REF!</definedName>
    <definedName name="CashFlowYtd" localSheetId="9">#REF!</definedName>
    <definedName name="CashFlowYtd" localSheetId="10">#REF!</definedName>
    <definedName name="CashFlowYtd" localSheetId="15">#REF!</definedName>
    <definedName name="CashFlowYtd" localSheetId="19">#REF!</definedName>
    <definedName name="CashFlowYtd" localSheetId="20">#REF!</definedName>
    <definedName name="CashFlowYtd" localSheetId="24">#REF!</definedName>
    <definedName name="CashFlowYtd" localSheetId="104">#REF!</definedName>
    <definedName name="CashFlowYtd" localSheetId="65">#REF!</definedName>
    <definedName name="CashFlowYtd" localSheetId="64">#REF!</definedName>
    <definedName name="CashFlowYtd" localSheetId="77">#REF!</definedName>
    <definedName name="CashFlowYtd" localSheetId="49">#REF!</definedName>
    <definedName name="CashFlowYtd" localSheetId="40">#REF!</definedName>
    <definedName name="CashFlowYtd" localSheetId="43">#REF!</definedName>
    <definedName name="CashFlowYtd" localSheetId="13">#REF!</definedName>
    <definedName name="CashFlowYtd" localSheetId="38">#REF!</definedName>
    <definedName name="CashFlowYtd">#REF!</definedName>
    <definedName name="CCC" localSheetId="3">'[8]Completion Emissions Tier0'!#REF!</definedName>
    <definedName name="CCC" localSheetId="7">'[8]Completion Emissions Tier0'!#REF!</definedName>
    <definedName name="CCC" localSheetId="9">'[8]Completion Emissions Tier0'!#REF!</definedName>
    <definedName name="CCC" localSheetId="10">'[8]Completion Emissions Tier0'!#REF!</definedName>
    <definedName name="CCC" localSheetId="15">'[8]Completion Emissions Tier0'!#REF!</definedName>
    <definedName name="CCC" localSheetId="19">'[8]Completion Emissions Tier0'!#REF!</definedName>
    <definedName name="CCC" localSheetId="20">'[8]Completion Emissions Tier0'!#REF!</definedName>
    <definedName name="CCC" localSheetId="24">'[8]Completion Emissions Tier0'!#REF!</definedName>
    <definedName name="CCC" localSheetId="104">'[8]Completion Emissions Tier0'!#REF!</definedName>
    <definedName name="CCC" localSheetId="65">'[8]Completion Emissions Tier0'!#REF!</definedName>
    <definedName name="CCC" localSheetId="64">'[8]Completion Emissions Tier0'!#REF!</definedName>
    <definedName name="CCC" localSheetId="77">'[8]Completion Emissions Tier0'!#REF!</definedName>
    <definedName name="CCC" localSheetId="49">'[8]Completion Emissions Tier0'!#REF!</definedName>
    <definedName name="CCC" localSheetId="40">'[8]Completion Emissions Tier0'!#REF!</definedName>
    <definedName name="CCC" localSheetId="43">'[8]Completion Emissions Tier0'!#REF!</definedName>
    <definedName name="CCC" localSheetId="13">'[8]Completion Emissions Tier0'!#REF!</definedName>
    <definedName name="CCC" localSheetId="38">'[8]Completion Emissions Tier0'!#REF!</definedName>
    <definedName name="CCC">'[8]Completion Emissions Tier0'!#REF!</definedName>
    <definedName name="CDA_Factor" localSheetId="75">[9]Constants!$B$5</definedName>
    <definedName name="CDA_Factor" localSheetId="48">[9]Constants!$B$5</definedName>
    <definedName name="CDA_Factor">[9]Constants!$B$5</definedName>
    <definedName name="CE1H1" localSheetId="3">#REF!</definedName>
    <definedName name="CE1H1" localSheetId="7">#REF!</definedName>
    <definedName name="CE1H1" localSheetId="9">#REF!</definedName>
    <definedName name="CE1H1" localSheetId="10">#REF!</definedName>
    <definedName name="CE1H1" localSheetId="15">#REF!</definedName>
    <definedName name="CE1H1" localSheetId="19">#REF!</definedName>
    <definedName name="CE1H1" localSheetId="20">#REF!</definedName>
    <definedName name="CE1H1" localSheetId="24">#REF!</definedName>
    <definedName name="CE1H1" localSheetId="104">#REF!</definedName>
    <definedName name="CE1H1" localSheetId="65">#REF!</definedName>
    <definedName name="CE1H1" localSheetId="64">#REF!</definedName>
    <definedName name="CE1H1" localSheetId="77">#REF!</definedName>
    <definedName name="CE1H1" localSheetId="49">#REF!</definedName>
    <definedName name="CE1H1" localSheetId="40">#REF!</definedName>
    <definedName name="CE1H1" localSheetId="43">#REF!</definedName>
    <definedName name="CE1H1" localSheetId="13">#REF!</definedName>
    <definedName name="CE1H1" localSheetId="38">#REF!</definedName>
    <definedName name="CE1H1">#REF!</definedName>
    <definedName name="CE1H10" localSheetId="3">#REF!</definedName>
    <definedName name="CE1H10" localSheetId="7">#REF!</definedName>
    <definedName name="CE1H10" localSheetId="9">#REF!</definedName>
    <definedName name="CE1H10" localSheetId="10">#REF!</definedName>
    <definedName name="CE1H10" localSheetId="15">#REF!</definedName>
    <definedName name="CE1H10" localSheetId="19">#REF!</definedName>
    <definedName name="CE1H10" localSheetId="20">#REF!</definedName>
    <definedName name="CE1H10" localSheetId="24">#REF!</definedName>
    <definedName name="CE1H10" localSheetId="104">#REF!</definedName>
    <definedName name="CE1H10" localSheetId="65">#REF!</definedName>
    <definedName name="CE1H10" localSheetId="64">#REF!</definedName>
    <definedName name="CE1H10" localSheetId="77">#REF!</definedName>
    <definedName name="CE1H10" localSheetId="49">#REF!</definedName>
    <definedName name="CE1H10" localSheetId="40">#REF!</definedName>
    <definedName name="CE1H10" localSheetId="43">#REF!</definedName>
    <definedName name="CE1H10" localSheetId="13">#REF!</definedName>
    <definedName name="CE1H10" localSheetId="38">#REF!</definedName>
    <definedName name="CE1H10">#REF!</definedName>
    <definedName name="CE1H11" localSheetId="3">#REF!</definedName>
    <definedName name="CE1H11" localSheetId="7">#REF!</definedName>
    <definedName name="CE1H11" localSheetId="9">#REF!</definedName>
    <definedName name="CE1H11" localSheetId="10">#REF!</definedName>
    <definedName name="CE1H11" localSheetId="15">#REF!</definedName>
    <definedName name="CE1H11" localSheetId="19">#REF!</definedName>
    <definedName name="CE1H11" localSheetId="20">#REF!</definedName>
    <definedName name="CE1H11" localSheetId="24">#REF!</definedName>
    <definedName name="CE1H11" localSheetId="104">#REF!</definedName>
    <definedName name="CE1H11" localSheetId="65">#REF!</definedName>
    <definedName name="CE1H11" localSheetId="64">#REF!</definedName>
    <definedName name="CE1H11" localSheetId="77">#REF!</definedName>
    <definedName name="CE1H11" localSheetId="49">#REF!</definedName>
    <definedName name="CE1H11" localSheetId="40">#REF!</definedName>
    <definedName name="CE1H11" localSheetId="43">#REF!</definedName>
    <definedName name="CE1H11" localSheetId="13">#REF!</definedName>
    <definedName name="CE1H11" localSheetId="38">#REF!</definedName>
    <definedName name="CE1H11">#REF!</definedName>
    <definedName name="CE1H12" localSheetId="3">#REF!</definedName>
    <definedName name="CE1H12" localSheetId="7">#REF!</definedName>
    <definedName name="CE1H12" localSheetId="9">#REF!</definedName>
    <definedName name="CE1H12" localSheetId="10">#REF!</definedName>
    <definedName name="CE1H12" localSheetId="15">#REF!</definedName>
    <definedName name="CE1H12" localSheetId="19">#REF!</definedName>
    <definedName name="CE1H12" localSheetId="20">#REF!</definedName>
    <definedName name="CE1H12" localSheetId="24">#REF!</definedName>
    <definedName name="CE1H12" localSheetId="104">#REF!</definedName>
    <definedName name="CE1H12" localSheetId="65">#REF!</definedName>
    <definedName name="CE1H12" localSheetId="64">#REF!</definedName>
    <definedName name="CE1H12" localSheetId="77">#REF!</definedName>
    <definedName name="CE1H12" localSheetId="49">#REF!</definedName>
    <definedName name="CE1H12" localSheetId="40">#REF!</definedName>
    <definedName name="CE1H12" localSheetId="43">#REF!</definedName>
    <definedName name="CE1H12" localSheetId="13">#REF!</definedName>
    <definedName name="CE1H12" localSheetId="38">#REF!</definedName>
    <definedName name="CE1H12">#REF!</definedName>
    <definedName name="CE1H13" localSheetId="3">#REF!</definedName>
    <definedName name="CE1H13" localSheetId="7">#REF!</definedName>
    <definedName name="CE1H13" localSheetId="9">#REF!</definedName>
    <definedName name="CE1H13" localSheetId="10">#REF!</definedName>
    <definedName name="CE1H13" localSheetId="15">#REF!</definedName>
    <definedName name="CE1H13" localSheetId="19">#REF!</definedName>
    <definedName name="CE1H13" localSheetId="20">#REF!</definedName>
    <definedName name="CE1H13" localSheetId="24">#REF!</definedName>
    <definedName name="CE1H13" localSheetId="104">#REF!</definedName>
    <definedName name="CE1H13" localSheetId="65">#REF!</definedName>
    <definedName name="CE1H13" localSheetId="64">#REF!</definedName>
    <definedName name="CE1H13" localSheetId="77">#REF!</definedName>
    <definedName name="CE1H13" localSheetId="49">#REF!</definedName>
    <definedName name="CE1H13" localSheetId="40">#REF!</definedName>
    <definedName name="CE1H13" localSheetId="43">#REF!</definedName>
    <definedName name="CE1H13" localSheetId="13">#REF!</definedName>
    <definedName name="CE1H13" localSheetId="38">#REF!</definedName>
    <definedName name="CE1H13">#REF!</definedName>
    <definedName name="CE1H14" localSheetId="3">#REF!</definedName>
    <definedName name="CE1H14" localSheetId="7">#REF!</definedName>
    <definedName name="CE1H14" localSheetId="9">#REF!</definedName>
    <definedName name="CE1H14" localSheetId="10">#REF!</definedName>
    <definedName name="CE1H14" localSheetId="15">#REF!</definedName>
    <definedName name="CE1H14" localSheetId="19">#REF!</definedName>
    <definedName name="CE1H14" localSheetId="20">#REF!</definedName>
    <definedName name="CE1H14" localSheetId="24">#REF!</definedName>
    <definedName name="CE1H14" localSheetId="104">#REF!</definedName>
    <definedName name="CE1H14" localSheetId="65">#REF!</definedName>
    <definedName name="CE1H14" localSheetId="64">#REF!</definedName>
    <definedName name="CE1H14" localSheetId="77">#REF!</definedName>
    <definedName name="CE1H14" localSheetId="49">#REF!</definedName>
    <definedName name="CE1H14" localSheetId="40">#REF!</definedName>
    <definedName name="CE1H14" localSheetId="43">#REF!</definedName>
    <definedName name="CE1H14" localSheetId="13">#REF!</definedName>
    <definedName name="CE1H14" localSheetId="38">#REF!</definedName>
    <definedName name="CE1H14">#REF!</definedName>
    <definedName name="CE1H15" localSheetId="3">#REF!</definedName>
    <definedName name="CE1H15" localSheetId="7">#REF!</definedName>
    <definedName name="CE1H15" localSheetId="9">#REF!</definedName>
    <definedName name="CE1H15" localSheetId="10">#REF!</definedName>
    <definedName name="CE1H15" localSheetId="15">#REF!</definedName>
    <definedName name="CE1H15" localSheetId="19">#REF!</definedName>
    <definedName name="CE1H15" localSheetId="20">#REF!</definedName>
    <definedName name="CE1H15" localSheetId="24">#REF!</definedName>
    <definedName name="CE1H15" localSheetId="104">#REF!</definedName>
    <definedName name="CE1H15" localSheetId="65">#REF!</definedName>
    <definedName name="CE1H15" localSheetId="64">#REF!</definedName>
    <definedName name="CE1H15" localSheetId="77">#REF!</definedName>
    <definedName name="CE1H15" localSheetId="49">#REF!</definedName>
    <definedName name="CE1H15" localSheetId="40">#REF!</definedName>
    <definedName name="CE1H15" localSheetId="43">#REF!</definedName>
    <definedName name="CE1H15" localSheetId="13">#REF!</definedName>
    <definedName name="CE1H15" localSheetId="38">#REF!</definedName>
    <definedName name="CE1H15">#REF!</definedName>
    <definedName name="CE1H2" localSheetId="3">#REF!</definedName>
    <definedName name="CE1H2" localSheetId="7">#REF!</definedName>
    <definedName name="CE1H2" localSheetId="9">#REF!</definedName>
    <definedName name="CE1H2" localSheetId="10">#REF!</definedName>
    <definedName name="CE1H2" localSheetId="15">#REF!</definedName>
    <definedName name="CE1H2" localSheetId="19">#REF!</definedName>
    <definedName name="CE1H2" localSheetId="20">#REF!</definedName>
    <definedName name="CE1H2" localSheetId="24">#REF!</definedName>
    <definedName name="CE1H2" localSheetId="104">#REF!</definedName>
    <definedName name="CE1H2" localSheetId="65">#REF!</definedName>
    <definedName name="CE1H2" localSheetId="64">#REF!</definedName>
    <definedName name="CE1H2" localSheetId="77">#REF!</definedName>
    <definedName name="CE1H2" localSheetId="49">#REF!</definedName>
    <definedName name="CE1H2" localSheetId="40">#REF!</definedName>
    <definedName name="CE1H2" localSheetId="43">#REF!</definedName>
    <definedName name="CE1H2" localSheetId="13">#REF!</definedName>
    <definedName name="CE1H2" localSheetId="38">#REF!</definedName>
    <definedName name="CE1H2">#REF!</definedName>
    <definedName name="CE1H3" localSheetId="3">#REF!</definedName>
    <definedName name="CE1H3" localSheetId="7">#REF!</definedName>
    <definedName name="CE1H3" localSheetId="9">#REF!</definedName>
    <definedName name="CE1H3" localSheetId="10">#REF!</definedName>
    <definedName name="CE1H3" localSheetId="15">#REF!</definedName>
    <definedName name="CE1H3" localSheetId="19">#REF!</definedName>
    <definedName name="CE1H3" localSheetId="20">#REF!</definedName>
    <definedName name="CE1H3" localSheetId="24">#REF!</definedName>
    <definedName name="CE1H3" localSheetId="104">#REF!</definedName>
    <definedName name="CE1H3" localSheetId="65">#REF!</definedName>
    <definedName name="CE1H3" localSheetId="64">#REF!</definedName>
    <definedName name="CE1H3" localSheetId="77">#REF!</definedName>
    <definedName name="CE1H3" localSheetId="49">#REF!</definedName>
    <definedName name="CE1H3" localSheetId="40">#REF!</definedName>
    <definedName name="CE1H3" localSheetId="43">#REF!</definedName>
    <definedName name="CE1H3" localSheetId="13">#REF!</definedName>
    <definedName name="CE1H3" localSheetId="38">#REF!</definedName>
    <definedName name="CE1H3">#REF!</definedName>
    <definedName name="CE1H4" localSheetId="3">#REF!</definedName>
    <definedName name="CE1H4" localSheetId="7">#REF!</definedName>
    <definedName name="CE1H4" localSheetId="9">#REF!</definedName>
    <definedName name="CE1H4" localSheetId="10">#REF!</definedName>
    <definedName name="CE1H4" localSheetId="15">#REF!</definedName>
    <definedName name="CE1H4" localSheetId="19">#REF!</definedName>
    <definedName name="CE1H4" localSheetId="20">#REF!</definedName>
    <definedName name="CE1H4" localSheetId="24">#REF!</definedName>
    <definedName name="CE1H4" localSheetId="104">#REF!</definedName>
    <definedName name="CE1H4" localSheetId="65">#REF!</definedName>
    <definedName name="CE1H4" localSheetId="64">#REF!</definedName>
    <definedName name="CE1H4" localSheetId="77">#REF!</definedName>
    <definedName name="CE1H4" localSheetId="49">#REF!</definedName>
    <definedName name="CE1H4" localSheetId="40">#REF!</definedName>
    <definedName name="CE1H4" localSheetId="43">#REF!</definedName>
    <definedName name="CE1H4" localSheetId="13">#REF!</definedName>
    <definedName name="CE1H4" localSheetId="38">#REF!</definedName>
    <definedName name="CE1H4">#REF!</definedName>
    <definedName name="CE1H5" localSheetId="3">#REF!</definedName>
    <definedName name="CE1H5" localSheetId="7">#REF!</definedName>
    <definedName name="CE1H5" localSheetId="9">#REF!</definedName>
    <definedName name="CE1H5" localSheetId="10">#REF!</definedName>
    <definedName name="CE1H5" localSheetId="15">#REF!</definedName>
    <definedName name="CE1H5" localSheetId="19">#REF!</definedName>
    <definedName name="CE1H5" localSheetId="20">#REF!</definedName>
    <definedName name="CE1H5" localSheetId="24">#REF!</definedName>
    <definedName name="CE1H5" localSheetId="104">#REF!</definedName>
    <definedName name="CE1H5" localSheetId="65">#REF!</definedName>
    <definedName name="CE1H5" localSheetId="64">#REF!</definedName>
    <definedName name="CE1H5" localSheetId="77">#REF!</definedName>
    <definedName name="CE1H5" localSheetId="49">#REF!</definedName>
    <definedName name="CE1H5" localSheetId="40">#REF!</definedName>
    <definedName name="CE1H5" localSheetId="43">#REF!</definedName>
    <definedName name="CE1H5" localSheetId="13">#REF!</definedName>
    <definedName name="CE1H5" localSheetId="38">#REF!</definedName>
    <definedName name="CE1H5">#REF!</definedName>
    <definedName name="CE1H6" localSheetId="3">#REF!</definedName>
    <definedName name="CE1H6" localSheetId="7">#REF!</definedName>
    <definedName name="CE1H6" localSheetId="9">#REF!</definedName>
    <definedName name="CE1H6" localSheetId="10">#REF!</definedName>
    <definedName name="CE1H6" localSheetId="15">#REF!</definedName>
    <definedName name="CE1H6" localSheetId="19">#REF!</definedName>
    <definedName name="CE1H6" localSheetId="20">#REF!</definedName>
    <definedName name="CE1H6" localSheetId="24">#REF!</definedName>
    <definedName name="CE1H6" localSheetId="104">#REF!</definedName>
    <definedName name="CE1H6" localSheetId="65">#REF!</definedName>
    <definedName name="CE1H6" localSheetId="64">#REF!</definedName>
    <definedName name="CE1H6" localSheetId="77">#REF!</definedName>
    <definedName name="CE1H6" localSheetId="49">#REF!</definedName>
    <definedName name="CE1H6" localSheetId="40">#REF!</definedName>
    <definedName name="CE1H6" localSheetId="43">#REF!</definedName>
    <definedName name="CE1H6" localSheetId="13">#REF!</definedName>
    <definedName name="CE1H6" localSheetId="38">#REF!</definedName>
    <definedName name="CE1H6">#REF!</definedName>
    <definedName name="CE1H7" localSheetId="3">#REF!</definedName>
    <definedName name="CE1H7" localSheetId="7">#REF!</definedName>
    <definedName name="CE1H7" localSheetId="9">#REF!</definedName>
    <definedName name="CE1H7" localSheetId="10">#REF!</definedName>
    <definedName name="CE1H7" localSheetId="15">#REF!</definedName>
    <definedName name="CE1H7" localSheetId="19">#REF!</definedName>
    <definedName name="CE1H7" localSheetId="20">#REF!</definedName>
    <definedName name="CE1H7" localSheetId="24">#REF!</definedName>
    <definedName name="CE1H7" localSheetId="104">#REF!</definedName>
    <definedName name="CE1H7" localSheetId="65">#REF!</definedName>
    <definedName name="CE1H7" localSheetId="64">#REF!</definedName>
    <definedName name="CE1H7" localSheetId="77">#REF!</definedName>
    <definedName name="CE1H7" localSheetId="49">#REF!</definedName>
    <definedName name="CE1H7" localSheetId="40">#REF!</definedName>
    <definedName name="CE1H7" localSheetId="43">#REF!</definedName>
    <definedName name="CE1H7" localSheetId="13">#REF!</definedName>
    <definedName name="CE1H7" localSheetId="38">#REF!</definedName>
    <definedName name="CE1H7">#REF!</definedName>
    <definedName name="CE1H8" localSheetId="3">#REF!</definedName>
    <definedName name="CE1H8" localSheetId="7">#REF!</definedName>
    <definedName name="CE1H8" localSheetId="9">#REF!</definedName>
    <definedName name="CE1H8" localSheetId="10">#REF!</definedName>
    <definedName name="CE1H8" localSheetId="15">#REF!</definedName>
    <definedName name="CE1H8" localSheetId="19">#REF!</definedName>
    <definedName name="CE1H8" localSheetId="20">#REF!</definedName>
    <definedName name="CE1H8" localSheetId="24">#REF!</definedName>
    <definedName name="CE1H8" localSheetId="104">#REF!</definedName>
    <definedName name="CE1H8" localSheetId="65">#REF!</definedName>
    <definedName name="CE1H8" localSheetId="64">#REF!</definedName>
    <definedName name="CE1H8" localSheetId="77">#REF!</definedName>
    <definedName name="CE1H8" localSheetId="49">#REF!</definedName>
    <definedName name="CE1H8" localSheetId="40">#REF!</definedName>
    <definedName name="CE1H8" localSheetId="43">#REF!</definedName>
    <definedName name="CE1H8" localSheetId="13">#REF!</definedName>
    <definedName name="CE1H8" localSheetId="38">#REF!</definedName>
    <definedName name="CE1H8">#REF!</definedName>
    <definedName name="CE1H9" localSheetId="3">#REF!</definedName>
    <definedName name="CE1H9" localSheetId="7">#REF!</definedName>
    <definedName name="CE1H9" localSheetId="9">#REF!</definedName>
    <definedName name="CE1H9" localSheetId="10">#REF!</definedName>
    <definedName name="CE1H9" localSheetId="15">#REF!</definedName>
    <definedName name="CE1H9" localSheetId="19">#REF!</definedName>
    <definedName name="CE1H9" localSheetId="20">#REF!</definedName>
    <definedName name="CE1H9" localSheetId="24">#REF!</definedName>
    <definedName name="CE1H9" localSheetId="104">#REF!</definedName>
    <definedName name="CE1H9" localSheetId="65">#REF!</definedName>
    <definedName name="CE1H9" localSheetId="64">#REF!</definedName>
    <definedName name="CE1H9" localSheetId="77">#REF!</definedName>
    <definedName name="CE1H9" localSheetId="49">#REF!</definedName>
    <definedName name="CE1H9" localSheetId="40">#REF!</definedName>
    <definedName name="CE1H9" localSheetId="43">#REF!</definedName>
    <definedName name="CE1H9" localSheetId="13">#REF!</definedName>
    <definedName name="CE1H9" localSheetId="38">#REF!</definedName>
    <definedName name="CE1H9">#REF!</definedName>
    <definedName name="CE1IH1" localSheetId="3">#REF!</definedName>
    <definedName name="CE1IH1" localSheetId="7">#REF!</definedName>
    <definedName name="CE1IH1" localSheetId="9">#REF!</definedName>
    <definedName name="CE1IH1" localSheetId="10">#REF!</definedName>
    <definedName name="CE1IH1" localSheetId="15">#REF!</definedName>
    <definedName name="CE1IH1" localSheetId="19">#REF!</definedName>
    <definedName name="CE1IH1" localSheetId="20">#REF!</definedName>
    <definedName name="CE1IH1" localSheetId="24">#REF!</definedName>
    <definedName name="CE1IH1" localSheetId="104">#REF!</definedName>
    <definedName name="CE1IH1" localSheetId="65">#REF!</definedName>
    <definedName name="CE1IH1" localSheetId="64">#REF!</definedName>
    <definedName name="CE1IH1" localSheetId="77">#REF!</definedName>
    <definedName name="CE1IH1" localSheetId="49">#REF!</definedName>
    <definedName name="CE1IH1" localSheetId="40">#REF!</definedName>
    <definedName name="CE1IH1" localSheetId="43">#REF!</definedName>
    <definedName name="CE1IH1" localSheetId="13">#REF!</definedName>
    <definedName name="CE1IH1" localSheetId="38">#REF!</definedName>
    <definedName name="CE1IH1">#REF!</definedName>
    <definedName name="CE1IH2" localSheetId="3">#REF!</definedName>
    <definedName name="CE1IH2" localSheetId="7">#REF!</definedName>
    <definedName name="CE1IH2" localSheetId="9">#REF!</definedName>
    <definedName name="CE1IH2" localSheetId="10">#REF!</definedName>
    <definedName name="CE1IH2" localSheetId="15">#REF!</definedName>
    <definedName name="CE1IH2" localSheetId="19">#REF!</definedName>
    <definedName name="CE1IH2" localSheetId="20">#REF!</definedName>
    <definedName name="CE1IH2" localSheetId="24">#REF!</definedName>
    <definedName name="CE1IH2" localSheetId="104">#REF!</definedName>
    <definedName name="CE1IH2" localSheetId="65">#REF!</definedName>
    <definedName name="CE1IH2" localSheetId="64">#REF!</definedName>
    <definedName name="CE1IH2" localSheetId="77">#REF!</definedName>
    <definedName name="CE1IH2" localSheetId="49">#REF!</definedName>
    <definedName name="CE1IH2" localSheetId="40">#REF!</definedName>
    <definedName name="CE1IH2" localSheetId="43">#REF!</definedName>
    <definedName name="CE1IH2" localSheetId="13">#REF!</definedName>
    <definedName name="CE1IH2" localSheetId="38">#REF!</definedName>
    <definedName name="CE1IH2">#REF!</definedName>
    <definedName name="CE1IH3" localSheetId="3">#REF!</definedName>
    <definedName name="CE1IH3" localSheetId="7">#REF!</definedName>
    <definedName name="CE1IH3" localSheetId="9">#REF!</definedName>
    <definedName name="CE1IH3" localSheetId="10">#REF!</definedName>
    <definedName name="CE1IH3" localSheetId="15">#REF!</definedName>
    <definedName name="CE1IH3" localSheetId="19">#REF!</definedName>
    <definedName name="CE1IH3" localSheetId="20">#REF!</definedName>
    <definedName name="CE1IH3" localSheetId="24">#REF!</definedName>
    <definedName name="CE1IH3" localSheetId="104">#REF!</definedName>
    <definedName name="CE1IH3" localSheetId="65">#REF!</definedName>
    <definedName name="CE1IH3" localSheetId="64">#REF!</definedName>
    <definedName name="CE1IH3" localSheetId="77">#REF!</definedName>
    <definedName name="CE1IH3" localSheetId="49">#REF!</definedName>
    <definedName name="CE1IH3" localSheetId="40">#REF!</definedName>
    <definedName name="CE1IH3" localSheetId="43">#REF!</definedName>
    <definedName name="CE1IH3" localSheetId="13">#REF!</definedName>
    <definedName name="CE1IH3" localSheetId="38">#REF!</definedName>
    <definedName name="CE1IH3">#REF!</definedName>
    <definedName name="CE1IH4" localSheetId="3">#REF!</definedName>
    <definedName name="CE1IH4" localSheetId="7">#REF!</definedName>
    <definedName name="CE1IH4" localSheetId="9">#REF!</definedName>
    <definedName name="CE1IH4" localSheetId="10">#REF!</definedName>
    <definedName name="CE1IH4" localSheetId="15">#REF!</definedName>
    <definedName name="CE1IH4" localSheetId="19">#REF!</definedName>
    <definedName name="CE1IH4" localSheetId="20">#REF!</definedName>
    <definedName name="CE1IH4" localSheetId="24">#REF!</definedName>
    <definedName name="CE1IH4" localSheetId="104">#REF!</definedName>
    <definedName name="CE1IH4" localSheetId="65">#REF!</definedName>
    <definedName name="CE1IH4" localSheetId="64">#REF!</definedName>
    <definedName name="CE1IH4" localSheetId="77">#REF!</definedName>
    <definedName name="CE1IH4" localSheetId="49">#REF!</definedName>
    <definedName name="CE1IH4" localSheetId="40">#REF!</definedName>
    <definedName name="CE1IH4" localSheetId="43">#REF!</definedName>
    <definedName name="CE1IH4" localSheetId="13">#REF!</definedName>
    <definedName name="CE1IH4" localSheetId="38">#REF!</definedName>
    <definedName name="CE1IH4">#REF!</definedName>
    <definedName name="CE1IH5" localSheetId="3">#REF!</definedName>
    <definedName name="CE1IH5" localSheetId="7">#REF!</definedName>
    <definedName name="CE1IH5" localSheetId="9">#REF!</definedName>
    <definedName name="CE1IH5" localSheetId="10">#REF!</definedName>
    <definedName name="CE1IH5" localSheetId="15">#REF!</definedName>
    <definedName name="CE1IH5" localSheetId="19">#REF!</definedName>
    <definedName name="CE1IH5" localSheetId="20">#REF!</definedName>
    <definedName name="CE1IH5" localSheetId="24">#REF!</definedName>
    <definedName name="CE1IH5" localSheetId="104">#REF!</definedName>
    <definedName name="CE1IH5" localSheetId="65">#REF!</definedName>
    <definedName name="CE1IH5" localSheetId="64">#REF!</definedName>
    <definedName name="CE1IH5" localSheetId="77">#REF!</definedName>
    <definedName name="CE1IH5" localSheetId="49">#REF!</definedName>
    <definedName name="CE1IH5" localSheetId="40">#REF!</definedName>
    <definedName name="CE1IH5" localSheetId="43">#REF!</definedName>
    <definedName name="CE1IH5" localSheetId="13">#REF!</definedName>
    <definedName name="CE1IH5" localSheetId="38">#REF!</definedName>
    <definedName name="CE1IH5">#REF!</definedName>
    <definedName name="CE2H1" localSheetId="3">#REF!</definedName>
    <definedName name="CE2H1" localSheetId="7">#REF!</definedName>
    <definedName name="CE2H1" localSheetId="9">#REF!</definedName>
    <definedName name="CE2H1" localSheetId="10">#REF!</definedName>
    <definedName name="CE2H1" localSheetId="15">#REF!</definedName>
    <definedName name="CE2H1" localSheetId="19">#REF!</definedName>
    <definedName name="CE2H1" localSheetId="20">#REF!</definedName>
    <definedName name="CE2H1" localSheetId="24">#REF!</definedName>
    <definedName name="CE2H1" localSheetId="104">#REF!</definedName>
    <definedName name="CE2H1" localSheetId="65">#REF!</definedName>
    <definedName name="CE2H1" localSheetId="64">#REF!</definedName>
    <definedName name="CE2H1" localSheetId="77">#REF!</definedName>
    <definedName name="CE2H1" localSheetId="49">#REF!</definedName>
    <definedName name="CE2H1" localSheetId="40">#REF!</definedName>
    <definedName name="CE2H1" localSheetId="43">#REF!</definedName>
    <definedName name="CE2H1" localSheetId="13">#REF!</definedName>
    <definedName name="CE2H1" localSheetId="38">#REF!</definedName>
    <definedName name="CE2H1">#REF!</definedName>
    <definedName name="CE2H10" localSheetId="3">#REF!</definedName>
    <definedName name="CE2H10" localSheetId="7">#REF!</definedName>
    <definedName name="CE2H10" localSheetId="9">#REF!</definedName>
    <definedName name="CE2H10" localSheetId="10">#REF!</definedName>
    <definedName name="CE2H10" localSheetId="15">#REF!</definedName>
    <definedName name="CE2H10" localSheetId="19">#REF!</definedName>
    <definedName name="CE2H10" localSheetId="20">#REF!</definedName>
    <definedName name="CE2H10" localSheetId="24">#REF!</definedName>
    <definedName name="CE2H10" localSheetId="104">#REF!</definedName>
    <definedName name="CE2H10" localSheetId="65">#REF!</definedName>
    <definedName name="CE2H10" localSheetId="64">#REF!</definedName>
    <definedName name="CE2H10" localSheetId="77">#REF!</definedName>
    <definedName name="CE2H10" localSheetId="49">#REF!</definedName>
    <definedName name="CE2H10" localSheetId="40">#REF!</definedName>
    <definedName name="CE2H10" localSheetId="43">#REF!</definedName>
    <definedName name="CE2H10" localSheetId="13">#REF!</definedName>
    <definedName name="CE2H10" localSheetId="38">#REF!</definedName>
    <definedName name="CE2H10">#REF!</definedName>
    <definedName name="CE2H11" localSheetId="3">#REF!</definedName>
    <definedName name="CE2H11" localSheetId="7">#REF!</definedName>
    <definedName name="CE2H11" localSheetId="9">#REF!</definedName>
    <definedName name="CE2H11" localSheetId="10">#REF!</definedName>
    <definedName name="CE2H11" localSheetId="15">#REF!</definedName>
    <definedName name="CE2H11" localSheetId="19">#REF!</definedName>
    <definedName name="CE2H11" localSheetId="20">#REF!</definedName>
    <definedName name="CE2H11" localSheetId="24">#REF!</definedName>
    <definedName name="CE2H11" localSheetId="104">#REF!</definedName>
    <definedName name="CE2H11" localSheetId="65">#REF!</definedName>
    <definedName name="CE2H11" localSheetId="64">#REF!</definedName>
    <definedName name="CE2H11" localSheetId="77">#REF!</definedName>
    <definedName name="CE2H11" localSheetId="49">#REF!</definedName>
    <definedName name="CE2H11" localSheetId="40">#REF!</definedName>
    <definedName name="CE2H11" localSheetId="43">#REF!</definedName>
    <definedName name="CE2H11" localSheetId="13">#REF!</definedName>
    <definedName name="CE2H11" localSheetId="38">#REF!</definedName>
    <definedName name="CE2H11">#REF!</definedName>
    <definedName name="CE2H12" localSheetId="3">#REF!</definedName>
    <definedName name="CE2H12" localSheetId="7">#REF!</definedName>
    <definedName name="CE2H12" localSheetId="9">#REF!</definedName>
    <definedName name="CE2H12" localSheetId="10">#REF!</definedName>
    <definedName name="CE2H12" localSheetId="15">#REF!</definedName>
    <definedName name="CE2H12" localSheetId="19">#REF!</definedName>
    <definedName name="CE2H12" localSheetId="20">#REF!</definedName>
    <definedName name="CE2H12" localSheetId="24">#REF!</definedName>
    <definedName name="CE2H12" localSheetId="104">#REF!</definedName>
    <definedName name="CE2H12" localSheetId="65">#REF!</definedName>
    <definedName name="CE2H12" localSheetId="64">#REF!</definedName>
    <definedName name="CE2H12" localSheetId="77">#REF!</definedName>
    <definedName name="CE2H12" localSheetId="49">#REF!</definedName>
    <definedName name="CE2H12" localSheetId="40">#REF!</definedName>
    <definedName name="CE2H12" localSheetId="43">#REF!</definedName>
    <definedName name="CE2H12" localSheetId="13">#REF!</definedName>
    <definedName name="CE2H12" localSheetId="38">#REF!</definedName>
    <definedName name="CE2H12">#REF!</definedName>
    <definedName name="CE2H13" localSheetId="3">#REF!</definedName>
    <definedName name="CE2H13" localSheetId="7">#REF!</definedName>
    <definedName name="CE2H13" localSheetId="9">#REF!</definedName>
    <definedName name="CE2H13" localSheetId="10">#REF!</definedName>
    <definedName name="CE2H13" localSheetId="15">#REF!</definedName>
    <definedName name="CE2H13" localSheetId="19">#REF!</definedName>
    <definedName name="CE2H13" localSheetId="20">#REF!</definedName>
    <definedName name="CE2H13" localSheetId="24">#REF!</definedName>
    <definedName name="CE2H13" localSheetId="104">#REF!</definedName>
    <definedName name="CE2H13" localSheetId="65">#REF!</definedName>
    <definedName name="CE2H13" localSheetId="64">#REF!</definedName>
    <definedName name="CE2H13" localSheetId="77">#REF!</definedName>
    <definedName name="CE2H13" localSheetId="49">#REF!</definedName>
    <definedName name="CE2H13" localSheetId="40">#REF!</definedName>
    <definedName name="CE2H13" localSheetId="43">#REF!</definedName>
    <definedName name="CE2H13" localSheetId="13">#REF!</definedName>
    <definedName name="CE2H13" localSheetId="38">#REF!</definedName>
    <definedName name="CE2H13">#REF!</definedName>
    <definedName name="CE2H14" localSheetId="3">#REF!</definedName>
    <definedName name="CE2H14" localSheetId="7">#REF!</definedName>
    <definedName name="CE2H14" localSheetId="9">#REF!</definedName>
    <definedName name="CE2H14" localSheetId="10">#REF!</definedName>
    <definedName name="CE2H14" localSheetId="15">#REF!</definedName>
    <definedName name="CE2H14" localSheetId="19">#REF!</definedName>
    <definedName name="CE2H14" localSheetId="20">#REF!</definedName>
    <definedName name="CE2H14" localSheetId="24">#REF!</definedName>
    <definedName name="CE2H14" localSheetId="104">#REF!</definedName>
    <definedName name="CE2H14" localSheetId="65">#REF!</definedName>
    <definedName name="CE2H14" localSheetId="64">#REF!</definedName>
    <definedName name="CE2H14" localSheetId="77">#REF!</definedName>
    <definedName name="CE2H14" localSheetId="49">#REF!</definedName>
    <definedName name="CE2H14" localSheetId="40">#REF!</definedName>
    <definedName name="CE2H14" localSheetId="43">#REF!</definedName>
    <definedName name="CE2H14" localSheetId="13">#REF!</definedName>
    <definedName name="CE2H14" localSheetId="38">#REF!</definedName>
    <definedName name="CE2H14">#REF!</definedName>
    <definedName name="CE2H15" localSheetId="3">#REF!</definedName>
    <definedName name="CE2H15" localSheetId="7">#REF!</definedName>
    <definedName name="CE2H15" localSheetId="9">#REF!</definedName>
    <definedName name="CE2H15" localSheetId="10">#REF!</definedName>
    <definedName name="CE2H15" localSheetId="15">#REF!</definedName>
    <definedName name="CE2H15" localSheetId="19">#REF!</definedName>
    <definedName name="CE2H15" localSheetId="20">#REF!</definedName>
    <definedName name="CE2H15" localSheetId="24">#REF!</definedName>
    <definedName name="CE2H15" localSheetId="104">#REF!</definedName>
    <definedName name="CE2H15" localSheetId="65">#REF!</definedName>
    <definedName name="CE2H15" localSheetId="64">#REF!</definedName>
    <definedName name="CE2H15" localSheetId="77">#REF!</definedName>
    <definedName name="CE2H15" localSheetId="49">#REF!</definedName>
    <definedName name="CE2H15" localSheetId="40">#REF!</definedName>
    <definedName name="CE2H15" localSheetId="43">#REF!</definedName>
    <definedName name="CE2H15" localSheetId="13">#REF!</definedName>
    <definedName name="CE2H15" localSheetId="38">#REF!</definedName>
    <definedName name="CE2H15">#REF!</definedName>
    <definedName name="CE2H2" localSheetId="3">#REF!</definedName>
    <definedName name="CE2H2" localSheetId="7">#REF!</definedName>
    <definedName name="CE2H2" localSheetId="9">#REF!</definedName>
    <definedName name="CE2H2" localSheetId="10">#REF!</definedName>
    <definedName name="CE2H2" localSheetId="15">#REF!</definedName>
    <definedName name="CE2H2" localSheetId="19">#REF!</definedName>
    <definedName name="CE2H2" localSheetId="20">#REF!</definedName>
    <definedName name="CE2H2" localSheetId="24">#REF!</definedName>
    <definedName name="CE2H2" localSheetId="104">#REF!</definedName>
    <definedName name="CE2H2" localSheetId="65">#REF!</definedName>
    <definedName name="CE2H2" localSheetId="64">#REF!</definedName>
    <definedName name="CE2H2" localSheetId="77">#REF!</definedName>
    <definedName name="CE2H2" localSheetId="49">#REF!</definedName>
    <definedName name="CE2H2" localSheetId="40">#REF!</definedName>
    <definedName name="CE2H2" localSheetId="43">#REF!</definedName>
    <definedName name="CE2H2" localSheetId="13">#REF!</definedName>
    <definedName name="CE2H2" localSheetId="38">#REF!</definedName>
    <definedName name="CE2H2">#REF!</definedName>
    <definedName name="CE2H3" localSheetId="3">#REF!</definedName>
    <definedName name="CE2H3" localSheetId="7">#REF!</definedName>
    <definedName name="CE2H3" localSheetId="9">#REF!</definedName>
    <definedName name="CE2H3" localSheetId="10">#REF!</definedName>
    <definedName name="CE2H3" localSheetId="15">#REF!</definedName>
    <definedName name="CE2H3" localSheetId="19">#REF!</definedName>
    <definedName name="CE2H3" localSheetId="20">#REF!</definedName>
    <definedName name="CE2H3" localSheetId="24">#REF!</definedName>
    <definedName name="CE2H3" localSheetId="104">#REF!</definedName>
    <definedName name="CE2H3" localSheetId="65">#REF!</definedName>
    <definedName name="CE2H3" localSheetId="64">#REF!</definedName>
    <definedName name="CE2H3" localSheetId="77">#REF!</definedName>
    <definedName name="CE2H3" localSheetId="49">#REF!</definedName>
    <definedName name="CE2H3" localSheetId="40">#REF!</definedName>
    <definedName name="CE2H3" localSheetId="43">#REF!</definedName>
    <definedName name="CE2H3" localSheetId="13">#REF!</definedName>
    <definedName name="CE2H3" localSheetId="38">#REF!</definedName>
    <definedName name="CE2H3">#REF!</definedName>
    <definedName name="CE2H4" localSheetId="3">#REF!</definedName>
    <definedName name="CE2H4" localSheetId="7">#REF!</definedName>
    <definedName name="CE2H4" localSheetId="9">#REF!</definedName>
    <definedName name="CE2H4" localSheetId="10">#REF!</definedName>
    <definedName name="CE2H4" localSheetId="15">#REF!</definedName>
    <definedName name="CE2H4" localSheetId="19">#REF!</definedName>
    <definedName name="CE2H4" localSheetId="20">#REF!</definedName>
    <definedName name="CE2H4" localSheetId="24">#REF!</definedName>
    <definedName name="CE2H4" localSheetId="104">#REF!</definedName>
    <definedName name="CE2H4" localSheetId="65">#REF!</definedName>
    <definedName name="CE2H4" localSheetId="64">#REF!</definedName>
    <definedName name="CE2H4" localSheetId="77">#REF!</definedName>
    <definedName name="CE2H4" localSheetId="49">#REF!</definedName>
    <definedName name="CE2H4" localSheetId="40">#REF!</definedName>
    <definedName name="CE2H4" localSheetId="43">#REF!</definedName>
    <definedName name="CE2H4" localSheetId="13">#REF!</definedName>
    <definedName name="CE2H4" localSheetId="38">#REF!</definedName>
    <definedName name="CE2H4">#REF!</definedName>
    <definedName name="CE2H5" localSheetId="3">#REF!</definedName>
    <definedName name="CE2H5" localSheetId="7">#REF!</definedName>
    <definedName name="CE2H5" localSheetId="9">#REF!</definedName>
    <definedName name="CE2H5" localSheetId="10">#REF!</definedName>
    <definedName name="CE2H5" localSheetId="15">#REF!</definedName>
    <definedName name="CE2H5" localSheetId="19">#REF!</definedName>
    <definedName name="CE2H5" localSheetId="20">#REF!</definedName>
    <definedName name="CE2H5" localSheetId="24">#REF!</definedName>
    <definedName name="CE2H5" localSheetId="104">#REF!</definedName>
    <definedName name="CE2H5" localSheetId="65">#REF!</definedName>
    <definedName name="CE2H5" localSheetId="64">#REF!</definedName>
    <definedName name="CE2H5" localSheetId="77">#REF!</definedName>
    <definedName name="CE2H5" localSheetId="49">#REF!</definedName>
    <definedName name="CE2H5" localSheetId="40">#REF!</definedName>
    <definedName name="CE2H5" localSheetId="43">#REF!</definedName>
    <definedName name="CE2H5" localSheetId="13">#REF!</definedName>
    <definedName name="CE2H5" localSheetId="38">#REF!</definedName>
    <definedName name="CE2H5">#REF!</definedName>
    <definedName name="CE2H6" localSheetId="3">#REF!</definedName>
    <definedName name="CE2H6" localSheetId="7">#REF!</definedName>
    <definedName name="CE2H6" localSheetId="9">#REF!</definedName>
    <definedName name="CE2H6" localSheetId="10">#REF!</definedName>
    <definedName name="CE2H6" localSheetId="15">#REF!</definedName>
    <definedName name="CE2H6" localSheetId="19">#REF!</definedName>
    <definedName name="CE2H6" localSheetId="20">#REF!</definedName>
    <definedName name="CE2H6" localSheetId="24">#REF!</definedName>
    <definedName name="CE2H6" localSheetId="104">#REF!</definedName>
    <definedName name="CE2H6" localSheetId="65">#REF!</definedName>
    <definedName name="CE2H6" localSheetId="64">#REF!</definedName>
    <definedName name="CE2H6" localSheetId="77">#REF!</definedName>
    <definedName name="CE2H6" localSheetId="49">#REF!</definedName>
    <definedName name="CE2H6" localSheetId="40">#REF!</definedName>
    <definedName name="CE2H6" localSheetId="43">#REF!</definedName>
    <definedName name="CE2H6" localSheetId="13">#REF!</definedName>
    <definedName name="CE2H6" localSheetId="38">#REF!</definedName>
    <definedName name="CE2H6">#REF!</definedName>
    <definedName name="CE2H7" localSheetId="3">#REF!</definedName>
    <definedName name="CE2H7" localSheetId="7">#REF!</definedName>
    <definedName name="CE2H7" localSheetId="9">#REF!</definedName>
    <definedName name="CE2H7" localSheetId="10">#REF!</definedName>
    <definedName name="CE2H7" localSheetId="15">#REF!</definedName>
    <definedName name="CE2H7" localSheetId="19">#REF!</definedName>
    <definedName name="CE2H7" localSheetId="20">#REF!</definedName>
    <definedName name="CE2H7" localSheetId="24">#REF!</definedName>
    <definedName name="CE2H7" localSheetId="104">#REF!</definedName>
    <definedName name="CE2H7" localSheetId="65">#REF!</definedName>
    <definedName name="CE2H7" localSheetId="64">#REF!</definedName>
    <definedName name="CE2H7" localSheetId="77">#REF!</definedName>
    <definedName name="CE2H7" localSheetId="49">#REF!</definedName>
    <definedName name="CE2H7" localSheetId="40">#REF!</definedName>
    <definedName name="CE2H7" localSheetId="43">#REF!</definedName>
    <definedName name="CE2H7" localSheetId="13">#REF!</definedName>
    <definedName name="CE2H7" localSheetId="38">#REF!</definedName>
    <definedName name="CE2H7">#REF!</definedName>
    <definedName name="CE2H8" localSheetId="3">#REF!</definedName>
    <definedName name="CE2H8" localSheetId="7">#REF!</definedName>
    <definedName name="CE2H8" localSheetId="9">#REF!</definedName>
    <definedName name="CE2H8" localSheetId="10">#REF!</definedName>
    <definedName name="CE2H8" localSheetId="15">#REF!</definedName>
    <definedName name="CE2H8" localSheetId="19">#REF!</definedName>
    <definedName name="CE2H8" localSheetId="20">#REF!</definedName>
    <definedName name="CE2H8" localSheetId="24">#REF!</definedName>
    <definedName name="CE2H8" localSheetId="104">#REF!</definedName>
    <definedName name="CE2H8" localSheetId="65">#REF!</definedName>
    <definedName name="CE2H8" localSheetId="64">#REF!</definedName>
    <definedName name="CE2H8" localSheetId="77">#REF!</definedName>
    <definedName name="CE2H8" localSheetId="49">#REF!</definedName>
    <definedName name="CE2H8" localSheetId="40">#REF!</definedName>
    <definedName name="CE2H8" localSheetId="43">#REF!</definedName>
    <definedName name="CE2H8" localSheetId="13">#REF!</definedName>
    <definedName name="CE2H8" localSheetId="38">#REF!</definedName>
    <definedName name="CE2H8">#REF!</definedName>
    <definedName name="CE2H9" localSheetId="3">#REF!</definedName>
    <definedName name="CE2H9" localSheetId="7">#REF!</definedName>
    <definedName name="CE2H9" localSheetId="9">#REF!</definedName>
    <definedName name="CE2H9" localSheetId="10">#REF!</definedName>
    <definedName name="CE2H9" localSheetId="15">#REF!</definedName>
    <definedName name="CE2H9" localSheetId="19">#REF!</definedName>
    <definedName name="CE2H9" localSheetId="20">#REF!</definedName>
    <definedName name="CE2H9" localSheetId="24">#REF!</definedName>
    <definedName name="CE2H9" localSheetId="104">#REF!</definedName>
    <definedName name="CE2H9" localSheetId="65">#REF!</definedName>
    <definedName name="CE2H9" localSheetId="64">#REF!</definedName>
    <definedName name="CE2H9" localSheetId="77">#REF!</definedName>
    <definedName name="CE2H9" localSheetId="49">#REF!</definedName>
    <definedName name="CE2H9" localSheetId="40">#REF!</definedName>
    <definedName name="CE2H9" localSheetId="43">#REF!</definedName>
    <definedName name="CE2H9" localSheetId="13">#REF!</definedName>
    <definedName name="CE2H9" localSheetId="38">#REF!</definedName>
    <definedName name="CE2H9">#REF!</definedName>
    <definedName name="CE2IH1" localSheetId="3">#REF!</definedName>
    <definedName name="CE2IH1" localSheetId="7">#REF!</definedName>
    <definedName name="CE2IH1" localSheetId="9">#REF!</definedName>
    <definedName name="CE2IH1" localSheetId="10">#REF!</definedName>
    <definedName name="CE2IH1" localSheetId="15">#REF!</definedName>
    <definedName name="CE2IH1" localSheetId="19">#REF!</definedName>
    <definedName name="CE2IH1" localSheetId="20">#REF!</definedName>
    <definedName name="CE2IH1" localSheetId="24">#REF!</definedName>
    <definedName name="CE2IH1" localSheetId="104">#REF!</definedName>
    <definedName name="CE2IH1" localSheetId="65">#REF!</definedName>
    <definedName name="CE2IH1" localSheetId="64">#REF!</definedName>
    <definedName name="CE2IH1" localSheetId="77">#REF!</definedName>
    <definedName name="CE2IH1" localSheetId="49">#REF!</definedName>
    <definedName name="CE2IH1" localSheetId="40">#REF!</definedName>
    <definedName name="CE2IH1" localSheetId="43">#REF!</definedName>
    <definedName name="CE2IH1" localSheetId="13">#REF!</definedName>
    <definedName name="CE2IH1" localSheetId="38">#REF!</definedName>
    <definedName name="CE2IH1">#REF!</definedName>
    <definedName name="CE2IH2" localSheetId="3">#REF!</definedName>
    <definedName name="CE2IH2" localSheetId="7">#REF!</definedName>
    <definedName name="CE2IH2" localSheetId="9">#REF!</definedName>
    <definedName name="CE2IH2" localSheetId="10">#REF!</definedName>
    <definedName name="CE2IH2" localSheetId="15">#REF!</definedName>
    <definedName name="CE2IH2" localSheetId="19">#REF!</definedName>
    <definedName name="CE2IH2" localSheetId="20">#REF!</definedName>
    <definedName name="CE2IH2" localSheetId="24">#REF!</definedName>
    <definedName name="CE2IH2" localSheetId="104">#REF!</definedName>
    <definedName name="CE2IH2" localSheetId="65">#REF!</definedName>
    <definedName name="CE2IH2" localSheetId="64">#REF!</definedName>
    <definedName name="CE2IH2" localSheetId="77">#REF!</definedName>
    <definedName name="CE2IH2" localSheetId="49">#REF!</definedName>
    <definedName name="CE2IH2" localSheetId="40">#REF!</definedName>
    <definedName name="CE2IH2" localSheetId="43">#REF!</definedName>
    <definedName name="CE2IH2" localSheetId="13">#REF!</definedName>
    <definedName name="CE2IH2" localSheetId="38">#REF!</definedName>
    <definedName name="CE2IH2">#REF!</definedName>
    <definedName name="CE2IH3" localSheetId="3">#REF!</definedName>
    <definedName name="CE2IH3" localSheetId="7">#REF!</definedName>
    <definedName name="CE2IH3" localSheetId="9">#REF!</definedName>
    <definedName name="CE2IH3" localSheetId="10">#REF!</definedName>
    <definedName name="CE2IH3" localSheetId="15">#REF!</definedName>
    <definedName name="CE2IH3" localSheetId="19">#REF!</definedName>
    <definedName name="CE2IH3" localSheetId="20">#REF!</definedName>
    <definedName name="CE2IH3" localSheetId="24">#REF!</definedName>
    <definedName name="CE2IH3" localSheetId="104">#REF!</definedName>
    <definedName name="CE2IH3" localSheetId="65">#REF!</definedName>
    <definedName name="CE2IH3" localSheetId="64">#REF!</definedName>
    <definedName name="CE2IH3" localSheetId="77">#REF!</definedName>
    <definedName name="CE2IH3" localSheetId="49">#REF!</definedName>
    <definedName name="CE2IH3" localSheetId="40">#REF!</definedName>
    <definedName name="CE2IH3" localSheetId="43">#REF!</definedName>
    <definedName name="CE2IH3" localSheetId="13">#REF!</definedName>
    <definedName name="CE2IH3" localSheetId="38">#REF!</definedName>
    <definedName name="CE2IH3">#REF!</definedName>
    <definedName name="CE2IH4" localSheetId="3">#REF!</definedName>
    <definedName name="CE2IH4" localSheetId="7">#REF!</definedName>
    <definedName name="CE2IH4" localSheetId="9">#REF!</definedName>
    <definedName name="CE2IH4" localSheetId="10">#REF!</definedName>
    <definedName name="CE2IH4" localSheetId="15">#REF!</definedName>
    <definedName name="CE2IH4" localSheetId="19">#REF!</definedName>
    <definedName name="CE2IH4" localSheetId="20">#REF!</definedName>
    <definedName name="CE2IH4" localSheetId="24">#REF!</definedName>
    <definedName name="CE2IH4" localSheetId="104">#REF!</definedName>
    <definedName name="CE2IH4" localSheetId="65">#REF!</definedName>
    <definedName name="CE2IH4" localSheetId="64">#REF!</definedName>
    <definedName name="CE2IH4" localSheetId="77">#REF!</definedName>
    <definedName name="CE2IH4" localSheetId="49">#REF!</definedName>
    <definedName name="CE2IH4" localSheetId="40">#REF!</definedName>
    <definedName name="CE2IH4" localSheetId="43">#REF!</definedName>
    <definedName name="CE2IH4" localSheetId="13">#REF!</definedName>
    <definedName name="CE2IH4" localSheetId="38">#REF!</definedName>
    <definedName name="CE2IH4">#REF!</definedName>
    <definedName name="CE2IH5" localSheetId="3">#REF!</definedName>
    <definedName name="CE2IH5" localSheetId="7">#REF!</definedName>
    <definedName name="CE2IH5" localSheetId="9">#REF!</definedName>
    <definedName name="CE2IH5" localSheetId="10">#REF!</definedName>
    <definedName name="CE2IH5" localSheetId="15">#REF!</definedName>
    <definedName name="CE2IH5" localSheetId="19">#REF!</definedName>
    <definedName name="CE2IH5" localSheetId="20">#REF!</definedName>
    <definedName name="CE2IH5" localSheetId="24">#REF!</definedName>
    <definedName name="CE2IH5" localSheetId="104">#REF!</definedName>
    <definedName name="CE2IH5" localSheetId="65">#REF!</definedName>
    <definedName name="CE2IH5" localSheetId="64">#REF!</definedName>
    <definedName name="CE2IH5" localSheetId="77">#REF!</definedName>
    <definedName name="CE2IH5" localSheetId="49">#REF!</definedName>
    <definedName name="CE2IH5" localSheetId="40">#REF!</definedName>
    <definedName name="CE2IH5" localSheetId="43">#REF!</definedName>
    <definedName name="CE2IH5" localSheetId="13">#REF!</definedName>
    <definedName name="CE2IH5" localSheetId="38">#REF!</definedName>
    <definedName name="CE2IH5">#REF!</definedName>
    <definedName name="ced" localSheetId="3">#REF!</definedName>
    <definedName name="ced" localSheetId="7">#REF!</definedName>
    <definedName name="ced" localSheetId="9">#REF!</definedName>
    <definedName name="ced" localSheetId="10">#REF!</definedName>
    <definedName name="ced" localSheetId="15">#REF!</definedName>
    <definedName name="ced" localSheetId="19">#REF!</definedName>
    <definedName name="ced" localSheetId="20">#REF!</definedName>
    <definedName name="ced" localSheetId="24">#REF!</definedName>
    <definedName name="ced" localSheetId="104">#REF!</definedName>
    <definedName name="ced" localSheetId="65">#REF!</definedName>
    <definedName name="ced" localSheetId="64">#REF!</definedName>
    <definedName name="ced" localSheetId="77">#REF!</definedName>
    <definedName name="ced" localSheetId="49">#REF!</definedName>
    <definedName name="ced" localSheetId="40">#REF!</definedName>
    <definedName name="ced" localSheetId="43">#REF!</definedName>
    <definedName name="ced" localSheetId="13">#REF!</definedName>
    <definedName name="ced" localSheetId="38">#REF!</definedName>
    <definedName name="ced">#REF!</definedName>
    <definedName name="CenterX">'[5]Building Rotate'!$B$3</definedName>
    <definedName name="CenterY">'[5]Building Rotate'!$C$3</definedName>
    <definedName name="Cg" localSheetId="3">#REF!</definedName>
    <definedName name="Cg" localSheetId="7">#REF!</definedName>
    <definedName name="Cg" localSheetId="9">#REF!</definedName>
    <definedName name="Cg" localSheetId="10">#REF!</definedName>
    <definedName name="Cg" localSheetId="15">#REF!</definedName>
    <definedName name="Cg" localSheetId="19">#REF!</definedName>
    <definedName name="Cg" localSheetId="20">#REF!</definedName>
    <definedName name="Cg" localSheetId="24">#REF!</definedName>
    <definedName name="Cg" localSheetId="104">#REF!</definedName>
    <definedName name="Cg" localSheetId="65">#REF!</definedName>
    <definedName name="Cg" localSheetId="64">#REF!</definedName>
    <definedName name="Cg" localSheetId="77">#REF!</definedName>
    <definedName name="Cg" localSheetId="49">#REF!</definedName>
    <definedName name="Cg" localSheetId="40">#REF!</definedName>
    <definedName name="Cg" localSheetId="43">#REF!</definedName>
    <definedName name="Cg" localSheetId="13">#REF!</definedName>
    <definedName name="Cg" localSheetId="38">#REF!</definedName>
    <definedName name="Cg">#REF!</definedName>
    <definedName name="CHANGEDATE">#N/A</definedName>
    <definedName name="CHECKLIST" localSheetId="3">#REF!</definedName>
    <definedName name="CHECKLIST" localSheetId="7">#REF!</definedName>
    <definedName name="CHECKLIST" localSheetId="9">#REF!</definedName>
    <definedName name="CHECKLIST" localSheetId="10">#REF!</definedName>
    <definedName name="CHECKLIST" localSheetId="15">#REF!</definedName>
    <definedName name="CHECKLIST" localSheetId="19">#REF!</definedName>
    <definedName name="CHECKLIST" localSheetId="20">#REF!</definedName>
    <definedName name="CHECKLIST" localSheetId="24">#REF!</definedName>
    <definedName name="CHECKLIST" localSheetId="104">#REF!</definedName>
    <definedName name="CHECKLIST" localSheetId="65">#REF!</definedName>
    <definedName name="CHECKLIST" localSheetId="64">#REF!</definedName>
    <definedName name="CHECKLIST" localSheetId="77">#REF!</definedName>
    <definedName name="CHECKLIST" localSheetId="49">#REF!</definedName>
    <definedName name="CHECKLIST" localSheetId="40">#REF!</definedName>
    <definedName name="CHECKLIST" localSheetId="43">#REF!</definedName>
    <definedName name="CHECKLIST" localSheetId="13">#REF!</definedName>
    <definedName name="CHECKLIST" localSheetId="38">#REF!</definedName>
    <definedName name="CHECKLIST">#REF!</definedName>
    <definedName name="CHECKLISTTITLE" localSheetId="3">#REF!</definedName>
    <definedName name="CHECKLISTTITLE" localSheetId="7">#REF!</definedName>
    <definedName name="CHECKLISTTITLE" localSheetId="9">#REF!</definedName>
    <definedName name="CHECKLISTTITLE" localSheetId="10">#REF!</definedName>
    <definedName name="CHECKLISTTITLE" localSheetId="15">#REF!</definedName>
    <definedName name="CHECKLISTTITLE" localSheetId="19">#REF!</definedName>
    <definedName name="CHECKLISTTITLE" localSheetId="20">#REF!</definedName>
    <definedName name="CHECKLISTTITLE" localSheetId="24">#REF!</definedName>
    <definedName name="CHECKLISTTITLE" localSheetId="104">#REF!</definedName>
    <definedName name="CHECKLISTTITLE" localSheetId="65">#REF!</definedName>
    <definedName name="CHECKLISTTITLE" localSheetId="64">#REF!</definedName>
    <definedName name="CHECKLISTTITLE" localSheetId="77">#REF!</definedName>
    <definedName name="CHECKLISTTITLE" localSheetId="49">#REF!</definedName>
    <definedName name="CHECKLISTTITLE" localSheetId="40">#REF!</definedName>
    <definedName name="CHECKLISTTITLE" localSheetId="43">#REF!</definedName>
    <definedName name="CHECKLISTTITLE" localSheetId="13">#REF!</definedName>
    <definedName name="CHECKLISTTITLE" localSheetId="38">#REF!</definedName>
    <definedName name="CHECKLISTTITLE">#REF!</definedName>
    <definedName name="chem" localSheetId="3">#REF!</definedName>
    <definedName name="chem" localSheetId="7">#REF!</definedName>
    <definedName name="chem" localSheetId="9">#REF!</definedName>
    <definedName name="chem" localSheetId="10">#REF!</definedName>
    <definedName name="chem" localSheetId="15">#REF!</definedName>
    <definedName name="chem" localSheetId="19">#REF!</definedName>
    <definedName name="chem" localSheetId="20">#REF!</definedName>
    <definedName name="chem" localSheetId="24">#REF!</definedName>
    <definedName name="chem" localSheetId="104">#REF!</definedName>
    <definedName name="chem" localSheetId="65">#REF!</definedName>
    <definedName name="chem" localSheetId="64">#REF!</definedName>
    <definedName name="chem" localSheetId="77">#REF!</definedName>
    <definedName name="chem" localSheetId="49">#REF!</definedName>
    <definedName name="chem" localSheetId="40">#REF!</definedName>
    <definedName name="chem" localSheetId="43">#REF!</definedName>
    <definedName name="chem" localSheetId="13">#REF!</definedName>
    <definedName name="chem" localSheetId="38">#REF!</definedName>
    <definedName name="chem">#REF!</definedName>
    <definedName name="Chems" localSheetId="3">#REF!</definedName>
    <definedName name="Chems" localSheetId="7">#REF!</definedName>
    <definedName name="Chems" localSheetId="9">#REF!</definedName>
    <definedName name="Chems" localSheetId="10">#REF!</definedName>
    <definedName name="Chems" localSheetId="15">#REF!</definedName>
    <definedName name="Chems" localSheetId="19">#REF!</definedName>
    <definedName name="Chems" localSheetId="20">#REF!</definedName>
    <definedName name="Chems" localSheetId="24">#REF!</definedName>
    <definedName name="Chems" localSheetId="104">#REF!</definedName>
    <definedName name="Chems" localSheetId="65">#REF!</definedName>
    <definedName name="Chems" localSheetId="64">#REF!</definedName>
    <definedName name="Chems" localSheetId="77">#REF!</definedName>
    <definedName name="Chems" localSheetId="49">#REF!</definedName>
    <definedName name="Chems" localSheetId="40">#REF!</definedName>
    <definedName name="Chems" localSheetId="43">#REF!</definedName>
    <definedName name="Chems" localSheetId="13">#REF!</definedName>
    <definedName name="Chems" localSheetId="38">#REF!</definedName>
    <definedName name="Chems">#REF!</definedName>
    <definedName name="chut1" localSheetId="3">#REF!</definedName>
    <definedName name="chut1" localSheetId="7">#REF!</definedName>
    <definedName name="chut1" localSheetId="9">#REF!</definedName>
    <definedName name="chut1" localSheetId="10">#REF!</definedName>
    <definedName name="chut1" localSheetId="15">#REF!</definedName>
    <definedName name="chut1" localSheetId="19">#REF!</definedName>
    <definedName name="chut1" localSheetId="20">#REF!</definedName>
    <definedName name="chut1" localSheetId="24">#REF!</definedName>
    <definedName name="chut1" localSheetId="104">#REF!</definedName>
    <definedName name="chut1" localSheetId="65">#REF!</definedName>
    <definedName name="chut1" localSheetId="64">#REF!</definedName>
    <definedName name="chut1" localSheetId="77">#REF!</definedName>
    <definedName name="chut1" localSheetId="49">#REF!</definedName>
    <definedName name="chut1" localSheetId="40">#REF!</definedName>
    <definedName name="chut1" localSheetId="43">#REF!</definedName>
    <definedName name="chut1" localSheetId="13">#REF!</definedName>
    <definedName name="chut1" localSheetId="38">#REF!</definedName>
    <definedName name="chut1">#REF!</definedName>
    <definedName name="chut2" localSheetId="3">#REF!</definedName>
    <definedName name="chut2" localSheetId="7">#REF!</definedName>
    <definedName name="chut2" localSheetId="9">#REF!</definedName>
    <definedName name="chut2" localSheetId="10">#REF!</definedName>
    <definedName name="chut2" localSheetId="15">#REF!</definedName>
    <definedName name="chut2" localSheetId="19">#REF!</definedName>
    <definedName name="chut2" localSheetId="20">#REF!</definedName>
    <definedName name="chut2" localSheetId="24">#REF!</definedName>
    <definedName name="chut2" localSheetId="104">#REF!</definedName>
    <definedName name="chut2" localSheetId="65">#REF!</definedName>
    <definedName name="chut2" localSheetId="64">#REF!</definedName>
    <definedName name="chut2" localSheetId="77">#REF!</definedName>
    <definedName name="chut2" localSheetId="49">#REF!</definedName>
    <definedName name="chut2" localSheetId="40">#REF!</definedName>
    <definedName name="chut2" localSheetId="43">#REF!</definedName>
    <definedName name="chut2" localSheetId="13">#REF!</definedName>
    <definedName name="chut2" localSheetId="38">#REF!</definedName>
    <definedName name="chut2">#REF!</definedName>
    <definedName name="chut3" localSheetId="3">#REF!</definedName>
    <definedName name="chut3" localSheetId="7">#REF!</definedName>
    <definedName name="chut3" localSheetId="9">#REF!</definedName>
    <definedName name="chut3" localSheetId="10">#REF!</definedName>
    <definedName name="chut3" localSheetId="15">#REF!</definedName>
    <definedName name="chut3" localSheetId="19">#REF!</definedName>
    <definedName name="chut3" localSheetId="20">#REF!</definedName>
    <definedName name="chut3" localSheetId="24">#REF!</definedName>
    <definedName name="chut3" localSheetId="104">#REF!</definedName>
    <definedName name="chut3" localSheetId="65">#REF!</definedName>
    <definedName name="chut3" localSheetId="64">#REF!</definedName>
    <definedName name="chut3" localSheetId="77">#REF!</definedName>
    <definedName name="chut3" localSheetId="49">#REF!</definedName>
    <definedName name="chut3" localSheetId="40">#REF!</definedName>
    <definedName name="chut3" localSheetId="43">#REF!</definedName>
    <definedName name="chut3" localSheetId="13">#REF!</definedName>
    <definedName name="chut3" localSheetId="38">#REF!</definedName>
    <definedName name="chut3">#REF!</definedName>
    <definedName name="chut4" localSheetId="3">#REF!</definedName>
    <definedName name="chut4" localSheetId="7">#REF!</definedName>
    <definedName name="chut4" localSheetId="9">#REF!</definedName>
    <definedName name="chut4" localSheetId="10">#REF!</definedName>
    <definedName name="chut4" localSheetId="15">#REF!</definedName>
    <definedName name="chut4" localSheetId="19">#REF!</definedName>
    <definedName name="chut4" localSheetId="20">#REF!</definedName>
    <definedName name="chut4" localSheetId="24">#REF!</definedName>
    <definedName name="chut4" localSheetId="104">#REF!</definedName>
    <definedName name="chut4" localSheetId="65">#REF!</definedName>
    <definedName name="chut4" localSheetId="64">#REF!</definedName>
    <definedName name="chut4" localSheetId="77">#REF!</definedName>
    <definedName name="chut4" localSheetId="49">#REF!</definedName>
    <definedName name="chut4" localSheetId="40">#REF!</definedName>
    <definedName name="chut4" localSheetId="43">#REF!</definedName>
    <definedName name="chut4" localSheetId="13">#REF!</definedName>
    <definedName name="chut4" localSheetId="38">#REF!</definedName>
    <definedName name="chut4">#REF!</definedName>
    <definedName name="chuttot" localSheetId="3">#REF!</definedName>
    <definedName name="chuttot" localSheetId="7">#REF!</definedName>
    <definedName name="chuttot" localSheetId="9">#REF!</definedName>
    <definedName name="chuttot" localSheetId="10">#REF!</definedName>
    <definedName name="chuttot" localSheetId="15">#REF!</definedName>
    <definedName name="chuttot" localSheetId="19">#REF!</definedName>
    <definedName name="chuttot" localSheetId="20">#REF!</definedName>
    <definedName name="chuttot" localSheetId="24">#REF!</definedName>
    <definedName name="chuttot" localSheetId="104">#REF!</definedName>
    <definedName name="chuttot" localSheetId="65">#REF!</definedName>
    <definedName name="chuttot" localSheetId="64">#REF!</definedName>
    <definedName name="chuttot" localSheetId="77">#REF!</definedName>
    <definedName name="chuttot" localSheetId="49">#REF!</definedName>
    <definedName name="chuttot" localSheetId="40">#REF!</definedName>
    <definedName name="chuttot" localSheetId="43">#REF!</definedName>
    <definedName name="chuttot" localSheetId="13">#REF!</definedName>
    <definedName name="chuttot" localSheetId="38">#REF!</definedName>
    <definedName name="chuttot">#REF!</definedName>
    <definedName name="City" localSheetId="3">#REF!</definedName>
    <definedName name="City" localSheetId="7">#REF!</definedName>
    <definedName name="City" localSheetId="9">#REF!</definedName>
    <definedName name="City" localSheetId="10">#REF!</definedName>
    <definedName name="City" localSheetId="15">#REF!</definedName>
    <definedName name="City" localSheetId="19">#REF!</definedName>
    <definedName name="City" localSheetId="20">#REF!</definedName>
    <definedName name="City" localSheetId="24">#REF!</definedName>
    <definedName name="City" localSheetId="104">#REF!</definedName>
    <definedName name="City" localSheetId="65">#REF!</definedName>
    <definedName name="City" localSheetId="64">#REF!</definedName>
    <definedName name="City" localSheetId="77">#REF!</definedName>
    <definedName name="City" localSheetId="49">#REF!</definedName>
    <definedName name="City" localSheetId="48">#REF!</definedName>
    <definedName name="City" localSheetId="40">#REF!</definedName>
    <definedName name="City" localSheetId="43">#REF!</definedName>
    <definedName name="City" localSheetId="13">#REF!</definedName>
    <definedName name="City" localSheetId="38">#REF!</definedName>
    <definedName name="City">#REF!</definedName>
    <definedName name="clar1" localSheetId="3">#REF!</definedName>
    <definedName name="clar1" localSheetId="7">#REF!</definedName>
    <definedName name="clar1" localSheetId="9">#REF!</definedName>
    <definedName name="clar1" localSheetId="10">#REF!</definedName>
    <definedName name="clar1" localSheetId="15">#REF!</definedName>
    <definedName name="clar1" localSheetId="19">#REF!</definedName>
    <definedName name="clar1" localSheetId="20">#REF!</definedName>
    <definedName name="clar1" localSheetId="24">#REF!</definedName>
    <definedName name="clar1" localSheetId="104">#REF!</definedName>
    <definedName name="clar1" localSheetId="65">#REF!</definedName>
    <definedName name="clar1" localSheetId="64">#REF!</definedName>
    <definedName name="clar1" localSheetId="77">#REF!</definedName>
    <definedName name="clar1" localSheetId="49">#REF!</definedName>
    <definedName name="clar1" localSheetId="40">#REF!</definedName>
    <definedName name="clar1" localSheetId="43">#REF!</definedName>
    <definedName name="clar1" localSheetId="13">#REF!</definedName>
    <definedName name="clar1" localSheetId="38">#REF!</definedName>
    <definedName name="clar1">#REF!</definedName>
    <definedName name="clar2" localSheetId="3">#REF!</definedName>
    <definedName name="clar2" localSheetId="7">#REF!</definedName>
    <definedName name="clar2" localSheetId="9">#REF!</definedName>
    <definedName name="clar2" localSheetId="10">#REF!</definedName>
    <definedName name="clar2" localSheetId="15">#REF!</definedName>
    <definedName name="clar2" localSheetId="19">#REF!</definedName>
    <definedName name="clar2" localSheetId="20">#REF!</definedName>
    <definedName name="clar2" localSheetId="24">#REF!</definedName>
    <definedName name="clar2" localSheetId="104">#REF!</definedName>
    <definedName name="clar2" localSheetId="65">#REF!</definedName>
    <definedName name="clar2" localSheetId="64">#REF!</definedName>
    <definedName name="clar2" localSheetId="77">#REF!</definedName>
    <definedName name="clar2" localSheetId="49">#REF!</definedName>
    <definedName name="clar2" localSheetId="40">#REF!</definedName>
    <definedName name="clar2" localSheetId="43">#REF!</definedName>
    <definedName name="clar2" localSheetId="13">#REF!</definedName>
    <definedName name="clar2" localSheetId="38">#REF!</definedName>
    <definedName name="clar2">#REF!</definedName>
    <definedName name="clar3" localSheetId="3">#REF!</definedName>
    <definedName name="clar3" localSheetId="7">#REF!</definedName>
    <definedName name="clar3" localSheetId="9">#REF!</definedName>
    <definedName name="clar3" localSheetId="10">#REF!</definedName>
    <definedName name="clar3" localSheetId="15">#REF!</definedName>
    <definedName name="clar3" localSheetId="19">#REF!</definedName>
    <definedName name="clar3" localSheetId="20">#REF!</definedName>
    <definedName name="clar3" localSheetId="24">#REF!</definedName>
    <definedName name="clar3" localSheetId="104">#REF!</definedName>
    <definedName name="clar3" localSheetId="65">#REF!</definedName>
    <definedName name="clar3" localSheetId="64">#REF!</definedName>
    <definedName name="clar3" localSheetId="77">#REF!</definedName>
    <definedName name="clar3" localSheetId="49">#REF!</definedName>
    <definedName name="clar3" localSheetId="40">#REF!</definedName>
    <definedName name="clar3" localSheetId="43">#REF!</definedName>
    <definedName name="clar3" localSheetId="13">#REF!</definedName>
    <definedName name="clar3" localSheetId="38">#REF!</definedName>
    <definedName name="clar3">#REF!</definedName>
    <definedName name="clar4" localSheetId="3">#REF!</definedName>
    <definedName name="clar4" localSheetId="7">#REF!</definedName>
    <definedName name="clar4" localSheetId="9">#REF!</definedName>
    <definedName name="clar4" localSheetId="10">#REF!</definedName>
    <definedName name="clar4" localSheetId="15">#REF!</definedName>
    <definedName name="clar4" localSheetId="19">#REF!</definedName>
    <definedName name="clar4" localSheetId="20">#REF!</definedName>
    <definedName name="clar4" localSheetId="24">#REF!</definedName>
    <definedName name="clar4" localSheetId="104">#REF!</definedName>
    <definedName name="clar4" localSheetId="65">#REF!</definedName>
    <definedName name="clar4" localSheetId="64">#REF!</definedName>
    <definedName name="clar4" localSheetId="77">#REF!</definedName>
    <definedName name="clar4" localSheetId="49">#REF!</definedName>
    <definedName name="clar4" localSheetId="40">#REF!</definedName>
    <definedName name="clar4" localSheetId="43">#REF!</definedName>
    <definedName name="clar4" localSheetId="13">#REF!</definedName>
    <definedName name="clar4" localSheetId="38">#REF!</definedName>
    <definedName name="clar4">#REF!</definedName>
    <definedName name="clartot" localSheetId="3">#REF!</definedName>
    <definedName name="clartot" localSheetId="7">#REF!</definedName>
    <definedName name="clartot" localSheetId="9">#REF!</definedName>
    <definedName name="clartot" localSheetId="10">#REF!</definedName>
    <definedName name="clartot" localSheetId="15">#REF!</definedName>
    <definedName name="clartot" localSheetId="19">#REF!</definedName>
    <definedName name="clartot" localSheetId="20">#REF!</definedName>
    <definedName name="clartot" localSheetId="24">#REF!</definedName>
    <definedName name="clartot" localSheetId="104">#REF!</definedName>
    <definedName name="clartot" localSheetId="65">#REF!</definedName>
    <definedName name="clartot" localSheetId="64">#REF!</definedName>
    <definedName name="clartot" localSheetId="77">#REF!</definedName>
    <definedName name="clartot" localSheetId="49">#REF!</definedName>
    <definedName name="clartot" localSheetId="40">#REF!</definedName>
    <definedName name="clartot" localSheetId="43">#REF!</definedName>
    <definedName name="clartot" localSheetId="13">#REF!</definedName>
    <definedName name="clartot" localSheetId="38">#REF!</definedName>
    <definedName name="clartot">#REF!</definedName>
    <definedName name="Cn" localSheetId="3">#REF!</definedName>
    <definedName name="Cn" localSheetId="7">#REF!</definedName>
    <definedName name="Cn" localSheetId="9">#REF!</definedName>
    <definedName name="Cn" localSheetId="10">#REF!</definedName>
    <definedName name="Cn" localSheetId="15">#REF!</definedName>
    <definedName name="Cn" localSheetId="19">#REF!</definedName>
    <definedName name="Cn" localSheetId="20">#REF!</definedName>
    <definedName name="Cn" localSheetId="24">#REF!</definedName>
    <definedName name="Cn" localSheetId="104">#REF!</definedName>
    <definedName name="Cn" localSheetId="65">#REF!</definedName>
    <definedName name="Cn" localSheetId="64">#REF!</definedName>
    <definedName name="Cn" localSheetId="77">#REF!</definedName>
    <definedName name="Cn" localSheetId="49">#REF!</definedName>
    <definedName name="Cn" localSheetId="40">#REF!</definedName>
    <definedName name="Cn" localSheetId="43">#REF!</definedName>
    <definedName name="Cn" localSheetId="13">#REF!</definedName>
    <definedName name="Cn" localSheetId="38">#REF!</definedName>
    <definedName name="Cn">#REF!</definedName>
    <definedName name="CO" localSheetId="3">'[8]Completion Emissions Tier0'!#REF!</definedName>
    <definedName name="CO" localSheetId="7">'[8]Completion Emissions Tier0'!#REF!</definedName>
    <definedName name="CO" localSheetId="9">'[8]Completion Emissions Tier0'!#REF!</definedName>
    <definedName name="CO" localSheetId="10">'[8]Completion Emissions Tier0'!#REF!</definedName>
    <definedName name="CO" localSheetId="15">'[8]Completion Emissions Tier0'!#REF!</definedName>
    <definedName name="CO" localSheetId="19">'[8]Completion Emissions Tier0'!#REF!</definedName>
    <definedName name="CO" localSheetId="20">'[8]Completion Emissions Tier0'!#REF!</definedName>
    <definedName name="CO" localSheetId="24">'[8]Completion Emissions Tier0'!#REF!</definedName>
    <definedName name="CO" localSheetId="104">'[8]Completion Emissions Tier0'!#REF!</definedName>
    <definedName name="CO" localSheetId="65">'[8]Completion Emissions Tier0'!#REF!</definedName>
    <definedName name="CO" localSheetId="64">'[8]Completion Emissions Tier0'!#REF!</definedName>
    <definedName name="CO" localSheetId="77">'[8]Completion Emissions Tier0'!#REF!</definedName>
    <definedName name="CO" localSheetId="49">'[8]Completion Emissions Tier0'!#REF!</definedName>
    <definedName name="CO" localSheetId="40">'[8]Completion Emissions Tier0'!#REF!</definedName>
    <definedName name="CO" localSheetId="43">'[8]Completion Emissions Tier0'!#REF!</definedName>
    <definedName name="CO" localSheetId="13">'[8]Completion Emissions Tier0'!#REF!</definedName>
    <definedName name="CO" localSheetId="38">'[8]Completion Emissions Tier0'!#REF!</definedName>
    <definedName name="CO">'[8]Completion Emissions Tier0'!#REF!</definedName>
    <definedName name="CO_combustion_factor" localSheetId="3">#REF!</definedName>
    <definedName name="CO_combustion_factor" localSheetId="7">#REF!</definedName>
    <definedName name="CO_combustion_factor" localSheetId="9">#REF!</definedName>
    <definedName name="CO_combustion_factor" localSheetId="10">#REF!</definedName>
    <definedName name="CO_combustion_factor" localSheetId="15">#REF!</definedName>
    <definedName name="CO_combustion_factor" localSheetId="19">#REF!</definedName>
    <definedName name="CO_combustion_factor" localSheetId="20">#REF!</definedName>
    <definedName name="CO_combustion_factor" localSheetId="24">#REF!</definedName>
    <definedName name="CO_combustion_factor" localSheetId="104">#REF!</definedName>
    <definedName name="CO_combustion_factor" localSheetId="65">#REF!</definedName>
    <definedName name="CO_combustion_factor" localSheetId="64">#REF!</definedName>
    <definedName name="CO_combustion_factor" localSheetId="77">#REF!</definedName>
    <definedName name="CO_combustion_factor" localSheetId="49">#REF!</definedName>
    <definedName name="CO_combustion_factor" localSheetId="40">#REF!</definedName>
    <definedName name="CO_combustion_factor" localSheetId="43">#REF!</definedName>
    <definedName name="CO_combustion_factor" localSheetId="13">#REF!</definedName>
    <definedName name="CO_combustion_factor" localSheetId="38">#REF!</definedName>
    <definedName name="CO_combustion_factor">#REF!</definedName>
    <definedName name="CO2_RECOVERY" localSheetId="3">#REF!</definedName>
    <definedName name="CO2_RECOVERY" localSheetId="7">#REF!</definedName>
    <definedName name="CO2_RECOVERY" localSheetId="9">#REF!</definedName>
    <definedName name="CO2_RECOVERY" localSheetId="10">#REF!</definedName>
    <definedName name="CO2_RECOVERY" localSheetId="15">#REF!</definedName>
    <definedName name="CO2_RECOVERY" localSheetId="19">#REF!</definedName>
    <definedName name="CO2_RECOVERY" localSheetId="20">#REF!</definedName>
    <definedName name="CO2_RECOVERY" localSheetId="24">#REF!</definedName>
    <definedName name="CO2_RECOVERY" localSheetId="104">#REF!</definedName>
    <definedName name="CO2_RECOVERY" localSheetId="65">#REF!</definedName>
    <definedName name="CO2_RECOVERY" localSheetId="64">#REF!</definedName>
    <definedName name="CO2_RECOVERY" localSheetId="77">#REF!</definedName>
    <definedName name="CO2_RECOVERY" localSheetId="49">#REF!</definedName>
    <definedName name="CO2_RECOVERY" localSheetId="48">#REF!</definedName>
    <definedName name="CO2_RECOVERY" localSheetId="40">#REF!</definedName>
    <definedName name="CO2_RECOVERY" localSheetId="43">#REF!</definedName>
    <definedName name="CO2_RECOVERY" localSheetId="13">#REF!</definedName>
    <definedName name="CO2_RECOVERY" localSheetId="38">#REF!</definedName>
    <definedName name="CO2_RECOVERY">#REF!</definedName>
    <definedName name="Coal" localSheetId="3">#REF!</definedName>
    <definedName name="Coal" localSheetId="7">#REF!</definedName>
    <definedName name="Coal" localSheetId="9">#REF!</definedName>
    <definedName name="Coal" localSheetId="10">#REF!</definedName>
    <definedName name="Coal" localSheetId="15">#REF!</definedName>
    <definedName name="Coal" localSheetId="19">#REF!</definedName>
    <definedName name="Coal" localSheetId="20">#REF!</definedName>
    <definedName name="Coal" localSheetId="24">#REF!</definedName>
    <definedName name="Coal" localSheetId="104">#REF!</definedName>
    <definedName name="Coal" localSheetId="65">#REF!</definedName>
    <definedName name="Coal" localSheetId="64">#REF!</definedName>
    <definedName name="Coal" localSheetId="77">#REF!</definedName>
    <definedName name="Coal" localSheetId="49">#REF!</definedName>
    <definedName name="Coal" localSheetId="40">#REF!</definedName>
    <definedName name="Coal" localSheetId="43">#REF!</definedName>
    <definedName name="Coal" localSheetId="13">#REF!</definedName>
    <definedName name="Coal" localSheetId="38">#REF!</definedName>
    <definedName name="Coal">#REF!</definedName>
    <definedName name="COBbtu" localSheetId="3">'[7]Operational Basis'!#REF!</definedName>
    <definedName name="COBbtu" localSheetId="7">'[7]Operational Basis'!#REF!</definedName>
    <definedName name="COBbtu" localSheetId="9">'[7]Operational Basis'!#REF!</definedName>
    <definedName name="COBbtu" localSheetId="10">'[7]Operational Basis'!#REF!</definedName>
    <definedName name="COBbtu" localSheetId="15">'[7]Operational Basis'!#REF!</definedName>
    <definedName name="COBbtu" localSheetId="19">'[7]Operational Basis'!#REF!</definedName>
    <definedName name="COBbtu" localSheetId="20">'[7]Operational Basis'!#REF!</definedName>
    <definedName name="COBbtu" localSheetId="24">'[7]Operational Basis'!#REF!</definedName>
    <definedName name="COBbtu" localSheetId="104">'[7]Operational Basis'!#REF!</definedName>
    <definedName name="COBbtu" localSheetId="65">'[7]Operational Basis'!#REF!</definedName>
    <definedName name="COBbtu" localSheetId="64">'[7]Operational Basis'!#REF!</definedName>
    <definedName name="COBbtu" localSheetId="77">'[7]Operational Basis'!#REF!</definedName>
    <definedName name="COBbtu" localSheetId="49">'[7]Operational Basis'!#REF!</definedName>
    <definedName name="COBbtu" localSheetId="40">'[7]Operational Basis'!#REF!</definedName>
    <definedName name="COBbtu" localSheetId="43">'[7]Operational Basis'!#REF!</definedName>
    <definedName name="COBbtu" localSheetId="13">'[7]Operational Basis'!#REF!</definedName>
    <definedName name="COBbtu" localSheetId="38">'[7]Operational Basis'!#REF!</definedName>
    <definedName name="COBbtu">'[7]Operational Basis'!#REF!</definedName>
    <definedName name="Code" localSheetId="3" hidden="1">#REF!</definedName>
    <definedName name="Code" localSheetId="7" hidden="1">#REF!</definedName>
    <definedName name="Code" localSheetId="9" hidden="1">#REF!</definedName>
    <definedName name="Code" localSheetId="10" hidden="1">#REF!</definedName>
    <definedName name="Code" localSheetId="15" hidden="1">#REF!</definedName>
    <definedName name="Code" localSheetId="18" hidden="1">#REF!</definedName>
    <definedName name="Code" localSheetId="19" hidden="1">#REF!</definedName>
    <definedName name="Code" localSheetId="20" hidden="1">#REF!</definedName>
    <definedName name="Code" localSheetId="23" hidden="1">#REF!</definedName>
    <definedName name="Code" localSheetId="24" hidden="1">#REF!</definedName>
    <definedName name="Code" localSheetId="35" hidden="1">#REF!</definedName>
    <definedName name="Code" localSheetId="58" hidden="1">#REF!</definedName>
    <definedName name="Code" localSheetId="60" hidden="1">#REF!</definedName>
    <definedName name="Code" localSheetId="51" hidden="1">#REF!</definedName>
    <definedName name="Code" localSheetId="54" hidden="1">#REF!</definedName>
    <definedName name="Code" localSheetId="47" hidden="1">#REF!</definedName>
    <definedName name="Code" localSheetId="105" hidden="1">#REF!</definedName>
    <definedName name="Code" localSheetId="104" hidden="1">#REF!</definedName>
    <definedName name="Code" localSheetId="88" hidden="1">#REF!</definedName>
    <definedName name="Code" localSheetId="89" hidden="1">#REF!</definedName>
    <definedName name="Code" localSheetId="87" hidden="1">#REF!</definedName>
    <definedName name="Code" localSheetId="90" hidden="1">#REF!</definedName>
    <definedName name="Code" localSheetId="70" hidden="1">#REF!</definedName>
    <definedName name="Code" localSheetId="63" hidden="1">#REF!</definedName>
    <definedName name="Code" localSheetId="65" hidden="1">#REF!</definedName>
    <definedName name="Code" localSheetId="64" hidden="1">#REF!</definedName>
    <definedName name="Code" localSheetId="77" hidden="1">#REF!</definedName>
    <definedName name="Code" localSheetId="49" hidden="1">#REF!</definedName>
    <definedName name="Code" localSheetId="48" hidden="1">#REF!</definedName>
    <definedName name="Code" localSheetId="57" hidden="1">#REF!</definedName>
    <definedName name="Code" localSheetId="59" hidden="1">#REF!</definedName>
    <definedName name="Code" localSheetId="52" hidden="1">#REF!</definedName>
    <definedName name="Code" localSheetId="67" hidden="1">#REF!</definedName>
    <definedName name="Code" localSheetId="80" hidden="1">#REF!</definedName>
    <definedName name="Code" localSheetId="40" hidden="1">#REF!</definedName>
    <definedName name="Code" localSheetId="43" hidden="1">#REF!</definedName>
    <definedName name="Code" localSheetId="55" hidden="1">#REF!</definedName>
    <definedName name="Code" localSheetId="81" hidden="1">#REF!</definedName>
    <definedName name="Code" localSheetId="53" hidden="1">#REF!</definedName>
    <definedName name="Code" localSheetId="13" hidden="1">#REF!</definedName>
    <definedName name="Code" localSheetId="11" hidden="1">#REF!</definedName>
    <definedName name="Code" localSheetId="38" hidden="1">#REF!</definedName>
    <definedName name="Code" localSheetId="41" hidden="1">#REF!</definedName>
    <definedName name="Code" localSheetId="101" hidden="1">#REF!</definedName>
    <definedName name="Code" localSheetId="102" hidden="1">#REF!</definedName>
    <definedName name="Code" localSheetId="103" hidden="1">#REF!</definedName>
    <definedName name="Code" localSheetId="97" hidden="1">#REF!</definedName>
    <definedName name="Code" localSheetId="42" hidden="1">#REF!</definedName>
    <definedName name="Code" localSheetId="12" hidden="1">#REF!</definedName>
    <definedName name="Code" localSheetId="73" hidden="1">#REF!</definedName>
    <definedName name="Code" localSheetId="74" hidden="1">#REF!</definedName>
    <definedName name="Code" hidden="1">#REF!</definedName>
    <definedName name="COEF" localSheetId="3">#REF!</definedName>
    <definedName name="COEF" localSheetId="7">#REF!</definedName>
    <definedName name="COEF" localSheetId="9">#REF!</definedName>
    <definedName name="COEF" localSheetId="10">#REF!</definedName>
    <definedName name="COEF" localSheetId="15">#REF!</definedName>
    <definedName name="COEF" localSheetId="19">#REF!</definedName>
    <definedName name="COEF" localSheetId="20">#REF!</definedName>
    <definedName name="COEF" localSheetId="24">#REF!</definedName>
    <definedName name="COEF" localSheetId="104">#REF!</definedName>
    <definedName name="COEF" localSheetId="65">#REF!</definedName>
    <definedName name="COEF" localSheetId="64">#REF!</definedName>
    <definedName name="COEF" localSheetId="77">#REF!</definedName>
    <definedName name="COEF" localSheetId="49">#REF!</definedName>
    <definedName name="COEF" localSheetId="40">#REF!</definedName>
    <definedName name="COEF" localSheetId="43">#REF!</definedName>
    <definedName name="COEF" localSheetId="13">#REF!</definedName>
    <definedName name="COEF" localSheetId="38">#REF!</definedName>
    <definedName name="COEF">#REF!</definedName>
    <definedName name="COfactor" localSheetId="3">#REF!</definedName>
    <definedName name="COfactor" localSheetId="7">#REF!</definedName>
    <definedName name="COfactor" localSheetId="9">#REF!</definedName>
    <definedName name="COfactor" localSheetId="10">#REF!</definedName>
    <definedName name="COfactor" localSheetId="15">#REF!</definedName>
    <definedName name="COfactor" localSheetId="19">#REF!</definedName>
    <definedName name="COfactor" localSheetId="20">#REF!</definedName>
    <definedName name="COfactor" localSheetId="24">#REF!</definedName>
    <definedName name="COfactor" localSheetId="104">#REF!</definedName>
    <definedName name="COfactor" localSheetId="65">#REF!</definedName>
    <definedName name="COfactor" localSheetId="64">#REF!</definedName>
    <definedName name="COfactor" localSheetId="77">#REF!</definedName>
    <definedName name="COfactor" localSheetId="49">#REF!</definedName>
    <definedName name="COfactor" localSheetId="40">#REF!</definedName>
    <definedName name="COfactor" localSheetId="43">#REF!</definedName>
    <definedName name="COfactor" localSheetId="13">#REF!</definedName>
    <definedName name="COfactor" localSheetId="38">#REF!</definedName>
    <definedName name="COfactor">#REF!</definedName>
    <definedName name="color" localSheetId="3">#REF!</definedName>
    <definedName name="color" localSheetId="7">#REF!</definedName>
    <definedName name="color" localSheetId="9">#REF!</definedName>
    <definedName name="color" localSheetId="10">#REF!</definedName>
    <definedName name="color" localSheetId="15">#REF!</definedName>
    <definedName name="color" localSheetId="19">#REF!</definedName>
    <definedName name="color" localSheetId="20">#REF!</definedName>
    <definedName name="color" localSheetId="24">#REF!</definedName>
    <definedName name="color" localSheetId="104">#REF!</definedName>
    <definedName name="color" localSheetId="65">#REF!</definedName>
    <definedName name="color" localSheetId="64">#REF!</definedName>
    <definedName name="color" localSheetId="77">#REF!</definedName>
    <definedName name="color" localSheetId="49">#REF!</definedName>
    <definedName name="color" localSheetId="40">#REF!</definedName>
    <definedName name="color" localSheetId="43">#REF!</definedName>
    <definedName name="color" localSheetId="13">#REF!</definedName>
    <definedName name="color" localSheetId="38">#REF!</definedName>
    <definedName name="color">#REF!</definedName>
    <definedName name="colu1" localSheetId="3">#REF!</definedName>
    <definedName name="colu1" localSheetId="7">#REF!</definedName>
    <definedName name="colu1" localSheetId="9">#REF!</definedName>
    <definedName name="colu1" localSheetId="10">#REF!</definedName>
    <definedName name="colu1" localSheetId="15">#REF!</definedName>
    <definedName name="colu1" localSheetId="19">#REF!</definedName>
    <definedName name="colu1" localSheetId="20">#REF!</definedName>
    <definedName name="colu1" localSheetId="24">#REF!</definedName>
    <definedName name="colu1" localSheetId="104">#REF!</definedName>
    <definedName name="colu1" localSheetId="65">#REF!</definedName>
    <definedName name="colu1" localSheetId="64">#REF!</definedName>
    <definedName name="colu1" localSheetId="77">#REF!</definedName>
    <definedName name="colu1" localSheetId="49">#REF!</definedName>
    <definedName name="colu1" localSheetId="40">#REF!</definedName>
    <definedName name="colu1" localSheetId="43">#REF!</definedName>
    <definedName name="colu1" localSheetId="13">#REF!</definedName>
    <definedName name="colu1" localSheetId="38">#REF!</definedName>
    <definedName name="colu1">#REF!</definedName>
    <definedName name="colu2" localSheetId="3">#REF!</definedName>
    <definedName name="colu2" localSheetId="7">#REF!</definedName>
    <definedName name="colu2" localSheetId="9">#REF!</definedName>
    <definedName name="colu2" localSheetId="10">#REF!</definedName>
    <definedName name="colu2" localSheetId="15">#REF!</definedName>
    <definedName name="colu2" localSheetId="19">#REF!</definedName>
    <definedName name="colu2" localSheetId="20">#REF!</definedName>
    <definedName name="colu2" localSheetId="24">#REF!</definedName>
    <definedName name="colu2" localSheetId="104">#REF!</definedName>
    <definedName name="colu2" localSheetId="65">#REF!</definedName>
    <definedName name="colu2" localSheetId="64">#REF!</definedName>
    <definedName name="colu2" localSheetId="77">#REF!</definedName>
    <definedName name="colu2" localSheetId="49">#REF!</definedName>
    <definedName name="colu2" localSheetId="40">#REF!</definedName>
    <definedName name="colu2" localSheetId="43">#REF!</definedName>
    <definedName name="colu2" localSheetId="13">#REF!</definedName>
    <definedName name="colu2" localSheetId="38">#REF!</definedName>
    <definedName name="colu2">#REF!</definedName>
    <definedName name="colu3" localSheetId="3">#REF!</definedName>
    <definedName name="colu3" localSheetId="7">#REF!</definedName>
    <definedName name="colu3" localSheetId="9">#REF!</definedName>
    <definedName name="colu3" localSheetId="10">#REF!</definedName>
    <definedName name="colu3" localSheetId="15">#REF!</definedName>
    <definedName name="colu3" localSheetId="19">#REF!</definedName>
    <definedName name="colu3" localSheetId="20">#REF!</definedName>
    <definedName name="colu3" localSheetId="24">#REF!</definedName>
    <definedName name="colu3" localSheetId="104">#REF!</definedName>
    <definedName name="colu3" localSheetId="65">#REF!</definedName>
    <definedName name="colu3" localSheetId="64">#REF!</definedName>
    <definedName name="colu3" localSheetId="77">#REF!</definedName>
    <definedName name="colu3" localSheetId="49">#REF!</definedName>
    <definedName name="colu3" localSheetId="40">#REF!</definedName>
    <definedName name="colu3" localSheetId="43">#REF!</definedName>
    <definedName name="colu3" localSheetId="13">#REF!</definedName>
    <definedName name="colu3" localSheetId="38">#REF!</definedName>
    <definedName name="colu3">#REF!</definedName>
    <definedName name="colu4" localSheetId="3">#REF!</definedName>
    <definedName name="colu4" localSheetId="7">#REF!</definedName>
    <definedName name="colu4" localSheetId="9">#REF!</definedName>
    <definedName name="colu4" localSheetId="10">#REF!</definedName>
    <definedName name="colu4" localSheetId="15">#REF!</definedName>
    <definedName name="colu4" localSheetId="19">#REF!</definedName>
    <definedName name="colu4" localSheetId="20">#REF!</definedName>
    <definedName name="colu4" localSheetId="24">#REF!</definedName>
    <definedName name="colu4" localSheetId="104">#REF!</definedName>
    <definedName name="colu4" localSheetId="65">#REF!</definedName>
    <definedName name="colu4" localSheetId="64">#REF!</definedName>
    <definedName name="colu4" localSheetId="77">#REF!</definedName>
    <definedName name="colu4" localSheetId="49">#REF!</definedName>
    <definedName name="colu4" localSheetId="40">#REF!</definedName>
    <definedName name="colu4" localSheetId="43">#REF!</definedName>
    <definedName name="colu4" localSheetId="13">#REF!</definedName>
    <definedName name="colu4" localSheetId="38">#REF!</definedName>
    <definedName name="colu4">#REF!</definedName>
    <definedName name="colutot" localSheetId="3">#REF!</definedName>
    <definedName name="colutot" localSheetId="7">#REF!</definedName>
    <definedName name="colutot" localSheetId="9">#REF!</definedName>
    <definedName name="colutot" localSheetId="10">#REF!</definedName>
    <definedName name="colutot" localSheetId="15">#REF!</definedName>
    <definedName name="colutot" localSheetId="19">#REF!</definedName>
    <definedName name="colutot" localSheetId="20">#REF!</definedName>
    <definedName name="colutot" localSheetId="24">#REF!</definedName>
    <definedName name="colutot" localSheetId="104">#REF!</definedName>
    <definedName name="colutot" localSheetId="65">#REF!</definedName>
    <definedName name="colutot" localSheetId="64">#REF!</definedName>
    <definedName name="colutot" localSheetId="77">#REF!</definedName>
    <definedName name="colutot" localSheetId="49">#REF!</definedName>
    <definedName name="colutot" localSheetId="40">#REF!</definedName>
    <definedName name="colutot" localSheetId="43">#REF!</definedName>
    <definedName name="colutot" localSheetId="13">#REF!</definedName>
    <definedName name="colutot" localSheetId="38">#REF!</definedName>
    <definedName name="colutot">#REF!</definedName>
    <definedName name="CombEff" localSheetId="3">'[8]Completion Emissions Tier0'!#REF!</definedName>
    <definedName name="CombEff" localSheetId="7">'[8]Completion Emissions Tier0'!#REF!</definedName>
    <definedName name="CombEff" localSheetId="9">'[8]Completion Emissions Tier0'!#REF!</definedName>
    <definedName name="CombEff" localSheetId="10">'[8]Completion Emissions Tier0'!#REF!</definedName>
    <definedName name="CombEff" localSheetId="15">'[8]Completion Emissions Tier0'!#REF!</definedName>
    <definedName name="CombEff" localSheetId="19">'[8]Completion Emissions Tier0'!#REF!</definedName>
    <definedName name="CombEff" localSheetId="20">'[8]Completion Emissions Tier0'!#REF!</definedName>
    <definedName name="CombEff" localSheetId="24">'[8]Completion Emissions Tier0'!#REF!</definedName>
    <definedName name="CombEff" localSheetId="104">'[8]Completion Emissions Tier0'!#REF!</definedName>
    <definedName name="CombEff" localSheetId="65">'[8]Completion Emissions Tier0'!#REF!</definedName>
    <definedName name="CombEff" localSheetId="64">'[8]Completion Emissions Tier0'!#REF!</definedName>
    <definedName name="CombEff" localSheetId="77">'[8]Completion Emissions Tier0'!#REF!</definedName>
    <definedName name="CombEff" localSheetId="49">'[8]Completion Emissions Tier0'!#REF!</definedName>
    <definedName name="CombEff" localSheetId="40">'[8]Completion Emissions Tier0'!#REF!</definedName>
    <definedName name="CombEff" localSheetId="43">'[8]Completion Emissions Tier0'!#REF!</definedName>
    <definedName name="CombEff" localSheetId="13">'[8]Completion Emissions Tier0'!#REF!</definedName>
    <definedName name="CombEff" localSheetId="38">'[8]Completion Emissions Tier0'!#REF!</definedName>
    <definedName name="CombEff">'[8]Completion Emissions Tier0'!#REF!</definedName>
    <definedName name="Combined" localSheetId="3">'2-A All'!Summary,Detailed</definedName>
    <definedName name="Combined" localSheetId="7">'2-A_1TURB'!Summary,Detailed</definedName>
    <definedName name="Combined" localSheetId="9">'2-B'!Summary,Detailed</definedName>
    <definedName name="Combined" localSheetId="10">'2-C'!Summary,Detailed</definedName>
    <definedName name="Combined" localSheetId="15">'2-D-Co'!Summary,Detailed</definedName>
    <definedName name="Combined" localSheetId="19">'2-F'!Summary,Detailed</definedName>
    <definedName name="Combined" localSheetId="20">'2-G'!Summary,Detailed</definedName>
    <definedName name="Combined" localSheetId="24">'2-I-Co'!Summary,Detailed</definedName>
    <definedName name="Combined" localSheetId="104">'Cogen-SO2_H2SO4 (2)'!Summary,Detailed</definedName>
    <definedName name="Combined" localSheetId="65">'FLCRY SSM GHG'!Summary,Detailed</definedName>
    <definedName name="Combined" localSheetId="64">'FLOH SSM GHG'!Summary,Detailed</definedName>
    <definedName name="Combined" localSheetId="77">'Fugitive CH4'!Summary,Detailed</definedName>
    <definedName name="Combined" localSheetId="49">'Gen GHG'!Summary,Detailed</definedName>
    <definedName name="Combined" localSheetId="40">'PSD-Co'!Summary,Detailed</definedName>
    <definedName name="Combined" localSheetId="43">'PSD-NoCo'!Summary,Detailed</definedName>
    <definedName name="Combined" localSheetId="44">Summary,Detailed</definedName>
    <definedName name="Combined" localSheetId="13">'Sum UC-Co11X17'!Summary,Detailed</definedName>
    <definedName name="Combined" localSheetId="38">'Summary UC-Co'!Summary,Detailed</definedName>
    <definedName name="Combined">Summary,Detailed</definedName>
    <definedName name="comp1" localSheetId="3">#REF!</definedName>
    <definedName name="comp1" localSheetId="7">#REF!</definedName>
    <definedName name="comp1" localSheetId="9">#REF!</definedName>
    <definedName name="comp1" localSheetId="10">#REF!</definedName>
    <definedName name="comp1" localSheetId="15">#REF!</definedName>
    <definedName name="comp1" localSheetId="19">#REF!</definedName>
    <definedName name="comp1" localSheetId="20">#REF!</definedName>
    <definedName name="comp1" localSheetId="24">#REF!</definedName>
    <definedName name="comp1" localSheetId="104">#REF!</definedName>
    <definedName name="comp1" localSheetId="65">#REF!</definedName>
    <definedName name="comp1" localSheetId="64">#REF!</definedName>
    <definedName name="comp1" localSheetId="77">#REF!</definedName>
    <definedName name="comp1" localSheetId="49">#REF!</definedName>
    <definedName name="comp1" localSheetId="40">#REF!</definedName>
    <definedName name="comp1" localSheetId="43">#REF!</definedName>
    <definedName name="comp1" localSheetId="13">#REF!</definedName>
    <definedName name="comp1" localSheetId="38">#REF!</definedName>
    <definedName name="comp1">#REF!</definedName>
    <definedName name="comp2" localSheetId="3">#REF!</definedName>
    <definedName name="comp2" localSheetId="7">#REF!</definedName>
    <definedName name="comp2" localSheetId="9">#REF!</definedName>
    <definedName name="comp2" localSheetId="10">#REF!</definedName>
    <definedName name="comp2" localSheetId="15">#REF!</definedName>
    <definedName name="comp2" localSheetId="19">#REF!</definedName>
    <definedName name="comp2" localSheetId="20">#REF!</definedName>
    <definedName name="comp2" localSheetId="24">#REF!</definedName>
    <definedName name="comp2" localSheetId="104">#REF!</definedName>
    <definedName name="comp2" localSheetId="65">#REF!</definedName>
    <definedName name="comp2" localSheetId="64">#REF!</definedName>
    <definedName name="comp2" localSheetId="77">#REF!</definedName>
    <definedName name="comp2" localSheetId="49">#REF!</definedName>
    <definedName name="comp2" localSheetId="40">#REF!</definedName>
    <definedName name="comp2" localSheetId="43">#REF!</definedName>
    <definedName name="comp2" localSheetId="13">#REF!</definedName>
    <definedName name="comp2" localSheetId="38">#REF!</definedName>
    <definedName name="comp2">#REF!</definedName>
    <definedName name="comp3" localSheetId="3">#REF!</definedName>
    <definedName name="comp3" localSheetId="7">#REF!</definedName>
    <definedName name="comp3" localSheetId="9">#REF!</definedName>
    <definedName name="comp3" localSheetId="10">#REF!</definedName>
    <definedName name="comp3" localSheetId="15">#REF!</definedName>
    <definedName name="comp3" localSheetId="19">#REF!</definedName>
    <definedName name="comp3" localSheetId="20">#REF!</definedName>
    <definedName name="comp3" localSheetId="24">#REF!</definedName>
    <definedName name="comp3" localSheetId="104">#REF!</definedName>
    <definedName name="comp3" localSheetId="65">#REF!</definedName>
    <definedName name="comp3" localSheetId="64">#REF!</definedName>
    <definedName name="comp3" localSheetId="77">#REF!</definedName>
    <definedName name="comp3" localSheetId="49">#REF!</definedName>
    <definedName name="comp3" localSheetId="40">#REF!</definedName>
    <definedName name="comp3" localSheetId="43">#REF!</definedName>
    <definedName name="comp3" localSheetId="13">#REF!</definedName>
    <definedName name="comp3" localSheetId="38">#REF!</definedName>
    <definedName name="comp3">#REF!</definedName>
    <definedName name="comp4" localSheetId="3">#REF!</definedName>
    <definedName name="comp4" localSheetId="7">#REF!</definedName>
    <definedName name="comp4" localSheetId="9">#REF!</definedName>
    <definedName name="comp4" localSheetId="10">#REF!</definedName>
    <definedName name="comp4" localSheetId="15">#REF!</definedName>
    <definedName name="comp4" localSheetId="19">#REF!</definedName>
    <definedName name="comp4" localSheetId="20">#REF!</definedName>
    <definedName name="comp4" localSheetId="24">#REF!</definedName>
    <definedName name="comp4" localSheetId="104">#REF!</definedName>
    <definedName name="comp4" localSheetId="65">#REF!</definedName>
    <definedName name="comp4" localSheetId="64">#REF!</definedName>
    <definedName name="comp4" localSheetId="77">#REF!</definedName>
    <definedName name="comp4" localSheetId="49">#REF!</definedName>
    <definedName name="comp4" localSheetId="40">#REF!</definedName>
    <definedName name="comp4" localSheetId="43">#REF!</definedName>
    <definedName name="comp4" localSheetId="13">#REF!</definedName>
    <definedName name="comp4" localSheetId="38">#REF!</definedName>
    <definedName name="comp4">#REF!</definedName>
    <definedName name="Company" localSheetId="3">#REF!</definedName>
    <definedName name="Company" localSheetId="7">#REF!</definedName>
    <definedName name="Company" localSheetId="9">#REF!</definedName>
    <definedName name="Company" localSheetId="10">#REF!</definedName>
    <definedName name="Company" localSheetId="15">#REF!</definedName>
    <definedName name="Company" localSheetId="19">#REF!</definedName>
    <definedName name="Company" localSheetId="20">#REF!</definedName>
    <definedName name="Company" localSheetId="24">#REF!</definedName>
    <definedName name="Company" localSheetId="104">#REF!</definedName>
    <definedName name="Company" localSheetId="65">#REF!</definedName>
    <definedName name="Company" localSheetId="64">#REF!</definedName>
    <definedName name="Company" localSheetId="77">#REF!</definedName>
    <definedName name="Company" localSheetId="49">#REF!</definedName>
    <definedName name="Company" localSheetId="48">#REF!</definedName>
    <definedName name="Company" localSheetId="40">#REF!</definedName>
    <definedName name="Company" localSheetId="43">#REF!</definedName>
    <definedName name="Company" localSheetId="13">#REF!</definedName>
    <definedName name="Company" localSheetId="38">#REF!</definedName>
    <definedName name="Company">#REF!</definedName>
    <definedName name="Components">[10]Compliance_NS!$A$49:$A$73</definedName>
    <definedName name="comptot" localSheetId="3">#REF!</definedName>
    <definedName name="comptot" localSheetId="7">#REF!</definedName>
    <definedName name="comptot" localSheetId="9">#REF!</definedName>
    <definedName name="comptot" localSheetId="10">#REF!</definedName>
    <definedName name="comptot" localSheetId="15">#REF!</definedName>
    <definedName name="comptot" localSheetId="19">#REF!</definedName>
    <definedName name="comptot" localSheetId="20">#REF!</definedName>
    <definedName name="comptot" localSheetId="24">#REF!</definedName>
    <definedName name="comptot" localSheetId="104">#REF!</definedName>
    <definedName name="comptot" localSheetId="65">#REF!</definedName>
    <definedName name="comptot" localSheetId="64">#REF!</definedName>
    <definedName name="comptot" localSheetId="77">#REF!</definedName>
    <definedName name="comptot" localSheetId="49">#REF!</definedName>
    <definedName name="comptot" localSheetId="40">#REF!</definedName>
    <definedName name="comptot" localSheetId="43">#REF!</definedName>
    <definedName name="comptot" localSheetId="13">#REF!</definedName>
    <definedName name="comptot" localSheetId="38">#REF!</definedName>
    <definedName name="comptot">#REF!</definedName>
    <definedName name="cond" localSheetId="3">#REF!</definedName>
    <definedName name="cond" localSheetId="7">#REF!</definedName>
    <definedName name="cond" localSheetId="9">#REF!</definedName>
    <definedName name="cond" localSheetId="10">#REF!</definedName>
    <definedName name="cond" localSheetId="15">#REF!</definedName>
    <definedName name="cond" localSheetId="19">#REF!</definedName>
    <definedName name="cond" localSheetId="20">#REF!</definedName>
    <definedName name="cond" localSheetId="24">#REF!</definedName>
    <definedName name="cond" localSheetId="104">#REF!</definedName>
    <definedName name="cond" localSheetId="65">#REF!</definedName>
    <definedName name="cond" localSheetId="64">#REF!</definedName>
    <definedName name="cond" localSheetId="77">#REF!</definedName>
    <definedName name="cond" localSheetId="49">#REF!</definedName>
    <definedName name="cond" localSheetId="40">#REF!</definedName>
    <definedName name="cond" localSheetId="43">#REF!</definedName>
    <definedName name="cond" localSheetId="13">#REF!</definedName>
    <definedName name="cond" localSheetId="38">#REF!</definedName>
    <definedName name="cond">#REF!</definedName>
    <definedName name="COND.001" localSheetId="3">#REF!</definedName>
    <definedName name="COND.001" localSheetId="7">#REF!</definedName>
    <definedName name="COND.001" localSheetId="9">#REF!</definedName>
    <definedName name="COND.001" localSheetId="10">#REF!</definedName>
    <definedName name="COND.001" localSheetId="15">#REF!</definedName>
    <definedName name="COND.001" localSheetId="19">#REF!</definedName>
    <definedName name="COND.001" localSheetId="20">#REF!</definedName>
    <definedName name="COND.001" localSheetId="24">#REF!</definedName>
    <definedName name="COND.001" localSheetId="104">#REF!</definedName>
    <definedName name="COND.001" localSheetId="65">#REF!</definedName>
    <definedName name="COND.001" localSheetId="64">#REF!</definedName>
    <definedName name="COND.001" localSheetId="77">#REF!</definedName>
    <definedName name="COND.001" localSheetId="49">#REF!</definedName>
    <definedName name="COND.001" localSheetId="40">#REF!</definedName>
    <definedName name="COND.001" localSheetId="43">#REF!</definedName>
    <definedName name="COND.001" localSheetId="13">#REF!</definedName>
    <definedName name="COND.001" localSheetId="38">#REF!</definedName>
    <definedName name="COND.001">#REF!</definedName>
    <definedName name="COND.002" localSheetId="3">#REF!</definedName>
    <definedName name="COND.002" localSheetId="7">#REF!</definedName>
    <definedName name="COND.002" localSheetId="9">#REF!</definedName>
    <definedName name="COND.002" localSheetId="10">#REF!</definedName>
    <definedName name="COND.002" localSheetId="15">#REF!</definedName>
    <definedName name="COND.002" localSheetId="19">#REF!</definedName>
    <definedName name="COND.002" localSheetId="20">#REF!</definedName>
    <definedName name="COND.002" localSheetId="24">#REF!</definedName>
    <definedName name="COND.002" localSheetId="104">#REF!</definedName>
    <definedName name="COND.002" localSheetId="65">#REF!</definedName>
    <definedName name="COND.002" localSheetId="64">#REF!</definedName>
    <definedName name="COND.002" localSheetId="77">#REF!</definedName>
    <definedName name="COND.002" localSheetId="49">#REF!</definedName>
    <definedName name="COND.002" localSheetId="40">#REF!</definedName>
    <definedName name="COND.002" localSheetId="43">#REF!</definedName>
    <definedName name="COND.002" localSheetId="13">#REF!</definedName>
    <definedName name="COND.002" localSheetId="38">#REF!</definedName>
    <definedName name="COND.002">#REF!</definedName>
    <definedName name="COND.003" localSheetId="3">#REF!</definedName>
    <definedName name="COND.003" localSheetId="7">#REF!</definedName>
    <definedName name="COND.003" localSheetId="9">#REF!</definedName>
    <definedName name="COND.003" localSheetId="10">#REF!</definedName>
    <definedName name="COND.003" localSheetId="15">#REF!</definedName>
    <definedName name="COND.003" localSheetId="19">#REF!</definedName>
    <definedName name="COND.003" localSheetId="20">#REF!</definedName>
    <definedName name="COND.003" localSheetId="24">#REF!</definedName>
    <definedName name="COND.003" localSheetId="104">#REF!</definedName>
    <definedName name="COND.003" localSheetId="65">#REF!</definedName>
    <definedName name="COND.003" localSheetId="64">#REF!</definedName>
    <definedName name="COND.003" localSheetId="77">#REF!</definedName>
    <definedName name="COND.003" localSheetId="49">#REF!</definedName>
    <definedName name="COND.003" localSheetId="40">#REF!</definedName>
    <definedName name="COND.003" localSheetId="43">#REF!</definedName>
    <definedName name="COND.003" localSheetId="13">#REF!</definedName>
    <definedName name="COND.003" localSheetId="38">#REF!</definedName>
    <definedName name="COND.003">#REF!</definedName>
    <definedName name="cond.202" localSheetId="3">#REF!</definedName>
    <definedName name="cond.202" localSheetId="7">#REF!</definedName>
    <definedName name="cond.202" localSheetId="9">#REF!</definedName>
    <definedName name="cond.202" localSheetId="10">#REF!</definedName>
    <definedName name="cond.202" localSheetId="15">#REF!</definedName>
    <definedName name="cond.202" localSheetId="19">#REF!</definedName>
    <definedName name="cond.202" localSheetId="20">#REF!</definedName>
    <definedName name="cond.202" localSheetId="24">#REF!</definedName>
    <definedName name="cond.202" localSheetId="104">#REF!</definedName>
    <definedName name="cond.202" localSheetId="65">#REF!</definedName>
    <definedName name="cond.202" localSheetId="64">#REF!</definedName>
    <definedName name="cond.202" localSheetId="77">#REF!</definedName>
    <definedName name="cond.202" localSheetId="49">#REF!</definedName>
    <definedName name="cond.202" localSheetId="40">#REF!</definedName>
    <definedName name="cond.202" localSheetId="43">#REF!</definedName>
    <definedName name="cond.202" localSheetId="13">#REF!</definedName>
    <definedName name="cond.202" localSheetId="38">#REF!</definedName>
    <definedName name="cond.202">#REF!</definedName>
    <definedName name="cond.302" localSheetId="3">#REF!</definedName>
    <definedName name="cond.302" localSheetId="7">#REF!</definedName>
    <definedName name="cond.302" localSheetId="9">#REF!</definedName>
    <definedName name="cond.302" localSheetId="10">#REF!</definedName>
    <definedName name="cond.302" localSheetId="15">#REF!</definedName>
    <definedName name="cond.302" localSheetId="19">#REF!</definedName>
    <definedName name="cond.302" localSheetId="20">#REF!</definedName>
    <definedName name="cond.302" localSheetId="24">#REF!</definedName>
    <definedName name="cond.302" localSheetId="104">#REF!</definedName>
    <definedName name="cond.302" localSheetId="65">#REF!</definedName>
    <definedName name="cond.302" localSheetId="64">#REF!</definedName>
    <definedName name="cond.302" localSheetId="77">#REF!</definedName>
    <definedName name="cond.302" localSheetId="49">#REF!</definedName>
    <definedName name="cond.302" localSheetId="40">#REF!</definedName>
    <definedName name="cond.302" localSheetId="43">#REF!</definedName>
    <definedName name="cond.302" localSheetId="13">#REF!</definedName>
    <definedName name="cond.302" localSheetId="38">#REF!</definedName>
    <definedName name="cond.302">#REF!</definedName>
    <definedName name="cond.303" localSheetId="3">#REF!</definedName>
    <definedName name="cond.303" localSheetId="7">#REF!</definedName>
    <definedName name="cond.303" localSheetId="9">#REF!</definedName>
    <definedName name="cond.303" localSheetId="10">#REF!</definedName>
    <definedName name="cond.303" localSheetId="15">#REF!</definedName>
    <definedName name="cond.303" localSheetId="19">#REF!</definedName>
    <definedName name="cond.303" localSheetId="20">#REF!</definedName>
    <definedName name="cond.303" localSheetId="24">#REF!</definedName>
    <definedName name="cond.303" localSheetId="104">#REF!</definedName>
    <definedName name="cond.303" localSheetId="65">#REF!</definedName>
    <definedName name="cond.303" localSheetId="64">#REF!</definedName>
    <definedName name="cond.303" localSheetId="77">#REF!</definedName>
    <definedName name="cond.303" localSheetId="49">#REF!</definedName>
    <definedName name="cond.303" localSheetId="40">#REF!</definedName>
    <definedName name="cond.303" localSheetId="43">#REF!</definedName>
    <definedName name="cond.303" localSheetId="13">#REF!</definedName>
    <definedName name="cond.303" localSheetId="38">#REF!</definedName>
    <definedName name="cond.303">#REF!</definedName>
    <definedName name="Cond_graph" localSheetId="3">#REF!</definedName>
    <definedName name="Cond_graph" localSheetId="7">#REF!</definedName>
    <definedName name="Cond_graph" localSheetId="9">#REF!</definedName>
    <definedName name="Cond_graph" localSheetId="10">#REF!</definedName>
    <definedName name="Cond_graph" localSheetId="15">#REF!</definedName>
    <definedName name="Cond_graph" localSheetId="19">#REF!</definedName>
    <definedName name="Cond_graph" localSheetId="20">#REF!</definedName>
    <definedName name="Cond_graph" localSheetId="24">#REF!</definedName>
    <definedName name="Cond_graph" localSheetId="104">#REF!</definedName>
    <definedName name="Cond_graph" localSheetId="65">#REF!</definedName>
    <definedName name="Cond_graph" localSheetId="64">#REF!</definedName>
    <definedName name="Cond_graph" localSheetId="77">#REF!</definedName>
    <definedName name="Cond_graph" localSheetId="49">#REF!</definedName>
    <definedName name="Cond_graph" localSheetId="40">#REF!</definedName>
    <definedName name="Cond_graph" localSheetId="43">#REF!</definedName>
    <definedName name="Cond_graph" localSheetId="13">#REF!</definedName>
    <definedName name="Cond_graph" localSheetId="38">#REF!</definedName>
    <definedName name="Cond_graph">#REF!</definedName>
    <definedName name="Const_Gas_Btu.per.lbmol.R">1.987</definedName>
    <definedName name="Const_Gas_cal.per.mol.K">1.987</definedName>
    <definedName name="Const_Gas_ft3.atm.per.lbmol.R">0.7302</definedName>
    <definedName name="Const_Gas_ft3.psia.per.lbmol.R">10.73</definedName>
    <definedName name="Const_Gas_Joule.per.mol.K">8.314</definedName>
    <definedName name="Const_Gas_liter.atm.per.mol.K">0.08206</definedName>
    <definedName name="Const_Gas_liter.bar.per.mol.K">0.08314</definedName>
    <definedName name="Const_Gas_liter.mmHg.per.mol.K">62.36</definedName>
    <definedName name="Const_Gas_m3.Pa.per.mol.K">8.314</definedName>
    <definedName name="CONTAM" localSheetId="3">#REF!</definedName>
    <definedName name="CONTAM" localSheetId="7">#REF!</definedName>
    <definedName name="CONTAM" localSheetId="9">#REF!</definedName>
    <definedName name="CONTAM" localSheetId="10">#REF!</definedName>
    <definedName name="CONTAM" localSheetId="15">#REF!</definedName>
    <definedName name="CONTAM" localSheetId="19">#REF!</definedName>
    <definedName name="CONTAM" localSheetId="20">#REF!</definedName>
    <definedName name="CONTAM" localSheetId="24">#REF!</definedName>
    <definedName name="CONTAM" localSheetId="104">#REF!</definedName>
    <definedName name="CONTAM" localSheetId="65">#REF!</definedName>
    <definedName name="CONTAM" localSheetId="64">#REF!</definedName>
    <definedName name="CONTAM" localSheetId="77">#REF!</definedName>
    <definedName name="CONTAM" localSheetId="49">#REF!</definedName>
    <definedName name="CONTAM" localSheetId="40">#REF!</definedName>
    <definedName name="CONTAM" localSheetId="43">#REF!</definedName>
    <definedName name="CONTAM" localSheetId="13">#REF!</definedName>
    <definedName name="CONTAM" localSheetId="38">#REF!</definedName>
    <definedName name="CONTAM">#REF!</definedName>
    <definedName name="CONTAM1" localSheetId="3">#REF!</definedName>
    <definedName name="CONTAM1" localSheetId="7">#REF!</definedName>
    <definedName name="CONTAM1" localSheetId="9">#REF!</definedName>
    <definedName name="CONTAM1" localSheetId="10">#REF!</definedName>
    <definedName name="CONTAM1" localSheetId="15">#REF!</definedName>
    <definedName name="CONTAM1" localSheetId="19">#REF!</definedName>
    <definedName name="CONTAM1" localSheetId="20">#REF!</definedName>
    <definedName name="CONTAM1" localSheetId="24">#REF!</definedName>
    <definedName name="CONTAM1" localSheetId="104">#REF!</definedName>
    <definedName name="CONTAM1" localSheetId="65">#REF!</definedName>
    <definedName name="CONTAM1" localSheetId="64">#REF!</definedName>
    <definedName name="CONTAM1" localSheetId="77">#REF!</definedName>
    <definedName name="CONTAM1" localSheetId="49">#REF!</definedName>
    <definedName name="CONTAM1" localSheetId="40">#REF!</definedName>
    <definedName name="CONTAM1" localSheetId="43">#REF!</definedName>
    <definedName name="CONTAM1" localSheetId="13">#REF!</definedName>
    <definedName name="CONTAM1" localSheetId="38">#REF!</definedName>
    <definedName name="CONTAM1">#REF!</definedName>
    <definedName name="Contop">#N/A</definedName>
    <definedName name="control" localSheetId="3">#REF!</definedName>
    <definedName name="control" localSheetId="7">#REF!</definedName>
    <definedName name="control" localSheetId="9">#REF!</definedName>
    <definedName name="control" localSheetId="10">#REF!</definedName>
    <definedName name="control" localSheetId="15">#REF!</definedName>
    <definedName name="control" localSheetId="19">#REF!</definedName>
    <definedName name="control" localSheetId="20">#REF!</definedName>
    <definedName name="control" localSheetId="24">#REF!</definedName>
    <definedName name="control" localSheetId="104">#REF!</definedName>
    <definedName name="control" localSheetId="65">#REF!</definedName>
    <definedName name="control" localSheetId="64">#REF!</definedName>
    <definedName name="control" localSheetId="77">#REF!</definedName>
    <definedName name="control" localSheetId="49">#REF!</definedName>
    <definedName name="control" localSheetId="40">#REF!</definedName>
    <definedName name="control" localSheetId="43">#REF!</definedName>
    <definedName name="control" localSheetId="13">#REF!</definedName>
    <definedName name="control" localSheetId="38">#REF!</definedName>
    <definedName name="control">#REF!</definedName>
    <definedName name="conv1" localSheetId="3">#REF!</definedName>
    <definedName name="conv1" localSheetId="7">#REF!</definedName>
    <definedName name="conv1" localSheetId="9">#REF!</definedName>
    <definedName name="conv1" localSheetId="10">#REF!</definedName>
    <definedName name="conv1" localSheetId="15">#REF!</definedName>
    <definedName name="conv1" localSheetId="19">#REF!</definedName>
    <definedName name="conv1" localSheetId="20">#REF!</definedName>
    <definedName name="conv1" localSheetId="24">#REF!</definedName>
    <definedName name="conv1" localSheetId="104">#REF!</definedName>
    <definedName name="conv1" localSheetId="65">#REF!</definedName>
    <definedName name="conv1" localSheetId="64">#REF!</definedName>
    <definedName name="conv1" localSheetId="77">#REF!</definedName>
    <definedName name="conv1" localSheetId="49">#REF!</definedName>
    <definedName name="conv1" localSheetId="40">#REF!</definedName>
    <definedName name="conv1" localSheetId="43">#REF!</definedName>
    <definedName name="conv1" localSheetId="13">#REF!</definedName>
    <definedName name="conv1" localSheetId="38">#REF!</definedName>
    <definedName name="conv1">#REF!</definedName>
    <definedName name="conv2" localSheetId="3">#REF!</definedName>
    <definedName name="conv2" localSheetId="7">#REF!</definedName>
    <definedName name="conv2" localSheetId="9">#REF!</definedName>
    <definedName name="conv2" localSheetId="10">#REF!</definedName>
    <definedName name="conv2" localSheetId="15">#REF!</definedName>
    <definedName name="conv2" localSheetId="19">#REF!</definedName>
    <definedName name="conv2" localSheetId="20">#REF!</definedName>
    <definedName name="conv2" localSheetId="24">#REF!</definedName>
    <definedName name="conv2" localSheetId="104">#REF!</definedName>
    <definedName name="conv2" localSheetId="65">#REF!</definedName>
    <definedName name="conv2" localSheetId="64">#REF!</definedName>
    <definedName name="conv2" localSheetId="77">#REF!</definedName>
    <definedName name="conv2" localSheetId="49">#REF!</definedName>
    <definedName name="conv2" localSheetId="40">#REF!</definedName>
    <definedName name="conv2" localSheetId="43">#REF!</definedName>
    <definedName name="conv2" localSheetId="13">#REF!</definedName>
    <definedName name="conv2" localSheetId="38">#REF!</definedName>
    <definedName name="conv2">#REF!</definedName>
    <definedName name="conv3" localSheetId="3">#REF!</definedName>
    <definedName name="conv3" localSheetId="7">#REF!</definedName>
    <definedName name="conv3" localSheetId="9">#REF!</definedName>
    <definedName name="conv3" localSheetId="10">#REF!</definedName>
    <definedName name="conv3" localSheetId="15">#REF!</definedName>
    <definedName name="conv3" localSheetId="19">#REF!</definedName>
    <definedName name="conv3" localSheetId="20">#REF!</definedName>
    <definedName name="conv3" localSheetId="24">#REF!</definedName>
    <definedName name="conv3" localSheetId="104">#REF!</definedName>
    <definedName name="conv3" localSheetId="65">#REF!</definedName>
    <definedName name="conv3" localSheetId="64">#REF!</definedName>
    <definedName name="conv3" localSheetId="77">#REF!</definedName>
    <definedName name="conv3" localSheetId="49">#REF!</definedName>
    <definedName name="conv3" localSheetId="40">#REF!</definedName>
    <definedName name="conv3" localSheetId="43">#REF!</definedName>
    <definedName name="conv3" localSheetId="13">#REF!</definedName>
    <definedName name="conv3" localSheetId="38">#REF!</definedName>
    <definedName name="conv3">#REF!</definedName>
    <definedName name="conv4" localSheetId="3">#REF!</definedName>
    <definedName name="conv4" localSheetId="7">#REF!</definedName>
    <definedName name="conv4" localSheetId="9">#REF!</definedName>
    <definedName name="conv4" localSheetId="10">#REF!</definedName>
    <definedName name="conv4" localSheetId="15">#REF!</definedName>
    <definedName name="conv4" localSheetId="19">#REF!</definedName>
    <definedName name="conv4" localSheetId="20">#REF!</definedName>
    <definedName name="conv4" localSheetId="24">#REF!</definedName>
    <definedName name="conv4" localSheetId="104">#REF!</definedName>
    <definedName name="conv4" localSheetId="65">#REF!</definedName>
    <definedName name="conv4" localSheetId="64">#REF!</definedName>
    <definedName name="conv4" localSheetId="77">#REF!</definedName>
    <definedName name="conv4" localSheetId="49">#REF!</definedName>
    <definedName name="conv4" localSheetId="40">#REF!</definedName>
    <definedName name="conv4" localSheetId="43">#REF!</definedName>
    <definedName name="conv4" localSheetId="13">#REF!</definedName>
    <definedName name="conv4" localSheetId="38">#REF!</definedName>
    <definedName name="conv4">#REF!</definedName>
    <definedName name="Convert_acre.to.ft2">43560</definedName>
    <definedName name="Convert_acre.to.hectare">0.40469</definedName>
    <definedName name="Convert_acre.to.m2">4046.87</definedName>
    <definedName name="Convert_acre.to.mi2">0.0015625</definedName>
    <definedName name="Convert_Atm.to.bar">1.01325</definedName>
    <definedName name="Convert_Atm.to.in.Hg">29.921</definedName>
    <definedName name="Convert_Atm.to.kPa">101.325</definedName>
    <definedName name="Convert_Atm.to.mmHg">760</definedName>
    <definedName name="Convert_Atm.to.psi">14.696</definedName>
    <definedName name="Convert_Atm.to.psia">14.696</definedName>
    <definedName name="Convert_bar.to.kPa">100</definedName>
    <definedName name="Convert_bar.to.Pa">100000</definedName>
    <definedName name="Convert_Btu.to.Joule">1055.056</definedName>
    <definedName name="Convert_Btu.to.MJ">0.001055056</definedName>
    <definedName name="Convert_cal.to.Btu">0.003968</definedName>
    <definedName name="Convert_cal.to.J">4.1868</definedName>
    <definedName name="Convert_cal.to.joule">4.1868</definedName>
    <definedName name="Convert_cm2.to.in2">0.155</definedName>
    <definedName name="Convert_cm3.to.in3">0.06102374</definedName>
    <definedName name="Convert_foot.to.meter">0.3048037</definedName>
    <definedName name="Convert_ft.to.in">12</definedName>
    <definedName name="Convert_ft.to.m">0.3048037</definedName>
    <definedName name="Convert_ft2.to.m2">0.09290304</definedName>
    <definedName name="Convert_ft3.to.gallon">7.4805</definedName>
    <definedName name="Convert_ft3.to.in3">1728</definedName>
    <definedName name="Convert_ft3.to.L">28.32</definedName>
    <definedName name="Convert_ft3.to.liter">28.32</definedName>
    <definedName name="Convert_g.to.lbs">0.00220462</definedName>
    <definedName name="Convert_g.to.oz">0.03527</definedName>
    <definedName name="Convert_gallon.to.ft3">0.1336809</definedName>
    <definedName name="Convert_gpm.to.Lps">0.06309</definedName>
    <definedName name="Convert_grams.to.lbs">0.00220462</definedName>
    <definedName name="Convert_hectare.to.acre">2.4711</definedName>
    <definedName name="Convert_hp.to.kW">0.7457</definedName>
    <definedName name="Convert_in.Hg.to.in.H2O">13.6</definedName>
    <definedName name="Convert_in2.to.cm2">6.4516</definedName>
    <definedName name="Convert_in3.to.cm3">16.38706</definedName>
    <definedName name="Convert_Joule.to.Btu">0.0009478171</definedName>
    <definedName name="Convert_kcal.per.kg.to.Btu.per.lb">1.8</definedName>
    <definedName name="Convert_kelvin.to.rankine">1.8</definedName>
    <definedName name="Convert_kg.to.lbs">2.20462</definedName>
    <definedName name="Convert_km.to.mile">0.6213882</definedName>
    <definedName name="Convert_knot.to.mph">1.15078</definedName>
    <definedName name="Convert_L.to.ft3">0.03431467</definedName>
    <definedName name="Convert_L.to.gal">0.26417</definedName>
    <definedName name="Convert_L.to.in3">61.024</definedName>
    <definedName name="Convert_lb.per.ft3.to.kg.per.m3">16.02</definedName>
    <definedName name="Convert_lbs.to.grains">7000</definedName>
    <definedName name="Convert_lbs.to.kg">0.4535924</definedName>
    <definedName name="Convert_liter.to.ft3">0.03431467</definedName>
    <definedName name="Convert_liter.to.gal">0.26417</definedName>
    <definedName name="Convert_liter.to.in3">61.024</definedName>
    <definedName name="Convert_m.to.ft">3.2808</definedName>
    <definedName name="Convert_m2.to.ft2">10.76391</definedName>
    <definedName name="Convert_m3.to.ft3">35.31467</definedName>
    <definedName name="Convert_m3.to.gallon">264.17</definedName>
    <definedName name="Convert_m3.to.yd3">1.30795</definedName>
    <definedName name="Convert_Megagram.to.ton">1.10231136</definedName>
    <definedName name="Convert_Megajoule.per.m3.to.Btu.per.ft3">26.83918893</definedName>
    <definedName name="Convert_meter.to.foot">3.2808</definedName>
    <definedName name="Convert_mi.to.ft">5280</definedName>
    <definedName name="Convert_mi.to.km">1.6093</definedName>
    <definedName name="Convert_mi.to.yd">1760</definedName>
    <definedName name="Convert_mile.to.feet">5280</definedName>
    <definedName name="Convert_mile.to.kilometer">1.6093</definedName>
    <definedName name="Convert_mile.to.km">1.6093</definedName>
    <definedName name="Convert_miligram.to.grain">0.01543236</definedName>
    <definedName name="Convert_mph.to.kph">1.609344</definedName>
    <definedName name="Convert_rankine.to.kelvin">0.5555556</definedName>
    <definedName name="Convert_ton.to.Mg">0.9071847</definedName>
    <definedName name="Convert_tpy.to.lbs.per.hour">0.2283105</definedName>
    <definedName name="Convert_yd3.to.ft3">27</definedName>
    <definedName name="Convert_yd3.to.gal">201.97</definedName>
    <definedName name="Convert_yd3.to.m3">0.7645549</definedName>
    <definedName name="convtot" localSheetId="3">#REF!</definedName>
    <definedName name="convtot" localSheetId="7">#REF!</definedName>
    <definedName name="convtot" localSheetId="9">#REF!</definedName>
    <definedName name="convtot" localSheetId="10">#REF!</definedName>
    <definedName name="convtot" localSheetId="15">#REF!</definedName>
    <definedName name="convtot" localSheetId="19">#REF!</definedName>
    <definedName name="convtot" localSheetId="20">#REF!</definedName>
    <definedName name="convtot" localSheetId="24">#REF!</definedName>
    <definedName name="convtot" localSheetId="104">#REF!</definedName>
    <definedName name="convtot" localSheetId="65">#REF!</definedName>
    <definedName name="convtot" localSheetId="64">#REF!</definedName>
    <definedName name="convtot" localSheetId="77">#REF!</definedName>
    <definedName name="convtot" localSheetId="49">#REF!</definedName>
    <definedName name="convtot" localSheetId="40">#REF!</definedName>
    <definedName name="convtot" localSheetId="43">#REF!</definedName>
    <definedName name="convtot" localSheetId="13">#REF!</definedName>
    <definedName name="convtot" localSheetId="38">#REF!</definedName>
    <definedName name="convtot">#REF!</definedName>
    <definedName name="cool1" localSheetId="3">#REF!</definedName>
    <definedName name="cool1" localSheetId="7">#REF!</definedName>
    <definedName name="cool1" localSheetId="9">#REF!</definedName>
    <definedName name="cool1" localSheetId="10">#REF!</definedName>
    <definedName name="cool1" localSheetId="15">#REF!</definedName>
    <definedName name="cool1" localSheetId="19">#REF!</definedName>
    <definedName name="cool1" localSheetId="20">#REF!</definedName>
    <definedName name="cool1" localSheetId="24">#REF!</definedName>
    <definedName name="cool1" localSheetId="104">#REF!</definedName>
    <definedName name="cool1" localSheetId="65">#REF!</definedName>
    <definedName name="cool1" localSheetId="64">#REF!</definedName>
    <definedName name="cool1" localSheetId="77">#REF!</definedName>
    <definedName name="cool1" localSheetId="49">#REF!</definedName>
    <definedName name="cool1" localSheetId="40">#REF!</definedName>
    <definedName name="cool1" localSheetId="43">#REF!</definedName>
    <definedName name="cool1" localSheetId="13">#REF!</definedName>
    <definedName name="cool1" localSheetId="38">#REF!</definedName>
    <definedName name="cool1">#REF!</definedName>
    <definedName name="cool2" localSheetId="3">#REF!</definedName>
    <definedName name="cool2" localSheetId="7">#REF!</definedName>
    <definedName name="cool2" localSheetId="9">#REF!</definedName>
    <definedName name="cool2" localSheetId="10">#REF!</definedName>
    <definedName name="cool2" localSheetId="15">#REF!</definedName>
    <definedName name="cool2" localSheetId="19">#REF!</definedName>
    <definedName name="cool2" localSheetId="20">#REF!</definedName>
    <definedName name="cool2" localSheetId="24">#REF!</definedName>
    <definedName name="cool2" localSheetId="104">#REF!</definedName>
    <definedName name="cool2" localSheetId="65">#REF!</definedName>
    <definedName name="cool2" localSheetId="64">#REF!</definedName>
    <definedName name="cool2" localSheetId="77">#REF!</definedName>
    <definedName name="cool2" localSheetId="49">#REF!</definedName>
    <definedName name="cool2" localSheetId="40">#REF!</definedName>
    <definedName name="cool2" localSheetId="43">#REF!</definedName>
    <definedName name="cool2" localSheetId="13">#REF!</definedName>
    <definedName name="cool2" localSheetId="38">#REF!</definedName>
    <definedName name="cool2">#REF!</definedName>
    <definedName name="cool3" localSheetId="3">#REF!</definedName>
    <definedName name="cool3" localSheetId="7">#REF!</definedName>
    <definedName name="cool3" localSheetId="9">#REF!</definedName>
    <definedName name="cool3" localSheetId="10">#REF!</definedName>
    <definedName name="cool3" localSheetId="15">#REF!</definedName>
    <definedName name="cool3" localSheetId="19">#REF!</definedName>
    <definedName name="cool3" localSheetId="20">#REF!</definedName>
    <definedName name="cool3" localSheetId="24">#REF!</definedName>
    <definedName name="cool3" localSheetId="104">#REF!</definedName>
    <definedName name="cool3" localSheetId="65">#REF!</definedName>
    <definedName name="cool3" localSheetId="64">#REF!</definedName>
    <definedName name="cool3" localSheetId="77">#REF!</definedName>
    <definedName name="cool3" localSheetId="49">#REF!</definedName>
    <definedName name="cool3" localSheetId="40">#REF!</definedName>
    <definedName name="cool3" localSheetId="43">#REF!</definedName>
    <definedName name="cool3" localSheetId="13">#REF!</definedName>
    <definedName name="cool3" localSheetId="38">#REF!</definedName>
    <definedName name="cool3">#REF!</definedName>
    <definedName name="cool4" localSheetId="3">#REF!</definedName>
    <definedName name="cool4" localSheetId="7">#REF!</definedName>
    <definedName name="cool4" localSheetId="9">#REF!</definedName>
    <definedName name="cool4" localSheetId="10">#REF!</definedName>
    <definedName name="cool4" localSheetId="15">#REF!</definedName>
    <definedName name="cool4" localSheetId="19">#REF!</definedName>
    <definedName name="cool4" localSheetId="20">#REF!</definedName>
    <definedName name="cool4" localSheetId="24">#REF!</definedName>
    <definedName name="cool4" localSheetId="104">#REF!</definedName>
    <definedName name="cool4" localSheetId="65">#REF!</definedName>
    <definedName name="cool4" localSheetId="64">#REF!</definedName>
    <definedName name="cool4" localSheetId="77">#REF!</definedName>
    <definedName name="cool4" localSheetId="49">#REF!</definedName>
    <definedName name="cool4" localSheetId="40">#REF!</definedName>
    <definedName name="cool4" localSheetId="43">#REF!</definedName>
    <definedName name="cool4" localSheetId="13">#REF!</definedName>
    <definedName name="cool4" localSheetId="38">#REF!</definedName>
    <definedName name="cool4">#REF!</definedName>
    <definedName name="COOLER" localSheetId="3">#REF!</definedName>
    <definedName name="COOLER" localSheetId="7">#REF!</definedName>
    <definedName name="COOLER" localSheetId="9">#REF!</definedName>
    <definedName name="COOLER" localSheetId="10">#REF!</definedName>
    <definedName name="COOLER" localSheetId="15">#REF!</definedName>
    <definedName name="COOLER" localSheetId="19">#REF!</definedName>
    <definedName name="COOLER" localSheetId="20">#REF!</definedName>
    <definedName name="COOLER" localSheetId="24">#REF!</definedName>
    <definedName name="COOLER" localSheetId="104">#REF!</definedName>
    <definedName name="COOLER" localSheetId="65">#REF!</definedName>
    <definedName name="COOLER" localSheetId="64">#REF!</definedName>
    <definedName name="COOLER" localSheetId="77">#REF!</definedName>
    <definedName name="COOLER" localSheetId="49">#REF!</definedName>
    <definedName name="COOLER" localSheetId="48">#REF!</definedName>
    <definedName name="COOLER" localSheetId="40">#REF!</definedName>
    <definedName name="COOLER" localSheetId="43">#REF!</definedName>
    <definedName name="COOLER" localSheetId="13">#REF!</definedName>
    <definedName name="COOLER" localSheetId="38">#REF!</definedName>
    <definedName name="COOLER">#REF!</definedName>
    <definedName name="cooltot" localSheetId="3">#REF!</definedName>
    <definedName name="cooltot" localSheetId="7">#REF!</definedName>
    <definedName name="cooltot" localSheetId="9">#REF!</definedName>
    <definedName name="cooltot" localSheetId="10">#REF!</definedName>
    <definedName name="cooltot" localSheetId="15">#REF!</definedName>
    <definedName name="cooltot" localSheetId="19">#REF!</definedName>
    <definedName name="cooltot" localSheetId="20">#REF!</definedName>
    <definedName name="cooltot" localSheetId="24">#REF!</definedName>
    <definedName name="cooltot" localSheetId="104">#REF!</definedName>
    <definedName name="cooltot" localSheetId="65">#REF!</definedName>
    <definedName name="cooltot" localSheetId="64">#REF!</definedName>
    <definedName name="cooltot" localSheetId="77">#REF!</definedName>
    <definedName name="cooltot" localSheetId="49">#REF!</definedName>
    <definedName name="cooltot" localSheetId="40">#REF!</definedName>
    <definedName name="cooltot" localSheetId="43">#REF!</definedName>
    <definedName name="cooltot" localSheetId="13">#REF!</definedName>
    <definedName name="cooltot" localSheetId="38">#REF!</definedName>
    <definedName name="cooltot">#REF!</definedName>
    <definedName name="corate" localSheetId="3">#REF!</definedName>
    <definedName name="corate" localSheetId="7">#REF!</definedName>
    <definedName name="corate" localSheetId="9">#REF!</definedName>
    <definedName name="corate" localSheetId="10">#REF!</definedName>
    <definedName name="corate" localSheetId="15">#REF!</definedName>
    <definedName name="corate" localSheetId="19">#REF!</definedName>
    <definedName name="corate" localSheetId="20">#REF!</definedName>
    <definedName name="corate" localSheetId="24">#REF!</definedName>
    <definedName name="corate" localSheetId="104">#REF!</definedName>
    <definedName name="corate" localSheetId="65">#REF!</definedName>
    <definedName name="corate" localSheetId="64">#REF!</definedName>
    <definedName name="corate" localSheetId="77">#REF!</definedName>
    <definedName name="corate" localSheetId="49">#REF!</definedName>
    <definedName name="corate" localSheetId="40">#REF!</definedName>
    <definedName name="corate" localSheetId="43">#REF!</definedName>
    <definedName name="corate" localSheetId="13">#REF!</definedName>
    <definedName name="corate" localSheetId="38">#REF!</definedName>
    <definedName name="corate">#REF!</definedName>
    <definedName name="CostofGoodsMfg" localSheetId="3">#REF!</definedName>
    <definedName name="CostofGoodsMfg" localSheetId="7">#REF!</definedName>
    <definedName name="CostofGoodsMfg" localSheetId="9">#REF!</definedName>
    <definedName name="CostofGoodsMfg" localSheetId="10">#REF!</definedName>
    <definedName name="CostofGoodsMfg" localSheetId="15">#REF!</definedName>
    <definedName name="CostofGoodsMfg" localSheetId="19">#REF!</definedName>
    <definedName name="CostofGoodsMfg" localSheetId="20">#REF!</definedName>
    <definedName name="CostofGoodsMfg" localSheetId="24">#REF!</definedName>
    <definedName name="CostofGoodsMfg" localSheetId="104">#REF!</definedName>
    <definedName name="CostofGoodsMfg" localSheetId="65">#REF!</definedName>
    <definedName name="CostofGoodsMfg" localSheetId="64">#REF!</definedName>
    <definedName name="CostofGoodsMfg" localSheetId="77">#REF!</definedName>
    <definedName name="CostofGoodsMfg" localSheetId="49">#REF!</definedName>
    <definedName name="CostofGoodsMfg" localSheetId="40">#REF!</definedName>
    <definedName name="CostofGoodsMfg" localSheetId="43">#REF!</definedName>
    <definedName name="CostofGoodsMfg" localSheetId="13">#REF!</definedName>
    <definedName name="CostofGoodsMfg" localSheetId="38">#REF!</definedName>
    <definedName name="CostofGoodsMfg">#REF!</definedName>
    <definedName name="Country" localSheetId="3">#REF!</definedName>
    <definedName name="Country" localSheetId="7">#REF!</definedName>
    <definedName name="Country" localSheetId="9">#REF!</definedName>
    <definedName name="Country" localSheetId="10">#REF!</definedName>
    <definedName name="Country" localSheetId="15">#REF!</definedName>
    <definedName name="Country" localSheetId="19">#REF!</definedName>
    <definedName name="Country" localSheetId="20">#REF!</definedName>
    <definedName name="Country" localSheetId="24">#REF!</definedName>
    <definedName name="Country" localSheetId="104">#REF!</definedName>
    <definedName name="Country" localSheetId="65">#REF!</definedName>
    <definedName name="Country" localSheetId="64">#REF!</definedName>
    <definedName name="Country" localSheetId="77">#REF!</definedName>
    <definedName name="Country" localSheetId="49">#REF!</definedName>
    <definedName name="Country" localSheetId="48">#REF!</definedName>
    <definedName name="Country" localSheetId="40">#REF!</definedName>
    <definedName name="Country" localSheetId="43">#REF!</definedName>
    <definedName name="Country" localSheetId="13">#REF!</definedName>
    <definedName name="Country" localSheetId="38">#REF!</definedName>
    <definedName name="Country">#REF!</definedName>
    <definedName name="cover" localSheetId="3">#REF!</definedName>
    <definedName name="cover" localSheetId="7">#REF!</definedName>
    <definedName name="cover" localSheetId="9">#REF!</definedName>
    <definedName name="cover" localSheetId="10">#REF!</definedName>
    <definedName name="cover" localSheetId="15">#REF!</definedName>
    <definedName name="cover" localSheetId="19">#REF!</definedName>
    <definedName name="cover" localSheetId="20">#REF!</definedName>
    <definedName name="cover" localSheetId="24">#REF!</definedName>
    <definedName name="cover" localSheetId="104">#REF!</definedName>
    <definedName name="cover" localSheetId="65">#REF!</definedName>
    <definedName name="cover" localSheetId="64">#REF!</definedName>
    <definedName name="cover" localSheetId="77">#REF!</definedName>
    <definedName name="cover" localSheetId="49">#REF!</definedName>
    <definedName name="cover" localSheetId="40">#REF!</definedName>
    <definedName name="cover" localSheetId="43">#REF!</definedName>
    <definedName name="cover" localSheetId="13">#REF!</definedName>
    <definedName name="cover" localSheetId="38">#REF!</definedName>
    <definedName name="cover">#REF!</definedName>
    <definedName name="CP" localSheetId="3">#REF!</definedName>
    <definedName name="CP" localSheetId="7">#REF!</definedName>
    <definedName name="CP" localSheetId="9">#REF!</definedName>
    <definedName name="CP" localSheetId="10">#REF!</definedName>
    <definedName name="CP" localSheetId="15">#REF!</definedName>
    <definedName name="CP" localSheetId="19">#REF!</definedName>
    <definedName name="CP" localSheetId="20">#REF!</definedName>
    <definedName name="CP" localSheetId="24">#REF!</definedName>
    <definedName name="CP" localSheetId="104">#REF!</definedName>
    <definedName name="CP" localSheetId="65">#REF!</definedName>
    <definedName name="CP" localSheetId="64">#REF!</definedName>
    <definedName name="CP" localSheetId="77">#REF!</definedName>
    <definedName name="CP" localSheetId="49">#REF!</definedName>
    <definedName name="CP" localSheetId="40">#REF!</definedName>
    <definedName name="CP" localSheetId="43">#REF!</definedName>
    <definedName name="CP" localSheetId="13">#REF!</definedName>
    <definedName name="CP" localSheetId="38">#REF!</definedName>
    <definedName name="CP">#REF!</definedName>
    <definedName name="CPLEXOP1" localSheetId="3">#REF!</definedName>
    <definedName name="CPLEXOP1" localSheetId="7">#REF!</definedName>
    <definedName name="CPLEXOP1" localSheetId="9">#REF!</definedName>
    <definedName name="CPLEXOP1" localSheetId="10">#REF!</definedName>
    <definedName name="CPLEXOP1" localSheetId="15">#REF!</definedName>
    <definedName name="CPLEXOP1" localSheetId="19">#REF!</definedName>
    <definedName name="CPLEXOP1" localSheetId="20">#REF!</definedName>
    <definedName name="CPLEXOP1" localSheetId="24">#REF!</definedName>
    <definedName name="CPLEXOP1" localSheetId="104">#REF!</definedName>
    <definedName name="CPLEXOP1" localSheetId="65">#REF!</definedName>
    <definedName name="CPLEXOP1" localSheetId="64">#REF!</definedName>
    <definedName name="CPLEXOP1" localSheetId="77">#REF!</definedName>
    <definedName name="CPLEXOP1" localSheetId="49">#REF!</definedName>
    <definedName name="CPLEXOP1" localSheetId="40">#REF!</definedName>
    <definedName name="CPLEXOP1" localSheetId="43">#REF!</definedName>
    <definedName name="CPLEXOP1" localSheetId="13">#REF!</definedName>
    <definedName name="CPLEXOP1" localSheetId="38">#REF!</definedName>
    <definedName name="CPLEXOP1">#REF!</definedName>
    <definedName name="CPLEXOP2" localSheetId="3">#REF!</definedName>
    <definedName name="CPLEXOP2" localSheetId="7">#REF!</definedName>
    <definedName name="CPLEXOP2" localSheetId="9">#REF!</definedName>
    <definedName name="CPLEXOP2" localSheetId="10">#REF!</definedName>
    <definedName name="CPLEXOP2" localSheetId="15">#REF!</definedName>
    <definedName name="CPLEXOP2" localSheetId="19">#REF!</definedName>
    <definedName name="CPLEXOP2" localSheetId="20">#REF!</definedName>
    <definedName name="CPLEXOP2" localSheetId="24">#REF!</definedName>
    <definedName name="CPLEXOP2" localSheetId="104">#REF!</definedName>
    <definedName name="CPLEXOP2" localSheetId="65">#REF!</definedName>
    <definedName name="CPLEXOP2" localSheetId="64">#REF!</definedName>
    <definedName name="CPLEXOP2" localSheetId="77">#REF!</definedName>
    <definedName name="CPLEXOP2" localSheetId="49">#REF!</definedName>
    <definedName name="CPLEXOP2" localSheetId="40">#REF!</definedName>
    <definedName name="CPLEXOP2" localSheetId="43">#REF!</definedName>
    <definedName name="CPLEXOP2" localSheetId="13">#REF!</definedName>
    <definedName name="CPLEXOP2" localSheetId="38">#REF!</definedName>
    <definedName name="CPLEXOP2">#REF!</definedName>
    <definedName name="CPLOP1" localSheetId="3">#REF!</definedName>
    <definedName name="CPLOP1" localSheetId="7">#REF!</definedName>
    <definedName name="CPLOP1" localSheetId="9">#REF!</definedName>
    <definedName name="CPLOP1" localSheetId="10">#REF!</definedName>
    <definedName name="CPLOP1" localSheetId="15">#REF!</definedName>
    <definedName name="CPLOP1" localSheetId="19">#REF!</definedName>
    <definedName name="CPLOP1" localSheetId="20">#REF!</definedName>
    <definedName name="CPLOP1" localSheetId="24">#REF!</definedName>
    <definedName name="CPLOP1" localSheetId="104">#REF!</definedName>
    <definedName name="CPLOP1" localSheetId="65">#REF!</definedName>
    <definedName name="CPLOP1" localSheetId="64">#REF!</definedName>
    <definedName name="CPLOP1" localSheetId="77">#REF!</definedName>
    <definedName name="CPLOP1" localSheetId="49">#REF!</definedName>
    <definedName name="CPLOP1" localSheetId="40">#REF!</definedName>
    <definedName name="CPLOP1" localSheetId="43">#REF!</definedName>
    <definedName name="CPLOP1" localSheetId="13">#REF!</definedName>
    <definedName name="CPLOP1" localSheetId="38">#REF!</definedName>
    <definedName name="CPLOP1">#REF!</definedName>
    <definedName name="CPLOP10" localSheetId="3">#REF!</definedName>
    <definedName name="CPLOP10" localSheetId="7">#REF!</definedName>
    <definedName name="CPLOP10" localSheetId="9">#REF!</definedName>
    <definedName name="CPLOP10" localSheetId="10">#REF!</definedName>
    <definedName name="CPLOP10" localSheetId="15">#REF!</definedName>
    <definedName name="CPLOP10" localSheetId="19">#REF!</definedName>
    <definedName name="CPLOP10" localSheetId="20">#REF!</definedName>
    <definedName name="CPLOP10" localSheetId="24">#REF!</definedName>
    <definedName name="CPLOP10" localSheetId="104">#REF!</definedName>
    <definedName name="CPLOP10" localSheetId="65">#REF!</definedName>
    <definedName name="CPLOP10" localSheetId="64">#REF!</definedName>
    <definedName name="CPLOP10" localSheetId="77">#REF!</definedName>
    <definedName name="CPLOP10" localSheetId="49">#REF!</definedName>
    <definedName name="CPLOP10" localSheetId="40">#REF!</definedName>
    <definedName name="CPLOP10" localSheetId="43">#REF!</definedName>
    <definedName name="CPLOP10" localSheetId="13">#REF!</definedName>
    <definedName name="CPLOP10" localSheetId="38">#REF!</definedName>
    <definedName name="CPLOP10">#REF!</definedName>
    <definedName name="CPLOP11" localSheetId="3">#REF!</definedName>
    <definedName name="CPLOP11" localSheetId="7">#REF!</definedName>
    <definedName name="CPLOP11" localSheetId="9">#REF!</definedName>
    <definedName name="CPLOP11" localSheetId="10">#REF!</definedName>
    <definedName name="CPLOP11" localSheetId="15">#REF!</definedName>
    <definedName name="CPLOP11" localSheetId="19">#REF!</definedName>
    <definedName name="CPLOP11" localSheetId="20">#REF!</definedName>
    <definedName name="CPLOP11" localSheetId="24">#REF!</definedName>
    <definedName name="CPLOP11" localSheetId="104">#REF!</definedName>
    <definedName name="CPLOP11" localSheetId="65">#REF!</definedName>
    <definedName name="CPLOP11" localSheetId="64">#REF!</definedName>
    <definedName name="CPLOP11" localSheetId="77">#REF!</definedName>
    <definedName name="CPLOP11" localSheetId="49">#REF!</definedName>
    <definedName name="CPLOP11" localSheetId="40">#REF!</definedName>
    <definedName name="CPLOP11" localSheetId="43">#REF!</definedName>
    <definedName name="CPLOP11" localSheetId="13">#REF!</definedName>
    <definedName name="CPLOP11" localSheetId="38">#REF!</definedName>
    <definedName name="CPLOP11">#REF!</definedName>
    <definedName name="CPLOP12" localSheetId="3">#REF!</definedName>
    <definedName name="CPLOP12" localSheetId="7">#REF!</definedName>
    <definedName name="CPLOP12" localSheetId="9">#REF!</definedName>
    <definedName name="CPLOP12" localSheetId="10">#REF!</definedName>
    <definedName name="CPLOP12" localSheetId="15">#REF!</definedName>
    <definedName name="CPLOP12" localSheetId="19">#REF!</definedName>
    <definedName name="CPLOP12" localSheetId="20">#REF!</definedName>
    <definedName name="CPLOP12" localSheetId="24">#REF!</definedName>
    <definedName name="CPLOP12" localSheetId="104">#REF!</definedName>
    <definedName name="CPLOP12" localSheetId="65">#REF!</definedName>
    <definedName name="CPLOP12" localSheetId="64">#REF!</definedName>
    <definedName name="CPLOP12" localSheetId="77">#REF!</definedName>
    <definedName name="CPLOP12" localSheetId="49">#REF!</definedName>
    <definedName name="CPLOP12" localSheetId="40">#REF!</definedName>
    <definedName name="CPLOP12" localSheetId="43">#REF!</definedName>
    <definedName name="CPLOP12" localSheetId="13">#REF!</definedName>
    <definedName name="CPLOP12" localSheetId="38">#REF!</definedName>
    <definedName name="CPLOP12">#REF!</definedName>
    <definedName name="CPLOP13" localSheetId="3">#REF!</definedName>
    <definedName name="CPLOP13" localSheetId="7">#REF!</definedName>
    <definedName name="CPLOP13" localSheetId="9">#REF!</definedName>
    <definedName name="CPLOP13" localSheetId="10">#REF!</definedName>
    <definedName name="CPLOP13" localSheetId="15">#REF!</definedName>
    <definedName name="CPLOP13" localSheetId="19">#REF!</definedName>
    <definedName name="CPLOP13" localSheetId="20">#REF!</definedName>
    <definedName name="CPLOP13" localSheetId="24">#REF!</definedName>
    <definedName name="CPLOP13" localSheetId="104">#REF!</definedName>
    <definedName name="CPLOP13" localSheetId="65">#REF!</definedName>
    <definedName name="CPLOP13" localSheetId="64">#REF!</definedName>
    <definedName name="CPLOP13" localSheetId="77">#REF!</definedName>
    <definedName name="CPLOP13" localSheetId="49">#REF!</definedName>
    <definedName name="CPLOP13" localSheetId="40">#REF!</definedName>
    <definedName name="CPLOP13" localSheetId="43">#REF!</definedName>
    <definedName name="CPLOP13" localSheetId="13">#REF!</definedName>
    <definedName name="CPLOP13" localSheetId="38">#REF!</definedName>
    <definedName name="CPLOP13">#REF!</definedName>
    <definedName name="CPLOP14" localSheetId="3">#REF!</definedName>
    <definedName name="CPLOP14" localSheetId="7">#REF!</definedName>
    <definedName name="CPLOP14" localSheetId="9">#REF!</definedName>
    <definedName name="CPLOP14" localSheetId="10">#REF!</definedName>
    <definedName name="CPLOP14" localSheetId="15">#REF!</definedName>
    <definedName name="CPLOP14" localSheetId="19">#REF!</definedName>
    <definedName name="CPLOP14" localSheetId="20">#REF!</definedName>
    <definedName name="CPLOP14" localSheetId="24">#REF!</definedName>
    <definedName name="CPLOP14" localSheetId="104">#REF!</definedName>
    <definedName name="CPLOP14" localSheetId="65">#REF!</definedName>
    <definedName name="CPLOP14" localSheetId="64">#REF!</definedName>
    <definedName name="CPLOP14" localSheetId="77">#REF!</definedName>
    <definedName name="CPLOP14" localSheetId="49">#REF!</definedName>
    <definedName name="CPLOP14" localSheetId="40">#REF!</definedName>
    <definedName name="CPLOP14" localSheetId="43">#REF!</definedName>
    <definedName name="CPLOP14" localSheetId="13">#REF!</definedName>
    <definedName name="CPLOP14" localSheetId="38">#REF!</definedName>
    <definedName name="CPLOP14">#REF!</definedName>
    <definedName name="CPLOP15" localSheetId="3">#REF!</definedName>
    <definedName name="CPLOP15" localSheetId="7">#REF!</definedName>
    <definedName name="CPLOP15" localSheetId="9">#REF!</definedName>
    <definedName name="CPLOP15" localSheetId="10">#REF!</definedName>
    <definedName name="CPLOP15" localSheetId="15">#REF!</definedName>
    <definedName name="CPLOP15" localSheetId="19">#REF!</definedName>
    <definedName name="CPLOP15" localSheetId="20">#REF!</definedName>
    <definedName name="CPLOP15" localSheetId="24">#REF!</definedName>
    <definedName name="CPLOP15" localSheetId="104">#REF!</definedName>
    <definedName name="CPLOP15" localSheetId="65">#REF!</definedName>
    <definedName name="CPLOP15" localSheetId="64">#REF!</definedName>
    <definedName name="CPLOP15" localSheetId="77">#REF!</definedName>
    <definedName name="CPLOP15" localSheetId="49">#REF!</definedName>
    <definedName name="CPLOP15" localSheetId="40">#REF!</definedName>
    <definedName name="CPLOP15" localSheetId="43">#REF!</definedName>
    <definedName name="CPLOP15" localSheetId="13">#REF!</definedName>
    <definedName name="CPLOP15" localSheetId="38">#REF!</definedName>
    <definedName name="CPLOP15">#REF!</definedName>
    <definedName name="CPLOP2" localSheetId="3">#REF!</definedName>
    <definedName name="CPLOP2" localSheetId="7">#REF!</definedName>
    <definedName name="CPLOP2" localSheetId="9">#REF!</definedName>
    <definedName name="CPLOP2" localSheetId="10">#REF!</definedName>
    <definedName name="CPLOP2" localSheetId="15">#REF!</definedName>
    <definedName name="CPLOP2" localSheetId="19">#REF!</definedName>
    <definedName name="CPLOP2" localSheetId="20">#REF!</definedName>
    <definedName name="CPLOP2" localSheetId="24">#REF!</definedName>
    <definedName name="CPLOP2" localSheetId="104">#REF!</definedName>
    <definedName name="CPLOP2" localSheetId="65">#REF!</definedName>
    <definedName name="CPLOP2" localSheetId="64">#REF!</definedName>
    <definedName name="CPLOP2" localSheetId="77">#REF!</definedName>
    <definedName name="CPLOP2" localSheetId="49">#REF!</definedName>
    <definedName name="CPLOP2" localSheetId="40">#REF!</definedName>
    <definedName name="CPLOP2" localSheetId="43">#REF!</definedName>
    <definedName name="CPLOP2" localSheetId="13">#REF!</definedName>
    <definedName name="CPLOP2" localSheetId="38">#REF!</definedName>
    <definedName name="CPLOP2">#REF!</definedName>
    <definedName name="CPLOP3" localSheetId="3">#REF!</definedName>
    <definedName name="CPLOP3" localSheetId="7">#REF!</definedName>
    <definedName name="CPLOP3" localSheetId="9">#REF!</definedName>
    <definedName name="CPLOP3" localSheetId="10">#REF!</definedName>
    <definedName name="CPLOP3" localSheetId="15">#REF!</definedName>
    <definedName name="CPLOP3" localSheetId="19">#REF!</definedName>
    <definedName name="CPLOP3" localSheetId="20">#REF!</definedName>
    <definedName name="CPLOP3" localSheetId="24">#REF!</definedName>
    <definedName name="CPLOP3" localSheetId="104">#REF!</definedName>
    <definedName name="CPLOP3" localSheetId="65">#REF!</definedName>
    <definedName name="CPLOP3" localSheetId="64">#REF!</definedName>
    <definedName name="CPLOP3" localSheetId="77">#REF!</definedName>
    <definedName name="CPLOP3" localSheetId="49">#REF!</definedName>
    <definedName name="CPLOP3" localSheetId="40">#REF!</definedName>
    <definedName name="CPLOP3" localSheetId="43">#REF!</definedName>
    <definedName name="CPLOP3" localSheetId="13">#REF!</definedName>
    <definedName name="CPLOP3" localSheetId="38">#REF!</definedName>
    <definedName name="CPLOP3">#REF!</definedName>
    <definedName name="CPLOP4" localSheetId="3">#REF!</definedName>
    <definedName name="CPLOP4" localSheetId="7">#REF!</definedName>
    <definedName name="CPLOP4" localSheetId="9">#REF!</definedName>
    <definedName name="CPLOP4" localSheetId="10">#REF!</definedName>
    <definedName name="CPLOP4" localSheetId="15">#REF!</definedName>
    <definedName name="CPLOP4" localSheetId="19">#REF!</definedName>
    <definedName name="CPLOP4" localSheetId="20">#REF!</definedName>
    <definedName name="CPLOP4" localSheetId="24">#REF!</definedName>
    <definedName name="CPLOP4" localSheetId="104">#REF!</definedName>
    <definedName name="CPLOP4" localSheetId="65">#REF!</definedName>
    <definedName name="CPLOP4" localSheetId="64">#REF!</definedName>
    <definedName name="CPLOP4" localSheetId="77">#REF!</definedName>
    <definedName name="CPLOP4" localSheetId="49">#REF!</definedName>
    <definedName name="CPLOP4" localSheetId="40">#REF!</definedName>
    <definedName name="CPLOP4" localSheetId="43">#REF!</definedName>
    <definedName name="CPLOP4" localSheetId="13">#REF!</definedName>
    <definedName name="CPLOP4" localSheetId="38">#REF!</definedName>
    <definedName name="CPLOP4">#REF!</definedName>
    <definedName name="CPLOP5" localSheetId="3">#REF!</definedName>
    <definedName name="CPLOP5" localSheetId="7">#REF!</definedName>
    <definedName name="CPLOP5" localSheetId="9">#REF!</definedName>
    <definedName name="CPLOP5" localSheetId="10">#REF!</definedName>
    <definedName name="CPLOP5" localSheetId="15">#REF!</definedName>
    <definedName name="CPLOP5" localSheetId="19">#REF!</definedName>
    <definedName name="CPLOP5" localSheetId="20">#REF!</definedName>
    <definedName name="CPLOP5" localSheetId="24">#REF!</definedName>
    <definedName name="CPLOP5" localSheetId="104">#REF!</definedName>
    <definedName name="CPLOP5" localSheetId="65">#REF!</definedName>
    <definedName name="CPLOP5" localSheetId="64">#REF!</definedName>
    <definedName name="CPLOP5" localSheetId="77">#REF!</definedName>
    <definedName name="CPLOP5" localSheetId="49">#REF!</definedName>
    <definedName name="CPLOP5" localSheetId="40">#REF!</definedName>
    <definedName name="CPLOP5" localSheetId="43">#REF!</definedName>
    <definedName name="CPLOP5" localSheetId="13">#REF!</definedName>
    <definedName name="CPLOP5" localSheetId="38">#REF!</definedName>
    <definedName name="CPLOP5">#REF!</definedName>
    <definedName name="CPLOP6" localSheetId="3">#REF!</definedName>
    <definedName name="CPLOP6" localSheetId="7">#REF!</definedName>
    <definedName name="CPLOP6" localSheetId="9">#REF!</definedName>
    <definedName name="CPLOP6" localSheetId="10">#REF!</definedName>
    <definedName name="CPLOP6" localSheetId="15">#REF!</definedName>
    <definedName name="CPLOP6" localSheetId="19">#REF!</definedName>
    <definedName name="CPLOP6" localSheetId="20">#REF!</definedName>
    <definedName name="CPLOP6" localSheetId="24">#REF!</definedName>
    <definedName name="CPLOP6" localSheetId="104">#REF!</definedName>
    <definedName name="CPLOP6" localSheetId="65">#REF!</definedName>
    <definedName name="CPLOP6" localSheetId="64">#REF!</definedName>
    <definedName name="CPLOP6" localSheetId="77">#REF!</definedName>
    <definedName name="CPLOP6" localSheetId="49">#REF!</definedName>
    <definedName name="CPLOP6" localSheetId="40">#REF!</definedName>
    <definedName name="CPLOP6" localSheetId="43">#REF!</definedName>
    <definedName name="CPLOP6" localSheetId="13">#REF!</definedName>
    <definedName name="CPLOP6" localSheetId="38">#REF!</definedName>
    <definedName name="CPLOP6">#REF!</definedName>
    <definedName name="CPLOP7" localSheetId="3">#REF!</definedName>
    <definedName name="CPLOP7" localSheetId="7">#REF!</definedName>
    <definedName name="CPLOP7" localSheetId="9">#REF!</definedName>
    <definedName name="CPLOP7" localSheetId="10">#REF!</definedName>
    <definedName name="CPLOP7" localSheetId="15">#REF!</definedName>
    <definedName name="CPLOP7" localSheetId="19">#REF!</definedName>
    <definedName name="CPLOP7" localSheetId="20">#REF!</definedName>
    <definedName name="CPLOP7" localSheetId="24">#REF!</definedName>
    <definedName name="CPLOP7" localSheetId="104">#REF!</definedName>
    <definedName name="CPLOP7" localSheetId="65">#REF!</definedName>
    <definedName name="CPLOP7" localSheetId="64">#REF!</definedName>
    <definedName name="CPLOP7" localSheetId="77">#REF!</definedName>
    <definedName name="CPLOP7" localSheetId="49">#REF!</definedName>
    <definedName name="CPLOP7" localSheetId="40">#REF!</definedName>
    <definedName name="CPLOP7" localSheetId="43">#REF!</definedName>
    <definedName name="CPLOP7" localSheetId="13">#REF!</definedName>
    <definedName name="CPLOP7" localSheetId="38">#REF!</definedName>
    <definedName name="CPLOP7">#REF!</definedName>
    <definedName name="CPLOP8" localSheetId="3">#REF!</definedName>
    <definedName name="CPLOP8" localSheetId="7">#REF!</definedName>
    <definedName name="CPLOP8" localSheetId="9">#REF!</definedName>
    <definedName name="CPLOP8" localSheetId="10">#REF!</definedName>
    <definedName name="CPLOP8" localSheetId="15">#REF!</definedName>
    <definedName name="CPLOP8" localSheetId="19">#REF!</definedName>
    <definedName name="CPLOP8" localSheetId="20">#REF!</definedName>
    <definedName name="CPLOP8" localSheetId="24">#REF!</definedName>
    <definedName name="CPLOP8" localSheetId="104">#REF!</definedName>
    <definedName name="CPLOP8" localSheetId="65">#REF!</definedName>
    <definedName name="CPLOP8" localSheetId="64">#REF!</definedName>
    <definedName name="CPLOP8" localSheetId="77">#REF!</definedName>
    <definedName name="CPLOP8" localSheetId="49">#REF!</definedName>
    <definedName name="CPLOP8" localSheetId="40">#REF!</definedName>
    <definedName name="CPLOP8" localSheetId="43">#REF!</definedName>
    <definedName name="CPLOP8" localSheetId="13">#REF!</definedName>
    <definedName name="CPLOP8" localSheetId="38">#REF!</definedName>
    <definedName name="CPLOP8">#REF!</definedName>
    <definedName name="CPLOP9" localSheetId="3">#REF!</definedName>
    <definedName name="CPLOP9" localSheetId="7">#REF!</definedName>
    <definedName name="CPLOP9" localSheetId="9">#REF!</definedName>
    <definedName name="CPLOP9" localSheetId="10">#REF!</definedName>
    <definedName name="CPLOP9" localSheetId="15">#REF!</definedName>
    <definedName name="CPLOP9" localSheetId="19">#REF!</definedName>
    <definedName name="CPLOP9" localSheetId="20">#REF!</definedName>
    <definedName name="CPLOP9" localSheetId="24">#REF!</definedName>
    <definedName name="CPLOP9" localSheetId="104">#REF!</definedName>
    <definedName name="CPLOP9" localSheetId="65">#REF!</definedName>
    <definedName name="CPLOP9" localSheetId="64">#REF!</definedName>
    <definedName name="CPLOP9" localSheetId="77">#REF!</definedName>
    <definedName name="CPLOP9" localSheetId="49">#REF!</definedName>
    <definedName name="CPLOP9" localSheetId="40">#REF!</definedName>
    <definedName name="CPLOP9" localSheetId="43">#REF!</definedName>
    <definedName name="CPLOP9" localSheetId="13">#REF!</definedName>
    <definedName name="CPLOP9" localSheetId="38">#REF!</definedName>
    <definedName name="CPLOP9">#REF!</definedName>
    <definedName name="CPSEXOP1" localSheetId="3">#REF!</definedName>
    <definedName name="CPSEXOP1" localSheetId="7">#REF!</definedName>
    <definedName name="CPSEXOP1" localSheetId="9">#REF!</definedName>
    <definedName name="CPSEXOP1" localSheetId="10">#REF!</definedName>
    <definedName name="CPSEXOP1" localSheetId="15">#REF!</definedName>
    <definedName name="CPSEXOP1" localSheetId="19">#REF!</definedName>
    <definedName name="CPSEXOP1" localSheetId="20">#REF!</definedName>
    <definedName name="CPSEXOP1" localSheetId="24">#REF!</definedName>
    <definedName name="CPSEXOP1" localSheetId="104">#REF!</definedName>
    <definedName name="CPSEXOP1" localSheetId="65">#REF!</definedName>
    <definedName name="CPSEXOP1" localSheetId="64">#REF!</definedName>
    <definedName name="CPSEXOP1" localSheetId="77">#REF!</definedName>
    <definedName name="CPSEXOP1" localSheetId="49">#REF!</definedName>
    <definedName name="CPSEXOP1" localSheetId="40">#REF!</definedName>
    <definedName name="CPSEXOP1" localSheetId="43">#REF!</definedName>
    <definedName name="CPSEXOP1" localSheetId="13">#REF!</definedName>
    <definedName name="CPSEXOP1" localSheetId="38">#REF!</definedName>
    <definedName name="CPSEXOP1">#REF!</definedName>
    <definedName name="CPSEXOP2" localSheetId="3">#REF!</definedName>
    <definedName name="CPSEXOP2" localSheetId="7">#REF!</definedName>
    <definedName name="CPSEXOP2" localSheetId="9">#REF!</definedName>
    <definedName name="CPSEXOP2" localSheetId="10">#REF!</definedName>
    <definedName name="CPSEXOP2" localSheetId="15">#REF!</definedName>
    <definedName name="CPSEXOP2" localSheetId="19">#REF!</definedName>
    <definedName name="CPSEXOP2" localSheetId="20">#REF!</definedName>
    <definedName name="CPSEXOP2" localSheetId="24">#REF!</definedName>
    <definedName name="CPSEXOP2" localSheetId="104">#REF!</definedName>
    <definedName name="CPSEXOP2" localSheetId="65">#REF!</definedName>
    <definedName name="CPSEXOP2" localSheetId="64">#REF!</definedName>
    <definedName name="CPSEXOP2" localSheetId="77">#REF!</definedName>
    <definedName name="CPSEXOP2" localSheetId="49">#REF!</definedName>
    <definedName name="CPSEXOP2" localSheetId="40">#REF!</definedName>
    <definedName name="CPSEXOP2" localSheetId="43">#REF!</definedName>
    <definedName name="CPSEXOP2" localSheetId="13">#REF!</definedName>
    <definedName name="CPSEXOP2" localSheetId="38">#REF!</definedName>
    <definedName name="CPSEXOP2">#REF!</definedName>
    <definedName name="CPSOP1" localSheetId="3">#REF!</definedName>
    <definedName name="CPSOP1" localSheetId="7">#REF!</definedName>
    <definedName name="CPSOP1" localSheetId="9">#REF!</definedName>
    <definedName name="CPSOP1" localSheetId="10">#REF!</definedName>
    <definedName name="CPSOP1" localSheetId="15">#REF!</definedName>
    <definedName name="CPSOP1" localSheetId="19">#REF!</definedName>
    <definedName name="CPSOP1" localSheetId="20">#REF!</definedName>
    <definedName name="CPSOP1" localSheetId="24">#REF!</definedName>
    <definedName name="CPSOP1" localSheetId="104">#REF!</definedName>
    <definedName name="CPSOP1" localSheetId="65">#REF!</definedName>
    <definedName name="CPSOP1" localSheetId="64">#REF!</definedName>
    <definedName name="CPSOP1" localSheetId="77">#REF!</definedName>
    <definedName name="CPSOP1" localSheetId="49">#REF!</definedName>
    <definedName name="CPSOP1" localSheetId="40">#REF!</definedName>
    <definedName name="CPSOP1" localSheetId="43">#REF!</definedName>
    <definedName name="CPSOP1" localSheetId="13">#REF!</definedName>
    <definedName name="CPSOP1" localSheetId="38">#REF!</definedName>
    <definedName name="CPSOP1">#REF!</definedName>
    <definedName name="CPSOP10" localSheetId="3">#REF!</definedName>
    <definedName name="CPSOP10" localSheetId="7">#REF!</definedName>
    <definedName name="CPSOP10" localSheetId="9">#REF!</definedName>
    <definedName name="CPSOP10" localSheetId="10">#REF!</definedName>
    <definedName name="CPSOP10" localSheetId="15">#REF!</definedName>
    <definedName name="CPSOP10" localSheetId="19">#REF!</definedName>
    <definedName name="CPSOP10" localSheetId="20">#REF!</definedName>
    <definedName name="CPSOP10" localSheetId="24">#REF!</definedName>
    <definedName name="CPSOP10" localSheetId="104">#REF!</definedName>
    <definedName name="CPSOP10" localSheetId="65">#REF!</definedName>
    <definedName name="CPSOP10" localSheetId="64">#REF!</definedName>
    <definedName name="CPSOP10" localSheetId="77">#REF!</definedName>
    <definedName name="CPSOP10" localSheetId="49">#REF!</definedName>
    <definedName name="CPSOP10" localSheetId="40">#REF!</definedName>
    <definedName name="CPSOP10" localSheetId="43">#REF!</definedName>
    <definedName name="CPSOP10" localSheetId="13">#REF!</definedName>
    <definedName name="CPSOP10" localSheetId="38">#REF!</definedName>
    <definedName name="CPSOP10">#REF!</definedName>
    <definedName name="CPSOP11" localSheetId="3">#REF!</definedName>
    <definedName name="CPSOP11" localSheetId="7">#REF!</definedName>
    <definedName name="CPSOP11" localSheetId="9">#REF!</definedName>
    <definedName name="CPSOP11" localSheetId="10">#REF!</definedName>
    <definedName name="CPSOP11" localSheetId="15">#REF!</definedName>
    <definedName name="CPSOP11" localSheetId="19">#REF!</definedName>
    <definedName name="CPSOP11" localSheetId="20">#REF!</definedName>
    <definedName name="CPSOP11" localSheetId="24">#REF!</definedName>
    <definedName name="CPSOP11" localSheetId="104">#REF!</definedName>
    <definedName name="CPSOP11" localSheetId="65">#REF!</definedName>
    <definedName name="CPSOP11" localSheetId="64">#REF!</definedName>
    <definedName name="CPSOP11" localSheetId="77">#REF!</definedName>
    <definedName name="CPSOP11" localSheetId="49">#REF!</definedName>
    <definedName name="CPSOP11" localSheetId="40">#REF!</definedName>
    <definedName name="CPSOP11" localSheetId="43">#REF!</definedName>
    <definedName name="CPSOP11" localSheetId="13">#REF!</definedName>
    <definedName name="CPSOP11" localSheetId="38">#REF!</definedName>
    <definedName name="CPSOP11">#REF!</definedName>
    <definedName name="CPSOP12" localSheetId="3">#REF!</definedName>
    <definedName name="CPSOP12" localSheetId="7">#REF!</definedName>
    <definedName name="CPSOP12" localSheetId="9">#REF!</definedName>
    <definedName name="CPSOP12" localSheetId="10">#REF!</definedName>
    <definedName name="CPSOP12" localSheetId="15">#REF!</definedName>
    <definedName name="CPSOP12" localSheetId="19">#REF!</definedName>
    <definedName name="CPSOP12" localSheetId="20">#REF!</definedName>
    <definedName name="CPSOP12" localSheetId="24">#REF!</definedName>
    <definedName name="CPSOP12" localSheetId="104">#REF!</definedName>
    <definedName name="CPSOP12" localSheetId="65">#REF!</definedName>
    <definedName name="CPSOP12" localSheetId="64">#REF!</definedName>
    <definedName name="CPSOP12" localSheetId="77">#REF!</definedName>
    <definedName name="CPSOP12" localSheetId="49">#REF!</definedName>
    <definedName name="CPSOP12" localSheetId="40">#REF!</definedName>
    <definedName name="CPSOP12" localSheetId="43">#REF!</definedName>
    <definedName name="CPSOP12" localSheetId="13">#REF!</definedName>
    <definedName name="CPSOP12" localSheetId="38">#REF!</definedName>
    <definedName name="CPSOP12">#REF!</definedName>
    <definedName name="CPSOP13" localSheetId="3">#REF!</definedName>
    <definedName name="CPSOP13" localSheetId="7">#REF!</definedName>
    <definedName name="CPSOP13" localSheetId="9">#REF!</definedName>
    <definedName name="CPSOP13" localSheetId="10">#REF!</definedName>
    <definedName name="CPSOP13" localSheetId="15">#REF!</definedName>
    <definedName name="CPSOP13" localSheetId="19">#REF!</definedName>
    <definedName name="CPSOP13" localSheetId="20">#REF!</definedName>
    <definedName name="CPSOP13" localSheetId="24">#REF!</definedName>
    <definedName name="CPSOP13" localSheetId="104">#REF!</definedName>
    <definedName name="CPSOP13" localSheetId="65">#REF!</definedName>
    <definedName name="CPSOP13" localSheetId="64">#REF!</definedName>
    <definedName name="CPSOP13" localSheetId="77">#REF!</definedName>
    <definedName name="CPSOP13" localSheetId="49">#REF!</definedName>
    <definedName name="CPSOP13" localSheetId="40">#REF!</definedName>
    <definedName name="CPSOP13" localSheetId="43">#REF!</definedName>
    <definedName name="CPSOP13" localSheetId="13">#REF!</definedName>
    <definedName name="CPSOP13" localSheetId="38">#REF!</definedName>
    <definedName name="CPSOP13">#REF!</definedName>
    <definedName name="CPSOP14" localSheetId="3">#REF!</definedName>
    <definedName name="CPSOP14" localSheetId="7">#REF!</definedName>
    <definedName name="CPSOP14" localSheetId="9">#REF!</definedName>
    <definedName name="CPSOP14" localSheetId="10">#REF!</definedName>
    <definedName name="CPSOP14" localSheetId="15">#REF!</definedName>
    <definedName name="CPSOP14" localSheetId="19">#REF!</definedName>
    <definedName name="CPSOP14" localSheetId="20">#REF!</definedName>
    <definedName name="CPSOP14" localSheetId="24">#REF!</definedName>
    <definedName name="CPSOP14" localSheetId="104">#REF!</definedName>
    <definedName name="CPSOP14" localSheetId="65">#REF!</definedName>
    <definedName name="CPSOP14" localSheetId="64">#REF!</definedName>
    <definedName name="CPSOP14" localSheetId="77">#REF!</definedName>
    <definedName name="CPSOP14" localSheetId="49">#REF!</definedName>
    <definedName name="CPSOP14" localSheetId="40">#REF!</definedName>
    <definedName name="CPSOP14" localSheetId="43">#REF!</definedName>
    <definedName name="CPSOP14" localSheetId="13">#REF!</definedName>
    <definedName name="CPSOP14" localSheetId="38">#REF!</definedName>
    <definedName name="CPSOP14">#REF!</definedName>
    <definedName name="CPSOP15" localSheetId="3">#REF!</definedName>
    <definedName name="CPSOP15" localSheetId="7">#REF!</definedName>
    <definedName name="CPSOP15" localSheetId="9">#REF!</definedName>
    <definedName name="CPSOP15" localSheetId="10">#REF!</definedName>
    <definedName name="CPSOP15" localSheetId="15">#REF!</definedName>
    <definedName name="CPSOP15" localSheetId="19">#REF!</definedName>
    <definedName name="CPSOP15" localSheetId="20">#REF!</definedName>
    <definedName name="CPSOP15" localSheetId="24">#REF!</definedName>
    <definedName name="CPSOP15" localSheetId="104">#REF!</definedName>
    <definedName name="CPSOP15" localSheetId="65">#REF!</definedName>
    <definedName name="CPSOP15" localSheetId="64">#REF!</definedName>
    <definedName name="CPSOP15" localSheetId="77">#REF!</definedName>
    <definedName name="CPSOP15" localSheetId="49">#REF!</definedName>
    <definedName name="CPSOP15" localSheetId="40">#REF!</definedName>
    <definedName name="CPSOP15" localSheetId="43">#REF!</definedName>
    <definedName name="CPSOP15" localSheetId="13">#REF!</definedName>
    <definedName name="CPSOP15" localSheetId="38">#REF!</definedName>
    <definedName name="CPSOP15">#REF!</definedName>
    <definedName name="CPSOP2" localSheetId="3">#REF!</definedName>
    <definedName name="CPSOP2" localSheetId="7">#REF!</definedName>
    <definedName name="CPSOP2" localSheetId="9">#REF!</definedName>
    <definedName name="CPSOP2" localSheetId="10">#REF!</definedName>
    <definedName name="CPSOP2" localSheetId="15">#REF!</definedName>
    <definedName name="CPSOP2" localSheetId="19">#REF!</definedName>
    <definedName name="CPSOP2" localSheetId="20">#REF!</definedName>
    <definedName name="CPSOP2" localSheetId="24">#REF!</definedName>
    <definedName name="CPSOP2" localSheetId="104">#REF!</definedName>
    <definedName name="CPSOP2" localSheetId="65">#REF!</definedName>
    <definedName name="CPSOP2" localSheetId="64">#REF!</definedName>
    <definedName name="CPSOP2" localSheetId="77">#REF!</definedName>
    <definedName name="CPSOP2" localSheetId="49">#REF!</definedName>
    <definedName name="CPSOP2" localSheetId="40">#REF!</definedName>
    <definedName name="CPSOP2" localSheetId="43">#REF!</definedName>
    <definedName name="CPSOP2" localSheetId="13">#REF!</definedName>
    <definedName name="CPSOP2" localSheetId="38">#REF!</definedName>
    <definedName name="CPSOP2">#REF!</definedName>
    <definedName name="CPSOP3" localSheetId="3">#REF!</definedName>
    <definedName name="CPSOP3" localSheetId="7">#REF!</definedName>
    <definedName name="CPSOP3" localSheetId="9">#REF!</definedName>
    <definedName name="CPSOP3" localSheetId="10">#REF!</definedName>
    <definedName name="CPSOP3" localSheetId="15">#REF!</definedName>
    <definedName name="CPSOP3" localSheetId="19">#REF!</definedName>
    <definedName name="CPSOP3" localSheetId="20">#REF!</definedName>
    <definedName name="CPSOP3" localSheetId="24">#REF!</definedName>
    <definedName name="CPSOP3" localSheetId="104">#REF!</definedName>
    <definedName name="CPSOP3" localSheetId="65">#REF!</definedName>
    <definedName name="CPSOP3" localSheetId="64">#REF!</definedName>
    <definedName name="CPSOP3" localSheetId="77">#REF!</definedName>
    <definedName name="CPSOP3" localSheetId="49">#REF!</definedName>
    <definedName name="CPSOP3" localSheetId="40">#REF!</definedName>
    <definedName name="CPSOP3" localSheetId="43">#REF!</definedName>
    <definedName name="CPSOP3" localSheetId="13">#REF!</definedName>
    <definedName name="CPSOP3" localSheetId="38">#REF!</definedName>
    <definedName name="CPSOP3">#REF!</definedName>
    <definedName name="CPSOP4" localSheetId="3">#REF!</definedName>
    <definedName name="CPSOP4" localSheetId="7">#REF!</definedName>
    <definedName name="CPSOP4" localSheetId="9">#REF!</definedName>
    <definedName name="CPSOP4" localSheetId="10">#REF!</definedName>
    <definedName name="CPSOP4" localSheetId="15">#REF!</definedName>
    <definedName name="CPSOP4" localSheetId="19">#REF!</definedName>
    <definedName name="CPSOP4" localSheetId="20">#REF!</definedName>
    <definedName name="CPSOP4" localSheetId="24">#REF!</definedName>
    <definedName name="CPSOP4" localSheetId="104">#REF!</definedName>
    <definedName name="CPSOP4" localSheetId="65">#REF!</definedName>
    <definedName name="CPSOP4" localSheetId="64">#REF!</definedName>
    <definedName name="CPSOP4" localSheetId="77">#REF!</definedName>
    <definedName name="CPSOP4" localSheetId="49">#REF!</definedName>
    <definedName name="CPSOP4" localSheetId="40">#REF!</definedName>
    <definedName name="CPSOP4" localSheetId="43">#REF!</definedName>
    <definedName name="CPSOP4" localSheetId="13">#REF!</definedName>
    <definedName name="CPSOP4" localSheetId="38">#REF!</definedName>
    <definedName name="CPSOP4">#REF!</definedName>
    <definedName name="CPSOP5" localSheetId="3">#REF!</definedName>
    <definedName name="CPSOP5" localSheetId="7">#REF!</definedName>
    <definedName name="CPSOP5" localSheetId="9">#REF!</definedName>
    <definedName name="CPSOP5" localSheetId="10">#REF!</definedName>
    <definedName name="CPSOP5" localSheetId="15">#REF!</definedName>
    <definedName name="CPSOP5" localSheetId="19">#REF!</definedName>
    <definedName name="CPSOP5" localSheetId="20">#REF!</definedName>
    <definedName name="CPSOP5" localSheetId="24">#REF!</definedName>
    <definedName name="CPSOP5" localSheetId="104">#REF!</definedName>
    <definedName name="CPSOP5" localSheetId="65">#REF!</definedName>
    <definedName name="CPSOP5" localSheetId="64">#REF!</definedName>
    <definedName name="CPSOP5" localSheetId="77">#REF!</definedName>
    <definedName name="CPSOP5" localSheetId="49">#REF!</definedName>
    <definedName name="CPSOP5" localSheetId="40">#REF!</definedName>
    <definedName name="CPSOP5" localSheetId="43">#REF!</definedName>
    <definedName name="CPSOP5" localSheetId="13">#REF!</definedName>
    <definedName name="CPSOP5" localSheetId="38">#REF!</definedName>
    <definedName name="CPSOP5">#REF!</definedName>
    <definedName name="CPSOP6" localSheetId="3">#REF!</definedName>
    <definedName name="CPSOP6" localSheetId="7">#REF!</definedName>
    <definedName name="CPSOP6" localSheetId="9">#REF!</definedName>
    <definedName name="CPSOP6" localSheetId="10">#REF!</definedName>
    <definedName name="CPSOP6" localSheetId="15">#REF!</definedName>
    <definedName name="CPSOP6" localSheetId="19">#REF!</definedName>
    <definedName name="CPSOP6" localSheetId="20">#REF!</definedName>
    <definedName name="CPSOP6" localSheetId="24">#REF!</definedName>
    <definedName name="CPSOP6" localSheetId="104">#REF!</definedName>
    <definedName name="CPSOP6" localSheetId="65">#REF!</definedName>
    <definedName name="CPSOP6" localSheetId="64">#REF!</definedName>
    <definedName name="CPSOP6" localSheetId="77">#REF!</definedName>
    <definedName name="CPSOP6" localSheetId="49">#REF!</definedName>
    <definedName name="CPSOP6" localSheetId="40">#REF!</definedName>
    <definedName name="CPSOP6" localSheetId="43">#REF!</definedName>
    <definedName name="CPSOP6" localSheetId="13">#REF!</definedName>
    <definedName name="CPSOP6" localSheetId="38">#REF!</definedName>
    <definedName name="CPSOP6">#REF!</definedName>
    <definedName name="CPSOP7" localSheetId="3">#REF!</definedName>
    <definedName name="CPSOP7" localSheetId="7">#REF!</definedName>
    <definedName name="CPSOP7" localSheetId="9">#REF!</definedName>
    <definedName name="CPSOP7" localSheetId="10">#REF!</definedName>
    <definedName name="CPSOP7" localSheetId="15">#REF!</definedName>
    <definedName name="CPSOP7" localSheetId="19">#REF!</definedName>
    <definedName name="CPSOP7" localSheetId="20">#REF!</definedName>
    <definedName name="CPSOP7" localSheetId="24">#REF!</definedName>
    <definedName name="CPSOP7" localSheetId="104">#REF!</definedName>
    <definedName name="CPSOP7" localSheetId="65">#REF!</definedName>
    <definedName name="CPSOP7" localSheetId="64">#REF!</definedName>
    <definedName name="CPSOP7" localSheetId="77">#REF!</definedName>
    <definedName name="CPSOP7" localSheetId="49">#REF!</definedName>
    <definedName name="CPSOP7" localSheetId="40">#REF!</definedName>
    <definedName name="CPSOP7" localSheetId="43">#REF!</definedName>
    <definedName name="CPSOP7" localSheetId="13">#REF!</definedName>
    <definedName name="CPSOP7" localSheetId="38">#REF!</definedName>
    <definedName name="CPSOP7">#REF!</definedName>
    <definedName name="CPSOP8" localSheetId="3">#REF!</definedName>
    <definedName name="CPSOP8" localSheetId="7">#REF!</definedName>
    <definedName name="CPSOP8" localSheetId="9">#REF!</definedName>
    <definedName name="CPSOP8" localSheetId="10">#REF!</definedName>
    <definedName name="CPSOP8" localSheetId="15">#REF!</definedName>
    <definedName name="CPSOP8" localSheetId="19">#REF!</definedName>
    <definedName name="CPSOP8" localSheetId="20">#REF!</definedName>
    <definedName name="CPSOP8" localSheetId="24">#REF!</definedName>
    <definedName name="CPSOP8" localSheetId="104">#REF!</definedName>
    <definedName name="CPSOP8" localSheetId="65">#REF!</definedName>
    <definedName name="CPSOP8" localSheetId="64">#REF!</definedName>
    <definedName name="CPSOP8" localSheetId="77">#REF!</definedName>
    <definedName name="CPSOP8" localSheetId="49">#REF!</definedName>
    <definedName name="CPSOP8" localSheetId="40">#REF!</definedName>
    <definedName name="CPSOP8" localSheetId="43">#REF!</definedName>
    <definedName name="CPSOP8" localSheetId="13">#REF!</definedName>
    <definedName name="CPSOP8" localSheetId="38">#REF!</definedName>
    <definedName name="CPSOP8">#REF!</definedName>
    <definedName name="CPSOP9" localSheetId="3">#REF!</definedName>
    <definedName name="CPSOP9" localSheetId="7">#REF!</definedName>
    <definedName name="CPSOP9" localSheetId="9">#REF!</definedName>
    <definedName name="CPSOP9" localSheetId="10">#REF!</definedName>
    <definedName name="CPSOP9" localSheetId="15">#REF!</definedName>
    <definedName name="CPSOP9" localSheetId="19">#REF!</definedName>
    <definedName name="CPSOP9" localSheetId="20">#REF!</definedName>
    <definedName name="CPSOP9" localSheetId="24">#REF!</definedName>
    <definedName name="CPSOP9" localSheetId="104">#REF!</definedName>
    <definedName name="CPSOP9" localSheetId="65">#REF!</definedName>
    <definedName name="CPSOP9" localSheetId="64">#REF!</definedName>
    <definedName name="CPSOP9" localSheetId="77">#REF!</definedName>
    <definedName name="CPSOP9" localSheetId="49">#REF!</definedName>
    <definedName name="CPSOP9" localSheetId="40">#REF!</definedName>
    <definedName name="CPSOP9" localSheetId="43">#REF!</definedName>
    <definedName name="CPSOP9" localSheetId="13">#REF!</definedName>
    <definedName name="CPSOP9" localSheetId="38">#REF!</definedName>
    <definedName name="CPSOP9">#REF!</definedName>
    <definedName name="Cpsteam" localSheetId="3">#REF!</definedName>
    <definedName name="Cpsteam" localSheetId="7">#REF!</definedName>
    <definedName name="Cpsteam" localSheetId="9">#REF!</definedName>
    <definedName name="Cpsteam" localSheetId="10">#REF!</definedName>
    <definedName name="Cpsteam" localSheetId="15">#REF!</definedName>
    <definedName name="Cpsteam" localSheetId="19">#REF!</definedName>
    <definedName name="Cpsteam" localSheetId="20">#REF!</definedName>
    <definedName name="Cpsteam" localSheetId="24">#REF!</definedName>
    <definedName name="Cpsteam" localSheetId="104">#REF!</definedName>
    <definedName name="Cpsteam" localSheetId="65">#REF!</definedName>
    <definedName name="Cpsteam" localSheetId="64">#REF!</definedName>
    <definedName name="Cpsteam" localSheetId="77">#REF!</definedName>
    <definedName name="Cpsteam" localSheetId="49">#REF!</definedName>
    <definedName name="Cpsteam" localSheetId="40">#REF!</definedName>
    <definedName name="Cpsteam" localSheetId="43">#REF!</definedName>
    <definedName name="Cpsteam" localSheetId="13">#REF!</definedName>
    <definedName name="Cpsteam" localSheetId="38">#REF!</definedName>
    <definedName name="Cpsteam">#REF!</definedName>
    <definedName name="CpSVG" localSheetId="3">#REF!</definedName>
    <definedName name="CpSVG" localSheetId="7">#REF!</definedName>
    <definedName name="CpSVG" localSheetId="9">#REF!</definedName>
    <definedName name="CpSVG" localSheetId="10">#REF!</definedName>
    <definedName name="CpSVG" localSheetId="15">#REF!</definedName>
    <definedName name="CpSVG" localSheetId="19">#REF!</definedName>
    <definedName name="CpSVG" localSheetId="20">#REF!</definedName>
    <definedName name="CpSVG" localSheetId="24">#REF!</definedName>
    <definedName name="CpSVG" localSheetId="104">#REF!</definedName>
    <definedName name="CpSVG" localSheetId="65">#REF!</definedName>
    <definedName name="CpSVG" localSheetId="64">#REF!</definedName>
    <definedName name="CpSVG" localSheetId="77">#REF!</definedName>
    <definedName name="CpSVG" localSheetId="49">#REF!</definedName>
    <definedName name="CpSVG" localSheetId="40">#REF!</definedName>
    <definedName name="CpSVG" localSheetId="43">#REF!</definedName>
    <definedName name="CpSVG" localSheetId="13">#REF!</definedName>
    <definedName name="CpSVG" localSheetId="38">#REF!</definedName>
    <definedName name="CpSVG">#REF!</definedName>
    <definedName name="_xlnm.Criteria" localSheetId="3">#REF!</definedName>
    <definedName name="_xlnm.Criteria" localSheetId="7">#REF!</definedName>
    <definedName name="_xlnm.Criteria" localSheetId="9">#REF!</definedName>
    <definedName name="_xlnm.Criteria" localSheetId="10">#REF!</definedName>
    <definedName name="_xlnm.Criteria" localSheetId="15">#REF!</definedName>
    <definedName name="_xlnm.Criteria" localSheetId="19">#REF!</definedName>
    <definedName name="_xlnm.Criteria" localSheetId="20">#REF!</definedName>
    <definedName name="_xlnm.Criteria" localSheetId="24">#REF!</definedName>
    <definedName name="_xlnm.Criteria" localSheetId="104">#REF!</definedName>
    <definedName name="_xlnm.Criteria" localSheetId="65">#REF!</definedName>
    <definedName name="_xlnm.Criteria" localSheetId="64">#REF!</definedName>
    <definedName name="_xlnm.Criteria" localSheetId="77">#REF!</definedName>
    <definedName name="_xlnm.Criteria" localSheetId="49">#REF!</definedName>
    <definedName name="_xlnm.Criteria" localSheetId="40">#REF!</definedName>
    <definedName name="_xlnm.Criteria" localSheetId="43">#REF!</definedName>
    <definedName name="_xlnm.Criteria" localSheetId="13">#REF!</definedName>
    <definedName name="_xlnm.Criteria" localSheetId="38">#REF!</definedName>
    <definedName name="_xlnm.Criteria">#REF!</definedName>
    <definedName name="criteriaE.F." localSheetId="3">#REF!</definedName>
    <definedName name="criteriaE.F." localSheetId="7">#REF!</definedName>
    <definedName name="criteriaE.F." localSheetId="9">#REF!</definedName>
    <definedName name="criteriaE.F." localSheetId="10">#REF!</definedName>
    <definedName name="criteriaE.F." localSheetId="15">#REF!</definedName>
    <definedName name="criteriaE.F." localSheetId="19">#REF!</definedName>
    <definedName name="criteriaE.F." localSheetId="20">#REF!</definedName>
    <definedName name="criteriaE.F." localSheetId="24">#REF!</definedName>
    <definedName name="criteriaE.F." localSheetId="104">#REF!</definedName>
    <definedName name="criteriaE.F." localSheetId="65">#REF!</definedName>
    <definedName name="criteriaE.F." localSheetId="64">#REF!</definedName>
    <definedName name="criteriaE.F." localSheetId="77">#REF!</definedName>
    <definedName name="criteriaE.F." localSheetId="49">#REF!</definedName>
    <definedName name="criteriaE.F." localSheetId="40">#REF!</definedName>
    <definedName name="criteriaE.F." localSheetId="43">#REF!</definedName>
    <definedName name="criteriaE.F." localSheetId="13">#REF!</definedName>
    <definedName name="criteriaE.F." localSheetId="38">#REF!</definedName>
    <definedName name="criteriaE.F.">#REF!</definedName>
    <definedName name="crus1" localSheetId="3">#REF!</definedName>
    <definedName name="crus1" localSheetId="7">#REF!</definedName>
    <definedName name="crus1" localSheetId="9">#REF!</definedName>
    <definedName name="crus1" localSheetId="10">#REF!</definedName>
    <definedName name="crus1" localSheetId="15">#REF!</definedName>
    <definedName name="crus1" localSheetId="19">#REF!</definedName>
    <definedName name="crus1" localSheetId="20">#REF!</definedName>
    <definedName name="crus1" localSheetId="24">#REF!</definedName>
    <definedName name="crus1" localSheetId="104">#REF!</definedName>
    <definedName name="crus1" localSheetId="65">#REF!</definedName>
    <definedName name="crus1" localSheetId="64">#REF!</definedName>
    <definedName name="crus1" localSheetId="77">#REF!</definedName>
    <definedName name="crus1" localSheetId="49">#REF!</definedName>
    <definedName name="crus1" localSheetId="40">#REF!</definedName>
    <definedName name="crus1" localSheetId="43">#REF!</definedName>
    <definedName name="crus1" localSheetId="13">#REF!</definedName>
    <definedName name="crus1" localSheetId="38">#REF!</definedName>
    <definedName name="crus1">#REF!</definedName>
    <definedName name="crus2" localSheetId="3">#REF!</definedName>
    <definedName name="crus2" localSheetId="7">#REF!</definedName>
    <definedName name="crus2" localSheetId="9">#REF!</definedName>
    <definedName name="crus2" localSheetId="10">#REF!</definedName>
    <definedName name="crus2" localSheetId="15">#REF!</definedName>
    <definedName name="crus2" localSheetId="19">#REF!</definedName>
    <definedName name="crus2" localSheetId="20">#REF!</definedName>
    <definedName name="crus2" localSheetId="24">#REF!</definedName>
    <definedName name="crus2" localSheetId="104">#REF!</definedName>
    <definedName name="crus2" localSheetId="65">#REF!</definedName>
    <definedName name="crus2" localSheetId="64">#REF!</definedName>
    <definedName name="crus2" localSheetId="77">#REF!</definedName>
    <definedName name="crus2" localSheetId="49">#REF!</definedName>
    <definedName name="crus2" localSheetId="40">#REF!</definedName>
    <definedName name="crus2" localSheetId="43">#REF!</definedName>
    <definedName name="crus2" localSheetId="13">#REF!</definedName>
    <definedName name="crus2" localSheetId="38">#REF!</definedName>
    <definedName name="crus2">#REF!</definedName>
    <definedName name="crus3" localSheetId="3">#REF!</definedName>
    <definedName name="crus3" localSheetId="7">#REF!</definedName>
    <definedName name="crus3" localSheetId="9">#REF!</definedName>
    <definedName name="crus3" localSheetId="10">#REF!</definedName>
    <definedName name="crus3" localSheetId="15">#REF!</definedName>
    <definedName name="crus3" localSheetId="19">#REF!</definedName>
    <definedName name="crus3" localSheetId="20">#REF!</definedName>
    <definedName name="crus3" localSheetId="24">#REF!</definedName>
    <definedName name="crus3" localSheetId="104">#REF!</definedName>
    <definedName name="crus3" localSheetId="65">#REF!</definedName>
    <definedName name="crus3" localSheetId="64">#REF!</definedName>
    <definedName name="crus3" localSheetId="77">#REF!</definedName>
    <definedName name="crus3" localSheetId="49">#REF!</definedName>
    <definedName name="crus3" localSheetId="40">#REF!</definedName>
    <definedName name="crus3" localSheetId="43">#REF!</definedName>
    <definedName name="crus3" localSheetId="13">#REF!</definedName>
    <definedName name="crus3" localSheetId="38">#REF!</definedName>
    <definedName name="crus3">#REF!</definedName>
    <definedName name="crus4" localSheetId="3">#REF!</definedName>
    <definedName name="crus4" localSheetId="7">#REF!</definedName>
    <definedName name="crus4" localSheetId="9">#REF!</definedName>
    <definedName name="crus4" localSheetId="10">#REF!</definedName>
    <definedName name="crus4" localSheetId="15">#REF!</definedName>
    <definedName name="crus4" localSheetId="19">#REF!</definedName>
    <definedName name="crus4" localSheetId="20">#REF!</definedName>
    <definedName name="crus4" localSheetId="24">#REF!</definedName>
    <definedName name="crus4" localSheetId="104">#REF!</definedName>
    <definedName name="crus4" localSheetId="65">#REF!</definedName>
    <definedName name="crus4" localSheetId="64">#REF!</definedName>
    <definedName name="crus4" localSheetId="77">#REF!</definedName>
    <definedName name="crus4" localSheetId="49">#REF!</definedName>
    <definedName name="crus4" localSheetId="40">#REF!</definedName>
    <definedName name="crus4" localSheetId="43">#REF!</definedName>
    <definedName name="crus4" localSheetId="13">#REF!</definedName>
    <definedName name="crus4" localSheetId="38">#REF!</definedName>
    <definedName name="crus4">#REF!</definedName>
    <definedName name="crustot" localSheetId="3">#REF!</definedName>
    <definedName name="crustot" localSheetId="7">#REF!</definedName>
    <definedName name="crustot" localSheetId="9">#REF!</definedName>
    <definedName name="crustot" localSheetId="10">#REF!</definedName>
    <definedName name="crustot" localSheetId="15">#REF!</definedName>
    <definedName name="crustot" localSheetId="19">#REF!</definedName>
    <definedName name="crustot" localSheetId="20">#REF!</definedName>
    <definedName name="crustot" localSheetId="24">#REF!</definedName>
    <definedName name="crustot" localSheetId="104">#REF!</definedName>
    <definedName name="crustot" localSheetId="65">#REF!</definedName>
    <definedName name="crustot" localSheetId="64">#REF!</definedName>
    <definedName name="crustot" localSheetId="77">#REF!</definedName>
    <definedName name="crustot" localSheetId="49">#REF!</definedName>
    <definedName name="crustot" localSheetId="40">#REF!</definedName>
    <definedName name="crustot" localSheetId="43">#REF!</definedName>
    <definedName name="crustot" localSheetId="13">#REF!</definedName>
    <definedName name="crustot" localSheetId="38">#REF!</definedName>
    <definedName name="crustot">#REF!</definedName>
    <definedName name="crys1" localSheetId="3">#REF!</definedName>
    <definedName name="crys1" localSheetId="7">#REF!</definedName>
    <definedName name="crys1" localSheetId="9">#REF!</definedName>
    <definedName name="crys1" localSheetId="10">#REF!</definedName>
    <definedName name="crys1" localSheetId="15">#REF!</definedName>
    <definedName name="crys1" localSheetId="19">#REF!</definedName>
    <definedName name="crys1" localSheetId="20">#REF!</definedName>
    <definedName name="crys1" localSheetId="24">#REF!</definedName>
    <definedName name="crys1" localSheetId="104">#REF!</definedName>
    <definedName name="crys1" localSheetId="65">#REF!</definedName>
    <definedName name="crys1" localSheetId="64">#REF!</definedName>
    <definedName name="crys1" localSheetId="77">#REF!</definedName>
    <definedName name="crys1" localSheetId="49">#REF!</definedName>
    <definedName name="crys1" localSheetId="40">#REF!</definedName>
    <definedName name="crys1" localSheetId="43">#REF!</definedName>
    <definedName name="crys1" localSheetId="13">#REF!</definedName>
    <definedName name="crys1" localSheetId="38">#REF!</definedName>
    <definedName name="crys1">#REF!</definedName>
    <definedName name="crys2" localSheetId="3">#REF!</definedName>
    <definedName name="crys2" localSheetId="7">#REF!</definedName>
    <definedName name="crys2" localSheetId="9">#REF!</definedName>
    <definedName name="crys2" localSheetId="10">#REF!</definedName>
    <definedName name="crys2" localSheetId="15">#REF!</definedName>
    <definedName name="crys2" localSheetId="19">#REF!</definedName>
    <definedName name="crys2" localSheetId="20">#REF!</definedName>
    <definedName name="crys2" localSheetId="24">#REF!</definedName>
    <definedName name="crys2" localSheetId="104">#REF!</definedName>
    <definedName name="crys2" localSheetId="65">#REF!</definedName>
    <definedName name="crys2" localSheetId="64">#REF!</definedName>
    <definedName name="crys2" localSheetId="77">#REF!</definedName>
    <definedName name="crys2" localSheetId="49">#REF!</definedName>
    <definedName name="crys2" localSheetId="40">#REF!</definedName>
    <definedName name="crys2" localSheetId="43">#REF!</definedName>
    <definedName name="crys2" localSheetId="13">#REF!</definedName>
    <definedName name="crys2" localSheetId="38">#REF!</definedName>
    <definedName name="crys2">#REF!</definedName>
    <definedName name="crys3" localSheetId="3">#REF!</definedName>
    <definedName name="crys3" localSheetId="7">#REF!</definedName>
    <definedName name="crys3" localSheetId="9">#REF!</definedName>
    <definedName name="crys3" localSheetId="10">#REF!</definedName>
    <definedName name="crys3" localSheetId="15">#REF!</definedName>
    <definedName name="crys3" localSheetId="19">#REF!</definedName>
    <definedName name="crys3" localSheetId="20">#REF!</definedName>
    <definedName name="crys3" localSheetId="24">#REF!</definedName>
    <definedName name="crys3" localSheetId="104">#REF!</definedName>
    <definedName name="crys3" localSheetId="65">#REF!</definedName>
    <definedName name="crys3" localSheetId="64">#REF!</definedName>
    <definedName name="crys3" localSheetId="77">#REF!</definedName>
    <definedName name="crys3" localSheetId="49">#REF!</definedName>
    <definedName name="crys3" localSheetId="40">#REF!</definedName>
    <definedName name="crys3" localSheetId="43">#REF!</definedName>
    <definedName name="crys3" localSheetId="13">#REF!</definedName>
    <definedName name="crys3" localSheetId="38">#REF!</definedName>
    <definedName name="crys3">#REF!</definedName>
    <definedName name="crys4" localSheetId="3">#REF!</definedName>
    <definedName name="crys4" localSheetId="7">#REF!</definedName>
    <definedName name="crys4" localSheetId="9">#REF!</definedName>
    <definedName name="crys4" localSheetId="10">#REF!</definedName>
    <definedName name="crys4" localSheetId="15">#REF!</definedName>
    <definedName name="crys4" localSheetId="19">#REF!</definedName>
    <definedName name="crys4" localSheetId="20">#REF!</definedName>
    <definedName name="crys4" localSheetId="24">#REF!</definedName>
    <definedName name="crys4" localSheetId="104">#REF!</definedName>
    <definedName name="crys4" localSheetId="65">#REF!</definedName>
    <definedName name="crys4" localSheetId="64">#REF!</definedName>
    <definedName name="crys4" localSheetId="77">#REF!</definedName>
    <definedName name="crys4" localSheetId="49">#REF!</definedName>
    <definedName name="crys4" localSheetId="40">#REF!</definedName>
    <definedName name="crys4" localSheetId="43">#REF!</definedName>
    <definedName name="crys4" localSheetId="13">#REF!</definedName>
    <definedName name="crys4" localSheetId="38">#REF!</definedName>
    <definedName name="crys4">#REF!</definedName>
    <definedName name="crystot" localSheetId="3">#REF!</definedName>
    <definedName name="crystot" localSheetId="7">#REF!</definedName>
    <definedName name="crystot" localSheetId="9">#REF!</definedName>
    <definedName name="crystot" localSheetId="10">#REF!</definedName>
    <definedName name="crystot" localSheetId="15">#REF!</definedName>
    <definedName name="crystot" localSheetId="19">#REF!</definedName>
    <definedName name="crystot" localSheetId="20">#REF!</definedName>
    <definedName name="crystot" localSheetId="24">#REF!</definedName>
    <definedName name="crystot" localSheetId="104">#REF!</definedName>
    <definedName name="crystot" localSheetId="65">#REF!</definedName>
    <definedName name="crystot" localSheetId="64">#REF!</definedName>
    <definedName name="crystot" localSheetId="77">#REF!</definedName>
    <definedName name="crystot" localSheetId="49">#REF!</definedName>
    <definedName name="crystot" localSheetId="40">#REF!</definedName>
    <definedName name="crystot" localSheetId="43">#REF!</definedName>
    <definedName name="crystot" localSheetId="13">#REF!</definedName>
    <definedName name="crystot" localSheetId="38">#REF!</definedName>
    <definedName name="crystot">#REF!</definedName>
    <definedName name="csr" localSheetId="105"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localSheetId="96"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localSheetId="44"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T_ER" localSheetId="3">#REF!</definedName>
    <definedName name="CT_ER" localSheetId="7">#REF!</definedName>
    <definedName name="CT_ER" localSheetId="9">#REF!</definedName>
    <definedName name="CT_ER" localSheetId="10">#REF!</definedName>
    <definedName name="CT_ER" localSheetId="15">#REF!</definedName>
    <definedName name="CT_ER" localSheetId="19">#REF!</definedName>
    <definedName name="CT_ER" localSheetId="20">#REF!</definedName>
    <definedName name="CT_ER" localSheetId="24">#REF!</definedName>
    <definedName name="CT_ER" localSheetId="104">#REF!</definedName>
    <definedName name="CT_ER" localSheetId="65">#REF!</definedName>
    <definedName name="CT_ER" localSheetId="64">#REF!</definedName>
    <definedName name="CT_ER" localSheetId="77">#REF!</definedName>
    <definedName name="CT_ER" localSheetId="49">#REF!</definedName>
    <definedName name="CT_ER" localSheetId="40">#REF!</definedName>
    <definedName name="CT_ER" localSheetId="43">#REF!</definedName>
    <definedName name="CT_ER" localSheetId="13">#REF!</definedName>
    <definedName name="CT_ER" localSheetId="38">#REF!</definedName>
    <definedName name="CT_ER">#REF!</definedName>
    <definedName name="ctrlname" localSheetId="3">#REF!</definedName>
    <definedName name="ctrlname" localSheetId="7">#REF!</definedName>
    <definedName name="ctrlname" localSheetId="9">#REF!</definedName>
    <definedName name="ctrlname" localSheetId="10">#REF!</definedName>
    <definedName name="ctrlname" localSheetId="15">#REF!</definedName>
    <definedName name="ctrlname" localSheetId="19">#REF!</definedName>
    <definedName name="ctrlname" localSheetId="20">#REF!</definedName>
    <definedName name="ctrlname" localSheetId="24">#REF!</definedName>
    <definedName name="ctrlname" localSheetId="104">#REF!</definedName>
    <definedName name="ctrlname" localSheetId="65">#REF!</definedName>
    <definedName name="ctrlname" localSheetId="64">#REF!</definedName>
    <definedName name="ctrlname" localSheetId="77">#REF!</definedName>
    <definedName name="ctrlname" localSheetId="49">#REF!</definedName>
    <definedName name="ctrlname" localSheetId="40">#REF!</definedName>
    <definedName name="ctrlname" localSheetId="43">#REF!</definedName>
    <definedName name="ctrlname" localSheetId="13">#REF!</definedName>
    <definedName name="ctrlname" localSheetId="38">#REF!</definedName>
    <definedName name="ctrlname">#REF!</definedName>
    <definedName name="CustomArea" localSheetId="3">#REF!</definedName>
    <definedName name="CustomArea" localSheetId="7">#REF!</definedName>
    <definedName name="CustomArea" localSheetId="9">#REF!</definedName>
    <definedName name="CustomArea" localSheetId="10">#REF!</definedName>
    <definedName name="CustomArea" localSheetId="15">#REF!</definedName>
    <definedName name="CustomArea" localSheetId="19">#REF!</definedName>
    <definedName name="CustomArea" localSheetId="20">#REF!</definedName>
    <definedName name="CustomArea" localSheetId="24">#REF!</definedName>
    <definedName name="CustomArea" localSheetId="104">#REF!</definedName>
    <definedName name="CustomArea" localSheetId="65">#REF!</definedName>
    <definedName name="CustomArea" localSheetId="64">#REF!</definedName>
    <definedName name="CustomArea" localSheetId="77">#REF!</definedName>
    <definedName name="CustomArea" localSheetId="49">#REF!</definedName>
    <definedName name="CustomArea" localSheetId="40">#REF!</definedName>
    <definedName name="CustomArea" localSheetId="43">#REF!</definedName>
    <definedName name="CustomArea" localSheetId="13">#REF!</definedName>
    <definedName name="CustomArea" localSheetId="38">#REF!</definedName>
    <definedName name="CustomArea">#REF!</definedName>
    <definedName name="CUSTOMER" localSheetId="3">#REF!</definedName>
    <definedName name="CUSTOMER" localSheetId="7">#REF!</definedName>
    <definedName name="CUSTOMER" localSheetId="9">#REF!</definedName>
    <definedName name="CUSTOMER" localSheetId="10">#REF!</definedName>
    <definedName name="CUSTOMER" localSheetId="15">#REF!</definedName>
    <definedName name="CUSTOMER" localSheetId="19">#REF!</definedName>
    <definedName name="CUSTOMER" localSheetId="20">#REF!</definedName>
    <definedName name="CUSTOMER" localSheetId="24">#REF!</definedName>
    <definedName name="CUSTOMER" localSheetId="104">#REF!</definedName>
    <definedName name="CUSTOMER" localSheetId="65">#REF!</definedName>
    <definedName name="CUSTOMER" localSheetId="64">#REF!</definedName>
    <definedName name="CUSTOMER" localSheetId="77">#REF!</definedName>
    <definedName name="CUSTOMER" localSheetId="49">#REF!</definedName>
    <definedName name="CUSTOMER" localSheetId="40">#REF!</definedName>
    <definedName name="CUSTOMER" localSheetId="43">#REF!</definedName>
    <definedName name="CUSTOMER" localSheetId="13">#REF!</definedName>
    <definedName name="CUSTOMER" localSheetId="38">#REF!</definedName>
    <definedName name="CUSTOMER">#REF!</definedName>
    <definedName name="CVDEXOP1" localSheetId="3">#REF!</definedName>
    <definedName name="CVDEXOP1" localSheetId="7">#REF!</definedName>
    <definedName name="CVDEXOP1" localSheetId="9">#REF!</definedName>
    <definedName name="CVDEXOP1" localSheetId="10">#REF!</definedName>
    <definedName name="CVDEXOP1" localSheetId="15">#REF!</definedName>
    <definedName name="CVDEXOP1" localSheetId="19">#REF!</definedName>
    <definedName name="CVDEXOP1" localSheetId="20">#REF!</definedName>
    <definedName name="CVDEXOP1" localSheetId="24">#REF!</definedName>
    <definedName name="CVDEXOP1" localSheetId="104">#REF!</definedName>
    <definedName name="CVDEXOP1" localSheetId="65">#REF!</definedName>
    <definedName name="CVDEXOP1" localSheetId="64">#REF!</definedName>
    <definedName name="CVDEXOP1" localSheetId="77">#REF!</definedName>
    <definedName name="CVDEXOP1" localSheetId="49">#REF!</definedName>
    <definedName name="CVDEXOP1" localSheetId="40">#REF!</definedName>
    <definedName name="CVDEXOP1" localSheetId="43">#REF!</definedName>
    <definedName name="CVDEXOP1" localSheetId="13">#REF!</definedName>
    <definedName name="CVDEXOP1" localSheetId="38">#REF!</definedName>
    <definedName name="CVDEXOP1">#REF!</definedName>
    <definedName name="CVDEXOP2" localSheetId="3">#REF!</definedName>
    <definedName name="CVDEXOP2" localSheetId="7">#REF!</definedName>
    <definedName name="CVDEXOP2" localSheetId="9">#REF!</definedName>
    <definedName name="CVDEXOP2" localSheetId="10">#REF!</definedName>
    <definedName name="CVDEXOP2" localSheetId="15">#REF!</definedName>
    <definedName name="CVDEXOP2" localSheetId="19">#REF!</definedName>
    <definedName name="CVDEXOP2" localSheetId="20">#REF!</definedName>
    <definedName name="CVDEXOP2" localSheetId="24">#REF!</definedName>
    <definedName name="CVDEXOP2" localSheetId="104">#REF!</definedName>
    <definedName name="CVDEXOP2" localSheetId="65">#REF!</definedName>
    <definedName name="CVDEXOP2" localSheetId="64">#REF!</definedName>
    <definedName name="CVDEXOP2" localSheetId="77">#REF!</definedName>
    <definedName name="CVDEXOP2" localSheetId="49">#REF!</definedName>
    <definedName name="CVDEXOP2" localSheetId="40">#REF!</definedName>
    <definedName name="CVDEXOP2" localSheetId="43">#REF!</definedName>
    <definedName name="CVDEXOP2" localSheetId="13">#REF!</definedName>
    <definedName name="CVDEXOP2" localSheetId="38">#REF!</definedName>
    <definedName name="CVDEXOP2">#REF!</definedName>
    <definedName name="CVLEXOP1" localSheetId="3">#REF!</definedName>
    <definedName name="CVLEXOP1" localSheetId="7">#REF!</definedName>
    <definedName name="CVLEXOP1" localSheetId="9">#REF!</definedName>
    <definedName name="CVLEXOP1" localSheetId="10">#REF!</definedName>
    <definedName name="CVLEXOP1" localSheetId="15">#REF!</definedName>
    <definedName name="CVLEXOP1" localSheetId="19">#REF!</definedName>
    <definedName name="CVLEXOP1" localSheetId="20">#REF!</definedName>
    <definedName name="CVLEXOP1" localSheetId="24">#REF!</definedName>
    <definedName name="CVLEXOP1" localSheetId="104">#REF!</definedName>
    <definedName name="CVLEXOP1" localSheetId="65">#REF!</definedName>
    <definedName name="CVLEXOP1" localSheetId="64">#REF!</definedName>
    <definedName name="CVLEXOP1" localSheetId="77">#REF!</definedName>
    <definedName name="CVLEXOP1" localSheetId="49">#REF!</definedName>
    <definedName name="CVLEXOP1" localSheetId="40">#REF!</definedName>
    <definedName name="CVLEXOP1" localSheetId="43">#REF!</definedName>
    <definedName name="CVLEXOP1" localSheetId="13">#REF!</definedName>
    <definedName name="CVLEXOP1" localSheetId="38">#REF!</definedName>
    <definedName name="CVLEXOP1">#REF!</definedName>
    <definedName name="CVLEXOP2" localSheetId="3">#REF!</definedName>
    <definedName name="CVLEXOP2" localSheetId="7">#REF!</definedName>
    <definedName name="CVLEXOP2" localSheetId="9">#REF!</definedName>
    <definedName name="CVLEXOP2" localSheetId="10">#REF!</definedName>
    <definedName name="CVLEXOP2" localSheetId="15">#REF!</definedName>
    <definedName name="CVLEXOP2" localSheetId="19">#REF!</definedName>
    <definedName name="CVLEXOP2" localSheetId="20">#REF!</definedName>
    <definedName name="CVLEXOP2" localSheetId="24">#REF!</definedName>
    <definedName name="CVLEXOP2" localSheetId="104">#REF!</definedName>
    <definedName name="CVLEXOP2" localSheetId="65">#REF!</definedName>
    <definedName name="CVLEXOP2" localSheetId="64">#REF!</definedName>
    <definedName name="CVLEXOP2" localSheetId="77">#REF!</definedName>
    <definedName name="CVLEXOP2" localSheetId="49">#REF!</definedName>
    <definedName name="CVLEXOP2" localSheetId="40">#REF!</definedName>
    <definedName name="CVLEXOP2" localSheetId="43">#REF!</definedName>
    <definedName name="CVLEXOP2" localSheetId="13">#REF!</definedName>
    <definedName name="CVLEXOP2" localSheetId="38">#REF!</definedName>
    <definedName name="CVLEXOP2">#REF!</definedName>
    <definedName name="CVLOP1" localSheetId="3">#REF!</definedName>
    <definedName name="CVLOP1" localSheetId="7">#REF!</definedName>
    <definedName name="CVLOP1" localSheetId="9">#REF!</definedName>
    <definedName name="CVLOP1" localSheetId="10">#REF!</definedName>
    <definedName name="CVLOP1" localSheetId="15">#REF!</definedName>
    <definedName name="CVLOP1" localSheetId="19">#REF!</definedName>
    <definedName name="CVLOP1" localSheetId="20">#REF!</definedName>
    <definedName name="CVLOP1" localSheetId="24">#REF!</definedName>
    <definedName name="CVLOP1" localSheetId="104">#REF!</definedName>
    <definedName name="CVLOP1" localSheetId="65">#REF!</definedName>
    <definedName name="CVLOP1" localSheetId="64">#REF!</definedName>
    <definedName name="CVLOP1" localSheetId="77">#REF!</definedName>
    <definedName name="CVLOP1" localSheetId="49">#REF!</definedName>
    <definedName name="CVLOP1" localSheetId="40">#REF!</definedName>
    <definedName name="CVLOP1" localSheetId="43">#REF!</definedName>
    <definedName name="CVLOP1" localSheetId="13">#REF!</definedName>
    <definedName name="CVLOP1" localSheetId="38">#REF!</definedName>
    <definedName name="CVLOP1">#REF!</definedName>
    <definedName name="CVLOP10" localSheetId="3">#REF!</definedName>
    <definedName name="CVLOP10" localSheetId="7">#REF!</definedName>
    <definedName name="CVLOP10" localSheetId="9">#REF!</definedName>
    <definedName name="CVLOP10" localSheetId="10">#REF!</definedName>
    <definedName name="CVLOP10" localSheetId="15">#REF!</definedName>
    <definedName name="CVLOP10" localSheetId="19">#REF!</definedName>
    <definedName name="CVLOP10" localSheetId="20">#REF!</definedName>
    <definedName name="CVLOP10" localSheetId="24">#REF!</definedName>
    <definedName name="CVLOP10" localSheetId="104">#REF!</definedName>
    <definedName name="CVLOP10" localSheetId="65">#REF!</definedName>
    <definedName name="CVLOP10" localSheetId="64">#REF!</definedName>
    <definedName name="CVLOP10" localSheetId="77">#REF!</definedName>
    <definedName name="CVLOP10" localSheetId="49">#REF!</definedName>
    <definedName name="CVLOP10" localSheetId="40">#REF!</definedName>
    <definedName name="CVLOP10" localSheetId="43">#REF!</definedName>
    <definedName name="CVLOP10" localSheetId="13">#REF!</definedName>
    <definedName name="CVLOP10" localSheetId="38">#REF!</definedName>
    <definedName name="CVLOP10">#REF!</definedName>
    <definedName name="CVLOP11" localSheetId="3">#REF!</definedName>
    <definedName name="CVLOP11" localSheetId="7">#REF!</definedName>
    <definedName name="CVLOP11" localSheetId="9">#REF!</definedName>
    <definedName name="CVLOP11" localSheetId="10">#REF!</definedName>
    <definedName name="CVLOP11" localSheetId="15">#REF!</definedName>
    <definedName name="CVLOP11" localSheetId="19">#REF!</definedName>
    <definedName name="CVLOP11" localSheetId="20">#REF!</definedName>
    <definedName name="CVLOP11" localSheetId="24">#REF!</definedName>
    <definedName name="CVLOP11" localSheetId="104">#REF!</definedName>
    <definedName name="CVLOP11" localSheetId="65">#REF!</definedName>
    <definedName name="CVLOP11" localSheetId="64">#REF!</definedName>
    <definedName name="CVLOP11" localSheetId="77">#REF!</definedName>
    <definedName name="CVLOP11" localSheetId="49">#REF!</definedName>
    <definedName name="CVLOP11" localSheetId="40">#REF!</definedName>
    <definedName name="CVLOP11" localSheetId="43">#REF!</definedName>
    <definedName name="CVLOP11" localSheetId="13">#REF!</definedName>
    <definedName name="CVLOP11" localSheetId="38">#REF!</definedName>
    <definedName name="CVLOP11">#REF!</definedName>
    <definedName name="CVLOP12" localSheetId="3">#REF!</definedName>
    <definedName name="CVLOP12" localSheetId="7">#REF!</definedName>
    <definedName name="CVLOP12" localSheetId="9">#REF!</definedName>
    <definedName name="CVLOP12" localSheetId="10">#REF!</definedName>
    <definedName name="CVLOP12" localSheetId="15">#REF!</definedName>
    <definedName name="CVLOP12" localSheetId="19">#REF!</definedName>
    <definedName name="CVLOP12" localSheetId="20">#REF!</definedName>
    <definedName name="CVLOP12" localSheetId="24">#REF!</definedName>
    <definedName name="CVLOP12" localSheetId="104">#REF!</definedName>
    <definedName name="CVLOP12" localSheetId="65">#REF!</definedName>
    <definedName name="CVLOP12" localSheetId="64">#REF!</definedName>
    <definedName name="CVLOP12" localSheetId="77">#REF!</definedName>
    <definedName name="CVLOP12" localSheetId="49">#REF!</definedName>
    <definedName name="CVLOP12" localSheetId="40">#REF!</definedName>
    <definedName name="CVLOP12" localSheetId="43">#REF!</definedName>
    <definedName name="CVLOP12" localSheetId="13">#REF!</definedName>
    <definedName name="CVLOP12" localSheetId="38">#REF!</definedName>
    <definedName name="CVLOP12">#REF!</definedName>
    <definedName name="CVLOP13" localSheetId="3">#REF!</definedName>
    <definedName name="CVLOP13" localSheetId="7">#REF!</definedName>
    <definedName name="CVLOP13" localSheetId="9">#REF!</definedName>
    <definedName name="CVLOP13" localSheetId="10">#REF!</definedName>
    <definedName name="CVLOP13" localSheetId="15">#REF!</definedName>
    <definedName name="CVLOP13" localSheetId="19">#REF!</definedName>
    <definedName name="CVLOP13" localSheetId="20">#REF!</definedName>
    <definedName name="CVLOP13" localSheetId="24">#REF!</definedName>
    <definedName name="CVLOP13" localSheetId="104">#REF!</definedName>
    <definedName name="CVLOP13" localSheetId="65">#REF!</definedName>
    <definedName name="CVLOP13" localSheetId="64">#REF!</definedName>
    <definedName name="CVLOP13" localSheetId="77">#REF!</definedName>
    <definedName name="CVLOP13" localSheetId="49">#REF!</definedName>
    <definedName name="CVLOP13" localSheetId="40">#REF!</definedName>
    <definedName name="CVLOP13" localSheetId="43">#REF!</definedName>
    <definedName name="CVLOP13" localSheetId="13">#REF!</definedName>
    <definedName name="CVLOP13" localSheetId="38">#REF!</definedName>
    <definedName name="CVLOP13">#REF!</definedName>
    <definedName name="CVLOP14" localSheetId="3">#REF!</definedName>
    <definedName name="CVLOP14" localSheetId="7">#REF!</definedName>
    <definedName name="CVLOP14" localSheetId="9">#REF!</definedName>
    <definedName name="CVLOP14" localSheetId="10">#REF!</definedName>
    <definedName name="CVLOP14" localSheetId="15">#REF!</definedName>
    <definedName name="CVLOP14" localSheetId="19">#REF!</definedName>
    <definedName name="CVLOP14" localSheetId="20">#REF!</definedName>
    <definedName name="CVLOP14" localSheetId="24">#REF!</definedName>
    <definedName name="CVLOP14" localSheetId="104">#REF!</definedName>
    <definedName name="CVLOP14" localSheetId="65">#REF!</definedName>
    <definedName name="CVLOP14" localSheetId="64">#REF!</definedName>
    <definedName name="CVLOP14" localSheetId="77">#REF!</definedName>
    <definedName name="CVLOP14" localSheetId="49">#REF!</definedName>
    <definedName name="CVLOP14" localSheetId="40">#REF!</definedName>
    <definedName name="CVLOP14" localSheetId="43">#REF!</definedName>
    <definedName name="CVLOP14" localSheetId="13">#REF!</definedName>
    <definedName name="CVLOP14" localSheetId="38">#REF!</definedName>
    <definedName name="CVLOP14">#REF!</definedName>
    <definedName name="CVLOP15" localSheetId="3">#REF!</definedName>
    <definedName name="CVLOP15" localSheetId="7">#REF!</definedName>
    <definedName name="CVLOP15" localSheetId="9">#REF!</definedName>
    <definedName name="CVLOP15" localSheetId="10">#REF!</definedName>
    <definedName name="CVLOP15" localSheetId="15">#REF!</definedName>
    <definedName name="CVLOP15" localSheetId="19">#REF!</definedName>
    <definedName name="CVLOP15" localSheetId="20">#REF!</definedName>
    <definedName name="CVLOP15" localSheetId="24">#REF!</definedName>
    <definedName name="CVLOP15" localSheetId="104">#REF!</definedName>
    <definedName name="CVLOP15" localSheetId="65">#REF!</definedName>
    <definedName name="CVLOP15" localSheetId="64">#REF!</definedName>
    <definedName name="CVLOP15" localSheetId="77">#REF!</definedName>
    <definedName name="CVLOP15" localSheetId="49">#REF!</definedName>
    <definedName name="CVLOP15" localSheetId="40">#REF!</definedName>
    <definedName name="CVLOP15" localSheetId="43">#REF!</definedName>
    <definedName name="CVLOP15" localSheetId="13">#REF!</definedName>
    <definedName name="CVLOP15" localSheetId="38">#REF!</definedName>
    <definedName name="CVLOP15">#REF!</definedName>
    <definedName name="CVLOP2" localSheetId="3">#REF!</definedName>
    <definedName name="CVLOP2" localSheetId="7">#REF!</definedName>
    <definedName name="CVLOP2" localSheetId="9">#REF!</definedName>
    <definedName name="CVLOP2" localSheetId="10">#REF!</definedName>
    <definedName name="CVLOP2" localSheetId="15">#REF!</definedName>
    <definedName name="CVLOP2" localSheetId="19">#REF!</definedName>
    <definedName name="CVLOP2" localSheetId="20">#REF!</definedName>
    <definedName name="CVLOP2" localSheetId="24">#REF!</definedName>
    <definedName name="CVLOP2" localSheetId="104">#REF!</definedName>
    <definedName name="CVLOP2" localSheetId="65">#REF!</definedName>
    <definedName name="CVLOP2" localSheetId="64">#REF!</definedName>
    <definedName name="CVLOP2" localSheetId="77">#REF!</definedName>
    <definedName name="CVLOP2" localSheetId="49">#REF!</definedName>
    <definedName name="CVLOP2" localSheetId="40">#REF!</definedName>
    <definedName name="CVLOP2" localSheetId="43">#REF!</definedName>
    <definedName name="CVLOP2" localSheetId="13">#REF!</definedName>
    <definedName name="CVLOP2" localSheetId="38">#REF!</definedName>
    <definedName name="CVLOP2">#REF!</definedName>
    <definedName name="CVLOP3" localSheetId="3">#REF!</definedName>
    <definedName name="CVLOP3" localSheetId="7">#REF!</definedName>
    <definedName name="CVLOP3" localSheetId="9">#REF!</definedName>
    <definedName name="CVLOP3" localSheetId="10">#REF!</definedName>
    <definedName name="CVLOP3" localSheetId="15">#REF!</definedName>
    <definedName name="CVLOP3" localSheetId="19">#REF!</definedName>
    <definedName name="CVLOP3" localSheetId="20">#REF!</definedName>
    <definedName name="CVLOP3" localSheetId="24">#REF!</definedName>
    <definedName name="CVLOP3" localSheetId="104">#REF!</definedName>
    <definedName name="CVLOP3" localSheetId="65">#REF!</definedName>
    <definedName name="CVLOP3" localSheetId="64">#REF!</definedName>
    <definedName name="CVLOP3" localSheetId="77">#REF!</definedName>
    <definedName name="CVLOP3" localSheetId="49">#REF!</definedName>
    <definedName name="CVLOP3" localSheetId="40">#REF!</definedName>
    <definedName name="CVLOP3" localSheetId="43">#REF!</definedName>
    <definedName name="CVLOP3" localSheetId="13">#REF!</definedName>
    <definedName name="CVLOP3" localSheetId="38">#REF!</definedName>
    <definedName name="CVLOP3">#REF!</definedName>
    <definedName name="CVLOP4" localSheetId="3">#REF!</definedName>
    <definedName name="CVLOP4" localSheetId="7">#REF!</definedName>
    <definedName name="CVLOP4" localSheetId="9">#REF!</definedName>
    <definedName name="CVLOP4" localSheetId="10">#REF!</definedName>
    <definedName name="CVLOP4" localSheetId="15">#REF!</definedName>
    <definedName name="CVLOP4" localSheetId="19">#REF!</definedName>
    <definedName name="CVLOP4" localSheetId="20">#REF!</definedName>
    <definedName name="CVLOP4" localSheetId="24">#REF!</definedName>
    <definedName name="CVLOP4" localSheetId="104">#REF!</definedName>
    <definedName name="CVLOP4" localSheetId="65">#REF!</definedName>
    <definedName name="CVLOP4" localSheetId="64">#REF!</definedName>
    <definedName name="CVLOP4" localSheetId="77">#REF!</definedName>
    <definedName name="CVLOP4" localSheetId="49">#REF!</definedName>
    <definedName name="CVLOP4" localSheetId="40">#REF!</definedName>
    <definedName name="CVLOP4" localSheetId="43">#REF!</definedName>
    <definedName name="CVLOP4" localSheetId="13">#REF!</definedName>
    <definedName name="CVLOP4" localSheetId="38">#REF!</definedName>
    <definedName name="CVLOP4">#REF!</definedName>
    <definedName name="CVLOP5" localSheetId="3">#REF!</definedName>
    <definedName name="CVLOP5" localSheetId="7">#REF!</definedName>
    <definedName name="CVLOP5" localSheetId="9">#REF!</definedName>
    <definedName name="CVLOP5" localSheetId="10">#REF!</definedName>
    <definedName name="CVLOP5" localSheetId="15">#REF!</definedName>
    <definedName name="CVLOP5" localSheetId="19">#REF!</definedName>
    <definedName name="CVLOP5" localSheetId="20">#REF!</definedName>
    <definedName name="CVLOP5" localSheetId="24">#REF!</definedName>
    <definedName name="CVLOP5" localSheetId="104">#REF!</definedName>
    <definedName name="CVLOP5" localSheetId="65">#REF!</definedName>
    <definedName name="CVLOP5" localSheetId="64">#REF!</definedName>
    <definedName name="CVLOP5" localSheetId="77">#REF!</definedName>
    <definedName name="CVLOP5" localSheetId="49">#REF!</definedName>
    <definedName name="CVLOP5" localSheetId="40">#REF!</definedName>
    <definedName name="CVLOP5" localSheetId="43">#REF!</definedName>
    <definedName name="CVLOP5" localSheetId="13">#REF!</definedName>
    <definedName name="CVLOP5" localSheetId="38">#REF!</definedName>
    <definedName name="CVLOP5">#REF!</definedName>
    <definedName name="CVLOP6" localSheetId="3">#REF!</definedName>
    <definedName name="CVLOP6" localSheetId="7">#REF!</definedName>
    <definedName name="CVLOP6" localSheetId="9">#REF!</definedName>
    <definedName name="CVLOP6" localSheetId="10">#REF!</definedName>
    <definedName name="CVLOP6" localSheetId="15">#REF!</definedName>
    <definedName name="CVLOP6" localSheetId="19">#REF!</definedName>
    <definedName name="CVLOP6" localSheetId="20">#REF!</definedName>
    <definedName name="CVLOP6" localSheetId="24">#REF!</definedName>
    <definedName name="CVLOP6" localSheetId="104">#REF!</definedName>
    <definedName name="CVLOP6" localSheetId="65">#REF!</definedName>
    <definedName name="CVLOP6" localSheetId="64">#REF!</definedName>
    <definedName name="CVLOP6" localSheetId="77">#REF!</definedName>
    <definedName name="CVLOP6" localSheetId="49">#REF!</definedName>
    <definedName name="CVLOP6" localSheetId="40">#REF!</definedName>
    <definedName name="CVLOP6" localSheetId="43">#REF!</definedName>
    <definedName name="CVLOP6" localSheetId="13">#REF!</definedName>
    <definedName name="CVLOP6" localSheetId="38">#REF!</definedName>
    <definedName name="CVLOP6">#REF!</definedName>
    <definedName name="CVLOP7" localSheetId="3">#REF!</definedName>
    <definedName name="CVLOP7" localSheetId="7">#REF!</definedName>
    <definedName name="CVLOP7" localSheetId="9">#REF!</definedName>
    <definedName name="CVLOP7" localSheetId="10">#REF!</definedName>
    <definedName name="CVLOP7" localSheetId="15">#REF!</definedName>
    <definedName name="CVLOP7" localSheetId="19">#REF!</definedName>
    <definedName name="CVLOP7" localSheetId="20">#REF!</definedName>
    <definedName name="CVLOP7" localSheetId="24">#REF!</definedName>
    <definedName name="CVLOP7" localSheetId="104">#REF!</definedName>
    <definedName name="CVLOP7" localSheetId="65">#REF!</definedName>
    <definedName name="CVLOP7" localSheetId="64">#REF!</definedName>
    <definedName name="CVLOP7" localSheetId="77">#REF!</definedName>
    <definedName name="CVLOP7" localSheetId="49">#REF!</definedName>
    <definedName name="CVLOP7" localSheetId="40">#REF!</definedName>
    <definedName name="CVLOP7" localSheetId="43">#REF!</definedName>
    <definedName name="CVLOP7" localSheetId="13">#REF!</definedName>
    <definedName name="CVLOP7" localSheetId="38">#REF!</definedName>
    <definedName name="CVLOP7">#REF!</definedName>
    <definedName name="CVLOP8" localSheetId="3">#REF!</definedName>
    <definedName name="CVLOP8" localSheetId="7">#REF!</definedName>
    <definedName name="CVLOP8" localSheetId="9">#REF!</definedName>
    <definedName name="CVLOP8" localSheetId="10">#REF!</definedName>
    <definedName name="CVLOP8" localSheetId="15">#REF!</definedName>
    <definedName name="CVLOP8" localSheetId="19">#REF!</definedName>
    <definedName name="CVLOP8" localSheetId="20">#REF!</definedName>
    <definedName name="CVLOP8" localSheetId="24">#REF!</definedName>
    <definedName name="CVLOP8" localSheetId="104">#REF!</definedName>
    <definedName name="CVLOP8" localSheetId="65">#REF!</definedName>
    <definedName name="CVLOP8" localSheetId="64">#REF!</definedName>
    <definedName name="CVLOP8" localSheetId="77">#REF!</definedName>
    <definedName name="CVLOP8" localSheetId="49">#REF!</definedName>
    <definedName name="CVLOP8" localSheetId="40">#REF!</definedName>
    <definedName name="CVLOP8" localSheetId="43">#REF!</definedName>
    <definedName name="CVLOP8" localSheetId="13">#REF!</definedName>
    <definedName name="CVLOP8" localSheetId="38">#REF!</definedName>
    <definedName name="CVLOP8">#REF!</definedName>
    <definedName name="CVLOP9" localSheetId="3">#REF!</definedName>
    <definedName name="CVLOP9" localSheetId="7">#REF!</definedName>
    <definedName name="CVLOP9" localSheetId="9">#REF!</definedName>
    <definedName name="CVLOP9" localSheetId="10">#REF!</definedName>
    <definedName name="CVLOP9" localSheetId="15">#REF!</definedName>
    <definedName name="CVLOP9" localSheetId="19">#REF!</definedName>
    <definedName name="CVLOP9" localSheetId="20">#REF!</definedName>
    <definedName name="CVLOP9" localSheetId="24">#REF!</definedName>
    <definedName name="CVLOP9" localSheetId="104">#REF!</definedName>
    <definedName name="CVLOP9" localSheetId="65">#REF!</definedName>
    <definedName name="CVLOP9" localSheetId="64">#REF!</definedName>
    <definedName name="CVLOP9" localSheetId="77">#REF!</definedName>
    <definedName name="CVLOP9" localSheetId="49">#REF!</definedName>
    <definedName name="CVLOP9" localSheetId="40">#REF!</definedName>
    <definedName name="CVLOP9" localSheetId="43">#REF!</definedName>
    <definedName name="CVLOP9" localSheetId="13">#REF!</definedName>
    <definedName name="CVLOP9" localSheetId="38">#REF!</definedName>
    <definedName name="CVLOP9">#REF!</definedName>
    <definedName name="CVSEXOP1" localSheetId="3">#REF!</definedName>
    <definedName name="CVSEXOP1" localSheetId="7">#REF!</definedName>
    <definedName name="CVSEXOP1" localSheetId="9">#REF!</definedName>
    <definedName name="CVSEXOP1" localSheetId="10">#REF!</definedName>
    <definedName name="CVSEXOP1" localSheetId="15">#REF!</definedName>
    <definedName name="CVSEXOP1" localSheetId="19">#REF!</definedName>
    <definedName name="CVSEXOP1" localSheetId="20">#REF!</definedName>
    <definedName name="CVSEXOP1" localSheetId="24">#REF!</definedName>
    <definedName name="CVSEXOP1" localSheetId="104">#REF!</definedName>
    <definedName name="CVSEXOP1" localSheetId="65">#REF!</definedName>
    <definedName name="CVSEXOP1" localSheetId="64">#REF!</definedName>
    <definedName name="CVSEXOP1" localSheetId="77">#REF!</definedName>
    <definedName name="CVSEXOP1" localSheetId="49">#REF!</definedName>
    <definedName name="CVSEXOP1" localSheetId="40">#REF!</definedName>
    <definedName name="CVSEXOP1" localSheetId="43">#REF!</definedName>
    <definedName name="CVSEXOP1" localSheetId="13">#REF!</definedName>
    <definedName name="CVSEXOP1" localSheetId="38">#REF!</definedName>
    <definedName name="CVSEXOP1">#REF!</definedName>
    <definedName name="CVSEXOP2" localSheetId="3">#REF!</definedName>
    <definedName name="CVSEXOP2" localSheetId="7">#REF!</definedName>
    <definedName name="CVSEXOP2" localSheetId="9">#REF!</definedName>
    <definedName name="CVSEXOP2" localSheetId="10">#REF!</definedName>
    <definedName name="CVSEXOP2" localSheetId="15">#REF!</definedName>
    <definedName name="CVSEXOP2" localSheetId="19">#REF!</definedName>
    <definedName name="CVSEXOP2" localSheetId="20">#REF!</definedName>
    <definedName name="CVSEXOP2" localSheetId="24">#REF!</definedName>
    <definedName name="CVSEXOP2" localSheetId="104">#REF!</definedName>
    <definedName name="CVSEXOP2" localSheetId="65">#REF!</definedName>
    <definedName name="CVSEXOP2" localSheetId="64">#REF!</definedName>
    <definedName name="CVSEXOP2" localSheetId="77">#REF!</definedName>
    <definedName name="CVSEXOP2" localSheetId="49">#REF!</definedName>
    <definedName name="CVSEXOP2" localSheetId="40">#REF!</definedName>
    <definedName name="CVSEXOP2" localSheetId="43">#REF!</definedName>
    <definedName name="CVSEXOP2" localSheetId="13">#REF!</definedName>
    <definedName name="CVSEXOP2" localSheetId="38">#REF!</definedName>
    <definedName name="CVSEXOP2">#REF!</definedName>
    <definedName name="CVSOP1" localSheetId="3">#REF!</definedName>
    <definedName name="CVSOP1" localSheetId="7">#REF!</definedName>
    <definedName name="CVSOP1" localSheetId="9">#REF!</definedName>
    <definedName name="CVSOP1" localSheetId="10">#REF!</definedName>
    <definedName name="CVSOP1" localSheetId="15">#REF!</definedName>
    <definedName name="CVSOP1" localSheetId="19">#REF!</definedName>
    <definedName name="CVSOP1" localSheetId="20">#REF!</definedName>
    <definedName name="CVSOP1" localSheetId="24">#REF!</definedName>
    <definedName name="CVSOP1" localSheetId="104">#REF!</definedName>
    <definedName name="CVSOP1" localSheetId="65">#REF!</definedName>
    <definedName name="CVSOP1" localSheetId="64">#REF!</definedName>
    <definedName name="CVSOP1" localSheetId="77">#REF!</definedName>
    <definedName name="CVSOP1" localSheetId="49">#REF!</definedName>
    <definedName name="CVSOP1" localSheetId="40">#REF!</definedName>
    <definedName name="CVSOP1" localSheetId="43">#REF!</definedName>
    <definedName name="CVSOP1" localSheetId="13">#REF!</definedName>
    <definedName name="CVSOP1" localSheetId="38">#REF!</definedName>
    <definedName name="CVSOP1">#REF!</definedName>
    <definedName name="CVSOP10" localSheetId="3">#REF!</definedName>
    <definedName name="CVSOP10" localSheetId="7">#REF!</definedName>
    <definedName name="CVSOP10" localSheetId="9">#REF!</definedName>
    <definedName name="CVSOP10" localSheetId="10">#REF!</definedName>
    <definedName name="CVSOP10" localSheetId="15">#REF!</definedName>
    <definedName name="CVSOP10" localSheetId="19">#REF!</definedName>
    <definedName name="CVSOP10" localSheetId="20">#REF!</definedName>
    <definedName name="CVSOP10" localSheetId="24">#REF!</definedName>
    <definedName name="CVSOP10" localSheetId="104">#REF!</definedName>
    <definedName name="CVSOP10" localSheetId="65">#REF!</definedName>
    <definedName name="CVSOP10" localSheetId="64">#REF!</definedName>
    <definedName name="CVSOP10" localSheetId="77">#REF!</definedName>
    <definedName name="CVSOP10" localSheetId="49">#REF!</definedName>
    <definedName name="CVSOP10" localSheetId="40">#REF!</definedName>
    <definedName name="CVSOP10" localSheetId="43">#REF!</definedName>
    <definedName name="CVSOP10" localSheetId="13">#REF!</definedName>
    <definedName name="CVSOP10" localSheetId="38">#REF!</definedName>
    <definedName name="CVSOP10">#REF!</definedName>
    <definedName name="CVSOP11" localSheetId="3">#REF!</definedName>
    <definedName name="CVSOP11" localSheetId="7">#REF!</definedName>
    <definedName name="CVSOP11" localSheetId="9">#REF!</definedName>
    <definedName name="CVSOP11" localSheetId="10">#REF!</definedName>
    <definedName name="CVSOP11" localSheetId="15">#REF!</definedName>
    <definedName name="CVSOP11" localSheetId="19">#REF!</definedName>
    <definedName name="CVSOP11" localSheetId="20">#REF!</definedName>
    <definedName name="CVSOP11" localSheetId="24">#REF!</definedName>
    <definedName name="CVSOP11" localSheetId="104">#REF!</definedName>
    <definedName name="CVSOP11" localSheetId="65">#REF!</definedName>
    <definedName name="CVSOP11" localSheetId="64">#REF!</definedName>
    <definedName name="CVSOP11" localSheetId="77">#REF!</definedName>
    <definedName name="CVSOP11" localSheetId="49">#REF!</definedName>
    <definedName name="CVSOP11" localSheetId="40">#REF!</definedName>
    <definedName name="CVSOP11" localSheetId="43">#REF!</definedName>
    <definedName name="CVSOP11" localSheetId="13">#REF!</definedName>
    <definedName name="CVSOP11" localSheetId="38">#REF!</definedName>
    <definedName name="CVSOP11">#REF!</definedName>
    <definedName name="CVSOP12" localSheetId="3">#REF!</definedName>
    <definedName name="CVSOP12" localSheetId="7">#REF!</definedName>
    <definedName name="CVSOP12" localSheetId="9">#REF!</definedName>
    <definedName name="CVSOP12" localSheetId="10">#REF!</definedName>
    <definedName name="CVSOP12" localSheetId="15">#REF!</definedName>
    <definedName name="CVSOP12" localSheetId="19">#REF!</definedName>
    <definedName name="CVSOP12" localSheetId="20">#REF!</definedName>
    <definedName name="CVSOP12" localSheetId="24">#REF!</definedName>
    <definedName name="CVSOP12" localSheetId="104">#REF!</definedName>
    <definedName name="CVSOP12" localSheetId="65">#REF!</definedName>
    <definedName name="CVSOP12" localSheetId="64">#REF!</definedName>
    <definedName name="CVSOP12" localSheetId="77">#REF!</definedName>
    <definedName name="CVSOP12" localSheetId="49">#REF!</definedName>
    <definedName name="CVSOP12" localSheetId="40">#REF!</definedName>
    <definedName name="CVSOP12" localSheetId="43">#REF!</definedName>
    <definedName name="CVSOP12" localSheetId="13">#REF!</definedName>
    <definedName name="CVSOP12" localSheetId="38">#REF!</definedName>
    <definedName name="CVSOP12">#REF!</definedName>
    <definedName name="CVSOP13" localSheetId="3">#REF!</definedName>
    <definedName name="CVSOP13" localSheetId="7">#REF!</definedName>
    <definedName name="CVSOP13" localSheetId="9">#REF!</definedName>
    <definedName name="CVSOP13" localSheetId="10">#REF!</definedName>
    <definedName name="CVSOP13" localSheetId="15">#REF!</definedName>
    <definedName name="CVSOP13" localSheetId="19">#REF!</definedName>
    <definedName name="CVSOP13" localSheetId="20">#REF!</definedName>
    <definedName name="CVSOP13" localSheetId="24">#REF!</definedName>
    <definedName name="CVSOP13" localSheetId="104">#REF!</definedName>
    <definedName name="CVSOP13" localSheetId="65">#REF!</definedName>
    <definedName name="CVSOP13" localSheetId="64">#REF!</definedName>
    <definedName name="CVSOP13" localSheetId="77">#REF!</definedName>
    <definedName name="CVSOP13" localSheetId="49">#REF!</definedName>
    <definedName name="CVSOP13" localSheetId="40">#REF!</definedName>
    <definedName name="CVSOP13" localSheetId="43">#REF!</definedName>
    <definedName name="CVSOP13" localSheetId="13">#REF!</definedName>
    <definedName name="CVSOP13" localSheetId="38">#REF!</definedName>
    <definedName name="CVSOP13">#REF!</definedName>
    <definedName name="CVSOP14" localSheetId="3">#REF!</definedName>
    <definedName name="CVSOP14" localSheetId="7">#REF!</definedName>
    <definedName name="CVSOP14" localSheetId="9">#REF!</definedName>
    <definedName name="CVSOP14" localSheetId="10">#REF!</definedName>
    <definedName name="CVSOP14" localSheetId="15">#REF!</definedName>
    <definedName name="CVSOP14" localSheetId="19">#REF!</definedName>
    <definedName name="CVSOP14" localSheetId="20">#REF!</definedName>
    <definedName name="CVSOP14" localSheetId="24">#REF!</definedName>
    <definedName name="CVSOP14" localSheetId="104">#REF!</definedName>
    <definedName name="CVSOP14" localSheetId="65">#REF!</definedName>
    <definedName name="CVSOP14" localSheetId="64">#REF!</definedName>
    <definedName name="CVSOP14" localSheetId="77">#REF!</definedName>
    <definedName name="CVSOP14" localSheetId="49">#REF!</definedName>
    <definedName name="CVSOP14" localSheetId="40">#REF!</definedName>
    <definedName name="CVSOP14" localSheetId="43">#REF!</definedName>
    <definedName name="CVSOP14" localSheetId="13">#REF!</definedName>
    <definedName name="CVSOP14" localSheetId="38">#REF!</definedName>
    <definedName name="CVSOP14">#REF!</definedName>
    <definedName name="CVSOP15" localSheetId="3">#REF!</definedName>
    <definedName name="CVSOP15" localSheetId="7">#REF!</definedName>
    <definedName name="CVSOP15" localSheetId="9">#REF!</definedName>
    <definedName name="CVSOP15" localSheetId="10">#REF!</definedName>
    <definedName name="CVSOP15" localSheetId="15">#REF!</definedName>
    <definedName name="CVSOP15" localSheetId="19">#REF!</definedName>
    <definedName name="CVSOP15" localSheetId="20">#REF!</definedName>
    <definedName name="CVSOP15" localSheetId="24">#REF!</definedName>
    <definedName name="CVSOP15" localSheetId="104">#REF!</definedName>
    <definedName name="CVSOP15" localSheetId="65">#REF!</definedName>
    <definedName name="CVSOP15" localSheetId="64">#REF!</definedName>
    <definedName name="CVSOP15" localSheetId="77">#REF!</definedName>
    <definedName name="CVSOP15" localSheetId="49">#REF!</definedName>
    <definedName name="CVSOP15" localSheetId="40">#REF!</definedName>
    <definedName name="CVSOP15" localSheetId="43">#REF!</definedName>
    <definedName name="CVSOP15" localSheetId="13">#REF!</definedName>
    <definedName name="CVSOP15" localSheetId="38">#REF!</definedName>
    <definedName name="CVSOP15">#REF!</definedName>
    <definedName name="CVSOP2" localSheetId="3">#REF!</definedName>
    <definedName name="CVSOP2" localSheetId="7">#REF!</definedName>
    <definedName name="CVSOP2" localSheetId="9">#REF!</definedName>
    <definedName name="CVSOP2" localSheetId="10">#REF!</definedName>
    <definedName name="CVSOP2" localSheetId="15">#REF!</definedName>
    <definedName name="CVSOP2" localSheetId="19">#REF!</definedName>
    <definedName name="CVSOP2" localSheetId="20">#REF!</definedName>
    <definedName name="CVSOP2" localSheetId="24">#REF!</definedName>
    <definedName name="CVSOP2" localSheetId="104">#REF!</definedName>
    <definedName name="CVSOP2" localSheetId="65">#REF!</definedName>
    <definedName name="CVSOP2" localSheetId="64">#REF!</definedName>
    <definedName name="CVSOP2" localSheetId="77">#REF!</definedName>
    <definedName name="CVSOP2" localSheetId="49">#REF!</definedName>
    <definedName name="CVSOP2" localSheetId="40">#REF!</definedName>
    <definedName name="CVSOP2" localSheetId="43">#REF!</definedName>
    <definedName name="CVSOP2" localSheetId="13">#REF!</definedName>
    <definedName name="CVSOP2" localSheetId="38">#REF!</definedName>
    <definedName name="CVSOP2">#REF!</definedName>
    <definedName name="CVSOP3" localSheetId="3">#REF!</definedName>
    <definedName name="CVSOP3" localSheetId="7">#REF!</definedName>
    <definedName name="CVSOP3" localSheetId="9">#REF!</definedName>
    <definedName name="CVSOP3" localSheetId="10">#REF!</definedName>
    <definedName name="CVSOP3" localSheetId="15">#REF!</definedName>
    <definedName name="CVSOP3" localSheetId="19">#REF!</definedName>
    <definedName name="CVSOP3" localSheetId="20">#REF!</definedName>
    <definedName name="CVSOP3" localSheetId="24">#REF!</definedName>
    <definedName name="CVSOP3" localSheetId="104">#REF!</definedName>
    <definedName name="CVSOP3" localSheetId="65">#REF!</definedName>
    <definedName name="CVSOP3" localSheetId="64">#REF!</definedName>
    <definedName name="CVSOP3" localSheetId="77">#REF!</definedName>
    <definedName name="CVSOP3" localSheetId="49">#REF!</definedName>
    <definedName name="CVSOP3" localSheetId="40">#REF!</definedName>
    <definedName name="CVSOP3" localSheetId="43">#REF!</definedName>
    <definedName name="CVSOP3" localSheetId="13">#REF!</definedName>
    <definedName name="CVSOP3" localSheetId="38">#REF!</definedName>
    <definedName name="CVSOP3">#REF!</definedName>
    <definedName name="CVSOP4" localSheetId="3">#REF!</definedName>
    <definedName name="CVSOP4" localSheetId="7">#REF!</definedName>
    <definedName name="CVSOP4" localSheetId="9">#REF!</definedName>
    <definedName name="CVSOP4" localSheetId="10">#REF!</definedName>
    <definedName name="CVSOP4" localSheetId="15">#REF!</definedName>
    <definedName name="CVSOP4" localSheetId="19">#REF!</definedName>
    <definedName name="CVSOP4" localSheetId="20">#REF!</definedName>
    <definedName name="CVSOP4" localSheetId="24">#REF!</definedName>
    <definedName name="CVSOP4" localSheetId="104">#REF!</definedName>
    <definedName name="CVSOP4" localSheetId="65">#REF!</definedName>
    <definedName name="CVSOP4" localSheetId="64">#REF!</definedName>
    <definedName name="CVSOP4" localSheetId="77">#REF!</definedName>
    <definedName name="CVSOP4" localSheetId="49">#REF!</definedName>
    <definedName name="CVSOP4" localSheetId="40">#REF!</definedName>
    <definedName name="CVSOP4" localSheetId="43">#REF!</definedName>
    <definedName name="CVSOP4" localSheetId="13">#REF!</definedName>
    <definedName name="CVSOP4" localSheetId="38">#REF!</definedName>
    <definedName name="CVSOP4">#REF!</definedName>
    <definedName name="CVSOP5" localSheetId="3">#REF!</definedName>
    <definedName name="CVSOP5" localSheetId="7">#REF!</definedName>
    <definedName name="CVSOP5" localSheetId="9">#REF!</definedName>
    <definedName name="CVSOP5" localSheetId="10">#REF!</definedName>
    <definedName name="CVSOP5" localSheetId="15">#REF!</definedName>
    <definedName name="CVSOP5" localSheetId="19">#REF!</definedName>
    <definedName name="CVSOP5" localSheetId="20">#REF!</definedName>
    <definedName name="CVSOP5" localSheetId="24">#REF!</definedName>
    <definedName name="CVSOP5" localSheetId="104">#REF!</definedName>
    <definedName name="CVSOP5" localSheetId="65">#REF!</definedName>
    <definedName name="CVSOP5" localSheetId="64">#REF!</definedName>
    <definedName name="CVSOP5" localSheetId="77">#REF!</definedName>
    <definedName name="CVSOP5" localSheetId="49">#REF!</definedName>
    <definedName name="CVSOP5" localSheetId="40">#REF!</definedName>
    <definedName name="CVSOP5" localSheetId="43">#REF!</definedName>
    <definedName name="CVSOP5" localSheetId="13">#REF!</definedName>
    <definedName name="CVSOP5" localSheetId="38">#REF!</definedName>
    <definedName name="CVSOP5">#REF!</definedName>
    <definedName name="CVSOP6" localSheetId="3">#REF!</definedName>
    <definedName name="CVSOP6" localSheetId="7">#REF!</definedName>
    <definedName name="CVSOP6" localSheetId="9">#REF!</definedName>
    <definedName name="CVSOP6" localSheetId="10">#REF!</definedName>
    <definedName name="CVSOP6" localSheetId="15">#REF!</definedName>
    <definedName name="CVSOP6" localSheetId="19">#REF!</definedName>
    <definedName name="CVSOP6" localSheetId="20">#REF!</definedName>
    <definedName name="CVSOP6" localSheetId="24">#REF!</definedName>
    <definedName name="CVSOP6" localSheetId="104">#REF!</definedName>
    <definedName name="CVSOP6" localSheetId="65">#REF!</definedName>
    <definedName name="CVSOP6" localSheetId="64">#REF!</definedName>
    <definedName name="CVSOP6" localSheetId="77">#REF!</definedName>
    <definedName name="CVSOP6" localSheetId="49">#REF!</definedName>
    <definedName name="CVSOP6" localSheetId="40">#REF!</definedName>
    <definedName name="CVSOP6" localSheetId="43">#REF!</definedName>
    <definedName name="CVSOP6" localSheetId="13">#REF!</definedName>
    <definedName name="CVSOP6" localSheetId="38">#REF!</definedName>
    <definedName name="CVSOP6">#REF!</definedName>
    <definedName name="CVSOP7" localSheetId="3">#REF!</definedName>
    <definedName name="CVSOP7" localSheetId="7">#REF!</definedName>
    <definedName name="CVSOP7" localSheetId="9">#REF!</definedName>
    <definedName name="CVSOP7" localSheetId="10">#REF!</definedName>
    <definedName name="CVSOP7" localSheetId="15">#REF!</definedName>
    <definedName name="CVSOP7" localSheetId="19">#REF!</definedName>
    <definedName name="CVSOP7" localSheetId="20">#REF!</definedName>
    <definedName name="CVSOP7" localSheetId="24">#REF!</definedName>
    <definedName name="CVSOP7" localSheetId="104">#REF!</definedName>
    <definedName name="CVSOP7" localSheetId="65">#REF!</definedName>
    <definedName name="CVSOP7" localSheetId="64">#REF!</definedName>
    <definedName name="CVSOP7" localSheetId="77">#REF!</definedName>
    <definedName name="CVSOP7" localSheetId="49">#REF!</definedName>
    <definedName name="CVSOP7" localSheetId="40">#REF!</definedName>
    <definedName name="CVSOP7" localSheetId="43">#REF!</definedName>
    <definedName name="CVSOP7" localSheetId="13">#REF!</definedName>
    <definedName name="CVSOP7" localSheetId="38">#REF!</definedName>
    <definedName name="CVSOP7">#REF!</definedName>
    <definedName name="CVSOP8" localSheetId="3">#REF!</definedName>
    <definedName name="CVSOP8" localSheetId="7">#REF!</definedName>
    <definedName name="CVSOP8" localSheetId="9">#REF!</definedName>
    <definedName name="CVSOP8" localSheetId="10">#REF!</definedName>
    <definedName name="CVSOP8" localSheetId="15">#REF!</definedName>
    <definedName name="CVSOP8" localSheetId="19">#REF!</definedName>
    <definedName name="CVSOP8" localSheetId="20">#REF!</definedName>
    <definedName name="CVSOP8" localSheetId="24">#REF!</definedName>
    <definedName name="CVSOP8" localSheetId="104">#REF!</definedName>
    <definedName name="CVSOP8" localSheetId="65">#REF!</definedName>
    <definedName name="CVSOP8" localSheetId="64">#REF!</definedName>
    <definedName name="CVSOP8" localSheetId="77">#REF!</definedName>
    <definedName name="CVSOP8" localSheetId="49">#REF!</definedName>
    <definedName name="CVSOP8" localSheetId="40">#REF!</definedName>
    <definedName name="CVSOP8" localSheetId="43">#REF!</definedName>
    <definedName name="CVSOP8" localSheetId="13">#REF!</definedName>
    <definedName name="CVSOP8" localSheetId="38">#REF!</definedName>
    <definedName name="CVSOP8">#REF!</definedName>
    <definedName name="CVSOP9" localSheetId="3">#REF!</definedName>
    <definedName name="CVSOP9" localSheetId="7">#REF!</definedName>
    <definedName name="CVSOP9" localSheetId="9">#REF!</definedName>
    <definedName name="CVSOP9" localSheetId="10">#REF!</definedName>
    <definedName name="CVSOP9" localSheetId="15">#REF!</definedName>
    <definedName name="CVSOP9" localSheetId="19">#REF!</definedName>
    <definedName name="CVSOP9" localSheetId="20">#REF!</definedName>
    <definedName name="CVSOP9" localSheetId="24">#REF!</definedName>
    <definedName name="CVSOP9" localSheetId="104">#REF!</definedName>
    <definedName name="CVSOP9" localSheetId="65">#REF!</definedName>
    <definedName name="CVSOP9" localSheetId="64">#REF!</definedName>
    <definedName name="CVSOP9" localSheetId="77">#REF!</definedName>
    <definedName name="CVSOP9" localSheetId="49">#REF!</definedName>
    <definedName name="CVSOP9" localSheetId="40">#REF!</definedName>
    <definedName name="CVSOP9" localSheetId="43">#REF!</definedName>
    <definedName name="CVSOP9" localSheetId="13">#REF!</definedName>
    <definedName name="CVSOP9" localSheetId="38">#REF!</definedName>
    <definedName name="CVSOP9">#REF!</definedName>
    <definedName name="cycl1" localSheetId="3">#REF!</definedName>
    <definedName name="cycl1" localSheetId="7">#REF!</definedName>
    <definedName name="cycl1" localSheetId="9">#REF!</definedName>
    <definedName name="cycl1" localSheetId="10">#REF!</definedName>
    <definedName name="cycl1" localSheetId="15">#REF!</definedName>
    <definedName name="cycl1" localSheetId="19">#REF!</definedName>
    <definedName name="cycl1" localSheetId="20">#REF!</definedName>
    <definedName name="cycl1" localSheetId="24">#REF!</definedName>
    <definedName name="cycl1" localSheetId="104">#REF!</definedName>
    <definedName name="cycl1" localSheetId="65">#REF!</definedName>
    <definedName name="cycl1" localSheetId="64">#REF!</definedName>
    <definedName name="cycl1" localSheetId="77">#REF!</definedName>
    <definedName name="cycl1" localSheetId="49">#REF!</definedName>
    <definedName name="cycl1" localSheetId="40">#REF!</definedName>
    <definedName name="cycl1" localSheetId="43">#REF!</definedName>
    <definedName name="cycl1" localSheetId="13">#REF!</definedName>
    <definedName name="cycl1" localSheetId="38">#REF!</definedName>
    <definedName name="cycl1">#REF!</definedName>
    <definedName name="cycl2" localSheetId="3">#REF!</definedName>
    <definedName name="cycl2" localSheetId="7">#REF!</definedName>
    <definedName name="cycl2" localSheetId="9">#REF!</definedName>
    <definedName name="cycl2" localSheetId="10">#REF!</definedName>
    <definedName name="cycl2" localSheetId="15">#REF!</definedName>
    <definedName name="cycl2" localSheetId="19">#REF!</definedName>
    <definedName name="cycl2" localSheetId="20">#REF!</definedName>
    <definedName name="cycl2" localSheetId="24">#REF!</definedName>
    <definedName name="cycl2" localSheetId="104">#REF!</definedName>
    <definedName name="cycl2" localSheetId="65">#REF!</definedName>
    <definedName name="cycl2" localSheetId="64">#REF!</definedName>
    <definedName name="cycl2" localSheetId="77">#REF!</definedName>
    <definedName name="cycl2" localSheetId="49">#REF!</definedName>
    <definedName name="cycl2" localSheetId="40">#REF!</definedName>
    <definedName name="cycl2" localSheetId="43">#REF!</definedName>
    <definedName name="cycl2" localSheetId="13">#REF!</definedName>
    <definedName name="cycl2" localSheetId="38">#REF!</definedName>
    <definedName name="cycl2">#REF!</definedName>
    <definedName name="cycl3" localSheetId="3">#REF!</definedName>
    <definedName name="cycl3" localSheetId="7">#REF!</definedName>
    <definedName name="cycl3" localSheetId="9">#REF!</definedName>
    <definedName name="cycl3" localSheetId="10">#REF!</definedName>
    <definedName name="cycl3" localSheetId="15">#REF!</definedName>
    <definedName name="cycl3" localSheetId="19">#REF!</definedName>
    <definedName name="cycl3" localSheetId="20">#REF!</definedName>
    <definedName name="cycl3" localSheetId="24">#REF!</definedName>
    <definedName name="cycl3" localSheetId="104">#REF!</definedName>
    <definedName name="cycl3" localSheetId="65">#REF!</definedName>
    <definedName name="cycl3" localSheetId="64">#REF!</definedName>
    <definedName name="cycl3" localSheetId="77">#REF!</definedName>
    <definedName name="cycl3" localSheetId="49">#REF!</definedName>
    <definedName name="cycl3" localSheetId="40">#REF!</definedName>
    <definedName name="cycl3" localSheetId="43">#REF!</definedName>
    <definedName name="cycl3" localSheetId="13">#REF!</definedName>
    <definedName name="cycl3" localSheetId="38">#REF!</definedName>
    <definedName name="cycl3">#REF!</definedName>
    <definedName name="cycl4" localSheetId="3">#REF!</definedName>
    <definedName name="cycl4" localSheetId="7">#REF!</definedName>
    <definedName name="cycl4" localSheetId="9">#REF!</definedName>
    <definedName name="cycl4" localSheetId="10">#REF!</definedName>
    <definedName name="cycl4" localSheetId="15">#REF!</definedName>
    <definedName name="cycl4" localSheetId="19">#REF!</definedName>
    <definedName name="cycl4" localSheetId="20">#REF!</definedName>
    <definedName name="cycl4" localSheetId="24">#REF!</definedName>
    <definedName name="cycl4" localSheetId="104">#REF!</definedName>
    <definedName name="cycl4" localSheetId="65">#REF!</definedName>
    <definedName name="cycl4" localSheetId="64">#REF!</definedName>
    <definedName name="cycl4" localSheetId="77">#REF!</definedName>
    <definedName name="cycl4" localSheetId="49">#REF!</definedName>
    <definedName name="cycl4" localSheetId="40">#REF!</definedName>
    <definedName name="cycl4" localSheetId="43">#REF!</definedName>
    <definedName name="cycl4" localSheetId="13">#REF!</definedName>
    <definedName name="cycl4" localSheetId="38">#REF!</definedName>
    <definedName name="cycl4">#REF!</definedName>
    <definedName name="cycltot" localSheetId="3">#REF!</definedName>
    <definedName name="cycltot" localSheetId="7">#REF!</definedName>
    <definedName name="cycltot" localSheetId="9">#REF!</definedName>
    <definedName name="cycltot" localSheetId="10">#REF!</definedName>
    <definedName name="cycltot" localSheetId="15">#REF!</definedName>
    <definedName name="cycltot" localSheetId="19">#REF!</definedName>
    <definedName name="cycltot" localSheetId="20">#REF!</definedName>
    <definedName name="cycltot" localSheetId="24">#REF!</definedName>
    <definedName name="cycltot" localSheetId="104">#REF!</definedName>
    <definedName name="cycltot" localSheetId="65">#REF!</definedName>
    <definedName name="cycltot" localSheetId="64">#REF!</definedName>
    <definedName name="cycltot" localSheetId="77">#REF!</definedName>
    <definedName name="cycltot" localSheetId="49">#REF!</definedName>
    <definedName name="cycltot" localSheetId="40">#REF!</definedName>
    <definedName name="cycltot" localSheetId="43">#REF!</definedName>
    <definedName name="cycltot" localSheetId="13">#REF!</definedName>
    <definedName name="cycltot" localSheetId="38">#REF!</definedName>
    <definedName name="cycltot">#REF!</definedName>
    <definedName name="d" localSheetId="3">#REF!</definedName>
    <definedName name="d" localSheetId="7">#REF!</definedName>
    <definedName name="d" localSheetId="9">#REF!</definedName>
    <definedName name="d" localSheetId="10">#REF!</definedName>
    <definedName name="d" localSheetId="15">#REF!</definedName>
    <definedName name="d" localSheetId="19">#REF!</definedName>
    <definedName name="d" localSheetId="20">#REF!</definedName>
    <definedName name="d" localSheetId="24">#REF!</definedName>
    <definedName name="d" localSheetId="104">#REF!</definedName>
    <definedName name="d" localSheetId="65">#REF!</definedName>
    <definedName name="d" localSheetId="64">#REF!</definedName>
    <definedName name="d" localSheetId="77">#REF!</definedName>
    <definedName name="d" localSheetId="49">#REF!</definedName>
    <definedName name="d" localSheetId="40">#REF!</definedName>
    <definedName name="d" localSheetId="43">#REF!</definedName>
    <definedName name="d" localSheetId="13">#REF!</definedName>
    <definedName name="d" localSheetId="38">#REF!</definedName>
    <definedName name="d">#REF!</definedName>
    <definedName name="Data" localSheetId="3">#REF!</definedName>
    <definedName name="Data" localSheetId="7">#REF!</definedName>
    <definedName name="Data" localSheetId="9">#REF!</definedName>
    <definedName name="Data" localSheetId="10">#REF!</definedName>
    <definedName name="Data" localSheetId="15">#REF!</definedName>
    <definedName name="Data" localSheetId="19">#REF!</definedName>
    <definedName name="Data" localSheetId="20">#REF!</definedName>
    <definedName name="Data" localSheetId="24">#REF!</definedName>
    <definedName name="Data" localSheetId="104">#REF!</definedName>
    <definedName name="Data" localSheetId="65">#REF!</definedName>
    <definedName name="Data" localSheetId="64">#REF!</definedName>
    <definedName name="Data" localSheetId="77">#REF!</definedName>
    <definedName name="Data" localSheetId="49">#REF!</definedName>
    <definedName name="Data" localSheetId="40">#REF!</definedName>
    <definedName name="Data" localSheetId="43">#REF!</definedName>
    <definedName name="Data" localSheetId="13">#REF!</definedName>
    <definedName name="Data" localSheetId="38">#REF!</definedName>
    <definedName name="Data">#REF!</definedName>
    <definedName name="data1" localSheetId="3" hidden="1">#REF!</definedName>
    <definedName name="data1" localSheetId="7" hidden="1">#REF!</definedName>
    <definedName name="data1" localSheetId="9" hidden="1">#REF!</definedName>
    <definedName name="data1" localSheetId="10" hidden="1">#REF!</definedName>
    <definedName name="data1" localSheetId="15" hidden="1">#REF!</definedName>
    <definedName name="data1" localSheetId="18" hidden="1">#REF!</definedName>
    <definedName name="data1" localSheetId="19" hidden="1">#REF!</definedName>
    <definedName name="data1" localSheetId="20" hidden="1">#REF!</definedName>
    <definedName name="data1" localSheetId="23" hidden="1">#REF!</definedName>
    <definedName name="data1" localSheetId="24" hidden="1">#REF!</definedName>
    <definedName name="data1" localSheetId="35" hidden="1">#REF!</definedName>
    <definedName name="data1" localSheetId="58" hidden="1">#REF!</definedName>
    <definedName name="data1" localSheetId="60" hidden="1">#REF!</definedName>
    <definedName name="data1" localSheetId="51" hidden="1">#REF!</definedName>
    <definedName name="data1" localSheetId="54" hidden="1">#REF!</definedName>
    <definedName name="data1" localSheetId="47" hidden="1">#REF!</definedName>
    <definedName name="data1" localSheetId="105" hidden="1">#REF!</definedName>
    <definedName name="data1" localSheetId="104" hidden="1">#REF!</definedName>
    <definedName name="data1" localSheetId="88" hidden="1">#REF!</definedName>
    <definedName name="data1" localSheetId="89" hidden="1">#REF!</definedName>
    <definedName name="data1" localSheetId="87" hidden="1">#REF!</definedName>
    <definedName name="data1" localSheetId="90" hidden="1">#REF!</definedName>
    <definedName name="data1" localSheetId="70" hidden="1">#REF!</definedName>
    <definedName name="data1" localSheetId="63" hidden="1">#REF!</definedName>
    <definedName name="data1" localSheetId="65" hidden="1">#REF!</definedName>
    <definedName name="data1" localSheetId="64" hidden="1">#REF!</definedName>
    <definedName name="data1" localSheetId="77" hidden="1">#REF!</definedName>
    <definedName name="data1" localSheetId="49" hidden="1">#REF!</definedName>
    <definedName name="data1" localSheetId="48" hidden="1">#REF!</definedName>
    <definedName name="data1" localSheetId="57" hidden="1">#REF!</definedName>
    <definedName name="data1" localSheetId="59" hidden="1">#REF!</definedName>
    <definedName name="data1" localSheetId="52" hidden="1">#REF!</definedName>
    <definedName name="data1" localSheetId="67" hidden="1">#REF!</definedName>
    <definedName name="data1" localSheetId="80" hidden="1">#REF!</definedName>
    <definedName name="data1" localSheetId="40" hidden="1">#REF!</definedName>
    <definedName name="data1" localSheetId="43" hidden="1">#REF!</definedName>
    <definedName name="data1" localSheetId="55" hidden="1">#REF!</definedName>
    <definedName name="data1" localSheetId="81" hidden="1">#REF!</definedName>
    <definedName name="data1" localSheetId="53" hidden="1">#REF!</definedName>
    <definedName name="data1" localSheetId="13" hidden="1">#REF!</definedName>
    <definedName name="data1" localSheetId="11" hidden="1">#REF!</definedName>
    <definedName name="data1" localSheetId="38" hidden="1">#REF!</definedName>
    <definedName name="data1" localSheetId="41" hidden="1">#REF!</definedName>
    <definedName name="data1" localSheetId="101" hidden="1">#REF!</definedName>
    <definedName name="data1" localSheetId="102" hidden="1">#REF!</definedName>
    <definedName name="data1" localSheetId="103" hidden="1">#REF!</definedName>
    <definedName name="data1" localSheetId="97" hidden="1">#REF!</definedName>
    <definedName name="data1" localSheetId="42" hidden="1">#REF!</definedName>
    <definedName name="data1" localSheetId="12" hidden="1">#REF!</definedName>
    <definedName name="data1" localSheetId="73" hidden="1">#REF!</definedName>
    <definedName name="data1" localSheetId="74" hidden="1">#REF!</definedName>
    <definedName name="data1" hidden="1">#REF!</definedName>
    <definedName name="data2" localSheetId="3" hidden="1">#REF!</definedName>
    <definedName name="data2" localSheetId="7" hidden="1">#REF!</definedName>
    <definedName name="data2" localSheetId="9" hidden="1">#REF!</definedName>
    <definedName name="data2" localSheetId="10" hidden="1">#REF!</definedName>
    <definedName name="data2" localSheetId="15" hidden="1">#REF!</definedName>
    <definedName name="data2" localSheetId="18" hidden="1">#REF!</definedName>
    <definedName name="data2" localSheetId="19" hidden="1">#REF!</definedName>
    <definedName name="data2" localSheetId="20" hidden="1">#REF!</definedName>
    <definedName name="data2" localSheetId="23" hidden="1">#REF!</definedName>
    <definedName name="data2" localSheetId="24" hidden="1">#REF!</definedName>
    <definedName name="data2" localSheetId="35" hidden="1">#REF!</definedName>
    <definedName name="data2" localSheetId="58" hidden="1">#REF!</definedName>
    <definedName name="data2" localSheetId="60" hidden="1">#REF!</definedName>
    <definedName name="data2" localSheetId="51" hidden="1">#REF!</definedName>
    <definedName name="data2" localSheetId="54" hidden="1">#REF!</definedName>
    <definedName name="data2" localSheetId="47" hidden="1">#REF!</definedName>
    <definedName name="data2" localSheetId="105" hidden="1">#REF!</definedName>
    <definedName name="data2" localSheetId="104" hidden="1">#REF!</definedName>
    <definedName name="data2" localSheetId="88" hidden="1">#REF!</definedName>
    <definedName name="data2" localSheetId="89" hidden="1">#REF!</definedName>
    <definedName name="data2" localSheetId="87" hidden="1">#REF!</definedName>
    <definedName name="data2" localSheetId="90" hidden="1">#REF!</definedName>
    <definedName name="data2" localSheetId="70" hidden="1">#REF!</definedName>
    <definedName name="data2" localSheetId="63" hidden="1">#REF!</definedName>
    <definedName name="data2" localSheetId="65" hidden="1">#REF!</definedName>
    <definedName name="data2" localSheetId="64" hidden="1">#REF!</definedName>
    <definedName name="data2" localSheetId="77" hidden="1">#REF!</definedName>
    <definedName name="data2" localSheetId="49" hidden="1">#REF!</definedName>
    <definedName name="data2" localSheetId="48" hidden="1">#REF!</definedName>
    <definedName name="data2" localSheetId="57" hidden="1">#REF!</definedName>
    <definedName name="data2" localSheetId="59" hidden="1">#REF!</definedName>
    <definedName name="data2" localSheetId="52" hidden="1">#REF!</definedName>
    <definedName name="data2" localSheetId="67" hidden="1">#REF!</definedName>
    <definedName name="data2" localSheetId="80" hidden="1">#REF!</definedName>
    <definedName name="data2" localSheetId="40" hidden="1">#REF!</definedName>
    <definedName name="data2" localSheetId="43" hidden="1">#REF!</definedName>
    <definedName name="data2" localSheetId="55" hidden="1">#REF!</definedName>
    <definedName name="data2" localSheetId="81" hidden="1">#REF!</definedName>
    <definedName name="data2" localSheetId="53" hidden="1">#REF!</definedName>
    <definedName name="data2" localSheetId="13" hidden="1">#REF!</definedName>
    <definedName name="data2" localSheetId="11" hidden="1">#REF!</definedName>
    <definedName name="data2" localSheetId="38" hidden="1">#REF!</definedName>
    <definedName name="data2" localSheetId="41" hidden="1">#REF!</definedName>
    <definedName name="data2" localSheetId="101" hidden="1">#REF!</definedName>
    <definedName name="data2" localSheetId="102" hidden="1">#REF!</definedName>
    <definedName name="data2" localSheetId="103" hidden="1">#REF!</definedName>
    <definedName name="data2" localSheetId="97" hidden="1">#REF!</definedName>
    <definedName name="data2" localSheetId="42" hidden="1">#REF!</definedName>
    <definedName name="data2" localSheetId="12" hidden="1">#REF!</definedName>
    <definedName name="data2" localSheetId="73" hidden="1">#REF!</definedName>
    <definedName name="data2" localSheetId="74" hidden="1">#REF!</definedName>
    <definedName name="data2" hidden="1">#REF!</definedName>
    <definedName name="data3" localSheetId="3" hidden="1">#REF!</definedName>
    <definedName name="data3" localSheetId="7" hidden="1">#REF!</definedName>
    <definedName name="data3" localSheetId="9" hidden="1">#REF!</definedName>
    <definedName name="data3" localSheetId="10" hidden="1">#REF!</definedName>
    <definedName name="data3" localSheetId="15" hidden="1">#REF!</definedName>
    <definedName name="data3" localSheetId="18" hidden="1">#REF!</definedName>
    <definedName name="data3" localSheetId="19" hidden="1">#REF!</definedName>
    <definedName name="data3" localSheetId="20" hidden="1">#REF!</definedName>
    <definedName name="data3" localSheetId="23" hidden="1">#REF!</definedName>
    <definedName name="data3" localSheetId="24" hidden="1">#REF!</definedName>
    <definedName name="data3" localSheetId="35" hidden="1">#REF!</definedName>
    <definedName name="data3" localSheetId="58" hidden="1">#REF!</definedName>
    <definedName name="data3" localSheetId="60" hidden="1">#REF!</definedName>
    <definedName name="data3" localSheetId="51" hidden="1">#REF!</definedName>
    <definedName name="data3" localSheetId="54" hidden="1">#REF!</definedName>
    <definedName name="data3" localSheetId="47" hidden="1">#REF!</definedName>
    <definedName name="data3" localSheetId="105" hidden="1">#REF!</definedName>
    <definedName name="data3" localSheetId="104" hidden="1">#REF!</definedName>
    <definedName name="data3" localSheetId="88" hidden="1">#REF!</definedName>
    <definedName name="data3" localSheetId="89" hidden="1">#REF!</definedName>
    <definedName name="data3" localSheetId="87" hidden="1">#REF!</definedName>
    <definedName name="data3" localSheetId="90" hidden="1">#REF!</definedName>
    <definedName name="data3" localSheetId="70" hidden="1">#REF!</definedName>
    <definedName name="data3" localSheetId="63" hidden="1">#REF!</definedName>
    <definedName name="data3" localSheetId="65" hidden="1">#REF!</definedName>
    <definedName name="data3" localSheetId="64" hidden="1">#REF!</definedName>
    <definedName name="data3" localSheetId="77" hidden="1">#REF!</definedName>
    <definedName name="data3" localSheetId="49" hidden="1">#REF!</definedName>
    <definedName name="data3" localSheetId="48" hidden="1">#REF!</definedName>
    <definedName name="data3" localSheetId="57" hidden="1">#REF!</definedName>
    <definedName name="data3" localSheetId="59" hidden="1">#REF!</definedName>
    <definedName name="data3" localSheetId="52" hidden="1">#REF!</definedName>
    <definedName name="data3" localSheetId="67" hidden="1">#REF!</definedName>
    <definedName name="data3" localSheetId="80" hidden="1">#REF!</definedName>
    <definedName name="data3" localSheetId="40" hidden="1">#REF!</definedName>
    <definedName name="data3" localSheetId="43" hidden="1">#REF!</definedName>
    <definedName name="data3" localSheetId="55" hidden="1">#REF!</definedName>
    <definedName name="data3" localSheetId="81" hidden="1">#REF!</definedName>
    <definedName name="data3" localSheetId="53" hidden="1">#REF!</definedName>
    <definedName name="data3" localSheetId="13" hidden="1">#REF!</definedName>
    <definedName name="data3" localSheetId="11" hidden="1">#REF!</definedName>
    <definedName name="data3" localSheetId="38" hidden="1">#REF!</definedName>
    <definedName name="data3" localSheetId="41" hidden="1">#REF!</definedName>
    <definedName name="data3" localSheetId="101" hidden="1">#REF!</definedName>
    <definedName name="data3" localSheetId="102" hidden="1">#REF!</definedName>
    <definedName name="data3" localSheetId="103" hidden="1">#REF!</definedName>
    <definedName name="data3" localSheetId="97" hidden="1">#REF!</definedName>
    <definedName name="data3" localSheetId="42" hidden="1">#REF!</definedName>
    <definedName name="data3" localSheetId="12" hidden="1">#REF!</definedName>
    <definedName name="data3" localSheetId="73" hidden="1">#REF!</definedName>
    <definedName name="data3" localSheetId="74" hidden="1">#REF!</definedName>
    <definedName name="data3" hidden="1">#REF!</definedName>
    <definedName name="Dataa" localSheetId="3">#REF!</definedName>
    <definedName name="Dataa" localSheetId="7">#REF!</definedName>
    <definedName name="Dataa" localSheetId="9">#REF!</definedName>
    <definedName name="Dataa" localSheetId="10">#REF!</definedName>
    <definedName name="Dataa" localSheetId="15">#REF!</definedName>
    <definedName name="Dataa" localSheetId="19">#REF!</definedName>
    <definedName name="Dataa" localSheetId="20">#REF!</definedName>
    <definedName name="Dataa" localSheetId="24">#REF!</definedName>
    <definedName name="Dataa" localSheetId="104">#REF!</definedName>
    <definedName name="Dataa" localSheetId="65">#REF!</definedName>
    <definedName name="Dataa" localSheetId="64">#REF!</definedName>
    <definedName name="Dataa" localSheetId="77">#REF!</definedName>
    <definedName name="Dataa" localSheetId="49">#REF!</definedName>
    <definedName name="Dataa" localSheetId="40">#REF!</definedName>
    <definedName name="Dataa" localSheetId="43">#REF!</definedName>
    <definedName name="Dataa" localSheetId="13">#REF!</definedName>
    <definedName name="Dataa" localSheetId="38">#REF!</definedName>
    <definedName name="Dataa">#REF!</definedName>
    <definedName name="_xlnm.Database" localSheetId="3">#REF!</definedName>
    <definedName name="_xlnm.Database" localSheetId="7">#REF!</definedName>
    <definedName name="_xlnm.Database" localSheetId="9">#REF!</definedName>
    <definedName name="_xlnm.Database" localSheetId="10">#REF!</definedName>
    <definedName name="_xlnm.Database" localSheetId="15">#REF!</definedName>
    <definedName name="_xlnm.Database" localSheetId="19">#REF!</definedName>
    <definedName name="_xlnm.Database" localSheetId="20">#REF!</definedName>
    <definedName name="_xlnm.Database" localSheetId="24">#REF!</definedName>
    <definedName name="_xlnm.Database" localSheetId="104">#REF!</definedName>
    <definedName name="_xlnm.Database" localSheetId="65">#REF!</definedName>
    <definedName name="_xlnm.Database" localSheetId="64">#REF!</definedName>
    <definedName name="_xlnm.Database" localSheetId="77">#REF!</definedName>
    <definedName name="_xlnm.Database" localSheetId="49">#REF!</definedName>
    <definedName name="_xlnm.Database" localSheetId="40">#REF!</definedName>
    <definedName name="_xlnm.Database" localSheetId="43">#REF!</definedName>
    <definedName name="_xlnm.Database" localSheetId="13">#REF!</definedName>
    <definedName name="_xlnm.Database" localSheetId="38">#REF!</definedName>
    <definedName name="_xlnm.Database">#REF!</definedName>
    <definedName name="DATANEW" localSheetId="3">#REF!</definedName>
    <definedName name="DATANEW" localSheetId="7">#REF!</definedName>
    <definedName name="DATANEW" localSheetId="9">#REF!</definedName>
    <definedName name="DATANEW" localSheetId="10">#REF!</definedName>
    <definedName name="DATANEW" localSheetId="15">#REF!</definedName>
    <definedName name="DATANEW" localSheetId="19">#REF!</definedName>
    <definedName name="DATANEW" localSheetId="20">#REF!</definedName>
    <definedName name="DATANEW" localSheetId="24">#REF!</definedName>
    <definedName name="DATANEW" localSheetId="104">#REF!</definedName>
    <definedName name="DATANEW" localSheetId="65">#REF!</definedName>
    <definedName name="DATANEW" localSheetId="64">#REF!</definedName>
    <definedName name="DATANEW" localSheetId="77">#REF!</definedName>
    <definedName name="DATANEW" localSheetId="49">#REF!</definedName>
    <definedName name="DATANEW" localSheetId="40">#REF!</definedName>
    <definedName name="DATANEW" localSheetId="43">#REF!</definedName>
    <definedName name="DATANEW" localSheetId="13">#REF!</definedName>
    <definedName name="DATANEW" localSheetId="38">#REF!</definedName>
    <definedName name="DATANEW">#REF!</definedName>
    <definedName name="datastuff" localSheetId="3">#REF!</definedName>
    <definedName name="datastuff" localSheetId="7">#REF!</definedName>
    <definedName name="datastuff" localSheetId="9">#REF!</definedName>
    <definedName name="datastuff" localSheetId="10">#REF!</definedName>
    <definedName name="datastuff" localSheetId="15">#REF!</definedName>
    <definedName name="datastuff" localSheetId="19">#REF!</definedName>
    <definedName name="datastuff" localSheetId="20">#REF!</definedName>
    <definedName name="datastuff" localSheetId="24">#REF!</definedName>
    <definedName name="datastuff" localSheetId="104">#REF!</definedName>
    <definedName name="datastuff" localSheetId="65">#REF!</definedName>
    <definedName name="datastuff" localSheetId="64">#REF!</definedName>
    <definedName name="datastuff" localSheetId="77">#REF!</definedName>
    <definedName name="datastuff" localSheetId="49">#REF!</definedName>
    <definedName name="datastuff" localSheetId="40">#REF!</definedName>
    <definedName name="datastuff" localSheetId="43">#REF!</definedName>
    <definedName name="datastuff" localSheetId="13">#REF!</definedName>
    <definedName name="datastuff" localSheetId="38">#REF!</definedName>
    <definedName name="datastuff">#REF!</definedName>
    <definedName name="Date" localSheetId="3">[11]HTR201!#REF!</definedName>
    <definedName name="Date" localSheetId="7">[11]HTR201!#REF!</definedName>
    <definedName name="Date" localSheetId="9">[11]HTR201!#REF!</definedName>
    <definedName name="Date" localSheetId="10">[11]HTR201!#REF!</definedName>
    <definedName name="Date" localSheetId="15">[11]HTR201!#REF!</definedName>
    <definedName name="Date" localSheetId="19">[11]HTR201!#REF!</definedName>
    <definedName name="Date" localSheetId="20">[11]HTR201!#REF!</definedName>
    <definedName name="Date" localSheetId="24">[11]HTR201!#REF!</definedName>
    <definedName name="Date" localSheetId="104">[11]HTR201!#REF!</definedName>
    <definedName name="Date" localSheetId="65">[11]HTR201!#REF!</definedName>
    <definedName name="Date" localSheetId="64">[11]HTR201!#REF!</definedName>
    <definedName name="Date" localSheetId="77">[11]HTR201!#REF!</definedName>
    <definedName name="Date" localSheetId="49">[11]HTR201!#REF!</definedName>
    <definedName name="Date" localSheetId="40">[11]HTR201!#REF!</definedName>
    <definedName name="Date" localSheetId="43">[11]HTR201!#REF!</definedName>
    <definedName name="Date" localSheetId="13">[11]HTR201!#REF!</definedName>
    <definedName name="Date" localSheetId="38">[11]HTR201!#REF!</definedName>
    <definedName name="Date">[11]HTR201!#REF!</definedName>
    <definedName name="Days_in_Report" localSheetId="3">#REF!</definedName>
    <definedName name="Days_in_Report" localSheetId="7">#REF!</definedName>
    <definedName name="Days_in_Report" localSheetId="9">#REF!</definedName>
    <definedName name="Days_in_Report" localSheetId="10">#REF!</definedName>
    <definedName name="Days_in_Report" localSheetId="15">#REF!</definedName>
    <definedName name="Days_in_Report" localSheetId="19">#REF!</definedName>
    <definedName name="Days_in_Report" localSheetId="20">#REF!</definedName>
    <definedName name="Days_in_Report" localSheetId="24">#REF!</definedName>
    <definedName name="Days_in_Report" localSheetId="104">#REF!</definedName>
    <definedName name="Days_in_Report" localSheetId="65">#REF!</definedName>
    <definedName name="Days_in_Report" localSheetId="64">#REF!</definedName>
    <definedName name="Days_in_Report" localSheetId="77">#REF!</definedName>
    <definedName name="Days_in_Report" localSheetId="49">#REF!</definedName>
    <definedName name="Days_in_Report" localSheetId="40">#REF!</definedName>
    <definedName name="Days_in_Report" localSheetId="43">#REF!</definedName>
    <definedName name="Days_in_Report" localSheetId="13">#REF!</definedName>
    <definedName name="Days_in_Report" localSheetId="38">#REF!</definedName>
    <definedName name="Days_in_Report">#REF!</definedName>
    <definedName name="DaysPerYear" localSheetId="3">#REF!</definedName>
    <definedName name="DaysPerYear" localSheetId="7">#REF!</definedName>
    <definedName name="DaysPerYear" localSheetId="9">#REF!</definedName>
    <definedName name="DaysPerYear" localSheetId="10">#REF!</definedName>
    <definedName name="DaysPerYear" localSheetId="15">#REF!</definedName>
    <definedName name="DaysPerYear" localSheetId="19">#REF!</definedName>
    <definedName name="DaysPerYear" localSheetId="20">#REF!</definedName>
    <definedName name="DaysPerYear" localSheetId="24">#REF!</definedName>
    <definedName name="DaysPerYear" localSheetId="104">#REF!</definedName>
    <definedName name="DaysPerYear" localSheetId="65">#REF!</definedName>
    <definedName name="DaysPerYear" localSheetId="64">#REF!</definedName>
    <definedName name="DaysPerYear" localSheetId="77">#REF!</definedName>
    <definedName name="DaysPerYear" localSheetId="49">#REF!</definedName>
    <definedName name="DaysPerYear" localSheetId="40">#REF!</definedName>
    <definedName name="DaysPerYear" localSheetId="43">#REF!</definedName>
    <definedName name="DaysPerYear" localSheetId="13">#REF!</definedName>
    <definedName name="DaysPerYear" localSheetId="38">#REF!</definedName>
    <definedName name="DaysPerYear">#REF!</definedName>
    <definedName name="dd" localSheetId="105" hidden="1">{#N/A,#N/A,FALSE,"Rates";#N/A,#N/A,FALSE,"Summary";#N/A,#N/A,FALSE,"Boilers";#N/A,#N/A,FALSE,"Cyclones";#N/A,#N/A,FALSE,"Saws";#N/A,#N/A,FALSE,"Drops";#N/A,#N/A,FALSE,"Piles";#N/A,#N/A,FALSE,"Roads";#N/A,#N/A,FALSE,"Tanks";#N/A,#N/A,FALSE,"Kilns";#N/A,#N/A,FALSE,"Model"}</definedName>
    <definedName name="dd" localSheetId="96" hidden="1">{#N/A,#N/A,FALSE,"Rates";#N/A,#N/A,FALSE,"Summary";#N/A,#N/A,FALSE,"Boilers";#N/A,#N/A,FALSE,"Cyclones";#N/A,#N/A,FALSE,"Saws";#N/A,#N/A,FALSE,"Drops";#N/A,#N/A,FALSE,"Piles";#N/A,#N/A,FALSE,"Roads";#N/A,#N/A,FALSE,"Tanks";#N/A,#N/A,FALSE,"Kilns";#N/A,#N/A,FALSE,"Model"}</definedName>
    <definedName name="dd" localSheetId="44" hidden="1">{#N/A,#N/A,FALSE,"Rates";#N/A,#N/A,FALSE,"Summary";#N/A,#N/A,FALSE,"Boilers";#N/A,#N/A,FALSE,"Cyclones";#N/A,#N/A,FALSE,"Saws";#N/A,#N/A,FALSE,"Drops";#N/A,#N/A,FALSE,"Piles";#N/A,#N/A,FALSE,"Roads";#N/A,#N/A,FALSE,"Tanks";#N/A,#N/A,FALSE,"Kilns";#N/A,#N/A,FALSE,"Model"}</definedName>
    <definedName name="dd" hidden="1">{#N/A,#N/A,FALSE,"Rates";#N/A,#N/A,FALSE,"Summary";#N/A,#N/A,FALSE,"Boilers";#N/A,#N/A,FALSE,"Cyclones";#N/A,#N/A,FALSE,"Saws";#N/A,#N/A,FALSE,"Drops";#N/A,#N/A,FALSE,"Piles";#N/A,#N/A,FALSE,"Roads";#N/A,#N/A,FALSE,"Tanks";#N/A,#N/A,FALSE,"Kilns";#N/A,#N/A,FALSE,"Model"}</definedName>
    <definedName name="ddd" localSheetId="105" hidden="1">{#N/A,#N/A,FALSE,"Rates";#N/A,#N/A,FALSE,"Summary";#N/A,#N/A,FALSE,"Boilers";#N/A,#N/A,FALSE,"Cyclones";#N/A,#N/A,FALSE,"Saws";#N/A,#N/A,FALSE,"Drops";#N/A,#N/A,FALSE,"Piles";#N/A,#N/A,FALSE,"Roads";#N/A,#N/A,FALSE,"Tanks";#N/A,#N/A,FALSE,"Kilns";#N/A,#N/A,FALSE,"Model"}</definedName>
    <definedName name="ddd" localSheetId="96" hidden="1">{#N/A,#N/A,FALSE,"Rates";#N/A,#N/A,FALSE,"Summary";#N/A,#N/A,FALSE,"Boilers";#N/A,#N/A,FALSE,"Cyclones";#N/A,#N/A,FALSE,"Saws";#N/A,#N/A,FALSE,"Drops";#N/A,#N/A,FALSE,"Piles";#N/A,#N/A,FALSE,"Roads";#N/A,#N/A,FALSE,"Tanks";#N/A,#N/A,FALSE,"Kilns";#N/A,#N/A,FALSE,"Model"}</definedName>
    <definedName name="ddd" localSheetId="44" hidden="1">{#N/A,#N/A,FALSE,"Rates";#N/A,#N/A,FALSE,"Summary";#N/A,#N/A,FALSE,"Boilers";#N/A,#N/A,FALSE,"Cyclones";#N/A,#N/A,FALSE,"Saws";#N/A,#N/A,FALSE,"Drops";#N/A,#N/A,FALSE,"Piles";#N/A,#N/A,FALSE,"Roads";#N/A,#N/A,FALSE,"Tanks";#N/A,#N/A,FALSE,"Kilns";#N/A,#N/A,FALSE,"Model"}</definedName>
    <definedName name="ddd" hidden="1">{#N/A,#N/A,FALSE,"Rates";#N/A,#N/A,FALSE,"Summary";#N/A,#N/A,FALSE,"Boilers";#N/A,#N/A,FALSE,"Cyclones";#N/A,#N/A,FALSE,"Saws";#N/A,#N/A,FALSE,"Drops";#N/A,#N/A,FALSE,"Piles";#N/A,#N/A,FALSE,"Roads";#N/A,#N/A,FALSE,"Tanks";#N/A,#N/A,FALSE,"Kilns";#N/A,#N/A,FALSE,"Model"}</definedName>
    <definedName name="dddd" localSheetId="3">#REF!</definedName>
    <definedName name="dddd" localSheetId="7">#REF!</definedName>
    <definedName name="dddd" localSheetId="9">#REF!</definedName>
    <definedName name="dddd" localSheetId="10">#REF!</definedName>
    <definedName name="dddd" localSheetId="15">#REF!</definedName>
    <definedName name="dddd" localSheetId="19">#REF!</definedName>
    <definedName name="dddd" localSheetId="20">#REF!</definedName>
    <definedName name="dddd" localSheetId="24">#REF!</definedName>
    <definedName name="dddd" localSheetId="104">#REF!</definedName>
    <definedName name="dddd" localSheetId="65">#REF!</definedName>
    <definedName name="dddd" localSheetId="64">#REF!</definedName>
    <definedName name="dddd" localSheetId="77">#REF!</definedName>
    <definedName name="dddd" localSheetId="49">#REF!</definedName>
    <definedName name="dddd" localSheetId="40">#REF!</definedName>
    <definedName name="dddd" localSheetId="43">#REF!</definedName>
    <definedName name="dddd" localSheetId="13">#REF!</definedName>
    <definedName name="dddd" localSheetId="38">#REF!</definedName>
    <definedName name="dddd">#REF!</definedName>
    <definedName name="DDGS_HANDLING" localSheetId="3">#REF!</definedName>
    <definedName name="DDGS_HANDLING" localSheetId="7">#REF!</definedName>
    <definedName name="DDGS_HANDLING" localSheetId="9">#REF!</definedName>
    <definedName name="DDGS_HANDLING" localSheetId="10">#REF!</definedName>
    <definedName name="DDGS_HANDLING" localSheetId="15">#REF!</definedName>
    <definedName name="DDGS_HANDLING" localSheetId="19">#REF!</definedName>
    <definedName name="DDGS_HANDLING" localSheetId="20">#REF!</definedName>
    <definedName name="DDGS_HANDLING" localSheetId="24">#REF!</definedName>
    <definedName name="DDGS_HANDLING" localSheetId="104">#REF!</definedName>
    <definedName name="DDGS_HANDLING" localSheetId="65">#REF!</definedName>
    <definedName name="DDGS_HANDLING" localSheetId="64">#REF!</definedName>
    <definedName name="DDGS_HANDLING" localSheetId="77">#REF!</definedName>
    <definedName name="DDGS_HANDLING" localSheetId="49">#REF!</definedName>
    <definedName name="DDGS_HANDLING" localSheetId="48">#REF!</definedName>
    <definedName name="DDGS_HANDLING" localSheetId="40">#REF!</definedName>
    <definedName name="DDGS_HANDLING" localSheetId="43">#REF!</definedName>
    <definedName name="DDGS_HANDLING" localSheetId="13">#REF!</definedName>
    <definedName name="DDGS_HANDLING" localSheetId="38">#REF!</definedName>
    <definedName name="DDGS_HANDLING">#REF!</definedName>
    <definedName name="De" localSheetId="3">#REF!</definedName>
    <definedName name="De" localSheetId="7">#REF!</definedName>
    <definedName name="De" localSheetId="9">#REF!</definedName>
    <definedName name="De" localSheetId="10">#REF!</definedName>
    <definedName name="De" localSheetId="15">#REF!</definedName>
    <definedName name="De" localSheetId="19">#REF!</definedName>
    <definedName name="De" localSheetId="20">#REF!</definedName>
    <definedName name="De" localSheetId="24">#REF!</definedName>
    <definedName name="De" localSheetId="104">#REF!</definedName>
    <definedName name="De" localSheetId="65">#REF!</definedName>
    <definedName name="De" localSheetId="64">#REF!</definedName>
    <definedName name="De" localSheetId="77">#REF!</definedName>
    <definedName name="De" localSheetId="49">#REF!</definedName>
    <definedName name="De" localSheetId="40">#REF!</definedName>
    <definedName name="De" localSheetId="43">#REF!</definedName>
    <definedName name="De" localSheetId="13">#REF!</definedName>
    <definedName name="De" localSheetId="38">#REF!</definedName>
    <definedName name="De">#REF!</definedName>
    <definedName name="DEC" localSheetId="3">#REF!</definedName>
    <definedName name="DEC" localSheetId="7">#REF!</definedName>
    <definedName name="DEC" localSheetId="9">#REF!</definedName>
    <definedName name="DEC" localSheetId="10">#REF!</definedName>
    <definedName name="DEC" localSheetId="15">#REF!</definedName>
    <definedName name="DEC" localSheetId="19">#REF!</definedName>
    <definedName name="DEC" localSheetId="20">#REF!</definedName>
    <definedName name="DEC" localSheetId="24">#REF!</definedName>
    <definedName name="DEC" localSheetId="104">#REF!</definedName>
    <definedName name="DEC" localSheetId="65">#REF!</definedName>
    <definedName name="DEC" localSheetId="64">#REF!</definedName>
    <definedName name="DEC" localSheetId="77">#REF!</definedName>
    <definedName name="DEC" localSheetId="49">#REF!</definedName>
    <definedName name="DEC" localSheetId="40">#REF!</definedName>
    <definedName name="DEC" localSheetId="43">#REF!</definedName>
    <definedName name="DEC" localSheetId="13">#REF!</definedName>
    <definedName name="DEC" localSheetId="38">#REF!</definedName>
    <definedName name="DEC">#REF!</definedName>
    <definedName name="Decrepitation_Kiln" localSheetId="3">#REF!</definedName>
    <definedName name="Decrepitation_Kiln" localSheetId="7">#REF!</definedName>
    <definedName name="Decrepitation_Kiln" localSheetId="9">#REF!</definedName>
    <definedName name="Decrepitation_Kiln" localSheetId="10">#REF!</definedName>
    <definedName name="Decrepitation_Kiln" localSheetId="15">#REF!</definedName>
    <definedName name="Decrepitation_Kiln" localSheetId="19">#REF!</definedName>
    <definedName name="Decrepitation_Kiln" localSheetId="20">#REF!</definedName>
    <definedName name="Decrepitation_Kiln" localSheetId="24">#REF!</definedName>
    <definedName name="Decrepitation_Kiln" localSheetId="104">#REF!</definedName>
    <definedName name="Decrepitation_Kiln" localSheetId="65">#REF!</definedName>
    <definedName name="Decrepitation_Kiln" localSheetId="64">#REF!</definedName>
    <definedName name="Decrepitation_Kiln" localSheetId="77">#REF!</definedName>
    <definedName name="Decrepitation_Kiln" localSheetId="49">#REF!</definedName>
    <definedName name="Decrepitation_Kiln" localSheetId="40">#REF!</definedName>
    <definedName name="Decrepitation_Kiln" localSheetId="43">#REF!</definedName>
    <definedName name="Decrepitation_Kiln" localSheetId="13">#REF!</definedName>
    <definedName name="Decrepitation_Kiln" localSheetId="38">#REF!</definedName>
    <definedName name="Decrepitation_Kiln">#REF!</definedName>
    <definedName name="Deely1" localSheetId="3">#REF!</definedName>
    <definedName name="Deely1" localSheetId="7">#REF!</definedName>
    <definedName name="Deely1" localSheetId="9">#REF!</definedName>
    <definedName name="Deely1" localSheetId="10">#REF!</definedName>
    <definedName name="Deely1" localSheetId="15">#REF!</definedName>
    <definedName name="Deely1" localSheetId="19">#REF!</definedName>
    <definedName name="Deely1" localSheetId="20">#REF!</definedName>
    <definedName name="Deely1" localSheetId="24">#REF!</definedName>
    <definedName name="Deely1" localSheetId="104">#REF!</definedName>
    <definedName name="Deely1" localSheetId="65">#REF!</definedName>
    <definedName name="Deely1" localSheetId="64">#REF!</definedName>
    <definedName name="Deely1" localSheetId="77">#REF!</definedName>
    <definedName name="Deely1" localSheetId="49">#REF!</definedName>
    <definedName name="Deely1" localSheetId="40">#REF!</definedName>
    <definedName name="Deely1" localSheetId="43">#REF!</definedName>
    <definedName name="Deely1" localSheetId="13">#REF!</definedName>
    <definedName name="Deely1" localSheetId="38">#REF!</definedName>
    <definedName name="Deely1">#REF!</definedName>
    <definedName name="DehyFlashTank" localSheetId="3">#REF!</definedName>
    <definedName name="DehyFlashTank" localSheetId="7">#REF!</definedName>
    <definedName name="DehyFlashTank" localSheetId="9">#REF!</definedName>
    <definedName name="DehyFlashTank" localSheetId="10">#REF!</definedName>
    <definedName name="DehyFlashTank" localSheetId="15">#REF!</definedName>
    <definedName name="DehyFlashTank" localSheetId="19">#REF!</definedName>
    <definedName name="DehyFlashTank" localSheetId="20">#REF!</definedName>
    <definedName name="DehyFlashTank" localSheetId="24">#REF!</definedName>
    <definedName name="DehyFlashTank" localSheetId="104">#REF!</definedName>
    <definedName name="DehyFlashTank" localSheetId="65">#REF!</definedName>
    <definedName name="DehyFlashTank" localSheetId="64">#REF!</definedName>
    <definedName name="DehyFlashTank" localSheetId="77">#REF!</definedName>
    <definedName name="DehyFlashTank" localSheetId="49">#REF!</definedName>
    <definedName name="DehyFlashTank" localSheetId="40">#REF!</definedName>
    <definedName name="DehyFlashTank" localSheetId="43">#REF!</definedName>
    <definedName name="DehyFlashTank" localSheetId="13">#REF!</definedName>
    <definedName name="DehyFlashTank" localSheetId="38">#REF!</definedName>
    <definedName name="DehyFlashTank">#REF!</definedName>
    <definedName name="delete" localSheetId="105" hidden="1">{#N/A,#N/A,FALSE,"Annual Summary";#N/A,#N/A,FALSE,"Hourly Summary";#N/A,#N/A,FALSE,"Flare Combustion";#N/A,#N/A,FALSE,"Shipping";#N/A,#N/A,FALSE,"Process Turnaround";#N/A,#N/A,FALSE,"Lab Samples";#N/A,#N/A,FALSE,"Product Cycles 5-4";#N/A,#N/A,FALSE,"5-4.1";#N/A,#N/A,FALSE,"5-4.2";#N/A,#N/A,FALSE,"Physical Prop Data"}</definedName>
    <definedName name="delete" localSheetId="96" hidden="1">{#N/A,#N/A,FALSE,"Annual Summary";#N/A,#N/A,FALSE,"Hourly Summary";#N/A,#N/A,FALSE,"Flare Combustion";#N/A,#N/A,FALSE,"Shipping";#N/A,#N/A,FALSE,"Process Turnaround";#N/A,#N/A,FALSE,"Lab Samples";#N/A,#N/A,FALSE,"Product Cycles 5-4";#N/A,#N/A,FALSE,"5-4.1";#N/A,#N/A,FALSE,"5-4.2";#N/A,#N/A,FALSE,"Physical Prop Data"}</definedName>
    <definedName name="delete" localSheetId="44" hidden="1">{#N/A,#N/A,FALSE,"Annual Summary";#N/A,#N/A,FALSE,"Hourly Summary";#N/A,#N/A,FALSE,"Flare Combustion";#N/A,#N/A,FALSE,"Shipping";#N/A,#N/A,FALSE,"Process Turnaround";#N/A,#N/A,FALSE,"Lab Samples";#N/A,#N/A,FALSE,"Product Cycles 5-4";#N/A,#N/A,FALSE,"5-4.1";#N/A,#N/A,FALSE,"5-4.2";#N/A,#N/A,FALSE,"Physical Prop Data"}</definedName>
    <definedName name="delete" hidden="1">{#N/A,#N/A,FALSE,"Annual Summary";#N/A,#N/A,FALSE,"Hourly Summary";#N/A,#N/A,FALSE,"Flare Combustion";#N/A,#N/A,FALSE,"Shipping";#N/A,#N/A,FALSE,"Process Turnaround";#N/A,#N/A,FALSE,"Lab Samples";#N/A,#N/A,FALSE,"Product Cycles 5-4";#N/A,#N/A,FALSE,"5-4.1";#N/A,#N/A,FALSE,"5-4.2";#N/A,#N/A,FALSE,"Physical Prop Data"}</definedName>
    <definedName name="deltaT" localSheetId="3">#REF!</definedName>
    <definedName name="deltaT" localSheetId="7">#REF!</definedName>
    <definedName name="deltaT" localSheetId="9">#REF!</definedName>
    <definedName name="deltaT" localSheetId="10">#REF!</definedName>
    <definedName name="deltaT" localSheetId="15">#REF!</definedName>
    <definedName name="deltaT" localSheetId="19">#REF!</definedName>
    <definedName name="deltaT" localSheetId="20">#REF!</definedName>
    <definedName name="deltaT" localSheetId="24">#REF!</definedName>
    <definedName name="deltaT" localSheetId="104">#REF!</definedName>
    <definedName name="deltaT" localSheetId="65">#REF!</definedName>
    <definedName name="deltaT" localSheetId="64">#REF!</definedName>
    <definedName name="deltaT" localSheetId="77">#REF!</definedName>
    <definedName name="deltaT" localSheetId="49">#REF!</definedName>
    <definedName name="deltaT" localSheetId="40">#REF!</definedName>
    <definedName name="deltaT" localSheetId="43">#REF!</definedName>
    <definedName name="deltaT" localSheetId="13">#REF!</definedName>
    <definedName name="deltaT" localSheetId="38">#REF!</definedName>
    <definedName name="deltaT">#REF!</definedName>
    <definedName name="Density" localSheetId="3">#REF!</definedName>
    <definedName name="Density" localSheetId="7">#REF!</definedName>
    <definedName name="Density" localSheetId="9">#REF!</definedName>
    <definedName name="Density" localSheetId="10">#REF!</definedName>
    <definedName name="Density" localSheetId="15">#REF!</definedName>
    <definedName name="Density" localSheetId="19">#REF!</definedName>
    <definedName name="Density" localSheetId="20">#REF!</definedName>
    <definedName name="Density" localSheetId="24">#REF!</definedName>
    <definedName name="Density" localSheetId="104">#REF!</definedName>
    <definedName name="Density" localSheetId="65">#REF!</definedName>
    <definedName name="Density" localSheetId="64">#REF!</definedName>
    <definedName name="Density" localSheetId="77">#REF!</definedName>
    <definedName name="Density" localSheetId="49">#REF!</definedName>
    <definedName name="Density" localSheetId="40">#REF!</definedName>
    <definedName name="Density" localSheetId="43">#REF!</definedName>
    <definedName name="Density" localSheetId="13">#REF!</definedName>
    <definedName name="Density" localSheetId="38">#REF!</definedName>
    <definedName name="Density">#REF!</definedName>
    <definedName name="desc" localSheetId="3">#REF!</definedName>
    <definedName name="desc" localSheetId="7">#REF!</definedName>
    <definedName name="desc" localSheetId="9">#REF!</definedName>
    <definedName name="desc" localSheetId="10">#REF!</definedName>
    <definedName name="desc" localSheetId="15">#REF!</definedName>
    <definedName name="desc" localSheetId="19">#REF!</definedName>
    <definedName name="desc" localSheetId="20">#REF!</definedName>
    <definedName name="desc" localSheetId="24">#REF!</definedName>
    <definedName name="desc" localSheetId="104">#REF!</definedName>
    <definedName name="desc" localSheetId="65">#REF!</definedName>
    <definedName name="desc" localSheetId="64">#REF!</definedName>
    <definedName name="desc" localSheetId="77">#REF!</definedName>
    <definedName name="desc" localSheetId="49">#REF!</definedName>
    <definedName name="desc" localSheetId="40">#REF!</definedName>
    <definedName name="desc" localSheetId="43">#REF!</definedName>
    <definedName name="desc" localSheetId="13">#REF!</definedName>
    <definedName name="desc" localSheetId="38">#REF!</definedName>
    <definedName name="desc">#REF!</definedName>
    <definedName name="DETAIL" localSheetId="3">#REF!</definedName>
    <definedName name="DETAIL" localSheetId="7">#REF!</definedName>
    <definedName name="DETAIL" localSheetId="9">#REF!</definedName>
    <definedName name="DETAIL" localSheetId="10">#REF!</definedName>
    <definedName name="DETAIL" localSheetId="15">#REF!</definedName>
    <definedName name="DETAIL" localSheetId="19">#REF!</definedName>
    <definedName name="DETAIL" localSheetId="20">#REF!</definedName>
    <definedName name="DETAIL" localSheetId="24">#REF!</definedName>
    <definedName name="DETAIL" localSheetId="104">#REF!</definedName>
    <definedName name="DETAIL" localSheetId="65">#REF!</definedName>
    <definedName name="DETAIL" localSheetId="64">#REF!</definedName>
    <definedName name="DETAIL" localSheetId="77">#REF!</definedName>
    <definedName name="DETAIL" localSheetId="49">#REF!</definedName>
    <definedName name="DETAIL" localSheetId="40">#REF!</definedName>
    <definedName name="DETAIL" localSheetId="43">#REF!</definedName>
    <definedName name="DETAIL" localSheetId="13">#REF!</definedName>
    <definedName name="DETAIL" localSheetId="38">#REF!</definedName>
    <definedName name="DETAIL">#REF!</definedName>
    <definedName name="df" localSheetId="105"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localSheetId="96"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localSheetId="44"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asdf" localSheetId="105" hidden="1">{#N/A,#N/A,FALSE,"F1-Currrent";#N/A,#N/A,FALSE,"F2-Current";#N/A,#N/A,FALSE,"F2-Proposed";#N/A,#N/A,FALSE,"F3-Current";#N/A,#N/A,FALSE,"F4-Current";#N/A,#N/A,FALSE,"F4-Proposed";#N/A,#N/A,FALSE,"Controls"}</definedName>
    <definedName name="dfasdf" localSheetId="96" hidden="1">{#N/A,#N/A,FALSE,"F1-Currrent";#N/A,#N/A,FALSE,"F2-Current";#N/A,#N/A,FALSE,"F2-Proposed";#N/A,#N/A,FALSE,"F3-Current";#N/A,#N/A,FALSE,"F4-Current";#N/A,#N/A,FALSE,"F4-Proposed";#N/A,#N/A,FALSE,"Controls"}</definedName>
    <definedName name="dfasdf" localSheetId="44" hidden="1">{#N/A,#N/A,FALSE,"F1-Currrent";#N/A,#N/A,FALSE,"F2-Current";#N/A,#N/A,FALSE,"F2-Proposed";#N/A,#N/A,FALSE,"F3-Current";#N/A,#N/A,FALSE,"F4-Current";#N/A,#N/A,FALSE,"F4-Proposed";#N/A,#N/A,FALSE,"Controls"}</definedName>
    <definedName name="dfasdf" hidden="1">{#N/A,#N/A,FALSE,"F1-Currrent";#N/A,#N/A,FALSE,"F2-Current";#N/A,#N/A,FALSE,"F2-Proposed";#N/A,#N/A,FALSE,"F3-Current";#N/A,#N/A,FALSE,"F4-Current";#N/A,#N/A,FALSE,"F4-Proposed";#N/A,#N/A,FALSE,"Controls"}</definedName>
    <definedName name="dfsfsfsf" localSheetId="105" hidden="1">{"B68 TTU Detail",#N/A,FALSE,"TTU Summary";"B19 TTU Detail",#N/A,FALSE,"TTU Summary"}</definedName>
    <definedName name="dfsfsfsf" localSheetId="96" hidden="1">{"B68 TTU Detail",#N/A,FALSE,"TTU Summary";"B19 TTU Detail",#N/A,FALSE,"TTU Summary"}</definedName>
    <definedName name="dfsfsfsf" localSheetId="44" hidden="1">{"B68 TTU Detail",#N/A,FALSE,"TTU Summary";"B19 TTU Detail",#N/A,FALSE,"TTU Summary"}</definedName>
    <definedName name="dfsfsfsf" hidden="1">{"B68 TTU Detail",#N/A,FALSE,"TTU Summary";"B19 TTU Detail",#N/A,FALSE,"TTU Summary"}</definedName>
    <definedName name="Di" localSheetId="3">#REF!</definedName>
    <definedName name="Di" localSheetId="7">#REF!</definedName>
    <definedName name="Di" localSheetId="9">#REF!</definedName>
    <definedName name="Di" localSheetId="10">#REF!</definedName>
    <definedName name="Di" localSheetId="15">#REF!</definedName>
    <definedName name="Di" localSheetId="19">#REF!</definedName>
    <definedName name="Di" localSheetId="20">#REF!</definedName>
    <definedName name="Di" localSheetId="24">#REF!</definedName>
    <definedName name="Di" localSheetId="104">#REF!</definedName>
    <definedName name="Di" localSheetId="65">#REF!</definedName>
    <definedName name="Di" localSheetId="64">#REF!</definedName>
    <definedName name="Di" localSheetId="77">#REF!</definedName>
    <definedName name="Di" localSheetId="49">#REF!</definedName>
    <definedName name="Di" localSheetId="40">#REF!</definedName>
    <definedName name="Di" localSheetId="43">#REF!</definedName>
    <definedName name="Di" localSheetId="13">#REF!</definedName>
    <definedName name="Di" localSheetId="38">#REF!</definedName>
    <definedName name="Di">#REF!</definedName>
    <definedName name="dia" localSheetId="3">#REF!</definedName>
    <definedName name="dia" localSheetId="7">#REF!</definedName>
    <definedName name="dia" localSheetId="9">#REF!</definedName>
    <definedName name="dia" localSheetId="10">#REF!</definedName>
    <definedName name="dia" localSheetId="15">#REF!</definedName>
    <definedName name="dia" localSheetId="19">#REF!</definedName>
    <definedName name="dia" localSheetId="20">#REF!</definedName>
    <definedName name="dia" localSheetId="24">#REF!</definedName>
    <definedName name="dia" localSheetId="104">#REF!</definedName>
    <definedName name="dia" localSheetId="65">#REF!</definedName>
    <definedName name="dia" localSheetId="64">#REF!</definedName>
    <definedName name="dia" localSheetId="77">#REF!</definedName>
    <definedName name="dia" localSheetId="49">#REF!</definedName>
    <definedName name="dia" localSheetId="40">#REF!</definedName>
    <definedName name="dia" localSheetId="43">#REF!</definedName>
    <definedName name="dia" localSheetId="13">#REF!</definedName>
    <definedName name="dia" localSheetId="38">#REF!</definedName>
    <definedName name="dia">#REF!</definedName>
    <definedName name="Diesel" localSheetId="3">#REF!</definedName>
    <definedName name="Diesel" localSheetId="7">#REF!</definedName>
    <definedName name="Diesel" localSheetId="9">#REF!</definedName>
    <definedName name="Diesel" localSheetId="10">#REF!</definedName>
    <definedName name="Diesel" localSheetId="15">#REF!</definedName>
    <definedName name="Diesel" localSheetId="19">#REF!</definedName>
    <definedName name="Diesel" localSheetId="20">#REF!</definedName>
    <definedName name="Diesel" localSheetId="24">#REF!</definedName>
    <definedName name="Diesel" localSheetId="104">#REF!</definedName>
    <definedName name="Diesel" localSheetId="65">#REF!</definedName>
    <definedName name="Diesel" localSheetId="64">#REF!</definedName>
    <definedName name="Diesel" localSheetId="77">#REF!</definedName>
    <definedName name="Diesel" localSheetId="49">#REF!</definedName>
    <definedName name="Diesel" localSheetId="40">#REF!</definedName>
    <definedName name="Diesel" localSheetId="43">#REF!</definedName>
    <definedName name="Diesel" localSheetId="13">#REF!</definedName>
    <definedName name="Diesel" localSheetId="38">#REF!</definedName>
    <definedName name="Diesel">#REF!</definedName>
    <definedName name="Diesel_Engines" localSheetId="3">#REF!</definedName>
    <definedName name="Diesel_Engines" localSheetId="7">#REF!</definedName>
    <definedName name="Diesel_Engines" localSheetId="9">#REF!</definedName>
    <definedName name="Diesel_Engines" localSheetId="10">#REF!</definedName>
    <definedName name="Diesel_Engines" localSheetId="15">#REF!</definedName>
    <definedName name="Diesel_Engines" localSheetId="19">#REF!</definedName>
    <definedName name="Diesel_Engines" localSheetId="20">#REF!</definedName>
    <definedName name="Diesel_Engines" localSheetId="24">#REF!</definedName>
    <definedName name="Diesel_Engines" localSheetId="104">#REF!</definedName>
    <definedName name="Diesel_Engines" localSheetId="65">#REF!</definedName>
    <definedName name="Diesel_Engines" localSheetId="64">#REF!</definedName>
    <definedName name="Diesel_Engines" localSheetId="77">#REF!</definedName>
    <definedName name="Diesel_Engines" localSheetId="49">#REF!</definedName>
    <definedName name="Diesel_Engines" localSheetId="40">#REF!</definedName>
    <definedName name="Diesel_Engines" localSheetId="43">#REF!</definedName>
    <definedName name="Diesel_Engines" localSheetId="13">#REF!</definedName>
    <definedName name="Diesel_Engines" localSheetId="38">#REF!</definedName>
    <definedName name="Diesel_Engines">#REF!</definedName>
    <definedName name="Discount" localSheetId="3" hidden="1">#REF!</definedName>
    <definedName name="Discount" localSheetId="7" hidden="1">#REF!</definedName>
    <definedName name="Discount" localSheetId="9" hidden="1">#REF!</definedName>
    <definedName name="Discount" localSheetId="10" hidden="1">#REF!</definedName>
    <definedName name="Discount" localSheetId="15" hidden="1">#REF!</definedName>
    <definedName name="Discount" localSheetId="18" hidden="1">#REF!</definedName>
    <definedName name="Discount" localSheetId="19" hidden="1">#REF!</definedName>
    <definedName name="Discount" localSheetId="20" hidden="1">#REF!</definedName>
    <definedName name="Discount" localSheetId="23" hidden="1">#REF!</definedName>
    <definedName name="Discount" localSheetId="24" hidden="1">#REF!</definedName>
    <definedName name="Discount" localSheetId="35" hidden="1">#REF!</definedName>
    <definedName name="Discount" localSheetId="58" hidden="1">#REF!</definedName>
    <definedName name="Discount" localSheetId="60" hidden="1">#REF!</definedName>
    <definedName name="Discount" localSheetId="51" hidden="1">#REF!</definedName>
    <definedName name="Discount" localSheetId="54" hidden="1">#REF!</definedName>
    <definedName name="Discount" localSheetId="47" hidden="1">#REF!</definedName>
    <definedName name="Discount" localSheetId="105" hidden="1">#REF!</definedName>
    <definedName name="Discount" localSheetId="104" hidden="1">#REF!</definedName>
    <definedName name="Discount" localSheetId="88" hidden="1">#REF!</definedName>
    <definedName name="Discount" localSheetId="89" hidden="1">#REF!</definedName>
    <definedName name="Discount" localSheetId="87" hidden="1">#REF!</definedName>
    <definedName name="Discount" localSheetId="90" hidden="1">#REF!</definedName>
    <definedName name="Discount" localSheetId="70" hidden="1">#REF!</definedName>
    <definedName name="Discount" localSheetId="63" hidden="1">#REF!</definedName>
    <definedName name="Discount" localSheetId="65" hidden="1">#REF!</definedName>
    <definedName name="Discount" localSheetId="64" hidden="1">#REF!</definedName>
    <definedName name="Discount" localSheetId="77" hidden="1">#REF!</definedName>
    <definedName name="Discount" localSheetId="49" hidden="1">#REF!</definedName>
    <definedName name="Discount" localSheetId="48" hidden="1">#REF!</definedName>
    <definedName name="Discount" localSheetId="57" hidden="1">#REF!</definedName>
    <definedName name="Discount" localSheetId="59" hidden="1">#REF!</definedName>
    <definedName name="Discount" localSheetId="52" hidden="1">#REF!</definedName>
    <definedName name="Discount" localSheetId="67" hidden="1">#REF!</definedName>
    <definedName name="Discount" localSheetId="80" hidden="1">#REF!</definedName>
    <definedName name="Discount" localSheetId="40" hidden="1">#REF!</definedName>
    <definedName name="Discount" localSheetId="43" hidden="1">#REF!</definedName>
    <definedName name="Discount" localSheetId="55" hidden="1">#REF!</definedName>
    <definedName name="Discount" localSheetId="81" hidden="1">#REF!</definedName>
    <definedName name="Discount" localSheetId="53" hidden="1">#REF!</definedName>
    <definedName name="Discount" localSheetId="13" hidden="1">#REF!</definedName>
    <definedName name="Discount" localSheetId="11" hidden="1">#REF!</definedName>
    <definedName name="Discount" localSheetId="38" hidden="1">#REF!</definedName>
    <definedName name="Discount" localSheetId="41" hidden="1">#REF!</definedName>
    <definedName name="Discount" localSheetId="101" hidden="1">#REF!</definedName>
    <definedName name="Discount" localSheetId="102" hidden="1">#REF!</definedName>
    <definedName name="Discount" localSheetId="103" hidden="1">#REF!</definedName>
    <definedName name="Discount" localSheetId="97" hidden="1">#REF!</definedName>
    <definedName name="Discount" localSheetId="42" hidden="1">#REF!</definedName>
    <definedName name="Discount" localSheetId="12" hidden="1">#REF!</definedName>
    <definedName name="Discount" localSheetId="73" hidden="1">#REF!</definedName>
    <definedName name="Discount" localSheetId="74" hidden="1">#REF!</definedName>
    <definedName name="Discount" hidden="1">#REF!</definedName>
    <definedName name="display_area_2" localSheetId="3" hidden="1">#REF!</definedName>
    <definedName name="display_area_2" localSheetId="7" hidden="1">#REF!</definedName>
    <definedName name="display_area_2" localSheetId="9" hidden="1">#REF!</definedName>
    <definedName name="display_area_2" localSheetId="10" hidden="1">#REF!</definedName>
    <definedName name="display_area_2" localSheetId="15" hidden="1">#REF!</definedName>
    <definedName name="display_area_2" localSheetId="18" hidden="1">#REF!</definedName>
    <definedName name="display_area_2" localSheetId="19" hidden="1">#REF!</definedName>
    <definedName name="display_area_2" localSheetId="20" hidden="1">#REF!</definedName>
    <definedName name="display_area_2" localSheetId="23" hidden="1">#REF!</definedName>
    <definedName name="display_area_2" localSheetId="24" hidden="1">#REF!</definedName>
    <definedName name="display_area_2" localSheetId="35" hidden="1">#REF!</definedName>
    <definedName name="display_area_2" localSheetId="58" hidden="1">#REF!</definedName>
    <definedName name="display_area_2" localSheetId="60" hidden="1">#REF!</definedName>
    <definedName name="display_area_2" localSheetId="51" hidden="1">#REF!</definedName>
    <definedName name="display_area_2" localSheetId="54" hidden="1">#REF!</definedName>
    <definedName name="display_area_2" localSheetId="47" hidden="1">#REF!</definedName>
    <definedName name="display_area_2" localSheetId="105" hidden="1">#REF!</definedName>
    <definedName name="display_area_2" localSheetId="104" hidden="1">#REF!</definedName>
    <definedName name="display_area_2" localSheetId="88" hidden="1">#REF!</definedName>
    <definedName name="display_area_2" localSheetId="89" hidden="1">#REF!</definedName>
    <definedName name="display_area_2" localSheetId="87" hidden="1">#REF!</definedName>
    <definedName name="display_area_2" localSheetId="90" hidden="1">#REF!</definedName>
    <definedName name="display_area_2" localSheetId="70" hidden="1">#REF!</definedName>
    <definedName name="display_area_2" localSheetId="63" hidden="1">#REF!</definedName>
    <definedName name="display_area_2" localSheetId="65" hidden="1">#REF!</definedName>
    <definedName name="display_area_2" localSheetId="64" hidden="1">#REF!</definedName>
    <definedName name="display_area_2" localSheetId="77" hidden="1">#REF!</definedName>
    <definedName name="display_area_2" localSheetId="49" hidden="1">#REF!</definedName>
    <definedName name="display_area_2" localSheetId="48" hidden="1">#REF!</definedName>
    <definedName name="display_area_2" localSheetId="57" hidden="1">#REF!</definedName>
    <definedName name="display_area_2" localSheetId="59" hidden="1">#REF!</definedName>
    <definedName name="display_area_2" localSheetId="52" hidden="1">#REF!</definedName>
    <definedName name="display_area_2" localSheetId="67" hidden="1">#REF!</definedName>
    <definedName name="display_area_2" localSheetId="80" hidden="1">#REF!</definedName>
    <definedName name="display_area_2" localSheetId="40" hidden="1">#REF!</definedName>
    <definedName name="display_area_2" localSheetId="43" hidden="1">#REF!</definedName>
    <definedName name="display_area_2" localSheetId="55" hidden="1">#REF!</definedName>
    <definedName name="display_area_2" localSheetId="81" hidden="1">#REF!</definedName>
    <definedName name="display_area_2" localSheetId="53" hidden="1">#REF!</definedName>
    <definedName name="display_area_2" localSheetId="13" hidden="1">#REF!</definedName>
    <definedName name="display_area_2" localSheetId="11" hidden="1">#REF!</definedName>
    <definedName name="display_area_2" localSheetId="38" hidden="1">#REF!</definedName>
    <definedName name="display_area_2" localSheetId="41" hidden="1">#REF!</definedName>
    <definedName name="display_area_2" localSheetId="101" hidden="1">#REF!</definedName>
    <definedName name="display_area_2" localSheetId="102" hidden="1">#REF!</definedName>
    <definedName name="display_area_2" localSheetId="103" hidden="1">#REF!</definedName>
    <definedName name="display_area_2" localSheetId="97" hidden="1">#REF!</definedName>
    <definedName name="display_area_2" localSheetId="42" hidden="1">#REF!</definedName>
    <definedName name="display_area_2" localSheetId="12" hidden="1">#REF!</definedName>
    <definedName name="display_area_2" localSheetId="73" hidden="1">#REF!</definedName>
    <definedName name="display_area_2" localSheetId="74" hidden="1">#REF!</definedName>
    <definedName name="display_area_2" hidden="1">#REF!</definedName>
    <definedName name="distance1">'[12]T15-D Emission Limits'!$B$54:$B$65</definedName>
    <definedName name="distances">'[13]T12-D'!$B$54:$B$65</definedName>
    <definedName name="DISTILLATE" localSheetId="3">#REF!</definedName>
    <definedName name="DISTILLATE" localSheetId="7">#REF!</definedName>
    <definedName name="DISTILLATE" localSheetId="9">#REF!</definedName>
    <definedName name="DISTILLATE" localSheetId="10">#REF!</definedName>
    <definedName name="DISTILLATE" localSheetId="15">#REF!</definedName>
    <definedName name="DISTILLATE" localSheetId="19">#REF!</definedName>
    <definedName name="DISTILLATE" localSheetId="20">#REF!</definedName>
    <definedName name="DISTILLATE" localSheetId="24">#REF!</definedName>
    <definedName name="DISTILLATE" localSheetId="104">#REF!</definedName>
    <definedName name="DISTILLATE" localSheetId="65">#REF!</definedName>
    <definedName name="DISTILLATE" localSheetId="64">#REF!</definedName>
    <definedName name="DISTILLATE" localSheetId="77">#REF!</definedName>
    <definedName name="DISTILLATE" localSheetId="49">#REF!</definedName>
    <definedName name="DISTILLATE" localSheetId="40">#REF!</definedName>
    <definedName name="DISTILLATE" localSheetId="43">#REF!</definedName>
    <definedName name="DISTILLATE" localSheetId="13">#REF!</definedName>
    <definedName name="DISTILLATE" localSheetId="38">#REF!</definedName>
    <definedName name="DISTILLATE">#REF!</definedName>
    <definedName name="DISTILLATION" localSheetId="3">'[14]6; Distillation'!#REF!</definedName>
    <definedName name="DISTILLATION" localSheetId="7">'[14]6; Distillation'!#REF!</definedName>
    <definedName name="DISTILLATION" localSheetId="9">'[14]6; Distillation'!#REF!</definedName>
    <definedName name="DISTILLATION" localSheetId="10">'[14]6; Distillation'!#REF!</definedName>
    <definedName name="DISTILLATION" localSheetId="15">'[14]6; Distillation'!#REF!</definedName>
    <definedName name="DISTILLATION" localSheetId="19">'[14]6; Distillation'!#REF!</definedName>
    <definedName name="DISTILLATION" localSheetId="20">'[14]6; Distillation'!#REF!</definedName>
    <definedName name="DISTILLATION" localSheetId="24">'[14]6; Distillation'!#REF!</definedName>
    <definedName name="DISTILLATION" localSheetId="104">'[14]6; Distillation'!#REF!</definedName>
    <definedName name="DISTILLATION" localSheetId="75">'[14]6; Distillation'!#REF!</definedName>
    <definedName name="DISTILLATION" localSheetId="65">'[14]6; Distillation'!#REF!</definedName>
    <definedName name="DISTILLATION" localSheetId="64">'[14]6; Distillation'!#REF!</definedName>
    <definedName name="DISTILLATION" localSheetId="77">'[14]6; Distillation'!#REF!</definedName>
    <definedName name="DISTILLATION" localSheetId="49">'[14]6; Distillation'!#REF!</definedName>
    <definedName name="DISTILLATION" localSheetId="48">'[14]6; Distillation'!#REF!</definedName>
    <definedName name="DISTILLATION" localSheetId="40">'[14]6; Distillation'!#REF!</definedName>
    <definedName name="DISTILLATION" localSheetId="43">'[14]6; Distillation'!#REF!</definedName>
    <definedName name="DISTILLATION" localSheetId="13">'[14]6; Distillation'!#REF!</definedName>
    <definedName name="DISTILLATION" localSheetId="38">'[14]6; Distillation'!#REF!</definedName>
    <definedName name="DISTILLATION">'[14]6; Distillation'!#REF!</definedName>
    <definedName name="dive1" localSheetId="3">#REF!</definedName>
    <definedName name="dive1" localSheetId="7">#REF!</definedName>
    <definedName name="dive1" localSheetId="9">#REF!</definedName>
    <definedName name="dive1" localSheetId="10">#REF!</definedName>
    <definedName name="dive1" localSheetId="15">#REF!</definedName>
    <definedName name="dive1" localSheetId="19">#REF!</definedName>
    <definedName name="dive1" localSheetId="20">#REF!</definedName>
    <definedName name="dive1" localSheetId="24">#REF!</definedName>
    <definedName name="dive1" localSheetId="104">#REF!</definedName>
    <definedName name="dive1" localSheetId="65">#REF!</definedName>
    <definedName name="dive1" localSheetId="64">#REF!</definedName>
    <definedName name="dive1" localSheetId="77">#REF!</definedName>
    <definedName name="dive1" localSheetId="49">#REF!</definedName>
    <definedName name="dive1" localSheetId="40">#REF!</definedName>
    <definedName name="dive1" localSheetId="43">#REF!</definedName>
    <definedName name="dive1" localSheetId="13">#REF!</definedName>
    <definedName name="dive1" localSheetId="38">#REF!</definedName>
    <definedName name="dive1">#REF!</definedName>
    <definedName name="dive2" localSheetId="3">#REF!</definedName>
    <definedName name="dive2" localSheetId="7">#REF!</definedName>
    <definedName name="dive2" localSheetId="9">#REF!</definedName>
    <definedName name="dive2" localSheetId="10">#REF!</definedName>
    <definedName name="dive2" localSheetId="15">#REF!</definedName>
    <definedName name="dive2" localSheetId="19">#REF!</definedName>
    <definedName name="dive2" localSheetId="20">#REF!</definedName>
    <definedName name="dive2" localSheetId="24">#REF!</definedName>
    <definedName name="dive2" localSheetId="104">#REF!</definedName>
    <definedName name="dive2" localSheetId="65">#REF!</definedName>
    <definedName name="dive2" localSheetId="64">#REF!</definedName>
    <definedName name="dive2" localSheetId="77">#REF!</definedName>
    <definedName name="dive2" localSheetId="49">#REF!</definedName>
    <definedName name="dive2" localSheetId="40">#REF!</definedName>
    <definedName name="dive2" localSheetId="43">#REF!</definedName>
    <definedName name="dive2" localSheetId="13">#REF!</definedName>
    <definedName name="dive2" localSheetId="38">#REF!</definedName>
    <definedName name="dive2">#REF!</definedName>
    <definedName name="dive3" localSheetId="3">#REF!</definedName>
    <definedName name="dive3" localSheetId="7">#REF!</definedName>
    <definedName name="dive3" localSheetId="9">#REF!</definedName>
    <definedName name="dive3" localSheetId="10">#REF!</definedName>
    <definedName name="dive3" localSheetId="15">#REF!</definedName>
    <definedName name="dive3" localSheetId="19">#REF!</definedName>
    <definedName name="dive3" localSheetId="20">#REF!</definedName>
    <definedName name="dive3" localSheetId="24">#REF!</definedName>
    <definedName name="dive3" localSheetId="104">#REF!</definedName>
    <definedName name="dive3" localSheetId="65">#REF!</definedName>
    <definedName name="dive3" localSheetId="64">#REF!</definedName>
    <definedName name="dive3" localSheetId="77">#REF!</definedName>
    <definedName name="dive3" localSheetId="49">#REF!</definedName>
    <definedName name="dive3" localSheetId="40">#REF!</definedName>
    <definedName name="dive3" localSheetId="43">#REF!</definedName>
    <definedName name="dive3" localSheetId="13">#REF!</definedName>
    <definedName name="dive3" localSheetId="38">#REF!</definedName>
    <definedName name="dive3">#REF!</definedName>
    <definedName name="dive4" localSheetId="3">#REF!</definedName>
    <definedName name="dive4" localSheetId="7">#REF!</definedName>
    <definedName name="dive4" localSheetId="9">#REF!</definedName>
    <definedName name="dive4" localSheetId="10">#REF!</definedName>
    <definedName name="dive4" localSheetId="15">#REF!</definedName>
    <definedName name="dive4" localSheetId="19">#REF!</definedName>
    <definedName name="dive4" localSheetId="20">#REF!</definedName>
    <definedName name="dive4" localSheetId="24">#REF!</definedName>
    <definedName name="dive4" localSheetId="104">#REF!</definedName>
    <definedName name="dive4" localSheetId="65">#REF!</definedName>
    <definedName name="dive4" localSheetId="64">#REF!</definedName>
    <definedName name="dive4" localSheetId="77">#REF!</definedName>
    <definedName name="dive4" localSheetId="49">#REF!</definedName>
    <definedName name="dive4" localSheetId="40">#REF!</definedName>
    <definedName name="dive4" localSheetId="43">#REF!</definedName>
    <definedName name="dive4" localSheetId="13">#REF!</definedName>
    <definedName name="dive4" localSheetId="38">#REF!</definedName>
    <definedName name="dive4">#REF!</definedName>
    <definedName name="divetot" localSheetId="3">#REF!</definedName>
    <definedName name="divetot" localSheetId="7">#REF!</definedName>
    <definedName name="divetot" localSheetId="9">#REF!</definedName>
    <definedName name="divetot" localSheetId="10">#REF!</definedName>
    <definedName name="divetot" localSheetId="15">#REF!</definedName>
    <definedName name="divetot" localSheetId="19">#REF!</definedName>
    <definedName name="divetot" localSheetId="20">#REF!</definedName>
    <definedName name="divetot" localSheetId="24">#REF!</definedName>
    <definedName name="divetot" localSheetId="104">#REF!</definedName>
    <definedName name="divetot" localSheetId="65">#REF!</definedName>
    <definedName name="divetot" localSheetId="64">#REF!</definedName>
    <definedName name="divetot" localSheetId="77">#REF!</definedName>
    <definedName name="divetot" localSheetId="49">#REF!</definedName>
    <definedName name="divetot" localSheetId="40">#REF!</definedName>
    <definedName name="divetot" localSheetId="43">#REF!</definedName>
    <definedName name="divetot" localSheetId="13">#REF!</definedName>
    <definedName name="divetot" localSheetId="38">#REF!</definedName>
    <definedName name="divetot">#REF!</definedName>
    <definedName name="Dome" localSheetId="3">#REF!</definedName>
    <definedName name="Dome" localSheetId="7">#REF!</definedName>
    <definedName name="Dome" localSheetId="9">#REF!</definedName>
    <definedName name="Dome" localSheetId="10">#REF!</definedName>
    <definedName name="Dome" localSheetId="15">#REF!</definedName>
    <definedName name="Dome" localSheetId="19">#REF!</definedName>
    <definedName name="Dome" localSheetId="20">#REF!</definedName>
    <definedName name="Dome" localSheetId="24">#REF!</definedName>
    <definedName name="Dome" localSheetId="104">#REF!</definedName>
    <definedName name="Dome" localSheetId="65">#REF!</definedName>
    <definedName name="Dome" localSheetId="64">#REF!</definedName>
    <definedName name="Dome" localSheetId="77">#REF!</definedName>
    <definedName name="Dome" localSheetId="49">#REF!</definedName>
    <definedName name="Dome" localSheetId="40">#REF!</definedName>
    <definedName name="Dome" localSheetId="43">#REF!</definedName>
    <definedName name="Dome" localSheetId="13">#REF!</definedName>
    <definedName name="Dome" localSheetId="38">#REF!</definedName>
    <definedName name="Dome">#REF!</definedName>
    <definedName name="DPb" localSheetId="3">#REF!</definedName>
    <definedName name="DPb" localSheetId="7">#REF!</definedName>
    <definedName name="DPb" localSheetId="9">#REF!</definedName>
    <definedName name="DPb" localSheetId="10">#REF!</definedName>
    <definedName name="DPb" localSheetId="15">#REF!</definedName>
    <definedName name="DPb" localSheetId="19">#REF!</definedName>
    <definedName name="DPb" localSheetId="20">#REF!</definedName>
    <definedName name="DPb" localSheetId="24">#REF!</definedName>
    <definedName name="DPb" localSheetId="104">#REF!</definedName>
    <definedName name="DPb" localSheetId="65">#REF!</definedName>
    <definedName name="DPb" localSheetId="64">#REF!</definedName>
    <definedName name="DPb" localSheetId="77">#REF!</definedName>
    <definedName name="DPb" localSheetId="49">#REF!</definedName>
    <definedName name="DPb" localSheetId="40">#REF!</definedName>
    <definedName name="DPb" localSheetId="43">#REF!</definedName>
    <definedName name="DPb" localSheetId="13">#REF!</definedName>
    <definedName name="DPb" localSheetId="38">#REF!</definedName>
    <definedName name="DPb">#REF!</definedName>
    <definedName name="DPv" localSheetId="3">#REF!</definedName>
    <definedName name="DPv" localSheetId="7">#REF!</definedName>
    <definedName name="DPv" localSheetId="9">#REF!</definedName>
    <definedName name="DPv" localSheetId="10">#REF!</definedName>
    <definedName name="DPv" localSheetId="15">#REF!</definedName>
    <definedName name="DPv" localSheetId="19">#REF!</definedName>
    <definedName name="DPv" localSheetId="20">#REF!</definedName>
    <definedName name="DPv" localSheetId="24">#REF!</definedName>
    <definedName name="DPv" localSheetId="104">#REF!</definedName>
    <definedName name="DPv" localSheetId="65">#REF!</definedName>
    <definedName name="DPv" localSheetId="64">#REF!</definedName>
    <definedName name="DPv" localSheetId="77">#REF!</definedName>
    <definedName name="DPv" localSheetId="49">#REF!</definedName>
    <definedName name="DPv" localSheetId="40">#REF!</definedName>
    <definedName name="DPv" localSheetId="43">#REF!</definedName>
    <definedName name="DPv" localSheetId="13">#REF!</definedName>
    <definedName name="DPv" localSheetId="38">#REF!</definedName>
    <definedName name="DPv">#REF!</definedName>
    <definedName name="drdr" localSheetId="3" hidden="1">#REF!</definedName>
    <definedName name="drdr" localSheetId="7" hidden="1">#REF!</definedName>
    <definedName name="drdr" localSheetId="9" hidden="1">#REF!</definedName>
    <definedName name="drdr" localSheetId="10" hidden="1">#REF!</definedName>
    <definedName name="drdr" localSheetId="15" hidden="1">#REF!</definedName>
    <definedName name="drdr" localSheetId="18" hidden="1">#REF!</definedName>
    <definedName name="drdr" localSheetId="19" hidden="1">#REF!</definedName>
    <definedName name="drdr" localSheetId="20" hidden="1">#REF!</definedName>
    <definedName name="drdr" localSheetId="23" hidden="1">#REF!</definedName>
    <definedName name="drdr" localSheetId="24" hidden="1">#REF!</definedName>
    <definedName name="drdr" localSheetId="35" hidden="1">#REF!</definedName>
    <definedName name="drdr" localSheetId="58" hidden="1">#REF!</definedName>
    <definedName name="drdr" localSheetId="60" hidden="1">#REF!</definedName>
    <definedName name="drdr" localSheetId="51" hidden="1">#REF!</definedName>
    <definedName name="drdr" localSheetId="54" hidden="1">#REF!</definedName>
    <definedName name="drdr" localSheetId="47" hidden="1">#REF!</definedName>
    <definedName name="drdr" localSheetId="105" hidden="1">#REF!</definedName>
    <definedName name="drdr" localSheetId="104" hidden="1">#REF!</definedName>
    <definedName name="drdr" localSheetId="88" hidden="1">#REF!</definedName>
    <definedName name="drdr" localSheetId="89" hidden="1">#REF!</definedName>
    <definedName name="drdr" localSheetId="87" hidden="1">#REF!</definedName>
    <definedName name="drdr" localSheetId="90" hidden="1">#REF!</definedName>
    <definedName name="drdr" localSheetId="70" hidden="1">#REF!</definedName>
    <definedName name="drdr" localSheetId="65" hidden="1">#REF!</definedName>
    <definedName name="drdr" localSheetId="64" hidden="1">#REF!</definedName>
    <definedName name="drdr" localSheetId="77" hidden="1">#REF!</definedName>
    <definedName name="drdr" localSheetId="49" hidden="1">#REF!</definedName>
    <definedName name="drdr" localSheetId="57" hidden="1">#REF!</definedName>
    <definedName name="drdr" localSheetId="59" hidden="1">#REF!</definedName>
    <definedName name="drdr" localSheetId="40" hidden="1">#REF!</definedName>
    <definedName name="drdr" localSheetId="43" hidden="1">#REF!</definedName>
    <definedName name="drdr" localSheetId="55" hidden="1">#REF!</definedName>
    <definedName name="drdr" localSheetId="13" hidden="1">#REF!</definedName>
    <definedName name="drdr" localSheetId="11" hidden="1">#REF!</definedName>
    <definedName name="drdr" localSheetId="38" hidden="1">#REF!</definedName>
    <definedName name="drdr" localSheetId="41" hidden="1">#REF!</definedName>
    <definedName name="drdr" localSheetId="101" hidden="1">#REF!</definedName>
    <definedName name="drdr" localSheetId="102" hidden="1">#REF!</definedName>
    <definedName name="drdr" localSheetId="103" hidden="1">#REF!</definedName>
    <definedName name="drdr" localSheetId="97" hidden="1">#REF!</definedName>
    <definedName name="drdr" localSheetId="42" hidden="1">#REF!</definedName>
    <definedName name="drdr" localSheetId="12" hidden="1">#REF!</definedName>
    <definedName name="drdr" localSheetId="73" hidden="1">#REF!</definedName>
    <definedName name="drdr" localSheetId="74" hidden="1">#REF!</definedName>
    <definedName name="drdr" hidden="1">#REF!</definedName>
    <definedName name="DROPSPM10" localSheetId="3">#REF!</definedName>
    <definedName name="DROPSPM10" localSheetId="7">#REF!</definedName>
    <definedName name="DROPSPM10" localSheetId="9">#REF!</definedName>
    <definedName name="DROPSPM10" localSheetId="10">#REF!</definedName>
    <definedName name="DROPSPM10" localSheetId="15">#REF!</definedName>
    <definedName name="DROPSPM10" localSheetId="19">#REF!</definedName>
    <definedName name="DROPSPM10" localSheetId="20">#REF!</definedName>
    <definedName name="DROPSPM10" localSheetId="24">#REF!</definedName>
    <definedName name="DROPSPM10" localSheetId="104">#REF!</definedName>
    <definedName name="DROPSPM10" localSheetId="65">#REF!</definedName>
    <definedName name="DROPSPM10" localSheetId="64">#REF!</definedName>
    <definedName name="DROPSPM10" localSheetId="77">#REF!</definedName>
    <definedName name="DROPSPM10" localSheetId="49">#REF!</definedName>
    <definedName name="DROPSPM10" localSheetId="40">#REF!</definedName>
    <definedName name="DROPSPM10" localSheetId="43">#REF!</definedName>
    <definedName name="DROPSPM10" localSheetId="13">#REF!</definedName>
    <definedName name="DROPSPM10" localSheetId="38">#REF!</definedName>
    <definedName name="DROPSPM10">#REF!</definedName>
    <definedName name="DROPSPM10TITLE" localSheetId="3">#REF!</definedName>
    <definedName name="DROPSPM10TITLE" localSheetId="7">#REF!</definedName>
    <definedName name="DROPSPM10TITLE" localSheetId="9">#REF!</definedName>
    <definedName name="DROPSPM10TITLE" localSheetId="10">#REF!</definedName>
    <definedName name="DROPSPM10TITLE" localSheetId="15">#REF!</definedName>
    <definedName name="DROPSPM10TITLE" localSheetId="19">#REF!</definedName>
    <definedName name="DROPSPM10TITLE" localSheetId="20">#REF!</definedName>
    <definedName name="DROPSPM10TITLE" localSheetId="24">#REF!</definedName>
    <definedName name="DROPSPM10TITLE" localSheetId="104">#REF!</definedName>
    <definedName name="DROPSPM10TITLE" localSheetId="65">#REF!</definedName>
    <definedName name="DROPSPM10TITLE" localSheetId="64">#REF!</definedName>
    <definedName name="DROPSPM10TITLE" localSheetId="77">#REF!</definedName>
    <definedName name="DROPSPM10TITLE" localSheetId="49">#REF!</definedName>
    <definedName name="DROPSPM10TITLE" localSheetId="40">#REF!</definedName>
    <definedName name="DROPSPM10TITLE" localSheetId="43">#REF!</definedName>
    <definedName name="DROPSPM10TITLE" localSheetId="13">#REF!</definedName>
    <definedName name="DROPSPM10TITLE" localSheetId="38">#REF!</definedName>
    <definedName name="DROPSPM10TITLE">#REF!</definedName>
    <definedName name="DROPSTSP" localSheetId="3">#REF!</definedName>
    <definedName name="DROPSTSP" localSheetId="7">#REF!</definedName>
    <definedName name="DROPSTSP" localSheetId="9">#REF!</definedName>
    <definedName name="DROPSTSP" localSheetId="10">#REF!</definedName>
    <definedName name="DROPSTSP" localSheetId="15">#REF!</definedName>
    <definedName name="DROPSTSP" localSheetId="19">#REF!</definedName>
    <definedName name="DROPSTSP" localSheetId="20">#REF!</definedName>
    <definedName name="DROPSTSP" localSheetId="24">#REF!</definedName>
    <definedName name="DROPSTSP" localSheetId="104">#REF!</definedName>
    <definedName name="DROPSTSP" localSheetId="65">#REF!</definedName>
    <definedName name="DROPSTSP" localSheetId="64">#REF!</definedName>
    <definedName name="DROPSTSP" localSheetId="77">#REF!</definedName>
    <definedName name="DROPSTSP" localSheetId="49">#REF!</definedName>
    <definedName name="DROPSTSP" localSheetId="40">#REF!</definedName>
    <definedName name="DROPSTSP" localSheetId="43">#REF!</definedName>
    <definedName name="DROPSTSP" localSheetId="13">#REF!</definedName>
    <definedName name="DROPSTSP" localSheetId="38">#REF!</definedName>
    <definedName name="DROPSTSP">#REF!</definedName>
    <definedName name="DRY" localSheetId="3">#REF!</definedName>
    <definedName name="DRY" localSheetId="7">#REF!</definedName>
    <definedName name="DRY" localSheetId="9">#REF!</definedName>
    <definedName name="DRY" localSheetId="10">#REF!</definedName>
    <definedName name="DRY" localSheetId="15">#REF!</definedName>
    <definedName name="DRY" localSheetId="19">#REF!</definedName>
    <definedName name="DRY" localSheetId="20">#REF!</definedName>
    <definedName name="DRY" localSheetId="24">#REF!</definedName>
    <definedName name="DRY" localSheetId="104">#REF!</definedName>
    <definedName name="DRY" localSheetId="65">#REF!</definedName>
    <definedName name="DRY" localSheetId="64">#REF!</definedName>
    <definedName name="DRY" localSheetId="77">#REF!</definedName>
    <definedName name="DRY" localSheetId="49">#REF!</definedName>
    <definedName name="DRY" localSheetId="40">#REF!</definedName>
    <definedName name="DRY" localSheetId="43">#REF!</definedName>
    <definedName name="DRY" localSheetId="13">#REF!</definedName>
    <definedName name="DRY" localSheetId="38">#REF!</definedName>
    <definedName name="DRY">#REF!</definedName>
    <definedName name="drye1" localSheetId="3">#REF!</definedName>
    <definedName name="drye1" localSheetId="7">#REF!</definedName>
    <definedName name="drye1" localSheetId="9">#REF!</definedName>
    <definedName name="drye1" localSheetId="10">#REF!</definedName>
    <definedName name="drye1" localSheetId="15">#REF!</definedName>
    <definedName name="drye1" localSheetId="19">#REF!</definedName>
    <definedName name="drye1" localSheetId="20">#REF!</definedName>
    <definedName name="drye1" localSheetId="24">#REF!</definedName>
    <definedName name="drye1" localSheetId="104">#REF!</definedName>
    <definedName name="drye1" localSheetId="65">#REF!</definedName>
    <definedName name="drye1" localSheetId="64">#REF!</definedName>
    <definedName name="drye1" localSheetId="77">#REF!</definedName>
    <definedName name="drye1" localSheetId="49">#REF!</definedName>
    <definedName name="drye1" localSheetId="40">#REF!</definedName>
    <definedName name="drye1" localSheetId="43">#REF!</definedName>
    <definedName name="drye1" localSheetId="13">#REF!</definedName>
    <definedName name="drye1" localSheetId="38">#REF!</definedName>
    <definedName name="drye1">#REF!</definedName>
    <definedName name="drye2" localSheetId="3">#REF!</definedName>
    <definedName name="drye2" localSheetId="7">#REF!</definedName>
    <definedName name="drye2" localSheetId="9">#REF!</definedName>
    <definedName name="drye2" localSheetId="10">#REF!</definedName>
    <definedName name="drye2" localSheetId="15">#REF!</definedName>
    <definedName name="drye2" localSheetId="19">#REF!</definedName>
    <definedName name="drye2" localSheetId="20">#REF!</definedName>
    <definedName name="drye2" localSheetId="24">#REF!</definedName>
    <definedName name="drye2" localSheetId="104">#REF!</definedName>
    <definedName name="drye2" localSheetId="65">#REF!</definedName>
    <definedName name="drye2" localSheetId="64">#REF!</definedName>
    <definedName name="drye2" localSheetId="77">#REF!</definedName>
    <definedName name="drye2" localSheetId="49">#REF!</definedName>
    <definedName name="drye2" localSheetId="40">#REF!</definedName>
    <definedName name="drye2" localSheetId="43">#REF!</definedName>
    <definedName name="drye2" localSheetId="13">#REF!</definedName>
    <definedName name="drye2" localSheetId="38">#REF!</definedName>
    <definedName name="drye2">#REF!</definedName>
    <definedName name="drye3" localSheetId="3">#REF!</definedName>
    <definedName name="drye3" localSheetId="7">#REF!</definedName>
    <definedName name="drye3" localSheetId="9">#REF!</definedName>
    <definedName name="drye3" localSheetId="10">#REF!</definedName>
    <definedName name="drye3" localSheetId="15">#REF!</definedName>
    <definedName name="drye3" localSheetId="19">#REF!</definedName>
    <definedName name="drye3" localSheetId="20">#REF!</definedName>
    <definedName name="drye3" localSheetId="24">#REF!</definedName>
    <definedName name="drye3" localSheetId="104">#REF!</definedName>
    <definedName name="drye3" localSheetId="65">#REF!</definedName>
    <definedName name="drye3" localSheetId="64">#REF!</definedName>
    <definedName name="drye3" localSheetId="77">#REF!</definedName>
    <definedName name="drye3" localSheetId="49">#REF!</definedName>
    <definedName name="drye3" localSheetId="40">#REF!</definedName>
    <definedName name="drye3" localSheetId="43">#REF!</definedName>
    <definedName name="drye3" localSheetId="13">#REF!</definedName>
    <definedName name="drye3" localSheetId="38">#REF!</definedName>
    <definedName name="drye3">#REF!</definedName>
    <definedName name="drye4" localSheetId="3">#REF!</definedName>
    <definedName name="drye4" localSheetId="7">#REF!</definedName>
    <definedName name="drye4" localSheetId="9">#REF!</definedName>
    <definedName name="drye4" localSheetId="10">#REF!</definedName>
    <definedName name="drye4" localSheetId="15">#REF!</definedName>
    <definedName name="drye4" localSheetId="19">#REF!</definedName>
    <definedName name="drye4" localSheetId="20">#REF!</definedName>
    <definedName name="drye4" localSheetId="24">#REF!</definedName>
    <definedName name="drye4" localSheetId="104">#REF!</definedName>
    <definedName name="drye4" localSheetId="65">#REF!</definedName>
    <definedName name="drye4" localSheetId="64">#REF!</definedName>
    <definedName name="drye4" localSheetId="77">#REF!</definedName>
    <definedName name="drye4" localSheetId="49">#REF!</definedName>
    <definedName name="drye4" localSheetId="40">#REF!</definedName>
    <definedName name="drye4" localSheetId="43">#REF!</definedName>
    <definedName name="drye4" localSheetId="13">#REF!</definedName>
    <definedName name="drye4" localSheetId="38">#REF!</definedName>
    <definedName name="drye4">#REF!</definedName>
    <definedName name="DRYER_PM_VOC" localSheetId="3">#REF!</definedName>
    <definedName name="DRYER_PM_VOC" localSheetId="7">#REF!</definedName>
    <definedName name="DRYER_PM_VOC" localSheetId="9">#REF!</definedName>
    <definedName name="DRYER_PM_VOC" localSheetId="10">#REF!</definedName>
    <definedName name="DRYER_PM_VOC" localSheetId="15">#REF!</definedName>
    <definedName name="DRYER_PM_VOC" localSheetId="19">#REF!</definedName>
    <definedName name="DRYER_PM_VOC" localSheetId="20">#REF!</definedName>
    <definedName name="DRYER_PM_VOC" localSheetId="24">#REF!</definedName>
    <definedName name="DRYER_PM_VOC" localSheetId="104">#REF!</definedName>
    <definedName name="DRYER_PM_VOC" localSheetId="65">#REF!</definedName>
    <definedName name="DRYER_PM_VOC" localSheetId="64">#REF!</definedName>
    <definedName name="DRYER_PM_VOC" localSheetId="77">#REF!</definedName>
    <definedName name="DRYER_PM_VOC" localSheetId="49">#REF!</definedName>
    <definedName name="DRYER_PM_VOC" localSheetId="48">#REF!</definedName>
    <definedName name="DRYER_PM_VOC" localSheetId="40">#REF!</definedName>
    <definedName name="DRYER_PM_VOC" localSheetId="43">#REF!</definedName>
    <definedName name="DRYER_PM_VOC" localSheetId="13">#REF!</definedName>
    <definedName name="DRYER_PM_VOC" localSheetId="38">#REF!</definedName>
    <definedName name="DRYER_PM_VOC">#REF!</definedName>
    <definedName name="dryetot" localSheetId="3">#REF!</definedName>
    <definedName name="dryetot" localSheetId="7">#REF!</definedName>
    <definedName name="dryetot" localSheetId="9">#REF!</definedName>
    <definedName name="dryetot" localSheetId="10">#REF!</definedName>
    <definedName name="dryetot" localSheetId="15">#REF!</definedName>
    <definedName name="dryetot" localSheetId="19">#REF!</definedName>
    <definedName name="dryetot" localSheetId="20">#REF!</definedName>
    <definedName name="dryetot" localSheetId="24">#REF!</definedName>
    <definedName name="dryetot" localSheetId="104">#REF!</definedName>
    <definedName name="dryetot" localSheetId="65">#REF!</definedName>
    <definedName name="dryetot" localSheetId="64">#REF!</definedName>
    <definedName name="dryetot" localSheetId="77">#REF!</definedName>
    <definedName name="dryetot" localSheetId="49">#REF!</definedName>
    <definedName name="dryetot" localSheetId="40">#REF!</definedName>
    <definedName name="dryetot" localSheetId="43">#REF!</definedName>
    <definedName name="dryetot" localSheetId="13">#REF!</definedName>
    <definedName name="dryetot" localSheetId="38">#REF!</definedName>
    <definedName name="dryetot">#REF!</definedName>
    <definedName name="dsrec" localSheetId="3">#REF!</definedName>
    <definedName name="dsrec" localSheetId="7">#REF!</definedName>
    <definedName name="dsrec" localSheetId="9">#REF!</definedName>
    <definedName name="dsrec" localSheetId="10">#REF!</definedName>
    <definedName name="dsrec" localSheetId="15">#REF!</definedName>
    <definedName name="dsrec" localSheetId="19">#REF!</definedName>
    <definedName name="dsrec" localSheetId="20">#REF!</definedName>
    <definedName name="dsrec" localSheetId="24">#REF!</definedName>
    <definedName name="dsrec" localSheetId="104">#REF!</definedName>
    <definedName name="dsrec" localSheetId="65">#REF!</definedName>
    <definedName name="dsrec" localSheetId="64">#REF!</definedName>
    <definedName name="dsrec" localSheetId="77">#REF!</definedName>
    <definedName name="dsrec" localSheetId="49">#REF!</definedName>
    <definedName name="dsrec" localSheetId="40">#REF!</definedName>
    <definedName name="dsrec" localSheetId="43">#REF!</definedName>
    <definedName name="dsrec" localSheetId="13">#REF!</definedName>
    <definedName name="dsrec" localSheetId="38">#REF!</definedName>
    <definedName name="dsrec">#REF!</definedName>
    <definedName name="dTa" localSheetId="3">#REF!</definedName>
    <definedName name="dTa" localSheetId="7">#REF!</definedName>
    <definedName name="dTa" localSheetId="9">#REF!</definedName>
    <definedName name="dTa" localSheetId="10">#REF!</definedName>
    <definedName name="dTa" localSheetId="15">#REF!</definedName>
    <definedName name="dTa" localSheetId="19">#REF!</definedName>
    <definedName name="dTa" localSheetId="20">#REF!</definedName>
    <definedName name="dTa" localSheetId="24">#REF!</definedName>
    <definedName name="dTa" localSheetId="104">#REF!</definedName>
    <definedName name="dTa" localSheetId="65">#REF!</definedName>
    <definedName name="dTa" localSheetId="64">#REF!</definedName>
    <definedName name="dTa" localSheetId="77">#REF!</definedName>
    <definedName name="dTa" localSheetId="49">#REF!</definedName>
    <definedName name="dTa" localSheetId="40">#REF!</definedName>
    <definedName name="dTa" localSheetId="43">#REF!</definedName>
    <definedName name="dTa" localSheetId="13">#REF!</definedName>
    <definedName name="dTa" localSheetId="38">#REF!</definedName>
    <definedName name="dTa">#REF!</definedName>
    <definedName name="DTv" localSheetId="3">#REF!</definedName>
    <definedName name="DTv" localSheetId="7">#REF!</definedName>
    <definedName name="DTv" localSheetId="9">#REF!</definedName>
    <definedName name="DTv" localSheetId="10">#REF!</definedName>
    <definedName name="DTv" localSheetId="15">#REF!</definedName>
    <definedName name="DTv" localSheetId="19">#REF!</definedName>
    <definedName name="DTv" localSheetId="20">#REF!</definedName>
    <definedName name="DTv" localSheetId="24">#REF!</definedName>
    <definedName name="DTv" localSheetId="104">#REF!</definedName>
    <definedName name="DTv" localSheetId="65">#REF!</definedName>
    <definedName name="DTv" localSheetId="64">#REF!</definedName>
    <definedName name="DTv" localSheetId="77">#REF!</definedName>
    <definedName name="DTv" localSheetId="49">#REF!</definedName>
    <definedName name="DTv" localSheetId="40">#REF!</definedName>
    <definedName name="DTv" localSheetId="43">#REF!</definedName>
    <definedName name="DTv" localSheetId="13">#REF!</definedName>
    <definedName name="DTv" localSheetId="38">#REF!</definedName>
    <definedName name="DTv">#REF!</definedName>
    <definedName name="DurationMarkup" localSheetId="3">#REF!</definedName>
    <definedName name="DurationMarkup" localSheetId="7">#REF!</definedName>
    <definedName name="DurationMarkup" localSheetId="9">#REF!</definedName>
    <definedName name="DurationMarkup" localSheetId="10">#REF!</definedName>
    <definedName name="DurationMarkup" localSheetId="15">#REF!</definedName>
    <definedName name="DurationMarkup" localSheetId="19">#REF!</definedName>
    <definedName name="DurationMarkup" localSheetId="20">#REF!</definedName>
    <definedName name="DurationMarkup" localSheetId="24">#REF!</definedName>
    <definedName name="DurationMarkup" localSheetId="104">#REF!</definedName>
    <definedName name="DurationMarkup" localSheetId="65">#REF!</definedName>
    <definedName name="DurationMarkup" localSheetId="64">#REF!</definedName>
    <definedName name="DurationMarkup" localSheetId="77">#REF!</definedName>
    <definedName name="DurationMarkup" localSheetId="49">#REF!</definedName>
    <definedName name="DurationMarkup" localSheetId="40">#REF!</definedName>
    <definedName name="DurationMarkup" localSheetId="43">#REF!</definedName>
    <definedName name="DurationMarkup" localSheetId="13">#REF!</definedName>
    <definedName name="DurationMarkup" localSheetId="38">#REF!</definedName>
    <definedName name="DurationMarkup">#REF!</definedName>
    <definedName name="e" localSheetId="3">#REF!</definedName>
    <definedName name="e" localSheetId="7">#REF!</definedName>
    <definedName name="e" localSheetId="9">#REF!</definedName>
    <definedName name="e" localSheetId="10">#REF!</definedName>
    <definedName name="e" localSheetId="15">#REF!</definedName>
    <definedName name="e" localSheetId="19">#REF!</definedName>
    <definedName name="e" localSheetId="20">#REF!</definedName>
    <definedName name="e" localSheetId="24">#REF!</definedName>
    <definedName name="e" localSheetId="104">#REF!</definedName>
    <definedName name="e" localSheetId="65">#REF!</definedName>
    <definedName name="e" localSheetId="64">#REF!</definedName>
    <definedName name="e" localSheetId="77">#REF!</definedName>
    <definedName name="e" localSheetId="49">#REF!</definedName>
    <definedName name="e" localSheetId="40">#REF!</definedName>
    <definedName name="e" localSheetId="43">#REF!</definedName>
    <definedName name="e" localSheetId="13">#REF!</definedName>
    <definedName name="e" localSheetId="38">#REF!</definedName>
    <definedName name="e">#REF!</definedName>
    <definedName name="EAW_TOTAL" localSheetId="3">#REF!</definedName>
    <definedName name="EAW_TOTAL" localSheetId="7">#REF!</definedName>
    <definedName name="EAW_TOTAL" localSheetId="9">#REF!</definedName>
    <definedName name="EAW_TOTAL" localSheetId="10">#REF!</definedName>
    <definedName name="EAW_TOTAL" localSheetId="15">#REF!</definedName>
    <definedName name="EAW_TOTAL" localSheetId="19">#REF!</definedName>
    <definedName name="EAW_TOTAL" localSheetId="20">#REF!</definedName>
    <definedName name="EAW_TOTAL" localSheetId="24">#REF!</definedName>
    <definedName name="EAW_TOTAL" localSheetId="104">#REF!</definedName>
    <definedName name="EAW_TOTAL" localSheetId="65">#REF!</definedName>
    <definedName name="EAW_TOTAL" localSheetId="64">#REF!</definedName>
    <definedName name="EAW_TOTAL" localSheetId="77">#REF!</definedName>
    <definedName name="EAW_TOTAL" localSheetId="49">#REF!</definedName>
    <definedName name="EAW_TOTAL" localSheetId="48">#REF!</definedName>
    <definedName name="EAW_TOTAL" localSheetId="40">#REF!</definedName>
    <definedName name="EAW_TOTAL" localSheetId="43">#REF!</definedName>
    <definedName name="EAW_TOTAL" localSheetId="13">#REF!</definedName>
    <definedName name="EAW_TOTAL" localSheetId="38">#REF!</definedName>
    <definedName name="EAW_TOTAL">#REF!</definedName>
    <definedName name="ee" localSheetId="105" hidden="1">{#N/A,#N/A,FALSE,"Rates";#N/A,#N/A,FALSE,"Summary";#N/A,#N/A,FALSE,"Boilers";#N/A,#N/A,FALSE,"Cyclones";#N/A,#N/A,FALSE,"Saws";#N/A,#N/A,FALSE,"Drops";#N/A,#N/A,FALSE,"Piles";#N/A,#N/A,FALSE,"Roads";#N/A,#N/A,FALSE,"Tanks";#N/A,#N/A,FALSE,"Kilns";#N/A,#N/A,FALSE,"Model"}</definedName>
    <definedName name="ee" localSheetId="96" hidden="1">{#N/A,#N/A,FALSE,"Rates";#N/A,#N/A,FALSE,"Summary";#N/A,#N/A,FALSE,"Boilers";#N/A,#N/A,FALSE,"Cyclones";#N/A,#N/A,FALSE,"Saws";#N/A,#N/A,FALSE,"Drops";#N/A,#N/A,FALSE,"Piles";#N/A,#N/A,FALSE,"Roads";#N/A,#N/A,FALSE,"Tanks";#N/A,#N/A,FALSE,"Kilns";#N/A,#N/A,FALSE,"Model"}</definedName>
    <definedName name="ee" localSheetId="44" hidden="1">{#N/A,#N/A,FALSE,"Rates";#N/A,#N/A,FALSE,"Summary";#N/A,#N/A,FALSE,"Boilers";#N/A,#N/A,FALSE,"Cyclones";#N/A,#N/A,FALSE,"Saws";#N/A,#N/A,FALSE,"Drops";#N/A,#N/A,FALSE,"Piles";#N/A,#N/A,FALSE,"Roads";#N/A,#N/A,FALSE,"Tanks";#N/A,#N/A,FALSE,"Kilns";#N/A,#N/A,FALSE,"Model"}</definedName>
    <definedName name="ee" hidden="1">{#N/A,#N/A,FALSE,"Rates";#N/A,#N/A,FALSE,"Summary";#N/A,#N/A,FALSE,"Boilers";#N/A,#N/A,FALSE,"Cyclones";#N/A,#N/A,FALSE,"Saws";#N/A,#N/A,FALSE,"Drops";#N/A,#N/A,FALSE,"Piles";#N/A,#N/A,FALSE,"Roads";#N/A,#N/A,FALSE,"Tanks";#N/A,#N/A,FALSE,"Kilns";#N/A,#N/A,FALSE,"Model"}</definedName>
    <definedName name="eee" localSheetId="3">#REF!</definedName>
    <definedName name="eee" localSheetId="7">#REF!</definedName>
    <definedName name="eee" localSheetId="9">#REF!</definedName>
    <definedName name="eee" localSheetId="10">#REF!</definedName>
    <definedName name="eee" localSheetId="15">#REF!</definedName>
    <definedName name="eee" localSheetId="19">#REF!</definedName>
    <definedName name="eee" localSheetId="20">#REF!</definedName>
    <definedName name="eee" localSheetId="24">#REF!</definedName>
    <definedName name="eee" localSheetId="104">#REF!</definedName>
    <definedName name="eee" localSheetId="65">#REF!</definedName>
    <definedName name="eee" localSheetId="64">#REF!</definedName>
    <definedName name="eee" localSheetId="77">#REF!</definedName>
    <definedName name="eee" localSheetId="49">#REF!</definedName>
    <definedName name="eee" localSheetId="40">#REF!</definedName>
    <definedName name="eee" localSheetId="43">#REF!</definedName>
    <definedName name="eee" localSheetId="13">#REF!</definedName>
    <definedName name="eee" localSheetId="38">#REF!</definedName>
    <definedName name="eee">#REF!</definedName>
    <definedName name="EF" localSheetId="3">#REF!</definedName>
    <definedName name="EF" localSheetId="7">#REF!</definedName>
    <definedName name="EF" localSheetId="9">#REF!</definedName>
    <definedName name="EF" localSheetId="10">#REF!</definedName>
    <definedName name="EF" localSheetId="15">#REF!</definedName>
    <definedName name="EF" localSheetId="19">#REF!</definedName>
    <definedName name="EF" localSheetId="20">#REF!</definedName>
    <definedName name="EF" localSheetId="24">#REF!</definedName>
    <definedName name="EF" localSheetId="104">#REF!</definedName>
    <definedName name="EF" localSheetId="65">#REF!</definedName>
    <definedName name="EF" localSheetId="64">#REF!</definedName>
    <definedName name="EF" localSheetId="77">#REF!</definedName>
    <definedName name="EF" localSheetId="49">#REF!</definedName>
    <definedName name="EF" localSheetId="40">#REF!</definedName>
    <definedName name="EF" localSheetId="43">#REF!</definedName>
    <definedName name="EF" localSheetId="13">#REF!</definedName>
    <definedName name="EF" localSheetId="38">#REF!</definedName>
    <definedName name="EF">#REF!</definedName>
    <definedName name="efficiency" localSheetId="3">#REF!</definedName>
    <definedName name="efficiency" localSheetId="7">#REF!</definedName>
    <definedName name="efficiency" localSheetId="9">#REF!</definedName>
    <definedName name="efficiency" localSheetId="10">#REF!</definedName>
    <definedName name="efficiency" localSheetId="15">#REF!</definedName>
    <definedName name="efficiency" localSheetId="19">#REF!</definedName>
    <definedName name="efficiency" localSheetId="20">#REF!</definedName>
    <definedName name="efficiency" localSheetId="24">#REF!</definedName>
    <definedName name="efficiency" localSheetId="104">#REF!</definedName>
    <definedName name="efficiency" localSheetId="65">#REF!</definedName>
    <definedName name="efficiency" localSheetId="64">#REF!</definedName>
    <definedName name="efficiency" localSheetId="77">#REF!</definedName>
    <definedName name="efficiency" localSheetId="49">#REF!</definedName>
    <definedName name="efficiency" localSheetId="40">#REF!</definedName>
    <definedName name="efficiency" localSheetId="43">#REF!</definedName>
    <definedName name="efficiency" localSheetId="13">#REF!</definedName>
    <definedName name="efficiency" localSheetId="38">#REF!</definedName>
    <definedName name="efficiency">#REF!</definedName>
    <definedName name="EIyear" localSheetId="3">#REF!</definedName>
    <definedName name="EIyear" localSheetId="7">#REF!</definedName>
    <definedName name="EIyear" localSheetId="9">#REF!</definedName>
    <definedName name="EIyear" localSheetId="10">#REF!</definedName>
    <definedName name="EIyear" localSheetId="15">#REF!</definedName>
    <definedName name="EIyear" localSheetId="19">#REF!</definedName>
    <definedName name="EIyear" localSheetId="20">#REF!</definedName>
    <definedName name="EIyear" localSheetId="24">#REF!</definedName>
    <definedName name="EIyear" localSheetId="104">#REF!</definedName>
    <definedName name="EIyear" localSheetId="65">#REF!</definedName>
    <definedName name="EIyear" localSheetId="64">#REF!</definedName>
    <definedName name="EIyear" localSheetId="77">#REF!</definedName>
    <definedName name="EIyear" localSheetId="49">#REF!</definedName>
    <definedName name="EIyear" localSheetId="40">#REF!</definedName>
    <definedName name="EIyear" localSheetId="43">#REF!</definedName>
    <definedName name="EIyear" localSheetId="13">#REF!</definedName>
    <definedName name="EIyear" localSheetId="38">#REF!</definedName>
    <definedName name="EIyear">#REF!</definedName>
    <definedName name="Email" localSheetId="3">#REF!</definedName>
    <definedName name="Email" localSheetId="7">#REF!</definedName>
    <definedName name="Email" localSheetId="9">#REF!</definedName>
    <definedName name="Email" localSheetId="10">#REF!</definedName>
    <definedName name="Email" localSheetId="15">#REF!</definedName>
    <definedName name="Email" localSheetId="19">#REF!</definedName>
    <definedName name="Email" localSheetId="20">#REF!</definedName>
    <definedName name="Email" localSheetId="24">#REF!</definedName>
    <definedName name="Email" localSheetId="104">#REF!</definedName>
    <definedName name="Email" localSheetId="65">#REF!</definedName>
    <definedName name="Email" localSheetId="64">#REF!</definedName>
    <definedName name="Email" localSheetId="77">#REF!</definedName>
    <definedName name="Email" localSheetId="49">#REF!</definedName>
    <definedName name="Email" localSheetId="48">#REF!</definedName>
    <definedName name="Email" localSheetId="40">#REF!</definedName>
    <definedName name="Email" localSheetId="43">#REF!</definedName>
    <definedName name="Email" localSheetId="13">#REF!</definedName>
    <definedName name="Email" localSheetId="38">#REF!</definedName>
    <definedName name="Email">#REF!</definedName>
    <definedName name="Emiss_Info" localSheetId="3">#REF!</definedName>
    <definedName name="Emiss_Info" localSheetId="7">#REF!</definedName>
    <definedName name="Emiss_Info" localSheetId="9">#REF!</definedName>
    <definedName name="Emiss_Info" localSheetId="10">#REF!</definedName>
    <definedName name="Emiss_Info" localSheetId="15">#REF!</definedName>
    <definedName name="Emiss_Info" localSheetId="19">#REF!</definedName>
    <definedName name="Emiss_Info" localSheetId="20">#REF!</definedName>
    <definedName name="Emiss_Info" localSheetId="24">#REF!</definedName>
    <definedName name="Emiss_Info" localSheetId="104">#REF!</definedName>
    <definedName name="Emiss_Info" localSheetId="65">#REF!</definedName>
    <definedName name="Emiss_Info" localSheetId="64">#REF!</definedName>
    <definedName name="Emiss_Info" localSheetId="77">#REF!</definedName>
    <definedName name="Emiss_Info" localSheetId="49">#REF!</definedName>
    <definedName name="Emiss_Info" localSheetId="40">#REF!</definedName>
    <definedName name="Emiss_Info" localSheetId="43">#REF!</definedName>
    <definedName name="Emiss_Info" localSheetId="13">#REF!</definedName>
    <definedName name="Emiss_Info" localSheetId="38">#REF!</definedName>
    <definedName name="Emiss_Info">#REF!</definedName>
    <definedName name="emission" localSheetId="3">#REF!</definedName>
    <definedName name="emission" localSheetId="7">#REF!</definedName>
    <definedName name="emission" localSheetId="9">#REF!</definedName>
    <definedName name="emission" localSheetId="10">#REF!</definedName>
    <definedName name="emission" localSheetId="15">#REF!</definedName>
    <definedName name="emission" localSheetId="19">#REF!</definedName>
    <definedName name="emission" localSheetId="20">#REF!</definedName>
    <definedName name="emission" localSheetId="24">#REF!</definedName>
    <definedName name="emission" localSheetId="104">#REF!</definedName>
    <definedName name="emission" localSheetId="65">#REF!</definedName>
    <definedName name="emission" localSheetId="64">#REF!</definedName>
    <definedName name="emission" localSheetId="77">#REF!</definedName>
    <definedName name="emission" localSheetId="49">#REF!</definedName>
    <definedName name="emission" localSheetId="40">#REF!</definedName>
    <definedName name="emission" localSheetId="43">#REF!</definedName>
    <definedName name="emission" localSheetId="13">#REF!</definedName>
    <definedName name="emission" localSheetId="38">#REF!</definedName>
    <definedName name="emission">#REF!</definedName>
    <definedName name="Emissions_by_OPN_Freeport" localSheetId="3">#REF!</definedName>
    <definedName name="Emissions_by_OPN_Freeport" localSheetId="7">#REF!</definedName>
    <definedName name="Emissions_by_OPN_Freeport" localSheetId="9">#REF!</definedName>
    <definedName name="Emissions_by_OPN_Freeport" localSheetId="10">#REF!</definedName>
    <definedName name="Emissions_by_OPN_Freeport" localSheetId="15">#REF!</definedName>
    <definedName name="Emissions_by_OPN_Freeport" localSheetId="19">#REF!</definedName>
    <definedName name="Emissions_by_OPN_Freeport" localSheetId="20">#REF!</definedName>
    <definedName name="Emissions_by_OPN_Freeport" localSheetId="24">#REF!</definedName>
    <definedName name="Emissions_by_OPN_Freeport" localSheetId="104">#REF!</definedName>
    <definedName name="Emissions_by_OPN_Freeport" localSheetId="65">#REF!</definedName>
    <definedName name="Emissions_by_OPN_Freeport" localSheetId="64">#REF!</definedName>
    <definedName name="Emissions_by_OPN_Freeport" localSheetId="77">#REF!</definedName>
    <definedName name="Emissions_by_OPN_Freeport" localSheetId="49">#REF!</definedName>
    <definedName name="Emissions_by_OPN_Freeport" localSheetId="40">#REF!</definedName>
    <definedName name="Emissions_by_OPN_Freeport" localSheetId="43">#REF!</definedName>
    <definedName name="Emissions_by_OPN_Freeport" localSheetId="13">#REF!</definedName>
    <definedName name="Emissions_by_OPN_Freeport" localSheetId="38">#REF!</definedName>
    <definedName name="Emissions_by_OPN_Freeport">#REF!</definedName>
    <definedName name="EmptyTotal" localSheetId="3">#REF!</definedName>
    <definedName name="EmptyTotal" localSheetId="7">#REF!</definedName>
    <definedName name="EmptyTotal" localSheetId="9">#REF!</definedName>
    <definedName name="EmptyTotal" localSheetId="10">#REF!</definedName>
    <definedName name="EmptyTotal" localSheetId="15">#REF!</definedName>
    <definedName name="EmptyTotal" localSheetId="19">#REF!</definedName>
    <definedName name="EmptyTotal" localSheetId="20">#REF!</definedName>
    <definedName name="EmptyTotal" localSheetId="24">#REF!</definedName>
    <definedName name="EmptyTotal" localSheetId="104">#REF!</definedName>
    <definedName name="EmptyTotal" localSheetId="65">#REF!</definedName>
    <definedName name="EmptyTotal" localSheetId="64">#REF!</definedName>
    <definedName name="EmptyTotal" localSheetId="77">#REF!</definedName>
    <definedName name="EmptyTotal" localSheetId="49">#REF!</definedName>
    <definedName name="EmptyTotal" localSheetId="40">#REF!</definedName>
    <definedName name="EmptyTotal" localSheetId="43">#REF!</definedName>
    <definedName name="EmptyTotal" localSheetId="13">#REF!</definedName>
    <definedName name="EmptyTotal" localSheetId="38">#REF!</definedName>
    <definedName name="EmptyTotal">#REF!</definedName>
    <definedName name="EngEff">98</definedName>
    <definedName name="EngineType" localSheetId="3">#REF!</definedName>
    <definedName name="EngineType" localSheetId="7">#REF!</definedName>
    <definedName name="EngineType" localSheetId="9">#REF!</definedName>
    <definedName name="EngineType" localSheetId="10">#REF!</definedName>
    <definedName name="EngineType" localSheetId="15">#REF!</definedName>
    <definedName name="EngineType" localSheetId="19">#REF!</definedName>
    <definedName name="EngineType" localSheetId="20">#REF!</definedName>
    <definedName name="EngineType" localSheetId="24">#REF!</definedName>
    <definedName name="EngineType" localSheetId="104">#REF!</definedName>
    <definedName name="EngineType" localSheetId="65">#REF!</definedName>
    <definedName name="EngineType" localSheetId="64">#REF!</definedName>
    <definedName name="EngineType" localSheetId="77">#REF!</definedName>
    <definedName name="EngineType" localSheetId="49">#REF!</definedName>
    <definedName name="EngineType" localSheetId="40">#REF!</definedName>
    <definedName name="EngineType" localSheetId="43">#REF!</definedName>
    <definedName name="EngineType" localSheetId="13">#REF!</definedName>
    <definedName name="EngineType" localSheetId="38">#REF!</definedName>
    <definedName name="EngineType">#REF!</definedName>
    <definedName name="EPA" localSheetId="3">#REF!</definedName>
    <definedName name="EPA" localSheetId="7">#REF!</definedName>
    <definedName name="EPA" localSheetId="9">#REF!</definedName>
    <definedName name="EPA" localSheetId="10">#REF!</definedName>
    <definedName name="EPA" localSheetId="15">#REF!</definedName>
    <definedName name="EPA" localSheetId="19">#REF!</definedName>
    <definedName name="EPA" localSheetId="20">#REF!</definedName>
    <definedName name="EPA" localSheetId="24">#REF!</definedName>
    <definedName name="EPA" localSheetId="104">#REF!</definedName>
    <definedName name="EPA" localSheetId="65">#REF!</definedName>
    <definedName name="EPA" localSheetId="64">#REF!</definedName>
    <definedName name="EPA" localSheetId="77">#REF!</definedName>
    <definedName name="EPA" localSheetId="49">#REF!</definedName>
    <definedName name="EPA" localSheetId="40">#REF!</definedName>
    <definedName name="EPA" localSheetId="43">#REF!</definedName>
    <definedName name="EPA" localSheetId="13">#REF!</definedName>
    <definedName name="EPA" localSheetId="38">#REF!</definedName>
    <definedName name="EPA">#REF!</definedName>
    <definedName name="EQUIPMENT_LEAKS" localSheetId="3">#REF!</definedName>
    <definedName name="EQUIPMENT_LEAKS" localSheetId="7">#REF!</definedName>
    <definedName name="EQUIPMENT_LEAKS" localSheetId="9">#REF!</definedName>
    <definedName name="EQUIPMENT_LEAKS" localSheetId="10">#REF!</definedName>
    <definedName name="EQUIPMENT_LEAKS" localSheetId="15">#REF!</definedName>
    <definedName name="EQUIPMENT_LEAKS" localSheetId="19">#REF!</definedName>
    <definedName name="EQUIPMENT_LEAKS" localSheetId="20">#REF!</definedName>
    <definedName name="EQUIPMENT_LEAKS" localSheetId="24">#REF!</definedName>
    <definedName name="EQUIPMENT_LEAKS" localSheetId="104">#REF!</definedName>
    <definedName name="EQUIPMENT_LEAKS" localSheetId="65">#REF!</definedName>
    <definedName name="EQUIPMENT_LEAKS" localSheetId="64">#REF!</definedName>
    <definedName name="EQUIPMENT_LEAKS" localSheetId="77">#REF!</definedName>
    <definedName name="EQUIPMENT_LEAKS" localSheetId="49">#REF!</definedName>
    <definedName name="EQUIPMENT_LEAKS" localSheetId="48">#REF!</definedName>
    <definedName name="EQUIPMENT_LEAKS" localSheetId="40">#REF!</definedName>
    <definedName name="EQUIPMENT_LEAKS" localSheetId="43">#REF!</definedName>
    <definedName name="EQUIPMENT_LEAKS" localSheetId="13">#REF!</definedName>
    <definedName name="EQUIPMENT_LEAKS" localSheetId="38">#REF!</definedName>
    <definedName name="EQUIPMENT_LEAKS">#REF!</definedName>
    <definedName name="ETHY_Gas" localSheetId="3">#REF!</definedName>
    <definedName name="ETHY_Gas" localSheetId="7">#REF!</definedName>
    <definedName name="ETHY_Gas" localSheetId="9">#REF!</definedName>
    <definedName name="ETHY_Gas" localSheetId="10">#REF!</definedName>
    <definedName name="ETHY_Gas" localSheetId="15">#REF!</definedName>
    <definedName name="ETHY_Gas" localSheetId="19">#REF!</definedName>
    <definedName name="ETHY_Gas" localSheetId="20">#REF!</definedName>
    <definedName name="ETHY_Gas" localSheetId="24">#REF!</definedName>
    <definedName name="ETHY_Gas" localSheetId="104">#REF!</definedName>
    <definedName name="ETHY_Gas" localSheetId="65">#REF!</definedName>
    <definedName name="ETHY_Gas" localSheetId="64">#REF!</definedName>
    <definedName name="ETHY_Gas" localSheetId="77">#REF!</definedName>
    <definedName name="ETHY_Gas" localSheetId="49">#REF!</definedName>
    <definedName name="ETHY_Gas" localSheetId="40">#REF!</definedName>
    <definedName name="ETHY_Gas" localSheetId="43">#REF!</definedName>
    <definedName name="ETHY_Gas" localSheetId="13">#REF!</definedName>
    <definedName name="ETHY_Gas" localSheetId="38">#REF!</definedName>
    <definedName name="ETHY_Gas">#REF!</definedName>
    <definedName name="ETHY_Liq" localSheetId="3">#REF!</definedName>
    <definedName name="ETHY_Liq" localSheetId="7">#REF!</definedName>
    <definedName name="ETHY_Liq" localSheetId="9">#REF!</definedName>
    <definedName name="ETHY_Liq" localSheetId="10">#REF!</definedName>
    <definedName name="ETHY_Liq" localSheetId="15">#REF!</definedName>
    <definedName name="ETHY_Liq" localSheetId="19">#REF!</definedName>
    <definedName name="ETHY_Liq" localSheetId="20">#REF!</definedName>
    <definedName name="ETHY_Liq" localSheetId="24">#REF!</definedName>
    <definedName name="ETHY_Liq" localSheetId="104">#REF!</definedName>
    <definedName name="ETHY_Liq" localSheetId="65">#REF!</definedName>
    <definedName name="ETHY_Liq" localSheetId="64">#REF!</definedName>
    <definedName name="ETHY_Liq" localSheetId="77">#REF!</definedName>
    <definedName name="ETHY_Liq" localSheetId="49">#REF!</definedName>
    <definedName name="ETHY_Liq" localSheetId="40">#REF!</definedName>
    <definedName name="ETHY_Liq" localSheetId="43">#REF!</definedName>
    <definedName name="ETHY_Liq" localSheetId="13">#REF!</definedName>
    <definedName name="ETHY_Liq" localSheetId="38">#REF!</definedName>
    <definedName name="ETHY_Liq">#REF!</definedName>
    <definedName name="EV__LASTREFTIME__" hidden="1">40434.5846643519</definedName>
    <definedName name="EXEMPT" localSheetId="3">#REF!</definedName>
    <definedName name="EXEMPT" localSheetId="7">#REF!</definedName>
    <definedName name="EXEMPT" localSheetId="9">#REF!</definedName>
    <definedName name="EXEMPT" localSheetId="10">#REF!</definedName>
    <definedName name="EXEMPT" localSheetId="15">#REF!</definedName>
    <definedName name="EXEMPT" localSheetId="19">#REF!</definedName>
    <definedName name="EXEMPT" localSheetId="20">#REF!</definedName>
    <definedName name="EXEMPT" localSheetId="24">#REF!</definedName>
    <definedName name="EXEMPT" localSheetId="104">#REF!</definedName>
    <definedName name="EXEMPT" localSheetId="65">#REF!</definedName>
    <definedName name="EXEMPT" localSheetId="64">#REF!</definedName>
    <definedName name="EXEMPT" localSheetId="77">#REF!</definedName>
    <definedName name="EXEMPT" localSheetId="49">#REF!</definedName>
    <definedName name="EXEMPT" localSheetId="40">#REF!</definedName>
    <definedName name="EXEMPT" localSheetId="43">#REF!</definedName>
    <definedName name="EXEMPT" localSheetId="13">#REF!</definedName>
    <definedName name="EXEMPT" localSheetId="38">#REF!</definedName>
    <definedName name="EXEMPT">#REF!</definedName>
    <definedName name="Exist" localSheetId="3">#REF!</definedName>
    <definedName name="Exist" localSheetId="7">#REF!</definedName>
    <definedName name="Exist" localSheetId="9">#REF!</definedName>
    <definedName name="Exist" localSheetId="10">#REF!</definedName>
    <definedName name="Exist" localSheetId="15">#REF!</definedName>
    <definedName name="Exist" localSheetId="19">#REF!</definedName>
    <definedName name="Exist" localSheetId="20">#REF!</definedName>
    <definedName name="Exist" localSheetId="24">#REF!</definedName>
    <definedName name="Exist" localSheetId="104">#REF!</definedName>
    <definedName name="Exist" localSheetId="65">#REF!</definedName>
    <definedName name="Exist" localSheetId="64">#REF!</definedName>
    <definedName name="Exist" localSheetId="77">#REF!</definedName>
    <definedName name="Exist" localSheetId="49">#REF!</definedName>
    <definedName name="Exist" localSheetId="40">#REF!</definedName>
    <definedName name="Exist" localSheetId="43">#REF!</definedName>
    <definedName name="Exist" localSheetId="13">#REF!</definedName>
    <definedName name="Exist" localSheetId="38">#REF!</definedName>
    <definedName name="Exist">#REF!</definedName>
    <definedName name="EXOP1" localSheetId="3">#REF!</definedName>
    <definedName name="EXOP1" localSheetId="7">#REF!</definedName>
    <definedName name="EXOP1" localSheetId="9">#REF!</definedName>
    <definedName name="EXOP1" localSheetId="10">#REF!</definedName>
    <definedName name="EXOP1" localSheetId="15">#REF!</definedName>
    <definedName name="EXOP1" localSheetId="19">#REF!</definedName>
    <definedName name="EXOP1" localSheetId="20">#REF!</definedName>
    <definedName name="EXOP1" localSheetId="24">#REF!</definedName>
    <definedName name="EXOP1" localSheetId="104">#REF!</definedName>
    <definedName name="EXOP1" localSheetId="65">#REF!</definedName>
    <definedName name="EXOP1" localSheetId="64">#REF!</definedName>
    <definedName name="EXOP1" localSheetId="77">#REF!</definedName>
    <definedName name="EXOP1" localSheetId="49">#REF!</definedName>
    <definedName name="EXOP1" localSheetId="40">#REF!</definedName>
    <definedName name="EXOP1" localSheetId="43">#REF!</definedName>
    <definedName name="EXOP1" localSheetId="13">#REF!</definedName>
    <definedName name="EXOP1" localSheetId="38">#REF!</definedName>
    <definedName name="EXOP1">#REF!</definedName>
    <definedName name="EXOP2" localSheetId="3">#REF!</definedName>
    <definedName name="EXOP2" localSheetId="7">#REF!</definedName>
    <definedName name="EXOP2" localSheetId="9">#REF!</definedName>
    <definedName name="EXOP2" localSheetId="10">#REF!</definedName>
    <definedName name="EXOP2" localSheetId="15">#REF!</definedName>
    <definedName name="EXOP2" localSheetId="19">#REF!</definedName>
    <definedName name="EXOP2" localSheetId="20">#REF!</definedName>
    <definedName name="EXOP2" localSheetId="24">#REF!</definedName>
    <definedName name="EXOP2" localSheetId="104">#REF!</definedName>
    <definedName name="EXOP2" localSheetId="65">#REF!</definedName>
    <definedName name="EXOP2" localSheetId="64">#REF!</definedName>
    <definedName name="EXOP2" localSheetId="77">#REF!</definedName>
    <definedName name="EXOP2" localSheetId="49">#REF!</definedName>
    <definedName name="EXOP2" localSheetId="40">#REF!</definedName>
    <definedName name="EXOP2" localSheetId="43">#REF!</definedName>
    <definedName name="EXOP2" localSheetId="13">#REF!</definedName>
    <definedName name="EXOP2" localSheetId="38">#REF!</definedName>
    <definedName name="EXOP2">#REF!</definedName>
    <definedName name="EXOPNM1" localSheetId="3">#REF!</definedName>
    <definedName name="EXOPNM1" localSheetId="7">#REF!</definedName>
    <definedName name="EXOPNM1" localSheetId="9">#REF!</definedName>
    <definedName name="EXOPNM1" localSheetId="10">#REF!</definedName>
    <definedName name="EXOPNM1" localSheetId="15">#REF!</definedName>
    <definedName name="EXOPNM1" localSheetId="19">#REF!</definedName>
    <definedName name="EXOPNM1" localSheetId="20">#REF!</definedName>
    <definedName name="EXOPNM1" localSheetId="24">#REF!</definedName>
    <definedName name="EXOPNM1" localSheetId="104">#REF!</definedName>
    <definedName name="EXOPNM1" localSheetId="65">#REF!</definedName>
    <definedName name="EXOPNM1" localSheetId="64">#REF!</definedName>
    <definedName name="EXOPNM1" localSheetId="77">#REF!</definedName>
    <definedName name="EXOPNM1" localSheetId="49">#REF!</definedName>
    <definedName name="EXOPNM1" localSheetId="40">#REF!</definedName>
    <definedName name="EXOPNM1" localSheetId="43">#REF!</definedName>
    <definedName name="EXOPNM1" localSheetId="13">#REF!</definedName>
    <definedName name="EXOPNM1" localSheetId="38">#REF!</definedName>
    <definedName name="EXOPNM1">#REF!</definedName>
    <definedName name="EXOPNM2" localSheetId="3">#REF!</definedName>
    <definedName name="EXOPNM2" localSheetId="7">#REF!</definedName>
    <definedName name="EXOPNM2" localSheetId="9">#REF!</definedName>
    <definedName name="EXOPNM2" localSheetId="10">#REF!</definedName>
    <definedName name="EXOPNM2" localSheetId="15">#REF!</definedName>
    <definedName name="EXOPNM2" localSheetId="19">#REF!</definedName>
    <definedName name="EXOPNM2" localSheetId="20">#REF!</definedName>
    <definedName name="EXOPNM2" localSheetId="24">#REF!</definedName>
    <definedName name="EXOPNM2" localSheetId="104">#REF!</definedName>
    <definedName name="EXOPNM2" localSheetId="65">#REF!</definedName>
    <definedName name="EXOPNM2" localSheetId="64">#REF!</definedName>
    <definedName name="EXOPNM2" localSheetId="77">#REF!</definedName>
    <definedName name="EXOPNM2" localSheetId="49">#REF!</definedName>
    <definedName name="EXOPNM2" localSheetId="40">#REF!</definedName>
    <definedName name="EXOPNM2" localSheetId="43">#REF!</definedName>
    <definedName name="EXOPNM2" localSheetId="13">#REF!</definedName>
    <definedName name="EXOPNM2" localSheetId="38">#REF!</definedName>
    <definedName name="EXOPNM2">#REF!</definedName>
    <definedName name="EXT.001" localSheetId="3">#REF!</definedName>
    <definedName name="EXT.001" localSheetId="7">#REF!</definedName>
    <definedName name="EXT.001" localSheetId="9">#REF!</definedName>
    <definedName name="EXT.001" localSheetId="10">#REF!</definedName>
    <definedName name="EXT.001" localSheetId="15">#REF!</definedName>
    <definedName name="EXT.001" localSheetId="19">#REF!</definedName>
    <definedName name="EXT.001" localSheetId="20">#REF!</definedName>
    <definedName name="EXT.001" localSheetId="24">#REF!</definedName>
    <definedName name="EXT.001" localSheetId="104">#REF!</definedName>
    <definedName name="EXT.001" localSheetId="65">#REF!</definedName>
    <definedName name="EXT.001" localSheetId="64">#REF!</definedName>
    <definedName name="EXT.001" localSheetId="77">#REF!</definedName>
    <definedName name="EXT.001" localSheetId="49">#REF!</definedName>
    <definedName name="EXT.001" localSheetId="40">#REF!</definedName>
    <definedName name="EXT.001" localSheetId="43">#REF!</definedName>
    <definedName name="EXT.001" localSheetId="13">#REF!</definedName>
    <definedName name="EXT.001" localSheetId="38">#REF!</definedName>
    <definedName name="EXT.001">#REF!</definedName>
    <definedName name="EXT.002" localSheetId="3">#REF!</definedName>
    <definedName name="EXT.002" localSheetId="7">#REF!</definedName>
    <definedName name="EXT.002" localSheetId="9">#REF!</definedName>
    <definedName name="EXT.002" localSheetId="10">#REF!</definedName>
    <definedName name="EXT.002" localSheetId="15">#REF!</definedName>
    <definedName name="EXT.002" localSheetId="19">#REF!</definedName>
    <definedName name="EXT.002" localSheetId="20">#REF!</definedName>
    <definedName name="EXT.002" localSheetId="24">#REF!</definedName>
    <definedName name="EXT.002" localSheetId="104">#REF!</definedName>
    <definedName name="EXT.002" localSheetId="65">#REF!</definedName>
    <definedName name="EXT.002" localSheetId="64">#REF!</definedName>
    <definedName name="EXT.002" localSheetId="77">#REF!</definedName>
    <definedName name="EXT.002" localSheetId="49">#REF!</definedName>
    <definedName name="EXT.002" localSheetId="40">#REF!</definedName>
    <definedName name="EXT.002" localSheetId="43">#REF!</definedName>
    <definedName name="EXT.002" localSheetId="13">#REF!</definedName>
    <definedName name="EXT.002" localSheetId="38">#REF!</definedName>
    <definedName name="EXT.002">#REF!</definedName>
    <definedName name="ext.301" localSheetId="3">#REF!</definedName>
    <definedName name="ext.301" localSheetId="7">#REF!</definedName>
    <definedName name="ext.301" localSheetId="9">#REF!</definedName>
    <definedName name="ext.301" localSheetId="10">#REF!</definedName>
    <definedName name="ext.301" localSheetId="15">#REF!</definedName>
    <definedName name="ext.301" localSheetId="19">#REF!</definedName>
    <definedName name="ext.301" localSheetId="20">#REF!</definedName>
    <definedName name="ext.301" localSheetId="24">#REF!</definedName>
    <definedName name="ext.301" localSheetId="104">#REF!</definedName>
    <definedName name="ext.301" localSheetId="65">#REF!</definedName>
    <definedName name="ext.301" localSheetId="64">#REF!</definedName>
    <definedName name="ext.301" localSheetId="77">#REF!</definedName>
    <definedName name="ext.301" localSheetId="49">#REF!</definedName>
    <definedName name="ext.301" localSheetId="40">#REF!</definedName>
    <definedName name="ext.301" localSheetId="43">#REF!</definedName>
    <definedName name="ext.301" localSheetId="13">#REF!</definedName>
    <definedName name="ext.301" localSheetId="38">#REF!</definedName>
    <definedName name="ext.301">#REF!</definedName>
    <definedName name="ext.302" localSheetId="3">#REF!</definedName>
    <definedName name="ext.302" localSheetId="7">#REF!</definedName>
    <definedName name="ext.302" localSheetId="9">#REF!</definedName>
    <definedName name="ext.302" localSheetId="10">#REF!</definedName>
    <definedName name="ext.302" localSheetId="15">#REF!</definedName>
    <definedName name="ext.302" localSheetId="19">#REF!</definedName>
    <definedName name="ext.302" localSheetId="20">#REF!</definedName>
    <definedName name="ext.302" localSheetId="24">#REF!</definedName>
    <definedName name="ext.302" localSheetId="104">#REF!</definedName>
    <definedName name="ext.302" localSheetId="65">#REF!</definedName>
    <definedName name="ext.302" localSheetId="64">#REF!</definedName>
    <definedName name="ext.302" localSheetId="77">#REF!</definedName>
    <definedName name="ext.302" localSheetId="49">#REF!</definedName>
    <definedName name="ext.302" localSheetId="40">#REF!</definedName>
    <definedName name="ext.302" localSheetId="43">#REF!</definedName>
    <definedName name="ext.302" localSheetId="13">#REF!</definedName>
    <definedName name="ext.302" localSheetId="38">#REF!</definedName>
    <definedName name="ext.302">#REF!</definedName>
    <definedName name="extr1" localSheetId="3">#REF!</definedName>
    <definedName name="extr1" localSheetId="7">#REF!</definedName>
    <definedName name="extr1" localSheetId="9">#REF!</definedName>
    <definedName name="extr1" localSheetId="10">#REF!</definedName>
    <definedName name="extr1" localSheetId="15">#REF!</definedName>
    <definedName name="extr1" localSheetId="19">#REF!</definedName>
    <definedName name="extr1" localSheetId="20">#REF!</definedName>
    <definedName name="extr1" localSheetId="24">#REF!</definedName>
    <definedName name="extr1" localSheetId="104">#REF!</definedName>
    <definedName name="extr1" localSheetId="65">#REF!</definedName>
    <definedName name="extr1" localSheetId="64">#REF!</definedName>
    <definedName name="extr1" localSheetId="77">#REF!</definedName>
    <definedName name="extr1" localSheetId="49">#REF!</definedName>
    <definedName name="extr1" localSheetId="40">#REF!</definedName>
    <definedName name="extr1" localSheetId="43">#REF!</definedName>
    <definedName name="extr1" localSheetId="13">#REF!</definedName>
    <definedName name="extr1" localSheetId="38">#REF!</definedName>
    <definedName name="extr1">#REF!</definedName>
    <definedName name="extr2" localSheetId="3">#REF!</definedName>
    <definedName name="extr2" localSheetId="7">#REF!</definedName>
    <definedName name="extr2" localSheetId="9">#REF!</definedName>
    <definedName name="extr2" localSheetId="10">#REF!</definedName>
    <definedName name="extr2" localSheetId="15">#REF!</definedName>
    <definedName name="extr2" localSheetId="19">#REF!</definedName>
    <definedName name="extr2" localSheetId="20">#REF!</definedName>
    <definedName name="extr2" localSheetId="24">#REF!</definedName>
    <definedName name="extr2" localSheetId="104">#REF!</definedName>
    <definedName name="extr2" localSheetId="65">#REF!</definedName>
    <definedName name="extr2" localSheetId="64">#REF!</definedName>
    <definedName name="extr2" localSheetId="77">#REF!</definedName>
    <definedName name="extr2" localSheetId="49">#REF!</definedName>
    <definedName name="extr2" localSheetId="40">#REF!</definedName>
    <definedName name="extr2" localSheetId="43">#REF!</definedName>
    <definedName name="extr2" localSheetId="13">#REF!</definedName>
    <definedName name="extr2" localSheetId="38">#REF!</definedName>
    <definedName name="extr2">#REF!</definedName>
    <definedName name="extr3" localSheetId="3">#REF!</definedName>
    <definedName name="extr3" localSheetId="7">#REF!</definedName>
    <definedName name="extr3" localSheetId="9">#REF!</definedName>
    <definedName name="extr3" localSheetId="10">#REF!</definedName>
    <definedName name="extr3" localSheetId="15">#REF!</definedName>
    <definedName name="extr3" localSheetId="19">#REF!</definedName>
    <definedName name="extr3" localSheetId="20">#REF!</definedName>
    <definedName name="extr3" localSheetId="24">#REF!</definedName>
    <definedName name="extr3" localSheetId="104">#REF!</definedName>
    <definedName name="extr3" localSheetId="65">#REF!</definedName>
    <definedName name="extr3" localSheetId="64">#REF!</definedName>
    <definedName name="extr3" localSheetId="77">#REF!</definedName>
    <definedName name="extr3" localSheetId="49">#REF!</definedName>
    <definedName name="extr3" localSheetId="40">#REF!</definedName>
    <definedName name="extr3" localSheetId="43">#REF!</definedName>
    <definedName name="extr3" localSheetId="13">#REF!</definedName>
    <definedName name="extr3" localSheetId="38">#REF!</definedName>
    <definedName name="extr3">#REF!</definedName>
    <definedName name="extr4" localSheetId="3">#REF!</definedName>
    <definedName name="extr4" localSheetId="7">#REF!</definedName>
    <definedName name="extr4" localSheetId="9">#REF!</definedName>
    <definedName name="extr4" localSheetId="10">#REF!</definedName>
    <definedName name="extr4" localSheetId="15">#REF!</definedName>
    <definedName name="extr4" localSheetId="19">#REF!</definedName>
    <definedName name="extr4" localSheetId="20">#REF!</definedName>
    <definedName name="extr4" localSheetId="24">#REF!</definedName>
    <definedName name="extr4" localSheetId="104">#REF!</definedName>
    <definedName name="extr4" localSheetId="65">#REF!</definedName>
    <definedName name="extr4" localSheetId="64">#REF!</definedName>
    <definedName name="extr4" localSheetId="77">#REF!</definedName>
    <definedName name="extr4" localSheetId="49">#REF!</definedName>
    <definedName name="extr4" localSheetId="40">#REF!</definedName>
    <definedName name="extr4" localSheetId="43">#REF!</definedName>
    <definedName name="extr4" localSheetId="13">#REF!</definedName>
    <definedName name="extr4" localSheetId="38">#REF!</definedName>
    <definedName name="extr4">#REF!</definedName>
    <definedName name="extrtot" localSheetId="3">#REF!</definedName>
    <definedName name="extrtot" localSheetId="7">#REF!</definedName>
    <definedName name="extrtot" localSheetId="9">#REF!</definedName>
    <definedName name="extrtot" localSheetId="10">#REF!</definedName>
    <definedName name="extrtot" localSheetId="15">#REF!</definedName>
    <definedName name="extrtot" localSheetId="19">#REF!</definedName>
    <definedName name="extrtot" localSheetId="20">#REF!</definedName>
    <definedName name="extrtot" localSheetId="24">#REF!</definedName>
    <definedName name="extrtot" localSheetId="104">#REF!</definedName>
    <definedName name="extrtot" localSheetId="65">#REF!</definedName>
    <definedName name="extrtot" localSheetId="64">#REF!</definedName>
    <definedName name="extrtot" localSheetId="77">#REF!</definedName>
    <definedName name="extrtot" localSheetId="49">#REF!</definedName>
    <definedName name="extrtot" localSheetId="40">#REF!</definedName>
    <definedName name="extrtot" localSheetId="43">#REF!</definedName>
    <definedName name="extrtot" localSheetId="13">#REF!</definedName>
    <definedName name="extrtot" localSheetId="38">#REF!</definedName>
    <definedName name="extrtot">#REF!</definedName>
    <definedName name="f">[15]ENGINE.XLM!$C$1</definedName>
    <definedName name="F1601btu" localSheetId="3">'[7]Operational Basis'!#REF!</definedName>
    <definedName name="F1601btu" localSheetId="7">'[7]Operational Basis'!#REF!</definedName>
    <definedName name="F1601btu" localSheetId="9">'[7]Operational Basis'!#REF!</definedName>
    <definedName name="F1601btu" localSheetId="10">'[7]Operational Basis'!#REF!</definedName>
    <definedName name="F1601btu" localSheetId="15">'[7]Operational Basis'!#REF!</definedName>
    <definedName name="F1601btu" localSheetId="19">'[7]Operational Basis'!#REF!</definedName>
    <definedName name="F1601btu" localSheetId="20">'[7]Operational Basis'!#REF!</definedName>
    <definedName name="F1601btu" localSheetId="24">'[7]Operational Basis'!#REF!</definedName>
    <definedName name="F1601btu" localSheetId="104">'[7]Operational Basis'!#REF!</definedName>
    <definedName name="F1601btu" localSheetId="65">'[7]Operational Basis'!#REF!</definedName>
    <definedName name="F1601btu" localSheetId="64">'[7]Operational Basis'!#REF!</definedName>
    <definedName name="F1601btu" localSheetId="77">'[7]Operational Basis'!#REF!</definedName>
    <definedName name="F1601btu" localSheetId="49">'[7]Operational Basis'!#REF!</definedName>
    <definedName name="F1601btu" localSheetId="40">'[7]Operational Basis'!#REF!</definedName>
    <definedName name="F1601btu" localSheetId="43">'[7]Operational Basis'!#REF!</definedName>
    <definedName name="F1601btu" localSheetId="13">'[7]Operational Basis'!#REF!</definedName>
    <definedName name="F1601btu" localSheetId="38">'[7]Operational Basis'!#REF!</definedName>
    <definedName name="F1601btu">'[7]Operational Basis'!#REF!</definedName>
    <definedName name="F1602btu" localSheetId="3">'[7]Operational Basis'!#REF!</definedName>
    <definedName name="F1602btu" localSheetId="7">'[7]Operational Basis'!#REF!</definedName>
    <definedName name="F1602btu" localSheetId="9">'[7]Operational Basis'!#REF!</definedName>
    <definedName name="F1602btu" localSheetId="10">'[7]Operational Basis'!#REF!</definedName>
    <definedName name="F1602btu" localSheetId="15">'[7]Operational Basis'!#REF!</definedName>
    <definedName name="F1602btu" localSheetId="19">'[7]Operational Basis'!#REF!</definedName>
    <definedName name="F1602btu" localSheetId="20">'[7]Operational Basis'!#REF!</definedName>
    <definedName name="F1602btu" localSheetId="24">'[7]Operational Basis'!#REF!</definedName>
    <definedName name="F1602btu" localSheetId="104">'[7]Operational Basis'!#REF!</definedName>
    <definedName name="F1602btu" localSheetId="65">'[7]Operational Basis'!#REF!</definedName>
    <definedName name="F1602btu" localSheetId="64">'[7]Operational Basis'!#REF!</definedName>
    <definedName name="F1602btu" localSheetId="77">'[7]Operational Basis'!#REF!</definedName>
    <definedName name="F1602btu" localSheetId="49">'[7]Operational Basis'!#REF!</definedName>
    <definedName name="F1602btu" localSheetId="40">'[7]Operational Basis'!#REF!</definedName>
    <definedName name="F1602btu" localSheetId="43">'[7]Operational Basis'!#REF!</definedName>
    <definedName name="F1602btu" localSheetId="13">'[7]Operational Basis'!#REF!</definedName>
    <definedName name="F1602btu" localSheetId="38">'[7]Operational Basis'!#REF!</definedName>
    <definedName name="F1602btu">'[7]Operational Basis'!#REF!</definedName>
    <definedName name="F2201btu" localSheetId="3">'[7]Operational Basis'!#REF!</definedName>
    <definedName name="F2201btu" localSheetId="7">'[7]Operational Basis'!#REF!</definedName>
    <definedName name="F2201btu" localSheetId="9">'[7]Operational Basis'!#REF!</definedName>
    <definedName name="F2201btu" localSheetId="10">'[7]Operational Basis'!#REF!</definedName>
    <definedName name="F2201btu" localSheetId="15">'[7]Operational Basis'!#REF!</definedName>
    <definedName name="F2201btu" localSheetId="19">'[7]Operational Basis'!#REF!</definedName>
    <definedName name="F2201btu" localSheetId="20">'[7]Operational Basis'!#REF!</definedName>
    <definedName name="F2201btu" localSheetId="24">'[7]Operational Basis'!#REF!</definedName>
    <definedName name="F2201btu" localSheetId="104">'[7]Operational Basis'!#REF!</definedName>
    <definedName name="F2201btu" localSheetId="65">'[7]Operational Basis'!#REF!</definedName>
    <definedName name="F2201btu" localSheetId="64">'[7]Operational Basis'!#REF!</definedName>
    <definedName name="F2201btu" localSheetId="77">'[7]Operational Basis'!#REF!</definedName>
    <definedName name="F2201btu" localSheetId="49">'[7]Operational Basis'!#REF!</definedName>
    <definedName name="F2201btu" localSheetId="40">'[7]Operational Basis'!#REF!</definedName>
    <definedName name="F2201btu" localSheetId="43">'[7]Operational Basis'!#REF!</definedName>
    <definedName name="F2201btu" localSheetId="13">'[7]Operational Basis'!#REF!</definedName>
    <definedName name="F2201btu" localSheetId="38">'[7]Operational Basis'!#REF!</definedName>
    <definedName name="F2201btu">'[7]Operational Basis'!#REF!</definedName>
    <definedName name="F3804btu" localSheetId="3">'[7]Operational Basis'!#REF!</definedName>
    <definedName name="F3804btu" localSheetId="7">'[7]Operational Basis'!#REF!</definedName>
    <definedName name="F3804btu" localSheetId="9">'[7]Operational Basis'!#REF!</definedName>
    <definedName name="F3804btu" localSheetId="10">'[7]Operational Basis'!#REF!</definedName>
    <definedName name="F3804btu" localSheetId="15">'[7]Operational Basis'!#REF!</definedName>
    <definedName name="F3804btu" localSheetId="19">'[7]Operational Basis'!#REF!</definedName>
    <definedName name="F3804btu" localSheetId="20">'[7]Operational Basis'!#REF!</definedName>
    <definedName name="F3804btu" localSheetId="24">'[7]Operational Basis'!#REF!</definedName>
    <definedName name="F3804btu" localSheetId="104">'[7]Operational Basis'!#REF!</definedName>
    <definedName name="F3804btu" localSheetId="65">'[7]Operational Basis'!#REF!</definedName>
    <definedName name="F3804btu" localSheetId="64">'[7]Operational Basis'!#REF!</definedName>
    <definedName name="F3804btu" localSheetId="77">'[7]Operational Basis'!#REF!</definedName>
    <definedName name="F3804btu" localSheetId="49">'[7]Operational Basis'!#REF!</definedName>
    <definedName name="F3804btu" localSheetId="40">'[7]Operational Basis'!#REF!</definedName>
    <definedName name="F3804btu" localSheetId="43">'[7]Operational Basis'!#REF!</definedName>
    <definedName name="F3804btu" localSheetId="13">'[7]Operational Basis'!#REF!</definedName>
    <definedName name="F3804btu" localSheetId="38">'[7]Operational Basis'!#REF!</definedName>
    <definedName name="F3804btu">'[7]Operational Basis'!#REF!</definedName>
    <definedName name="F3901btu" localSheetId="3">'[7]Operational Basis'!#REF!</definedName>
    <definedName name="F3901btu" localSheetId="7">'[7]Operational Basis'!#REF!</definedName>
    <definedName name="F3901btu" localSheetId="9">'[7]Operational Basis'!#REF!</definedName>
    <definedName name="F3901btu" localSheetId="10">'[7]Operational Basis'!#REF!</definedName>
    <definedName name="F3901btu" localSheetId="15">'[7]Operational Basis'!#REF!</definedName>
    <definedName name="F3901btu" localSheetId="19">'[7]Operational Basis'!#REF!</definedName>
    <definedName name="F3901btu" localSheetId="20">'[7]Operational Basis'!#REF!</definedName>
    <definedName name="F3901btu" localSheetId="24">'[7]Operational Basis'!#REF!</definedName>
    <definedName name="F3901btu" localSheetId="104">'[7]Operational Basis'!#REF!</definedName>
    <definedName name="F3901btu" localSheetId="65">'[7]Operational Basis'!#REF!</definedName>
    <definedName name="F3901btu" localSheetId="64">'[7]Operational Basis'!#REF!</definedName>
    <definedName name="F3901btu" localSheetId="77">'[7]Operational Basis'!#REF!</definedName>
    <definedName name="F3901btu" localSheetId="49">'[7]Operational Basis'!#REF!</definedName>
    <definedName name="F3901btu" localSheetId="40">'[7]Operational Basis'!#REF!</definedName>
    <definedName name="F3901btu" localSheetId="43">'[7]Operational Basis'!#REF!</definedName>
    <definedName name="F3901btu" localSheetId="13">'[7]Operational Basis'!#REF!</definedName>
    <definedName name="F3901btu" localSheetId="38">'[7]Operational Basis'!#REF!</definedName>
    <definedName name="F3901btu">'[7]Operational Basis'!#REF!</definedName>
    <definedName name="F4131btu" localSheetId="3">'[7]Operational Basis'!#REF!</definedName>
    <definedName name="F4131btu" localSheetId="7">'[7]Operational Basis'!#REF!</definedName>
    <definedName name="F4131btu" localSheetId="9">'[7]Operational Basis'!#REF!</definedName>
    <definedName name="F4131btu" localSheetId="10">'[7]Operational Basis'!#REF!</definedName>
    <definedName name="F4131btu" localSheetId="15">'[7]Operational Basis'!#REF!</definedName>
    <definedName name="F4131btu" localSheetId="19">'[7]Operational Basis'!#REF!</definedName>
    <definedName name="F4131btu" localSheetId="20">'[7]Operational Basis'!#REF!</definedName>
    <definedName name="F4131btu" localSheetId="24">'[7]Operational Basis'!#REF!</definedName>
    <definedName name="F4131btu" localSheetId="104">'[7]Operational Basis'!#REF!</definedName>
    <definedName name="F4131btu" localSheetId="65">'[7]Operational Basis'!#REF!</definedName>
    <definedName name="F4131btu" localSheetId="64">'[7]Operational Basis'!#REF!</definedName>
    <definedName name="F4131btu" localSheetId="77">'[7]Operational Basis'!#REF!</definedName>
    <definedName name="F4131btu" localSheetId="49">'[7]Operational Basis'!#REF!</definedName>
    <definedName name="F4131btu" localSheetId="40">'[7]Operational Basis'!#REF!</definedName>
    <definedName name="F4131btu" localSheetId="43">'[7]Operational Basis'!#REF!</definedName>
    <definedName name="F4131btu" localSheetId="13">'[7]Operational Basis'!#REF!</definedName>
    <definedName name="F4131btu" localSheetId="38">'[7]Operational Basis'!#REF!</definedName>
    <definedName name="F4131btu">'[7]Operational Basis'!#REF!</definedName>
    <definedName name="F4132btu" localSheetId="3">'[7]Operational Basis'!#REF!</definedName>
    <definedName name="F4132btu" localSheetId="7">'[7]Operational Basis'!#REF!</definedName>
    <definedName name="F4132btu" localSheetId="9">'[7]Operational Basis'!#REF!</definedName>
    <definedName name="F4132btu" localSheetId="10">'[7]Operational Basis'!#REF!</definedName>
    <definedName name="F4132btu" localSheetId="15">'[7]Operational Basis'!#REF!</definedName>
    <definedName name="F4132btu" localSheetId="19">'[7]Operational Basis'!#REF!</definedName>
    <definedName name="F4132btu" localSheetId="20">'[7]Operational Basis'!#REF!</definedName>
    <definedName name="F4132btu" localSheetId="24">'[7]Operational Basis'!#REF!</definedName>
    <definedName name="F4132btu" localSheetId="104">'[7]Operational Basis'!#REF!</definedName>
    <definedName name="F4132btu" localSheetId="65">'[7]Operational Basis'!#REF!</definedName>
    <definedName name="F4132btu" localSheetId="64">'[7]Operational Basis'!#REF!</definedName>
    <definedName name="F4132btu" localSheetId="77">'[7]Operational Basis'!#REF!</definedName>
    <definedName name="F4132btu" localSheetId="49">'[7]Operational Basis'!#REF!</definedName>
    <definedName name="F4132btu" localSheetId="40">'[7]Operational Basis'!#REF!</definedName>
    <definedName name="F4132btu" localSheetId="43">'[7]Operational Basis'!#REF!</definedName>
    <definedName name="F4132btu" localSheetId="13">'[7]Operational Basis'!#REF!</definedName>
    <definedName name="F4132btu" localSheetId="38">'[7]Operational Basis'!#REF!</definedName>
    <definedName name="F4132btu">'[7]Operational Basis'!#REF!</definedName>
    <definedName name="F4150btu" localSheetId="3">'[7]Operational Basis'!#REF!</definedName>
    <definedName name="F4150btu" localSheetId="7">'[7]Operational Basis'!#REF!</definedName>
    <definedName name="F4150btu" localSheetId="9">'[7]Operational Basis'!#REF!</definedName>
    <definedName name="F4150btu" localSheetId="10">'[7]Operational Basis'!#REF!</definedName>
    <definedName name="F4150btu" localSheetId="15">'[7]Operational Basis'!#REF!</definedName>
    <definedName name="F4150btu" localSheetId="19">'[7]Operational Basis'!#REF!</definedName>
    <definedName name="F4150btu" localSheetId="20">'[7]Operational Basis'!#REF!</definedName>
    <definedName name="F4150btu" localSheetId="24">'[7]Operational Basis'!#REF!</definedName>
    <definedName name="F4150btu" localSheetId="104">'[7]Operational Basis'!#REF!</definedName>
    <definedName name="F4150btu" localSheetId="65">'[7]Operational Basis'!#REF!</definedName>
    <definedName name="F4150btu" localSheetId="64">'[7]Operational Basis'!#REF!</definedName>
    <definedName name="F4150btu" localSheetId="77">'[7]Operational Basis'!#REF!</definedName>
    <definedName name="F4150btu" localSheetId="49">'[7]Operational Basis'!#REF!</definedName>
    <definedName name="F4150btu" localSheetId="40">'[7]Operational Basis'!#REF!</definedName>
    <definedName name="F4150btu" localSheetId="43">'[7]Operational Basis'!#REF!</definedName>
    <definedName name="F4150btu" localSheetId="13">'[7]Operational Basis'!#REF!</definedName>
    <definedName name="F4150btu" localSheetId="38">'[7]Operational Basis'!#REF!</definedName>
    <definedName name="F4150btu">'[7]Operational Basis'!#REF!</definedName>
    <definedName name="F4160btu" localSheetId="3">'[7]Operational Basis'!#REF!</definedName>
    <definedName name="F4160btu" localSheetId="7">'[7]Operational Basis'!#REF!</definedName>
    <definedName name="F4160btu" localSheetId="9">'[7]Operational Basis'!#REF!</definedName>
    <definedName name="F4160btu" localSheetId="10">'[7]Operational Basis'!#REF!</definedName>
    <definedName name="F4160btu" localSheetId="15">'[7]Operational Basis'!#REF!</definedName>
    <definedName name="F4160btu" localSheetId="19">'[7]Operational Basis'!#REF!</definedName>
    <definedName name="F4160btu" localSheetId="20">'[7]Operational Basis'!#REF!</definedName>
    <definedName name="F4160btu" localSheetId="24">'[7]Operational Basis'!#REF!</definedName>
    <definedName name="F4160btu" localSheetId="104">'[7]Operational Basis'!#REF!</definedName>
    <definedName name="F4160btu" localSheetId="65">'[7]Operational Basis'!#REF!</definedName>
    <definedName name="F4160btu" localSheetId="64">'[7]Operational Basis'!#REF!</definedName>
    <definedName name="F4160btu" localSheetId="77">'[7]Operational Basis'!#REF!</definedName>
    <definedName name="F4160btu" localSheetId="49">'[7]Operational Basis'!#REF!</definedName>
    <definedName name="F4160btu" localSheetId="40">'[7]Operational Basis'!#REF!</definedName>
    <definedName name="F4160btu" localSheetId="43">'[7]Operational Basis'!#REF!</definedName>
    <definedName name="F4160btu" localSheetId="13">'[7]Operational Basis'!#REF!</definedName>
    <definedName name="F4160btu" localSheetId="38">'[7]Operational Basis'!#REF!</definedName>
    <definedName name="F4160btu">'[7]Operational Basis'!#REF!</definedName>
    <definedName name="F4170btu" localSheetId="3">'[7]Operational Basis'!#REF!</definedName>
    <definedName name="F4170btu" localSheetId="7">'[7]Operational Basis'!#REF!</definedName>
    <definedName name="F4170btu" localSheetId="9">'[7]Operational Basis'!#REF!</definedName>
    <definedName name="F4170btu" localSheetId="10">'[7]Operational Basis'!#REF!</definedName>
    <definedName name="F4170btu" localSheetId="15">'[7]Operational Basis'!#REF!</definedName>
    <definedName name="F4170btu" localSheetId="19">'[7]Operational Basis'!#REF!</definedName>
    <definedName name="F4170btu" localSheetId="20">'[7]Operational Basis'!#REF!</definedName>
    <definedName name="F4170btu" localSheetId="24">'[7]Operational Basis'!#REF!</definedName>
    <definedName name="F4170btu" localSheetId="104">'[7]Operational Basis'!#REF!</definedName>
    <definedName name="F4170btu" localSheetId="65">'[7]Operational Basis'!#REF!</definedName>
    <definedName name="F4170btu" localSheetId="64">'[7]Operational Basis'!#REF!</definedName>
    <definedName name="F4170btu" localSheetId="77">'[7]Operational Basis'!#REF!</definedName>
    <definedName name="F4170btu" localSheetId="49">'[7]Operational Basis'!#REF!</definedName>
    <definedName name="F4170btu" localSheetId="40">'[7]Operational Basis'!#REF!</definedName>
    <definedName name="F4170btu" localSheetId="43">'[7]Operational Basis'!#REF!</definedName>
    <definedName name="F4170btu" localSheetId="13">'[7]Operational Basis'!#REF!</definedName>
    <definedName name="F4170btu" localSheetId="38">'[7]Operational Basis'!#REF!</definedName>
    <definedName name="F4170btu">'[7]Operational Basis'!#REF!</definedName>
    <definedName name="F4180btu" localSheetId="3">'[7]Operational Basis'!#REF!</definedName>
    <definedName name="F4180btu" localSheetId="7">'[7]Operational Basis'!#REF!</definedName>
    <definedName name="F4180btu" localSheetId="9">'[7]Operational Basis'!#REF!</definedName>
    <definedName name="F4180btu" localSheetId="10">'[7]Operational Basis'!#REF!</definedName>
    <definedName name="F4180btu" localSheetId="15">'[7]Operational Basis'!#REF!</definedName>
    <definedName name="F4180btu" localSheetId="19">'[7]Operational Basis'!#REF!</definedName>
    <definedName name="F4180btu" localSheetId="20">'[7]Operational Basis'!#REF!</definedName>
    <definedName name="F4180btu" localSheetId="24">'[7]Operational Basis'!#REF!</definedName>
    <definedName name="F4180btu" localSheetId="104">'[7]Operational Basis'!#REF!</definedName>
    <definedName name="F4180btu" localSheetId="65">'[7]Operational Basis'!#REF!</definedName>
    <definedName name="F4180btu" localSheetId="64">'[7]Operational Basis'!#REF!</definedName>
    <definedName name="F4180btu" localSheetId="77">'[7]Operational Basis'!#REF!</definedName>
    <definedName name="F4180btu" localSheetId="49">'[7]Operational Basis'!#REF!</definedName>
    <definedName name="F4180btu" localSheetId="40">'[7]Operational Basis'!#REF!</definedName>
    <definedName name="F4180btu" localSheetId="43">'[7]Operational Basis'!#REF!</definedName>
    <definedName name="F4180btu" localSheetId="13">'[7]Operational Basis'!#REF!</definedName>
    <definedName name="F4180btu" localSheetId="38">'[7]Operational Basis'!#REF!</definedName>
    <definedName name="F4180btu">'[7]Operational Basis'!#REF!</definedName>
    <definedName name="FA" localSheetId="3">#REF!</definedName>
    <definedName name="FA" localSheetId="7">#REF!</definedName>
    <definedName name="FA" localSheetId="9">#REF!</definedName>
    <definedName name="FA" localSheetId="10">#REF!</definedName>
    <definedName name="FA" localSheetId="15">#REF!</definedName>
    <definedName name="FA" localSheetId="19">#REF!</definedName>
    <definedName name="FA" localSheetId="20">#REF!</definedName>
    <definedName name="FA" localSheetId="24">#REF!</definedName>
    <definedName name="FA" localSheetId="104">#REF!</definedName>
    <definedName name="FA" localSheetId="65">#REF!</definedName>
    <definedName name="FA" localSheetId="64">#REF!</definedName>
    <definedName name="FA" localSheetId="77">#REF!</definedName>
    <definedName name="FA" localSheetId="49">#REF!</definedName>
    <definedName name="FA" localSheetId="40">#REF!</definedName>
    <definedName name="FA" localSheetId="43">#REF!</definedName>
    <definedName name="FA" localSheetId="13">#REF!</definedName>
    <definedName name="FA" localSheetId="38">#REF!</definedName>
    <definedName name="FA">#REF!</definedName>
    <definedName name="factors" localSheetId="3">#REF!</definedName>
    <definedName name="factors" localSheetId="7">#REF!</definedName>
    <definedName name="factors" localSheetId="9">#REF!</definedName>
    <definedName name="factors" localSheetId="10">#REF!</definedName>
    <definedName name="factors" localSheetId="15">#REF!</definedName>
    <definedName name="factors" localSheetId="19">#REF!</definedName>
    <definedName name="factors" localSheetId="20">#REF!</definedName>
    <definedName name="factors" localSheetId="24">#REF!</definedName>
    <definedName name="factors" localSheetId="104">#REF!</definedName>
    <definedName name="factors" localSheetId="65">#REF!</definedName>
    <definedName name="factors" localSheetId="64">#REF!</definedName>
    <definedName name="factors" localSheetId="77">#REF!</definedName>
    <definedName name="factors" localSheetId="49">#REF!</definedName>
    <definedName name="factors" localSheetId="40">#REF!</definedName>
    <definedName name="factors" localSheetId="43">#REF!</definedName>
    <definedName name="factors" localSheetId="13">#REF!</definedName>
    <definedName name="factors" localSheetId="38">#REF!</definedName>
    <definedName name="factors">#REF!</definedName>
    <definedName name="fans1" localSheetId="3">#REF!</definedName>
    <definedName name="fans1" localSheetId="7">#REF!</definedName>
    <definedName name="fans1" localSheetId="9">#REF!</definedName>
    <definedName name="fans1" localSheetId="10">#REF!</definedName>
    <definedName name="fans1" localSheetId="15">#REF!</definedName>
    <definedName name="fans1" localSheetId="19">#REF!</definedName>
    <definedName name="fans1" localSheetId="20">#REF!</definedName>
    <definedName name="fans1" localSheetId="24">#REF!</definedName>
    <definedName name="fans1" localSheetId="104">#REF!</definedName>
    <definedName name="fans1" localSheetId="65">#REF!</definedName>
    <definedName name="fans1" localSheetId="64">#REF!</definedName>
    <definedName name="fans1" localSheetId="77">#REF!</definedName>
    <definedName name="fans1" localSheetId="49">#REF!</definedName>
    <definedName name="fans1" localSheetId="40">#REF!</definedName>
    <definedName name="fans1" localSheetId="43">#REF!</definedName>
    <definedName name="fans1" localSheetId="13">#REF!</definedName>
    <definedName name="fans1" localSheetId="38">#REF!</definedName>
    <definedName name="fans1">#REF!</definedName>
    <definedName name="fans2" localSheetId="3">#REF!</definedName>
    <definedName name="fans2" localSheetId="7">#REF!</definedName>
    <definedName name="fans2" localSheetId="9">#REF!</definedName>
    <definedName name="fans2" localSheetId="10">#REF!</definedName>
    <definedName name="fans2" localSheetId="15">#REF!</definedName>
    <definedName name="fans2" localSheetId="19">#REF!</definedName>
    <definedName name="fans2" localSheetId="20">#REF!</definedName>
    <definedName name="fans2" localSheetId="24">#REF!</definedName>
    <definedName name="fans2" localSheetId="104">#REF!</definedName>
    <definedName name="fans2" localSheetId="65">#REF!</definedName>
    <definedName name="fans2" localSheetId="64">#REF!</definedName>
    <definedName name="fans2" localSheetId="77">#REF!</definedName>
    <definedName name="fans2" localSheetId="49">#REF!</definedName>
    <definedName name="fans2" localSheetId="40">#REF!</definedName>
    <definedName name="fans2" localSheetId="43">#REF!</definedName>
    <definedName name="fans2" localSheetId="13">#REF!</definedName>
    <definedName name="fans2" localSheetId="38">#REF!</definedName>
    <definedName name="fans2">#REF!</definedName>
    <definedName name="fans3" localSheetId="3">#REF!</definedName>
    <definedName name="fans3" localSheetId="7">#REF!</definedName>
    <definedName name="fans3" localSheetId="9">#REF!</definedName>
    <definedName name="fans3" localSheetId="10">#REF!</definedName>
    <definedName name="fans3" localSheetId="15">#REF!</definedName>
    <definedName name="fans3" localSheetId="19">#REF!</definedName>
    <definedName name="fans3" localSheetId="20">#REF!</definedName>
    <definedName name="fans3" localSheetId="24">#REF!</definedName>
    <definedName name="fans3" localSheetId="104">#REF!</definedName>
    <definedName name="fans3" localSheetId="65">#REF!</definedName>
    <definedName name="fans3" localSheetId="64">#REF!</definedName>
    <definedName name="fans3" localSheetId="77">#REF!</definedName>
    <definedName name="fans3" localSheetId="49">#REF!</definedName>
    <definedName name="fans3" localSheetId="40">#REF!</definedName>
    <definedName name="fans3" localSheetId="43">#REF!</definedName>
    <definedName name="fans3" localSheetId="13">#REF!</definedName>
    <definedName name="fans3" localSheetId="38">#REF!</definedName>
    <definedName name="fans3">#REF!</definedName>
    <definedName name="fans4" localSheetId="3">#REF!</definedName>
    <definedName name="fans4" localSheetId="7">#REF!</definedName>
    <definedName name="fans4" localSheetId="9">#REF!</definedName>
    <definedName name="fans4" localSheetId="10">#REF!</definedName>
    <definedName name="fans4" localSheetId="15">#REF!</definedName>
    <definedName name="fans4" localSheetId="19">#REF!</definedName>
    <definedName name="fans4" localSheetId="20">#REF!</definedName>
    <definedName name="fans4" localSheetId="24">#REF!</definedName>
    <definedName name="fans4" localSheetId="104">#REF!</definedName>
    <definedName name="fans4" localSheetId="65">#REF!</definedName>
    <definedName name="fans4" localSheetId="64">#REF!</definedName>
    <definedName name="fans4" localSheetId="77">#REF!</definedName>
    <definedName name="fans4" localSheetId="49">#REF!</definedName>
    <definedName name="fans4" localSheetId="40">#REF!</definedName>
    <definedName name="fans4" localSheetId="43">#REF!</definedName>
    <definedName name="fans4" localSheetId="13">#REF!</definedName>
    <definedName name="fans4" localSheetId="38">#REF!</definedName>
    <definedName name="fans4">#REF!</definedName>
    <definedName name="fanstot" localSheetId="3">#REF!</definedName>
    <definedName name="fanstot" localSheetId="7">#REF!</definedName>
    <definedName name="fanstot" localSheetId="9">#REF!</definedName>
    <definedName name="fanstot" localSheetId="10">#REF!</definedName>
    <definedName name="fanstot" localSheetId="15">#REF!</definedName>
    <definedName name="fanstot" localSheetId="19">#REF!</definedName>
    <definedName name="fanstot" localSheetId="20">#REF!</definedName>
    <definedName name="fanstot" localSheetId="24">#REF!</definedName>
    <definedName name="fanstot" localSheetId="104">#REF!</definedName>
    <definedName name="fanstot" localSheetId="65">#REF!</definedName>
    <definedName name="fanstot" localSheetId="64">#REF!</definedName>
    <definedName name="fanstot" localSheetId="77">#REF!</definedName>
    <definedName name="fanstot" localSheetId="49">#REF!</definedName>
    <definedName name="fanstot" localSheetId="40">#REF!</definedName>
    <definedName name="fanstot" localSheetId="43">#REF!</definedName>
    <definedName name="fanstot" localSheetId="13">#REF!</definedName>
    <definedName name="fanstot" localSheetId="38">#REF!</definedName>
    <definedName name="fanstot">#REF!</definedName>
    <definedName name="Fax" localSheetId="3">#REF!</definedName>
    <definedName name="Fax" localSheetId="7">#REF!</definedName>
    <definedName name="Fax" localSheetId="9">#REF!</definedName>
    <definedName name="Fax" localSheetId="10">#REF!</definedName>
    <definedName name="Fax" localSheetId="15">#REF!</definedName>
    <definedName name="Fax" localSheetId="19">#REF!</definedName>
    <definedName name="Fax" localSheetId="20">#REF!</definedName>
    <definedName name="Fax" localSheetId="24">#REF!</definedName>
    <definedName name="Fax" localSheetId="104">#REF!</definedName>
    <definedName name="Fax" localSheetId="65">#REF!</definedName>
    <definedName name="Fax" localSheetId="64">#REF!</definedName>
    <definedName name="Fax" localSheetId="77">#REF!</definedName>
    <definedName name="Fax" localSheetId="49">#REF!</definedName>
    <definedName name="Fax" localSheetId="48">#REF!</definedName>
    <definedName name="Fax" localSheetId="40">#REF!</definedName>
    <definedName name="Fax" localSheetId="43">#REF!</definedName>
    <definedName name="Fax" localSheetId="13">#REF!</definedName>
    <definedName name="Fax" localSheetId="38">#REF!</definedName>
    <definedName name="Fax">#REF!</definedName>
    <definedName name="FCCUFeedbtu" localSheetId="3">'[7]Operational Basis'!#REF!</definedName>
    <definedName name="FCCUFeedbtu" localSheetId="7">'[7]Operational Basis'!#REF!</definedName>
    <definedName name="FCCUFeedbtu" localSheetId="9">'[7]Operational Basis'!#REF!</definedName>
    <definedName name="FCCUFeedbtu" localSheetId="10">'[7]Operational Basis'!#REF!</definedName>
    <definedName name="FCCUFeedbtu" localSheetId="15">'[7]Operational Basis'!#REF!</definedName>
    <definedName name="FCCUFeedbtu" localSheetId="19">'[7]Operational Basis'!#REF!</definedName>
    <definedName name="FCCUFeedbtu" localSheetId="20">'[7]Operational Basis'!#REF!</definedName>
    <definedName name="FCCUFeedbtu" localSheetId="24">'[7]Operational Basis'!#REF!</definedName>
    <definedName name="FCCUFeedbtu" localSheetId="104">'[7]Operational Basis'!#REF!</definedName>
    <definedName name="FCCUFeedbtu" localSheetId="65">'[7]Operational Basis'!#REF!</definedName>
    <definedName name="FCCUFeedbtu" localSheetId="64">'[7]Operational Basis'!#REF!</definedName>
    <definedName name="FCCUFeedbtu" localSheetId="77">'[7]Operational Basis'!#REF!</definedName>
    <definedName name="FCCUFeedbtu" localSheetId="49">'[7]Operational Basis'!#REF!</definedName>
    <definedName name="FCCUFeedbtu" localSheetId="40">'[7]Operational Basis'!#REF!</definedName>
    <definedName name="FCCUFeedbtu" localSheetId="43">'[7]Operational Basis'!#REF!</definedName>
    <definedName name="FCCUFeedbtu" localSheetId="13">'[7]Operational Basis'!#REF!</definedName>
    <definedName name="FCCUFeedbtu" localSheetId="38">'[7]Operational Basis'!#REF!</definedName>
    <definedName name="FCCUFeedbtu">'[7]Operational Basis'!#REF!</definedName>
    <definedName name="FCode" localSheetId="3" hidden="1">#REF!</definedName>
    <definedName name="FCode" localSheetId="7" hidden="1">#REF!</definedName>
    <definedName name="FCode" localSheetId="9" hidden="1">#REF!</definedName>
    <definedName name="FCode" localSheetId="10" hidden="1">#REF!</definedName>
    <definedName name="FCode" localSheetId="15" hidden="1">#REF!</definedName>
    <definedName name="FCode" localSheetId="18" hidden="1">#REF!</definedName>
    <definedName name="FCode" localSheetId="19" hidden="1">#REF!</definedName>
    <definedName name="FCode" localSheetId="20" hidden="1">#REF!</definedName>
    <definedName name="FCode" localSheetId="23" hidden="1">#REF!</definedName>
    <definedName name="FCode" localSheetId="24" hidden="1">#REF!</definedName>
    <definedName name="FCode" localSheetId="35" hidden="1">#REF!</definedName>
    <definedName name="FCode" localSheetId="58" hidden="1">#REF!</definedName>
    <definedName name="FCode" localSheetId="60" hidden="1">#REF!</definedName>
    <definedName name="FCode" localSheetId="51" hidden="1">#REF!</definedName>
    <definedName name="FCode" localSheetId="54" hidden="1">#REF!</definedName>
    <definedName name="FCode" localSheetId="47" hidden="1">#REF!</definedName>
    <definedName name="FCode" localSheetId="105" hidden="1">#REF!</definedName>
    <definedName name="FCode" localSheetId="104" hidden="1">#REF!</definedName>
    <definedName name="FCode" localSheetId="88" hidden="1">#REF!</definedName>
    <definedName name="FCode" localSheetId="89" hidden="1">#REF!</definedName>
    <definedName name="FCode" localSheetId="87" hidden="1">#REF!</definedName>
    <definedName name="FCode" localSheetId="90" hidden="1">#REF!</definedName>
    <definedName name="FCode" localSheetId="70" hidden="1">#REF!</definedName>
    <definedName name="FCode" localSheetId="63" hidden="1">#REF!</definedName>
    <definedName name="FCode" localSheetId="65" hidden="1">#REF!</definedName>
    <definedName name="FCode" localSheetId="64" hidden="1">#REF!</definedName>
    <definedName name="FCode" localSheetId="77" hidden="1">#REF!</definedName>
    <definedName name="FCode" localSheetId="49" hidden="1">#REF!</definedName>
    <definedName name="FCode" localSheetId="48" hidden="1">#REF!</definedName>
    <definedName name="FCode" localSheetId="57" hidden="1">#REF!</definedName>
    <definedName name="FCode" localSheetId="59" hidden="1">#REF!</definedName>
    <definedName name="FCode" localSheetId="52" hidden="1">#REF!</definedName>
    <definedName name="FCode" localSheetId="67" hidden="1">#REF!</definedName>
    <definedName name="FCode" localSheetId="80" hidden="1">#REF!</definedName>
    <definedName name="FCode" localSheetId="40" hidden="1">#REF!</definedName>
    <definedName name="FCode" localSheetId="43" hidden="1">#REF!</definedName>
    <definedName name="FCode" localSheetId="55" hidden="1">#REF!</definedName>
    <definedName name="FCode" localSheetId="81" hidden="1">#REF!</definedName>
    <definedName name="FCode" localSheetId="53" hidden="1">#REF!</definedName>
    <definedName name="FCode" localSheetId="13" hidden="1">#REF!</definedName>
    <definedName name="FCode" localSheetId="11" hidden="1">#REF!</definedName>
    <definedName name="FCode" localSheetId="38" hidden="1">#REF!</definedName>
    <definedName name="FCode" localSheetId="41" hidden="1">#REF!</definedName>
    <definedName name="FCode" localSheetId="101" hidden="1">#REF!</definedName>
    <definedName name="FCode" localSheetId="102" hidden="1">#REF!</definedName>
    <definedName name="FCode" localSheetId="103" hidden="1">#REF!</definedName>
    <definedName name="FCode" localSheetId="97" hidden="1">#REF!</definedName>
    <definedName name="FCode" localSheetId="42" hidden="1">#REF!</definedName>
    <definedName name="FCode" localSheetId="12" hidden="1">#REF!</definedName>
    <definedName name="FCode" localSheetId="73" hidden="1">#REF!</definedName>
    <definedName name="FCode" localSheetId="74" hidden="1">#REF!</definedName>
    <definedName name="FCode" hidden="1">#REF!</definedName>
    <definedName name="FEB" localSheetId="3">#REF!</definedName>
    <definedName name="FEB" localSheetId="7">#REF!</definedName>
    <definedName name="FEB" localSheetId="9">#REF!</definedName>
    <definedName name="FEB" localSheetId="10">#REF!</definedName>
    <definedName name="FEB" localSheetId="15">#REF!</definedName>
    <definedName name="FEB" localSheetId="19">#REF!</definedName>
    <definedName name="FEB" localSheetId="20">#REF!</definedName>
    <definedName name="FEB" localSheetId="24">#REF!</definedName>
    <definedName name="FEB" localSheetId="104">#REF!</definedName>
    <definedName name="FEB" localSheetId="65">#REF!</definedName>
    <definedName name="FEB" localSheetId="64">#REF!</definedName>
    <definedName name="FEB" localSheetId="77">#REF!</definedName>
    <definedName name="FEB" localSheetId="49">#REF!</definedName>
    <definedName name="FEB" localSheetId="40">#REF!</definedName>
    <definedName name="FEB" localSheetId="43">#REF!</definedName>
    <definedName name="FEB" localSheetId="13">#REF!</definedName>
    <definedName name="FEB" localSheetId="38">#REF!</definedName>
    <definedName name="FEB">#REF!</definedName>
    <definedName name="FERMENTATION" localSheetId="3">#REF!</definedName>
    <definedName name="FERMENTATION" localSheetId="7">#REF!</definedName>
    <definedName name="FERMENTATION" localSheetId="9">#REF!</definedName>
    <definedName name="FERMENTATION" localSheetId="10">#REF!</definedName>
    <definedName name="FERMENTATION" localSheetId="15">#REF!</definedName>
    <definedName name="FERMENTATION" localSheetId="19">#REF!</definedName>
    <definedName name="FERMENTATION" localSheetId="20">#REF!</definedName>
    <definedName name="FERMENTATION" localSheetId="24">#REF!</definedName>
    <definedName name="FERMENTATION" localSheetId="104">#REF!</definedName>
    <definedName name="FERMENTATION" localSheetId="65">#REF!</definedName>
    <definedName name="FERMENTATION" localSheetId="64">#REF!</definedName>
    <definedName name="FERMENTATION" localSheetId="77">#REF!</definedName>
    <definedName name="FERMENTATION" localSheetId="49">#REF!</definedName>
    <definedName name="FERMENTATION" localSheetId="48">#REF!</definedName>
    <definedName name="FERMENTATION" localSheetId="40">#REF!</definedName>
    <definedName name="FERMENTATION" localSheetId="43">#REF!</definedName>
    <definedName name="FERMENTATION" localSheetId="13">#REF!</definedName>
    <definedName name="FERMENTATION" localSheetId="38">#REF!</definedName>
    <definedName name="FERMENTATION">#REF!</definedName>
    <definedName name="ff" localSheetId="3">#REF!</definedName>
    <definedName name="ff" localSheetId="7">#REF!</definedName>
    <definedName name="ff" localSheetId="9">#REF!</definedName>
    <definedName name="ff" localSheetId="10">#REF!</definedName>
    <definedName name="ff" localSheetId="15">#REF!</definedName>
    <definedName name="ff" localSheetId="19">#REF!</definedName>
    <definedName name="ff" localSheetId="20">#REF!</definedName>
    <definedName name="ff" localSheetId="24">#REF!</definedName>
    <definedName name="ff" localSheetId="104">#REF!</definedName>
    <definedName name="ff" localSheetId="65">#REF!</definedName>
    <definedName name="ff" localSheetId="64">#REF!</definedName>
    <definedName name="ff" localSheetId="77">#REF!</definedName>
    <definedName name="ff" localSheetId="49">#REF!</definedName>
    <definedName name="ff" localSheetId="40">#REF!</definedName>
    <definedName name="ff" localSheetId="43">#REF!</definedName>
    <definedName name="ff" localSheetId="13">#REF!</definedName>
    <definedName name="ff" localSheetId="38">#REF!</definedName>
    <definedName name="ff">#REF!</definedName>
    <definedName name="FILENAME" localSheetId="3">'[16]Grain  Uncontrolled'!#REF!</definedName>
    <definedName name="FILENAME" localSheetId="7">'[16]Grain  Uncontrolled'!#REF!</definedName>
    <definedName name="FILENAME" localSheetId="9">'[16]Grain  Uncontrolled'!#REF!</definedName>
    <definedName name="FILENAME" localSheetId="10">'[16]Grain  Uncontrolled'!#REF!</definedName>
    <definedName name="FILENAME" localSheetId="15">'[16]Grain  Uncontrolled'!#REF!</definedName>
    <definedName name="FILENAME" localSheetId="19">'[16]Grain  Uncontrolled'!#REF!</definedName>
    <definedName name="FILENAME" localSheetId="20">'[16]Grain  Uncontrolled'!#REF!</definedName>
    <definedName name="FILENAME" localSheetId="24">'[16]Grain  Uncontrolled'!#REF!</definedName>
    <definedName name="FILENAME" localSheetId="104">'[16]Grain  Uncontrolled'!#REF!</definedName>
    <definedName name="FILENAME" localSheetId="75">'[16]Grain  Uncontrolled'!#REF!</definedName>
    <definedName name="FILENAME" localSheetId="65">'[16]Grain  Uncontrolled'!#REF!</definedName>
    <definedName name="FILENAME" localSheetId="64">'[16]Grain  Uncontrolled'!#REF!</definedName>
    <definedName name="FILENAME" localSheetId="77">'[16]Grain  Uncontrolled'!#REF!</definedName>
    <definedName name="FILENAME" localSheetId="49">'[16]Grain  Uncontrolled'!#REF!</definedName>
    <definedName name="FILENAME" localSheetId="48">'[16]Grain  Uncontrolled'!#REF!</definedName>
    <definedName name="FILENAME" localSheetId="40">'[16]Grain  Uncontrolled'!#REF!</definedName>
    <definedName name="FILENAME" localSheetId="43">'[16]Grain  Uncontrolled'!#REF!</definedName>
    <definedName name="FILENAME" localSheetId="13">'[16]Grain  Uncontrolled'!#REF!</definedName>
    <definedName name="FILENAME" localSheetId="38">'[16]Grain  Uncontrolled'!#REF!</definedName>
    <definedName name="FILENAME">'[16]Grain  Uncontrolled'!#REF!</definedName>
    <definedName name="FIll" localSheetId="3">[17]Compliance_NS!#REF!</definedName>
    <definedName name="FIll" localSheetId="7">[17]Compliance_NS!#REF!</definedName>
    <definedName name="FIll" localSheetId="9">[17]Compliance_NS!#REF!</definedName>
    <definedName name="FIll" localSheetId="10">[17]Compliance_NS!#REF!</definedName>
    <definedName name="FIll" localSheetId="15">[17]Compliance_NS!#REF!</definedName>
    <definedName name="FIll" localSheetId="19">[17]Compliance_NS!#REF!</definedName>
    <definedName name="FIll" localSheetId="20">[17]Compliance_NS!#REF!</definedName>
    <definedName name="FIll" localSheetId="24">[17]Compliance_NS!#REF!</definedName>
    <definedName name="FIll" localSheetId="104">[17]Compliance_NS!#REF!</definedName>
    <definedName name="FIll" localSheetId="65">[17]Compliance_NS!#REF!</definedName>
    <definedName name="FIll" localSheetId="64">[17]Compliance_NS!#REF!</definedName>
    <definedName name="FIll" localSheetId="77">[17]Compliance_NS!#REF!</definedName>
    <definedName name="FIll" localSheetId="49">[17]Compliance_NS!#REF!</definedName>
    <definedName name="FIll" localSheetId="40">[17]Compliance_NS!#REF!</definedName>
    <definedName name="FIll" localSheetId="43">[17]Compliance_NS!#REF!</definedName>
    <definedName name="FIll" localSheetId="13">[17]Compliance_NS!#REF!</definedName>
    <definedName name="FIll" localSheetId="38">[17]Compliance_NS!#REF!</definedName>
    <definedName name="FIll">[17]Compliance_NS!#REF!</definedName>
    <definedName name="fill2" localSheetId="3" hidden="1">#REF!</definedName>
    <definedName name="fill2" localSheetId="7" hidden="1">#REF!</definedName>
    <definedName name="fill2" localSheetId="9" hidden="1">#REF!</definedName>
    <definedName name="fill2" localSheetId="10" hidden="1">#REF!</definedName>
    <definedName name="fill2" localSheetId="15" hidden="1">#REF!</definedName>
    <definedName name="fill2" localSheetId="18" hidden="1">#REF!</definedName>
    <definedName name="fill2" localSheetId="19" hidden="1">#REF!</definedName>
    <definedName name="fill2" localSheetId="20" hidden="1">#REF!</definedName>
    <definedName name="fill2" localSheetId="23" hidden="1">#REF!</definedName>
    <definedName name="fill2" localSheetId="24" hidden="1">#REF!</definedName>
    <definedName name="fill2" localSheetId="35" hidden="1">#REF!</definedName>
    <definedName name="fill2" localSheetId="58" hidden="1">#REF!</definedName>
    <definedName name="fill2" localSheetId="60" hidden="1">#REF!</definedName>
    <definedName name="fill2" localSheetId="51" hidden="1">#REF!</definedName>
    <definedName name="fill2" localSheetId="54" hidden="1">#REF!</definedName>
    <definedName name="fill2" localSheetId="47" hidden="1">#REF!</definedName>
    <definedName name="fill2" localSheetId="105" hidden="1">#REF!</definedName>
    <definedName name="fill2" localSheetId="104" hidden="1">#REF!</definedName>
    <definedName name="fill2" localSheetId="88" hidden="1">#REF!</definedName>
    <definedName name="fill2" localSheetId="89" hidden="1">#REF!</definedName>
    <definedName name="fill2" localSheetId="87" hidden="1">#REF!</definedName>
    <definedName name="fill2" localSheetId="90" hidden="1">#REF!</definedName>
    <definedName name="fill2" localSheetId="70" hidden="1">#REF!</definedName>
    <definedName name="fill2" localSheetId="65" hidden="1">#REF!</definedName>
    <definedName name="fill2" localSheetId="64" hidden="1">#REF!</definedName>
    <definedName name="fill2" localSheetId="77" hidden="1">#REF!</definedName>
    <definedName name="fill2" localSheetId="49" hidden="1">#REF!</definedName>
    <definedName name="fill2" localSheetId="57" hidden="1">#REF!</definedName>
    <definedName name="fill2" localSheetId="59" hidden="1">#REF!</definedName>
    <definedName name="fill2" localSheetId="40" hidden="1">#REF!</definedName>
    <definedName name="fill2" localSheetId="43" hidden="1">#REF!</definedName>
    <definedName name="fill2" localSheetId="55" hidden="1">#REF!</definedName>
    <definedName name="fill2" localSheetId="13" hidden="1">#REF!</definedName>
    <definedName name="fill2" localSheetId="11" hidden="1">#REF!</definedName>
    <definedName name="fill2" localSheetId="38" hidden="1">#REF!</definedName>
    <definedName name="fill2" localSheetId="41" hidden="1">#REF!</definedName>
    <definedName name="fill2" localSheetId="101" hidden="1">#REF!</definedName>
    <definedName name="fill2" localSheetId="102" hidden="1">#REF!</definedName>
    <definedName name="fill2" localSheetId="103" hidden="1">#REF!</definedName>
    <definedName name="fill2" localSheetId="97" hidden="1">#REF!</definedName>
    <definedName name="fill2" localSheetId="42" hidden="1">#REF!</definedName>
    <definedName name="fill2" localSheetId="12" hidden="1">#REF!</definedName>
    <definedName name="fill2" localSheetId="73" hidden="1">#REF!</definedName>
    <definedName name="fill2" localSheetId="74" hidden="1">#REF!</definedName>
    <definedName name="fill2" hidden="1">#REF!</definedName>
    <definedName name="filt1" localSheetId="3">#REF!</definedName>
    <definedName name="filt1" localSheetId="7">#REF!</definedName>
    <definedName name="filt1" localSheetId="9">#REF!</definedName>
    <definedName name="filt1" localSheetId="10">#REF!</definedName>
    <definedName name="filt1" localSheetId="15">#REF!</definedName>
    <definedName name="filt1" localSheetId="19">#REF!</definedName>
    <definedName name="filt1" localSheetId="20">#REF!</definedName>
    <definedName name="filt1" localSheetId="24">#REF!</definedName>
    <definedName name="filt1" localSheetId="104">#REF!</definedName>
    <definedName name="filt1" localSheetId="65">#REF!</definedName>
    <definedName name="filt1" localSheetId="64">#REF!</definedName>
    <definedName name="filt1" localSheetId="77">#REF!</definedName>
    <definedName name="filt1" localSheetId="49">#REF!</definedName>
    <definedName name="filt1" localSheetId="40">#REF!</definedName>
    <definedName name="filt1" localSheetId="43">#REF!</definedName>
    <definedName name="filt1" localSheetId="13">#REF!</definedName>
    <definedName name="filt1" localSheetId="38">#REF!</definedName>
    <definedName name="filt1">#REF!</definedName>
    <definedName name="filt2" localSheetId="3">#REF!</definedName>
    <definedName name="filt2" localSheetId="7">#REF!</definedName>
    <definedName name="filt2" localSheetId="9">#REF!</definedName>
    <definedName name="filt2" localSheetId="10">#REF!</definedName>
    <definedName name="filt2" localSheetId="15">#REF!</definedName>
    <definedName name="filt2" localSheetId="19">#REF!</definedName>
    <definedName name="filt2" localSheetId="20">#REF!</definedName>
    <definedName name="filt2" localSheetId="24">#REF!</definedName>
    <definedName name="filt2" localSheetId="104">#REF!</definedName>
    <definedName name="filt2" localSheetId="65">#REF!</definedName>
    <definedName name="filt2" localSheetId="64">#REF!</definedName>
    <definedName name="filt2" localSheetId="77">#REF!</definedName>
    <definedName name="filt2" localSheetId="49">#REF!</definedName>
    <definedName name="filt2" localSheetId="40">#REF!</definedName>
    <definedName name="filt2" localSheetId="43">#REF!</definedName>
    <definedName name="filt2" localSheetId="13">#REF!</definedName>
    <definedName name="filt2" localSheetId="38">#REF!</definedName>
    <definedName name="filt2">#REF!</definedName>
    <definedName name="filt3" localSheetId="3">#REF!</definedName>
    <definedName name="filt3" localSheetId="7">#REF!</definedName>
    <definedName name="filt3" localSheetId="9">#REF!</definedName>
    <definedName name="filt3" localSheetId="10">#REF!</definedName>
    <definedName name="filt3" localSheetId="15">#REF!</definedName>
    <definedName name="filt3" localSheetId="19">#REF!</definedName>
    <definedName name="filt3" localSheetId="20">#REF!</definedName>
    <definedName name="filt3" localSheetId="24">#REF!</definedName>
    <definedName name="filt3" localSheetId="104">#REF!</definedName>
    <definedName name="filt3" localSheetId="65">#REF!</definedName>
    <definedName name="filt3" localSheetId="64">#REF!</definedName>
    <definedName name="filt3" localSheetId="77">#REF!</definedName>
    <definedName name="filt3" localSheetId="49">#REF!</definedName>
    <definedName name="filt3" localSheetId="40">#REF!</definedName>
    <definedName name="filt3" localSheetId="43">#REF!</definedName>
    <definedName name="filt3" localSheetId="13">#REF!</definedName>
    <definedName name="filt3" localSheetId="38">#REF!</definedName>
    <definedName name="filt3">#REF!</definedName>
    <definedName name="filt4" localSheetId="3">#REF!</definedName>
    <definedName name="filt4" localSheetId="7">#REF!</definedName>
    <definedName name="filt4" localSheetId="9">#REF!</definedName>
    <definedName name="filt4" localSheetId="10">#REF!</definedName>
    <definedName name="filt4" localSheetId="15">#REF!</definedName>
    <definedName name="filt4" localSheetId="19">#REF!</definedName>
    <definedName name="filt4" localSheetId="20">#REF!</definedName>
    <definedName name="filt4" localSheetId="24">#REF!</definedName>
    <definedName name="filt4" localSheetId="104">#REF!</definedName>
    <definedName name="filt4" localSheetId="65">#REF!</definedName>
    <definedName name="filt4" localSheetId="64">#REF!</definedName>
    <definedName name="filt4" localSheetId="77">#REF!</definedName>
    <definedName name="filt4" localSheetId="49">#REF!</definedName>
    <definedName name="filt4" localSheetId="40">#REF!</definedName>
    <definedName name="filt4" localSheetId="43">#REF!</definedName>
    <definedName name="filt4" localSheetId="13">#REF!</definedName>
    <definedName name="filt4" localSheetId="38">#REF!</definedName>
    <definedName name="filt4">#REF!</definedName>
    <definedName name="filttot" localSheetId="3">#REF!</definedName>
    <definedName name="filttot" localSheetId="7">#REF!</definedName>
    <definedName name="filttot" localSheetId="9">#REF!</definedName>
    <definedName name="filttot" localSheetId="10">#REF!</definedName>
    <definedName name="filttot" localSheetId="15">#REF!</definedName>
    <definedName name="filttot" localSheetId="19">#REF!</definedName>
    <definedName name="filttot" localSheetId="20">#REF!</definedName>
    <definedName name="filttot" localSheetId="24">#REF!</definedName>
    <definedName name="filttot" localSheetId="104">#REF!</definedName>
    <definedName name="filttot" localSheetId="65">#REF!</definedName>
    <definedName name="filttot" localSheetId="64">#REF!</definedName>
    <definedName name="filttot" localSheetId="77">#REF!</definedName>
    <definedName name="filttot" localSheetId="49">#REF!</definedName>
    <definedName name="filttot" localSheetId="40">#REF!</definedName>
    <definedName name="filttot" localSheetId="43">#REF!</definedName>
    <definedName name="filttot" localSheetId="13">#REF!</definedName>
    <definedName name="filttot" localSheetId="38">#REF!</definedName>
    <definedName name="filttot">#REF!</definedName>
    <definedName name="FIN" localSheetId="3">#REF!</definedName>
    <definedName name="FIN" localSheetId="7">#REF!</definedName>
    <definedName name="FIN" localSheetId="9">#REF!</definedName>
    <definedName name="FIN" localSheetId="10">#REF!</definedName>
    <definedName name="FIN" localSheetId="15">#REF!</definedName>
    <definedName name="FIN" localSheetId="19">#REF!</definedName>
    <definedName name="FIN" localSheetId="20">#REF!</definedName>
    <definedName name="FIN" localSheetId="24">#REF!</definedName>
    <definedName name="FIN" localSheetId="104">#REF!</definedName>
    <definedName name="FIN" localSheetId="65">#REF!</definedName>
    <definedName name="FIN" localSheetId="64">#REF!</definedName>
    <definedName name="FIN" localSheetId="77">#REF!</definedName>
    <definedName name="FIN" localSheetId="49">#REF!</definedName>
    <definedName name="FIN" localSheetId="40">#REF!</definedName>
    <definedName name="FIN" localSheetId="43">#REF!</definedName>
    <definedName name="FIN" localSheetId="13">#REF!</definedName>
    <definedName name="FIN" localSheetId="38">#REF!</definedName>
    <definedName name="FIN">#REF!</definedName>
    <definedName name="FINISHMILL" localSheetId="3">#REF!</definedName>
    <definedName name="FINISHMILL" localSheetId="7">#REF!</definedName>
    <definedName name="FINISHMILL" localSheetId="9">#REF!</definedName>
    <definedName name="FINISHMILL" localSheetId="10">#REF!</definedName>
    <definedName name="FINISHMILL" localSheetId="15">#REF!</definedName>
    <definedName name="FINISHMILL" localSheetId="19">#REF!</definedName>
    <definedName name="FINISHMILL" localSheetId="20">#REF!</definedName>
    <definedName name="FINISHMILL" localSheetId="24">#REF!</definedName>
    <definedName name="FINISHMILL" localSheetId="104">#REF!</definedName>
    <definedName name="FINISHMILL" localSheetId="65">#REF!</definedName>
    <definedName name="FINISHMILL" localSheetId="64">#REF!</definedName>
    <definedName name="FINISHMILL" localSheetId="77">#REF!</definedName>
    <definedName name="FINISHMILL" localSheetId="49">#REF!</definedName>
    <definedName name="FINISHMILL" localSheetId="40">#REF!</definedName>
    <definedName name="FINISHMILL" localSheetId="43">#REF!</definedName>
    <definedName name="FINISHMILL" localSheetId="13">#REF!</definedName>
    <definedName name="FINISHMILL" localSheetId="38">#REF!</definedName>
    <definedName name="FINISHMILL">#REF!</definedName>
    <definedName name="fire1" localSheetId="3">#REF!</definedName>
    <definedName name="fire1" localSheetId="7">#REF!</definedName>
    <definedName name="fire1" localSheetId="9">#REF!</definedName>
    <definedName name="fire1" localSheetId="10">#REF!</definedName>
    <definedName name="fire1" localSheetId="15">#REF!</definedName>
    <definedName name="fire1" localSheetId="19">#REF!</definedName>
    <definedName name="fire1" localSheetId="20">#REF!</definedName>
    <definedName name="fire1" localSheetId="24">#REF!</definedName>
    <definedName name="fire1" localSheetId="104">#REF!</definedName>
    <definedName name="fire1" localSheetId="65">#REF!</definedName>
    <definedName name="fire1" localSheetId="64">#REF!</definedName>
    <definedName name="fire1" localSheetId="77">#REF!</definedName>
    <definedName name="fire1" localSheetId="49">#REF!</definedName>
    <definedName name="fire1" localSheetId="40">#REF!</definedName>
    <definedName name="fire1" localSheetId="43">#REF!</definedName>
    <definedName name="fire1" localSheetId="13">#REF!</definedName>
    <definedName name="fire1" localSheetId="38">#REF!</definedName>
    <definedName name="fire1">#REF!</definedName>
    <definedName name="fire2" localSheetId="3">#REF!</definedName>
    <definedName name="fire2" localSheetId="7">#REF!</definedName>
    <definedName name="fire2" localSheetId="9">#REF!</definedName>
    <definedName name="fire2" localSheetId="10">#REF!</definedName>
    <definedName name="fire2" localSheetId="15">#REF!</definedName>
    <definedName name="fire2" localSheetId="19">#REF!</definedName>
    <definedName name="fire2" localSheetId="20">#REF!</definedName>
    <definedName name="fire2" localSheetId="24">#REF!</definedName>
    <definedName name="fire2" localSheetId="104">#REF!</definedName>
    <definedName name="fire2" localSheetId="65">#REF!</definedName>
    <definedName name="fire2" localSheetId="64">#REF!</definedName>
    <definedName name="fire2" localSheetId="77">#REF!</definedName>
    <definedName name="fire2" localSheetId="49">#REF!</definedName>
    <definedName name="fire2" localSheetId="40">#REF!</definedName>
    <definedName name="fire2" localSheetId="43">#REF!</definedName>
    <definedName name="fire2" localSheetId="13">#REF!</definedName>
    <definedName name="fire2" localSheetId="38">#REF!</definedName>
    <definedName name="fire2">#REF!</definedName>
    <definedName name="fire3" localSheetId="3">#REF!</definedName>
    <definedName name="fire3" localSheetId="7">#REF!</definedName>
    <definedName name="fire3" localSheetId="9">#REF!</definedName>
    <definedName name="fire3" localSheetId="10">#REF!</definedName>
    <definedName name="fire3" localSheetId="15">#REF!</definedName>
    <definedName name="fire3" localSheetId="19">#REF!</definedName>
    <definedName name="fire3" localSheetId="20">#REF!</definedName>
    <definedName name="fire3" localSheetId="24">#REF!</definedName>
    <definedName name="fire3" localSheetId="104">#REF!</definedName>
    <definedName name="fire3" localSheetId="65">#REF!</definedName>
    <definedName name="fire3" localSheetId="64">#REF!</definedName>
    <definedName name="fire3" localSheetId="77">#REF!</definedName>
    <definedName name="fire3" localSheetId="49">#REF!</definedName>
    <definedName name="fire3" localSheetId="40">#REF!</definedName>
    <definedName name="fire3" localSheetId="43">#REF!</definedName>
    <definedName name="fire3" localSheetId="13">#REF!</definedName>
    <definedName name="fire3" localSheetId="38">#REF!</definedName>
    <definedName name="fire3">#REF!</definedName>
    <definedName name="fire4" localSheetId="3">#REF!</definedName>
    <definedName name="fire4" localSheetId="7">#REF!</definedName>
    <definedName name="fire4" localSheetId="9">#REF!</definedName>
    <definedName name="fire4" localSheetId="10">#REF!</definedName>
    <definedName name="fire4" localSheetId="15">#REF!</definedName>
    <definedName name="fire4" localSheetId="19">#REF!</definedName>
    <definedName name="fire4" localSheetId="20">#REF!</definedName>
    <definedName name="fire4" localSheetId="24">#REF!</definedName>
    <definedName name="fire4" localSheetId="104">#REF!</definedName>
    <definedName name="fire4" localSheetId="65">#REF!</definedName>
    <definedName name="fire4" localSheetId="64">#REF!</definedName>
    <definedName name="fire4" localSheetId="77">#REF!</definedName>
    <definedName name="fire4" localSheetId="49">#REF!</definedName>
    <definedName name="fire4" localSheetId="40">#REF!</definedName>
    <definedName name="fire4" localSheetId="43">#REF!</definedName>
    <definedName name="fire4" localSheetId="13">#REF!</definedName>
    <definedName name="fire4" localSheetId="38">#REF!</definedName>
    <definedName name="fire4">#REF!</definedName>
    <definedName name="firetot" localSheetId="3">#REF!</definedName>
    <definedName name="firetot" localSheetId="7">#REF!</definedName>
    <definedName name="firetot" localSheetId="9">#REF!</definedName>
    <definedName name="firetot" localSheetId="10">#REF!</definedName>
    <definedName name="firetot" localSheetId="15">#REF!</definedName>
    <definedName name="firetot" localSheetId="19">#REF!</definedName>
    <definedName name="firetot" localSheetId="20">#REF!</definedName>
    <definedName name="firetot" localSheetId="24">#REF!</definedName>
    <definedName name="firetot" localSheetId="104">#REF!</definedName>
    <definedName name="firetot" localSheetId="65">#REF!</definedName>
    <definedName name="firetot" localSheetId="64">#REF!</definedName>
    <definedName name="firetot" localSheetId="77">#REF!</definedName>
    <definedName name="firetot" localSheetId="49">#REF!</definedName>
    <definedName name="firetot" localSheetId="40">#REF!</definedName>
    <definedName name="firetot" localSheetId="43">#REF!</definedName>
    <definedName name="firetot" localSheetId="13">#REF!</definedName>
    <definedName name="firetot" localSheetId="38">#REF!</definedName>
    <definedName name="firetot">#REF!</definedName>
    <definedName name="FIRING_METHOD" localSheetId="3">#REF!</definedName>
    <definedName name="FIRING_METHOD" localSheetId="7">#REF!</definedName>
    <definedName name="FIRING_METHOD" localSheetId="9">#REF!</definedName>
    <definedName name="FIRING_METHOD" localSheetId="10">#REF!</definedName>
    <definedName name="FIRING_METHOD" localSheetId="15">#REF!</definedName>
    <definedName name="FIRING_METHOD" localSheetId="19">#REF!</definedName>
    <definedName name="FIRING_METHOD" localSheetId="20">#REF!</definedName>
    <definedName name="FIRING_METHOD" localSheetId="24">#REF!</definedName>
    <definedName name="FIRING_METHOD" localSheetId="104">#REF!</definedName>
    <definedName name="FIRING_METHOD" localSheetId="65">#REF!</definedName>
    <definedName name="FIRING_METHOD" localSheetId="64">#REF!</definedName>
    <definedName name="FIRING_METHOD" localSheetId="77">#REF!</definedName>
    <definedName name="FIRING_METHOD" localSheetId="49">#REF!</definedName>
    <definedName name="FIRING_METHOD" localSheetId="40">#REF!</definedName>
    <definedName name="FIRING_METHOD" localSheetId="43">#REF!</definedName>
    <definedName name="FIRING_METHOD" localSheetId="13">#REF!</definedName>
    <definedName name="FIRING_METHOD" localSheetId="38">#REF!</definedName>
    <definedName name="FIRING_METHOD">#REF!</definedName>
    <definedName name="five" localSheetId="3">#REF!</definedName>
    <definedName name="five" localSheetId="7">#REF!</definedName>
    <definedName name="five" localSheetId="9">#REF!</definedName>
    <definedName name="five" localSheetId="10">#REF!</definedName>
    <definedName name="five" localSheetId="15">#REF!</definedName>
    <definedName name="five" localSheetId="19">#REF!</definedName>
    <definedName name="five" localSheetId="20">#REF!</definedName>
    <definedName name="five" localSheetId="24">#REF!</definedName>
    <definedName name="five" localSheetId="104">#REF!</definedName>
    <definedName name="five" localSheetId="65">#REF!</definedName>
    <definedName name="five" localSheetId="64">#REF!</definedName>
    <definedName name="five" localSheetId="77">#REF!</definedName>
    <definedName name="five" localSheetId="49">#REF!</definedName>
    <definedName name="five" localSheetId="40">#REF!</definedName>
    <definedName name="five" localSheetId="43">#REF!</definedName>
    <definedName name="five" localSheetId="13">#REF!</definedName>
    <definedName name="five" localSheetId="38">#REF!</definedName>
    <definedName name="five">#REF!</definedName>
    <definedName name="fixed.dist.cap.ann" localSheetId="3">#REF!</definedName>
    <definedName name="fixed.dist.cap.ann" localSheetId="7">#REF!</definedName>
    <definedName name="fixed.dist.cap.ann" localSheetId="9">#REF!</definedName>
    <definedName name="fixed.dist.cap.ann" localSheetId="10">#REF!</definedName>
    <definedName name="fixed.dist.cap.ann" localSheetId="15">#REF!</definedName>
    <definedName name="fixed.dist.cap.ann" localSheetId="19">#REF!</definedName>
    <definedName name="fixed.dist.cap.ann" localSheetId="20">#REF!</definedName>
    <definedName name="fixed.dist.cap.ann" localSheetId="24">#REF!</definedName>
    <definedName name="fixed.dist.cap.ann" localSheetId="104">#REF!</definedName>
    <definedName name="fixed.dist.cap.ann" localSheetId="65">#REF!</definedName>
    <definedName name="fixed.dist.cap.ann" localSheetId="64">#REF!</definedName>
    <definedName name="fixed.dist.cap.ann" localSheetId="77">#REF!</definedName>
    <definedName name="fixed.dist.cap.ann" localSheetId="49">#REF!</definedName>
    <definedName name="fixed.dist.cap.ann" localSheetId="40">#REF!</definedName>
    <definedName name="fixed.dist.cap.ann" localSheetId="43">#REF!</definedName>
    <definedName name="fixed.dist.cap.ann" localSheetId="13">#REF!</definedName>
    <definedName name="fixed.dist.cap.ann" localSheetId="38">#REF!</definedName>
    <definedName name="fixed.dist.cap.ann">#REF!</definedName>
    <definedName name="fixed.dist.cap.hr" localSheetId="3">#REF!</definedName>
    <definedName name="fixed.dist.cap.hr" localSheetId="7">#REF!</definedName>
    <definedName name="fixed.dist.cap.hr" localSheetId="9">#REF!</definedName>
    <definedName name="fixed.dist.cap.hr" localSheetId="10">#REF!</definedName>
    <definedName name="fixed.dist.cap.hr" localSheetId="15">#REF!</definedName>
    <definedName name="fixed.dist.cap.hr" localSheetId="19">#REF!</definedName>
    <definedName name="fixed.dist.cap.hr" localSheetId="20">#REF!</definedName>
    <definedName name="fixed.dist.cap.hr" localSheetId="24">#REF!</definedName>
    <definedName name="fixed.dist.cap.hr" localSheetId="104">#REF!</definedName>
    <definedName name="fixed.dist.cap.hr" localSheetId="65">#REF!</definedName>
    <definedName name="fixed.dist.cap.hr" localSheetId="64">#REF!</definedName>
    <definedName name="fixed.dist.cap.hr" localSheetId="77">#REF!</definedName>
    <definedName name="fixed.dist.cap.hr" localSheetId="49">#REF!</definedName>
    <definedName name="fixed.dist.cap.hr" localSheetId="40">#REF!</definedName>
    <definedName name="fixed.dist.cap.hr" localSheetId="43">#REF!</definedName>
    <definedName name="fixed.dist.cap.hr" localSheetId="13">#REF!</definedName>
    <definedName name="fixed.dist.cap.hr" localSheetId="38">#REF!</definedName>
    <definedName name="fixed.dist.cap.hr">#REF!</definedName>
    <definedName name="fixed2" localSheetId="3">#REF!</definedName>
    <definedName name="fixed2" localSheetId="7">#REF!</definedName>
    <definedName name="fixed2" localSheetId="9">#REF!</definedName>
    <definedName name="fixed2" localSheetId="10">#REF!</definedName>
    <definedName name="fixed2" localSheetId="15">#REF!</definedName>
    <definedName name="fixed2" localSheetId="19">#REF!</definedName>
    <definedName name="fixed2" localSheetId="20">#REF!</definedName>
    <definedName name="fixed2" localSheetId="24">#REF!</definedName>
    <definedName name="fixed2" localSheetId="104">#REF!</definedName>
    <definedName name="fixed2" localSheetId="65">#REF!</definedName>
    <definedName name="fixed2" localSheetId="64">#REF!</definedName>
    <definedName name="fixed2" localSheetId="77">#REF!</definedName>
    <definedName name="fixed2" localSheetId="49">#REF!</definedName>
    <definedName name="fixed2" localSheetId="40">#REF!</definedName>
    <definedName name="fixed2" localSheetId="43">#REF!</definedName>
    <definedName name="fixed2" localSheetId="13">#REF!</definedName>
    <definedName name="fixed2" localSheetId="38">#REF!</definedName>
    <definedName name="fixed2">#REF!</definedName>
    <definedName name="fixroof" localSheetId="3">#REF!</definedName>
    <definedName name="fixroof" localSheetId="7">#REF!</definedName>
    <definedName name="fixroof" localSheetId="9">#REF!</definedName>
    <definedName name="fixroof" localSheetId="10">#REF!</definedName>
    <definedName name="fixroof" localSheetId="15">#REF!</definedName>
    <definedName name="fixroof" localSheetId="19">#REF!</definedName>
    <definedName name="fixroof" localSheetId="20">#REF!</definedName>
    <definedName name="fixroof" localSheetId="24">#REF!</definedName>
    <definedName name="fixroof" localSheetId="104">#REF!</definedName>
    <definedName name="fixroof" localSheetId="65">#REF!</definedName>
    <definedName name="fixroof" localSheetId="64">#REF!</definedName>
    <definedName name="fixroof" localSheetId="77">#REF!</definedName>
    <definedName name="fixroof" localSheetId="49">#REF!</definedName>
    <definedName name="fixroof" localSheetId="40">#REF!</definedName>
    <definedName name="fixroof" localSheetId="43">#REF!</definedName>
    <definedName name="fixroof" localSheetId="13">#REF!</definedName>
    <definedName name="fixroof" localSheetId="38">#REF!</definedName>
    <definedName name="fixroof">#REF!</definedName>
    <definedName name="FK" localSheetId="3">#REF!</definedName>
    <definedName name="FK" localSheetId="7">#REF!</definedName>
    <definedName name="FK" localSheetId="9">#REF!</definedName>
    <definedName name="FK" localSheetId="10">#REF!</definedName>
    <definedName name="FK" localSheetId="15">#REF!</definedName>
    <definedName name="FK" localSheetId="19">#REF!</definedName>
    <definedName name="FK" localSheetId="20">#REF!</definedName>
    <definedName name="FK" localSheetId="24">#REF!</definedName>
    <definedName name="FK" localSheetId="104">#REF!</definedName>
    <definedName name="FK" localSheetId="65">#REF!</definedName>
    <definedName name="FK" localSheetId="64">#REF!</definedName>
    <definedName name="FK" localSheetId="77">#REF!</definedName>
    <definedName name="FK" localSheetId="49">#REF!</definedName>
    <definedName name="FK" localSheetId="40">#REF!</definedName>
    <definedName name="FK" localSheetId="43">#REF!</definedName>
    <definedName name="FK" localSheetId="13">#REF!</definedName>
    <definedName name="FK" localSheetId="38">#REF!</definedName>
    <definedName name="FK">#REF!</definedName>
    <definedName name="flar1" localSheetId="3">#REF!</definedName>
    <definedName name="flar1" localSheetId="7">#REF!</definedName>
    <definedName name="flar1" localSheetId="9">#REF!</definedName>
    <definedName name="flar1" localSheetId="10">#REF!</definedName>
    <definedName name="flar1" localSheetId="15">#REF!</definedName>
    <definedName name="flar1" localSheetId="19">#REF!</definedName>
    <definedName name="flar1" localSheetId="20">#REF!</definedName>
    <definedName name="flar1" localSheetId="24">#REF!</definedName>
    <definedName name="flar1" localSheetId="104">#REF!</definedName>
    <definedName name="flar1" localSheetId="65">#REF!</definedName>
    <definedName name="flar1" localSheetId="64">#REF!</definedName>
    <definedName name="flar1" localSheetId="77">#REF!</definedName>
    <definedName name="flar1" localSheetId="49">#REF!</definedName>
    <definedName name="flar1" localSheetId="40">#REF!</definedName>
    <definedName name="flar1" localSheetId="43">#REF!</definedName>
    <definedName name="flar1" localSheetId="13">#REF!</definedName>
    <definedName name="flar1" localSheetId="38">#REF!</definedName>
    <definedName name="flar1">#REF!</definedName>
    <definedName name="flar2" localSheetId="3">#REF!</definedName>
    <definedName name="flar2" localSheetId="7">#REF!</definedName>
    <definedName name="flar2" localSheetId="9">#REF!</definedName>
    <definedName name="flar2" localSheetId="10">#REF!</definedName>
    <definedName name="flar2" localSheetId="15">#REF!</definedName>
    <definedName name="flar2" localSheetId="19">#REF!</definedName>
    <definedName name="flar2" localSheetId="20">#REF!</definedName>
    <definedName name="flar2" localSheetId="24">#REF!</definedName>
    <definedName name="flar2" localSheetId="104">#REF!</definedName>
    <definedName name="flar2" localSheetId="65">#REF!</definedName>
    <definedName name="flar2" localSheetId="64">#REF!</definedName>
    <definedName name="flar2" localSheetId="77">#REF!</definedName>
    <definedName name="flar2" localSheetId="49">#REF!</definedName>
    <definedName name="flar2" localSheetId="40">#REF!</definedName>
    <definedName name="flar2" localSheetId="43">#REF!</definedName>
    <definedName name="flar2" localSheetId="13">#REF!</definedName>
    <definedName name="flar2" localSheetId="38">#REF!</definedName>
    <definedName name="flar2">#REF!</definedName>
    <definedName name="flar3" localSheetId="3">#REF!</definedName>
    <definedName name="flar3" localSheetId="7">#REF!</definedName>
    <definedName name="flar3" localSheetId="9">#REF!</definedName>
    <definedName name="flar3" localSheetId="10">#REF!</definedName>
    <definedName name="flar3" localSheetId="15">#REF!</definedName>
    <definedName name="flar3" localSheetId="19">#REF!</definedName>
    <definedName name="flar3" localSheetId="20">#REF!</definedName>
    <definedName name="flar3" localSheetId="24">#REF!</definedName>
    <definedName name="flar3" localSheetId="104">#REF!</definedName>
    <definedName name="flar3" localSheetId="65">#REF!</definedName>
    <definedName name="flar3" localSheetId="64">#REF!</definedName>
    <definedName name="flar3" localSheetId="77">#REF!</definedName>
    <definedName name="flar3" localSheetId="49">#REF!</definedName>
    <definedName name="flar3" localSheetId="40">#REF!</definedName>
    <definedName name="flar3" localSheetId="43">#REF!</definedName>
    <definedName name="flar3" localSheetId="13">#REF!</definedName>
    <definedName name="flar3" localSheetId="38">#REF!</definedName>
    <definedName name="flar3">#REF!</definedName>
    <definedName name="flar4" localSheetId="3">#REF!</definedName>
    <definedName name="flar4" localSheetId="7">#REF!</definedName>
    <definedName name="flar4" localSheetId="9">#REF!</definedName>
    <definedName name="flar4" localSheetId="10">#REF!</definedName>
    <definedName name="flar4" localSheetId="15">#REF!</definedName>
    <definedName name="flar4" localSheetId="19">#REF!</definedName>
    <definedName name="flar4" localSheetId="20">#REF!</definedName>
    <definedName name="flar4" localSheetId="24">#REF!</definedName>
    <definedName name="flar4" localSheetId="104">#REF!</definedName>
    <definedName name="flar4" localSheetId="65">#REF!</definedName>
    <definedName name="flar4" localSheetId="64">#REF!</definedName>
    <definedName name="flar4" localSheetId="77">#REF!</definedName>
    <definedName name="flar4" localSheetId="49">#REF!</definedName>
    <definedName name="flar4" localSheetId="40">#REF!</definedName>
    <definedName name="flar4" localSheetId="43">#REF!</definedName>
    <definedName name="flar4" localSheetId="13">#REF!</definedName>
    <definedName name="flar4" localSheetId="38">#REF!</definedName>
    <definedName name="flar4">#REF!</definedName>
    <definedName name="Flare" localSheetId="3">'[14]1-2; Grain Receiving&amp;DDGS'!#REF!</definedName>
    <definedName name="Flare" localSheetId="7">'[14]1-2; Grain Receiving&amp;DDGS'!#REF!</definedName>
    <definedName name="Flare" localSheetId="9">'[14]1-2; Grain Receiving&amp;DDGS'!#REF!</definedName>
    <definedName name="Flare" localSheetId="10">'[14]1-2; Grain Receiving&amp;DDGS'!#REF!</definedName>
    <definedName name="Flare" localSheetId="15">'[14]1-2; Grain Receiving&amp;DDGS'!#REF!</definedName>
    <definedName name="Flare" localSheetId="19">'[14]1-2; Grain Receiving&amp;DDGS'!#REF!</definedName>
    <definedName name="Flare" localSheetId="20">'[14]1-2; Grain Receiving&amp;DDGS'!#REF!</definedName>
    <definedName name="Flare" localSheetId="24">'[14]1-2; Grain Receiving&amp;DDGS'!#REF!</definedName>
    <definedName name="Flare" localSheetId="104">'[14]1-2; Grain Receiving&amp;DDGS'!#REF!</definedName>
    <definedName name="Flare" localSheetId="75">'[14]1-2; Grain Receiving&amp;DDGS'!#REF!</definedName>
    <definedName name="Flare" localSheetId="65">'[14]1-2; Grain Receiving&amp;DDGS'!#REF!</definedName>
    <definedName name="Flare" localSheetId="64">'[14]1-2; Grain Receiving&amp;DDGS'!#REF!</definedName>
    <definedName name="Flare" localSheetId="77">'[14]1-2; Grain Receiving&amp;DDGS'!#REF!</definedName>
    <definedName name="Flare" localSheetId="49">'[14]1-2; Grain Receiving&amp;DDGS'!#REF!</definedName>
    <definedName name="Flare" localSheetId="48">'[14]1-2; Grain Receiving&amp;DDGS'!#REF!</definedName>
    <definedName name="Flare" localSheetId="40">'[14]1-2; Grain Receiving&amp;DDGS'!#REF!</definedName>
    <definedName name="Flare" localSheetId="43">'[14]1-2; Grain Receiving&amp;DDGS'!#REF!</definedName>
    <definedName name="Flare" localSheetId="13">'[14]1-2; Grain Receiving&amp;DDGS'!#REF!</definedName>
    <definedName name="Flare" localSheetId="38">'[14]1-2; Grain Receiving&amp;DDGS'!#REF!</definedName>
    <definedName name="Flare">'[14]1-2; Grain Receiving&amp;DDGS'!#REF!</definedName>
    <definedName name="Flare_Chem_List" localSheetId="3">#REF!</definedName>
    <definedName name="Flare_Chem_List" localSheetId="7">#REF!</definedName>
    <definedName name="Flare_Chem_List" localSheetId="9">#REF!</definedName>
    <definedName name="Flare_Chem_List" localSheetId="10">#REF!</definedName>
    <definedName name="Flare_Chem_List" localSheetId="15">#REF!</definedName>
    <definedName name="Flare_Chem_List" localSheetId="19">#REF!</definedName>
    <definedName name="Flare_Chem_List" localSheetId="20">#REF!</definedName>
    <definedName name="Flare_Chem_List" localSheetId="24">#REF!</definedName>
    <definedName name="Flare_Chem_List" localSheetId="104">#REF!</definedName>
    <definedName name="Flare_Chem_List" localSheetId="65">#REF!</definedName>
    <definedName name="Flare_Chem_List" localSheetId="64">#REF!</definedName>
    <definedName name="Flare_Chem_List" localSheetId="77">#REF!</definedName>
    <definedName name="Flare_Chem_List" localSheetId="49">#REF!</definedName>
    <definedName name="Flare_Chem_List" localSheetId="40">#REF!</definedName>
    <definedName name="Flare_Chem_List" localSheetId="43">#REF!</definedName>
    <definedName name="Flare_Chem_List" localSheetId="13">#REF!</definedName>
    <definedName name="Flare_Chem_List" localSheetId="38">#REF!</definedName>
    <definedName name="Flare_Chem_List">#REF!</definedName>
    <definedName name="Flare_Emission_Sum" localSheetId="3">#REF!</definedName>
    <definedName name="Flare_Emission_Sum" localSheetId="7">#REF!</definedName>
    <definedName name="Flare_Emission_Sum" localSheetId="9">#REF!</definedName>
    <definedName name="Flare_Emission_Sum" localSheetId="10">#REF!</definedName>
    <definedName name="Flare_Emission_Sum" localSheetId="15">#REF!</definedName>
    <definedName name="Flare_Emission_Sum" localSheetId="19">#REF!</definedName>
    <definedName name="Flare_Emission_Sum" localSheetId="20">#REF!</definedName>
    <definedName name="Flare_Emission_Sum" localSheetId="24">#REF!</definedName>
    <definedName name="Flare_Emission_Sum" localSheetId="104">#REF!</definedName>
    <definedName name="Flare_Emission_Sum" localSheetId="65">#REF!</definedName>
    <definedName name="Flare_Emission_Sum" localSheetId="64">#REF!</definedName>
    <definedName name="Flare_Emission_Sum" localSheetId="77">#REF!</definedName>
    <definedName name="Flare_Emission_Sum" localSheetId="49">#REF!</definedName>
    <definedName name="Flare_Emission_Sum" localSheetId="40">#REF!</definedName>
    <definedName name="Flare_Emission_Sum" localSheetId="43">#REF!</definedName>
    <definedName name="Flare_Emission_Sum" localSheetId="13">#REF!</definedName>
    <definedName name="Flare_Emission_Sum" localSheetId="38">#REF!</definedName>
    <definedName name="Flare_Emission_Sum">#REF!</definedName>
    <definedName name="Flare_General" localSheetId="3">#REF!</definedName>
    <definedName name="Flare_General" localSheetId="7">#REF!</definedName>
    <definedName name="Flare_General" localSheetId="9">#REF!</definedName>
    <definedName name="Flare_General" localSheetId="10">#REF!</definedName>
    <definedName name="Flare_General" localSheetId="15">#REF!</definedName>
    <definedName name="Flare_General" localSheetId="19">#REF!</definedName>
    <definedName name="Flare_General" localSheetId="20">#REF!</definedName>
    <definedName name="Flare_General" localSheetId="24">#REF!</definedName>
    <definedName name="Flare_General" localSheetId="104">#REF!</definedName>
    <definedName name="Flare_General" localSheetId="65">#REF!</definedName>
    <definedName name="Flare_General" localSheetId="64">#REF!</definedName>
    <definedName name="Flare_General" localSheetId="77">#REF!</definedName>
    <definedName name="Flare_General" localSheetId="49">#REF!</definedName>
    <definedName name="Flare_General" localSheetId="40">#REF!</definedName>
    <definedName name="Flare_General" localSheetId="43">#REF!</definedName>
    <definedName name="Flare_General" localSheetId="13">#REF!</definedName>
    <definedName name="Flare_General" localSheetId="38">#REF!</definedName>
    <definedName name="Flare_General">#REF!</definedName>
    <definedName name="Flare_Strm_01" localSheetId="3">#REF!</definedName>
    <definedName name="Flare_Strm_01" localSheetId="7">#REF!</definedName>
    <definedName name="Flare_Strm_01" localSheetId="9">#REF!</definedName>
    <definedName name="Flare_Strm_01" localSheetId="10">#REF!</definedName>
    <definedName name="Flare_Strm_01" localSheetId="15">#REF!</definedName>
    <definedName name="Flare_Strm_01" localSheetId="19">#REF!</definedName>
    <definedName name="Flare_Strm_01" localSheetId="20">#REF!</definedName>
    <definedName name="Flare_Strm_01" localSheetId="24">#REF!</definedName>
    <definedName name="Flare_Strm_01" localSheetId="104">#REF!</definedName>
    <definedName name="Flare_Strm_01" localSheetId="65">#REF!</definedName>
    <definedName name="Flare_Strm_01" localSheetId="64">#REF!</definedName>
    <definedName name="Flare_Strm_01" localSheetId="77">#REF!</definedName>
    <definedName name="Flare_Strm_01" localSheetId="49">#REF!</definedName>
    <definedName name="Flare_Strm_01" localSheetId="40">#REF!</definedName>
    <definedName name="Flare_Strm_01" localSheetId="43">#REF!</definedName>
    <definedName name="Flare_Strm_01" localSheetId="13">#REF!</definedName>
    <definedName name="Flare_Strm_01" localSheetId="38">#REF!</definedName>
    <definedName name="Flare_Strm_01">#REF!</definedName>
    <definedName name="Flare_Strm_02" localSheetId="3">#REF!</definedName>
    <definedName name="Flare_Strm_02" localSheetId="7">#REF!</definedName>
    <definedName name="Flare_Strm_02" localSheetId="9">#REF!</definedName>
    <definedName name="Flare_Strm_02" localSheetId="10">#REF!</definedName>
    <definedName name="Flare_Strm_02" localSheetId="15">#REF!</definedName>
    <definedName name="Flare_Strm_02" localSheetId="19">#REF!</definedName>
    <definedName name="Flare_Strm_02" localSheetId="20">#REF!</definedName>
    <definedName name="Flare_Strm_02" localSheetId="24">#REF!</definedName>
    <definedName name="Flare_Strm_02" localSheetId="104">#REF!</definedName>
    <definedName name="Flare_Strm_02" localSheetId="65">#REF!</definedName>
    <definedName name="Flare_Strm_02" localSheetId="64">#REF!</definedName>
    <definedName name="Flare_Strm_02" localSheetId="77">#REF!</definedName>
    <definedName name="Flare_Strm_02" localSheetId="49">#REF!</definedName>
    <definedName name="Flare_Strm_02" localSheetId="40">#REF!</definedName>
    <definedName name="Flare_Strm_02" localSheetId="43">#REF!</definedName>
    <definedName name="Flare_Strm_02" localSheetId="13">#REF!</definedName>
    <definedName name="Flare_Strm_02" localSheetId="38">#REF!</definedName>
    <definedName name="Flare_Strm_02">#REF!</definedName>
    <definedName name="Flare_Strm_03" localSheetId="3">#REF!</definedName>
    <definedName name="Flare_Strm_03" localSheetId="7">#REF!</definedName>
    <definedName name="Flare_Strm_03" localSheetId="9">#REF!</definedName>
    <definedName name="Flare_Strm_03" localSheetId="10">#REF!</definedName>
    <definedName name="Flare_Strm_03" localSheetId="15">#REF!</definedName>
    <definedName name="Flare_Strm_03" localSheetId="19">#REF!</definedName>
    <definedName name="Flare_Strm_03" localSheetId="20">#REF!</definedName>
    <definedName name="Flare_Strm_03" localSheetId="24">#REF!</definedName>
    <definedName name="Flare_Strm_03" localSheetId="104">#REF!</definedName>
    <definedName name="Flare_Strm_03" localSheetId="65">#REF!</definedName>
    <definedName name="Flare_Strm_03" localSheetId="64">#REF!</definedName>
    <definedName name="Flare_Strm_03" localSheetId="77">#REF!</definedName>
    <definedName name="Flare_Strm_03" localSheetId="49">#REF!</definedName>
    <definedName name="Flare_Strm_03" localSheetId="40">#REF!</definedName>
    <definedName name="Flare_Strm_03" localSheetId="43">#REF!</definedName>
    <definedName name="Flare_Strm_03" localSheetId="13">#REF!</definedName>
    <definedName name="Flare_Strm_03" localSheetId="38">#REF!</definedName>
    <definedName name="Flare_Strm_03">#REF!</definedName>
    <definedName name="Flare_Strm_04" localSheetId="3">#REF!</definedName>
    <definedName name="Flare_Strm_04" localSheetId="7">#REF!</definedName>
    <definedName name="Flare_Strm_04" localSheetId="9">#REF!</definedName>
    <definedName name="Flare_Strm_04" localSheetId="10">#REF!</definedName>
    <definedName name="Flare_Strm_04" localSheetId="15">#REF!</definedName>
    <definedName name="Flare_Strm_04" localSheetId="19">#REF!</definedName>
    <definedName name="Flare_Strm_04" localSheetId="20">#REF!</definedName>
    <definedName name="Flare_Strm_04" localSheetId="24">#REF!</definedName>
    <definedName name="Flare_Strm_04" localSheetId="104">#REF!</definedName>
    <definedName name="Flare_Strm_04" localSheetId="65">#REF!</definedName>
    <definedName name="Flare_Strm_04" localSheetId="64">#REF!</definedName>
    <definedName name="Flare_Strm_04" localSheetId="77">#REF!</definedName>
    <definedName name="Flare_Strm_04" localSheetId="49">#REF!</definedName>
    <definedName name="Flare_Strm_04" localSheetId="40">#REF!</definedName>
    <definedName name="Flare_Strm_04" localSheetId="43">#REF!</definedName>
    <definedName name="Flare_Strm_04" localSheetId="13">#REF!</definedName>
    <definedName name="Flare_Strm_04" localSheetId="38">#REF!</definedName>
    <definedName name="Flare_Strm_04">#REF!</definedName>
    <definedName name="Flare_Strm_05" localSheetId="3">#REF!</definedName>
    <definedName name="Flare_Strm_05" localSheetId="7">#REF!</definedName>
    <definedName name="Flare_Strm_05" localSheetId="9">#REF!</definedName>
    <definedName name="Flare_Strm_05" localSheetId="10">#REF!</definedName>
    <definedName name="Flare_Strm_05" localSheetId="15">#REF!</definedName>
    <definedName name="Flare_Strm_05" localSheetId="19">#REF!</definedName>
    <definedName name="Flare_Strm_05" localSheetId="20">#REF!</definedName>
    <definedName name="Flare_Strm_05" localSheetId="24">#REF!</definedName>
    <definedName name="Flare_Strm_05" localSheetId="104">#REF!</definedName>
    <definedName name="Flare_Strm_05" localSheetId="65">#REF!</definedName>
    <definedName name="Flare_Strm_05" localSheetId="64">#REF!</definedName>
    <definedName name="Flare_Strm_05" localSheetId="77">#REF!</definedName>
    <definedName name="Flare_Strm_05" localSheetId="49">#REF!</definedName>
    <definedName name="Flare_Strm_05" localSheetId="40">#REF!</definedName>
    <definedName name="Flare_Strm_05" localSheetId="43">#REF!</definedName>
    <definedName name="Flare_Strm_05" localSheetId="13">#REF!</definedName>
    <definedName name="Flare_Strm_05" localSheetId="38">#REF!</definedName>
    <definedName name="Flare_Strm_05">#REF!</definedName>
    <definedName name="Flare_Strm_06" localSheetId="3">#REF!</definedName>
    <definedName name="Flare_Strm_06" localSheetId="7">#REF!</definedName>
    <definedName name="Flare_Strm_06" localSheetId="9">#REF!</definedName>
    <definedName name="Flare_Strm_06" localSheetId="10">#REF!</definedName>
    <definedName name="Flare_Strm_06" localSheetId="15">#REF!</definedName>
    <definedName name="Flare_Strm_06" localSheetId="19">#REF!</definedName>
    <definedName name="Flare_Strm_06" localSheetId="20">#REF!</definedName>
    <definedName name="Flare_Strm_06" localSheetId="24">#REF!</definedName>
    <definedName name="Flare_Strm_06" localSheetId="104">#REF!</definedName>
    <definedName name="Flare_Strm_06" localSheetId="65">#REF!</definedName>
    <definedName name="Flare_Strm_06" localSheetId="64">#REF!</definedName>
    <definedName name="Flare_Strm_06" localSheetId="77">#REF!</definedName>
    <definedName name="Flare_Strm_06" localSheetId="49">#REF!</definedName>
    <definedName name="Flare_Strm_06" localSheetId="40">#REF!</definedName>
    <definedName name="Flare_Strm_06" localSheetId="43">#REF!</definedName>
    <definedName name="Flare_Strm_06" localSheetId="13">#REF!</definedName>
    <definedName name="Flare_Strm_06" localSheetId="38">#REF!</definedName>
    <definedName name="Flare_Strm_06">#REF!</definedName>
    <definedName name="Flare_Strm_07" localSheetId="3">#REF!</definedName>
    <definedName name="Flare_Strm_07" localSheetId="7">#REF!</definedName>
    <definedName name="Flare_Strm_07" localSheetId="9">#REF!</definedName>
    <definedName name="Flare_Strm_07" localSheetId="10">#REF!</definedName>
    <definedName name="Flare_Strm_07" localSheetId="15">#REF!</definedName>
    <definedName name="Flare_Strm_07" localSheetId="19">#REF!</definedName>
    <definedName name="Flare_Strm_07" localSheetId="20">#REF!</definedName>
    <definedName name="Flare_Strm_07" localSheetId="24">#REF!</definedName>
    <definedName name="Flare_Strm_07" localSheetId="104">#REF!</definedName>
    <definedName name="Flare_Strm_07" localSheetId="65">#REF!</definedName>
    <definedName name="Flare_Strm_07" localSheetId="64">#REF!</definedName>
    <definedName name="Flare_Strm_07" localSheetId="77">#REF!</definedName>
    <definedName name="Flare_Strm_07" localSheetId="49">#REF!</definedName>
    <definedName name="Flare_Strm_07" localSheetId="40">#REF!</definedName>
    <definedName name="Flare_Strm_07" localSheetId="43">#REF!</definedName>
    <definedName name="Flare_Strm_07" localSheetId="13">#REF!</definedName>
    <definedName name="Flare_Strm_07" localSheetId="38">#REF!</definedName>
    <definedName name="Flare_Strm_07">#REF!</definedName>
    <definedName name="Flare_Strm_08" localSheetId="3">#REF!</definedName>
    <definedName name="Flare_Strm_08" localSheetId="7">#REF!</definedName>
    <definedName name="Flare_Strm_08" localSheetId="9">#REF!</definedName>
    <definedName name="Flare_Strm_08" localSheetId="10">#REF!</definedName>
    <definedName name="Flare_Strm_08" localSheetId="15">#REF!</definedName>
    <definedName name="Flare_Strm_08" localSheetId="19">#REF!</definedName>
    <definedName name="Flare_Strm_08" localSheetId="20">#REF!</definedName>
    <definedName name="Flare_Strm_08" localSheetId="24">#REF!</definedName>
    <definedName name="Flare_Strm_08" localSheetId="104">#REF!</definedName>
    <definedName name="Flare_Strm_08" localSheetId="65">#REF!</definedName>
    <definedName name="Flare_Strm_08" localSheetId="64">#REF!</definedName>
    <definedName name="Flare_Strm_08" localSheetId="77">#REF!</definedName>
    <definedName name="Flare_Strm_08" localSheetId="49">#REF!</definedName>
    <definedName name="Flare_Strm_08" localSheetId="40">#REF!</definedName>
    <definedName name="Flare_Strm_08" localSheetId="43">#REF!</definedName>
    <definedName name="Flare_Strm_08" localSheetId="13">#REF!</definedName>
    <definedName name="Flare_Strm_08" localSheetId="38">#REF!</definedName>
    <definedName name="Flare_Strm_08">#REF!</definedName>
    <definedName name="Flare_Strm_09" localSheetId="3">#REF!</definedName>
    <definedName name="Flare_Strm_09" localSheetId="7">#REF!</definedName>
    <definedName name="Flare_Strm_09" localSheetId="9">#REF!</definedName>
    <definedName name="Flare_Strm_09" localSheetId="10">#REF!</definedName>
    <definedName name="Flare_Strm_09" localSheetId="15">#REF!</definedName>
    <definedName name="Flare_Strm_09" localSheetId="19">#REF!</definedName>
    <definedName name="Flare_Strm_09" localSheetId="20">#REF!</definedName>
    <definedName name="Flare_Strm_09" localSheetId="24">#REF!</definedName>
    <definedName name="Flare_Strm_09" localSheetId="104">#REF!</definedName>
    <definedName name="Flare_Strm_09" localSheetId="65">#REF!</definedName>
    <definedName name="Flare_Strm_09" localSheetId="64">#REF!</definedName>
    <definedName name="Flare_Strm_09" localSheetId="77">#REF!</definedName>
    <definedName name="Flare_Strm_09" localSheetId="49">#REF!</definedName>
    <definedName name="Flare_Strm_09" localSheetId="40">#REF!</definedName>
    <definedName name="Flare_Strm_09" localSheetId="43">#REF!</definedName>
    <definedName name="Flare_Strm_09" localSheetId="13">#REF!</definedName>
    <definedName name="Flare_Strm_09" localSheetId="38">#REF!</definedName>
    <definedName name="Flare_Strm_09">#REF!</definedName>
    <definedName name="Flare_Strm_10" localSheetId="3">#REF!</definedName>
    <definedName name="Flare_Strm_10" localSheetId="7">#REF!</definedName>
    <definedName name="Flare_Strm_10" localSheetId="9">#REF!</definedName>
    <definedName name="Flare_Strm_10" localSheetId="10">#REF!</definedName>
    <definedName name="Flare_Strm_10" localSheetId="15">#REF!</definedName>
    <definedName name="Flare_Strm_10" localSheetId="19">#REF!</definedName>
    <definedName name="Flare_Strm_10" localSheetId="20">#REF!</definedName>
    <definedName name="Flare_Strm_10" localSheetId="24">#REF!</definedName>
    <definedName name="Flare_Strm_10" localSheetId="104">#REF!</definedName>
    <definedName name="Flare_Strm_10" localSheetId="65">#REF!</definedName>
    <definedName name="Flare_Strm_10" localSheetId="64">#REF!</definedName>
    <definedName name="Flare_Strm_10" localSheetId="77">#REF!</definedName>
    <definedName name="Flare_Strm_10" localSheetId="49">#REF!</definedName>
    <definedName name="Flare_Strm_10" localSheetId="40">#REF!</definedName>
    <definedName name="Flare_Strm_10" localSheetId="43">#REF!</definedName>
    <definedName name="Flare_Strm_10" localSheetId="13">#REF!</definedName>
    <definedName name="Flare_Strm_10" localSheetId="38">#REF!</definedName>
    <definedName name="Flare_Strm_10">#REF!</definedName>
    <definedName name="Flare_Strm_11" localSheetId="3">#REF!</definedName>
    <definedName name="Flare_Strm_11" localSheetId="7">#REF!</definedName>
    <definedName name="Flare_Strm_11" localSheetId="9">#REF!</definedName>
    <definedName name="Flare_Strm_11" localSheetId="10">#REF!</definedName>
    <definedName name="Flare_Strm_11" localSheetId="15">#REF!</definedName>
    <definedName name="Flare_Strm_11" localSheetId="19">#REF!</definedName>
    <definedName name="Flare_Strm_11" localSheetId="20">#REF!</definedName>
    <definedName name="Flare_Strm_11" localSheetId="24">#REF!</definedName>
    <definedName name="Flare_Strm_11" localSheetId="104">#REF!</definedName>
    <definedName name="Flare_Strm_11" localSheetId="65">#REF!</definedName>
    <definedName name="Flare_Strm_11" localSheetId="64">#REF!</definedName>
    <definedName name="Flare_Strm_11" localSheetId="77">#REF!</definedName>
    <definedName name="Flare_Strm_11" localSheetId="49">#REF!</definedName>
    <definedName name="Flare_Strm_11" localSheetId="40">#REF!</definedName>
    <definedName name="Flare_Strm_11" localSheetId="43">#REF!</definedName>
    <definedName name="Flare_Strm_11" localSheetId="13">#REF!</definedName>
    <definedName name="Flare_Strm_11" localSheetId="38">#REF!</definedName>
    <definedName name="Flare_Strm_11">#REF!</definedName>
    <definedName name="Flare_Strm_12" localSheetId="3">#REF!</definedName>
    <definedName name="Flare_Strm_12" localSheetId="7">#REF!</definedName>
    <definedName name="Flare_Strm_12" localSheetId="9">#REF!</definedName>
    <definedName name="Flare_Strm_12" localSheetId="10">#REF!</definedName>
    <definedName name="Flare_Strm_12" localSheetId="15">#REF!</definedName>
    <definedName name="Flare_Strm_12" localSheetId="19">#REF!</definedName>
    <definedName name="Flare_Strm_12" localSheetId="20">#REF!</definedName>
    <definedName name="Flare_Strm_12" localSheetId="24">#REF!</definedName>
    <definedName name="Flare_Strm_12" localSheetId="104">#REF!</definedName>
    <definedName name="Flare_Strm_12" localSheetId="65">#REF!</definedName>
    <definedName name="Flare_Strm_12" localSheetId="64">#REF!</definedName>
    <definedName name="Flare_Strm_12" localSheetId="77">#REF!</definedName>
    <definedName name="Flare_Strm_12" localSheetId="49">#REF!</definedName>
    <definedName name="Flare_Strm_12" localSheetId="40">#REF!</definedName>
    <definedName name="Flare_Strm_12" localSheetId="43">#REF!</definedName>
    <definedName name="Flare_Strm_12" localSheetId="13">#REF!</definedName>
    <definedName name="Flare_Strm_12" localSheetId="38">#REF!</definedName>
    <definedName name="Flare_Strm_12">#REF!</definedName>
    <definedName name="Flare_Strm_13" localSheetId="3">#REF!</definedName>
    <definedName name="Flare_Strm_13" localSheetId="7">#REF!</definedName>
    <definedName name="Flare_Strm_13" localSheetId="9">#REF!</definedName>
    <definedName name="Flare_Strm_13" localSheetId="10">#REF!</definedName>
    <definedName name="Flare_Strm_13" localSheetId="15">#REF!</definedName>
    <definedName name="Flare_Strm_13" localSheetId="19">#REF!</definedName>
    <definedName name="Flare_Strm_13" localSheetId="20">#REF!</definedName>
    <definedName name="Flare_Strm_13" localSheetId="24">#REF!</definedName>
    <definedName name="Flare_Strm_13" localSheetId="104">#REF!</definedName>
    <definedName name="Flare_Strm_13" localSheetId="65">#REF!</definedName>
    <definedName name="Flare_Strm_13" localSheetId="64">#REF!</definedName>
    <definedName name="Flare_Strm_13" localSheetId="77">#REF!</definedName>
    <definedName name="Flare_Strm_13" localSheetId="49">#REF!</definedName>
    <definedName name="Flare_Strm_13" localSheetId="40">#REF!</definedName>
    <definedName name="Flare_Strm_13" localSheetId="43">#REF!</definedName>
    <definedName name="Flare_Strm_13" localSheetId="13">#REF!</definedName>
    <definedName name="Flare_Strm_13" localSheetId="38">#REF!</definedName>
    <definedName name="Flare_Strm_13">#REF!</definedName>
    <definedName name="Flare_Strm_14" localSheetId="3">#REF!</definedName>
    <definedName name="Flare_Strm_14" localSheetId="7">#REF!</definedName>
    <definedName name="Flare_Strm_14" localSheetId="9">#REF!</definedName>
    <definedName name="Flare_Strm_14" localSheetId="10">#REF!</definedName>
    <definedName name="Flare_Strm_14" localSheetId="15">#REF!</definedName>
    <definedName name="Flare_Strm_14" localSheetId="19">#REF!</definedName>
    <definedName name="Flare_Strm_14" localSheetId="20">#REF!</definedName>
    <definedName name="Flare_Strm_14" localSheetId="24">#REF!</definedName>
    <definedName name="Flare_Strm_14" localSheetId="104">#REF!</definedName>
    <definedName name="Flare_Strm_14" localSheetId="65">#REF!</definedName>
    <definedName name="Flare_Strm_14" localSheetId="64">#REF!</definedName>
    <definedName name="Flare_Strm_14" localSheetId="77">#REF!</definedName>
    <definedName name="Flare_Strm_14" localSheetId="49">#REF!</definedName>
    <definedName name="Flare_Strm_14" localSheetId="40">#REF!</definedName>
    <definedName name="Flare_Strm_14" localSheetId="43">#REF!</definedName>
    <definedName name="Flare_Strm_14" localSheetId="13">#REF!</definedName>
    <definedName name="Flare_Strm_14" localSheetId="38">#REF!</definedName>
    <definedName name="Flare_Strm_14">#REF!</definedName>
    <definedName name="Flare_Strm_15" localSheetId="3">#REF!</definedName>
    <definedName name="Flare_Strm_15" localSheetId="7">#REF!</definedName>
    <definedName name="Flare_Strm_15" localSheetId="9">#REF!</definedName>
    <definedName name="Flare_Strm_15" localSheetId="10">#REF!</definedName>
    <definedName name="Flare_Strm_15" localSheetId="15">#REF!</definedName>
    <definedName name="Flare_Strm_15" localSheetId="19">#REF!</definedName>
    <definedName name="Flare_Strm_15" localSheetId="20">#REF!</definedName>
    <definedName name="Flare_Strm_15" localSheetId="24">#REF!</definedName>
    <definedName name="Flare_Strm_15" localSheetId="104">#REF!</definedName>
    <definedName name="Flare_Strm_15" localSheetId="65">#REF!</definedName>
    <definedName name="Flare_Strm_15" localSheetId="64">#REF!</definedName>
    <definedName name="Flare_Strm_15" localSheetId="77">#REF!</definedName>
    <definedName name="Flare_Strm_15" localSheetId="49">#REF!</definedName>
    <definedName name="Flare_Strm_15" localSheetId="40">#REF!</definedName>
    <definedName name="Flare_Strm_15" localSheetId="43">#REF!</definedName>
    <definedName name="Flare_Strm_15" localSheetId="13">#REF!</definedName>
    <definedName name="Flare_Strm_15" localSheetId="38">#REF!</definedName>
    <definedName name="Flare_Strm_15">#REF!</definedName>
    <definedName name="Flare_Strm_16" localSheetId="3">#REF!</definedName>
    <definedName name="Flare_Strm_16" localSheetId="7">#REF!</definedName>
    <definedName name="Flare_Strm_16" localSheetId="9">#REF!</definedName>
    <definedName name="Flare_Strm_16" localSheetId="10">#REF!</definedName>
    <definedName name="Flare_Strm_16" localSheetId="15">#REF!</definedName>
    <definedName name="Flare_Strm_16" localSheetId="19">#REF!</definedName>
    <definedName name="Flare_Strm_16" localSheetId="20">#REF!</definedName>
    <definedName name="Flare_Strm_16" localSheetId="24">#REF!</definedName>
    <definedName name="Flare_Strm_16" localSheetId="104">#REF!</definedName>
    <definedName name="Flare_Strm_16" localSheetId="65">#REF!</definedName>
    <definedName name="Flare_Strm_16" localSheetId="64">#REF!</definedName>
    <definedName name="Flare_Strm_16" localSheetId="77">#REF!</definedName>
    <definedName name="Flare_Strm_16" localSheetId="49">#REF!</definedName>
    <definedName name="Flare_Strm_16" localSheetId="40">#REF!</definedName>
    <definedName name="Flare_Strm_16" localSheetId="43">#REF!</definedName>
    <definedName name="Flare_Strm_16" localSheetId="13">#REF!</definedName>
    <definedName name="Flare_Strm_16" localSheetId="38">#REF!</definedName>
    <definedName name="Flare_Strm_16">#REF!</definedName>
    <definedName name="Flare_Strm_17" localSheetId="3">#REF!</definedName>
    <definedName name="Flare_Strm_17" localSheetId="7">#REF!</definedName>
    <definedName name="Flare_Strm_17" localSheetId="9">#REF!</definedName>
    <definedName name="Flare_Strm_17" localSheetId="10">#REF!</definedName>
    <definedName name="Flare_Strm_17" localSheetId="15">#REF!</definedName>
    <definedName name="Flare_Strm_17" localSheetId="19">#REF!</definedName>
    <definedName name="Flare_Strm_17" localSheetId="20">#REF!</definedName>
    <definedName name="Flare_Strm_17" localSheetId="24">#REF!</definedName>
    <definedName name="Flare_Strm_17" localSheetId="104">#REF!</definedName>
    <definedName name="Flare_Strm_17" localSheetId="65">#REF!</definedName>
    <definedName name="Flare_Strm_17" localSheetId="64">#REF!</definedName>
    <definedName name="Flare_Strm_17" localSheetId="77">#REF!</definedName>
    <definedName name="Flare_Strm_17" localSheetId="49">#REF!</definedName>
    <definedName name="Flare_Strm_17" localSheetId="40">#REF!</definedName>
    <definedName name="Flare_Strm_17" localSheetId="43">#REF!</definedName>
    <definedName name="Flare_Strm_17" localSheetId="13">#REF!</definedName>
    <definedName name="Flare_Strm_17" localSheetId="38">#REF!</definedName>
    <definedName name="Flare_Strm_17">#REF!</definedName>
    <definedName name="Flare_Strm_18" localSheetId="3">#REF!</definedName>
    <definedName name="Flare_Strm_18" localSheetId="7">#REF!</definedName>
    <definedName name="Flare_Strm_18" localSheetId="9">#REF!</definedName>
    <definedName name="Flare_Strm_18" localSheetId="10">#REF!</definedName>
    <definedName name="Flare_Strm_18" localSheetId="15">#REF!</definedName>
    <definedName name="Flare_Strm_18" localSheetId="19">#REF!</definedName>
    <definedName name="Flare_Strm_18" localSheetId="20">#REF!</definedName>
    <definedName name="Flare_Strm_18" localSheetId="24">#REF!</definedName>
    <definedName name="Flare_Strm_18" localSheetId="104">#REF!</definedName>
    <definedName name="Flare_Strm_18" localSheetId="65">#REF!</definedName>
    <definedName name="Flare_Strm_18" localSheetId="64">#REF!</definedName>
    <definedName name="Flare_Strm_18" localSheetId="77">#REF!</definedName>
    <definedName name="Flare_Strm_18" localSheetId="49">#REF!</definedName>
    <definedName name="Flare_Strm_18" localSheetId="40">#REF!</definedName>
    <definedName name="Flare_Strm_18" localSheetId="43">#REF!</definedName>
    <definedName name="Flare_Strm_18" localSheetId="13">#REF!</definedName>
    <definedName name="Flare_Strm_18" localSheetId="38">#REF!</definedName>
    <definedName name="Flare_Strm_18">#REF!</definedName>
    <definedName name="Flare_Strm_19" localSheetId="3">#REF!</definedName>
    <definedName name="Flare_Strm_19" localSheetId="7">#REF!</definedName>
    <definedName name="Flare_Strm_19" localSheetId="9">#REF!</definedName>
    <definedName name="Flare_Strm_19" localSheetId="10">#REF!</definedName>
    <definedName name="Flare_Strm_19" localSheetId="15">#REF!</definedName>
    <definedName name="Flare_Strm_19" localSheetId="19">#REF!</definedName>
    <definedName name="Flare_Strm_19" localSheetId="20">#REF!</definedName>
    <definedName name="Flare_Strm_19" localSheetId="24">#REF!</definedName>
    <definedName name="Flare_Strm_19" localSheetId="104">#REF!</definedName>
    <definedName name="Flare_Strm_19" localSheetId="65">#REF!</definedName>
    <definedName name="Flare_Strm_19" localSheetId="64">#REF!</definedName>
    <definedName name="Flare_Strm_19" localSheetId="77">#REF!</definedName>
    <definedName name="Flare_Strm_19" localSheetId="49">#REF!</definedName>
    <definedName name="Flare_Strm_19" localSheetId="40">#REF!</definedName>
    <definedName name="Flare_Strm_19" localSheetId="43">#REF!</definedName>
    <definedName name="Flare_Strm_19" localSheetId="13">#REF!</definedName>
    <definedName name="Flare_Strm_19" localSheetId="38">#REF!</definedName>
    <definedName name="Flare_Strm_19">#REF!</definedName>
    <definedName name="Flare_Strm_20" localSheetId="3">#REF!</definedName>
    <definedName name="Flare_Strm_20" localSheetId="7">#REF!</definedName>
    <definedName name="Flare_Strm_20" localSheetId="9">#REF!</definedName>
    <definedName name="Flare_Strm_20" localSheetId="10">#REF!</definedName>
    <definedName name="Flare_Strm_20" localSheetId="15">#REF!</definedName>
    <definedName name="Flare_Strm_20" localSheetId="19">#REF!</definedName>
    <definedName name="Flare_Strm_20" localSheetId="20">#REF!</definedName>
    <definedName name="Flare_Strm_20" localSheetId="24">#REF!</definedName>
    <definedName name="Flare_Strm_20" localSheetId="104">#REF!</definedName>
    <definedName name="Flare_Strm_20" localSheetId="65">#REF!</definedName>
    <definedName name="Flare_Strm_20" localSheetId="64">#REF!</definedName>
    <definedName name="Flare_Strm_20" localSheetId="77">#REF!</definedName>
    <definedName name="Flare_Strm_20" localSheetId="49">#REF!</definedName>
    <definedName name="Flare_Strm_20" localSheetId="40">#REF!</definedName>
    <definedName name="Flare_Strm_20" localSheetId="43">#REF!</definedName>
    <definedName name="Flare_Strm_20" localSheetId="13">#REF!</definedName>
    <definedName name="Flare_Strm_20" localSheetId="38">#REF!</definedName>
    <definedName name="Flare_Strm_20">#REF!</definedName>
    <definedName name="Flare_Strm_List_Bottom" localSheetId="3">#REF!</definedName>
    <definedName name="Flare_Strm_List_Bottom" localSheetId="7">#REF!</definedName>
    <definedName name="Flare_Strm_List_Bottom" localSheetId="9">#REF!</definedName>
    <definedName name="Flare_Strm_List_Bottom" localSheetId="10">#REF!</definedName>
    <definedName name="Flare_Strm_List_Bottom" localSheetId="15">#REF!</definedName>
    <definedName name="Flare_Strm_List_Bottom" localSheetId="19">#REF!</definedName>
    <definedName name="Flare_Strm_List_Bottom" localSheetId="20">#REF!</definedName>
    <definedName name="Flare_Strm_List_Bottom" localSheetId="24">#REF!</definedName>
    <definedName name="Flare_Strm_List_Bottom" localSheetId="104">#REF!</definedName>
    <definedName name="Flare_Strm_List_Bottom" localSheetId="65">#REF!</definedName>
    <definedName name="Flare_Strm_List_Bottom" localSheetId="64">#REF!</definedName>
    <definedName name="Flare_Strm_List_Bottom" localSheetId="77">#REF!</definedName>
    <definedName name="Flare_Strm_List_Bottom" localSheetId="49">#REF!</definedName>
    <definedName name="Flare_Strm_List_Bottom" localSheetId="40">#REF!</definedName>
    <definedName name="Flare_Strm_List_Bottom" localSheetId="43">#REF!</definedName>
    <definedName name="Flare_Strm_List_Bottom" localSheetId="13">#REF!</definedName>
    <definedName name="Flare_Strm_List_Bottom" localSheetId="38">#REF!</definedName>
    <definedName name="Flare_Strm_List_Bottom">#REF!</definedName>
    <definedName name="Flare_Strm_List_Top" localSheetId="3">#REF!</definedName>
    <definedName name="Flare_Strm_List_Top" localSheetId="7">#REF!</definedName>
    <definedName name="Flare_Strm_List_Top" localSheetId="9">#REF!</definedName>
    <definedName name="Flare_Strm_List_Top" localSheetId="10">#REF!</definedName>
    <definedName name="Flare_Strm_List_Top" localSheetId="15">#REF!</definedName>
    <definedName name="Flare_Strm_List_Top" localSheetId="19">#REF!</definedName>
    <definedName name="Flare_Strm_List_Top" localSheetId="20">#REF!</definedName>
    <definedName name="Flare_Strm_List_Top" localSheetId="24">#REF!</definedName>
    <definedName name="Flare_Strm_List_Top" localSheetId="104">#REF!</definedName>
    <definedName name="Flare_Strm_List_Top" localSheetId="65">#REF!</definedName>
    <definedName name="Flare_Strm_List_Top" localSheetId="64">#REF!</definedName>
    <definedName name="Flare_Strm_List_Top" localSheetId="77">#REF!</definedName>
    <definedName name="Flare_Strm_List_Top" localSheetId="49">#REF!</definedName>
    <definedName name="Flare_Strm_List_Top" localSheetId="40">#REF!</definedName>
    <definedName name="Flare_Strm_List_Top" localSheetId="43">#REF!</definedName>
    <definedName name="Flare_Strm_List_Top" localSheetId="13">#REF!</definedName>
    <definedName name="Flare_Strm_List_Top" localSheetId="38">#REF!</definedName>
    <definedName name="Flare_Strm_List_Top">#REF!</definedName>
    <definedName name="Flare_top" localSheetId="3">#REF!</definedName>
    <definedName name="Flare_top" localSheetId="7">#REF!</definedName>
    <definedName name="Flare_top" localSheetId="9">#REF!</definedName>
    <definedName name="Flare_top" localSheetId="10">#REF!</definedName>
    <definedName name="Flare_top" localSheetId="15">#REF!</definedName>
    <definedName name="Flare_top" localSheetId="19">#REF!</definedName>
    <definedName name="Flare_top" localSheetId="20">#REF!</definedName>
    <definedName name="Flare_top" localSheetId="24">#REF!</definedName>
    <definedName name="Flare_top" localSheetId="104">#REF!</definedName>
    <definedName name="Flare_top" localSheetId="65">#REF!</definedName>
    <definedName name="Flare_top" localSheetId="64">#REF!</definedName>
    <definedName name="Flare_top" localSheetId="77">#REF!</definedName>
    <definedName name="Flare_top" localSheetId="49">#REF!</definedName>
    <definedName name="Flare_top" localSheetId="40">#REF!</definedName>
    <definedName name="Flare_top" localSheetId="43">#REF!</definedName>
    <definedName name="Flare_top" localSheetId="13">#REF!</definedName>
    <definedName name="Flare_top" localSheetId="38">#REF!</definedName>
    <definedName name="Flare_top">#REF!</definedName>
    <definedName name="FLARECO" localSheetId="3">#REF!</definedName>
    <definedName name="FLARECO" localSheetId="7">#REF!</definedName>
    <definedName name="FLARECO" localSheetId="9">#REF!</definedName>
    <definedName name="FLARECO" localSheetId="10">#REF!</definedName>
    <definedName name="FLARECO" localSheetId="15">#REF!</definedName>
    <definedName name="FLARECO" localSheetId="19">#REF!</definedName>
    <definedName name="FLARECO" localSheetId="20">#REF!</definedName>
    <definedName name="FLARECO" localSheetId="24">#REF!</definedName>
    <definedName name="FLARECO" localSheetId="104">#REF!</definedName>
    <definedName name="FLARECO" localSheetId="65">#REF!</definedName>
    <definedName name="FLARECO" localSheetId="64">#REF!</definedName>
    <definedName name="FLARECO" localSheetId="77">#REF!</definedName>
    <definedName name="FLARECO" localSheetId="49">#REF!</definedName>
    <definedName name="FLARECO" localSheetId="40">#REF!</definedName>
    <definedName name="FLARECO" localSheetId="43">#REF!</definedName>
    <definedName name="FLARECO" localSheetId="13">#REF!</definedName>
    <definedName name="FLARECO" localSheetId="38">#REF!</definedName>
    <definedName name="FLARECO">#REF!</definedName>
    <definedName name="FLARENOX" localSheetId="3">#REF!</definedName>
    <definedName name="FLARENOX" localSheetId="7">#REF!</definedName>
    <definedName name="FLARENOX" localSheetId="9">#REF!</definedName>
    <definedName name="FLARENOX" localSheetId="10">#REF!</definedName>
    <definedName name="FLARENOX" localSheetId="15">#REF!</definedName>
    <definedName name="FLARENOX" localSheetId="19">#REF!</definedName>
    <definedName name="FLARENOX" localSheetId="20">#REF!</definedName>
    <definedName name="FLARENOX" localSheetId="24">#REF!</definedName>
    <definedName name="FLARENOX" localSheetId="104">#REF!</definedName>
    <definedName name="FLARENOX" localSheetId="65">#REF!</definedName>
    <definedName name="FLARENOX" localSheetId="64">#REF!</definedName>
    <definedName name="FLARENOX" localSheetId="77">#REF!</definedName>
    <definedName name="FLARENOX" localSheetId="49">#REF!</definedName>
    <definedName name="FLARENOX" localSheetId="40">#REF!</definedName>
    <definedName name="FLARENOX" localSheetId="43">#REF!</definedName>
    <definedName name="FLARENOX" localSheetId="13">#REF!</definedName>
    <definedName name="FLARENOX" localSheetId="38">#REF!</definedName>
    <definedName name="FLARENOX">#REF!</definedName>
    <definedName name="FLAREPART" localSheetId="3">#REF!</definedName>
    <definedName name="FLAREPART" localSheetId="7">#REF!</definedName>
    <definedName name="FLAREPART" localSheetId="9">#REF!</definedName>
    <definedName name="FLAREPART" localSheetId="10">#REF!</definedName>
    <definedName name="FLAREPART" localSheetId="15">#REF!</definedName>
    <definedName name="FLAREPART" localSheetId="19">#REF!</definedName>
    <definedName name="FLAREPART" localSheetId="20">#REF!</definedName>
    <definedName name="FLAREPART" localSheetId="24">#REF!</definedName>
    <definedName name="FLAREPART" localSheetId="104">#REF!</definedName>
    <definedName name="FLAREPART" localSheetId="65">#REF!</definedName>
    <definedName name="FLAREPART" localSheetId="64">#REF!</definedName>
    <definedName name="FLAREPART" localSheetId="77">#REF!</definedName>
    <definedName name="FLAREPART" localSheetId="49">#REF!</definedName>
    <definedName name="FLAREPART" localSheetId="40">#REF!</definedName>
    <definedName name="FLAREPART" localSheetId="43">#REF!</definedName>
    <definedName name="FLAREPART" localSheetId="13">#REF!</definedName>
    <definedName name="FLAREPART" localSheetId="38">#REF!</definedName>
    <definedName name="FLAREPART">#REF!</definedName>
    <definedName name="FLARES" localSheetId="3">#REF!</definedName>
    <definedName name="FLARES" localSheetId="7">#REF!</definedName>
    <definedName name="FLARES" localSheetId="9">#REF!</definedName>
    <definedName name="FLARES" localSheetId="10">#REF!</definedName>
    <definedName name="FLARES" localSheetId="15">#REF!</definedName>
    <definedName name="FLARES" localSheetId="19">#REF!</definedName>
    <definedName name="FLARES" localSheetId="20">#REF!</definedName>
    <definedName name="FLARES" localSheetId="24">#REF!</definedName>
    <definedName name="FLARES" localSheetId="104">#REF!</definedName>
    <definedName name="FLARES" localSheetId="65">#REF!</definedName>
    <definedName name="FLARES" localSheetId="64">#REF!</definedName>
    <definedName name="FLARES" localSheetId="77">#REF!</definedName>
    <definedName name="FLARES" localSheetId="49">#REF!</definedName>
    <definedName name="FLARES" localSheetId="40">#REF!</definedName>
    <definedName name="FLARES" localSheetId="43">#REF!</definedName>
    <definedName name="FLARES" localSheetId="13">#REF!</definedName>
    <definedName name="FLARES" localSheetId="38">#REF!</definedName>
    <definedName name="FLARES">#REF!</definedName>
    <definedName name="FLARESO2" localSheetId="3">#REF!</definedName>
    <definedName name="FLARESO2" localSheetId="7">#REF!</definedName>
    <definedName name="FLARESO2" localSheetId="9">#REF!</definedName>
    <definedName name="FLARESO2" localSheetId="10">#REF!</definedName>
    <definedName name="FLARESO2" localSheetId="15">#REF!</definedName>
    <definedName name="FLARESO2" localSheetId="19">#REF!</definedName>
    <definedName name="FLARESO2" localSheetId="20">#REF!</definedName>
    <definedName name="FLARESO2" localSheetId="24">#REF!</definedName>
    <definedName name="FLARESO2" localSheetId="104">#REF!</definedName>
    <definedName name="FLARESO2" localSheetId="65">#REF!</definedName>
    <definedName name="FLARESO2" localSheetId="64">#REF!</definedName>
    <definedName name="FLARESO2" localSheetId="77">#REF!</definedName>
    <definedName name="FLARESO2" localSheetId="49">#REF!</definedName>
    <definedName name="FLARESO2" localSheetId="40">#REF!</definedName>
    <definedName name="FLARESO2" localSheetId="43">#REF!</definedName>
    <definedName name="FLARESO2" localSheetId="13">#REF!</definedName>
    <definedName name="FLARESO2" localSheetId="38">#REF!</definedName>
    <definedName name="FLARESO2">#REF!</definedName>
    <definedName name="FlareVentVol" localSheetId="3">'[8]Completion Emissions Tier0'!#REF!</definedName>
    <definedName name="FlareVentVol" localSheetId="7">'[8]Completion Emissions Tier0'!#REF!</definedName>
    <definedName name="FlareVentVol" localSheetId="9">'[8]Completion Emissions Tier0'!#REF!</definedName>
    <definedName name="FlareVentVol" localSheetId="10">'[8]Completion Emissions Tier0'!#REF!</definedName>
    <definedName name="FlareVentVol" localSheetId="15">'[8]Completion Emissions Tier0'!#REF!</definedName>
    <definedName name="FlareVentVol" localSheetId="19">'[8]Completion Emissions Tier0'!#REF!</definedName>
    <definedName name="FlareVentVol" localSheetId="20">'[8]Completion Emissions Tier0'!#REF!</definedName>
    <definedName name="FlareVentVol" localSheetId="24">'[8]Completion Emissions Tier0'!#REF!</definedName>
    <definedName name="FlareVentVol" localSheetId="104">'[8]Completion Emissions Tier0'!#REF!</definedName>
    <definedName name="FlareVentVol" localSheetId="65">'[8]Completion Emissions Tier0'!#REF!</definedName>
    <definedName name="FlareVentVol" localSheetId="64">'[8]Completion Emissions Tier0'!#REF!</definedName>
    <definedName name="FlareVentVol" localSheetId="77">'[8]Completion Emissions Tier0'!#REF!</definedName>
    <definedName name="FlareVentVol" localSheetId="49">'[8]Completion Emissions Tier0'!#REF!</definedName>
    <definedName name="FlareVentVol" localSheetId="40">'[8]Completion Emissions Tier0'!#REF!</definedName>
    <definedName name="FlareVentVol" localSheetId="43">'[8]Completion Emissions Tier0'!#REF!</definedName>
    <definedName name="FlareVentVol" localSheetId="13">'[8]Completion Emissions Tier0'!#REF!</definedName>
    <definedName name="FlareVentVol" localSheetId="38">'[8]Completion Emissions Tier0'!#REF!</definedName>
    <definedName name="FlareVentVol">'[8]Completion Emissions Tier0'!#REF!</definedName>
    <definedName name="FLAREVOC" localSheetId="3">#REF!</definedName>
    <definedName name="FLAREVOC" localSheetId="7">#REF!</definedName>
    <definedName name="FLAREVOC" localSheetId="9">#REF!</definedName>
    <definedName name="FLAREVOC" localSheetId="10">#REF!</definedName>
    <definedName name="FLAREVOC" localSheetId="15">#REF!</definedName>
    <definedName name="FLAREVOC" localSheetId="19">#REF!</definedName>
    <definedName name="FLAREVOC" localSheetId="20">#REF!</definedName>
    <definedName name="FLAREVOC" localSheetId="24">#REF!</definedName>
    <definedName name="FLAREVOC" localSheetId="104">#REF!</definedName>
    <definedName name="FLAREVOC" localSheetId="65">#REF!</definedName>
    <definedName name="FLAREVOC" localSheetId="64">#REF!</definedName>
    <definedName name="FLAREVOC" localSheetId="77">#REF!</definedName>
    <definedName name="FLAREVOC" localSheetId="49">#REF!</definedName>
    <definedName name="FLAREVOC" localSheetId="40">#REF!</definedName>
    <definedName name="FLAREVOC" localSheetId="43">#REF!</definedName>
    <definedName name="FLAREVOC" localSheetId="13">#REF!</definedName>
    <definedName name="FLAREVOC" localSheetId="38">#REF!</definedName>
    <definedName name="FLAREVOC">#REF!</definedName>
    <definedName name="flartot" localSheetId="3">#REF!</definedName>
    <definedName name="flartot" localSheetId="7">#REF!</definedName>
    <definedName name="flartot" localSheetId="9">#REF!</definedName>
    <definedName name="flartot" localSheetId="10">#REF!</definedName>
    <definedName name="flartot" localSheetId="15">#REF!</definedName>
    <definedName name="flartot" localSheetId="19">#REF!</definedName>
    <definedName name="flartot" localSheetId="20">#REF!</definedName>
    <definedName name="flartot" localSheetId="24">#REF!</definedName>
    <definedName name="flartot" localSheetId="104">#REF!</definedName>
    <definedName name="flartot" localSheetId="65">#REF!</definedName>
    <definedName name="flartot" localSheetId="64">#REF!</definedName>
    <definedName name="flartot" localSheetId="77">#REF!</definedName>
    <definedName name="flartot" localSheetId="49">#REF!</definedName>
    <definedName name="flartot" localSheetId="40">#REF!</definedName>
    <definedName name="flartot" localSheetId="43">#REF!</definedName>
    <definedName name="flartot" localSheetId="13">#REF!</definedName>
    <definedName name="flartot" localSheetId="38">#REF!</definedName>
    <definedName name="flartot">#REF!</definedName>
    <definedName name="Flash_Calculation_Method">'[18]Drop Down Lists'!$A$5:$A$7</definedName>
    <definedName name="float.crude.cap.ann" localSheetId="3">#REF!</definedName>
    <definedName name="float.crude.cap.ann" localSheetId="7">#REF!</definedName>
    <definedName name="float.crude.cap.ann" localSheetId="9">#REF!</definedName>
    <definedName name="float.crude.cap.ann" localSheetId="10">#REF!</definedName>
    <definedName name="float.crude.cap.ann" localSheetId="15">#REF!</definedName>
    <definedName name="float.crude.cap.ann" localSheetId="19">#REF!</definedName>
    <definedName name="float.crude.cap.ann" localSheetId="20">#REF!</definedName>
    <definedName name="float.crude.cap.ann" localSheetId="24">#REF!</definedName>
    <definedName name="float.crude.cap.ann" localSheetId="104">#REF!</definedName>
    <definedName name="float.crude.cap.ann" localSheetId="65">#REF!</definedName>
    <definedName name="float.crude.cap.ann" localSheetId="64">#REF!</definedName>
    <definedName name="float.crude.cap.ann" localSheetId="77">#REF!</definedName>
    <definedName name="float.crude.cap.ann" localSheetId="49">#REF!</definedName>
    <definedName name="float.crude.cap.ann" localSheetId="40">#REF!</definedName>
    <definedName name="float.crude.cap.ann" localSheetId="43">#REF!</definedName>
    <definedName name="float.crude.cap.ann" localSheetId="13">#REF!</definedName>
    <definedName name="float.crude.cap.ann" localSheetId="38">#REF!</definedName>
    <definedName name="float.crude.cap.ann">#REF!</definedName>
    <definedName name="float.crude.cap.hr" localSheetId="3">#REF!</definedName>
    <definedName name="float.crude.cap.hr" localSheetId="7">#REF!</definedName>
    <definedName name="float.crude.cap.hr" localSheetId="9">#REF!</definedName>
    <definedName name="float.crude.cap.hr" localSheetId="10">#REF!</definedName>
    <definedName name="float.crude.cap.hr" localSheetId="15">#REF!</definedName>
    <definedName name="float.crude.cap.hr" localSheetId="19">#REF!</definedName>
    <definedName name="float.crude.cap.hr" localSheetId="20">#REF!</definedName>
    <definedName name="float.crude.cap.hr" localSheetId="24">#REF!</definedName>
    <definedName name="float.crude.cap.hr" localSheetId="104">#REF!</definedName>
    <definedName name="float.crude.cap.hr" localSheetId="65">#REF!</definedName>
    <definedName name="float.crude.cap.hr" localSheetId="64">#REF!</definedName>
    <definedName name="float.crude.cap.hr" localSheetId="77">#REF!</definedName>
    <definedName name="float.crude.cap.hr" localSheetId="49">#REF!</definedName>
    <definedName name="float.crude.cap.hr" localSheetId="40">#REF!</definedName>
    <definedName name="float.crude.cap.hr" localSheetId="43">#REF!</definedName>
    <definedName name="float.crude.cap.hr" localSheetId="13">#REF!</definedName>
    <definedName name="float.crude.cap.hr" localSheetId="38">#REF!</definedName>
    <definedName name="float.crude.cap.hr">#REF!</definedName>
    <definedName name="float.dist.cap.ann" localSheetId="3">#REF!</definedName>
    <definedName name="float.dist.cap.ann" localSheetId="7">#REF!</definedName>
    <definedName name="float.dist.cap.ann" localSheetId="9">#REF!</definedName>
    <definedName name="float.dist.cap.ann" localSheetId="10">#REF!</definedName>
    <definedName name="float.dist.cap.ann" localSheetId="15">#REF!</definedName>
    <definedName name="float.dist.cap.ann" localSheetId="19">#REF!</definedName>
    <definedName name="float.dist.cap.ann" localSheetId="20">#REF!</definedName>
    <definedName name="float.dist.cap.ann" localSheetId="24">#REF!</definedName>
    <definedName name="float.dist.cap.ann" localSheetId="104">#REF!</definedName>
    <definedName name="float.dist.cap.ann" localSheetId="65">#REF!</definedName>
    <definedName name="float.dist.cap.ann" localSheetId="64">#REF!</definedName>
    <definedName name="float.dist.cap.ann" localSheetId="77">#REF!</definedName>
    <definedName name="float.dist.cap.ann" localSheetId="49">#REF!</definedName>
    <definedName name="float.dist.cap.ann" localSheetId="40">#REF!</definedName>
    <definedName name="float.dist.cap.ann" localSheetId="43">#REF!</definedName>
    <definedName name="float.dist.cap.ann" localSheetId="13">#REF!</definedName>
    <definedName name="float.dist.cap.ann" localSheetId="38">#REF!</definedName>
    <definedName name="float.dist.cap.ann">#REF!</definedName>
    <definedName name="float.dist.cap.hr" localSheetId="3">#REF!</definedName>
    <definedName name="float.dist.cap.hr" localSheetId="7">#REF!</definedName>
    <definedName name="float.dist.cap.hr" localSheetId="9">#REF!</definedName>
    <definedName name="float.dist.cap.hr" localSheetId="10">#REF!</definedName>
    <definedName name="float.dist.cap.hr" localSheetId="15">#REF!</definedName>
    <definedName name="float.dist.cap.hr" localSheetId="19">#REF!</definedName>
    <definedName name="float.dist.cap.hr" localSheetId="20">#REF!</definedName>
    <definedName name="float.dist.cap.hr" localSheetId="24">#REF!</definedName>
    <definedName name="float.dist.cap.hr" localSheetId="104">#REF!</definedName>
    <definedName name="float.dist.cap.hr" localSheetId="65">#REF!</definedName>
    <definedName name="float.dist.cap.hr" localSheetId="64">#REF!</definedName>
    <definedName name="float.dist.cap.hr" localSheetId="77">#REF!</definedName>
    <definedName name="float.dist.cap.hr" localSheetId="49">#REF!</definedName>
    <definedName name="float.dist.cap.hr" localSheetId="40">#REF!</definedName>
    <definedName name="float.dist.cap.hr" localSheetId="43">#REF!</definedName>
    <definedName name="float.dist.cap.hr" localSheetId="13">#REF!</definedName>
    <definedName name="float.dist.cap.hr" localSheetId="38">#REF!</definedName>
    <definedName name="float.dist.cap.hr">#REF!</definedName>
    <definedName name="float.ethanol.cap.ann" localSheetId="3">#REF!</definedName>
    <definedName name="float.ethanol.cap.ann" localSheetId="7">#REF!</definedName>
    <definedName name="float.ethanol.cap.ann" localSheetId="9">#REF!</definedName>
    <definedName name="float.ethanol.cap.ann" localSheetId="10">#REF!</definedName>
    <definedName name="float.ethanol.cap.ann" localSheetId="15">#REF!</definedName>
    <definedName name="float.ethanol.cap.ann" localSheetId="19">#REF!</definedName>
    <definedName name="float.ethanol.cap.ann" localSheetId="20">#REF!</definedName>
    <definedName name="float.ethanol.cap.ann" localSheetId="24">#REF!</definedName>
    <definedName name="float.ethanol.cap.ann" localSheetId="104">#REF!</definedName>
    <definedName name="float.ethanol.cap.ann" localSheetId="65">#REF!</definedName>
    <definedName name="float.ethanol.cap.ann" localSheetId="64">#REF!</definedName>
    <definedName name="float.ethanol.cap.ann" localSheetId="77">#REF!</definedName>
    <definedName name="float.ethanol.cap.ann" localSheetId="49">#REF!</definedName>
    <definedName name="float.ethanol.cap.ann" localSheetId="40">#REF!</definedName>
    <definedName name="float.ethanol.cap.ann" localSheetId="43">#REF!</definedName>
    <definedName name="float.ethanol.cap.ann" localSheetId="13">#REF!</definedName>
    <definedName name="float.ethanol.cap.ann" localSheetId="38">#REF!</definedName>
    <definedName name="float.ethanol.cap.ann">#REF!</definedName>
    <definedName name="float.ethanol.cap.hr" localSheetId="3">#REF!</definedName>
    <definedName name="float.ethanol.cap.hr" localSheetId="7">#REF!</definedName>
    <definedName name="float.ethanol.cap.hr" localSheetId="9">#REF!</definedName>
    <definedName name="float.ethanol.cap.hr" localSheetId="10">#REF!</definedName>
    <definedName name="float.ethanol.cap.hr" localSheetId="15">#REF!</definedName>
    <definedName name="float.ethanol.cap.hr" localSheetId="19">#REF!</definedName>
    <definedName name="float.ethanol.cap.hr" localSheetId="20">#REF!</definedName>
    <definedName name="float.ethanol.cap.hr" localSheetId="24">#REF!</definedName>
    <definedName name="float.ethanol.cap.hr" localSheetId="104">#REF!</definedName>
    <definedName name="float.ethanol.cap.hr" localSheetId="65">#REF!</definedName>
    <definedName name="float.ethanol.cap.hr" localSheetId="64">#REF!</definedName>
    <definedName name="float.ethanol.cap.hr" localSheetId="77">#REF!</definedName>
    <definedName name="float.ethanol.cap.hr" localSheetId="49">#REF!</definedName>
    <definedName name="float.ethanol.cap.hr" localSheetId="40">#REF!</definedName>
    <definedName name="float.ethanol.cap.hr" localSheetId="43">#REF!</definedName>
    <definedName name="float.ethanol.cap.hr" localSheetId="13">#REF!</definedName>
    <definedName name="float.ethanol.cap.hr" localSheetId="38">#REF!</definedName>
    <definedName name="float.ethanol.cap.hr">#REF!</definedName>
    <definedName name="float.gas.cap.ann" localSheetId="3">#REF!</definedName>
    <definedName name="float.gas.cap.ann" localSheetId="7">#REF!</definedName>
    <definedName name="float.gas.cap.ann" localSheetId="9">#REF!</definedName>
    <definedName name="float.gas.cap.ann" localSheetId="10">#REF!</definedName>
    <definedName name="float.gas.cap.ann" localSheetId="15">#REF!</definedName>
    <definedName name="float.gas.cap.ann" localSheetId="19">#REF!</definedName>
    <definedName name="float.gas.cap.ann" localSheetId="20">#REF!</definedName>
    <definedName name="float.gas.cap.ann" localSheetId="24">#REF!</definedName>
    <definedName name="float.gas.cap.ann" localSheetId="104">#REF!</definedName>
    <definedName name="float.gas.cap.ann" localSheetId="65">#REF!</definedName>
    <definedName name="float.gas.cap.ann" localSheetId="64">#REF!</definedName>
    <definedName name="float.gas.cap.ann" localSheetId="77">#REF!</definedName>
    <definedName name="float.gas.cap.ann" localSheetId="49">#REF!</definedName>
    <definedName name="float.gas.cap.ann" localSheetId="40">#REF!</definedName>
    <definedName name="float.gas.cap.ann" localSheetId="43">#REF!</definedName>
    <definedName name="float.gas.cap.ann" localSheetId="13">#REF!</definedName>
    <definedName name="float.gas.cap.ann" localSheetId="38">#REF!</definedName>
    <definedName name="float.gas.cap.ann">#REF!</definedName>
    <definedName name="float.gas.cap.hr" localSheetId="3">#REF!</definedName>
    <definedName name="float.gas.cap.hr" localSheetId="7">#REF!</definedName>
    <definedName name="float.gas.cap.hr" localSheetId="9">#REF!</definedName>
    <definedName name="float.gas.cap.hr" localSheetId="10">#REF!</definedName>
    <definedName name="float.gas.cap.hr" localSheetId="15">#REF!</definedName>
    <definedName name="float.gas.cap.hr" localSheetId="19">#REF!</definedName>
    <definedName name="float.gas.cap.hr" localSheetId="20">#REF!</definedName>
    <definedName name="float.gas.cap.hr" localSheetId="24">#REF!</definedName>
    <definedName name="float.gas.cap.hr" localSheetId="104">#REF!</definedName>
    <definedName name="float.gas.cap.hr" localSheetId="65">#REF!</definedName>
    <definedName name="float.gas.cap.hr" localSheetId="64">#REF!</definedName>
    <definedName name="float.gas.cap.hr" localSheetId="77">#REF!</definedName>
    <definedName name="float.gas.cap.hr" localSheetId="49">#REF!</definedName>
    <definedName name="float.gas.cap.hr" localSheetId="40">#REF!</definedName>
    <definedName name="float.gas.cap.hr" localSheetId="43">#REF!</definedName>
    <definedName name="float.gas.cap.hr" localSheetId="13">#REF!</definedName>
    <definedName name="float.gas.cap.hr" localSheetId="38">#REF!</definedName>
    <definedName name="float.gas.cap.hr">#REF!</definedName>
    <definedName name="floatroof" localSheetId="3">#REF!</definedName>
    <definedName name="floatroof" localSheetId="7">#REF!</definedName>
    <definedName name="floatroof" localSheetId="9">#REF!</definedName>
    <definedName name="floatroof" localSheetId="10">#REF!</definedName>
    <definedName name="floatroof" localSheetId="15">#REF!</definedName>
    <definedName name="floatroof" localSheetId="19">#REF!</definedName>
    <definedName name="floatroof" localSheetId="20">#REF!</definedName>
    <definedName name="floatroof" localSheetId="24">#REF!</definedName>
    <definedName name="floatroof" localSheetId="104">#REF!</definedName>
    <definedName name="floatroof" localSheetId="65">#REF!</definedName>
    <definedName name="floatroof" localSheetId="64">#REF!</definedName>
    <definedName name="floatroof" localSheetId="77">#REF!</definedName>
    <definedName name="floatroof" localSheetId="49">#REF!</definedName>
    <definedName name="floatroof" localSheetId="40">#REF!</definedName>
    <definedName name="floatroof" localSheetId="43">#REF!</definedName>
    <definedName name="floatroof" localSheetId="13">#REF!</definedName>
    <definedName name="floatroof" localSheetId="38">#REF!</definedName>
    <definedName name="floatroof">#REF!</definedName>
    <definedName name="flowmarkup" localSheetId="3">#REF!</definedName>
    <definedName name="flowmarkup" localSheetId="7">#REF!</definedName>
    <definedName name="flowmarkup" localSheetId="9">#REF!</definedName>
    <definedName name="flowmarkup" localSheetId="10">#REF!</definedName>
    <definedName name="flowmarkup" localSheetId="15">#REF!</definedName>
    <definedName name="flowmarkup" localSheetId="19">#REF!</definedName>
    <definedName name="flowmarkup" localSheetId="20">#REF!</definedName>
    <definedName name="flowmarkup" localSheetId="24">#REF!</definedName>
    <definedName name="flowmarkup" localSheetId="104">#REF!</definedName>
    <definedName name="flowmarkup" localSheetId="65">#REF!</definedName>
    <definedName name="flowmarkup" localSheetId="64">#REF!</definedName>
    <definedName name="flowmarkup" localSheetId="77">#REF!</definedName>
    <definedName name="flowmarkup" localSheetId="49">#REF!</definedName>
    <definedName name="flowmarkup" localSheetId="40">#REF!</definedName>
    <definedName name="flowmarkup" localSheetId="43">#REF!</definedName>
    <definedName name="flowmarkup" localSheetId="13">#REF!</definedName>
    <definedName name="flowmarkup" localSheetId="38">#REF!</definedName>
    <definedName name="flowmarkup">#REF!</definedName>
    <definedName name="FNAME" localSheetId="3">#REF!</definedName>
    <definedName name="FNAME" localSheetId="7">#REF!</definedName>
    <definedName name="FNAME" localSheetId="9">#REF!</definedName>
    <definedName name="FNAME" localSheetId="10">#REF!</definedName>
    <definedName name="FNAME" localSheetId="15">#REF!</definedName>
    <definedName name="FNAME" localSheetId="19">#REF!</definedName>
    <definedName name="FNAME" localSheetId="20">#REF!</definedName>
    <definedName name="FNAME" localSheetId="24">#REF!</definedName>
    <definedName name="FNAME" localSheetId="104">#REF!</definedName>
    <definedName name="FNAME" localSheetId="65">#REF!</definedName>
    <definedName name="FNAME" localSheetId="64">#REF!</definedName>
    <definedName name="FNAME" localSheetId="77">#REF!</definedName>
    <definedName name="FNAME" localSheetId="49">#REF!</definedName>
    <definedName name="FNAME" localSheetId="40">#REF!</definedName>
    <definedName name="FNAME" localSheetId="43">#REF!</definedName>
    <definedName name="FNAME" localSheetId="13">#REF!</definedName>
    <definedName name="FNAME" localSheetId="38">#REF!</definedName>
    <definedName name="FNAME">#REF!</definedName>
    <definedName name="FORTIFY">#N/A</definedName>
    <definedName name="four" localSheetId="3">#REF!</definedName>
    <definedName name="four" localSheetId="7">#REF!</definedName>
    <definedName name="four" localSheetId="9">#REF!</definedName>
    <definedName name="four" localSheetId="10">#REF!</definedName>
    <definedName name="four" localSheetId="15">#REF!</definedName>
    <definedName name="four" localSheetId="19">#REF!</definedName>
    <definedName name="four" localSheetId="20">#REF!</definedName>
    <definedName name="four" localSheetId="24">#REF!</definedName>
    <definedName name="four" localSheetId="104">#REF!</definedName>
    <definedName name="four" localSheetId="65">#REF!</definedName>
    <definedName name="four" localSheetId="64">#REF!</definedName>
    <definedName name="four" localSheetId="77">#REF!</definedName>
    <definedName name="four" localSheetId="49">#REF!</definedName>
    <definedName name="four" localSheetId="40">#REF!</definedName>
    <definedName name="four" localSheetId="43">#REF!</definedName>
    <definedName name="four" localSheetId="13">#REF!</definedName>
    <definedName name="four" localSheetId="38">#REF!</definedName>
    <definedName name="four">#REF!</definedName>
    <definedName name="FourCLB" localSheetId="3">#REF!</definedName>
    <definedName name="FourCLB" localSheetId="7">#REF!</definedName>
    <definedName name="FourCLB" localSheetId="9">#REF!</definedName>
    <definedName name="FourCLB" localSheetId="10">#REF!</definedName>
    <definedName name="FourCLB" localSheetId="15">#REF!</definedName>
    <definedName name="FourCLB" localSheetId="19">#REF!</definedName>
    <definedName name="FourCLB" localSheetId="20">#REF!</definedName>
    <definedName name="FourCLB" localSheetId="24">#REF!</definedName>
    <definedName name="FourCLB" localSheetId="104">#REF!</definedName>
    <definedName name="FourCLB" localSheetId="65">#REF!</definedName>
    <definedName name="FourCLB" localSheetId="64">#REF!</definedName>
    <definedName name="FourCLB" localSheetId="77">#REF!</definedName>
    <definedName name="FourCLB" localSheetId="49">#REF!</definedName>
    <definedName name="FourCLB" localSheetId="40">#REF!</definedName>
    <definedName name="FourCLB" localSheetId="43">#REF!</definedName>
    <definedName name="FourCLB" localSheetId="13">#REF!</definedName>
    <definedName name="FourCLB" localSheetId="38">#REF!</definedName>
    <definedName name="FourCLB">#REF!</definedName>
    <definedName name="FourCRB" localSheetId="3">#REF!</definedName>
    <definedName name="FourCRB" localSheetId="7">#REF!</definedName>
    <definedName name="FourCRB" localSheetId="9">#REF!</definedName>
    <definedName name="FourCRB" localSheetId="10">#REF!</definedName>
    <definedName name="FourCRB" localSheetId="15">#REF!</definedName>
    <definedName name="FourCRB" localSheetId="19">#REF!</definedName>
    <definedName name="FourCRB" localSheetId="20">#REF!</definedName>
    <definedName name="FourCRB" localSheetId="24">#REF!</definedName>
    <definedName name="FourCRB" localSheetId="104">#REF!</definedName>
    <definedName name="FourCRB" localSheetId="65">#REF!</definedName>
    <definedName name="FourCRB" localSheetId="64">#REF!</definedName>
    <definedName name="FourCRB" localSheetId="77">#REF!</definedName>
    <definedName name="FourCRB" localSheetId="49">#REF!</definedName>
    <definedName name="FourCRB" localSheetId="40">#REF!</definedName>
    <definedName name="FourCRB" localSheetId="43">#REF!</definedName>
    <definedName name="FourCRB" localSheetId="13">#REF!</definedName>
    <definedName name="FourCRB" localSheetId="38">#REF!</definedName>
    <definedName name="FourCRB">#REF!</definedName>
    <definedName name="FP" localSheetId="3">#REF!</definedName>
    <definedName name="FP" localSheetId="7">#REF!</definedName>
    <definedName name="FP" localSheetId="9">#REF!</definedName>
    <definedName name="FP" localSheetId="10">#REF!</definedName>
    <definedName name="FP" localSheetId="15">#REF!</definedName>
    <definedName name="FP" localSheetId="19">#REF!</definedName>
    <definedName name="FP" localSheetId="20">#REF!</definedName>
    <definedName name="FP" localSheetId="24">#REF!</definedName>
    <definedName name="FP" localSheetId="104">#REF!</definedName>
    <definedName name="FP" localSheetId="65">#REF!</definedName>
    <definedName name="FP" localSheetId="64">#REF!</definedName>
    <definedName name="FP" localSheetId="77">#REF!</definedName>
    <definedName name="FP" localSheetId="49">#REF!</definedName>
    <definedName name="FP" localSheetId="40">#REF!</definedName>
    <definedName name="FP" localSheetId="43">#REF!</definedName>
    <definedName name="FP" localSheetId="13">#REF!</definedName>
    <definedName name="FP" localSheetId="38">#REF!</definedName>
    <definedName name="FP">#REF!</definedName>
    <definedName name="FreqMarkup" localSheetId="3">#REF!</definedName>
    <definedName name="FreqMarkup" localSheetId="7">#REF!</definedName>
    <definedName name="FreqMarkup" localSheetId="9">#REF!</definedName>
    <definedName name="FreqMarkup" localSheetId="10">#REF!</definedName>
    <definedName name="FreqMarkup" localSheetId="15">#REF!</definedName>
    <definedName name="FreqMarkup" localSheetId="19">#REF!</definedName>
    <definedName name="FreqMarkup" localSheetId="20">#REF!</definedName>
    <definedName name="FreqMarkup" localSheetId="24">#REF!</definedName>
    <definedName name="FreqMarkup" localSheetId="104">#REF!</definedName>
    <definedName name="FreqMarkup" localSheetId="65">#REF!</definedName>
    <definedName name="FreqMarkup" localSheetId="64">#REF!</definedName>
    <definedName name="FreqMarkup" localSheetId="77">#REF!</definedName>
    <definedName name="FreqMarkup" localSheetId="49">#REF!</definedName>
    <definedName name="FreqMarkup" localSheetId="40">#REF!</definedName>
    <definedName name="FreqMarkup" localSheetId="43">#REF!</definedName>
    <definedName name="FreqMarkup" localSheetId="13">#REF!</definedName>
    <definedName name="FreqMarkup" localSheetId="38">#REF!</definedName>
    <definedName name="FreqMarkup">#REF!</definedName>
    <definedName name="FUEL_OIL_TYPE" localSheetId="3">#REF!</definedName>
    <definedName name="FUEL_OIL_TYPE" localSheetId="7">#REF!</definedName>
    <definedName name="FUEL_OIL_TYPE" localSheetId="9">#REF!</definedName>
    <definedName name="FUEL_OIL_TYPE" localSheetId="10">#REF!</definedName>
    <definedName name="FUEL_OIL_TYPE" localSheetId="15">#REF!</definedName>
    <definedName name="FUEL_OIL_TYPE" localSheetId="19">#REF!</definedName>
    <definedName name="FUEL_OIL_TYPE" localSheetId="20">#REF!</definedName>
    <definedName name="FUEL_OIL_TYPE" localSheetId="24">#REF!</definedName>
    <definedName name="FUEL_OIL_TYPE" localSheetId="104">#REF!</definedName>
    <definedName name="FUEL_OIL_TYPE" localSheetId="65">#REF!</definedName>
    <definedName name="FUEL_OIL_TYPE" localSheetId="64">#REF!</definedName>
    <definedName name="FUEL_OIL_TYPE" localSheetId="77">#REF!</definedName>
    <definedName name="FUEL_OIL_TYPE" localSheetId="49">#REF!</definedName>
    <definedName name="FUEL_OIL_TYPE" localSheetId="40">#REF!</definedName>
    <definedName name="FUEL_OIL_TYPE" localSheetId="43">#REF!</definedName>
    <definedName name="FUEL_OIL_TYPE" localSheetId="13">#REF!</definedName>
    <definedName name="FUEL_OIL_TYPE" localSheetId="38">#REF!</definedName>
    <definedName name="FUEL_OIL_TYPE">#REF!</definedName>
    <definedName name="Fuel1" localSheetId="3">#REF!</definedName>
    <definedName name="Fuel1" localSheetId="7">#REF!</definedName>
    <definedName name="Fuel1" localSheetId="9">#REF!</definedName>
    <definedName name="Fuel1" localSheetId="10">#REF!</definedName>
    <definedName name="Fuel1" localSheetId="15">#REF!</definedName>
    <definedName name="Fuel1" localSheetId="19">#REF!</definedName>
    <definedName name="Fuel1" localSheetId="20">#REF!</definedName>
    <definedName name="Fuel1" localSheetId="24">#REF!</definedName>
    <definedName name="Fuel1" localSheetId="104">#REF!</definedName>
    <definedName name="Fuel1" localSheetId="65">#REF!</definedName>
    <definedName name="Fuel1" localSheetId="64">#REF!</definedName>
    <definedName name="Fuel1" localSheetId="77">#REF!</definedName>
    <definedName name="Fuel1" localSheetId="49">#REF!</definedName>
    <definedName name="Fuel1" localSheetId="40">#REF!</definedName>
    <definedName name="Fuel1" localSheetId="43">#REF!</definedName>
    <definedName name="Fuel1" localSheetId="13">#REF!</definedName>
    <definedName name="Fuel1" localSheetId="38">#REF!</definedName>
    <definedName name="Fuel1">#REF!</definedName>
    <definedName name="Fugitive_Emission_Sum" localSheetId="3">#REF!</definedName>
    <definedName name="Fugitive_Emission_Sum" localSheetId="7">#REF!</definedName>
    <definedName name="Fugitive_Emission_Sum" localSheetId="9">#REF!</definedName>
    <definedName name="Fugitive_Emission_Sum" localSheetId="10">#REF!</definedName>
    <definedName name="Fugitive_Emission_Sum" localSheetId="15">#REF!</definedName>
    <definedName name="Fugitive_Emission_Sum" localSheetId="19">#REF!</definedName>
    <definedName name="Fugitive_Emission_Sum" localSheetId="20">#REF!</definedName>
    <definedName name="Fugitive_Emission_Sum" localSheetId="24">#REF!</definedName>
    <definedName name="Fugitive_Emission_Sum" localSheetId="104">#REF!</definedName>
    <definedName name="Fugitive_Emission_Sum" localSheetId="65">#REF!</definedName>
    <definedName name="Fugitive_Emission_Sum" localSheetId="64">#REF!</definedName>
    <definedName name="Fugitive_Emission_Sum" localSheetId="77">#REF!</definedName>
    <definedName name="Fugitive_Emission_Sum" localSheetId="49">#REF!</definedName>
    <definedName name="Fugitive_Emission_Sum" localSheetId="40">#REF!</definedName>
    <definedName name="Fugitive_Emission_Sum" localSheetId="43">#REF!</definedName>
    <definedName name="Fugitive_Emission_Sum" localSheetId="13">#REF!</definedName>
    <definedName name="Fugitive_Emission_Sum" localSheetId="38">#REF!</definedName>
    <definedName name="Fugitive_Emission_Sum">#REF!</definedName>
    <definedName name="Fugitive_Strm_01" localSheetId="3">#REF!</definedName>
    <definedName name="Fugitive_Strm_01" localSheetId="7">#REF!</definedName>
    <definedName name="Fugitive_Strm_01" localSheetId="9">#REF!</definedName>
    <definedName name="Fugitive_Strm_01" localSheetId="10">#REF!</definedName>
    <definedName name="Fugitive_Strm_01" localSheetId="15">#REF!</definedName>
    <definedName name="Fugitive_Strm_01" localSheetId="19">#REF!</definedName>
    <definedName name="Fugitive_Strm_01" localSheetId="20">#REF!</definedName>
    <definedName name="Fugitive_Strm_01" localSheetId="24">#REF!</definedName>
    <definedName name="Fugitive_Strm_01" localSheetId="104">#REF!</definedName>
    <definedName name="Fugitive_Strm_01" localSheetId="65">#REF!</definedName>
    <definedName name="Fugitive_Strm_01" localSheetId="64">#REF!</definedName>
    <definedName name="Fugitive_Strm_01" localSheetId="77">#REF!</definedName>
    <definedName name="Fugitive_Strm_01" localSheetId="49">#REF!</definedName>
    <definedName name="Fugitive_Strm_01" localSheetId="40">#REF!</definedName>
    <definedName name="Fugitive_Strm_01" localSheetId="43">#REF!</definedName>
    <definedName name="Fugitive_Strm_01" localSheetId="13">#REF!</definedName>
    <definedName name="Fugitive_Strm_01" localSheetId="38">#REF!</definedName>
    <definedName name="Fugitive_Strm_01">#REF!</definedName>
    <definedName name="Fugitive_Strm_01_Emissions" localSheetId="3">#REF!</definedName>
    <definedName name="Fugitive_Strm_01_Emissions" localSheetId="7">#REF!</definedName>
    <definedName name="Fugitive_Strm_01_Emissions" localSheetId="9">#REF!</definedName>
    <definedName name="Fugitive_Strm_01_Emissions" localSheetId="10">#REF!</definedName>
    <definedName name="Fugitive_Strm_01_Emissions" localSheetId="15">#REF!</definedName>
    <definedName name="Fugitive_Strm_01_Emissions" localSheetId="19">#REF!</definedName>
    <definedName name="Fugitive_Strm_01_Emissions" localSheetId="20">#REF!</definedName>
    <definedName name="Fugitive_Strm_01_Emissions" localSheetId="24">#REF!</definedName>
    <definedName name="Fugitive_Strm_01_Emissions" localSheetId="104">#REF!</definedName>
    <definedName name="Fugitive_Strm_01_Emissions" localSheetId="65">#REF!</definedName>
    <definedName name="Fugitive_Strm_01_Emissions" localSheetId="64">#REF!</definedName>
    <definedName name="Fugitive_Strm_01_Emissions" localSheetId="77">#REF!</definedName>
    <definedName name="Fugitive_Strm_01_Emissions" localSheetId="49">#REF!</definedName>
    <definedName name="Fugitive_Strm_01_Emissions" localSheetId="40">#REF!</definedName>
    <definedName name="Fugitive_Strm_01_Emissions" localSheetId="43">#REF!</definedName>
    <definedName name="Fugitive_Strm_01_Emissions" localSheetId="13">#REF!</definedName>
    <definedName name="Fugitive_Strm_01_Emissions" localSheetId="38">#REF!</definedName>
    <definedName name="Fugitive_Strm_01_Emissions">#REF!</definedName>
    <definedName name="Fugitive_Strm_02" localSheetId="3">#REF!</definedName>
    <definedName name="Fugitive_Strm_02" localSheetId="7">#REF!</definedName>
    <definedName name="Fugitive_Strm_02" localSheetId="9">#REF!</definedName>
    <definedName name="Fugitive_Strm_02" localSheetId="10">#REF!</definedName>
    <definedName name="Fugitive_Strm_02" localSheetId="15">#REF!</definedName>
    <definedName name="Fugitive_Strm_02" localSheetId="19">#REF!</definedName>
    <definedName name="Fugitive_Strm_02" localSheetId="20">#REF!</definedName>
    <definedName name="Fugitive_Strm_02" localSheetId="24">#REF!</definedName>
    <definedName name="Fugitive_Strm_02" localSheetId="104">#REF!</definedName>
    <definedName name="Fugitive_Strm_02" localSheetId="65">#REF!</definedName>
    <definedName name="Fugitive_Strm_02" localSheetId="64">#REF!</definedName>
    <definedName name="Fugitive_Strm_02" localSheetId="77">#REF!</definedName>
    <definedName name="Fugitive_Strm_02" localSheetId="49">#REF!</definedName>
    <definedName name="Fugitive_Strm_02" localSheetId="40">#REF!</definedName>
    <definedName name="Fugitive_Strm_02" localSheetId="43">#REF!</definedName>
    <definedName name="Fugitive_Strm_02" localSheetId="13">#REF!</definedName>
    <definedName name="Fugitive_Strm_02" localSheetId="38">#REF!</definedName>
    <definedName name="Fugitive_Strm_02">#REF!</definedName>
    <definedName name="Fugitive_Strm_02_Emissions" localSheetId="3">#REF!</definedName>
    <definedName name="Fugitive_Strm_02_Emissions" localSheetId="7">#REF!</definedName>
    <definedName name="Fugitive_Strm_02_Emissions" localSheetId="9">#REF!</definedName>
    <definedName name="Fugitive_Strm_02_Emissions" localSheetId="10">#REF!</definedName>
    <definedName name="Fugitive_Strm_02_Emissions" localSheetId="15">#REF!</definedName>
    <definedName name="Fugitive_Strm_02_Emissions" localSheetId="19">#REF!</definedName>
    <definedName name="Fugitive_Strm_02_Emissions" localSheetId="20">#REF!</definedName>
    <definedName name="Fugitive_Strm_02_Emissions" localSheetId="24">#REF!</definedName>
    <definedName name="Fugitive_Strm_02_Emissions" localSheetId="104">#REF!</definedName>
    <definedName name="Fugitive_Strm_02_Emissions" localSheetId="65">#REF!</definedName>
    <definedName name="Fugitive_Strm_02_Emissions" localSheetId="64">#REF!</definedName>
    <definedName name="Fugitive_Strm_02_Emissions" localSheetId="77">#REF!</definedName>
    <definedName name="Fugitive_Strm_02_Emissions" localSheetId="49">#REF!</definedName>
    <definedName name="Fugitive_Strm_02_Emissions" localSheetId="40">#REF!</definedName>
    <definedName name="Fugitive_Strm_02_Emissions" localSheetId="43">#REF!</definedName>
    <definedName name="Fugitive_Strm_02_Emissions" localSheetId="13">#REF!</definedName>
    <definedName name="Fugitive_Strm_02_Emissions" localSheetId="38">#REF!</definedName>
    <definedName name="Fugitive_Strm_02_Emissions">#REF!</definedName>
    <definedName name="Fugitive_Strm_03" localSheetId="3">#REF!</definedName>
    <definedName name="Fugitive_Strm_03" localSheetId="7">#REF!</definedName>
    <definedName name="Fugitive_Strm_03" localSheetId="9">#REF!</definedName>
    <definedName name="Fugitive_Strm_03" localSheetId="10">#REF!</definedName>
    <definedName name="Fugitive_Strm_03" localSheetId="15">#REF!</definedName>
    <definedName name="Fugitive_Strm_03" localSheetId="19">#REF!</definedName>
    <definedName name="Fugitive_Strm_03" localSheetId="20">#REF!</definedName>
    <definedName name="Fugitive_Strm_03" localSheetId="24">#REF!</definedName>
    <definedName name="Fugitive_Strm_03" localSheetId="104">#REF!</definedName>
    <definedName name="Fugitive_Strm_03" localSheetId="65">#REF!</definedName>
    <definedName name="Fugitive_Strm_03" localSheetId="64">#REF!</definedName>
    <definedName name="Fugitive_Strm_03" localSheetId="77">#REF!</definedName>
    <definedName name="Fugitive_Strm_03" localSheetId="49">#REF!</definedName>
    <definedName name="Fugitive_Strm_03" localSheetId="40">#REF!</definedName>
    <definedName name="Fugitive_Strm_03" localSheetId="43">#REF!</definedName>
    <definedName name="Fugitive_Strm_03" localSheetId="13">#REF!</definedName>
    <definedName name="Fugitive_Strm_03" localSheetId="38">#REF!</definedName>
    <definedName name="Fugitive_Strm_03">#REF!</definedName>
    <definedName name="Fugitive_Strm_03_Emissions" localSheetId="3">#REF!</definedName>
    <definedName name="Fugitive_Strm_03_Emissions" localSheetId="7">#REF!</definedName>
    <definedName name="Fugitive_Strm_03_Emissions" localSheetId="9">#REF!</definedName>
    <definedName name="Fugitive_Strm_03_Emissions" localSheetId="10">#REF!</definedName>
    <definedName name="Fugitive_Strm_03_Emissions" localSheetId="15">#REF!</definedName>
    <definedName name="Fugitive_Strm_03_Emissions" localSheetId="19">#REF!</definedName>
    <definedName name="Fugitive_Strm_03_Emissions" localSheetId="20">#REF!</definedName>
    <definedName name="Fugitive_Strm_03_Emissions" localSheetId="24">#REF!</definedName>
    <definedName name="Fugitive_Strm_03_Emissions" localSheetId="104">#REF!</definedName>
    <definedName name="Fugitive_Strm_03_Emissions" localSheetId="65">#REF!</definedName>
    <definedName name="Fugitive_Strm_03_Emissions" localSheetId="64">#REF!</definedName>
    <definedName name="Fugitive_Strm_03_Emissions" localSheetId="77">#REF!</definedName>
    <definedName name="Fugitive_Strm_03_Emissions" localSheetId="49">#REF!</definedName>
    <definedName name="Fugitive_Strm_03_Emissions" localSheetId="40">#REF!</definedName>
    <definedName name="Fugitive_Strm_03_Emissions" localSheetId="43">#REF!</definedName>
    <definedName name="Fugitive_Strm_03_Emissions" localSheetId="13">#REF!</definedName>
    <definedName name="Fugitive_Strm_03_Emissions" localSheetId="38">#REF!</definedName>
    <definedName name="Fugitive_Strm_03_Emissions">#REF!</definedName>
    <definedName name="Fugitive_Strm_04" localSheetId="3">#REF!</definedName>
    <definedName name="Fugitive_Strm_04" localSheetId="7">#REF!</definedName>
    <definedName name="Fugitive_Strm_04" localSheetId="9">#REF!</definedName>
    <definedName name="Fugitive_Strm_04" localSheetId="10">#REF!</definedName>
    <definedName name="Fugitive_Strm_04" localSheetId="15">#REF!</definedName>
    <definedName name="Fugitive_Strm_04" localSheetId="19">#REF!</definedName>
    <definedName name="Fugitive_Strm_04" localSheetId="20">#REF!</definedName>
    <definedName name="Fugitive_Strm_04" localSheetId="24">#REF!</definedName>
    <definedName name="Fugitive_Strm_04" localSheetId="104">#REF!</definedName>
    <definedName name="Fugitive_Strm_04" localSheetId="65">#REF!</definedName>
    <definedName name="Fugitive_Strm_04" localSheetId="64">#REF!</definedName>
    <definedName name="Fugitive_Strm_04" localSheetId="77">#REF!</definedName>
    <definedName name="Fugitive_Strm_04" localSheetId="49">#REF!</definedName>
    <definedName name="Fugitive_Strm_04" localSheetId="40">#REF!</definedName>
    <definedName name="Fugitive_Strm_04" localSheetId="43">#REF!</definedName>
    <definedName name="Fugitive_Strm_04" localSheetId="13">#REF!</definedName>
    <definedName name="Fugitive_Strm_04" localSheetId="38">#REF!</definedName>
    <definedName name="Fugitive_Strm_04">#REF!</definedName>
    <definedName name="Fugitive_Strm_04_Emissions" localSheetId="3">#REF!</definedName>
    <definedName name="Fugitive_Strm_04_Emissions" localSheetId="7">#REF!</definedName>
    <definedName name="Fugitive_Strm_04_Emissions" localSheetId="9">#REF!</definedName>
    <definedName name="Fugitive_Strm_04_Emissions" localSheetId="10">#REF!</definedName>
    <definedName name="Fugitive_Strm_04_Emissions" localSheetId="15">#REF!</definedName>
    <definedName name="Fugitive_Strm_04_Emissions" localSheetId="19">#REF!</definedName>
    <definedName name="Fugitive_Strm_04_Emissions" localSheetId="20">#REF!</definedName>
    <definedName name="Fugitive_Strm_04_Emissions" localSheetId="24">#REF!</definedName>
    <definedName name="Fugitive_Strm_04_Emissions" localSheetId="104">#REF!</definedName>
    <definedName name="Fugitive_Strm_04_Emissions" localSheetId="65">#REF!</definedName>
    <definedName name="Fugitive_Strm_04_Emissions" localSheetId="64">#REF!</definedName>
    <definedName name="Fugitive_Strm_04_Emissions" localSheetId="77">#REF!</definedName>
    <definedName name="Fugitive_Strm_04_Emissions" localSheetId="49">#REF!</definedName>
    <definedName name="Fugitive_Strm_04_Emissions" localSheetId="40">#REF!</definedName>
    <definedName name="Fugitive_Strm_04_Emissions" localSheetId="43">#REF!</definedName>
    <definedName name="Fugitive_Strm_04_Emissions" localSheetId="13">#REF!</definedName>
    <definedName name="Fugitive_Strm_04_Emissions" localSheetId="38">#REF!</definedName>
    <definedName name="Fugitive_Strm_04_Emissions">#REF!</definedName>
    <definedName name="Fugitive_Strm_05" localSheetId="3">#REF!</definedName>
    <definedName name="Fugitive_Strm_05" localSheetId="7">#REF!</definedName>
    <definedName name="Fugitive_Strm_05" localSheetId="9">#REF!</definedName>
    <definedName name="Fugitive_Strm_05" localSheetId="10">#REF!</definedName>
    <definedName name="Fugitive_Strm_05" localSheetId="15">#REF!</definedName>
    <definedName name="Fugitive_Strm_05" localSheetId="19">#REF!</definedName>
    <definedName name="Fugitive_Strm_05" localSheetId="20">#REF!</definedName>
    <definedName name="Fugitive_Strm_05" localSheetId="24">#REF!</definedName>
    <definedName name="Fugitive_Strm_05" localSheetId="104">#REF!</definedName>
    <definedName name="Fugitive_Strm_05" localSheetId="65">#REF!</definedName>
    <definedName name="Fugitive_Strm_05" localSheetId="64">#REF!</definedName>
    <definedName name="Fugitive_Strm_05" localSheetId="77">#REF!</definedName>
    <definedName name="Fugitive_Strm_05" localSheetId="49">#REF!</definedName>
    <definedName name="Fugitive_Strm_05" localSheetId="40">#REF!</definedName>
    <definedName name="Fugitive_Strm_05" localSheetId="43">#REF!</definedName>
    <definedName name="Fugitive_Strm_05" localSheetId="13">#REF!</definedName>
    <definedName name="Fugitive_Strm_05" localSheetId="38">#REF!</definedName>
    <definedName name="Fugitive_Strm_05">#REF!</definedName>
    <definedName name="Fugitive_Strm_05_Emissions" localSheetId="3">#REF!</definedName>
    <definedName name="Fugitive_Strm_05_Emissions" localSheetId="7">#REF!</definedName>
    <definedName name="Fugitive_Strm_05_Emissions" localSheetId="9">#REF!</definedName>
    <definedName name="Fugitive_Strm_05_Emissions" localSheetId="10">#REF!</definedName>
    <definedName name="Fugitive_Strm_05_Emissions" localSheetId="15">#REF!</definedName>
    <definedName name="Fugitive_Strm_05_Emissions" localSheetId="19">#REF!</definedName>
    <definedName name="Fugitive_Strm_05_Emissions" localSheetId="20">#REF!</definedName>
    <definedName name="Fugitive_Strm_05_Emissions" localSheetId="24">#REF!</definedName>
    <definedName name="Fugitive_Strm_05_Emissions" localSheetId="104">#REF!</definedName>
    <definedName name="Fugitive_Strm_05_Emissions" localSheetId="65">#REF!</definedName>
    <definedName name="Fugitive_Strm_05_Emissions" localSheetId="64">#REF!</definedName>
    <definedName name="Fugitive_Strm_05_Emissions" localSheetId="77">#REF!</definedName>
    <definedName name="Fugitive_Strm_05_Emissions" localSheetId="49">#REF!</definedName>
    <definedName name="Fugitive_Strm_05_Emissions" localSheetId="40">#REF!</definedName>
    <definedName name="Fugitive_Strm_05_Emissions" localSheetId="43">#REF!</definedName>
    <definedName name="Fugitive_Strm_05_Emissions" localSheetId="13">#REF!</definedName>
    <definedName name="Fugitive_Strm_05_Emissions" localSheetId="38">#REF!</definedName>
    <definedName name="Fugitive_Strm_05_Emissions">#REF!</definedName>
    <definedName name="Fugitive_Strm_06" localSheetId="3">#REF!</definedName>
    <definedName name="Fugitive_Strm_06" localSheetId="7">#REF!</definedName>
    <definedName name="Fugitive_Strm_06" localSheetId="9">#REF!</definedName>
    <definedName name="Fugitive_Strm_06" localSheetId="10">#REF!</definedName>
    <definedName name="Fugitive_Strm_06" localSheetId="15">#REF!</definedName>
    <definedName name="Fugitive_Strm_06" localSheetId="19">#REF!</definedName>
    <definedName name="Fugitive_Strm_06" localSheetId="20">#REF!</definedName>
    <definedName name="Fugitive_Strm_06" localSheetId="24">#REF!</definedName>
    <definedName name="Fugitive_Strm_06" localSheetId="104">#REF!</definedName>
    <definedName name="Fugitive_Strm_06" localSheetId="65">#REF!</definedName>
    <definedName name="Fugitive_Strm_06" localSheetId="64">#REF!</definedName>
    <definedName name="Fugitive_Strm_06" localSheetId="77">#REF!</definedName>
    <definedName name="Fugitive_Strm_06" localSheetId="49">#REF!</definedName>
    <definedName name="Fugitive_Strm_06" localSheetId="40">#REF!</definedName>
    <definedName name="Fugitive_Strm_06" localSheetId="43">#REF!</definedName>
    <definedName name="Fugitive_Strm_06" localSheetId="13">#REF!</definedName>
    <definedName name="Fugitive_Strm_06" localSheetId="38">#REF!</definedName>
    <definedName name="Fugitive_Strm_06">#REF!</definedName>
    <definedName name="Fugitive_Strm_06_Emissions" localSheetId="3">#REF!</definedName>
    <definedName name="Fugitive_Strm_06_Emissions" localSheetId="7">#REF!</definedName>
    <definedName name="Fugitive_Strm_06_Emissions" localSheetId="9">#REF!</definedName>
    <definedName name="Fugitive_Strm_06_Emissions" localSheetId="10">#REF!</definedName>
    <definedName name="Fugitive_Strm_06_Emissions" localSheetId="15">#REF!</definedName>
    <definedName name="Fugitive_Strm_06_Emissions" localSheetId="19">#REF!</definedName>
    <definedName name="Fugitive_Strm_06_Emissions" localSheetId="20">#REF!</definedName>
    <definedName name="Fugitive_Strm_06_Emissions" localSheetId="24">#REF!</definedName>
    <definedName name="Fugitive_Strm_06_Emissions" localSheetId="104">#REF!</definedName>
    <definedName name="Fugitive_Strm_06_Emissions" localSheetId="65">#REF!</definedName>
    <definedName name="Fugitive_Strm_06_Emissions" localSheetId="64">#REF!</definedName>
    <definedName name="Fugitive_Strm_06_Emissions" localSheetId="77">#REF!</definedName>
    <definedName name="Fugitive_Strm_06_Emissions" localSheetId="49">#REF!</definedName>
    <definedName name="Fugitive_Strm_06_Emissions" localSheetId="40">#REF!</definedName>
    <definedName name="Fugitive_Strm_06_Emissions" localSheetId="43">#REF!</definedName>
    <definedName name="Fugitive_Strm_06_Emissions" localSheetId="13">#REF!</definedName>
    <definedName name="Fugitive_Strm_06_Emissions" localSheetId="38">#REF!</definedName>
    <definedName name="Fugitive_Strm_06_Emissions">#REF!</definedName>
    <definedName name="Fugitive_Strm_07" localSheetId="3">#REF!</definedName>
    <definedName name="Fugitive_Strm_07" localSheetId="7">#REF!</definedName>
    <definedName name="Fugitive_Strm_07" localSheetId="9">#REF!</definedName>
    <definedName name="Fugitive_Strm_07" localSheetId="10">#REF!</definedName>
    <definedName name="Fugitive_Strm_07" localSheetId="15">#REF!</definedName>
    <definedName name="Fugitive_Strm_07" localSheetId="19">#REF!</definedName>
    <definedName name="Fugitive_Strm_07" localSheetId="20">#REF!</definedName>
    <definedName name="Fugitive_Strm_07" localSheetId="24">#REF!</definedName>
    <definedName name="Fugitive_Strm_07" localSheetId="104">#REF!</definedName>
    <definedName name="Fugitive_Strm_07" localSheetId="65">#REF!</definedName>
    <definedName name="Fugitive_Strm_07" localSheetId="64">#REF!</definedName>
    <definedName name="Fugitive_Strm_07" localSheetId="77">#REF!</definedName>
    <definedName name="Fugitive_Strm_07" localSheetId="49">#REF!</definedName>
    <definedName name="Fugitive_Strm_07" localSheetId="40">#REF!</definedName>
    <definedName name="Fugitive_Strm_07" localSheetId="43">#REF!</definedName>
    <definedName name="Fugitive_Strm_07" localSheetId="13">#REF!</definedName>
    <definedName name="Fugitive_Strm_07" localSheetId="38">#REF!</definedName>
    <definedName name="Fugitive_Strm_07">#REF!</definedName>
    <definedName name="Fugitive_Strm_07_Emissions" localSheetId="3">#REF!</definedName>
    <definedName name="Fugitive_Strm_07_Emissions" localSheetId="7">#REF!</definedName>
    <definedName name="Fugitive_Strm_07_Emissions" localSheetId="9">#REF!</definedName>
    <definedName name="Fugitive_Strm_07_Emissions" localSheetId="10">#REF!</definedName>
    <definedName name="Fugitive_Strm_07_Emissions" localSheetId="15">#REF!</definedName>
    <definedName name="Fugitive_Strm_07_Emissions" localSheetId="19">#REF!</definedName>
    <definedName name="Fugitive_Strm_07_Emissions" localSheetId="20">#REF!</definedName>
    <definedName name="Fugitive_Strm_07_Emissions" localSheetId="24">#REF!</definedName>
    <definedName name="Fugitive_Strm_07_Emissions" localSheetId="104">#REF!</definedName>
    <definedName name="Fugitive_Strm_07_Emissions" localSheetId="65">#REF!</definedName>
    <definedName name="Fugitive_Strm_07_Emissions" localSheetId="64">#REF!</definedName>
    <definedName name="Fugitive_Strm_07_Emissions" localSheetId="77">#REF!</definedName>
    <definedName name="Fugitive_Strm_07_Emissions" localSheetId="49">#REF!</definedName>
    <definedName name="Fugitive_Strm_07_Emissions" localSheetId="40">#REF!</definedName>
    <definedName name="Fugitive_Strm_07_Emissions" localSheetId="43">#REF!</definedName>
    <definedName name="Fugitive_Strm_07_Emissions" localSheetId="13">#REF!</definedName>
    <definedName name="Fugitive_Strm_07_Emissions" localSheetId="38">#REF!</definedName>
    <definedName name="Fugitive_Strm_07_Emissions">#REF!</definedName>
    <definedName name="Fugitive_Strm_08" localSheetId="3">#REF!</definedName>
    <definedName name="Fugitive_Strm_08" localSheetId="7">#REF!</definedName>
    <definedName name="Fugitive_Strm_08" localSheetId="9">#REF!</definedName>
    <definedName name="Fugitive_Strm_08" localSheetId="10">#REF!</definedName>
    <definedName name="Fugitive_Strm_08" localSheetId="15">#REF!</definedName>
    <definedName name="Fugitive_Strm_08" localSheetId="19">#REF!</definedName>
    <definedName name="Fugitive_Strm_08" localSheetId="20">#REF!</definedName>
    <definedName name="Fugitive_Strm_08" localSheetId="24">#REF!</definedName>
    <definedName name="Fugitive_Strm_08" localSheetId="104">#REF!</definedName>
    <definedName name="Fugitive_Strm_08" localSheetId="65">#REF!</definedName>
    <definedName name="Fugitive_Strm_08" localSheetId="64">#REF!</definedName>
    <definedName name="Fugitive_Strm_08" localSheetId="77">#REF!</definedName>
    <definedName name="Fugitive_Strm_08" localSheetId="49">#REF!</definedName>
    <definedName name="Fugitive_Strm_08" localSheetId="40">#REF!</definedName>
    <definedName name="Fugitive_Strm_08" localSheetId="43">#REF!</definedName>
    <definedName name="Fugitive_Strm_08" localSheetId="13">#REF!</definedName>
    <definedName name="Fugitive_Strm_08" localSheetId="38">#REF!</definedName>
    <definedName name="Fugitive_Strm_08">#REF!</definedName>
    <definedName name="Fugitive_Strm_08_Emissions" localSheetId="3">#REF!</definedName>
    <definedName name="Fugitive_Strm_08_Emissions" localSheetId="7">#REF!</definedName>
    <definedName name="Fugitive_Strm_08_Emissions" localSheetId="9">#REF!</definedName>
    <definedName name="Fugitive_Strm_08_Emissions" localSheetId="10">#REF!</definedName>
    <definedName name="Fugitive_Strm_08_Emissions" localSheetId="15">#REF!</definedName>
    <definedName name="Fugitive_Strm_08_Emissions" localSheetId="19">#REF!</definedName>
    <definedName name="Fugitive_Strm_08_Emissions" localSheetId="20">#REF!</definedName>
    <definedName name="Fugitive_Strm_08_Emissions" localSheetId="24">#REF!</definedName>
    <definedName name="Fugitive_Strm_08_Emissions" localSheetId="104">#REF!</definedName>
    <definedName name="Fugitive_Strm_08_Emissions" localSheetId="65">#REF!</definedName>
    <definedName name="Fugitive_Strm_08_Emissions" localSheetId="64">#REF!</definedName>
    <definedName name="Fugitive_Strm_08_Emissions" localSheetId="77">#REF!</definedName>
    <definedName name="Fugitive_Strm_08_Emissions" localSheetId="49">#REF!</definedName>
    <definedName name="Fugitive_Strm_08_Emissions" localSheetId="40">#REF!</definedName>
    <definedName name="Fugitive_Strm_08_Emissions" localSheetId="43">#REF!</definedName>
    <definedName name="Fugitive_Strm_08_Emissions" localSheetId="13">#REF!</definedName>
    <definedName name="Fugitive_Strm_08_Emissions" localSheetId="38">#REF!</definedName>
    <definedName name="Fugitive_Strm_08_Emissions">#REF!</definedName>
    <definedName name="Fugitive_Strm_09" localSheetId="3">#REF!</definedName>
    <definedName name="Fugitive_Strm_09" localSheetId="7">#REF!</definedName>
    <definedName name="Fugitive_Strm_09" localSheetId="9">#REF!</definedName>
    <definedName name="Fugitive_Strm_09" localSheetId="10">#REF!</definedName>
    <definedName name="Fugitive_Strm_09" localSheetId="15">#REF!</definedName>
    <definedName name="Fugitive_Strm_09" localSheetId="19">#REF!</definedName>
    <definedName name="Fugitive_Strm_09" localSheetId="20">#REF!</definedName>
    <definedName name="Fugitive_Strm_09" localSheetId="24">#REF!</definedName>
    <definedName name="Fugitive_Strm_09" localSheetId="104">#REF!</definedName>
    <definedName name="Fugitive_Strm_09" localSheetId="65">#REF!</definedName>
    <definedName name="Fugitive_Strm_09" localSheetId="64">#REF!</definedName>
    <definedName name="Fugitive_Strm_09" localSheetId="77">#REF!</definedName>
    <definedName name="Fugitive_Strm_09" localSheetId="49">#REF!</definedName>
    <definedName name="Fugitive_Strm_09" localSheetId="40">#REF!</definedName>
    <definedName name="Fugitive_Strm_09" localSheetId="43">#REF!</definedName>
    <definedName name="Fugitive_Strm_09" localSheetId="13">#REF!</definedName>
    <definedName name="Fugitive_Strm_09" localSheetId="38">#REF!</definedName>
    <definedName name="Fugitive_Strm_09">#REF!</definedName>
    <definedName name="Fugitive_Strm_09_Emissions" localSheetId="3">#REF!</definedName>
    <definedName name="Fugitive_Strm_09_Emissions" localSheetId="7">#REF!</definedName>
    <definedName name="Fugitive_Strm_09_Emissions" localSheetId="9">#REF!</definedName>
    <definedName name="Fugitive_Strm_09_Emissions" localSheetId="10">#REF!</definedName>
    <definedName name="Fugitive_Strm_09_Emissions" localSheetId="15">#REF!</definedName>
    <definedName name="Fugitive_Strm_09_Emissions" localSheetId="19">#REF!</definedName>
    <definedName name="Fugitive_Strm_09_Emissions" localSheetId="20">#REF!</definedName>
    <definedName name="Fugitive_Strm_09_Emissions" localSheetId="24">#REF!</definedName>
    <definedName name="Fugitive_Strm_09_Emissions" localSheetId="104">#REF!</definedName>
    <definedName name="Fugitive_Strm_09_Emissions" localSheetId="65">#REF!</definedName>
    <definedName name="Fugitive_Strm_09_Emissions" localSheetId="64">#REF!</definedName>
    <definedName name="Fugitive_Strm_09_Emissions" localSheetId="77">#REF!</definedName>
    <definedName name="Fugitive_Strm_09_Emissions" localSheetId="49">#REF!</definedName>
    <definedName name="Fugitive_Strm_09_Emissions" localSheetId="40">#REF!</definedName>
    <definedName name="Fugitive_Strm_09_Emissions" localSheetId="43">#REF!</definedName>
    <definedName name="Fugitive_Strm_09_Emissions" localSheetId="13">#REF!</definedName>
    <definedName name="Fugitive_Strm_09_Emissions" localSheetId="38">#REF!</definedName>
    <definedName name="Fugitive_Strm_09_Emissions">#REF!</definedName>
    <definedName name="Fugitive_Strm_10" localSheetId="3">#REF!</definedName>
    <definedName name="Fugitive_Strm_10" localSheetId="7">#REF!</definedName>
    <definedName name="Fugitive_Strm_10" localSheetId="9">#REF!</definedName>
    <definedName name="Fugitive_Strm_10" localSheetId="10">#REF!</definedName>
    <definedName name="Fugitive_Strm_10" localSheetId="15">#REF!</definedName>
    <definedName name="Fugitive_Strm_10" localSheetId="19">#REF!</definedName>
    <definedName name="Fugitive_Strm_10" localSheetId="20">#REF!</definedName>
    <definedName name="Fugitive_Strm_10" localSheetId="24">#REF!</definedName>
    <definedName name="Fugitive_Strm_10" localSheetId="104">#REF!</definedName>
    <definedName name="Fugitive_Strm_10" localSheetId="65">#REF!</definedName>
    <definedName name="Fugitive_Strm_10" localSheetId="64">#REF!</definedName>
    <definedName name="Fugitive_Strm_10" localSheetId="77">#REF!</definedName>
    <definedName name="Fugitive_Strm_10" localSheetId="49">#REF!</definedName>
    <definedName name="Fugitive_Strm_10" localSheetId="40">#REF!</definedName>
    <definedName name="Fugitive_Strm_10" localSheetId="43">#REF!</definedName>
    <definedName name="Fugitive_Strm_10" localSheetId="13">#REF!</definedName>
    <definedName name="Fugitive_Strm_10" localSheetId="38">#REF!</definedName>
    <definedName name="Fugitive_Strm_10">#REF!</definedName>
    <definedName name="Fugitive_Strm_10_Emissions" localSheetId="3">#REF!</definedName>
    <definedName name="Fugitive_Strm_10_Emissions" localSheetId="7">#REF!</definedName>
    <definedName name="Fugitive_Strm_10_Emissions" localSheetId="9">#REF!</definedName>
    <definedName name="Fugitive_Strm_10_Emissions" localSheetId="10">#REF!</definedName>
    <definedName name="Fugitive_Strm_10_Emissions" localSheetId="15">#REF!</definedName>
    <definedName name="Fugitive_Strm_10_Emissions" localSheetId="19">#REF!</definedName>
    <definedName name="Fugitive_Strm_10_Emissions" localSheetId="20">#REF!</definedName>
    <definedName name="Fugitive_Strm_10_Emissions" localSheetId="24">#REF!</definedName>
    <definedName name="Fugitive_Strm_10_Emissions" localSheetId="104">#REF!</definedName>
    <definedName name="Fugitive_Strm_10_Emissions" localSheetId="65">#REF!</definedName>
    <definedName name="Fugitive_Strm_10_Emissions" localSheetId="64">#REF!</definedName>
    <definedName name="Fugitive_Strm_10_Emissions" localSheetId="77">#REF!</definedName>
    <definedName name="Fugitive_Strm_10_Emissions" localSheetId="49">#REF!</definedName>
    <definedName name="Fugitive_Strm_10_Emissions" localSheetId="40">#REF!</definedName>
    <definedName name="Fugitive_Strm_10_Emissions" localSheetId="43">#REF!</definedName>
    <definedName name="Fugitive_Strm_10_Emissions" localSheetId="13">#REF!</definedName>
    <definedName name="Fugitive_Strm_10_Emissions" localSheetId="38">#REF!</definedName>
    <definedName name="Fugitive_Strm_10_Emissions">#REF!</definedName>
    <definedName name="Fugitive_Strm_11" localSheetId="3">#REF!</definedName>
    <definedName name="Fugitive_Strm_11" localSheetId="7">#REF!</definedName>
    <definedName name="Fugitive_Strm_11" localSheetId="9">#REF!</definedName>
    <definedName name="Fugitive_Strm_11" localSheetId="10">#REF!</definedName>
    <definedName name="Fugitive_Strm_11" localSheetId="15">#REF!</definedName>
    <definedName name="Fugitive_Strm_11" localSheetId="19">#REF!</definedName>
    <definedName name="Fugitive_Strm_11" localSheetId="20">#REF!</definedName>
    <definedName name="Fugitive_Strm_11" localSheetId="24">#REF!</definedName>
    <definedName name="Fugitive_Strm_11" localSheetId="104">#REF!</definedName>
    <definedName name="Fugitive_Strm_11" localSheetId="65">#REF!</definedName>
    <definedName name="Fugitive_Strm_11" localSheetId="64">#REF!</definedName>
    <definedName name="Fugitive_Strm_11" localSheetId="77">#REF!</definedName>
    <definedName name="Fugitive_Strm_11" localSheetId="49">#REF!</definedName>
    <definedName name="Fugitive_Strm_11" localSheetId="40">#REF!</definedName>
    <definedName name="Fugitive_Strm_11" localSheetId="43">#REF!</definedName>
    <definedName name="Fugitive_Strm_11" localSheetId="13">#REF!</definedName>
    <definedName name="Fugitive_Strm_11" localSheetId="38">#REF!</definedName>
    <definedName name="Fugitive_Strm_11">#REF!</definedName>
    <definedName name="Fugitive_Strm_11_Emissions" localSheetId="3">#REF!</definedName>
    <definedName name="Fugitive_Strm_11_Emissions" localSheetId="7">#REF!</definedName>
    <definedName name="Fugitive_Strm_11_Emissions" localSheetId="9">#REF!</definedName>
    <definedName name="Fugitive_Strm_11_Emissions" localSheetId="10">#REF!</definedName>
    <definedName name="Fugitive_Strm_11_Emissions" localSheetId="15">#REF!</definedName>
    <definedName name="Fugitive_Strm_11_Emissions" localSheetId="19">#REF!</definedName>
    <definedName name="Fugitive_Strm_11_Emissions" localSheetId="20">#REF!</definedName>
    <definedName name="Fugitive_Strm_11_Emissions" localSheetId="24">#REF!</definedName>
    <definedName name="Fugitive_Strm_11_Emissions" localSheetId="104">#REF!</definedName>
    <definedName name="Fugitive_Strm_11_Emissions" localSheetId="65">#REF!</definedName>
    <definedName name="Fugitive_Strm_11_Emissions" localSheetId="64">#REF!</definedName>
    <definedName name="Fugitive_Strm_11_Emissions" localSheetId="77">#REF!</definedName>
    <definedName name="Fugitive_Strm_11_Emissions" localSheetId="49">#REF!</definedName>
    <definedName name="Fugitive_Strm_11_Emissions" localSheetId="40">#REF!</definedName>
    <definedName name="Fugitive_Strm_11_Emissions" localSheetId="43">#REF!</definedName>
    <definedName name="Fugitive_Strm_11_Emissions" localSheetId="13">#REF!</definedName>
    <definedName name="Fugitive_Strm_11_Emissions" localSheetId="38">#REF!</definedName>
    <definedName name="Fugitive_Strm_11_Emissions">#REF!</definedName>
    <definedName name="Fugitive_Strm_12" localSheetId="3">#REF!</definedName>
    <definedName name="Fugitive_Strm_12" localSheetId="7">#REF!</definedName>
    <definedName name="Fugitive_Strm_12" localSheetId="9">#REF!</definedName>
    <definedName name="Fugitive_Strm_12" localSheetId="10">#REF!</definedName>
    <definedName name="Fugitive_Strm_12" localSheetId="15">#REF!</definedName>
    <definedName name="Fugitive_Strm_12" localSheetId="19">#REF!</definedName>
    <definedName name="Fugitive_Strm_12" localSheetId="20">#REF!</definedName>
    <definedName name="Fugitive_Strm_12" localSheetId="24">#REF!</definedName>
    <definedName name="Fugitive_Strm_12" localSheetId="104">#REF!</definedName>
    <definedName name="Fugitive_Strm_12" localSheetId="65">#REF!</definedName>
    <definedName name="Fugitive_Strm_12" localSheetId="64">#REF!</definedName>
    <definedName name="Fugitive_Strm_12" localSheetId="77">#REF!</definedName>
    <definedName name="Fugitive_Strm_12" localSheetId="49">#REF!</definedName>
    <definedName name="Fugitive_Strm_12" localSheetId="40">#REF!</definedName>
    <definedName name="Fugitive_Strm_12" localSheetId="43">#REF!</definedName>
    <definedName name="Fugitive_Strm_12" localSheetId="13">#REF!</definedName>
    <definedName name="Fugitive_Strm_12" localSheetId="38">#REF!</definedName>
    <definedName name="Fugitive_Strm_12">#REF!</definedName>
    <definedName name="Fugitive_Strm_12_Emissions" localSheetId="3">#REF!</definedName>
    <definedName name="Fugitive_Strm_12_Emissions" localSheetId="7">#REF!</definedName>
    <definedName name="Fugitive_Strm_12_Emissions" localSheetId="9">#REF!</definedName>
    <definedName name="Fugitive_Strm_12_Emissions" localSheetId="10">#REF!</definedName>
    <definedName name="Fugitive_Strm_12_Emissions" localSheetId="15">#REF!</definedName>
    <definedName name="Fugitive_Strm_12_Emissions" localSheetId="19">#REF!</definedName>
    <definedName name="Fugitive_Strm_12_Emissions" localSheetId="20">#REF!</definedName>
    <definedName name="Fugitive_Strm_12_Emissions" localSheetId="24">#REF!</definedName>
    <definedName name="Fugitive_Strm_12_Emissions" localSheetId="104">#REF!</definedName>
    <definedName name="Fugitive_Strm_12_Emissions" localSheetId="65">#REF!</definedName>
    <definedName name="Fugitive_Strm_12_Emissions" localSheetId="64">#REF!</definedName>
    <definedName name="Fugitive_Strm_12_Emissions" localSheetId="77">#REF!</definedName>
    <definedName name="Fugitive_Strm_12_Emissions" localSheetId="49">#REF!</definedName>
    <definedName name="Fugitive_Strm_12_Emissions" localSheetId="40">#REF!</definedName>
    <definedName name="Fugitive_Strm_12_Emissions" localSheetId="43">#REF!</definedName>
    <definedName name="Fugitive_Strm_12_Emissions" localSheetId="13">#REF!</definedName>
    <definedName name="Fugitive_Strm_12_Emissions" localSheetId="38">#REF!</definedName>
    <definedName name="Fugitive_Strm_12_Emissions">#REF!</definedName>
    <definedName name="Fugitive_Strm_13" localSheetId="3">#REF!</definedName>
    <definedName name="Fugitive_Strm_13" localSheetId="7">#REF!</definedName>
    <definedName name="Fugitive_Strm_13" localSheetId="9">#REF!</definedName>
    <definedName name="Fugitive_Strm_13" localSheetId="10">#REF!</definedName>
    <definedName name="Fugitive_Strm_13" localSheetId="15">#REF!</definedName>
    <definedName name="Fugitive_Strm_13" localSheetId="19">#REF!</definedName>
    <definedName name="Fugitive_Strm_13" localSheetId="20">#REF!</definedName>
    <definedName name="Fugitive_Strm_13" localSheetId="24">#REF!</definedName>
    <definedName name="Fugitive_Strm_13" localSheetId="104">#REF!</definedName>
    <definedName name="Fugitive_Strm_13" localSheetId="65">#REF!</definedName>
    <definedName name="Fugitive_Strm_13" localSheetId="64">#REF!</definedName>
    <definedName name="Fugitive_Strm_13" localSheetId="77">#REF!</definedName>
    <definedName name="Fugitive_Strm_13" localSheetId="49">#REF!</definedName>
    <definedName name="Fugitive_Strm_13" localSheetId="40">#REF!</definedName>
    <definedName name="Fugitive_Strm_13" localSheetId="43">#REF!</definedName>
    <definedName name="Fugitive_Strm_13" localSheetId="13">#REF!</definedName>
    <definedName name="Fugitive_Strm_13" localSheetId="38">#REF!</definedName>
    <definedName name="Fugitive_Strm_13">#REF!</definedName>
    <definedName name="Fugitive_Strm_13_Emissions" localSheetId="3">#REF!</definedName>
    <definedName name="Fugitive_Strm_13_Emissions" localSheetId="7">#REF!</definedName>
    <definedName name="Fugitive_Strm_13_Emissions" localSheetId="9">#REF!</definedName>
    <definedName name="Fugitive_Strm_13_Emissions" localSheetId="10">#REF!</definedName>
    <definedName name="Fugitive_Strm_13_Emissions" localSheetId="15">#REF!</definedName>
    <definedName name="Fugitive_Strm_13_Emissions" localSheetId="19">#REF!</definedName>
    <definedName name="Fugitive_Strm_13_Emissions" localSheetId="20">#REF!</definedName>
    <definedName name="Fugitive_Strm_13_Emissions" localSheetId="24">#REF!</definedName>
    <definedName name="Fugitive_Strm_13_Emissions" localSheetId="104">#REF!</definedName>
    <definedName name="Fugitive_Strm_13_Emissions" localSheetId="65">#REF!</definedName>
    <definedName name="Fugitive_Strm_13_Emissions" localSheetId="64">#REF!</definedName>
    <definedName name="Fugitive_Strm_13_Emissions" localSheetId="77">#REF!</definedName>
    <definedName name="Fugitive_Strm_13_Emissions" localSheetId="49">#REF!</definedName>
    <definedName name="Fugitive_Strm_13_Emissions" localSheetId="40">#REF!</definedName>
    <definedName name="Fugitive_Strm_13_Emissions" localSheetId="43">#REF!</definedName>
    <definedName name="Fugitive_Strm_13_Emissions" localSheetId="13">#REF!</definedName>
    <definedName name="Fugitive_Strm_13_Emissions" localSheetId="38">#REF!</definedName>
    <definedName name="Fugitive_Strm_13_Emissions">#REF!</definedName>
    <definedName name="Fugitive_Strm_14" localSheetId="3">#REF!</definedName>
    <definedName name="Fugitive_Strm_14" localSheetId="7">#REF!</definedName>
    <definedName name="Fugitive_Strm_14" localSheetId="9">#REF!</definedName>
    <definedName name="Fugitive_Strm_14" localSheetId="10">#REF!</definedName>
    <definedName name="Fugitive_Strm_14" localSheetId="15">#REF!</definedName>
    <definedName name="Fugitive_Strm_14" localSheetId="19">#REF!</definedName>
    <definedName name="Fugitive_Strm_14" localSheetId="20">#REF!</definedName>
    <definedName name="Fugitive_Strm_14" localSheetId="24">#REF!</definedName>
    <definedName name="Fugitive_Strm_14" localSheetId="104">#REF!</definedName>
    <definedName name="Fugitive_Strm_14" localSheetId="65">#REF!</definedName>
    <definedName name="Fugitive_Strm_14" localSheetId="64">#REF!</definedName>
    <definedName name="Fugitive_Strm_14" localSheetId="77">#REF!</definedName>
    <definedName name="Fugitive_Strm_14" localSheetId="49">#REF!</definedName>
    <definedName name="Fugitive_Strm_14" localSheetId="40">#REF!</definedName>
    <definedName name="Fugitive_Strm_14" localSheetId="43">#REF!</definedName>
    <definedName name="Fugitive_Strm_14" localSheetId="13">#REF!</definedName>
    <definedName name="Fugitive_Strm_14" localSheetId="38">#REF!</definedName>
    <definedName name="Fugitive_Strm_14">#REF!</definedName>
    <definedName name="Fugitive_Strm_14_Emissions" localSheetId="3">#REF!</definedName>
    <definedName name="Fugitive_Strm_14_Emissions" localSheetId="7">#REF!</definedName>
    <definedName name="Fugitive_Strm_14_Emissions" localSheetId="9">#REF!</definedName>
    <definedName name="Fugitive_Strm_14_Emissions" localSheetId="10">#REF!</definedName>
    <definedName name="Fugitive_Strm_14_Emissions" localSheetId="15">#REF!</definedName>
    <definedName name="Fugitive_Strm_14_Emissions" localSheetId="19">#REF!</definedName>
    <definedName name="Fugitive_Strm_14_Emissions" localSheetId="20">#REF!</definedName>
    <definedName name="Fugitive_Strm_14_Emissions" localSheetId="24">#REF!</definedName>
    <definedName name="Fugitive_Strm_14_Emissions" localSheetId="104">#REF!</definedName>
    <definedName name="Fugitive_Strm_14_Emissions" localSheetId="65">#REF!</definedName>
    <definedName name="Fugitive_Strm_14_Emissions" localSheetId="64">#REF!</definedName>
    <definedName name="Fugitive_Strm_14_Emissions" localSheetId="77">#REF!</definedName>
    <definedName name="Fugitive_Strm_14_Emissions" localSheetId="49">#REF!</definedName>
    <definedName name="Fugitive_Strm_14_Emissions" localSheetId="40">#REF!</definedName>
    <definedName name="Fugitive_Strm_14_Emissions" localSheetId="43">#REF!</definedName>
    <definedName name="Fugitive_Strm_14_Emissions" localSheetId="13">#REF!</definedName>
    <definedName name="Fugitive_Strm_14_Emissions" localSheetId="38">#REF!</definedName>
    <definedName name="Fugitive_Strm_14_Emissions">#REF!</definedName>
    <definedName name="Fugitive_Strm_15" localSheetId="3">#REF!</definedName>
    <definedName name="Fugitive_Strm_15" localSheetId="7">#REF!</definedName>
    <definedName name="Fugitive_Strm_15" localSheetId="9">#REF!</definedName>
    <definedName name="Fugitive_Strm_15" localSheetId="10">#REF!</definedName>
    <definedName name="Fugitive_Strm_15" localSheetId="15">#REF!</definedName>
    <definedName name="Fugitive_Strm_15" localSheetId="19">#REF!</definedName>
    <definedName name="Fugitive_Strm_15" localSheetId="20">#REF!</definedName>
    <definedName name="Fugitive_Strm_15" localSheetId="24">#REF!</definedName>
    <definedName name="Fugitive_Strm_15" localSheetId="104">#REF!</definedName>
    <definedName name="Fugitive_Strm_15" localSheetId="65">#REF!</definedName>
    <definedName name="Fugitive_Strm_15" localSheetId="64">#REF!</definedName>
    <definedName name="Fugitive_Strm_15" localSheetId="77">#REF!</definedName>
    <definedName name="Fugitive_Strm_15" localSheetId="49">#REF!</definedName>
    <definedName name="Fugitive_Strm_15" localSheetId="40">#REF!</definedName>
    <definedName name="Fugitive_Strm_15" localSheetId="43">#REF!</definedName>
    <definedName name="Fugitive_Strm_15" localSheetId="13">#REF!</definedName>
    <definedName name="Fugitive_Strm_15" localSheetId="38">#REF!</definedName>
    <definedName name="Fugitive_Strm_15">#REF!</definedName>
    <definedName name="Fugitive_Strm_15_Emissions" localSheetId="3">#REF!</definedName>
    <definedName name="Fugitive_Strm_15_Emissions" localSheetId="7">#REF!</definedName>
    <definedName name="Fugitive_Strm_15_Emissions" localSheetId="9">#REF!</definedName>
    <definedName name="Fugitive_Strm_15_Emissions" localSheetId="10">#REF!</definedName>
    <definedName name="Fugitive_Strm_15_Emissions" localSheetId="15">#REF!</definedName>
    <definedName name="Fugitive_Strm_15_Emissions" localSheetId="19">#REF!</definedName>
    <definedName name="Fugitive_Strm_15_Emissions" localSheetId="20">#REF!</definedName>
    <definedName name="Fugitive_Strm_15_Emissions" localSheetId="24">#REF!</definedName>
    <definedName name="Fugitive_Strm_15_Emissions" localSheetId="104">#REF!</definedName>
    <definedName name="Fugitive_Strm_15_Emissions" localSheetId="65">#REF!</definedName>
    <definedName name="Fugitive_Strm_15_Emissions" localSheetId="64">#REF!</definedName>
    <definedName name="Fugitive_Strm_15_Emissions" localSheetId="77">#REF!</definedName>
    <definedName name="Fugitive_Strm_15_Emissions" localSheetId="49">#REF!</definedName>
    <definedName name="Fugitive_Strm_15_Emissions" localSheetId="40">#REF!</definedName>
    <definedName name="Fugitive_Strm_15_Emissions" localSheetId="43">#REF!</definedName>
    <definedName name="Fugitive_Strm_15_Emissions" localSheetId="13">#REF!</definedName>
    <definedName name="Fugitive_Strm_15_Emissions" localSheetId="38">#REF!</definedName>
    <definedName name="Fugitive_Strm_15_Emissions">#REF!</definedName>
    <definedName name="Fugitive_Strm_16" localSheetId="3">#REF!</definedName>
    <definedName name="Fugitive_Strm_16" localSheetId="7">#REF!</definedName>
    <definedName name="Fugitive_Strm_16" localSheetId="9">#REF!</definedName>
    <definedName name="Fugitive_Strm_16" localSheetId="10">#REF!</definedName>
    <definedName name="Fugitive_Strm_16" localSheetId="15">#REF!</definedName>
    <definedName name="Fugitive_Strm_16" localSheetId="19">#REF!</definedName>
    <definedName name="Fugitive_Strm_16" localSheetId="20">#REF!</definedName>
    <definedName name="Fugitive_Strm_16" localSheetId="24">#REF!</definedName>
    <definedName name="Fugitive_Strm_16" localSheetId="104">#REF!</definedName>
    <definedName name="Fugitive_Strm_16" localSheetId="65">#REF!</definedName>
    <definedName name="Fugitive_Strm_16" localSheetId="64">#REF!</definedName>
    <definedName name="Fugitive_Strm_16" localSheetId="77">#REF!</definedName>
    <definedName name="Fugitive_Strm_16" localSheetId="49">#REF!</definedName>
    <definedName name="Fugitive_Strm_16" localSheetId="40">#REF!</definedName>
    <definedName name="Fugitive_Strm_16" localSheetId="43">#REF!</definedName>
    <definedName name="Fugitive_Strm_16" localSheetId="13">#REF!</definedName>
    <definedName name="Fugitive_Strm_16" localSheetId="38">#REF!</definedName>
    <definedName name="Fugitive_Strm_16">#REF!</definedName>
    <definedName name="Fugitive_Strm_16_Emissions" localSheetId="3">#REF!</definedName>
    <definedName name="Fugitive_Strm_16_Emissions" localSheetId="7">#REF!</definedName>
    <definedName name="Fugitive_Strm_16_Emissions" localSheetId="9">#REF!</definedName>
    <definedName name="Fugitive_Strm_16_Emissions" localSheetId="10">#REF!</definedName>
    <definedName name="Fugitive_Strm_16_Emissions" localSheetId="15">#REF!</definedName>
    <definedName name="Fugitive_Strm_16_Emissions" localSheetId="19">#REF!</definedName>
    <definedName name="Fugitive_Strm_16_Emissions" localSheetId="20">#REF!</definedName>
    <definedName name="Fugitive_Strm_16_Emissions" localSheetId="24">#REF!</definedName>
    <definedName name="Fugitive_Strm_16_Emissions" localSheetId="104">#REF!</definedName>
    <definedName name="Fugitive_Strm_16_Emissions" localSheetId="65">#REF!</definedName>
    <definedName name="Fugitive_Strm_16_Emissions" localSheetId="64">#REF!</definedName>
    <definedName name="Fugitive_Strm_16_Emissions" localSheetId="77">#REF!</definedName>
    <definedName name="Fugitive_Strm_16_Emissions" localSheetId="49">#REF!</definedName>
    <definedName name="Fugitive_Strm_16_Emissions" localSheetId="40">#REF!</definedName>
    <definedName name="Fugitive_Strm_16_Emissions" localSheetId="43">#REF!</definedName>
    <definedName name="Fugitive_Strm_16_Emissions" localSheetId="13">#REF!</definedName>
    <definedName name="Fugitive_Strm_16_Emissions" localSheetId="38">#REF!</definedName>
    <definedName name="Fugitive_Strm_16_Emissions">#REF!</definedName>
    <definedName name="Fugitive_Strm_17" localSheetId="3">#REF!</definedName>
    <definedName name="Fugitive_Strm_17" localSheetId="7">#REF!</definedName>
    <definedName name="Fugitive_Strm_17" localSheetId="9">#REF!</definedName>
    <definedName name="Fugitive_Strm_17" localSheetId="10">#REF!</definedName>
    <definedName name="Fugitive_Strm_17" localSheetId="15">#REF!</definedName>
    <definedName name="Fugitive_Strm_17" localSheetId="19">#REF!</definedName>
    <definedName name="Fugitive_Strm_17" localSheetId="20">#REF!</definedName>
    <definedName name="Fugitive_Strm_17" localSheetId="24">#REF!</definedName>
    <definedName name="Fugitive_Strm_17" localSheetId="104">#REF!</definedName>
    <definedName name="Fugitive_Strm_17" localSheetId="65">#REF!</definedName>
    <definedName name="Fugitive_Strm_17" localSheetId="64">#REF!</definedName>
    <definedName name="Fugitive_Strm_17" localSheetId="77">#REF!</definedName>
    <definedName name="Fugitive_Strm_17" localSheetId="49">#REF!</definedName>
    <definedName name="Fugitive_Strm_17" localSheetId="40">#REF!</definedName>
    <definedName name="Fugitive_Strm_17" localSheetId="43">#REF!</definedName>
    <definedName name="Fugitive_Strm_17" localSheetId="13">#REF!</definedName>
    <definedName name="Fugitive_Strm_17" localSheetId="38">#REF!</definedName>
    <definedName name="Fugitive_Strm_17">#REF!</definedName>
    <definedName name="Fugitive_Strm_17_Emissions" localSheetId="3">#REF!</definedName>
    <definedName name="Fugitive_Strm_17_Emissions" localSheetId="7">#REF!</definedName>
    <definedName name="Fugitive_Strm_17_Emissions" localSheetId="9">#REF!</definedName>
    <definedName name="Fugitive_Strm_17_Emissions" localSheetId="10">#REF!</definedName>
    <definedName name="Fugitive_Strm_17_Emissions" localSheetId="15">#REF!</definedName>
    <definedName name="Fugitive_Strm_17_Emissions" localSheetId="19">#REF!</definedName>
    <definedName name="Fugitive_Strm_17_Emissions" localSheetId="20">#REF!</definedName>
    <definedName name="Fugitive_Strm_17_Emissions" localSheetId="24">#REF!</definedName>
    <definedName name="Fugitive_Strm_17_Emissions" localSheetId="104">#REF!</definedName>
    <definedName name="Fugitive_Strm_17_Emissions" localSheetId="65">#REF!</definedName>
    <definedName name="Fugitive_Strm_17_Emissions" localSheetId="64">#REF!</definedName>
    <definedName name="Fugitive_Strm_17_Emissions" localSheetId="77">#REF!</definedName>
    <definedName name="Fugitive_Strm_17_Emissions" localSheetId="49">#REF!</definedName>
    <definedName name="Fugitive_Strm_17_Emissions" localSheetId="40">#REF!</definedName>
    <definedName name="Fugitive_Strm_17_Emissions" localSheetId="43">#REF!</definedName>
    <definedName name="Fugitive_Strm_17_Emissions" localSheetId="13">#REF!</definedName>
    <definedName name="Fugitive_Strm_17_Emissions" localSheetId="38">#REF!</definedName>
    <definedName name="Fugitive_Strm_17_Emissions">#REF!</definedName>
    <definedName name="Fugitive_Strm_18" localSheetId="3">#REF!</definedName>
    <definedName name="Fugitive_Strm_18" localSheetId="7">#REF!</definedName>
    <definedName name="Fugitive_Strm_18" localSheetId="9">#REF!</definedName>
    <definedName name="Fugitive_Strm_18" localSheetId="10">#REF!</definedName>
    <definedName name="Fugitive_Strm_18" localSheetId="15">#REF!</definedName>
    <definedName name="Fugitive_Strm_18" localSheetId="19">#REF!</definedName>
    <definedName name="Fugitive_Strm_18" localSheetId="20">#REF!</definedName>
    <definedName name="Fugitive_Strm_18" localSheetId="24">#REF!</definedName>
    <definedName name="Fugitive_Strm_18" localSheetId="104">#REF!</definedName>
    <definedName name="Fugitive_Strm_18" localSheetId="65">#REF!</definedName>
    <definedName name="Fugitive_Strm_18" localSheetId="64">#REF!</definedName>
    <definedName name="Fugitive_Strm_18" localSheetId="77">#REF!</definedName>
    <definedName name="Fugitive_Strm_18" localSheetId="49">#REF!</definedName>
    <definedName name="Fugitive_Strm_18" localSheetId="40">#REF!</definedName>
    <definedName name="Fugitive_Strm_18" localSheetId="43">#REF!</definedName>
    <definedName name="Fugitive_Strm_18" localSheetId="13">#REF!</definedName>
    <definedName name="Fugitive_Strm_18" localSheetId="38">#REF!</definedName>
    <definedName name="Fugitive_Strm_18">#REF!</definedName>
    <definedName name="Fugitive_Strm_18_Emissions" localSheetId="3">#REF!</definedName>
    <definedName name="Fugitive_Strm_18_Emissions" localSheetId="7">#REF!</definedName>
    <definedName name="Fugitive_Strm_18_Emissions" localSheetId="9">#REF!</definedName>
    <definedName name="Fugitive_Strm_18_Emissions" localSheetId="10">#REF!</definedName>
    <definedName name="Fugitive_Strm_18_Emissions" localSheetId="15">#REF!</definedName>
    <definedName name="Fugitive_Strm_18_Emissions" localSheetId="19">#REF!</definedName>
    <definedName name="Fugitive_Strm_18_Emissions" localSheetId="20">#REF!</definedName>
    <definedName name="Fugitive_Strm_18_Emissions" localSheetId="24">#REF!</definedName>
    <definedName name="Fugitive_Strm_18_Emissions" localSheetId="104">#REF!</definedName>
    <definedName name="Fugitive_Strm_18_Emissions" localSheetId="65">#REF!</definedName>
    <definedName name="Fugitive_Strm_18_Emissions" localSheetId="64">#REF!</definedName>
    <definedName name="Fugitive_Strm_18_Emissions" localSheetId="77">#REF!</definedName>
    <definedName name="Fugitive_Strm_18_Emissions" localSheetId="49">#REF!</definedName>
    <definedName name="Fugitive_Strm_18_Emissions" localSheetId="40">#REF!</definedName>
    <definedName name="Fugitive_Strm_18_Emissions" localSheetId="43">#REF!</definedName>
    <definedName name="Fugitive_Strm_18_Emissions" localSheetId="13">#REF!</definedName>
    <definedName name="Fugitive_Strm_18_Emissions" localSheetId="38">#REF!</definedName>
    <definedName name="Fugitive_Strm_18_Emissions">#REF!</definedName>
    <definedName name="Fugitive_Strm_19" localSheetId="3">#REF!</definedName>
    <definedName name="Fugitive_Strm_19" localSheetId="7">#REF!</definedName>
    <definedName name="Fugitive_Strm_19" localSheetId="9">#REF!</definedName>
    <definedName name="Fugitive_Strm_19" localSheetId="10">#REF!</definedName>
    <definedName name="Fugitive_Strm_19" localSheetId="15">#REF!</definedName>
    <definedName name="Fugitive_Strm_19" localSheetId="19">#REF!</definedName>
    <definedName name="Fugitive_Strm_19" localSheetId="20">#REF!</definedName>
    <definedName name="Fugitive_Strm_19" localSheetId="24">#REF!</definedName>
    <definedName name="Fugitive_Strm_19" localSheetId="104">#REF!</definedName>
    <definedName name="Fugitive_Strm_19" localSheetId="65">#REF!</definedName>
    <definedName name="Fugitive_Strm_19" localSheetId="64">#REF!</definedName>
    <definedName name="Fugitive_Strm_19" localSheetId="77">#REF!</definedName>
    <definedName name="Fugitive_Strm_19" localSheetId="49">#REF!</definedName>
    <definedName name="Fugitive_Strm_19" localSheetId="40">#REF!</definedName>
    <definedName name="Fugitive_Strm_19" localSheetId="43">#REF!</definedName>
    <definedName name="Fugitive_Strm_19" localSheetId="13">#REF!</definedName>
    <definedName name="Fugitive_Strm_19" localSheetId="38">#REF!</definedName>
    <definedName name="Fugitive_Strm_19">#REF!</definedName>
    <definedName name="Fugitive_Strm_19_Emissions" localSheetId="3">#REF!</definedName>
    <definedName name="Fugitive_Strm_19_Emissions" localSheetId="7">#REF!</definedName>
    <definedName name="Fugitive_Strm_19_Emissions" localSheetId="9">#REF!</definedName>
    <definedName name="Fugitive_Strm_19_Emissions" localSheetId="10">#REF!</definedName>
    <definedName name="Fugitive_Strm_19_Emissions" localSheetId="15">#REF!</definedName>
    <definedName name="Fugitive_Strm_19_Emissions" localSheetId="19">#REF!</definedName>
    <definedName name="Fugitive_Strm_19_Emissions" localSheetId="20">#REF!</definedName>
    <definedName name="Fugitive_Strm_19_Emissions" localSheetId="24">#REF!</definedName>
    <definedName name="Fugitive_Strm_19_Emissions" localSheetId="104">#REF!</definedName>
    <definedName name="Fugitive_Strm_19_Emissions" localSheetId="65">#REF!</definedName>
    <definedName name="Fugitive_Strm_19_Emissions" localSheetId="64">#REF!</definedName>
    <definedName name="Fugitive_Strm_19_Emissions" localSheetId="77">#REF!</definedName>
    <definedName name="Fugitive_Strm_19_Emissions" localSheetId="49">#REF!</definedName>
    <definedName name="Fugitive_Strm_19_Emissions" localSheetId="40">#REF!</definedName>
    <definedName name="Fugitive_Strm_19_Emissions" localSheetId="43">#REF!</definedName>
    <definedName name="Fugitive_Strm_19_Emissions" localSheetId="13">#REF!</definedName>
    <definedName name="Fugitive_Strm_19_Emissions" localSheetId="38">#REF!</definedName>
    <definedName name="Fugitive_Strm_19_Emissions">#REF!</definedName>
    <definedName name="Fugitive_Strm_20" localSheetId="3">#REF!</definedName>
    <definedName name="Fugitive_Strm_20" localSheetId="7">#REF!</definedName>
    <definedName name="Fugitive_Strm_20" localSheetId="9">#REF!</definedName>
    <definedName name="Fugitive_Strm_20" localSheetId="10">#REF!</definedName>
    <definedName name="Fugitive_Strm_20" localSheetId="15">#REF!</definedName>
    <definedName name="Fugitive_Strm_20" localSheetId="19">#REF!</definedName>
    <definedName name="Fugitive_Strm_20" localSheetId="20">#REF!</definedName>
    <definedName name="Fugitive_Strm_20" localSheetId="24">#REF!</definedName>
    <definedName name="Fugitive_Strm_20" localSheetId="104">#REF!</definedName>
    <definedName name="Fugitive_Strm_20" localSheetId="65">#REF!</definedName>
    <definedName name="Fugitive_Strm_20" localSheetId="64">#REF!</definedName>
    <definedName name="Fugitive_Strm_20" localSheetId="77">#REF!</definedName>
    <definedName name="Fugitive_Strm_20" localSheetId="49">#REF!</definedName>
    <definedName name="Fugitive_Strm_20" localSheetId="40">#REF!</definedName>
    <definedName name="Fugitive_Strm_20" localSheetId="43">#REF!</definedName>
    <definedName name="Fugitive_Strm_20" localSheetId="13">#REF!</definedName>
    <definedName name="Fugitive_Strm_20" localSheetId="38">#REF!</definedName>
    <definedName name="Fugitive_Strm_20">#REF!</definedName>
    <definedName name="Fugitive_Strm_20_Emissions" localSheetId="3">#REF!</definedName>
    <definedName name="Fugitive_Strm_20_Emissions" localSheetId="7">#REF!</definedName>
    <definedName name="Fugitive_Strm_20_Emissions" localSheetId="9">#REF!</definedName>
    <definedName name="Fugitive_Strm_20_Emissions" localSheetId="10">#REF!</definedName>
    <definedName name="Fugitive_Strm_20_Emissions" localSheetId="15">#REF!</definedName>
    <definedName name="Fugitive_Strm_20_Emissions" localSheetId="19">#REF!</definedName>
    <definedName name="Fugitive_Strm_20_Emissions" localSheetId="20">#REF!</definedName>
    <definedName name="Fugitive_Strm_20_Emissions" localSheetId="24">#REF!</definedName>
    <definedName name="Fugitive_Strm_20_Emissions" localSheetId="104">#REF!</definedName>
    <definedName name="Fugitive_Strm_20_Emissions" localSheetId="65">#REF!</definedName>
    <definedName name="Fugitive_Strm_20_Emissions" localSheetId="64">#REF!</definedName>
    <definedName name="Fugitive_Strm_20_Emissions" localSheetId="77">#REF!</definedName>
    <definedName name="Fugitive_Strm_20_Emissions" localSheetId="49">#REF!</definedName>
    <definedName name="Fugitive_Strm_20_Emissions" localSheetId="40">#REF!</definedName>
    <definedName name="Fugitive_Strm_20_Emissions" localSheetId="43">#REF!</definedName>
    <definedName name="Fugitive_Strm_20_Emissions" localSheetId="13">#REF!</definedName>
    <definedName name="Fugitive_Strm_20_Emissions" localSheetId="38">#REF!</definedName>
    <definedName name="Fugitive_Strm_20_Emissions">#REF!</definedName>
    <definedName name="Fugitive_Strm_List" localSheetId="3">#REF!</definedName>
    <definedName name="Fugitive_Strm_List" localSheetId="7">#REF!</definedName>
    <definedName name="Fugitive_Strm_List" localSheetId="9">#REF!</definedName>
    <definedName name="Fugitive_Strm_List" localSheetId="10">#REF!</definedName>
    <definedName name="Fugitive_Strm_List" localSheetId="15">#REF!</definedName>
    <definedName name="Fugitive_Strm_List" localSheetId="19">#REF!</definedName>
    <definedName name="Fugitive_Strm_List" localSheetId="20">#REF!</definedName>
    <definedName name="Fugitive_Strm_List" localSheetId="24">#REF!</definedName>
    <definedName name="Fugitive_Strm_List" localSheetId="104">#REF!</definedName>
    <definedName name="Fugitive_Strm_List" localSheetId="65">#REF!</definedName>
    <definedName name="Fugitive_Strm_List" localSheetId="64">#REF!</definedName>
    <definedName name="Fugitive_Strm_List" localSheetId="77">#REF!</definedName>
    <definedName name="Fugitive_Strm_List" localSheetId="49">#REF!</definedName>
    <definedName name="Fugitive_Strm_List" localSheetId="40">#REF!</definedName>
    <definedName name="Fugitive_Strm_List" localSheetId="43">#REF!</definedName>
    <definedName name="Fugitive_Strm_List" localSheetId="13">#REF!</definedName>
    <definedName name="Fugitive_Strm_List" localSheetId="38">#REF!</definedName>
    <definedName name="Fugitive_Strm_List">#REF!</definedName>
    <definedName name="Fugitive_Top" localSheetId="3">#REF!</definedName>
    <definedName name="Fugitive_Top" localSheetId="7">#REF!</definedName>
    <definedName name="Fugitive_Top" localSheetId="9">#REF!</definedName>
    <definedName name="Fugitive_Top" localSheetId="10">#REF!</definedName>
    <definedName name="Fugitive_Top" localSheetId="15">#REF!</definedName>
    <definedName name="Fugitive_Top" localSheetId="19">#REF!</definedName>
    <definedName name="Fugitive_Top" localSheetId="20">#REF!</definedName>
    <definedName name="Fugitive_Top" localSheetId="24">#REF!</definedName>
    <definedName name="Fugitive_Top" localSheetId="104">#REF!</definedName>
    <definedName name="Fugitive_Top" localSheetId="65">#REF!</definedName>
    <definedName name="Fugitive_Top" localSheetId="64">#REF!</definedName>
    <definedName name="Fugitive_Top" localSheetId="77">#REF!</definedName>
    <definedName name="Fugitive_Top" localSheetId="49">#REF!</definedName>
    <definedName name="Fugitive_Top" localSheetId="40">#REF!</definedName>
    <definedName name="Fugitive_Top" localSheetId="43">#REF!</definedName>
    <definedName name="Fugitive_Top" localSheetId="13">#REF!</definedName>
    <definedName name="Fugitive_Top" localSheetId="38">#REF!</definedName>
    <definedName name="Fugitive_Top">#REF!</definedName>
    <definedName name="furnacesI" localSheetId="3">#REF!</definedName>
    <definedName name="furnacesI" localSheetId="7">#REF!</definedName>
    <definedName name="furnacesI" localSheetId="9">#REF!</definedName>
    <definedName name="furnacesI" localSheetId="10">#REF!</definedName>
    <definedName name="furnacesI" localSheetId="15">#REF!</definedName>
    <definedName name="furnacesI" localSheetId="19">#REF!</definedName>
    <definedName name="furnacesI" localSheetId="20">#REF!</definedName>
    <definedName name="furnacesI" localSheetId="24">#REF!</definedName>
    <definedName name="furnacesI" localSheetId="104">#REF!</definedName>
    <definedName name="furnacesI" localSheetId="65">#REF!</definedName>
    <definedName name="furnacesI" localSheetId="64">#REF!</definedName>
    <definedName name="furnacesI" localSheetId="77">#REF!</definedName>
    <definedName name="furnacesI" localSheetId="49">#REF!</definedName>
    <definedName name="furnacesI" localSheetId="40">#REF!</definedName>
    <definedName name="furnacesI" localSheetId="43">#REF!</definedName>
    <definedName name="furnacesI" localSheetId="13">#REF!</definedName>
    <definedName name="furnacesI" localSheetId="38">#REF!</definedName>
    <definedName name="furnacesI">#REF!</definedName>
    <definedName name="FurnacesT" localSheetId="3">#REF!</definedName>
    <definedName name="FurnacesT" localSheetId="7">#REF!</definedName>
    <definedName name="FurnacesT" localSheetId="9">#REF!</definedName>
    <definedName name="FurnacesT" localSheetId="10">#REF!</definedName>
    <definedName name="FurnacesT" localSheetId="15">#REF!</definedName>
    <definedName name="FurnacesT" localSheetId="19">#REF!</definedName>
    <definedName name="FurnacesT" localSheetId="20">#REF!</definedName>
    <definedName name="FurnacesT" localSheetId="24">#REF!</definedName>
    <definedName name="FurnacesT" localSheetId="104">#REF!</definedName>
    <definedName name="FurnacesT" localSheetId="65">#REF!</definedName>
    <definedName name="FurnacesT" localSheetId="64">#REF!</definedName>
    <definedName name="FurnacesT" localSheetId="77">#REF!</definedName>
    <definedName name="FurnacesT" localSheetId="49">#REF!</definedName>
    <definedName name="FurnacesT" localSheetId="40">#REF!</definedName>
    <definedName name="FurnacesT" localSheetId="43">#REF!</definedName>
    <definedName name="FurnacesT" localSheetId="13">#REF!</definedName>
    <definedName name="FurnacesT" localSheetId="38">#REF!</definedName>
    <definedName name="FurnacesT">#REF!</definedName>
    <definedName name="future_peak" localSheetId="3">#REF!</definedName>
    <definedName name="future_peak" localSheetId="7">#REF!</definedName>
    <definedName name="future_peak" localSheetId="9">#REF!</definedName>
    <definedName name="future_peak" localSheetId="10">#REF!</definedName>
    <definedName name="future_peak" localSheetId="15">#REF!</definedName>
    <definedName name="future_peak" localSheetId="19">#REF!</definedName>
    <definedName name="future_peak" localSheetId="20">#REF!</definedName>
    <definedName name="future_peak" localSheetId="24">#REF!</definedName>
    <definedName name="future_peak" localSheetId="104">#REF!</definedName>
    <definedName name="future_peak" localSheetId="65">#REF!</definedName>
    <definedName name="future_peak" localSheetId="64">#REF!</definedName>
    <definedName name="future_peak" localSheetId="77">#REF!</definedName>
    <definedName name="future_peak" localSheetId="49">#REF!</definedName>
    <definedName name="future_peak" localSheetId="40">#REF!</definedName>
    <definedName name="future_peak" localSheetId="43">#REF!</definedName>
    <definedName name="future_peak" localSheetId="13">#REF!</definedName>
    <definedName name="future_peak" localSheetId="38">#REF!</definedName>
    <definedName name="future_peak">#REF!</definedName>
    <definedName name="FW.001" localSheetId="3">#REF!</definedName>
    <definedName name="FW.001" localSheetId="7">#REF!</definedName>
    <definedName name="FW.001" localSheetId="9">#REF!</definedName>
    <definedName name="FW.001" localSheetId="10">#REF!</definedName>
    <definedName name="FW.001" localSheetId="15">#REF!</definedName>
    <definedName name="FW.001" localSheetId="19">#REF!</definedName>
    <definedName name="FW.001" localSheetId="20">#REF!</definedName>
    <definedName name="FW.001" localSheetId="24">#REF!</definedName>
    <definedName name="FW.001" localSheetId="104">#REF!</definedName>
    <definedName name="FW.001" localSheetId="65">#REF!</definedName>
    <definedName name="FW.001" localSheetId="64">#REF!</definedName>
    <definedName name="FW.001" localSheetId="77">#REF!</definedName>
    <definedName name="FW.001" localSheetId="49">#REF!</definedName>
    <definedName name="FW.001" localSheetId="40">#REF!</definedName>
    <definedName name="FW.001" localSheetId="43">#REF!</definedName>
    <definedName name="FW.001" localSheetId="13">#REF!</definedName>
    <definedName name="FW.001" localSheetId="38">#REF!</definedName>
    <definedName name="FW.001">#REF!</definedName>
    <definedName name="FW.002" localSheetId="3">#REF!</definedName>
    <definedName name="FW.002" localSheetId="7">#REF!</definedName>
    <definedName name="FW.002" localSheetId="9">#REF!</definedName>
    <definedName name="FW.002" localSheetId="10">#REF!</definedName>
    <definedName name="FW.002" localSheetId="15">#REF!</definedName>
    <definedName name="FW.002" localSheetId="19">#REF!</definedName>
    <definedName name="FW.002" localSheetId="20">#REF!</definedName>
    <definedName name="FW.002" localSheetId="24">#REF!</definedName>
    <definedName name="FW.002" localSheetId="104">#REF!</definedName>
    <definedName name="FW.002" localSheetId="65">#REF!</definedName>
    <definedName name="FW.002" localSheetId="64">#REF!</definedName>
    <definedName name="FW.002" localSheetId="77">#REF!</definedName>
    <definedName name="FW.002" localSheetId="49">#REF!</definedName>
    <definedName name="FW.002" localSheetId="40">#REF!</definedName>
    <definedName name="FW.002" localSheetId="43">#REF!</definedName>
    <definedName name="FW.002" localSheetId="13">#REF!</definedName>
    <definedName name="FW.002" localSheetId="38">#REF!</definedName>
    <definedName name="FW.002">#REF!</definedName>
    <definedName name="FW.003" localSheetId="3">#REF!</definedName>
    <definedName name="FW.003" localSheetId="7">#REF!</definedName>
    <definedName name="FW.003" localSheetId="9">#REF!</definedName>
    <definedName name="FW.003" localSheetId="10">#REF!</definedName>
    <definedName name="FW.003" localSheetId="15">#REF!</definedName>
    <definedName name="FW.003" localSheetId="19">#REF!</definedName>
    <definedName name="FW.003" localSheetId="20">#REF!</definedName>
    <definedName name="FW.003" localSheetId="24">#REF!</definedName>
    <definedName name="FW.003" localSheetId="104">#REF!</definedName>
    <definedName name="FW.003" localSheetId="65">#REF!</definedName>
    <definedName name="FW.003" localSheetId="64">#REF!</definedName>
    <definedName name="FW.003" localSheetId="77">#REF!</definedName>
    <definedName name="FW.003" localSheetId="49">#REF!</definedName>
    <definedName name="FW.003" localSheetId="40">#REF!</definedName>
    <definedName name="FW.003" localSheetId="43">#REF!</definedName>
    <definedName name="FW.003" localSheetId="13">#REF!</definedName>
    <definedName name="FW.003" localSheetId="38">#REF!</definedName>
    <definedName name="FW.003">#REF!</definedName>
    <definedName name="FW.004" localSheetId="3">#REF!</definedName>
    <definedName name="FW.004" localSheetId="7">#REF!</definedName>
    <definedName name="FW.004" localSheetId="9">#REF!</definedName>
    <definedName name="FW.004" localSheetId="10">#REF!</definedName>
    <definedName name="FW.004" localSheetId="15">#REF!</definedName>
    <definedName name="FW.004" localSheetId="19">#REF!</definedName>
    <definedName name="FW.004" localSheetId="20">#REF!</definedName>
    <definedName name="FW.004" localSheetId="24">#REF!</definedName>
    <definedName name="FW.004" localSheetId="104">#REF!</definedName>
    <definedName name="FW.004" localSheetId="65">#REF!</definedName>
    <definedName name="FW.004" localSheetId="64">#REF!</definedName>
    <definedName name="FW.004" localSheetId="77">#REF!</definedName>
    <definedName name="FW.004" localSheetId="49">#REF!</definedName>
    <definedName name="FW.004" localSheetId="40">#REF!</definedName>
    <definedName name="FW.004" localSheetId="43">#REF!</definedName>
    <definedName name="FW.004" localSheetId="13">#REF!</definedName>
    <definedName name="FW.004" localSheetId="38">#REF!</definedName>
    <definedName name="FW.004">#REF!</definedName>
    <definedName name="fw.302" localSheetId="3">#REF!</definedName>
    <definedName name="fw.302" localSheetId="7">#REF!</definedName>
    <definedName name="fw.302" localSheetId="9">#REF!</definedName>
    <definedName name="fw.302" localSheetId="10">#REF!</definedName>
    <definedName name="fw.302" localSheetId="15">#REF!</definedName>
    <definedName name="fw.302" localSheetId="19">#REF!</definedName>
    <definedName name="fw.302" localSheetId="20">#REF!</definedName>
    <definedName name="fw.302" localSheetId="24">#REF!</definedName>
    <definedName name="fw.302" localSheetId="104">#REF!</definedName>
    <definedName name="fw.302" localSheetId="65">#REF!</definedName>
    <definedName name="fw.302" localSheetId="64">#REF!</definedName>
    <definedName name="fw.302" localSheetId="77">#REF!</definedName>
    <definedName name="fw.302" localSheetId="49">#REF!</definedName>
    <definedName name="fw.302" localSheetId="40">#REF!</definedName>
    <definedName name="fw.302" localSheetId="43">#REF!</definedName>
    <definedName name="fw.302" localSheetId="13">#REF!</definedName>
    <definedName name="fw.302" localSheetId="38">#REF!</definedName>
    <definedName name="fw.302">#REF!</definedName>
    <definedName name="fw.303" localSheetId="3">#REF!</definedName>
    <definedName name="fw.303" localSheetId="7">#REF!</definedName>
    <definedName name="fw.303" localSheetId="9">#REF!</definedName>
    <definedName name="fw.303" localSheetId="10">#REF!</definedName>
    <definedName name="fw.303" localSheetId="15">#REF!</definedName>
    <definedName name="fw.303" localSheetId="19">#REF!</definedName>
    <definedName name="fw.303" localSheetId="20">#REF!</definedName>
    <definedName name="fw.303" localSheetId="24">#REF!</definedName>
    <definedName name="fw.303" localSheetId="104">#REF!</definedName>
    <definedName name="fw.303" localSheetId="65">#REF!</definedName>
    <definedName name="fw.303" localSheetId="64">#REF!</definedName>
    <definedName name="fw.303" localSheetId="77">#REF!</definedName>
    <definedName name="fw.303" localSheetId="49">#REF!</definedName>
    <definedName name="fw.303" localSheetId="40">#REF!</definedName>
    <definedName name="fw.303" localSheetId="43">#REF!</definedName>
    <definedName name="fw.303" localSheetId="13">#REF!</definedName>
    <definedName name="fw.303" localSheetId="38">#REF!</definedName>
    <definedName name="fw.303">#REF!</definedName>
    <definedName name="fw.304" localSheetId="3">#REF!</definedName>
    <definedName name="fw.304" localSheetId="7">#REF!</definedName>
    <definedName name="fw.304" localSheetId="9">#REF!</definedName>
    <definedName name="fw.304" localSheetId="10">#REF!</definedName>
    <definedName name="fw.304" localSheetId="15">#REF!</definedName>
    <definedName name="fw.304" localSheetId="19">#REF!</definedName>
    <definedName name="fw.304" localSheetId="20">#REF!</definedName>
    <definedName name="fw.304" localSheetId="24">#REF!</definedName>
    <definedName name="fw.304" localSheetId="104">#REF!</definedName>
    <definedName name="fw.304" localSheetId="65">#REF!</definedName>
    <definedName name="fw.304" localSheetId="64">#REF!</definedName>
    <definedName name="fw.304" localSheetId="77">#REF!</definedName>
    <definedName name="fw.304" localSheetId="49">#REF!</definedName>
    <definedName name="fw.304" localSheetId="40">#REF!</definedName>
    <definedName name="fw.304" localSheetId="43">#REF!</definedName>
    <definedName name="fw.304" localSheetId="13">#REF!</definedName>
    <definedName name="fw.304" localSheetId="38">#REF!</definedName>
    <definedName name="fw.304">#REF!</definedName>
    <definedName name="fx" localSheetId="3">#REF!</definedName>
    <definedName name="fx" localSheetId="7">#REF!</definedName>
    <definedName name="fx" localSheetId="9">#REF!</definedName>
    <definedName name="fx" localSheetId="10">#REF!</definedName>
    <definedName name="fx" localSheetId="15">#REF!</definedName>
    <definedName name="fx" localSheetId="19">#REF!</definedName>
    <definedName name="fx" localSheetId="20">#REF!</definedName>
    <definedName name="fx" localSheetId="24">#REF!</definedName>
    <definedName name="fx" localSheetId="104">#REF!</definedName>
    <definedName name="fx" localSheetId="65">#REF!</definedName>
    <definedName name="fx" localSheetId="64">#REF!</definedName>
    <definedName name="fx" localSheetId="77">#REF!</definedName>
    <definedName name="fx" localSheetId="49">#REF!</definedName>
    <definedName name="fx" localSheetId="40">#REF!</definedName>
    <definedName name="fx" localSheetId="43">#REF!</definedName>
    <definedName name="fx" localSheetId="13">#REF!</definedName>
    <definedName name="fx" localSheetId="38">#REF!</definedName>
    <definedName name="fx">#REF!</definedName>
    <definedName name="G" localSheetId="3">#REF!</definedName>
    <definedName name="G" localSheetId="7">#REF!</definedName>
    <definedName name="G" localSheetId="9">#REF!</definedName>
    <definedName name="G" localSheetId="10">#REF!</definedName>
    <definedName name="G" localSheetId="15">#REF!</definedName>
    <definedName name="G" localSheetId="19">#REF!</definedName>
    <definedName name="G" localSheetId="20">#REF!</definedName>
    <definedName name="G" localSheetId="24">#REF!</definedName>
    <definedName name="G" localSheetId="104">#REF!</definedName>
    <definedName name="G" localSheetId="65">#REF!</definedName>
    <definedName name="G" localSheetId="64">#REF!</definedName>
    <definedName name="G" localSheetId="77">#REF!</definedName>
    <definedName name="G" localSheetId="49">#REF!</definedName>
    <definedName name="G" localSheetId="40">#REF!</definedName>
    <definedName name="G" localSheetId="43">#REF!</definedName>
    <definedName name="G" localSheetId="13">#REF!</definedName>
    <definedName name="G" localSheetId="38">#REF!</definedName>
    <definedName name="G">#REF!</definedName>
    <definedName name="Gals" localSheetId="3">#REF!</definedName>
    <definedName name="Gals" localSheetId="7">#REF!</definedName>
    <definedName name="Gals" localSheetId="9">#REF!</definedName>
    <definedName name="Gals" localSheetId="10">#REF!</definedName>
    <definedName name="Gals" localSheetId="15">#REF!</definedName>
    <definedName name="Gals" localSheetId="19">#REF!</definedName>
    <definedName name="Gals" localSheetId="20">#REF!</definedName>
    <definedName name="Gals" localSheetId="24">#REF!</definedName>
    <definedName name="Gals" localSheetId="104">#REF!</definedName>
    <definedName name="Gals" localSheetId="65">#REF!</definedName>
    <definedName name="Gals" localSheetId="64">#REF!</definedName>
    <definedName name="Gals" localSheetId="77">#REF!</definedName>
    <definedName name="Gals" localSheetId="49">#REF!</definedName>
    <definedName name="Gals" localSheetId="40">#REF!</definedName>
    <definedName name="Gals" localSheetId="43">#REF!</definedName>
    <definedName name="Gals" localSheetId="13">#REF!</definedName>
    <definedName name="Gals" localSheetId="38">#REF!</definedName>
    <definedName name="Gals">#REF!</definedName>
    <definedName name="gas" localSheetId="3">#REF!</definedName>
    <definedName name="gas" localSheetId="7">#REF!</definedName>
    <definedName name="gas" localSheetId="9">#REF!</definedName>
    <definedName name="gas" localSheetId="10">#REF!</definedName>
    <definedName name="gas" localSheetId="15">#REF!</definedName>
    <definedName name="gas" localSheetId="19">#REF!</definedName>
    <definedName name="gas" localSheetId="20">#REF!</definedName>
    <definedName name="gas" localSheetId="24">#REF!</definedName>
    <definedName name="gas" localSheetId="104">#REF!</definedName>
    <definedName name="gas" localSheetId="65">#REF!</definedName>
    <definedName name="gas" localSheetId="64">#REF!</definedName>
    <definedName name="gas" localSheetId="77">#REF!</definedName>
    <definedName name="gas" localSheetId="49">#REF!</definedName>
    <definedName name="gas" localSheetId="40">#REF!</definedName>
    <definedName name="gas" localSheetId="43">#REF!</definedName>
    <definedName name="gas" localSheetId="13">#REF!</definedName>
    <definedName name="gas" localSheetId="38">#REF!</definedName>
    <definedName name="gas">#REF!</definedName>
    <definedName name="GasProd" localSheetId="3">#REF!</definedName>
    <definedName name="GasProd" localSheetId="7">#REF!</definedName>
    <definedName name="GasProd" localSheetId="9">#REF!</definedName>
    <definedName name="GasProd" localSheetId="10">#REF!</definedName>
    <definedName name="GasProd" localSheetId="15">#REF!</definedName>
    <definedName name="GasProd" localSheetId="19">#REF!</definedName>
    <definedName name="GasProd" localSheetId="20">#REF!</definedName>
    <definedName name="GasProd" localSheetId="24">#REF!</definedName>
    <definedName name="GasProd" localSheetId="104">#REF!</definedName>
    <definedName name="GasProd" localSheetId="65">#REF!</definedName>
    <definedName name="GasProd" localSheetId="64">#REF!</definedName>
    <definedName name="GasProd" localSheetId="77">#REF!</definedName>
    <definedName name="GasProd" localSheetId="49">#REF!</definedName>
    <definedName name="GasProd" localSheetId="40">#REF!</definedName>
    <definedName name="GasProd" localSheetId="43">#REF!</definedName>
    <definedName name="GasProd" localSheetId="13">#REF!</definedName>
    <definedName name="GasProd" localSheetId="38">#REF!</definedName>
    <definedName name="GasProd">#REF!</definedName>
    <definedName name="GF_Furn" localSheetId="3">#REF!</definedName>
    <definedName name="GF_Furn" localSheetId="7">#REF!</definedName>
    <definedName name="GF_Furn" localSheetId="9">#REF!</definedName>
    <definedName name="GF_Furn" localSheetId="10">#REF!</definedName>
    <definedName name="GF_Furn" localSheetId="15">#REF!</definedName>
    <definedName name="GF_Furn" localSheetId="19">#REF!</definedName>
    <definedName name="GF_Furn" localSheetId="20">#REF!</definedName>
    <definedName name="GF_Furn" localSheetId="24">#REF!</definedName>
    <definedName name="GF_Furn" localSheetId="104">#REF!</definedName>
    <definedName name="GF_Furn" localSheetId="65">#REF!</definedName>
    <definedName name="GF_Furn" localSheetId="64">#REF!</definedName>
    <definedName name="GF_Furn" localSheetId="77">#REF!</definedName>
    <definedName name="GF_Furn" localSheetId="49">#REF!</definedName>
    <definedName name="GF_Furn" localSheetId="40">#REF!</definedName>
    <definedName name="GF_Furn" localSheetId="43">#REF!</definedName>
    <definedName name="GF_Furn" localSheetId="13">#REF!</definedName>
    <definedName name="GF_Furn" localSheetId="38">#REF!</definedName>
    <definedName name="GF_Furn">#REF!</definedName>
    <definedName name="ggff" localSheetId="3">#REF!</definedName>
    <definedName name="ggff" localSheetId="7">#REF!</definedName>
    <definedName name="ggff" localSheetId="9">#REF!</definedName>
    <definedName name="ggff" localSheetId="10">#REF!</definedName>
    <definedName name="ggff" localSheetId="15">#REF!</definedName>
    <definedName name="ggff" localSheetId="19">#REF!</definedName>
    <definedName name="ggff" localSheetId="20">#REF!</definedName>
    <definedName name="ggff" localSheetId="24">#REF!</definedName>
    <definedName name="ggff" localSheetId="104">#REF!</definedName>
    <definedName name="ggff" localSheetId="65">#REF!</definedName>
    <definedName name="ggff" localSheetId="64">#REF!</definedName>
    <definedName name="ggff" localSheetId="77">#REF!</definedName>
    <definedName name="ggff" localSheetId="49">#REF!</definedName>
    <definedName name="ggff" localSheetId="40">#REF!</definedName>
    <definedName name="ggff" localSheetId="43">#REF!</definedName>
    <definedName name="ggff" localSheetId="13">#REF!</definedName>
    <definedName name="ggff" localSheetId="38">#REF!</definedName>
    <definedName name="ggff">#REF!</definedName>
    <definedName name="gh" localSheetId="3">#REF!</definedName>
    <definedName name="gh" localSheetId="7">#REF!</definedName>
    <definedName name="gh" localSheetId="9">#REF!</definedName>
    <definedName name="gh" localSheetId="10">#REF!</definedName>
    <definedName name="gh" localSheetId="15">#REF!</definedName>
    <definedName name="gh" localSheetId="19">#REF!</definedName>
    <definedName name="gh" localSheetId="20">#REF!</definedName>
    <definedName name="gh" localSheetId="24">#REF!</definedName>
    <definedName name="gh" localSheetId="104">#REF!</definedName>
    <definedName name="gh" localSheetId="65">#REF!</definedName>
    <definedName name="gh" localSheetId="64">#REF!</definedName>
    <definedName name="gh" localSheetId="77">#REF!</definedName>
    <definedName name="gh" localSheetId="49">#REF!</definedName>
    <definedName name="gh" localSheetId="40">#REF!</definedName>
    <definedName name="gh" localSheetId="43">#REF!</definedName>
    <definedName name="gh" localSheetId="13">#REF!</definedName>
    <definedName name="gh" localSheetId="38">#REF!</definedName>
    <definedName name="gh">#REF!</definedName>
    <definedName name="ghg" localSheetId="3">'2-A All'!Summary,Detailed</definedName>
    <definedName name="ghg" localSheetId="7">'2-A_1TURB'!Summary,Detailed</definedName>
    <definedName name="ghg" localSheetId="9">'2-B'!Summary,Detailed</definedName>
    <definedName name="ghg" localSheetId="10">'2-C'!Summary,Detailed</definedName>
    <definedName name="ghg" localSheetId="15">'2-D-Co'!Summary,Detailed</definedName>
    <definedName name="ghg" localSheetId="19">'2-F'!Summary,Detailed</definedName>
    <definedName name="ghg" localSheetId="20">'2-G'!Summary,Detailed</definedName>
    <definedName name="ghg" localSheetId="24">'2-I-Co'!Summary,Detailed</definedName>
    <definedName name="ghg" localSheetId="104">'Cogen-SO2_H2SO4 (2)'!Summary,Detailed</definedName>
    <definedName name="ghg" localSheetId="65">'FLCRY SSM GHG'!Summary,Detailed</definedName>
    <definedName name="ghg" localSheetId="64">'FLOH SSM GHG'!Summary,Detailed</definedName>
    <definedName name="ghg" localSheetId="77">'Fugitive CH4'!Summary,Detailed</definedName>
    <definedName name="ghg" localSheetId="49">'Gen GHG'!Summary,Detailed</definedName>
    <definedName name="ghg" localSheetId="40">'PSD-Co'!Summary,Detailed</definedName>
    <definedName name="ghg" localSheetId="43">'PSD-NoCo'!Summary,Detailed</definedName>
    <definedName name="ghg" localSheetId="44">Summary,Detailed</definedName>
    <definedName name="ghg" localSheetId="13">'Sum UC-Co11X17'!Summary,Detailed</definedName>
    <definedName name="ghg" localSheetId="38">'Summary UC-Co'!Summary,Detailed</definedName>
    <definedName name="ghg">Summary,Detailed</definedName>
    <definedName name="GOR_Data" localSheetId="3">[19]GOR!#REF!</definedName>
    <definedName name="GOR_Data" localSheetId="7">[19]GOR!#REF!</definedName>
    <definedName name="GOR_Data" localSheetId="9">[19]GOR!#REF!</definedName>
    <definedName name="GOR_Data" localSheetId="10">[19]GOR!#REF!</definedName>
    <definedName name="GOR_Data" localSheetId="15">[19]GOR!#REF!</definedName>
    <definedName name="GOR_Data" localSheetId="19">[19]GOR!#REF!</definedName>
    <definedName name="GOR_Data" localSheetId="20">[19]GOR!#REF!</definedName>
    <definedName name="GOR_Data" localSheetId="24">[19]GOR!#REF!</definedName>
    <definedName name="GOR_Data" localSheetId="104">[19]GOR!#REF!</definedName>
    <definedName name="GOR_Data" localSheetId="65">[19]GOR!#REF!</definedName>
    <definedName name="GOR_Data" localSheetId="64">[19]GOR!#REF!</definedName>
    <definedName name="GOR_Data" localSheetId="77">[19]GOR!#REF!</definedName>
    <definedName name="GOR_Data" localSheetId="49">[19]GOR!#REF!</definedName>
    <definedName name="GOR_Data" localSheetId="40">[19]GOR!#REF!</definedName>
    <definedName name="GOR_Data" localSheetId="43">[19]GOR!#REF!</definedName>
    <definedName name="GOR_Data" localSheetId="44">[19]GOR!#REF!</definedName>
    <definedName name="GOR_Data" localSheetId="13">[19]GOR!#REF!</definedName>
    <definedName name="GOR_Data" localSheetId="38">[19]GOR!#REF!</definedName>
    <definedName name="GOR_Data">[19]GOR!#REF!</definedName>
    <definedName name="GotoMainMenu">#N/A</definedName>
    <definedName name="GotoMainMenu1">#N/A</definedName>
    <definedName name="GotoPrintMenu">#N/A</definedName>
    <definedName name="GotoPrintMenu1">#N/A</definedName>
    <definedName name="GotoPrintViewMenu">#N/A</definedName>
    <definedName name="GotoUtilityMenu">#N/A</definedName>
    <definedName name="GRAIN_RECEIVING" localSheetId="3">#REF!</definedName>
    <definedName name="GRAIN_RECEIVING" localSheetId="7">#REF!</definedName>
    <definedName name="GRAIN_RECEIVING" localSheetId="9">#REF!</definedName>
    <definedName name="GRAIN_RECEIVING" localSheetId="10">#REF!</definedName>
    <definedName name="GRAIN_RECEIVING" localSheetId="15">#REF!</definedName>
    <definedName name="GRAIN_RECEIVING" localSheetId="19">#REF!</definedName>
    <definedName name="GRAIN_RECEIVING" localSheetId="20">#REF!</definedName>
    <definedName name="GRAIN_RECEIVING" localSheetId="24">#REF!</definedName>
    <definedName name="GRAIN_RECEIVING" localSheetId="104">#REF!</definedName>
    <definedName name="GRAIN_RECEIVING" localSheetId="65">#REF!</definedName>
    <definedName name="GRAIN_RECEIVING" localSheetId="64">#REF!</definedName>
    <definedName name="GRAIN_RECEIVING" localSheetId="77">#REF!</definedName>
    <definedName name="GRAIN_RECEIVING" localSheetId="49">#REF!</definedName>
    <definedName name="GRAIN_RECEIVING" localSheetId="48">#REF!</definedName>
    <definedName name="GRAIN_RECEIVING" localSheetId="40">#REF!</definedName>
    <definedName name="GRAIN_RECEIVING" localSheetId="43">#REF!</definedName>
    <definedName name="GRAIN_RECEIVING" localSheetId="13">#REF!</definedName>
    <definedName name="GRAIN_RECEIVING" localSheetId="38">#REF!</definedName>
    <definedName name="GRAIN_RECEIVING">#REF!</definedName>
    <definedName name="GRAVIMETRIC" localSheetId="3">#REF!</definedName>
    <definedName name="GRAVIMETRIC" localSheetId="7">#REF!</definedName>
    <definedName name="GRAVIMETRIC" localSheetId="9">#REF!</definedName>
    <definedName name="GRAVIMETRIC" localSheetId="10">#REF!</definedName>
    <definedName name="GRAVIMETRIC" localSheetId="15">#REF!</definedName>
    <definedName name="GRAVIMETRIC" localSheetId="19">#REF!</definedName>
    <definedName name="GRAVIMETRIC" localSheetId="20">#REF!</definedName>
    <definedName name="GRAVIMETRIC" localSheetId="24">#REF!</definedName>
    <definedName name="GRAVIMETRIC" localSheetId="104">#REF!</definedName>
    <definedName name="GRAVIMETRIC" localSheetId="65">#REF!</definedName>
    <definedName name="GRAVIMETRIC" localSheetId="64">#REF!</definedName>
    <definedName name="GRAVIMETRIC" localSheetId="77">#REF!</definedName>
    <definedName name="GRAVIMETRIC" localSheetId="49">#REF!</definedName>
    <definedName name="GRAVIMETRIC" localSheetId="40">#REF!</definedName>
    <definedName name="GRAVIMETRIC" localSheetId="43">#REF!</definedName>
    <definedName name="GRAVIMETRIC" localSheetId="13">#REF!</definedName>
    <definedName name="GRAVIMETRIC" localSheetId="38">#REF!</definedName>
    <definedName name="GRAVIMETRIC">#REF!</definedName>
    <definedName name="grin1" localSheetId="3">#REF!</definedName>
    <definedName name="grin1" localSheetId="7">#REF!</definedName>
    <definedName name="grin1" localSheetId="9">#REF!</definedName>
    <definedName name="grin1" localSheetId="10">#REF!</definedName>
    <definedName name="grin1" localSheetId="15">#REF!</definedName>
    <definedName name="grin1" localSheetId="19">#REF!</definedName>
    <definedName name="grin1" localSheetId="20">#REF!</definedName>
    <definedName name="grin1" localSheetId="24">#REF!</definedName>
    <definedName name="grin1" localSheetId="104">#REF!</definedName>
    <definedName name="grin1" localSheetId="65">#REF!</definedName>
    <definedName name="grin1" localSheetId="64">#REF!</definedName>
    <definedName name="grin1" localSheetId="77">#REF!</definedName>
    <definedName name="grin1" localSheetId="49">#REF!</definedName>
    <definedName name="grin1" localSheetId="40">#REF!</definedName>
    <definedName name="grin1" localSheetId="43">#REF!</definedName>
    <definedName name="grin1" localSheetId="13">#REF!</definedName>
    <definedName name="grin1" localSheetId="38">#REF!</definedName>
    <definedName name="grin1">#REF!</definedName>
    <definedName name="grin2" localSheetId="3">#REF!</definedName>
    <definedName name="grin2" localSheetId="7">#REF!</definedName>
    <definedName name="grin2" localSheetId="9">#REF!</definedName>
    <definedName name="grin2" localSheetId="10">#REF!</definedName>
    <definedName name="grin2" localSheetId="15">#REF!</definedName>
    <definedName name="grin2" localSheetId="19">#REF!</definedName>
    <definedName name="grin2" localSheetId="20">#REF!</definedName>
    <definedName name="grin2" localSheetId="24">#REF!</definedName>
    <definedName name="grin2" localSheetId="104">#REF!</definedName>
    <definedName name="grin2" localSheetId="65">#REF!</definedName>
    <definedName name="grin2" localSheetId="64">#REF!</definedName>
    <definedName name="grin2" localSheetId="77">#REF!</definedName>
    <definedName name="grin2" localSheetId="49">#REF!</definedName>
    <definedName name="grin2" localSheetId="40">#REF!</definedName>
    <definedName name="grin2" localSheetId="43">#REF!</definedName>
    <definedName name="grin2" localSheetId="13">#REF!</definedName>
    <definedName name="grin2" localSheetId="38">#REF!</definedName>
    <definedName name="grin2">#REF!</definedName>
    <definedName name="grin3" localSheetId="3">#REF!</definedName>
    <definedName name="grin3" localSheetId="7">#REF!</definedName>
    <definedName name="grin3" localSheetId="9">#REF!</definedName>
    <definedName name="grin3" localSheetId="10">#REF!</definedName>
    <definedName name="grin3" localSheetId="15">#REF!</definedName>
    <definedName name="grin3" localSheetId="19">#REF!</definedName>
    <definedName name="grin3" localSheetId="20">#REF!</definedName>
    <definedName name="grin3" localSheetId="24">#REF!</definedName>
    <definedName name="grin3" localSheetId="104">#REF!</definedName>
    <definedName name="grin3" localSheetId="65">#REF!</definedName>
    <definedName name="grin3" localSheetId="64">#REF!</definedName>
    <definedName name="grin3" localSheetId="77">#REF!</definedName>
    <definedName name="grin3" localSheetId="49">#REF!</definedName>
    <definedName name="grin3" localSheetId="40">#REF!</definedName>
    <definedName name="grin3" localSheetId="43">#REF!</definedName>
    <definedName name="grin3" localSheetId="13">#REF!</definedName>
    <definedName name="grin3" localSheetId="38">#REF!</definedName>
    <definedName name="grin3">#REF!</definedName>
    <definedName name="grin4" localSheetId="3">#REF!</definedName>
    <definedName name="grin4" localSheetId="7">#REF!</definedName>
    <definedName name="grin4" localSheetId="9">#REF!</definedName>
    <definedName name="grin4" localSheetId="10">#REF!</definedName>
    <definedName name="grin4" localSheetId="15">#REF!</definedName>
    <definedName name="grin4" localSheetId="19">#REF!</definedName>
    <definedName name="grin4" localSheetId="20">#REF!</definedName>
    <definedName name="grin4" localSheetId="24">#REF!</definedName>
    <definedName name="grin4" localSheetId="104">#REF!</definedName>
    <definedName name="grin4" localSheetId="65">#REF!</definedName>
    <definedName name="grin4" localSheetId="64">#REF!</definedName>
    <definedName name="grin4" localSheetId="77">#REF!</definedName>
    <definedName name="grin4" localSheetId="49">#REF!</definedName>
    <definedName name="grin4" localSheetId="40">#REF!</definedName>
    <definedName name="grin4" localSheetId="43">#REF!</definedName>
    <definedName name="grin4" localSheetId="13">#REF!</definedName>
    <definedName name="grin4" localSheetId="38">#REF!</definedName>
    <definedName name="grin4">#REF!</definedName>
    <definedName name="grintot" localSheetId="3">#REF!</definedName>
    <definedName name="grintot" localSheetId="7">#REF!</definedName>
    <definedName name="grintot" localSheetId="9">#REF!</definedName>
    <definedName name="grintot" localSheetId="10">#REF!</definedName>
    <definedName name="grintot" localSheetId="15">#REF!</definedName>
    <definedName name="grintot" localSheetId="19">#REF!</definedName>
    <definedName name="grintot" localSheetId="20">#REF!</definedName>
    <definedName name="grintot" localSheetId="24">#REF!</definedName>
    <definedName name="grintot" localSheetId="104">#REF!</definedName>
    <definedName name="grintot" localSheetId="65">#REF!</definedName>
    <definedName name="grintot" localSheetId="64">#REF!</definedName>
    <definedName name="grintot" localSheetId="77">#REF!</definedName>
    <definedName name="grintot" localSheetId="49">#REF!</definedName>
    <definedName name="grintot" localSheetId="40">#REF!</definedName>
    <definedName name="grintot" localSheetId="43">#REF!</definedName>
    <definedName name="grintot" localSheetId="13">#REF!</definedName>
    <definedName name="grintot" localSheetId="38">#REF!</definedName>
    <definedName name="grintot">#REF!</definedName>
    <definedName name="H" localSheetId="3">#REF!</definedName>
    <definedName name="H" localSheetId="7">#REF!</definedName>
    <definedName name="H" localSheetId="9">#REF!</definedName>
    <definedName name="H" localSheetId="10">#REF!</definedName>
    <definedName name="H" localSheetId="15">#REF!</definedName>
    <definedName name="H" localSheetId="19">#REF!</definedName>
    <definedName name="H" localSheetId="20">#REF!</definedName>
    <definedName name="H" localSheetId="24">#REF!</definedName>
    <definedName name="H" localSheetId="104">#REF!</definedName>
    <definedName name="H" localSheetId="65">#REF!</definedName>
    <definedName name="H" localSheetId="64">#REF!</definedName>
    <definedName name="H" localSheetId="77">#REF!</definedName>
    <definedName name="H" localSheetId="49">#REF!</definedName>
    <definedName name="H" localSheetId="40">#REF!</definedName>
    <definedName name="H" localSheetId="43">#REF!</definedName>
    <definedName name="H" localSheetId="13">#REF!</definedName>
    <definedName name="H" localSheetId="38">#REF!</definedName>
    <definedName name="H">#REF!</definedName>
    <definedName name="H_2" localSheetId="3">#REF!</definedName>
    <definedName name="H_2" localSheetId="7">#REF!</definedName>
    <definedName name="H_2" localSheetId="9">#REF!</definedName>
    <definedName name="H_2" localSheetId="10">#REF!</definedName>
    <definedName name="H_2" localSheetId="15">#REF!</definedName>
    <definedName name="H_2" localSheetId="19">#REF!</definedName>
    <definedName name="H_2" localSheetId="20">#REF!</definedName>
    <definedName name="H_2" localSheetId="24">#REF!</definedName>
    <definedName name="H_2" localSheetId="104">#REF!</definedName>
    <definedName name="H_2" localSheetId="65">#REF!</definedName>
    <definedName name="H_2" localSheetId="64">#REF!</definedName>
    <definedName name="H_2" localSheetId="77">#REF!</definedName>
    <definedName name="H_2" localSheetId="49">#REF!</definedName>
    <definedName name="H_2" localSheetId="40">#REF!</definedName>
    <definedName name="H_2" localSheetId="43">#REF!</definedName>
    <definedName name="H_2" localSheetId="13">#REF!</definedName>
    <definedName name="H_2" localSheetId="38">#REF!</definedName>
    <definedName name="H_2">#REF!</definedName>
    <definedName name="H101Ebtu" localSheetId="3">'[7]Operational Basis'!#REF!</definedName>
    <definedName name="H101Ebtu" localSheetId="7">'[7]Operational Basis'!#REF!</definedName>
    <definedName name="H101Ebtu" localSheetId="9">'[7]Operational Basis'!#REF!</definedName>
    <definedName name="H101Ebtu" localSheetId="10">'[7]Operational Basis'!#REF!</definedName>
    <definedName name="H101Ebtu" localSheetId="15">'[7]Operational Basis'!#REF!</definedName>
    <definedName name="H101Ebtu" localSheetId="19">'[7]Operational Basis'!#REF!</definedName>
    <definedName name="H101Ebtu" localSheetId="20">'[7]Operational Basis'!#REF!</definedName>
    <definedName name="H101Ebtu" localSheetId="24">'[7]Operational Basis'!#REF!</definedName>
    <definedName name="H101Ebtu" localSheetId="104">'[7]Operational Basis'!#REF!</definedName>
    <definedName name="H101Ebtu" localSheetId="65">'[7]Operational Basis'!#REF!</definedName>
    <definedName name="H101Ebtu" localSheetId="64">'[7]Operational Basis'!#REF!</definedName>
    <definedName name="H101Ebtu" localSheetId="77">'[7]Operational Basis'!#REF!</definedName>
    <definedName name="H101Ebtu" localSheetId="49">'[7]Operational Basis'!#REF!</definedName>
    <definedName name="H101Ebtu" localSheetId="40">'[7]Operational Basis'!#REF!</definedName>
    <definedName name="H101Ebtu" localSheetId="43">'[7]Operational Basis'!#REF!</definedName>
    <definedName name="H101Ebtu" localSheetId="44">'[7]Operational Basis'!#REF!</definedName>
    <definedName name="H101Ebtu" localSheetId="13">'[7]Operational Basis'!#REF!</definedName>
    <definedName name="H101Ebtu" localSheetId="38">'[7]Operational Basis'!#REF!</definedName>
    <definedName name="H101Ebtu">'[7]Operational Basis'!#REF!</definedName>
    <definedName name="H102btu" localSheetId="3">'[7]Operational Basis'!#REF!</definedName>
    <definedName name="H102btu" localSheetId="7">'[7]Operational Basis'!#REF!</definedName>
    <definedName name="H102btu" localSheetId="9">'[7]Operational Basis'!#REF!</definedName>
    <definedName name="H102btu" localSheetId="10">'[7]Operational Basis'!#REF!</definedName>
    <definedName name="H102btu" localSheetId="15">'[7]Operational Basis'!#REF!</definedName>
    <definedName name="H102btu" localSheetId="19">'[7]Operational Basis'!#REF!</definedName>
    <definedName name="H102btu" localSheetId="20">'[7]Operational Basis'!#REF!</definedName>
    <definedName name="H102btu" localSheetId="24">'[7]Operational Basis'!#REF!</definedName>
    <definedName name="H102btu" localSheetId="104">'[7]Operational Basis'!#REF!</definedName>
    <definedName name="H102btu" localSheetId="65">'[7]Operational Basis'!#REF!</definedName>
    <definedName name="H102btu" localSheetId="64">'[7]Operational Basis'!#REF!</definedName>
    <definedName name="H102btu" localSheetId="77">'[7]Operational Basis'!#REF!</definedName>
    <definedName name="H102btu" localSheetId="49">'[7]Operational Basis'!#REF!</definedName>
    <definedName name="H102btu" localSheetId="40">'[7]Operational Basis'!#REF!</definedName>
    <definedName name="H102btu" localSheetId="43">'[7]Operational Basis'!#REF!</definedName>
    <definedName name="H102btu" localSheetId="44">'[7]Operational Basis'!#REF!</definedName>
    <definedName name="H102btu" localSheetId="13">'[7]Operational Basis'!#REF!</definedName>
    <definedName name="H102btu" localSheetId="38">'[7]Operational Basis'!#REF!</definedName>
    <definedName name="H102btu">'[7]Operational Basis'!#REF!</definedName>
    <definedName name="H10C1" localSheetId="3">#REF!</definedName>
    <definedName name="H10C1" localSheetId="7">#REF!</definedName>
    <definedName name="H10C1" localSheetId="9">#REF!</definedName>
    <definedName name="H10C1" localSheetId="10">#REF!</definedName>
    <definedName name="H10C1" localSheetId="15">#REF!</definedName>
    <definedName name="H10C1" localSheetId="19">#REF!</definedName>
    <definedName name="H10C1" localSheetId="20">#REF!</definedName>
    <definedName name="H10C1" localSheetId="24">#REF!</definedName>
    <definedName name="H10C1" localSheetId="104">#REF!</definedName>
    <definedName name="H10C1" localSheetId="65">#REF!</definedName>
    <definedName name="H10C1" localSheetId="64">#REF!</definedName>
    <definedName name="H10C1" localSheetId="77">#REF!</definedName>
    <definedName name="H10C1" localSheetId="49">#REF!</definedName>
    <definedName name="H10C1" localSheetId="40">#REF!</definedName>
    <definedName name="H10C1" localSheetId="43">#REF!</definedName>
    <definedName name="H10C1" localSheetId="13">#REF!</definedName>
    <definedName name="H10C1" localSheetId="38">#REF!</definedName>
    <definedName name="H10C1">#REF!</definedName>
    <definedName name="H10C10" localSheetId="3">#REF!</definedName>
    <definedName name="H10C10" localSheetId="7">#REF!</definedName>
    <definedName name="H10C10" localSheetId="9">#REF!</definedName>
    <definedName name="H10C10" localSheetId="10">#REF!</definedName>
    <definedName name="H10C10" localSheetId="15">#REF!</definedName>
    <definedName name="H10C10" localSheetId="19">#REF!</definedName>
    <definedName name="H10C10" localSheetId="20">#REF!</definedName>
    <definedName name="H10C10" localSheetId="24">#REF!</definedName>
    <definedName name="H10C10" localSheetId="104">#REF!</definedName>
    <definedName name="H10C10" localSheetId="65">#REF!</definedName>
    <definedName name="H10C10" localSheetId="64">#REF!</definedName>
    <definedName name="H10C10" localSheetId="77">#REF!</definedName>
    <definedName name="H10C10" localSheetId="49">#REF!</definedName>
    <definedName name="H10C10" localSheetId="40">#REF!</definedName>
    <definedName name="H10C10" localSheetId="43">#REF!</definedName>
    <definedName name="H10C10" localSheetId="13">#REF!</definedName>
    <definedName name="H10C10" localSheetId="38">#REF!</definedName>
    <definedName name="H10C10">#REF!</definedName>
    <definedName name="H10C11" localSheetId="3">#REF!</definedName>
    <definedName name="H10C11" localSheetId="7">#REF!</definedName>
    <definedName name="H10C11" localSheetId="9">#REF!</definedName>
    <definedName name="H10C11" localSheetId="10">#REF!</definedName>
    <definedName name="H10C11" localSheetId="15">#REF!</definedName>
    <definedName name="H10C11" localSheetId="19">#REF!</definedName>
    <definedName name="H10C11" localSheetId="20">#REF!</definedName>
    <definedName name="H10C11" localSheetId="24">#REF!</definedName>
    <definedName name="H10C11" localSheetId="104">#REF!</definedName>
    <definedName name="H10C11" localSheetId="65">#REF!</definedName>
    <definedName name="H10C11" localSheetId="64">#REF!</definedName>
    <definedName name="H10C11" localSheetId="77">#REF!</definedName>
    <definedName name="H10C11" localSheetId="49">#REF!</definedName>
    <definedName name="H10C11" localSheetId="40">#REF!</definedName>
    <definedName name="H10C11" localSheetId="43">#REF!</definedName>
    <definedName name="H10C11" localSheetId="13">#REF!</definedName>
    <definedName name="H10C11" localSheetId="38">#REF!</definedName>
    <definedName name="H10C11">#REF!</definedName>
    <definedName name="H10C12" localSheetId="3">#REF!</definedName>
    <definedName name="H10C12" localSheetId="7">#REF!</definedName>
    <definedName name="H10C12" localSheetId="9">#REF!</definedName>
    <definedName name="H10C12" localSheetId="10">#REF!</definedName>
    <definedName name="H10C12" localSheetId="15">#REF!</definedName>
    <definedName name="H10C12" localSheetId="19">#REF!</definedName>
    <definedName name="H10C12" localSheetId="20">#REF!</definedName>
    <definedName name="H10C12" localSheetId="24">#REF!</definedName>
    <definedName name="H10C12" localSheetId="104">#REF!</definedName>
    <definedName name="H10C12" localSheetId="65">#REF!</definedName>
    <definedName name="H10C12" localSheetId="64">#REF!</definedName>
    <definedName name="H10C12" localSheetId="77">#REF!</definedName>
    <definedName name="H10C12" localSheetId="49">#REF!</definedName>
    <definedName name="H10C12" localSheetId="40">#REF!</definedName>
    <definedName name="H10C12" localSheetId="43">#REF!</definedName>
    <definedName name="H10C12" localSheetId="13">#REF!</definedName>
    <definedName name="H10C12" localSheetId="38">#REF!</definedName>
    <definedName name="H10C12">#REF!</definedName>
    <definedName name="H10C13" localSheetId="3">#REF!</definedName>
    <definedName name="H10C13" localSheetId="7">#REF!</definedName>
    <definedName name="H10C13" localSheetId="9">#REF!</definedName>
    <definedName name="H10C13" localSheetId="10">#REF!</definedName>
    <definedName name="H10C13" localSheetId="15">#REF!</definedName>
    <definedName name="H10C13" localSheetId="19">#REF!</definedName>
    <definedName name="H10C13" localSheetId="20">#REF!</definedName>
    <definedName name="H10C13" localSheetId="24">#REF!</definedName>
    <definedName name="H10C13" localSheetId="104">#REF!</definedName>
    <definedName name="H10C13" localSheetId="65">#REF!</definedName>
    <definedName name="H10C13" localSheetId="64">#REF!</definedName>
    <definedName name="H10C13" localSheetId="77">#REF!</definedName>
    <definedName name="H10C13" localSheetId="49">#REF!</definedName>
    <definedName name="H10C13" localSheetId="40">#REF!</definedName>
    <definedName name="H10C13" localSheetId="43">#REF!</definedName>
    <definedName name="H10C13" localSheetId="13">#REF!</definedName>
    <definedName name="H10C13" localSheetId="38">#REF!</definedName>
    <definedName name="H10C13">#REF!</definedName>
    <definedName name="H10C14" localSheetId="3">#REF!</definedName>
    <definedName name="H10C14" localSheetId="7">#REF!</definedName>
    <definedName name="H10C14" localSheetId="9">#REF!</definedName>
    <definedName name="H10C14" localSheetId="10">#REF!</definedName>
    <definedName name="H10C14" localSheetId="15">#REF!</definedName>
    <definedName name="H10C14" localSheetId="19">#REF!</definedName>
    <definedName name="H10C14" localSheetId="20">#REF!</definedName>
    <definedName name="H10C14" localSheetId="24">#REF!</definedName>
    <definedName name="H10C14" localSheetId="104">#REF!</definedName>
    <definedName name="H10C14" localSheetId="65">#REF!</definedName>
    <definedName name="H10C14" localSheetId="64">#REF!</definedName>
    <definedName name="H10C14" localSheetId="77">#REF!</definedName>
    <definedName name="H10C14" localSheetId="49">#REF!</definedName>
    <definedName name="H10C14" localSheetId="40">#REF!</definedName>
    <definedName name="H10C14" localSheetId="43">#REF!</definedName>
    <definedName name="H10C14" localSheetId="13">#REF!</definedName>
    <definedName name="H10C14" localSheetId="38">#REF!</definedName>
    <definedName name="H10C14">#REF!</definedName>
    <definedName name="H10C15" localSheetId="3">#REF!</definedName>
    <definedName name="H10C15" localSheetId="7">#REF!</definedName>
    <definedName name="H10C15" localSheetId="9">#REF!</definedName>
    <definedName name="H10C15" localSheetId="10">#REF!</definedName>
    <definedName name="H10C15" localSheetId="15">#REF!</definedName>
    <definedName name="H10C15" localSheetId="19">#REF!</definedName>
    <definedName name="H10C15" localSheetId="20">#REF!</definedName>
    <definedName name="H10C15" localSheetId="24">#REF!</definedName>
    <definedName name="H10C15" localSheetId="104">#REF!</definedName>
    <definedName name="H10C15" localSheetId="65">#REF!</definedName>
    <definedName name="H10C15" localSheetId="64">#REF!</definedName>
    <definedName name="H10C15" localSheetId="77">#REF!</definedName>
    <definedName name="H10C15" localSheetId="49">#REF!</definedName>
    <definedName name="H10C15" localSheetId="40">#REF!</definedName>
    <definedName name="H10C15" localSheetId="43">#REF!</definedName>
    <definedName name="H10C15" localSheetId="13">#REF!</definedName>
    <definedName name="H10C15" localSheetId="38">#REF!</definedName>
    <definedName name="H10C15">#REF!</definedName>
    <definedName name="H10C2" localSheetId="3">#REF!</definedName>
    <definedName name="H10C2" localSheetId="7">#REF!</definedName>
    <definedName name="H10C2" localSheetId="9">#REF!</definedName>
    <definedName name="H10C2" localSheetId="10">#REF!</definedName>
    <definedName name="H10C2" localSheetId="15">#REF!</definedName>
    <definedName name="H10C2" localSheetId="19">#REF!</definedName>
    <definedName name="H10C2" localSheetId="20">#REF!</definedName>
    <definedName name="H10C2" localSheetId="24">#REF!</definedName>
    <definedName name="H10C2" localSheetId="104">#REF!</definedName>
    <definedName name="H10C2" localSheetId="65">#REF!</definedName>
    <definedName name="H10C2" localSheetId="64">#REF!</definedName>
    <definedName name="H10C2" localSheetId="77">#REF!</definedName>
    <definedName name="H10C2" localSheetId="49">#REF!</definedName>
    <definedName name="H10C2" localSheetId="40">#REF!</definedName>
    <definedName name="H10C2" localSheetId="43">#REF!</definedName>
    <definedName name="H10C2" localSheetId="13">#REF!</definedName>
    <definedName name="H10C2" localSheetId="38">#REF!</definedName>
    <definedName name="H10C2">#REF!</definedName>
    <definedName name="H10C3" localSheetId="3">#REF!</definedName>
    <definedName name="H10C3" localSheetId="7">#REF!</definedName>
    <definedName name="H10C3" localSheetId="9">#REF!</definedName>
    <definedName name="H10C3" localSheetId="10">#REF!</definedName>
    <definedName name="H10C3" localSheetId="15">#REF!</definedName>
    <definedName name="H10C3" localSheetId="19">#REF!</definedName>
    <definedName name="H10C3" localSheetId="20">#REF!</definedName>
    <definedName name="H10C3" localSheetId="24">#REF!</definedName>
    <definedName name="H10C3" localSheetId="104">#REF!</definedName>
    <definedName name="H10C3" localSheetId="65">#REF!</definedName>
    <definedName name="H10C3" localSheetId="64">#REF!</definedName>
    <definedName name="H10C3" localSheetId="77">#REF!</definedName>
    <definedName name="H10C3" localSheetId="49">#REF!</definedName>
    <definedName name="H10C3" localSheetId="40">#REF!</definedName>
    <definedName name="H10C3" localSheetId="43">#REF!</definedName>
    <definedName name="H10C3" localSheetId="13">#REF!</definedName>
    <definedName name="H10C3" localSheetId="38">#REF!</definedName>
    <definedName name="H10C3">#REF!</definedName>
    <definedName name="H10C4" localSheetId="3">#REF!</definedName>
    <definedName name="H10C4" localSheetId="7">#REF!</definedName>
    <definedName name="H10C4" localSheetId="9">#REF!</definedName>
    <definedName name="H10C4" localSheetId="10">#REF!</definedName>
    <definedName name="H10C4" localSheetId="15">#REF!</definedName>
    <definedName name="H10C4" localSheetId="19">#REF!</definedName>
    <definedName name="H10C4" localSheetId="20">#REF!</definedName>
    <definedName name="H10C4" localSheetId="24">#REF!</definedName>
    <definedName name="H10C4" localSheetId="104">#REF!</definedName>
    <definedName name="H10C4" localSheetId="65">#REF!</definedName>
    <definedName name="H10C4" localSheetId="64">#REF!</definedName>
    <definedName name="H10C4" localSheetId="77">#REF!</definedName>
    <definedName name="H10C4" localSheetId="49">#REF!</definedName>
    <definedName name="H10C4" localSheetId="40">#REF!</definedName>
    <definedName name="H10C4" localSheetId="43">#REF!</definedName>
    <definedName name="H10C4" localSheetId="13">#REF!</definedName>
    <definedName name="H10C4" localSheetId="38">#REF!</definedName>
    <definedName name="H10C4">#REF!</definedName>
    <definedName name="H10C5" localSheetId="3">#REF!</definedName>
    <definedName name="H10C5" localSheetId="7">#REF!</definedName>
    <definedName name="H10C5" localSheetId="9">#REF!</definedName>
    <definedName name="H10C5" localSheetId="10">#REF!</definedName>
    <definedName name="H10C5" localSheetId="15">#REF!</definedName>
    <definedName name="H10C5" localSheetId="19">#REF!</definedName>
    <definedName name="H10C5" localSheetId="20">#REF!</definedName>
    <definedName name="H10C5" localSheetId="24">#REF!</definedName>
    <definedName name="H10C5" localSheetId="104">#REF!</definedName>
    <definedName name="H10C5" localSheetId="65">#REF!</definedName>
    <definedName name="H10C5" localSheetId="64">#REF!</definedName>
    <definedName name="H10C5" localSheetId="77">#REF!</definedName>
    <definedName name="H10C5" localSheetId="49">#REF!</definedName>
    <definedName name="H10C5" localSheetId="40">#REF!</definedName>
    <definedName name="H10C5" localSheetId="43">#REF!</definedName>
    <definedName name="H10C5" localSheetId="13">#REF!</definedName>
    <definedName name="H10C5" localSheetId="38">#REF!</definedName>
    <definedName name="H10C5">#REF!</definedName>
    <definedName name="H10C6" localSheetId="3">#REF!</definedName>
    <definedName name="H10C6" localSheetId="7">#REF!</definedName>
    <definedName name="H10C6" localSheetId="9">#REF!</definedName>
    <definedName name="H10C6" localSheetId="10">#REF!</definedName>
    <definedName name="H10C6" localSheetId="15">#REF!</definedName>
    <definedName name="H10C6" localSheetId="19">#REF!</definedName>
    <definedName name="H10C6" localSheetId="20">#REF!</definedName>
    <definedName name="H10C6" localSheetId="24">#REF!</definedName>
    <definedName name="H10C6" localSheetId="104">#REF!</definedName>
    <definedName name="H10C6" localSheetId="65">#REF!</definedName>
    <definedName name="H10C6" localSheetId="64">#REF!</definedName>
    <definedName name="H10C6" localSheetId="77">#REF!</definedName>
    <definedName name="H10C6" localSheetId="49">#REF!</definedName>
    <definedName name="H10C6" localSheetId="40">#REF!</definedName>
    <definedName name="H10C6" localSheetId="43">#REF!</definedName>
    <definedName name="H10C6" localSheetId="13">#REF!</definedName>
    <definedName name="H10C6" localSheetId="38">#REF!</definedName>
    <definedName name="H10C6">#REF!</definedName>
    <definedName name="H10C7" localSheetId="3">#REF!</definedName>
    <definedName name="H10C7" localSheetId="7">#REF!</definedName>
    <definedName name="H10C7" localSheetId="9">#REF!</definedName>
    <definedName name="H10C7" localSheetId="10">#REF!</definedName>
    <definedName name="H10C7" localSheetId="15">#REF!</definedName>
    <definedName name="H10C7" localSheetId="19">#REF!</definedName>
    <definedName name="H10C7" localSheetId="20">#REF!</definedName>
    <definedName name="H10C7" localSheetId="24">#REF!</definedName>
    <definedName name="H10C7" localSheetId="104">#REF!</definedName>
    <definedName name="H10C7" localSheetId="65">#REF!</definedName>
    <definedName name="H10C7" localSheetId="64">#REF!</definedName>
    <definedName name="H10C7" localSheetId="77">#REF!</definedName>
    <definedName name="H10C7" localSheetId="49">#REF!</definedName>
    <definedName name="H10C7" localSheetId="40">#REF!</definedName>
    <definedName name="H10C7" localSheetId="43">#REF!</definedName>
    <definedName name="H10C7" localSheetId="13">#REF!</definedName>
    <definedName name="H10C7" localSheetId="38">#REF!</definedName>
    <definedName name="H10C7">#REF!</definedName>
    <definedName name="H10C8" localSheetId="3">#REF!</definedName>
    <definedName name="H10C8" localSheetId="7">#REF!</definedName>
    <definedName name="H10C8" localSheetId="9">#REF!</definedName>
    <definedName name="H10C8" localSheetId="10">#REF!</definedName>
    <definedName name="H10C8" localSheetId="15">#REF!</definedName>
    <definedName name="H10C8" localSheetId="19">#REF!</definedName>
    <definedName name="H10C8" localSheetId="20">#REF!</definedName>
    <definedName name="H10C8" localSheetId="24">#REF!</definedName>
    <definedName name="H10C8" localSheetId="104">#REF!</definedName>
    <definedName name="H10C8" localSheetId="65">#REF!</definedName>
    <definedName name="H10C8" localSheetId="64">#REF!</definedName>
    <definedName name="H10C8" localSheetId="77">#REF!</definedName>
    <definedName name="H10C8" localSheetId="49">#REF!</definedName>
    <definedName name="H10C8" localSheetId="40">#REF!</definedName>
    <definedName name="H10C8" localSheetId="43">#REF!</definedName>
    <definedName name="H10C8" localSheetId="13">#REF!</definedName>
    <definedName name="H10C8" localSheetId="38">#REF!</definedName>
    <definedName name="H10C8">#REF!</definedName>
    <definedName name="H10C9" localSheetId="3">#REF!</definedName>
    <definedName name="H10C9" localSheetId="7">#REF!</definedName>
    <definedName name="H10C9" localSheetId="9">#REF!</definedName>
    <definedName name="H10C9" localSheetId="10">#REF!</definedName>
    <definedName name="H10C9" localSheetId="15">#REF!</definedName>
    <definedName name="H10C9" localSheetId="19">#REF!</definedName>
    <definedName name="H10C9" localSheetId="20">#REF!</definedName>
    <definedName name="H10C9" localSheetId="24">#REF!</definedName>
    <definedName name="H10C9" localSheetId="104">#REF!</definedName>
    <definedName name="H10C9" localSheetId="65">#REF!</definedName>
    <definedName name="H10C9" localSheetId="64">#REF!</definedName>
    <definedName name="H10C9" localSheetId="77">#REF!</definedName>
    <definedName name="H10C9" localSheetId="49">#REF!</definedName>
    <definedName name="H10C9" localSheetId="40">#REF!</definedName>
    <definedName name="H10C9" localSheetId="43">#REF!</definedName>
    <definedName name="H10C9" localSheetId="13">#REF!</definedName>
    <definedName name="H10C9" localSheetId="38">#REF!</definedName>
    <definedName name="H10C9">#REF!</definedName>
    <definedName name="H1101btu" localSheetId="3">'[7]Operational Basis'!#REF!</definedName>
    <definedName name="H1101btu" localSheetId="7">'[7]Operational Basis'!#REF!</definedName>
    <definedName name="H1101btu" localSheetId="9">'[7]Operational Basis'!#REF!</definedName>
    <definedName name="H1101btu" localSheetId="10">'[7]Operational Basis'!#REF!</definedName>
    <definedName name="H1101btu" localSheetId="15">'[7]Operational Basis'!#REF!</definedName>
    <definedName name="H1101btu" localSheetId="19">'[7]Operational Basis'!#REF!</definedName>
    <definedName name="H1101btu" localSheetId="20">'[7]Operational Basis'!#REF!</definedName>
    <definedName name="H1101btu" localSheetId="24">'[7]Operational Basis'!#REF!</definedName>
    <definedName name="H1101btu" localSheetId="104">'[7]Operational Basis'!#REF!</definedName>
    <definedName name="H1101btu" localSheetId="65">'[7]Operational Basis'!#REF!</definedName>
    <definedName name="H1101btu" localSheetId="64">'[7]Operational Basis'!#REF!</definedName>
    <definedName name="H1101btu" localSheetId="77">'[7]Operational Basis'!#REF!</definedName>
    <definedName name="H1101btu" localSheetId="49">'[7]Operational Basis'!#REF!</definedName>
    <definedName name="H1101btu" localSheetId="40">'[7]Operational Basis'!#REF!</definedName>
    <definedName name="H1101btu" localSheetId="43">'[7]Operational Basis'!#REF!</definedName>
    <definedName name="H1101btu" localSheetId="44">'[7]Operational Basis'!#REF!</definedName>
    <definedName name="H1101btu" localSheetId="13">'[7]Operational Basis'!#REF!</definedName>
    <definedName name="H1101btu" localSheetId="38">'[7]Operational Basis'!#REF!</definedName>
    <definedName name="H1101btu">'[7]Operational Basis'!#REF!</definedName>
    <definedName name="H11C1" localSheetId="3">#REF!</definedName>
    <definedName name="H11C1" localSheetId="7">#REF!</definedName>
    <definedName name="H11C1" localSheetId="9">#REF!</definedName>
    <definedName name="H11C1" localSheetId="10">#REF!</definedName>
    <definedName name="H11C1" localSheetId="15">#REF!</definedName>
    <definedName name="H11C1" localSheetId="19">#REF!</definedName>
    <definedName name="H11C1" localSheetId="20">#REF!</definedName>
    <definedName name="H11C1" localSheetId="24">#REF!</definedName>
    <definedName name="H11C1" localSheetId="104">#REF!</definedName>
    <definedName name="H11C1" localSheetId="65">#REF!</definedName>
    <definedName name="H11C1" localSheetId="64">#REF!</definedName>
    <definedName name="H11C1" localSheetId="77">#REF!</definedName>
    <definedName name="H11C1" localSheetId="49">#REF!</definedName>
    <definedName name="H11C1" localSheetId="40">#REF!</definedName>
    <definedName name="H11C1" localSheetId="43">#REF!</definedName>
    <definedName name="H11C1" localSheetId="13">#REF!</definedName>
    <definedName name="H11C1" localSheetId="38">#REF!</definedName>
    <definedName name="H11C1">#REF!</definedName>
    <definedName name="H11C10" localSheetId="3">#REF!</definedName>
    <definedName name="H11C10" localSheetId="7">#REF!</definedName>
    <definedName name="H11C10" localSheetId="9">#REF!</definedName>
    <definedName name="H11C10" localSheetId="10">#REF!</definedName>
    <definedName name="H11C10" localSheetId="15">#REF!</definedName>
    <definedName name="H11C10" localSheetId="19">#REF!</definedName>
    <definedName name="H11C10" localSheetId="20">#REF!</definedName>
    <definedName name="H11C10" localSheetId="24">#REF!</definedName>
    <definedName name="H11C10" localSheetId="104">#REF!</definedName>
    <definedName name="H11C10" localSheetId="65">#REF!</definedName>
    <definedName name="H11C10" localSheetId="64">#REF!</definedName>
    <definedName name="H11C10" localSheetId="77">#REF!</definedName>
    <definedName name="H11C10" localSheetId="49">#REF!</definedName>
    <definedName name="H11C10" localSheetId="40">#REF!</definedName>
    <definedName name="H11C10" localSheetId="43">#REF!</definedName>
    <definedName name="H11C10" localSheetId="13">#REF!</definedName>
    <definedName name="H11C10" localSheetId="38">#REF!</definedName>
    <definedName name="H11C10">#REF!</definedName>
    <definedName name="H11C11" localSheetId="3">#REF!</definedName>
    <definedName name="H11C11" localSheetId="7">#REF!</definedName>
    <definedName name="H11C11" localSheetId="9">#REF!</definedName>
    <definedName name="H11C11" localSheetId="10">#REF!</definedName>
    <definedName name="H11C11" localSheetId="15">#REF!</definedName>
    <definedName name="H11C11" localSheetId="19">#REF!</definedName>
    <definedName name="H11C11" localSheetId="20">#REF!</definedName>
    <definedName name="H11C11" localSheetId="24">#REF!</definedName>
    <definedName name="H11C11" localSheetId="104">#REF!</definedName>
    <definedName name="H11C11" localSheetId="65">#REF!</definedName>
    <definedName name="H11C11" localSheetId="64">#REF!</definedName>
    <definedName name="H11C11" localSheetId="77">#REF!</definedName>
    <definedName name="H11C11" localSheetId="49">#REF!</definedName>
    <definedName name="H11C11" localSheetId="40">#REF!</definedName>
    <definedName name="H11C11" localSheetId="43">#REF!</definedName>
    <definedName name="H11C11" localSheetId="13">#REF!</definedName>
    <definedName name="H11C11" localSheetId="38">#REF!</definedName>
    <definedName name="H11C11">#REF!</definedName>
    <definedName name="H11C12" localSheetId="3">#REF!</definedName>
    <definedName name="H11C12" localSheetId="7">#REF!</definedName>
    <definedName name="H11C12" localSheetId="9">#REF!</definedName>
    <definedName name="H11C12" localSheetId="10">#REF!</definedName>
    <definedName name="H11C12" localSheetId="15">#REF!</definedName>
    <definedName name="H11C12" localSheetId="19">#REF!</definedName>
    <definedName name="H11C12" localSheetId="20">#REF!</definedName>
    <definedName name="H11C12" localSheetId="24">#REF!</definedName>
    <definedName name="H11C12" localSheetId="104">#REF!</definedName>
    <definedName name="H11C12" localSheetId="65">#REF!</definedName>
    <definedName name="H11C12" localSheetId="64">#REF!</definedName>
    <definedName name="H11C12" localSheetId="77">#REF!</definedName>
    <definedName name="H11C12" localSheetId="49">#REF!</definedName>
    <definedName name="H11C12" localSheetId="40">#REF!</definedName>
    <definedName name="H11C12" localSheetId="43">#REF!</definedName>
    <definedName name="H11C12" localSheetId="13">#REF!</definedName>
    <definedName name="H11C12" localSheetId="38">#REF!</definedName>
    <definedName name="H11C12">#REF!</definedName>
    <definedName name="H11C13" localSheetId="3">#REF!</definedName>
    <definedName name="H11C13" localSheetId="7">#REF!</definedName>
    <definedName name="H11C13" localSheetId="9">#REF!</definedName>
    <definedName name="H11C13" localSheetId="10">#REF!</definedName>
    <definedName name="H11C13" localSheetId="15">#REF!</definedName>
    <definedName name="H11C13" localSheetId="19">#REF!</definedName>
    <definedName name="H11C13" localSheetId="20">#REF!</definedName>
    <definedName name="H11C13" localSheetId="24">#REF!</definedName>
    <definedName name="H11C13" localSheetId="104">#REF!</definedName>
    <definedName name="H11C13" localSheetId="65">#REF!</definedName>
    <definedName name="H11C13" localSheetId="64">#REF!</definedName>
    <definedName name="H11C13" localSheetId="77">#REF!</definedName>
    <definedName name="H11C13" localSheetId="49">#REF!</definedName>
    <definedName name="H11C13" localSheetId="40">#REF!</definedName>
    <definedName name="H11C13" localSheetId="43">#REF!</definedName>
    <definedName name="H11C13" localSheetId="13">#REF!</definedName>
    <definedName name="H11C13" localSheetId="38">#REF!</definedName>
    <definedName name="H11C13">#REF!</definedName>
    <definedName name="H11C14" localSheetId="3">#REF!</definedName>
    <definedName name="H11C14" localSheetId="7">#REF!</definedName>
    <definedName name="H11C14" localSheetId="9">#REF!</definedName>
    <definedName name="H11C14" localSheetId="10">#REF!</definedName>
    <definedName name="H11C14" localSheetId="15">#REF!</definedName>
    <definedName name="H11C14" localSheetId="19">#REF!</definedName>
    <definedName name="H11C14" localSheetId="20">#REF!</definedName>
    <definedName name="H11C14" localSheetId="24">#REF!</definedName>
    <definedName name="H11C14" localSheetId="104">#REF!</definedName>
    <definedName name="H11C14" localSheetId="65">#REF!</definedName>
    <definedName name="H11C14" localSheetId="64">#REF!</definedName>
    <definedName name="H11C14" localSheetId="77">#REF!</definedName>
    <definedName name="H11C14" localSheetId="49">#REF!</definedName>
    <definedName name="H11C14" localSheetId="40">#REF!</definedName>
    <definedName name="H11C14" localSheetId="43">#REF!</definedName>
    <definedName name="H11C14" localSheetId="13">#REF!</definedName>
    <definedName name="H11C14" localSheetId="38">#REF!</definedName>
    <definedName name="H11C14">#REF!</definedName>
    <definedName name="H11C15" localSheetId="3">#REF!</definedName>
    <definedName name="H11C15" localSheetId="7">#REF!</definedName>
    <definedName name="H11C15" localSheetId="9">#REF!</definedName>
    <definedName name="H11C15" localSheetId="10">#REF!</definedName>
    <definedName name="H11C15" localSheetId="15">#REF!</definedName>
    <definedName name="H11C15" localSheetId="19">#REF!</definedName>
    <definedName name="H11C15" localSheetId="20">#REF!</definedName>
    <definedName name="H11C15" localSheetId="24">#REF!</definedName>
    <definedName name="H11C15" localSheetId="104">#REF!</definedName>
    <definedName name="H11C15" localSheetId="65">#REF!</definedName>
    <definedName name="H11C15" localSheetId="64">#REF!</definedName>
    <definedName name="H11C15" localSheetId="77">#REF!</definedName>
    <definedName name="H11C15" localSheetId="49">#REF!</definedName>
    <definedName name="H11C15" localSheetId="40">#REF!</definedName>
    <definedName name="H11C15" localSheetId="43">#REF!</definedName>
    <definedName name="H11C15" localSheetId="13">#REF!</definedName>
    <definedName name="H11C15" localSheetId="38">#REF!</definedName>
    <definedName name="H11C15">#REF!</definedName>
    <definedName name="H11C2" localSheetId="3">#REF!</definedName>
    <definedName name="H11C2" localSheetId="7">#REF!</definedName>
    <definedName name="H11C2" localSheetId="9">#REF!</definedName>
    <definedName name="H11C2" localSheetId="10">#REF!</definedName>
    <definedName name="H11C2" localSheetId="15">#REF!</definedName>
    <definedName name="H11C2" localSheetId="19">#REF!</definedName>
    <definedName name="H11C2" localSheetId="20">#REF!</definedName>
    <definedName name="H11C2" localSheetId="24">#REF!</definedName>
    <definedName name="H11C2" localSheetId="104">#REF!</definedName>
    <definedName name="H11C2" localSheetId="65">#REF!</definedName>
    <definedName name="H11C2" localSheetId="64">#REF!</definedName>
    <definedName name="H11C2" localSheetId="77">#REF!</definedName>
    <definedName name="H11C2" localSheetId="49">#REF!</definedName>
    <definedName name="H11C2" localSheetId="40">#REF!</definedName>
    <definedName name="H11C2" localSheetId="43">#REF!</definedName>
    <definedName name="H11C2" localSheetId="13">#REF!</definedName>
    <definedName name="H11C2" localSheetId="38">#REF!</definedName>
    <definedName name="H11C2">#REF!</definedName>
    <definedName name="H11C3" localSheetId="3">#REF!</definedName>
    <definedName name="H11C3" localSheetId="7">#REF!</definedName>
    <definedName name="H11C3" localSheetId="9">#REF!</definedName>
    <definedName name="H11C3" localSheetId="10">#REF!</definedName>
    <definedName name="H11C3" localSheetId="15">#REF!</definedName>
    <definedName name="H11C3" localSheetId="19">#REF!</definedName>
    <definedName name="H11C3" localSheetId="20">#REF!</definedName>
    <definedName name="H11C3" localSheetId="24">#REF!</definedName>
    <definedName name="H11C3" localSheetId="104">#REF!</definedName>
    <definedName name="H11C3" localSheetId="65">#REF!</definedName>
    <definedName name="H11C3" localSheetId="64">#REF!</definedName>
    <definedName name="H11C3" localSheetId="77">#REF!</definedName>
    <definedName name="H11C3" localSheetId="49">#REF!</definedName>
    <definedName name="H11C3" localSheetId="40">#REF!</definedName>
    <definedName name="H11C3" localSheetId="43">#REF!</definedName>
    <definedName name="H11C3" localSheetId="13">#REF!</definedName>
    <definedName name="H11C3" localSheetId="38">#REF!</definedName>
    <definedName name="H11C3">#REF!</definedName>
    <definedName name="H11C4" localSheetId="3">#REF!</definedName>
    <definedName name="H11C4" localSheetId="7">#REF!</definedName>
    <definedName name="H11C4" localSheetId="9">#REF!</definedName>
    <definedName name="H11C4" localSheetId="10">#REF!</definedName>
    <definedName name="H11C4" localSheetId="15">#REF!</definedName>
    <definedName name="H11C4" localSheetId="19">#REF!</definedName>
    <definedName name="H11C4" localSheetId="20">#REF!</definedName>
    <definedName name="H11C4" localSheetId="24">#REF!</definedName>
    <definedName name="H11C4" localSheetId="104">#REF!</definedName>
    <definedName name="H11C4" localSheetId="65">#REF!</definedName>
    <definedName name="H11C4" localSheetId="64">#REF!</definedName>
    <definedName name="H11C4" localSheetId="77">#REF!</definedName>
    <definedName name="H11C4" localSheetId="49">#REF!</definedName>
    <definedName name="H11C4" localSheetId="40">#REF!</definedName>
    <definedName name="H11C4" localSheetId="43">#REF!</definedName>
    <definedName name="H11C4" localSheetId="13">#REF!</definedName>
    <definedName name="H11C4" localSheetId="38">#REF!</definedName>
    <definedName name="H11C4">#REF!</definedName>
    <definedName name="H11C5" localSheetId="3">#REF!</definedName>
    <definedName name="H11C5" localSheetId="7">#REF!</definedName>
    <definedName name="H11C5" localSheetId="9">#REF!</definedName>
    <definedName name="H11C5" localSheetId="10">#REF!</definedName>
    <definedName name="H11C5" localSheetId="15">#REF!</definedName>
    <definedName name="H11C5" localSheetId="19">#REF!</definedName>
    <definedName name="H11C5" localSheetId="20">#REF!</definedName>
    <definedName name="H11C5" localSheetId="24">#REF!</definedName>
    <definedName name="H11C5" localSheetId="104">#REF!</definedName>
    <definedName name="H11C5" localSheetId="65">#REF!</definedName>
    <definedName name="H11C5" localSheetId="64">#REF!</definedName>
    <definedName name="H11C5" localSheetId="77">#REF!</definedName>
    <definedName name="H11C5" localSheetId="49">#REF!</definedName>
    <definedName name="H11C5" localSheetId="40">#REF!</definedName>
    <definedName name="H11C5" localSheetId="43">#REF!</definedName>
    <definedName name="H11C5" localSheetId="13">#REF!</definedName>
    <definedName name="H11C5" localSheetId="38">#REF!</definedName>
    <definedName name="H11C5">#REF!</definedName>
    <definedName name="H11C6" localSheetId="3">#REF!</definedName>
    <definedName name="H11C6" localSheetId="7">#REF!</definedName>
    <definedName name="H11C6" localSheetId="9">#REF!</definedName>
    <definedName name="H11C6" localSheetId="10">#REF!</definedName>
    <definedName name="H11C6" localSheetId="15">#REF!</definedName>
    <definedName name="H11C6" localSheetId="19">#REF!</definedName>
    <definedName name="H11C6" localSheetId="20">#REF!</definedName>
    <definedName name="H11C6" localSheetId="24">#REF!</definedName>
    <definedName name="H11C6" localSheetId="104">#REF!</definedName>
    <definedName name="H11C6" localSheetId="65">#REF!</definedName>
    <definedName name="H11C6" localSheetId="64">#REF!</definedName>
    <definedName name="H11C6" localSheetId="77">#REF!</definedName>
    <definedName name="H11C6" localSheetId="49">#REF!</definedName>
    <definedName name="H11C6" localSheetId="40">#REF!</definedName>
    <definedName name="H11C6" localSheetId="43">#REF!</definedName>
    <definedName name="H11C6" localSheetId="13">#REF!</definedName>
    <definedName name="H11C6" localSheetId="38">#REF!</definedName>
    <definedName name="H11C6">#REF!</definedName>
    <definedName name="H11C7" localSheetId="3">#REF!</definedName>
    <definedName name="H11C7" localSheetId="7">#REF!</definedName>
    <definedName name="H11C7" localSheetId="9">#REF!</definedName>
    <definedName name="H11C7" localSheetId="10">#REF!</definedName>
    <definedName name="H11C7" localSheetId="15">#REF!</definedName>
    <definedName name="H11C7" localSheetId="19">#REF!</definedName>
    <definedName name="H11C7" localSheetId="20">#REF!</definedName>
    <definedName name="H11C7" localSheetId="24">#REF!</definedName>
    <definedName name="H11C7" localSheetId="104">#REF!</definedName>
    <definedName name="H11C7" localSheetId="65">#REF!</definedName>
    <definedName name="H11C7" localSheetId="64">#REF!</definedName>
    <definedName name="H11C7" localSheetId="77">#REF!</definedName>
    <definedName name="H11C7" localSheetId="49">#REF!</definedName>
    <definedName name="H11C7" localSheetId="40">#REF!</definedName>
    <definedName name="H11C7" localSheetId="43">#REF!</definedName>
    <definedName name="H11C7" localSheetId="13">#REF!</definedName>
    <definedName name="H11C7" localSheetId="38">#REF!</definedName>
    <definedName name="H11C7">#REF!</definedName>
    <definedName name="H11C8" localSheetId="3">#REF!</definedName>
    <definedName name="H11C8" localSheetId="7">#REF!</definedName>
    <definedName name="H11C8" localSheetId="9">#REF!</definedName>
    <definedName name="H11C8" localSheetId="10">#REF!</definedName>
    <definedName name="H11C8" localSheetId="15">#REF!</definedName>
    <definedName name="H11C8" localSheetId="19">#REF!</definedName>
    <definedName name="H11C8" localSheetId="20">#REF!</definedName>
    <definedName name="H11C8" localSheetId="24">#REF!</definedName>
    <definedName name="H11C8" localSheetId="104">#REF!</definedName>
    <definedName name="H11C8" localSheetId="65">#REF!</definedName>
    <definedName name="H11C8" localSheetId="64">#REF!</definedName>
    <definedName name="H11C8" localSheetId="77">#REF!</definedName>
    <definedName name="H11C8" localSheetId="49">#REF!</definedName>
    <definedName name="H11C8" localSheetId="40">#REF!</definedName>
    <definedName name="H11C8" localSheetId="43">#REF!</definedName>
    <definedName name="H11C8" localSheetId="13">#REF!</definedName>
    <definedName name="H11C8" localSheetId="38">#REF!</definedName>
    <definedName name="H11C8">#REF!</definedName>
    <definedName name="H11C9" localSheetId="3">#REF!</definedName>
    <definedName name="H11C9" localSheetId="7">#REF!</definedName>
    <definedName name="H11C9" localSheetId="9">#REF!</definedName>
    <definedName name="H11C9" localSheetId="10">#REF!</definedName>
    <definedName name="H11C9" localSheetId="15">#REF!</definedName>
    <definedName name="H11C9" localSheetId="19">#REF!</definedName>
    <definedName name="H11C9" localSheetId="20">#REF!</definedName>
    <definedName name="H11C9" localSheetId="24">#REF!</definedName>
    <definedName name="H11C9" localSheetId="104">#REF!</definedName>
    <definedName name="H11C9" localSheetId="65">#REF!</definedName>
    <definedName name="H11C9" localSheetId="64">#REF!</definedName>
    <definedName name="H11C9" localSheetId="77">#REF!</definedName>
    <definedName name="H11C9" localSheetId="49">#REF!</definedName>
    <definedName name="H11C9" localSheetId="40">#REF!</definedName>
    <definedName name="H11C9" localSheetId="43">#REF!</definedName>
    <definedName name="H11C9" localSheetId="13">#REF!</definedName>
    <definedName name="H11C9" localSheetId="38">#REF!</definedName>
    <definedName name="H11C9">#REF!</definedName>
    <definedName name="H12C1" localSheetId="3">#REF!</definedName>
    <definedName name="H12C1" localSheetId="7">#REF!</definedName>
    <definedName name="H12C1" localSheetId="9">#REF!</definedName>
    <definedName name="H12C1" localSheetId="10">#REF!</definedName>
    <definedName name="H12C1" localSheetId="15">#REF!</definedName>
    <definedName name="H12C1" localSheetId="19">#REF!</definedName>
    <definedName name="H12C1" localSheetId="20">#REF!</definedName>
    <definedName name="H12C1" localSheetId="24">#REF!</definedName>
    <definedName name="H12C1" localSheetId="104">#REF!</definedName>
    <definedName name="H12C1" localSheetId="65">#REF!</definedName>
    <definedName name="H12C1" localSheetId="64">#REF!</definedName>
    <definedName name="H12C1" localSheetId="77">#REF!</definedName>
    <definedName name="H12C1" localSheetId="49">#REF!</definedName>
    <definedName name="H12C1" localSheetId="40">#REF!</definedName>
    <definedName name="H12C1" localSheetId="43">#REF!</definedName>
    <definedName name="H12C1" localSheetId="13">#REF!</definedName>
    <definedName name="H12C1" localSheetId="38">#REF!</definedName>
    <definedName name="H12C1">#REF!</definedName>
    <definedName name="H12C10" localSheetId="3">#REF!</definedName>
    <definedName name="H12C10" localSheetId="7">#REF!</definedName>
    <definedName name="H12C10" localSheetId="9">#REF!</definedName>
    <definedName name="H12C10" localSheetId="10">#REF!</definedName>
    <definedName name="H12C10" localSheetId="15">#REF!</definedName>
    <definedName name="H12C10" localSheetId="19">#REF!</definedName>
    <definedName name="H12C10" localSheetId="20">#REF!</definedName>
    <definedName name="H12C10" localSheetId="24">#REF!</definedName>
    <definedName name="H12C10" localSheetId="104">#REF!</definedName>
    <definedName name="H12C10" localSheetId="65">#REF!</definedName>
    <definedName name="H12C10" localSheetId="64">#REF!</definedName>
    <definedName name="H12C10" localSheetId="77">#REF!</definedName>
    <definedName name="H12C10" localSheetId="49">#REF!</definedName>
    <definedName name="H12C10" localSheetId="40">#REF!</definedName>
    <definedName name="H12C10" localSheetId="43">#REF!</definedName>
    <definedName name="H12C10" localSheetId="13">#REF!</definedName>
    <definedName name="H12C10" localSheetId="38">#REF!</definedName>
    <definedName name="H12C10">#REF!</definedName>
    <definedName name="H12C11" localSheetId="3">#REF!</definedName>
    <definedName name="H12C11" localSheetId="7">#REF!</definedName>
    <definedName name="H12C11" localSheetId="9">#REF!</definedName>
    <definedName name="H12C11" localSheetId="10">#REF!</definedName>
    <definedName name="H12C11" localSheetId="15">#REF!</definedName>
    <definedName name="H12C11" localSheetId="19">#REF!</definedName>
    <definedName name="H12C11" localSheetId="20">#REF!</definedName>
    <definedName name="H12C11" localSheetId="24">#REF!</definedName>
    <definedName name="H12C11" localSheetId="104">#REF!</definedName>
    <definedName name="H12C11" localSheetId="65">#REF!</definedName>
    <definedName name="H12C11" localSheetId="64">#REF!</definedName>
    <definedName name="H12C11" localSheetId="77">#REF!</definedName>
    <definedName name="H12C11" localSheetId="49">#REF!</definedName>
    <definedName name="H12C11" localSheetId="40">#REF!</definedName>
    <definedName name="H12C11" localSheetId="43">#REF!</definedName>
    <definedName name="H12C11" localSheetId="13">#REF!</definedName>
    <definedName name="H12C11" localSheetId="38">#REF!</definedName>
    <definedName name="H12C11">#REF!</definedName>
    <definedName name="H12C12" localSheetId="3">#REF!</definedName>
    <definedName name="H12C12" localSheetId="7">#REF!</definedName>
    <definedName name="H12C12" localSheetId="9">#REF!</definedName>
    <definedName name="H12C12" localSheetId="10">#REF!</definedName>
    <definedName name="H12C12" localSheetId="15">#REF!</definedName>
    <definedName name="H12C12" localSheetId="19">#REF!</definedName>
    <definedName name="H12C12" localSheetId="20">#REF!</definedName>
    <definedName name="H12C12" localSheetId="24">#REF!</definedName>
    <definedName name="H12C12" localSheetId="104">#REF!</definedName>
    <definedName name="H12C12" localSheetId="65">#REF!</definedName>
    <definedName name="H12C12" localSheetId="64">#REF!</definedName>
    <definedName name="H12C12" localSheetId="77">#REF!</definedName>
    <definedName name="H12C12" localSheetId="49">#REF!</definedName>
    <definedName name="H12C12" localSheetId="40">#REF!</definedName>
    <definedName name="H12C12" localSheetId="43">#REF!</definedName>
    <definedName name="H12C12" localSheetId="13">#REF!</definedName>
    <definedName name="H12C12" localSheetId="38">#REF!</definedName>
    <definedName name="H12C12">#REF!</definedName>
    <definedName name="H12C13" localSheetId="3">#REF!</definedName>
    <definedName name="H12C13" localSheetId="7">#REF!</definedName>
    <definedName name="H12C13" localSheetId="9">#REF!</definedName>
    <definedName name="H12C13" localSheetId="10">#REF!</definedName>
    <definedName name="H12C13" localSheetId="15">#REF!</definedName>
    <definedName name="H12C13" localSheetId="19">#REF!</definedName>
    <definedName name="H12C13" localSheetId="20">#REF!</definedName>
    <definedName name="H12C13" localSheetId="24">#REF!</definedName>
    <definedName name="H12C13" localSheetId="104">#REF!</definedName>
    <definedName name="H12C13" localSheetId="65">#REF!</definedName>
    <definedName name="H12C13" localSheetId="64">#REF!</definedName>
    <definedName name="H12C13" localSheetId="77">#REF!</definedName>
    <definedName name="H12C13" localSheetId="49">#REF!</definedName>
    <definedName name="H12C13" localSheetId="40">#REF!</definedName>
    <definedName name="H12C13" localSheetId="43">#REF!</definedName>
    <definedName name="H12C13" localSheetId="13">#REF!</definedName>
    <definedName name="H12C13" localSheetId="38">#REF!</definedName>
    <definedName name="H12C13">#REF!</definedName>
    <definedName name="H12C14" localSheetId="3">#REF!</definedName>
    <definedName name="H12C14" localSheetId="7">#REF!</definedName>
    <definedName name="H12C14" localSheetId="9">#REF!</definedName>
    <definedName name="H12C14" localSheetId="10">#REF!</definedName>
    <definedName name="H12C14" localSheetId="15">#REF!</definedName>
    <definedName name="H12C14" localSheetId="19">#REF!</definedName>
    <definedName name="H12C14" localSheetId="20">#REF!</definedName>
    <definedName name="H12C14" localSheetId="24">#REF!</definedName>
    <definedName name="H12C14" localSheetId="104">#REF!</definedName>
    <definedName name="H12C14" localSheetId="65">#REF!</definedName>
    <definedName name="H12C14" localSheetId="64">#REF!</definedName>
    <definedName name="H12C14" localSheetId="77">#REF!</definedName>
    <definedName name="H12C14" localSheetId="49">#REF!</definedName>
    <definedName name="H12C14" localSheetId="40">#REF!</definedName>
    <definedName name="H12C14" localSheetId="43">#REF!</definedName>
    <definedName name="H12C14" localSheetId="13">#REF!</definedName>
    <definedName name="H12C14" localSheetId="38">#REF!</definedName>
    <definedName name="H12C14">#REF!</definedName>
    <definedName name="H12C15" localSheetId="3">#REF!</definedName>
    <definedName name="H12C15" localSheetId="7">#REF!</definedName>
    <definedName name="H12C15" localSheetId="9">#REF!</definedName>
    <definedName name="H12C15" localSheetId="10">#REF!</definedName>
    <definedName name="H12C15" localSheetId="15">#REF!</definedName>
    <definedName name="H12C15" localSheetId="19">#REF!</definedName>
    <definedName name="H12C15" localSheetId="20">#REF!</definedName>
    <definedName name="H12C15" localSheetId="24">#REF!</definedName>
    <definedName name="H12C15" localSheetId="104">#REF!</definedName>
    <definedName name="H12C15" localSheetId="65">#REF!</definedName>
    <definedName name="H12C15" localSheetId="64">#REF!</definedName>
    <definedName name="H12C15" localSheetId="77">#REF!</definedName>
    <definedName name="H12C15" localSheetId="49">#REF!</definedName>
    <definedName name="H12C15" localSheetId="40">#REF!</definedName>
    <definedName name="H12C15" localSheetId="43">#REF!</definedName>
    <definedName name="H12C15" localSheetId="13">#REF!</definedName>
    <definedName name="H12C15" localSheetId="38">#REF!</definedName>
    <definedName name="H12C15">#REF!</definedName>
    <definedName name="H12C2" localSheetId="3">#REF!</definedName>
    <definedName name="H12C2" localSheetId="7">#REF!</definedName>
    <definedName name="H12C2" localSheetId="9">#REF!</definedName>
    <definedName name="H12C2" localSheetId="10">#REF!</definedName>
    <definedName name="H12C2" localSheetId="15">#REF!</definedName>
    <definedName name="H12C2" localSheetId="19">#REF!</definedName>
    <definedName name="H12C2" localSheetId="20">#REF!</definedName>
    <definedName name="H12C2" localSheetId="24">#REF!</definedName>
    <definedName name="H12C2" localSheetId="104">#REF!</definedName>
    <definedName name="H12C2" localSheetId="65">#REF!</definedName>
    <definedName name="H12C2" localSheetId="64">#REF!</definedName>
    <definedName name="H12C2" localSheetId="77">#REF!</definedName>
    <definedName name="H12C2" localSheetId="49">#REF!</definedName>
    <definedName name="H12C2" localSheetId="40">#REF!</definedName>
    <definedName name="H12C2" localSheetId="43">#REF!</definedName>
    <definedName name="H12C2" localSheetId="13">#REF!</definedName>
    <definedName name="H12C2" localSheetId="38">#REF!</definedName>
    <definedName name="H12C2">#REF!</definedName>
    <definedName name="H12C3" localSheetId="3">#REF!</definedName>
    <definedName name="H12C3" localSheetId="7">#REF!</definedName>
    <definedName name="H12C3" localSheetId="9">#REF!</definedName>
    <definedName name="H12C3" localSheetId="10">#REF!</definedName>
    <definedName name="H12C3" localSheetId="15">#REF!</definedName>
    <definedName name="H12C3" localSheetId="19">#REF!</definedName>
    <definedName name="H12C3" localSheetId="20">#REF!</definedName>
    <definedName name="H12C3" localSheetId="24">#REF!</definedName>
    <definedName name="H12C3" localSheetId="104">#REF!</definedName>
    <definedName name="H12C3" localSheetId="65">#REF!</definedName>
    <definedName name="H12C3" localSheetId="64">#REF!</definedName>
    <definedName name="H12C3" localSheetId="77">#REF!</definedName>
    <definedName name="H12C3" localSheetId="49">#REF!</definedName>
    <definedName name="H12C3" localSheetId="40">#REF!</definedName>
    <definedName name="H12C3" localSheetId="43">#REF!</definedName>
    <definedName name="H12C3" localSheetId="13">#REF!</definedName>
    <definedName name="H12C3" localSheetId="38">#REF!</definedName>
    <definedName name="H12C3">#REF!</definedName>
    <definedName name="H12C4" localSheetId="3">#REF!</definedName>
    <definedName name="H12C4" localSheetId="7">#REF!</definedName>
    <definedName name="H12C4" localSheetId="9">#REF!</definedName>
    <definedName name="H12C4" localSheetId="10">#REF!</definedName>
    <definedName name="H12C4" localSheetId="15">#REF!</definedName>
    <definedName name="H12C4" localSheetId="19">#REF!</definedName>
    <definedName name="H12C4" localSheetId="20">#REF!</definedName>
    <definedName name="H12C4" localSheetId="24">#REF!</definedName>
    <definedName name="H12C4" localSheetId="104">#REF!</definedName>
    <definedName name="H12C4" localSheetId="65">#REF!</definedName>
    <definedName name="H12C4" localSheetId="64">#REF!</definedName>
    <definedName name="H12C4" localSheetId="77">#REF!</definedName>
    <definedName name="H12C4" localSheetId="49">#REF!</definedName>
    <definedName name="H12C4" localSheetId="40">#REF!</definedName>
    <definedName name="H12C4" localSheetId="43">#REF!</definedName>
    <definedName name="H12C4" localSheetId="13">#REF!</definedName>
    <definedName name="H12C4" localSheetId="38">#REF!</definedName>
    <definedName name="H12C4">#REF!</definedName>
    <definedName name="H12C5" localSheetId="3">#REF!</definedName>
    <definedName name="H12C5" localSheetId="7">#REF!</definedName>
    <definedName name="H12C5" localSheetId="9">#REF!</definedName>
    <definedName name="H12C5" localSheetId="10">#REF!</definedName>
    <definedName name="H12C5" localSheetId="15">#REF!</definedName>
    <definedName name="H12C5" localSheetId="19">#REF!</definedName>
    <definedName name="H12C5" localSheetId="20">#REF!</definedName>
    <definedName name="H12C5" localSheetId="24">#REF!</definedName>
    <definedName name="H12C5" localSheetId="104">#REF!</definedName>
    <definedName name="H12C5" localSheetId="65">#REF!</definedName>
    <definedName name="H12C5" localSheetId="64">#REF!</definedName>
    <definedName name="H12C5" localSheetId="77">#REF!</definedName>
    <definedName name="H12C5" localSheetId="49">#REF!</definedName>
    <definedName name="H12C5" localSheetId="40">#REF!</definedName>
    <definedName name="H12C5" localSheetId="43">#REF!</definedName>
    <definedName name="H12C5" localSheetId="13">#REF!</definedName>
    <definedName name="H12C5" localSheetId="38">#REF!</definedName>
    <definedName name="H12C5">#REF!</definedName>
    <definedName name="H12C6" localSheetId="3">#REF!</definedName>
    <definedName name="H12C6" localSheetId="7">#REF!</definedName>
    <definedName name="H12C6" localSheetId="9">#REF!</definedName>
    <definedName name="H12C6" localSheetId="10">#REF!</definedName>
    <definedName name="H12C6" localSheetId="15">#REF!</definedName>
    <definedName name="H12C6" localSheetId="19">#REF!</definedName>
    <definedName name="H12C6" localSheetId="20">#REF!</definedName>
    <definedName name="H12C6" localSheetId="24">#REF!</definedName>
    <definedName name="H12C6" localSheetId="104">#REF!</definedName>
    <definedName name="H12C6" localSheetId="65">#REF!</definedName>
    <definedName name="H12C6" localSheetId="64">#REF!</definedName>
    <definedName name="H12C6" localSheetId="77">#REF!</definedName>
    <definedName name="H12C6" localSheetId="49">#REF!</definedName>
    <definedName name="H12C6" localSheetId="40">#REF!</definedName>
    <definedName name="H12C6" localSheetId="43">#REF!</definedName>
    <definedName name="H12C6" localSheetId="13">#REF!</definedName>
    <definedName name="H12C6" localSheetId="38">#REF!</definedName>
    <definedName name="H12C6">#REF!</definedName>
    <definedName name="H12C7" localSheetId="3">#REF!</definedName>
    <definedName name="H12C7" localSheetId="7">#REF!</definedName>
    <definedName name="H12C7" localSheetId="9">#REF!</definedName>
    <definedName name="H12C7" localSheetId="10">#REF!</definedName>
    <definedName name="H12C7" localSheetId="15">#REF!</definedName>
    <definedName name="H12C7" localSheetId="19">#REF!</definedName>
    <definedName name="H12C7" localSheetId="20">#REF!</definedName>
    <definedName name="H12C7" localSheetId="24">#REF!</definedName>
    <definedName name="H12C7" localSheetId="104">#REF!</definedName>
    <definedName name="H12C7" localSheetId="65">#REF!</definedName>
    <definedName name="H12C7" localSheetId="64">#REF!</definedName>
    <definedName name="H12C7" localSheetId="77">#REF!</definedName>
    <definedName name="H12C7" localSheetId="49">#REF!</definedName>
    <definedName name="H12C7" localSheetId="40">#REF!</definedName>
    <definedName name="H12C7" localSheetId="43">#REF!</definedName>
    <definedName name="H12C7" localSheetId="13">#REF!</definedName>
    <definedName name="H12C7" localSheetId="38">#REF!</definedName>
    <definedName name="H12C7">#REF!</definedName>
    <definedName name="H12C8" localSheetId="3">#REF!</definedName>
    <definedName name="H12C8" localSheetId="7">#REF!</definedName>
    <definedName name="H12C8" localSheetId="9">#REF!</definedName>
    <definedName name="H12C8" localSheetId="10">#REF!</definedName>
    <definedName name="H12C8" localSheetId="15">#REF!</definedName>
    <definedName name="H12C8" localSheetId="19">#REF!</definedName>
    <definedName name="H12C8" localSheetId="20">#REF!</definedName>
    <definedName name="H12C8" localSheetId="24">#REF!</definedName>
    <definedName name="H12C8" localSheetId="104">#REF!</definedName>
    <definedName name="H12C8" localSheetId="65">#REF!</definedName>
    <definedName name="H12C8" localSheetId="64">#REF!</definedName>
    <definedName name="H12C8" localSheetId="77">#REF!</definedName>
    <definedName name="H12C8" localSheetId="49">#REF!</definedName>
    <definedName name="H12C8" localSheetId="40">#REF!</definedName>
    <definedName name="H12C8" localSheetId="43">#REF!</definedName>
    <definedName name="H12C8" localSheetId="13">#REF!</definedName>
    <definedName name="H12C8" localSheetId="38">#REF!</definedName>
    <definedName name="H12C8">#REF!</definedName>
    <definedName name="H12C9" localSheetId="3">#REF!</definedName>
    <definedName name="H12C9" localSheetId="7">#REF!</definedName>
    <definedName name="H12C9" localSheetId="9">#REF!</definedName>
    <definedName name="H12C9" localSheetId="10">#REF!</definedName>
    <definedName name="H12C9" localSheetId="15">#REF!</definedName>
    <definedName name="H12C9" localSheetId="19">#REF!</definedName>
    <definedName name="H12C9" localSheetId="20">#REF!</definedName>
    <definedName name="H12C9" localSheetId="24">#REF!</definedName>
    <definedName name="H12C9" localSheetId="104">#REF!</definedName>
    <definedName name="H12C9" localSheetId="65">#REF!</definedName>
    <definedName name="H12C9" localSheetId="64">#REF!</definedName>
    <definedName name="H12C9" localSheetId="77">#REF!</definedName>
    <definedName name="H12C9" localSheetId="49">#REF!</definedName>
    <definedName name="H12C9" localSheetId="40">#REF!</definedName>
    <definedName name="H12C9" localSheetId="43">#REF!</definedName>
    <definedName name="H12C9" localSheetId="13">#REF!</definedName>
    <definedName name="H12C9" localSheetId="38">#REF!</definedName>
    <definedName name="H12C9">#REF!</definedName>
    <definedName name="H13C1" localSheetId="3">#REF!</definedName>
    <definedName name="H13C1" localSheetId="7">#REF!</definedName>
    <definedName name="H13C1" localSheetId="9">#REF!</definedName>
    <definedName name="H13C1" localSheetId="10">#REF!</definedName>
    <definedName name="H13C1" localSheetId="15">#REF!</definedName>
    <definedName name="H13C1" localSheetId="19">#REF!</definedName>
    <definedName name="H13C1" localSheetId="20">#REF!</definedName>
    <definedName name="H13C1" localSheetId="24">#REF!</definedName>
    <definedName name="H13C1" localSheetId="104">#REF!</definedName>
    <definedName name="H13C1" localSheetId="65">#REF!</definedName>
    <definedName name="H13C1" localSheetId="64">#REF!</definedName>
    <definedName name="H13C1" localSheetId="77">#REF!</definedName>
    <definedName name="H13C1" localSheetId="49">#REF!</definedName>
    <definedName name="H13C1" localSheetId="40">#REF!</definedName>
    <definedName name="H13C1" localSheetId="43">#REF!</definedName>
    <definedName name="H13C1" localSheetId="13">#REF!</definedName>
    <definedName name="H13C1" localSheetId="38">#REF!</definedName>
    <definedName name="H13C1">#REF!</definedName>
    <definedName name="H13C10" localSheetId="3">#REF!</definedName>
    <definedName name="H13C10" localSheetId="7">#REF!</definedName>
    <definedName name="H13C10" localSheetId="9">#REF!</definedName>
    <definedName name="H13C10" localSheetId="10">#REF!</definedName>
    <definedName name="H13C10" localSheetId="15">#REF!</definedName>
    <definedName name="H13C10" localSheetId="19">#REF!</definedName>
    <definedName name="H13C10" localSheetId="20">#REF!</definedName>
    <definedName name="H13C10" localSheetId="24">#REF!</definedName>
    <definedName name="H13C10" localSheetId="104">#REF!</definedName>
    <definedName name="H13C10" localSheetId="65">#REF!</definedName>
    <definedName name="H13C10" localSheetId="64">#REF!</definedName>
    <definedName name="H13C10" localSheetId="77">#REF!</definedName>
    <definedName name="H13C10" localSheetId="49">#REF!</definedName>
    <definedName name="H13C10" localSheetId="40">#REF!</definedName>
    <definedName name="H13C10" localSheetId="43">#REF!</definedName>
    <definedName name="H13C10" localSheetId="13">#REF!</definedName>
    <definedName name="H13C10" localSheetId="38">#REF!</definedName>
    <definedName name="H13C10">#REF!</definedName>
    <definedName name="H13C11" localSheetId="3">#REF!</definedName>
    <definedName name="H13C11" localSheetId="7">#REF!</definedName>
    <definedName name="H13C11" localSheetId="9">#REF!</definedName>
    <definedName name="H13C11" localSheetId="10">#REF!</definedName>
    <definedName name="H13C11" localSheetId="15">#REF!</definedName>
    <definedName name="H13C11" localSheetId="19">#REF!</definedName>
    <definedName name="H13C11" localSheetId="20">#REF!</definedName>
    <definedName name="H13C11" localSheetId="24">#REF!</definedName>
    <definedName name="H13C11" localSheetId="104">#REF!</definedName>
    <definedName name="H13C11" localSheetId="65">#REF!</definedName>
    <definedName name="H13C11" localSheetId="64">#REF!</definedName>
    <definedName name="H13C11" localSheetId="77">#REF!</definedName>
    <definedName name="H13C11" localSheetId="49">#REF!</definedName>
    <definedName name="H13C11" localSheetId="40">#REF!</definedName>
    <definedName name="H13C11" localSheetId="43">#REF!</definedName>
    <definedName name="H13C11" localSheetId="13">#REF!</definedName>
    <definedName name="H13C11" localSheetId="38">#REF!</definedName>
    <definedName name="H13C11">#REF!</definedName>
    <definedName name="H13C12" localSheetId="3">#REF!</definedName>
    <definedName name="H13C12" localSheetId="7">#REF!</definedName>
    <definedName name="H13C12" localSheetId="9">#REF!</definedName>
    <definedName name="H13C12" localSheetId="10">#REF!</definedName>
    <definedName name="H13C12" localSheetId="15">#REF!</definedName>
    <definedName name="H13C12" localSheetId="19">#REF!</definedName>
    <definedName name="H13C12" localSheetId="20">#REF!</definedName>
    <definedName name="H13C12" localSheetId="24">#REF!</definedName>
    <definedName name="H13C12" localSheetId="104">#REF!</definedName>
    <definedName name="H13C12" localSheetId="65">#REF!</definedName>
    <definedName name="H13C12" localSheetId="64">#REF!</definedName>
    <definedName name="H13C12" localSheetId="77">#REF!</definedName>
    <definedName name="H13C12" localSheetId="49">#REF!</definedName>
    <definedName name="H13C12" localSheetId="40">#REF!</definedName>
    <definedName name="H13C12" localSheetId="43">#REF!</definedName>
    <definedName name="H13C12" localSheetId="13">#REF!</definedName>
    <definedName name="H13C12" localSheetId="38">#REF!</definedName>
    <definedName name="H13C12">#REF!</definedName>
    <definedName name="H13C13" localSheetId="3">#REF!</definedName>
    <definedName name="H13C13" localSheetId="7">#REF!</definedName>
    <definedName name="H13C13" localSheetId="9">#REF!</definedName>
    <definedName name="H13C13" localSheetId="10">#REF!</definedName>
    <definedName name="H13C13" localSheetId="15">#REF!</definedName>
    <definedName name="H13C13" localSheetId="19">#REF!</definedName>
    <definedName name="H13C13" localSheetId="20">#REF!</definedName>
    <definedName name="H13C13" localSheetId="24">#REF!</definedName>
    <definedName name="H13C13" localSheetId="104">#REF!</definedName>
    <definedName name="H13C13" localSheetId="65">#REF!</definedName>
    <definedName name="H13C13" localSheetId="64">#REF!</definedName>
    <definedName name="H13C13" localSheetId="77">#REF!</definedName>
    <definedName name="H13C13" localSheetId="49">#REF!</definedName>
    <definedName name="H13C13" localSheetId="40">#REF!</definedName>
    <definedName name="H13C13" localSheetId="43">#REF!</definedName>
    <definedName name="H13C13" localSheetId="13">#REF!</definedName>
    <definedName name="H13C13" localSheetId="38">#REF!</definedName>
    <definedName name="H13C13">#REF!</definedName>
    <definedName name="H13C14" localSheetId="3">#REF!</definedName>
    <definedName name="H13C14" localSheetId="7">#REF!</definedName>
    <definedName name="H13C14" localSheetId="9">#REF!</definedName>
    <definedName name="H13C14" localSheetId="10">#REF!</definedName>
    <definedName name="H13C14" localSheetId="15">#REF!</definedName>
    <definedName name="H13C14" localSheetId="19">#REF!</definedName>
    <definedName name="H13C14" localSheetId="20">#REF!</definedName>
    <definedName name="H13C14" localSheetId="24">#REF!</definedName>
    <definedName name="H13C14" localSheetId="104">#REF!</definedName>
    <definedName name="H13C14" localSheetId="65">#REF!</definedName>
    <definedName name="H13C14" localSheetId="64">#REF!</definedName>
    <definedName name="H13C14" localSheetId="77">#REF!</definedName>
    <definedName name="H13C14" localSheetId="49">#REF!</definedName>
    <definedName name="H13C14" localSheetId="40">#REF!</definedName>
    <definedName name="H13C14" localSheetId="43">#REF!</definedName>
    <definedName name="H13C14" localSheetId="13">#REF!</definedName>
    <definedName name="H13C14" localSheetId="38">#REF!</definedName>
    <definedName name="H13C14">#REF!</definedName>
    <definedName name="H13C15" localSheetId="3">#REF!</definedName>
    <definedName name="H13C15" localSheetId="7">#REF!</definedName>
    <definedName name="H13C15" localSheetId="9">#REF!</definedName>
    <definedName name="H13C15" localSheetId="10">#REF!</definedName>
    <definedName name="H13C15" localSheetId="15">#REF!</definedName>
    <definedName name="H13C15" localSheetId="19">#REF!</definedName>
    <definedName name="H13C15" localSheetId="20">#REF!</definedName>
    <definedName name="H13C15" localSheetId="24">#REF!</definedName>
    <definedName name="H13C15" localSheetId="104">#REF!</definedName>
    <definedName name="H13C15" localSheetId="65">#REF!</definedName>
    <definedName name="H13C15" localSheetId="64">#REF!</definedName>
    <definedName name="H13C15" localSheetId="77">#REF!</definedName>
    <definedName name="H13C15" localSheetId="49">#REF!</definedName>
    <definedName name="H13C15" localSheetId="40">#REF!</definedName>
    <definedName name="H13C15" localSheetId="43">#REF!</definedName>
    <definedName name="H13C15" localSheetId="13">#REF!</definedName>
    <definedName name="H13C15" localSheetId="38">#REF!</definedName>
    <definedName name="H13C15">#REF!</definedName>
    <definedName name="H13C2" localSheetId="3">#REF!</definedName>
    <definedName name="H13C2" localSheetId="7">#REF!</definedName>
    <definedName name="H13C2" localSheetId="9">#REF!</definedName>
    <definedName name="H13C2" localSheetId="10">#REF!</definedName>
    <definedName name="H13C2" localSheetId="15">#REF!</definedName>
    <definedName name="H13C2" localSheetId="19">#REF!</definedName>
    <definedName name="H13C2" localSheetId="20">#REF!</definedName>
    <definedName name="H13C2" localSheetId="24">#REF!</definedName>
    <definedName name="H13C2" localSheetId="104">#REF!</definedName>
    <definedName name="H13C2" localSheetId="65">#REF!</definedName>
    <definedName name="H13C2" localSheetId="64">#REF!</definedName>
    <definedName name="H13C2" localSheetId="77">#REF!</definedName>
    <definedName name="H13C2" localSheetId="49">#REF!</definedName>
    <definedName name="H13C2" localSheetId="40">#REF!</definedName>
    <definedName name="H13C2" localSheetId="43">#REF!</definedName>
    <definedName name="H13C2" localSheetId="13">#REF!</definedName>
    <definedName name="H13C2" localSheetId="38">#REF!</definedName>
    <definedName name="H13C2">#REF!</definedName>
    <definedName name="H13C3" localSheetId="3">#REF!</definedName>
    <definedName name="H13C3" localSheetId="7">#REF!</definedName>
    <definedName name="H13C3" localSheetId="9">#REF!</definedName>
    <definedName name="H13C3" localSheetId="10">#REF!</definedName>
    <definedName name="H13C3" localSheetId="15">#REF!</definedName>
    <definedName name="H13C3" localSheetId="19">#REF!</definedName>
    <definedName name="H13C3" localSheetId="20">#REF!</definedName>
    <definedName name="H13C3" localSheetId="24">#REF!</definedName>
    <definedName name="H13C3" localSheetId="104">#REF!</definedName>
    <definedName name="H13C3" localSheetId="65">#REF!</definedName>
    <definedName name="H13C3" localSheetId="64">#REF!</definedName>
    <definedName name="H13C3" localSheetId="77">#REF!</definedName>
    <definedName name="H13C3" localSheetId="49">#REF!</definedName>
    <definedName name="H13C3" localSheetId="40">#REF!</definedName>
    <definedName name="H13C3" localSheetId="43">#REF!</definedName>
    <definedName name="H13C3" localSheetId="13">#REF!</definedName>
    <definedName name="H13C3" localSheetId="38">#REF!</definedName>
    <definedName name="H13C3">#REF!</definedName>
    <definedName name="H13C4" localSheetId="3">#REF!</definedName>
    <definedName name="H13C4" localSheetId="7">#REF!</definedName>
    <definedName name="H13C4" localSheetId="9">#REF!</definedName>
    <definedName name="H13C4" localSheetId="10">#REF!</definedName>
    <definedName name="H13C4" localSheetId="15">#REF!</definedName>
    <definedName name="H13C4" localSheetId="19">#REF!</definedName>
    <definedName name="H13C4" localSheetId="20">#REF!</definedName>
    <definedName name="H13C4" localSheetId="24">#REF!</definedName>
    <definedName name="H13C4" localSheetId="104">#REF!</definedName>
    <definedName name="H13C4" localSheetId="65">#REF!</definedName>
    <definedName name="H13C4" localSheetId="64">#REF!</definedName>
    <definedName name="H13C4" localSheetId="77">#REF!</definedName>
    <definedName name="H13C4" localSheetId="49">#REF!</definedName>
    <definedName name="H13C4" localSheetId="40">#REF!</definedName>
    <definedName name="H13C4" localSheetId="43">#REF!</definedName>
    <definedName name="H13C4" localSheetId="13">#REF!</definedName>
    <definedName name="H13C4" localSheetId="38">#REF!</definedName>
    <definedName name="H13C4">#REF!</definedName>
    <definedName name="H13C5" localSheetId="3">#REF!</definedName>
    <definedName name="H13C5" localSheetId="7">#REF!</definedName>
    <definedName name="H13C5" localSheetId="9">#REF!</definedName>
    <definedName name="H13C5" localSheetId="10">#REF!</definedName>
    <definedName name="H13C5" localSheetId="15">#REF!</definedName>
    <definedName name="H13C5" localSheetId="19">#REF!</definedName>
    <definedName name="H13C5" localSheetId="20">#REF!</definedName>
    <definedName name="H13C5" localSheetId="24">#REF!</definedName>
    <definedName name="H13C5" localSheetId="104">#REF!</definedName>
    <definedName name="H13C5" localSheetId="65">#REF!</definedName>
    <definedName name="H13C5" localSheetId="64">#REF!</definedName>
    <definedName name="H13C5" localSheetId="77">#REF!</definedName>
    <definedName name="H13C5" localSheetId="49">#REF!</definedName>
    <definedName name="H13C5" localSheetId="40">#REF!</definedName>
    <definedName name="H13C5" localSheetId="43">#REF!</definedName>
    <definedName name="H13C5" localSheetId="13">#REF!</definedName>
    <definedName name="H13C5" localSheetId="38">#REF!</definedName>
    <definedName name="H13C5">#REF!</definedName>
    <definedName name="H13C6" localSheetId="3">#REF!</definedName>
    <definedName name="H13C6" localSheetId="7">#REF!</definedName>
    <definedName name="H13C6" localSheetId="9">#REF!</definedName>
    <definedName name="H13C6" localSheetId="10">#REF!</definedName>
    <definedName name="H13C6" localSheetId="15">#REF!</definedName>
    <definedName name="H13C6" localSheetId="19">#REF!</definedName>
    <definedName name="H13C6" localSheetId="20">#REF!</definedName>
    <definedName name="H13C6" localSheetId="24">#REF!</definedName>
    <definedName name="H13C6" localSheetId="104">#REF!</definedName>
    <definedName name="H13C6" localSheetId="65">#REF!</definedName>
    <definedName name="H13C6" localSheetId="64">#REF!</definedName>
    <definedName name="H13C6" localSheetId="77">#REF!</definedName>
    <definedName name="H13C6" localSheetId="49">#REF!</definedName>
    <definedName name="H13C6" localSheetId="40">#REF!</definedName>
    <definedName name="H13C6" localSheetId="43">#REF!</definedName>
    <definedName name="H13C6" localSheetId="13">#REF!</definedName>
    <definedName name="H13C6" localSheetId="38">#REF!</definedName>
    <definedName name="H13C6">#REF!</definedName>
    <definedName name="H13C7" localSheetId="3">#REF!</definedName>
    <definedName name="H13C7" localSheetId="7">#REF!</definedName>
    <definedName name="H13C7" localSheetId="9">#REF!</definedName>
    <definedName name="H13C7" localSheetId="10">#REF!</definedName>
    <definedName name="H13C7" localSheetId="15">#REF!</definedName>
    <definedName name="H13C7" localSheetId="19">#REF!</definedName>
    <definedName name="H13C7" localSheetId="20">#REF!</definedName>
    <definedName name="H13C7" localSheetId="24">#REF!</definedName>
    <definedName name="H13C7" localSheetId="104">#REF!</definedName>
    <definedName name="H13C7" localSheetId="65">#REF!</definedName>
    <definedName name="H13C7" localSheetId="64">#REF!</definedName>
    <definedName name="H13C7" localSheetId="77">#REF!</definedName>
    <definedName name="H13C7" localSheetId="49">#REF!</definedName>
    <definedName name="H13C7" localSheetId="40">#REF!</definedName>
    <definedName name="H13C7" localSheetId="43">#REF!</definedName>
    <definedName name="H13C7" localSheetId="13">#REF!</definedName>
    <definedName name="H13C7" localSheetId="38">#REF!</definedName>
    <definedName name="H13C7">#REF!</definedName>
    <definedName name="H13C8" localSheetId="3">#REF!</definedName>
    <definedName name="H13C8" localSheetId="7">#REF!</definedName>
    <definedName name="H13C8" localSheetId="9">#REF!</definedName>
    <definedName name="H13C8" localSheetId="10">#REF!</definedName>
    <definedName name="H13C8" localSheetId="15">#REF!</definedName>
    <definedName name="H13C8" localSheetId="19">#REF!</definedName>
    <definedName name="H13C8" localSheetId="20">#REF!</definedName>
    <definedName name="H13C8" localSheetId="24">#REF!</definedName>
    <definedName name="H13C8" localSheetId="104">#REF!</definedName>
    <definedName name="H13C8" localSheetId="65">#REF!</definedName>
    <definedName name="H13C8" localSheetId="64">#REF!</definedName>
    <definedName name="H13C8" localSheetId="77">#REF!</definedName>
    <definedName name="H13C8" localSheetId="49">#REF!</definedName>
    <definedName name="H13C8" localSheetId="40">#REF!</definedName>
    <definedName name="H13C8" localSheetId="43">#REF!</definedName>
    <definedName name="H13C8" localSheetId="13">#REF!</definedName>
    <definedName name="H13C8" localSheetId="38">#REF!</definedName>
    <definedName name="H13C8">#REF!</definedName>
    <definedName name="H13C9" localSheetId="3">#REF!</definedName>
    <definedName name="H13C9" localSheetId="7">#REF!</definedName>
    <definedName name="H13C9" localSheetId="9">#REF!</definedName>
    <definedName name="H13C9" localSheetId="10">#REF!</definedName>
    <definedName name="H13C9" localSheetId="15">#REF!</definedName>
    <definedName name="H13C9" localSheetId="19">#REF!</definedName>
    <definedName name="H13C9" localSheetId="20">#REF!</definedName>
    <definedName name="H13C9" localSheetId="24">#REF!</definedName>
    <definedName name="H13C9" localSheetId="104">#REF!</definedName>
    <definedName name="H13C9" localSheetId="65">#REF!</definedName>
    <definedName name="H13C9" localSheetId="64">#REF!</definedName>
    <definedName name="H13C9" localSheetId="77">#REF!</definedName>
    <definedName name="H13C9" localSheetId="49">#REF!</definedName>
    <definedName name="H13C9" localSheetId="40">#REF!</definedName>
    <definedName name="H13C9" localSheetId="43">#REF!</definedName>
    <definedName name="H13C9" localSheetId="13">#REF!</definedName>
    <definedName name="H13C9" localSheetId="38">#REF!</definedName>
    <definedName name="H13C9">#REF!</definedName>
    <definedName name="H14C1" localSheetId="3">#REF!</definedName>
    <definedName name="H14C1" localSheetId="7">#REF!</definedName>
    <definedName name="H14C1" localSheetId="9">#REF!</definedName>
    <definedName name="H14C1" localSheetId="10">#REF!</definedName>
    <definedName name="H14C1" localSheetId="15">#REF!</definedName>
    <definedName name="H14C1" localSheetId="19">#REF!</definedName>
    <definedName name="H14C1" localSheetId="20">#REF!</definedName>
    <definedName name="H14C1" localSheetId="24">#REF!</definedName>
    <definedName name="H14C1" localSheetId="104">#REF!</definedName>
    <definedName name="H14C1" localSheetId="65">#REF!</definedName>
    <definedName name="H14C1" localSheetId="64">#REF!</definedName>
    <definedName name="H14C1" localSheetId="77">#REF!</definedName>
    <definedName name="H14C1" localSheetId="49">#REF!</definedName>
    <definedName name="H14C1" localSheetId="40">#REF!</definedName>
    <definedName name="H14C1" localSheetId="43">#REF!</definedName>
    <definedName name="H14C1" localSheetId="13">#REF!</definedName>
    <definedName name="H14C1" localSheetId="38">#REF!</definedName>
    <definedName name="H14C1">#REF!</definedName>
    <definedName name="H14C10" localSheetId="3">#REF!</definedName>
    <definedName name="H14C10" localSheetId="7">#REF!</definedName>
    <definedName name="H14C10" localSheetId="9">#REF!</definedName>
    <definedName name="H14C10" localSheetId="10">#REF!</definedName>
    <definedName name="H14C10" localSheetId="15">#REF!</definedName>
    <definedName name="H14C10" localSheetId="19">#REF!</definedName>
    <definedName name="H14C10" localSheetId="20">#REF!</definedName>
    <definedName name="H14C10" localSheetId="24">#REF!</definedName>
    <definedName name="H14C10" localSheetId="104">#REF!</definedName>
    <definedName name="H14C10" localSheetId="65">#REF!</definedName>
    <definedName name="H14C10" localSheetId="64">#REF!</definedName>
    <definedName name="H14C10" localSheetId="77">#REF!</definedName>
    <definedName name="H14C10" localSheetId="49">#REF!</definedName>
    <definedName name="H14C10" localSheetId="40">#REF!</definedName>
    <definedName name="H14C10" localSheetId="43">#REF!</definedName>
    <definedName name="H14C10" localSheetId="13">#REF!</definedName>
    <definedName name="H14C10" localSheetId="38">#REF!</definedName>
    <definedName name="H14C10">#REF!</definedName>
    <definedName name="H14C11" localSheetId="3">#REF!</definedName>
    <definedName name="H14C11" localSheetId="7">#REF!</definedName>
    <definedName name="H14C11" localSheetId="9">#REF!</definedName>
    <definedName name="H14C11" localSheetId="10">#REF!</definedName>
    <definedName name="H14C11" localSheetId="15">#REF!</definedName>
    <definedName name="H14C11" localSheetId="19">#REF!</definedName>
    <definedName name="H14C11" localSheetId="20">#REF!</definedName>
    <definedName name="H14C11" localSheetId="24">#REF!</definedName>
    <definedName name="H14C11" localSheetId="104">#REF!</definedName>
    <definedName name="H14C11" localSheetId="65">#REF!</definedName>
    <definedName name="H14C11" localSheetId="64">#REF!</definedName>
    <definedName name="H14C11" localSheetId="77">#REF!</definedName>
    <definedName name="H14C11" localSheetId="49">#REF!</definedName>
    <definedName name="H14C11" localSheetId="40">#REF!</definedName>
    <definedName name="H14C11" localSheetId="43">#REF!</definedName>
    <definedName name="H14C11" localSheetId="13">#REF!</definedName>
    <definedName name="H14C11" localSheetId="38">#REF!</definedName>
    <definedName name="H14C11">#REF!</definedName>
    <definedName name="H14C12" localSheetId="3">#REF!</definedName>
    <definedName name="H14C12" localSheetId="7">#REF!</definedName>
    <definedName name="H14C12" localSheetId="9">#REF!</definedName>
    <definedName name="H14C12" localSheetId="10">#REF!</definedName>
    <definedName name="H14C12" localSheetId="15">#REF!</definedName>
    <definedName name="H14C12" localSheetId="19">#REF!</definedName>
    <definedName name="H14C12" localSheetId="20">#REF!</definedName>
    <definedName name="H14C12" localSheetId="24">#REF!</definedName>
    <definedName name="H14C12" localSheetId="104">#REF!</definedName>
    <definedName name="H14C12" localSheetId="65">#REF!</definedName>
    <definedName name="H14C12" localSheetId="64">#REF!</definedName>
    <definedName name="H14C12" localSheetId="77">#REF!</definedName>
    <definedName name="H14C12" localSheetId="49">#REF!</definedName>
    <definedName name="H14C12" localSheetId="40">#REF!</definedName>
    <definedName name="H14C12" localSheetId="43">#REF!</definedName>
    <definedName name="H14C12" localSheetId="13">#REF!</definedName>
    <definedName name="H14C12" localSheetId="38">#REF!</definedName>
    <definedName name="H14C12">#REF!</definedName>
    <definedName name="H14C13" localSheetId="3">#REF!</definedName>
    <definedName name="H14C13" localSheetId="7">#REF!</definedName>
    <definedName name="H14C13" localSheetId="9">#REF!</definedName>
    <definedName name="H14C13" localSheetId="10">#REF!</definedName>
    <definedName name="H14C13" localSheetId="15">#REF!</definedName>
    <definedName name="H14C13" localSheetId="19">#REF!</definedName>
    <definedName name="H14C13" localSheetId="20">#REF!</definedName>
    <definedName name="H14C13" localSheetId="24">#REF!</definedName>
    <definedName name="H14C13" localSheetId="104">#REF!</definedName>
    <definedName name="H14C13" localSheetId="65">#REF!</definedName>
    <definedName name="H14C13" localSheetId="64">#REF!</definedName>
    <definedName name="H14C13" localSheetId="77">#REF!</definedName>
    <definedName name="H14C13" localSheetId="49">#REF!</definedName>
    <definedName name="H14C13" localSheetId="40">#REF!</definedName>
    <definedName name="H14C13" localSheetId="43">#REF!</definedName>
    <definedName name="H14C13" localSheetId="13">#REF!</definedName>
    <definedName name="H14C13" localSheetId="38">#REF!</definedName>
    <definedName name="H14C13">#REF!</definedName>
    <definedName name="H14C14" localSheetId="3">#REF!</definedName>
    <definedName name="H14C14" localSheetId="7">#REF!</definedName>
    <definedName name="H14C14" localSheetId="9">#REF!</definedName>
    <definedName name="H14C14" localSheetId="10">#REF!</definedName>
    <definedName name="H14C14" localSheetId="15">#REF!</definedName>
    <definedName name="H14C14" localSheetId="19">#REF!</definedName>
    <definedName name="H14C14" localSheetId="20">#REF!</definedName>
    <definedName name="H14C14" localSheetId="24">#REF!</definedName>
    <definedName name="H14C14" localSheetId="104">#REF!</definedName>
    <definedName name="H14C14" localSheetId="65">#REF!</definedName>
    <definedName name="H14C14" localSheetId="64">#REF!</definedName>
    <definedName name="H14C14" localSheetId="77">#REF!</definedName>
    <definedName name="H14C14" localSheetId="49">#REF!</definedName>
    <definedName name="H14C14" localSheetId="40">#REF!</definedName>
    <definedName name="H14C14" localSheetId="43">#REF!</definedName>
    <definedName name="H14C14" localSheetId="13">#REF!</definedName>
    <definedName name="H14C14" localSheetId="38">#REF!</definedName>
    <definedName name="H14C14">#REF!</definedName>
    <definedName name="H14C15" localSheetId="3">#REF!</definedName>
    <definedName name="H14C15" localSheetId="7">#REF!</definedName>
    <definedName name="H14C15" localSheetId="9">#REF!</definedName>
    <definedName name="H14C15" localSheetId="10">#REF!</definedName>
    <definedName name="H14C15" localSheetId="15">#REF!</definedName>
    <definedName name="H14C15" localSheetId="19">#REF!</definedName>
    <definedName name="H14C15" localSheetId="20">#REF!</definedName>
    <definedName name="H14C15" localSheetId="24">#REF!</definedName>
    <definedName name="H14C15" localSheetId="104">#REF!</definedName>
    <definedName name="H14C15" localSheetId="65">#REF!</definedName>
    <definedName name="H14C15" localSheetId="64">#REF!</definedName>
    <definedName name="H14C15" localSheetId="77">#REF!</definedName>
    <definedName name="H14C15" localSheetId="49">#REF!</definedName>
    <definedName name="H14C15" localSheetId="40">#REF!</definedName>
    <definedName name="H14C15" localSheetId="43">#REF!</definedName>
    <definedName name="H14C15" localSheetId="13">#REF!</definedName>
    <definedName name="H14C15" localSheetId="38">#REF!</definedName>
    <definedName name="H14C15">#REF!</definedName>
    <definedName name="H14C2" localSheetId="3">#REF!</definedName>
    <definedName name="H14C2" localSheetId="7">#REF!</definedName>
    <definedName name="H14C2" localSheetId="9">#REF!</definedName>
    <definedName name="H14C2" localSheetId="10">#REF!</definedName>
    <definedName name="H14C2" localSheetId="15">#REF!</definedName>
    <definedName name="H14C2" localSheetId="19">#REF!</definedName>
    <definedName name="H14C2" localSheetId="20">#REF!</definedName>
    <definedName name="H14C2" localSheetId="24">#REF!</definedName>
    <definedName name="H14C2" localSheetId="104">#REF!</definedName>
    <definedName name="H14C2" localSheetId="65">#REF!</definedName>
    <definedName name="H14C2" localSheetId="64">#REF!</definedName>
    <definedName name="H14C2" localSheetId="77">#REF!</definedName>
    <definedName name="H14C2" localSheetId="49">#REF!</definedName>
    <definedName name="H14C2" localSheetId="40">#REF!</definedName>
    <definedName name="H14C2" localSheetId="43">#REF!</definedName>
    <definedName name="H14C2" localSheetId="13">#REF!</definedName>
    <definedName name="H14C2" localSheetId="38">#REF!</definedName>
    <definedName name="H14C2">#REF!</definedName>
    <definedName name="H14C3" localSheetId="3">#REF!</definedName>
    <definedName name="H14C3" localSheetId="7">#REF!</definedName>
    <definedName name="H14C3" localSheetId="9">#REF!</definedName>
    <definedName name="H14C3" localSheetId="10">#REF!</definedName>
    <definedName name="H14C3" localSheetId="15">#REF!</definedName>
    <definedName name="H14C3" localSheetId="19">#REF!</definedName>
    <definedName name="H14C3" localSheetId="20">#REF!</definedName>
    <definedName name="H14C3" localSheetId="24">#REF!</definedName>
    <definedName name="H14C3" localSheetId="104">#REF!</definedName>
    <definedName name="H14C3" localSheetId="65">#REF!</definedName>
    <definedName name="H14C3" localSheetId="64">#REF!</definedName>
    <definedName name="H14C3" localSheetId="77">#REF!</definedName>
    <definedName name="H14C3" localSheetId="49">#REF!</definedName>
    <definedName name="H14C3" localSheetId="40">#REF!</definedName>
    <definedName name="H14C3" localSheetId="43">#REF!</definedName>
    <definedName name="H14C3" localSheetId="13">#REF!</definedName>
    <definedName name="H14C3" localSheetId="38">#REF!</definedName>
    <definedName name="H14C3">#REF!</definedName>
    <definedName name="H14C4" localSheetId="3">#REF!</definedName>
    <definedName name="H14C4" localSheetId="7">#REF!</definedName>
    <definedName name="H14C4" localSheetId="9">#REF!</definedName>
    <definedName name="H14C4" localSheetId="10">#REF!</definedName>
    <definedName name="H14C4" localSheetId="15">#REF!</definedName>
    <definedName name="H14C4" localSheetId="19">#REF!</definedName>
    <definedName name="H14C4" localSheetId="20">#REF!</definedName>
    <definedName name="H14C4" localSheetId="24">#REF!</definedName>
    <definedName name="H14C4" localSheetId="104">#REF!</definedName>
    <definedName name="H14C4" localSheetId="65">#REF!</definedName>
    <definedName name="H14C4" localSheetId="64">#REF!</definedName>
    <definedName name="H14C4" localSheetId="77">#REF!</definedName>
    <definedName name="H14C4" localSheetId="49">#REF!</definedName>
    <definedName name="H14C4" localSheetId="40">#REF!</definedName>
    <definedName name="H14C4" localSheetId="43">#REF!</definedName>
    <definedName name="H14C4" localSheetId="13">#REF!</definedName>
    <definedName name="H14C4" localSheetId="38">#REF!</definedName>
    <definedName name="H14C4">#REF!</definedName>
    <definedName name="H14C5" localSheetId="3">#REF!</definedName>
    <definedName name="H14C5" localSheetId="7">#REF!</definedName>
    <definedName name="H14C5" localSheetId="9">#REF!</definedName>
    <definedName name="H14C5" localSheetId="10">#REF!</definedName>
    <definedName name="H14C5" localSheetId="15">#REF!</definedName>
    <definedName name="H14C5" localSheetId="19">#REF!</definedName>
    <definedName name="H14C5" localSheetId="20">#REF!</definedName>
    <definedName name="H14C5" localSheetId="24">#REF!</definedName>
    <definedName name="H14C5" localSheetId="104">#REF!</definedName>
    <definedName name="H14C5" localSheetId="65">#REF!</definedName>
    <definedName name="H14C5" localSheetId="64">#REF!</definedName>
    <definedName name="H14C5" localSheetId="77">#REF!</definedName>
    <definedName name="H14C5" localSheetId="49">#REF!</definedName>
    <definedName name="H14C5" localSheetId="40">#REF!</definedName>
    <definedName name="H14C5" localSheetId="43">#REF!</definedName>
    <definedName name="H14C5" localSheetId="13">#REF!</definedName>
    <definedName name="H14C5" localSheetId="38">#REF!</definedName>
    <definedName name="H14C5">#REF!</definedName>
    <definedName name="H14C6" localSheetId="3">#REF!</definedName>
    <definedName name="H14C6" localSheetId="7">#REF!</definedName>
    <definedName name="H14C6" localSheetId="9">#REF!</definedName>
    <definedName name="H14C6" localSheetId="10">#REF!</definedName>
    <definedName name="H14C6" localSheetId="15">#REF!</definedName>
    <definedName name="H14C6" localSheetId="19">#REF!</definedName>
    <definedName name="H14C6" localSheetId="20">#REF!</definedName>
    <definedName name="H14C6" localSheetId="24">#REF!</definedName>
    <definedName name="H14C6" localSheetId="104">#REF!</definedName>
    <definedName name="H14C6" localSheetId="65">#REF!</definedName>
    <definedName name="H14C6" localSheetId="64">#REF!</definedName>
    <definedName name="H14C6" localSheetId="77">#REF!</definedName>
    <definedName name="H14C6" localSheetId="49">#REF!</definedName>
    <definedName name="H14C6" localSheetId="40">#REF!</definedName>
    <definedName name="H14C6" localSheetId="43">#REF!</definedName>
    <definedName name="H14C6" localSheetId="13">#REF!</definedName>
    <definedName name="H14C6" localSheetId="38">#REF!</definedName>
    <definedName name="H14C6">#REF!</definedName>
    <definedName name="H14C7" localSheetId="3">#REF!</definedName>
    <definedName name="H14C7" localSheetId="7">#REF!</definedName>
    <definedName name="H14C7" localSheetId="9">#REF!</definedName>
    <definedName name="H14C7" localSheetId="10">#REF!</definedName>
    <definedName name="H14C7" localSheetId="15">#REF!</definedName>
    <definedName name="H14C7" localSheetId="19">#REF!</definedName>
    <definedName name="H14C7" localSheetId="20">#REF!</definedName>
    <definedName name="H14C7" localSheetId="24">#REF!</definedName>
    <definedName name="H14C7" localSheetId="104">#REF!</definedName>
    <definedName name="H14C7" localSheetId="65">#REF!</definedName>
    <definedName name="H14C7" localSheetId="64">#REF!</definedName>
    <definedName name="H14C7" localSheetId="77">#REF!</definedName>
    <definedName name="H14C7" localSheetId="49">#REF!</definedName>
    <definedName name="H14C7" localSheetId="40">#REF!</definedName>
    <definedName name="H14C7" localSheetId="43">#REF!</definedName>
    <definedName name="H14C7" localSheetId="13">#REF!</definedName>
    <definedName name="H14C7" localSheetId="38">#REF!</definedName>
    <definedName name="H14C7">#REF!</definedName>
    <definedName name="H14C8" localSheetId="3">#REF!</definedName>
    <definedName name="H14C8" localSheetId="7">#REF!</definedName>
    <definedName name="H14C8" localSheetId="9">#REF!</definedName>
    <definedName name="H14C8" localSheetId="10">#REF!</definedName>
    <definedName name="H14C8" localSheetId="15">#REF!</definedName>
    <definedName name="H14C8" localSheetId="19">#REF!</definedName>
    <definedName name="H14C8" localSheetId="20">#REF!</definedName>
    <definedName name="H14C8" localSheetId="24">#REF!</definedName>
    <definedName name="H14C8" localSheetId="104">#REF!</definedName>
    <definedName name="H14C8" localSheetId="65">#REF!</definedName>
    <definedName name="H14C8" localSheetId="64">#REF!</definedName>
    <definedName name="H14C8" localSheetId="77">#REF!</definedName>
    <definedName name="H14C8" localSheetId="49">#REF!</definedName>
    <definedName name="H14C8" localSheetId="40">#REF!</definedName>
    <definedName name="H14C8" localSheetId="43">#REF!</definedName>
    <definedName name="H14C8" localSheetId="13">#REF!</definedName>
    <definedName name="H14C8" localSheetId="38">#REF!</definedName>
    <definedName name="H14C8">#REF!</definedName>
    <definedName name="H14C9" localSheetId="3">#REF!</definedName>
    <definedName name="H14C9" localSheetId="7">#REF!</definedName>
    <definedName name="H14C9" localSheetId="9">#REF!</definedName>
    <definedName name="H14C9" localSheetId="10">#REF!</definedName>
    <definedName name="H14C9" localSheetId="15">#REF!</definedName>
    <definedName name="H14C9" localSheetId="19">#REF!</definedName>
    <definedName name="H14C9" localSheetId="20">#REF!</definedName>
    <definedName name="H14C9" localSheetId="24">#REF!</definedName>
    <definedName name="H14C9" localSheetId="104">#REF!</definedName>
    <definedName name="H14C9" localSheetId="65">#REF!</definedName>
    <definedName name="H14C9" localSheetId="64">#REF!</definedName>
    <definedName name="H14C9" localSheetId="77">#REF!</definedName>
    <definedName name="H14C9" localSheetId="49">#REF!</definedName>
    <definedName name="H14C9" localSheetId="40">#REF!</definedName>
    <definedName name="H14C9" localSheetId="43">#REF!</definedName>
    <definedName name="H14C9" localSheetId="13">#REF!</definedName>
    <definedName name="H14C9" localSheetId="38">#REF!</definedName>
    <definedName name="H14C9">#REF!</definedName>
    <definedName name="H15C1" localSheetId="3">#REF!</definedName>
    <definedName name="H15C1" localSheetId="7">#REF!</definedName>
    <definedName name="H15C1" localSheetId="9">#REF!</definedName>
    <definedName name="H15C1" localSheetId="10">#REF!</definedName>
    <definedName name="H15C1" localSheetId="15">#REF!</definedName>
    <definedName name="H15C1" localSheetId="19">#REF!</definedName>
    <definedName name="H15C1" localSheetId="20">#REF!</definedName>
    <definedName name="H15C1" localSheetId="24">#REF!</definedName>
    <definedName name="H15C1" localSheetId="104">#REF!</definedName>
    <definedName name="H15C1" localSheetId="65">#REF!</definedName>
    <definedName name="H15C1" localSheetId="64">#REF!</definedName>
    <definedName name="H15C1" localSheetId="77">#REF!</definedName>
    <definedName name="H15C1" localSheetId="49">#REF!</definedName>
    <definedName name="H15C1" localSheetId="40">#REF!</definedName>
    <definedName name="H15C1" localSheetId="43">#REF!</definedName>
    <definedName name="H15C1" localSheetId="13">#REF!</definedName>
    <definedName name="H15C1" localSheetId="38">#REF!</definedName>
    <definedName name="H15C1">#REF!</definedName>
    <definedName name="H15C10" localSheetId="3">#REF!</definedName>
    <definedName name="H15C10" localSheetId="7">#REF!</definedName>
    <definedName name="H15C10" localSheetId="9">#REF!</definedName>
    <definedName name="H15C10" localSheetId="10">#REF!</definedName>
    <definedName name="H15C10" localSheetId="15">#REF!</definedName>
    <definedName name="H15C10" localSheetId="19">#REF!</definedName>
    <definedName name="H15C10" localSheetId="20">#REF!</definedName>
    <definedName name="H15C10" localSheetId="24">#REF!</definedName>
    <definedName name="H15C10" localSheetId="104">#REF!</definedName>
    <definedName name="H15C10" localSheetId="65">#REF!</definedName>
    <definedName name="H15C10" localSheetId="64">#REF!</definedName>
    <definedName name="H15C10" localSheetId="77">#REF!</definedName>
    <definedName name="H15C10" localSheetId="49">#REF!</definedName>
    <definedName name="H15C10" localSheetId="40">#REF!</definedName>
    <definedName name="H15C10" localSheetId="43">#REF!</definedName>
    <definedName name="H15C10" localSheetId="13">#REF!</definedName>
    <definedName name="H15C10" localSheetId="38">#REF!</definedName>
    <definedName name="H15C10">#REF!</definedName>
    <definedName name="H15C11" localSheetId="3">#REF!</definedName>
    <definedName name="H15C11" localSheetId="7">#REF!</definedName>
    <definedName name="H15C11" localSheetId="9">#REF!</definedName>
    <definedName name="H15C11" localSheetId="10">#REF!</definedName>
    <definedName name="H15C11" localSheetId="15">#REF!</definedName>
    <definedName name="H15C11" localSheetId="19">#REF!</definedName>
    <definedName name="H15C11" localSheetId="20">#REF!</definedName>
    <definedName name="H15C11" localSheetId="24">#REF!</definedName>
    <definedName name="H15C11" localSheetId="104">#REF!</definedName>
    <definedName name="H15C11" localSheetId="65">#REF!</definedName>
    <definedName name="H15C11" localSheetId="64">#REF!</definedName>
    <definedName name="H15C11" localSheetId="77">#REF!</definedName>
    <definedName name="H15C11" localSheetId="49">#REF!</definedName>
    <definedName name="H15C11" localSheetId="40">#REF!</definedName>
    <definedName name="H15C11" localSheetId="43">#REF!</definedName>
    <definedName name="H15C11" localSheetId="13">#REF!</definedName>
    <definedName name="H15C11" localSheetId="38">#REF!</definedName>
    <definedName name="H15C11">#REF!</definedName>
    <definedName name="H15C12" localSheetId="3">#REF!</definedName>
    <definedName name="H15C12" localSheetId="7">#REF!</definedName>
    <definedName name="H15C12" localSheetId="9">#REF!</definedName>
    <definedName name="H15C12" localSheetId="10">#REF!</definedName>
    <definedName name="H15C12" localSheetId="15">#REF!</definedName>
    <definedName name="H15C12" localSheetId="19">#REF!</definedName>
    <definedName name="H15C12" localSheetId="20">#REF!</definedName>
    <definedName name="H15C12" localSheetId="24">#REF!</definedName>
    <definedName name="H15C12" localSheetId="104">#REF!</definedName>
    <definedName name="H15C12" localSheetId="65">#REF!</definedName>
    <definedName name="H15C12" localSheetId="64">#REF!</definedName>
    <definedName name="H15C12" localSheetId="77">#REF!</definedName>
    <definedName name="H15C12" localSheetId="49">#REF!</definedName>
    <definedName name="H15C12" localSheetId="40">#REF!</definedName>
    <definedName name="H15C12" localSheetId="43">#REF!</definedName>
    <definedName name="H15C12" localSheetId="13">#REF!</definedName>
    <definedName name="H15C12" localSheetId="38">#REF!</definedName>
    <definedName name="H15C12">#REF!</definedName>
    <definedName name="H15C13" localSheetId="3">#REF!</definedName>
    <definedName name="H15C13" localSheetId="7">#REF!</definedName>
    <definedName name="H15C13" localSheetId="9">#REF!</definedName>
    <definedName name="H15C13" localSheetId="10">#REF!</definedName>
    <definedName name="H15C13" localSheetId="15">#REF!</definedName>
    <definedName name="H15C13" localSheetId="19">#REF!</definedName>
    <definedName name="H15C13" localSheetId="20">#REF!</definedName>
    <definedName name="H15C13" localSheetId="24">#REF!</definedName>
    <definedName name="H15C13" localSheetId="104">#REF!</definedName>
    <definedName name="H15C13" localSheetId="65">#REF!</definedName>
    <definedName name="H15C13" localSheetId="64">#REF!</definedName>
    <definedName name="H15C13" localSheetId="77">#REF!</definedName>
    <definedName name="H15C13" localSheetId="49">#REF!</definedName>
    <definedName name="H15C13" localSheetId="40">#REF!</definedName>
    <definedName name="H15C13" localSheetId="43">#REF!</definedName>
    <definedName name="H15C13" localSheetId="13">#REF!</definedName>
    <definedName name="H15C13" localSheetId="38">#REF!</definedName>
    <definedName name="H15C13">#REF!</definedName>
    <definedName name="H15C14" localSheetId="3">#REF!</definedName>
    <definedName name="H15C14" localSheetId="7">#REF!</definedName>
    <definedName name="H15C14" localSheetId="9">#REF!</definedName>
    <definedName name="H15C14" localSheetId="10">#REF!</definedName>
    <definedName name="H15C14" localSheetId="15">#REF!</definedName>
    <definedName name="H15C14" localSheetId="19">#REF!</definedName>
    <definedName name="H15C14" localSheetId="20">#REF!</definedName>
    <definedName name="H15C14" localSheetId="24">#REF!</definedName>
    <definedName name="H15C14" localSheetId="104">#REF!</definedName>
    <definedName name="H15C14" localSheetId="65">#REF!</definedName>
    <definedName name="H15C14" localSheetId="64">#REF!</definedName>
    <definedName name="H15C14" localSheetId="77">#REF!</definedName>
    <definedName name="H15C14" localSheetId="49">#REF!</definedName>
    <definedName name="H15C14" localSheetId="40">#REF!</definedName>
    <definedName name="H15C14" localSheetId="43">#REF!</definedName>
    <definedName name="H15C14" localSheetId="13">#REF!</definedName>
    <definedName name="H15C14" localSheetId="38">#REF!</definedName>
    <definedName name="H15C14">#REF!</definedName>
    <definedName name="H15C15" localSheetId="3">#REF!</definedName>
    <definedName name="H15C15" localSheetId="7">#REF!</definedName>
    <definedName name="H15C15" localSheetId="9">#REF!</definedName>
    <definedName name="H15C15" localSheetId="10">#REF!</definedName>
    <definedName name="H15C15" localSheetId="15">#REF!</definedName>
    <definedName name="H15C15" localSheetId="19">#REF!</definedName>
    <definedName name="H15C15" localSheetId="20">#REF!</definedName>
    <definedName name="H15C15" localSheetId="24">#REF!</definedName>
    <definedName name="H15C15" localSheetId="104">#REF!</definedName>
    <definedName name="H15C15" localSheetId="65">#REF!</definedName>
    <definedName name="H15C15" localSheetId="64">#REF!</definedName>
    <definedName name="H15C15" localSheetId="77">#REF!</definedName>
    <definedName name="H15C15" localSheetId="49">#REF!</definedName>
    <definedName name="H15C15" localSheetId="40">#REF!</definedName>
    <definedName name="H15C15" localSheetId="43">#REF!</definedName>
    <definedName name="H15C15" localSheetId="13">#REF!</definedName>
    <definedName name="H15C15" localSheetId="38">#REF!</definedName>
    <definedName name="H15C15">#REF!</definedName>
    <definedName name="H15C2" localSheetId="3">#REF!</definedName>
    <definedName name="H15C2" localSheetId="7">#REF!</definedName>
    <definedName name="H15C2" localSheetId="9">#REF!</definedName>
    <definedName name="H15C2" localSheetId="10">#REF!</definedName>
    <definedName name="H15C2" localSheetId="15">#REF!</definedName>
    <definedName name="H15C2" localSheetId="19">#REF!</definedName>
    <definedName name="H15C2" localSheetId="20">#REF!</definedName>
    <definedName name="H15C2" localSheetId="24">#REF!</definedName>
    <definedName name="H15C2" localSheetId="104">#REF!</definedName>
    <definedName name="H15C2" localSheetId="65">#REF!</definedName>
    <definedName name="H15C2" localSheetId="64">#REF!</definedName>
    <definedName name="H15C2" localSheetId="77">#REF!</definedName>
    <definedName name="H15C2" localSheetId="49">#REF!</definedName>
    <definedName name="H15C2" localSheetId="40">#REF!</definedName>
    <definedName name="H15C2" localSheetId="43">#REF!</definedName>
    <definedName name="H15C2" localSheetId="13">#REF!</definedName>
    <definedName name="H15C2" localSheetId="38">#REF!</definedName>
    <definedName name="H15C2">#REF!</definedName>
    <definedName name="H15C3" localSheetId="3">#REF!</definedName>
    <definedName name="H15C3" localSheetId="7">#REF!</definedName>
    <definedName name="H15C3" localSheetId="9">#REF!</definedName>
    <definedName name="H15C3" localSheetId="10">#REF!</definedName>
    <definedName name="H15C3" localSheetId="15">#REF!</definedName>
    <definedName name="H15C3" localSheetId="19">#REF!</definedName>
    <definedName name="H15C3" localSheetId="20">#REF!</definedName>
    <definedName name="H15C3" localSheetId="24">#REF!</definedName>
    <definedName name="H15C3" localSheetId="104">#REF!</definedName>
    <definedName name="H15C3" localSheetId="65">#REF!</definedName>
    <definedName name="H15C3" localSheetId="64">#REF!</definedName>
    <definedName name="H15C3" localSheetId="77">#REF!</definedName>
    <definedName name="H15C3" localSheetId="49">#REF!</definedName>
    <definedName name="H15C3" localSheetId="40">#REF!</definedName>
    <definedName name="H15C3" localSheetId="43">#REF!</definedName>
    <definedName name="H15C3" localSheetId="13">#REF!</definedName>
    <definedName name="H15C3" localSheetId="38">#REF!</definedName>
    <definedName name="H15C3">#REF!</definedName>
    <definedName name="H15C4" localSheetId="3">#REF!</definedName>
    <definedName name="H15C4" localSheetId="7">#REF!</definedName>
    <definedName name="H15C4" localSheetId="9">#REF!</definedName>
    <definedName name="H15C4" localSheetId="10">#REF!</definedName>
    <definedName name="H15C4" localSheetId="15">#REF!</definedName>
    <definedName name="H15C4" localSheetId="19">#REF!</definedName>
    <definedName name="H15C4" localSheetId="20">#REF!</definedName>
    <definedName name="H15C4" localSheetId="24">#REF!</definedName>
    <definedName name="H15C4" localSheetId="104">#REF!</definedName>
    <definedName name="H15C4" localSheetId="65">#REF!</definedName>
    <definedName name="H15C4" localSheetId="64">#REF!</definedName>
    <definedName name="H15C4" localSheetId="77">#REF!</definedName>
    <definedName name="H15C4" localSheetId="49">#REF!</definedName>
    <definedName name="H15C4" localSheetId="40">#REF!</definedName>
    <definedName name="H15C4" localSheetId="43">#REF!</definedName>
    <definedName name="H15C4" localSheetId="13">#REF!</definedName>
    <definedName name="H15C4" localSheetId="38">#REF!</definedName>
    <definedName name="H15C4">#REF!</definedName>
    <definedName name="H15C5" localSheetId="3">#REF!</definedName>
    <definedName name="H15C5" localSheetId="7">#REF!</definedName>
    <definedName name="H15C5" localSheetId="9">#REF!</definedName>
    <definedName name="H15C5" localSheetId="10">#REF!</definedName>
    <definedName name="H15C5" localSheetId="15">#REF!</definedName>
    <definedName name="H15C5" localSheetId="19">#REF!</definedName>
    <definedName name="H15C5" localSheetId="20">#REF!</definedName>
    <definedName name="H15C5" localSheetId="24">#REF!</definedName>
    <definedName name="H15C5" localSheetId="104">#REF!</definedName>
    <definedName name="H15C5" localSheetId="65">#REF!</definedName>
    <definedName name="H15C5" localSheetId="64">#REF!</definedName>
    <definedName name="H15C5" localSheetId="77">#REF!</definedName>
    <definedName name="H15C5" localSheetId="49">#REF!</definedName>
    <definedName name="H15C5" localSheetId="40">#REF!</definedName>
    <definedName name="H15C5" localSheetId="43">#REF!</definedName>
    <definedName name="H15C5" localSheetId="13">#REF!</definedName>
    <definedName name="H15C5" localSheetId="38">#REF!</definedName>
    <definedName name="H15C5">#REF!</definedName>
    <definedName name="H15C6" localSheetId="3">#REF!</definedName>
    <definedName name="H15C6" localSheetId="7">#REF!</definedName>
    <definedName name="H15C6" localSheetId="9">#REF!</definedName>
    <definedName name="H15C6" localSheetId="10">#REF!</definedName>
    <definedName name="H15C6" localSheetId="15">#REF!</definedName>
    <definedName name="H15C6" localSheetId="19">#REF!</definedName>
    <definedName name="H15C6" localSheetId="20">#REF!</definedName>
    <definedName name="H15C6" localSheetId="24">#REF!</definedName>
    <definedName name="H15C6" localSheetId="104">#REF!</definedName>
    <definedName name="H15C6" localSheetId="65">#REF!</definedName>
    <definedName name="H15C6" localSheetId="64">#REF!</definedName>
    <definedName name="H15C6" localSheetId="77">#REF!</definedName>
    <definedName name="H15C6" localSheetId="49">#REF!</definedName>
    <definedName name="H15C6" localSheetId="40">#REF!</definedName>
    <definedName name="H15C6" localSheetId="43">#REF!</definedName>
    <definedName name="H15C6" localSheetId="13">#REF!</definedName>
    <definedName name="H15C6" localSheetId="38">#REF!</definedName>
    <definedName name="H15C6">#REF!</definedName>
    <definedName name="H15C7" localSheetId="3">#REF!</definedName>
    <definedName name="H15C7" localSheetId="7">#REF!</definedName>
    <definedName name="H15C7" localSheetId="9">#REF!</definedName>
    <definedName name="H15C7" localSheetId="10">#REF!</definedName>
    <definedName name="H15C7" localSheetId="15">#REF!</definedName>
    <definedName name="H15C7" localSheetId="19">#REF!</definedName>
    <definedName name="H15C7" localSheetId="20">#REF!</definedName>
    <definedName name="H15C7" localSheetId="24">#REF!</definedName>
    <definedName name="H15C7" localSheetId="104">#REF!</definedName>
    <definedName name="H15C7" localSheetId="65">#REF!</definedName>
    <definedName name="H15C7" localSheetId="64">#REF!</definedName>
    <definedName name="H15C7" localSheetId="77">#REF!</definedName>
    <definedName name="H15C7" localSheetId="49">#REF!</definedName>
    <definedName name="H15C7" localSheetId="40">#REF!</definedName>
    <definedName name="H15C7" localSheetId="43">#REF!</definedName>
    <definedName name="H15C7" localSheetId="13">#REF!</definedName>
    <definedName name="H15C7" localSheetId="38">#REF!</definedName>
    <definedName name="H15C7">#REF!</definedName>
    <definedName name="H15C8" localSheetId="3">#REF!</definedName>
    <definedName name="H15C8" localSheetId="7">#REF!</definedName>
    <definedName name="H15C8" localSheetId="9">#REF!</definedName>
    <definedName name="H15C8" localSheetId="10">#REF!</definedName>
    <definedName name="H15C8" localSheetId="15">#REF!</definedName>
    <definedName name="H15C8" localSheetId="19">#REF!</definedName>
    <definedName name="H15C8" localSheetId="20">#REF!</definedName>
    <definedName name="H15C8" localSheetId="24">#REF!</definedName>
    <definedName name="H15C8" localSheetId="104">#REF!</definedName>
    <definedName name="H15C8" localSheetId="65">#REF!</definedName>
    <definedName name="H15C8" localSheetId="64">#REF!</definedName>
    <definedName name="H15C8" localSheetId="77">#REF!</definedName>
    <definedName name="H15C8" localSheetId="49">#REF!</definedName>
    <definedName name="H15C8" localSheetId="40">#REF!</definedName>
    <definedName name="H15C8" localSheetId="43">#REF!</definedName>
    <definedName name="H15C8" localSheetId="13">#REF!</definedName>
    <definedName name="H15C8" localSheetId="38">#REF!</definedName>
    <definedName name="H15C8">#REF!</definedName>
    <definedName name="H15C9" localSheetId="3">#REF!</definedName>
    <definedName name="H15C9" localSheetId="7">#REF!</definedName>
    <definedName name="H15C9" localSheetId="9">#REF!</definedName>
    <definedName name="H15C9" localSheetId="10">#REF!</definedName>
    <definedName name="H15C9" localSheetId="15">#REF!</definedName>
    <definedName name="H15C9" localSheetId="19">#REF!</definedName>
    <definedName name="H15C9" localSheetId="20">#REF!</definedName>
    <definedName name="H15C9" localSheetId="24">#REF!</definedName>
    <definedName name="H15C9" localSheetId="104">#REF!</definedName>
    <definedName name="H15C9" localSheetId="65">#REF!</definedName>
    <definedName name="H15C9" localSheetId="64">#REF!</definedName>
    <definedName name="H15C9" localSheetId="77">#REF!</definedName>
    <definedName name="H15C9" localSheetId="49">#REF!</definedName>
    <definedName name="H15C9" localSheetId="40">#REF!</definedName>
    <definedName name="H15C9" localSheetId="43">#REF!</definedName>
    <definedName name="H15C9" localSheetId="13">#REF!</definedName>
    <definedName name="H15C9" localSheetId="38">#REF!</definedName>
    <definedName name="H15C9">#REF!</definedName>
    <definedName name="H1601btu" localSheetId="3">'[7]Operational Basis'!#REF!</definedName>
    <definedName name="H1601btu" localSheetId="7">'[7]Operational Basis'!#REF!</definedName>
    <definedName name="H1601btu" localSheetId="9">'[7]Operational Basis'!#REF!</definedName>
    <definedName name="H1601btu" localSheetId="10">'[7]Operational Basis'!#REF!</definedName>
    <definedName name="H1601btu" localSheetId="15">'[7]Operational Basis'!#REF!</definedName>
    <definedName name="H1601btu" localSheetId="19">'[7]Operational Basis'!#REF!</definedName>
    <definedName name="H1601btu" localSheetId="20">'[7]Operational Basis'!#REF!</definedName>
    <definedName name="H1601btu" localSheetId="24">'[7]Operational Basis'!#REF!</definedName>
    <definedName name="H1601btu" localSheetId="104">'[7]Operational Basis'!#REF!</definedName>
    <definedName name="H1601btu" localSheetId="65">'[7]Operational Basis'!#REF!</definedName>
    <definedName name="H1601btu" localSheetId="64">'[7]Operational Basis'!#REF!</definedName>
    <definedName name="H1601btu" localSheetId="77">'[7]Operational Basis'!#REF!</definedName>
    <definedName name="H1601btu" localSheetId="49">'[7]Operational Basis'!#REF!</definedName>
    <definedName name="H1601btu" localSheetId="40">'[7]Operational Basis'!#REF!</definedName>
    <definedName name="H1601btu" localSheetId="43">'[7]Operational Basis'!#REF!</definedName>
    <definedName name="H1601btu" localSheetId="44">'[7]Operational Basis'!#REF!</definedName>
    <definedName name="H1601btu" localSheetId="13">'[7]Operational Basis'!#REF!</definedName>
    <definedName name="H1601btu" localSheetId="38">'[7]Operational Basis'!#REF!</definedName>
    <definedName name="H1601btu">'[7]Operational Basis'!#REF!</definedName>
    <definedName name="H1C1" localSheetId="3">#REF!</definedName>
    <definedName name="H1C1" localSheetId="7">#REF!</definedName>
    <definedName name="H1C1" localSheetId="9">#REF!</definedName>
    <definedName name="H1C1" localSheetId="10">#REF!</definedName>
    <definedName name="H1C1" localSheetId="15">#REF!</definedName>
    <definedName name="H1C1" localSheetId="19">#REF!</definedName>
    <definedName name="H1C1" localSheetId="20">#REF!</definedName>
    <definedName name="H1C1" localSheetId="24">#REF!</definedName>
    <definedName name="H1C1" localSheetId="104">#REF!</definedName>
    <definedName name="H1C1" localSheetId="65">#REF!</definedName>
    <definedName name="H1C1" localSheetId="64">#REF!</definedName>
    <definedName name="H1C1" localSheetId="77">#REF!</definedName>
    <definedName name="H1C1" localSheetId="49">#REF!</definedName>
    <definedName name="H1C1" localSheetId="40">#REF!</definedName>
    <definedName name="H1C1" localSheetId="43">#REF!</definedName>
    <definedName name="H1C1" localSheetId="13">#REF!</definedName>
    <definedName name="H1C1" localSheetId="38">#REF!</definedName>
    <definedName name="H1C1">#REF!</definedName>
    <definedName name="H1C10" localSheetId="3">#REF!</definedName>
    <definedName name="H1C10" localSheetId="7">#REF!</definedName>
    <definedName name="H1C10" localSheetId="9">#REF!</definedName>
    <definedName name="H1C10" localSheetId="10">#REF!</definedName>
    <definedName name="H1C10" localSheetId="15">#REF!</definedName>
    <definedName name="H1C10" localSheetId="19">#REF!</definedName>
    <definedName name="H1C10" localSheetId="20">#REF!</definedName>
    <definedName name="H1C10" localSheetId="24">#REF!</definedName>
    <definedName name="H1C10" localSheetId="104">#REF!</definedName>
    <definedName name="H1C10" localSheetId="65">#REF!</definedName>
    <definedName name="H1C10" localSheetId="64">#REF!</definedName>
    <definedName name="H1C10" localSheetId="77">#REF!</definedName>
    <definedName name="H1C10" localSheetId="49">#REF!</definedName>
    <definedName name="H1C10" localSheetId="40">#REF!</definedName>
    <definedName name="H1C10" localSheetId="43">#REF!</definedName>
    <definedName name="H1C10" localSheetId="13">#REF!</definedName>
    <definedName name="H1C10" localSheetId="38">#REF!</definedName>
    <definedName name="H1C10">#REF!</definedName>
    <definedName name="H1C11" localSheetId="3">#REF!</definedName>
    <definedName name="H1C11" localSheetId="7">#REF!</definedName>
    <definedName name="H1C11" localSheetId="9">#REF!</definedName>
    <definedName name="H1C11" localSheetId="10">#REF!</definedName>
    <definedName name="H1C11" localSheetId="15">#REF!</definedName>
    <definedName name="H1C11" localSheetId="19">#REF!</definedName>
    <definedName name="H1C11" localSheetId="20">#REF!</definedName>
    <definedName name="H1C11" localSheetId="24">#REF!</definedName>
    <definedName name="H1C11" localSheetId="104">#REF!</definedName>
    <definedName name="H1C11" localSheetId="65">#REF!</definedName>
    <definedName name="H1C11" localSheetId="64">#REF!</definedName>
    <definedName name="H1C11" localSheetId="77">#REF!</definedName>
    <definedName name="H1C11" localSheetId="49">#REF!</definedName>
    <definedName name="H1C11" localSheetId="40">#REF!</definedName>
    <definedName name="H1C11" localSheetId="43">#REF!</definedName>
    <definedName name="H1C11" localSheetId="13">#REF!</definedName>
    <definedName name="H1C11" localSheetId="38">#REF!</definedName>
    <definedName name="H1C11">#REF!</definedName>
    <definedName name="H1C12" localSheetId="3">#REF!</definedName>
    <definedName name="H1C12" localSheetId="7">#REF!</definedName>
    <definedName name="H1C12" localSheetId="9">#REF!</definedName>
    <definedName name="H1C12" localSheetId="10">#REF!</definedName>
    <definedName name="H1C12" localSheetId="15">#REF!</definedName>
    <definedName name="H1C12" localSheetId="19">#REF!</definedName>
    <definedName name="H1C12" localSheetId="20">#REF!</definedName>
    <definedName name="H1C12" localSheetId="24">#REF!</definedName>
    <definedName name="H1C12" localSheetId="104">#REF!</definedName>
    <definedName name="H1C12" localSheetId="65">#REF!</definedName>
    <definedName name="H1C12" localSheetId="64">#REF!</definedName>
    <definedName name="H1C12" localSheetId="77">#REF!</definedName>
    <definedName name="H1C12" localSheetId="49">#REF!</definedName>
    <definedName name="H1C12" localSheetId="40">#REF!</definedName>
    <definedName name="H1C12" localSheetId="43">#REF!</definedName>
    <definedName name="H1C12" localSheetId="13">#REF!</definedName>
    <definedName name="H1C12" localSheetId="38">#REF!</definedName>
    <definedName name="H1C12">#REF!</definedName>
    <definedName name="H1C13" localSheetId="3">#REF!</definedName>
    <definedName name="H1C13" localSheetId="7">#REF!</definedName>
    <definedName name="H1C13" localSheetId="9">#REF!</definedName>
    <definedName name="H1C13" localSheetId="10">#REF!</definedName>
    <definedName name="H1C13" localSheetId="15">#REF!</definedName>
    <definedName name="H1C13" localSheetId="19">#REF!</definedName>
    <definedName name="H1C13" localSheetId="20">#REF!</definedName>
    <definedName name="H1C13" localSheetId="24">#REF!</definedName>
    <definedName name="H1C13" localSheetId="104">#REF!</definedName>
    <definedName name="H1C13" localSheetId="65">#REF!</definedName>
    <definedName name="H1C13" localSheetId="64">#REF!</definedName>
    <definedName name="H1C13" localSheetId="77">#REF!</definedName>
    <definedName name="H1C13" localSheetId="49">#REF!</definedName>
    <definedName name="H1C13" localSheetId="40">#REF!</definedName>
    <definedName name="H1C13" localSheetId="43">#REF!</definedName>
    <definedName name="H1C13" localSheetId="13">#REF!</definedName>
    <definedName name="H1C13" localSheetId="38">#REF!</definedName>
    <definedName name="H1C13">#REF!</definedName>
    <definedName name="H1C14" localSheetId="3">#REF!</definedName>
    <definedName name="H1C14" localSheetId="7">#REF!</definedName>
    <definedName name="H1C14" localSheetId="9">#REF!</definedName>
    <definedName name="H1C14" localSheetId="10">#REF!</definedName>
    <definedName name="H1C14" localSheetId="15">#REF!</definedName>
    <definedName name="H1C14" localSheetId="19">#REF!</definedName>
    <definedName name="H1C14" localSheetId="20">#REF!</definedName>
    <definedName name="H1C14" localSheetId="24">#REF!</definedName>
    <definedName name="H1C14" localSheetId="104">#REF!</definedName>
    <definedName name="H1C14" localSheetId="65">#REF!</definedName>
    <definedName name="H1C14" localSheetId="64">#REF!</definedName>
    <definedName name="H1C14" localSheetId="77">#REF!</definedName>
    <definedName name="H1C14" localSheetId="49">#REF!</definedName>
    <definedName name="H1C14" localSheetId="40">#REF!</definedName>
    <definedName name="H1C14" localSheetId="43">#REF!</definedName>
    <definedName name="H1C14" localSheetId="13">#REF!</definedName>
    <definedName name="H1C14" localSheetId="38">#REF!</definedName>
    <definedName name="H1C14">#REF!</definedName>
    <definedName name="H1C15" localSheetId="3">#REF!</definedName>
    <definedName name="H1C15" localSheetId="7">#REF!</definedName>
    <definedName name="H1C15" localSheetId="9">#REF!</definedName>
    <definedName name="H1C15" localSheetId="10">#REF!</definedName>
    <definedName name="H1C15" localSheetId="15">#REF!</definedName>
    <definedName name="H1C15" localSheetId="19">#REF!</definedName>
    <definedName name="H1C15" localSheetId="20">#REF!</definedName>
    <definedName name="H1C15" localSheetId="24">#REF!</definedName>
    <definedName name="H1C15" localSheetId="104">#REF!</definedName>
    <definedName name="H1C15" localSheetId="65">#REF!</definedName>
    <definedName name="H1C15" localSheetId="64">#REF!</definedName>
    <definedName name="H1C15" localSheetId="77">#REF!</definedName>
    <definedName name="H1C15" localSheetId="49">#REF!</definedName>
    <definedName name="H1C15" localSheetId="40">#REF!</definedName>
    <definedName name="H1C15" localSheetId="43">#REF!</definedName>
    <definedName name="H1C15" localSheetId="13">#REF!</definedName>
    <definedName name="H1C15" localSheetId="38">#REF!</definedName>
    <definedName name="H1C15">#REF!</definedName>
    <definedName name="H1C2" localSheetId="3">#REF!</definedName>
    <definedName name="H1C2" localSheetId="7">#REF!</definedName>
    <definedName name="H1C2" localSheetId="9">#REF!</definedName>
    <definedName name="H1C2" localSheetId="10">#REF!</definedName>
    <definedName name="H1C2" localSheetId="15">#REF!</definedName>
    <definedName name="H1C2" localSheetId="19">#REF!</definedName>
    <definedName name="H1C2" localSheetId="20">#REF!</definedName>
    <definedName name="H1C2" localSheetId="24">#REF!</definedName>
    <definedName name="H1C2" localSheetId="104">#REF!</definedName>
    <definedName name="H1C2" localSheetId="65">#REF!</definedName>
    <definedName name="H1C2" localSheetId="64">#REF!</definedName>
    <definedName name="H1C2" localSheetId="77">#REF!</definedName>
    <definedName name="H1C2" localSheetId="49">#REF!</definedName>
    <definedName name="H1C2" localSheetId="40">#REF!</definedName>
    <definedName name="H1C2" localSheetId="43">#REF!</definedName>
    <definedName name="H1C2" localSheetId="13">#REF!</definedName>
    <definedName name="H1C2" localSheetId="38">#REF!</definedName>
    <definedName name="H1C2">#REF!</definedName>
    <definedName name="H1C3" localSheetId="3">#REF!</definedName>
    <definedName name="H1C3" localSheetId="7">#REF!</definedName>
    <definedName name="H1C3" localSheetId="9">#REF!</definedName>
    <definedName name="H1C3" localSheetId="10">#REF!</definedName>
    <definedName name="H1C3" localSheetId="15">#REF!</definedName>
    <definedName name="H1C3" localSheetId="19">#REF!</definedName>
    <definedName name="H1C3" localSheetId="20">#REF!</definedName>
    <definedName name="H1C3" localSheetId="24">#REF!</definedName>
    <definedName name="H1C3" localSheetId="104">#REF!</definedName>
    <definedName name="H1C3" localSheetId="65">#REF!</definedName>
    <definedName name="H1C3" localSheetId="64">#REF!</definedName>
    <definedName name="H1C3" localSheetId="77">#REF!</definedName>
    <definedName name="H1C3" localSheetId="49">#REF!</definedName>
    <definedName name="H1C3" localSheetId="40">#REF!</definedName>
    <definedName name="H1C3" localSheetId="43">#REF!</definedName>
    <definedName name="H1C3" localSheetId="13">#REF!</definedName>
    <definedName name="H1C3" localSheetId="38">#REF!</definedName>
    <definedName name="H1C3">#REF!</definedName>
    <definedName name="H1C4" localSheetId="3">#REF!</definedName>
    <definedName name="H1C4" localSheetId="7">#REF!</definedName>
    <definedName name="H1C4" localSheetId="9">#REF!</definedName>
    <definedName name="H1C4" localSheetId="10">#REF!</definedName>
    <definedName name="H1C4" localSheetId="15">#REF!</definedName>
    <definedName name="H1C4" localSheetId="19">#REF!</definedName>
    <definedName name="H1C4" localSheetId="20">#REF!</definedName>
    <definedName name="H1C4" localSheetId="24">#REF!</definedName>
    <definedName name="H1C4" localSheetId="104">#REF!</definedName>
    <definedName name="H1C4" localSheetId="65">#REF!</definedName>
    <definedName name="H1C4" localSheetId="64">#REF!</definedName>
    <definedName name="H1C4" localSheetId="77">#REF!</definedName>
    <definedName name="H1C4" localSheetId="49">#REF!</definedName>
    <definedName name="H1C4" localSheetId="40">#REF!</definedName>
    <definedName name="H1C4" localSheetId="43">#REF!</definedName>
    <definedName name="H1C4" localSheetId="13">#REF!</definedName>
    <definedName name="H1C4" localSheetId="38">#REF!</definedName>
    <definedName name="H1C4">#REF!</definedName>
    <definedName name="H1C5" localSheetId="3">#REF!</definedName>
    <definedName name="H1C5" localSheetId="7">#REF!</definedName>
    <definedName name="H1C5" localSheetId="9">#REF!</definedName>
    <definedName name="H1C5" localSheetId="10">#REF!</definedName>
    <definedName name="H1C5" localSheetId="15">#REF!</definedName>
    <definedName name="H1C5" localSheetId="19">#REF!</definedName>
    <definedName name="H1C5" localSheetId="20">#REF!</definedName>
    <definedName name="H1C5" localSheetId="24">#REF!</definedName>
    <definedName name="H1C5" localSheetId="104">#REF!</definedName>
    <definedName name="H1C5" localSheetId="65">#REF!</definedName>
    <definedName name="H1C5" localSheetId="64">#REF!</definedName>
    <definedName name="H1C5" localSheetId="77">#REF!</definedName>
    <definedName name="H1C5" localSheetId="49">#REF!</definedName>
    <definedName name="H1C5" localSheetId="40">#REF!</definedName>
    <definedName name="H1C5" localSheetId="43">#REF!</definedName>
    <definedName name="H1C5" localSheetId="13">#REF!</definedName>
    <definedName name="H1C5" localSheetId="38">#REF!</definedName>
    <definedName name="H1C5">#REF!</definedName>
    <definedName name="H1C6" localSheetId="3">#REF!</definedName>
    <definedName name="H1C6" localSheetId="7">#REF!</definedName>
    <definedName name="H1C6" localSheetId="9">#REF!</definedName>
    <definedName name="H1C6" localSheetId="10">#REF!</definedName>
    <definedName name="H1C6" localSheetId="15">#REF!</definedName>
    <definedName name="H1C6" localSheetId="19">#REF!</definedName>
    <definedName name="H1C6" localSheetId="20">#REF!</definedName>
    <definedName name="H1C6" localSheetId="24">#REF!</definedName>
    <definedName name="H1C6" localSheetId="104">#REF!</definedName>
    <definedName name="H1C6" localSheetId="65">#REF!</definedName>
    <definedName name="H1C6" localSheetId="64">#REF!</definedName>
    <definedName name="H1C6" localSheetId="77">#REF!</definedName>
    <definedName name="H1C6" localSheetId="49">#REF!</definedName>
    <definedName name="H1C6" localSheetId="40">#REF!</definedName>
    <definedName name="H1C6" localSheetId="43">#REF!</definedName>
    <definedName name="H1C6" localSheetId="13">#REF!</definedName>
    <definedName name="H1C6" localSheetId="38">#REF!</definedName>
    <definedName name="H1C6">#REF!</definedName>
    <definedName name="H1C7" localSheetId="3">#REF!</definedName>
    <definedName name="H1C7" localSheetId="7">#REF!</definedName>
    <definedName name="H1C7" localSheetId="9">#REF!</definedName>
    <definedName name="H1C7" localSheetId="10">#REF!</definedName>
    <definedName name="H1C7" localSheetId="15">#REF!</definedName>
    <definedName name="H1C7" localSheetId="19">#REF!</definedName>
    <definedName name="H1C7" localSheetId="20">#REF!</definedName>
    <definedName name="H1C7" localSheetId="24">#REF!</definedName>
    <definedName name="H1C7" localSheetId="104">#REF!</definedName>
    <definedName name="H1C7" localSheetId="65">#REF!</definedName>
    <definedName name="H1C7" localSheetId="64">#REF!</definedName>
    <definedName name="H1C7" localSheetId="77">#REF!</definedName>
    <definedName name="H1C7" localSheetId="49">#REF!</definedName>
    <definedName name="H1C7" localSheetId="40">#REF!</definedName>
    <definedName name="H1C7" localSheetId="43">#REF!</definedName>
    <definedName name="H1C7" localSheetId="13">#REF!</definedName>
    <definedName name="H1C7" localSheetId="38">#REF!</definedName>
    <definedName name="H1C7">#REF!</definedName>
    <definedName name="H1C8" localSheetId="3">#REF!</definedName>
    <definedName name="H1C8" localSheetId="7">#REF!</definedName>
    <definedName name="H1C8" localSheetId="9">#REF!</definedName>
    <definedName name="H1C8" localSheetId="10">#REF!</definedName>
    <definedName name="H1C8" localSheetId="15">#REF!</definedName>
    <definedName name="H1C8" localSheetId="19">#REF!</definedName>
    <definedName name="H1C8" localSheetId="20">#REF!</definedName>
    <definedName name="H1C8" localSheetId="24">#REF!</definedName>
    <definedName name="H1C8" localSheetId="104">#REF!</definedName>
    <definedName name="H1C8" localSheetId="65">#REF!</definedName>
    <definedName name="H1C8" localSheetId="64">#REF!</definedName>
    <definedName name="H1C8" localSheetId="77">#REF!</definedName>
    <definedName name="H1C8" localSheetId="49">#REF!</definedName>
    <definedName name="H1C8" localSheetId="40">#REF!</definedName>
    <definedName name="H1C8" localSheetId="43">#REF!</definedName>
    <definedName name="H1C8" localSheetId="13">#REF!</definedName>
    <definedName name="H1C8" localSheetId="38">#REF!</definedName>
    <definedName name="H1C8">#REF!</definedName>
    <definedName name="H1C9" localSheetId="3">#REF!</definedName>
    <definedName name="H1C9" localSheetId="7">#REF!</definedName>
    <definedName name="H1C9" localSheetId="9">#REF!</definedName>
    <definedName name="H1C9" localSheetId="10">#REF!</definedName>
    <definedName name="H1C9" localSheetId="15">#REF!</definedName>
    <definedName name="H1C9" localSheetId="19">#REF!</definedName>
    <definedName name="H1C9" localSheetId="20">#REF!</definedName>
    <definedName name="H1C9" localSheetId="24">#REF!</definedName>
    <definedName name="H1C9" localSheetId="104">#REF!</definedName>
    <definedName name="H1C9" localSheetId="65">#REF!</definedName>
    <definedName name="H1C9" localSheetId="64">#REF!</definedName>
    <definedName name="H1C9" localSheetId="77">#REF!</definedName>
    <definedName name="H1C9" localSheetId="49">#REF!</definedName>
    <definedName name="H1C9" localSheetId="40">#REF!</definedName>
    <definedName name="H1C9" localSheetId="43">#REF!</definedName>
    <definedName name="H1C9" localSheetId="13">#REF!</definedName>
    <definedName name="H1C9" localSheetId="38">#REF!</definedName>
    <definedName name="H1C9">#REF!</definedName>
    <definedName name="H2C1" localSheetId="3">#REF!</definedName>
    <definedName name="H2C1" localSheetId="7">#REF!</definedName>
    <definedName name="H2C1" localSheetId="9">#REF!</definedName>
    <definedName name="H2C1" localSheetId="10">#REF!</definedName>
    <definedName name="H2C1" localSheetId="15">#REF!</definedName>
    <definedName name="H2C1" localSheetId="19">#REF!</definedName>
    <definedName name="H2C1" localSheetId="20">#REF!</definedName>
    <definedName name="H2C1" localSheetId="24">#REF!</definedName>
    <definedName name="H2C1" localSheetId="104">#REF!</definedName>
    <definedName name="H2C1" localSheetId="65">#REF!</definedName>
    <definedName name="H2C1" localSheetId="64">#REF!</definedName>
    <definedName name="H2C1" localSheetId="77">#REF!</definedName>
    <definedName name="H2C1" localSheetId="49">#REF!</definedName>
    <definedName name="H2C1" localSheetId="40">#REF!</definedName>
    <definedName name="H2C1" localSheetId="43">#REF!</definedName>
    <definedName name="H2C1" localSheetId="13">#REF!</definedName>
    <definedName name="H2C1" localSheetId="38">#REF!</definedName>
    <definedName name="H2C1">#REF!</definedName>
    <definedName name="H2C10" localSheetId="3">#REF!</definedName>
    <definedName name="H2C10" localSheetId="7">#REF!</definedName>
    <definedName name="H2C10" localSheetId="9">#REF!</definedName>
    <definedName name="H2C10" localSheetId="10">#REF!</definedName>
    <definedName name="H2C10" localSheetId="15">#REF!</definedName>
    <definedName name="H2C10" localSheetId="19">#REF!</definedName>
    <definedName name="H2C10" localSheetId="20">#REF!</definedName>
    <definedName name="H2C10" localSheetId="24">#REF!</definedName>
    <definedName name="H2C10" localSheetId="104">#REF!</definedName>
    <definedName name="H2C10" localSheetId="65">#REF!</definedName>
    <definedName name="H2C10" localSheetId="64">#REF!</definedName>
    <definedName name="H2C10" localSheetId="77">#REF!</definedName>
    <definedName name="H2C10" localSheetId="49">#REF!</definedName>
    <definedName name="H2C10" localSheetId="40">#REF!</definedName>
    <definedName name="H2C10" localSheetId="43">#REF!</definedName>
    <definedName name="H2C10" localSheetId="13">#REF!</definedName>
    <definedName name="H2C10" localSheetId="38">#REF!</definedName>
    <definedName name="H2C10">#REF!</definedName>
    <definedName name="H2C11" localSheetId="3">#REF!</definedName>
    <definedName name="H2C11" localSheetId="7">#REF!</definedName>
    <definedName name="H2C11" localSheetId="9">#REF!</definedName>
    <definedName name="H2C11" localSheetId="10">#REF!</definedName>
    <definedName name="H2C11" localSheetId="15">#REF!</definedName>
    <definedName name="H2C11" localSheetId="19">#REF!</definedName>
    <definedName name="H2C11" localSheetId="20">#REF!</definedName>
    <definedName name="H2C11" localSheetId="24">#REF!</definedName>
    <definedName name="H2C11" localSheetId="104">#REF!</definedName>
    <definedName name="H2C11" localSheetId="65">#REF!</definedName>
    <definedName name="H2C11" localSheetId="64">#REF!</definedName>
    <definedName name="H2C11" localSheetId="77">#REF!</definedName>
    <definedName name="H2C11" localSheetId="49">#REF!</definedName>
    <definedName name="H2C11" localSheetId="40">#REF!</definedName>
    <definedName name="H2C11" localSheetId="43">#REF!</definedName>
    <definedName name="H2C11" localSheetId="13">#REF!</definedName>
    <definedName name="H2C11" localSheetId="38">#REF!</definedName>
    <definedName name="H2C11">#REF!</definedName>
    <definedName name="H2C12" localSheetId="3">#REF!</definedName>
    <definedName name="H2C12" localSheetId="7">#REF!</definedName>
    <definedName name="H2C12" localSheetId="9">#REF!</definedName>
    <definedName name="H2C12" localSheetId="10">#REF!</definedName>
    <definedName name="H2C12" localSheetId="15">#REF!</definedName>
    <definedName name="H2C12" localSheetId="19">#REF!</definedName>
    <definedName name="H2C12" localSheetId="20">#REF!</definedName>
    <definedName name="H2C12" localSheetId="24">#REF!</definedName>
    <definedName name="H2C12" localSheetId="104">#REF!</definedName>
    <definedName name="H2C12" localSheetId="65">#REF!</definedName>
    <definedName name="H2C12" localSheetId="64">#REF!</definedName>
    <definedName name="H2C12" localSheetId="77">#REF!</definedName>
    <definedName name="H2C12" localSheetId="49">#REF!</definedName>
    <definedName name="H2C12" localSheetId="40">#REF!</definedName>
    <definedName name="H2C12" localSheetId="43">#REF!</definedName>
    <definedName name="H2C12" localSheetId="13">#REF!</definedName>
    <definedName name="H2C12" localSheetId="38">#REF!</definedName>
    <definedName name="H2C12">#REF!</definedName>
    <definedName name="H2C13" localSheetId="3">#REF!</definedName>
    <definedName name="H2C13" localSheetId="7">#REF!</definedName>
    <definedName name="H2C13" localSheetId="9">#REF!</definedName>
    <definedName name="H2C13" localSheetId="10">#REF!</definedName>
    <definedName name="H2C13" localSheetId="15">#REF!</definedName>
    <definedName name="H2C13" localSheetId="19">#REF!</definedName>
    <definedName name="H2C13" localSheetId="20">#REF!</definedName>
    <definedName name="H2C13" localSheetId="24">#REF!</definedName>
    <definedName name="H2C13" localSheetId="104">#REF!</definedName>
    <definedName name="H2C13" localSheetId="65">#REF!</definedName>
    <definedName name="H2C13" localSheetId="64">#REF!</definedName>
    <definedName name="H2C13" localSheetId="77">#REF!</definedName>
    <definedName name="H2C13" localSheetId="49">#REF!</definedName>
    <definedName name="H2C13" localSheetId="40">#REF!</definedName>
    <definedName name="H2C13" localSheetId="43">#REF!</definedName>
    <definedName name="H2C13" localSheetId="13">#REF!</definedName>
    <definedName name="H2C13" localSheetId="38">#REF!</definedName>
    <definedName name="H2C13">#REF!</definedName>
    <definedName name="H2C14" localSheetId="3">#REF!</definedName>
    <definedName name="H2C14" localSheetId="7">#REF!</definedName>
    <definedName name="H2C14" localSheetId="9">#REF!</definedName>
    <definedName name="H2C14" localSheetId="10">#REF!</definedName>
    <definedName name="H2C14" localSheetId="15">#REF!</definedName>
    <definedName name="H2C14" localSheetId="19">#REF!</definedName>
    <definedName name="H2C14" localSheetId="20">#REF!</definedName>
    <definedName name="H2C14" localSheetId="24">#REF!</definedName>
    <definedName name="H2C14" localSheetId="104">#REF!</definedName>
    <definedName name="H2C14" localSheetId="65">#REF!</definedName>
    <definedName name="H2C14" localSheetId="64">#REF!</definedName>
    <definedName name="H2C14" localSheetId="77">#REF!</definedName>
    <definedName name="H2C14" localSheetId="49">#REF!</definedName>
    <definedName name="H2C14" localSheetId="40">#REF!</definedName>
    <definedName name="H2C14" localSheetId="43">#REF!</definedName>
    <definedName name="H2C14" localSheetId="13">#REF!</definedName>
    <definedName name="H2C14" localSheetId="38">#REF!</definedName>
    <definedName name="H2C14">#REF!</definedName>
    <definedName name="H2C15" localSheetId="3">#REF!</definedName>
    <definedName name="H2C15" localSheetId="7">#REF!</definedName>
    <definedName name="H2C15" localSheetId="9">#REF!</definedName>
    <definedName name="H2C15" localSheetId="10">#REF!</definedName>
    <definedName name="H2C15" localSheetId="15">#REF!</definedName>
    <definedName name="H2C15" localSheetId="19">#REF!</definedName>
    <definedName name="H2C15" localSheetId="20">#REF!</definedName>
    <definedName name="H2C15" localSheetId="24">#REF!</definedName>
    <definedName name="H2C15" localSheetId="104">#REF!</definedName>
    <definedName name="H2C15" localSheetId="65">#REF!</definedName>
    <definedName name="H2C15" localSheetId="64">#REF!</definedName>
    <definedName name="H2C15" localSheetId="77">#REF!</definedName>
    <definedName name="H2C15" localSheetId="49">#REF!</definedName>
    <definedName name="H2C15" localSheetId="40">#REF!</definedName>
    <definedName name="H2C15" localSheetId="43">#REF!</definedName>
    <definedName name="H2C15" localSheetId="13">#REF!</definedName>
    <definedName name="H2C15" localSheetId="38">#REF!</definedName>
    <definedName name="H2C15">#REF!</definedName>
    <definedName name="H2C2" localSheetId="3">#REF!</definedName>
    <definedName name="H2C2" localSheetId="7">#REF!</definedName>
    <definedName name="H2C2" localSheetId="9">#REF!</definedName>
    <definedName name="H2C2" localSheetId="10">#REF!</definedName>
    <definedName name="H2C2" localSheetId="15">#REF!</definedName>
    <definedName name="H2C2" localSheetId="19">#REF!</definedName>
    <definedName name="H2C2" localSheetId="20">#REF!</definedName>
    <definedName name="H2C2" localSheetId="24">#REF!</definedName>
    <definedName name="H2C2" localSheetId="104">#REF!</definedName>
    <definedName name="H2C2" localSheetId="65">#REF!</definedName>
    <definedName name="H2C2" localSheetId="64">#REF!</definedName>
    <definedName name="H2C2" localSheetId="77">#REF!</definedName>
    <definedName name="H2C2" localSheetId="49">#REF!</definedName>
    <definedName name="H2C2" localSheetId="40">#REF!</definedName>
    <definedName name="H2C2" localSheetId="43">#REF!</definedName>
    <definedName name="H2C2" localSheetId="13">#REF!</definedName>
    <definedName name="H2C2" localSheetId="38">#REF!</definedName>
    <definedName name="H2C2">#REF!</definedName>
    <definedName name="H2C3" localSheetId="3">#REF!</definedName>
    <definedName name="H2C3" localSheetId="7">#REF!</definedName>
    <definedName name="H2C3" localSheetId="9">#REF!</definedName>
    <definedName name="H2C3" localSheetId="10">#REF!</definedName>
    <definedName name="H2C3" localSheetId="15">#REF!</definedName>
    <definedName name="H2C3" localSheetId="19">#REF!</definedName>
    <definedName name="H2C3" localSheetId="20">#REF!</definedName>
    <definedName name="H2C3" localSheetId="24">#REF!</definedName>
    <definedName name="H2C3" localSheetId="104">#REF!</definedName>
    <definedName name="H2C3" localSheetId="65">#REF!</definedName>
    <definedName name="H2C3" localSheetId="64">#REF!</definedName>
    <definedName name="H2C3" localSheetId="77">#REF!</definedName>
    <definedName name="H2C3" localSheetId="49">#REF!</definedName>
    <definedName name="H2C3" localSheetId="40">#REF!</definedName>
    <definedName name="H2C3" localSheetId="43">#REF!</definedName>
    <definedName name="H2C3" localSheetId="13">#REF!</definedName>
    <definedName name="H2C3" localSheetId="38">#REF!</definedName>
    <definedName name="H2C3">#REF!</definedName>
    <definedName name="H2C4" localSheetId="3">#REF!</definedName>
    <definedName name="H2C4" localSheetId="7">#REF!</definedName>
    <definedName name="H2C4" localSheetId="9">#REF!</definedName>
    <definedName name="H2C4" localSheetId="10">#REF!</definedName>
    <definedName name="H2C4" localSheetId="15">#REF!</definedName>
    <definedName name="H2C4" localSheetId="19">#REF!</definedName>
    <definedName name="H2C4" localSheetId="20">#REF!</definedName>
    <definedName name="H2C4" localSheetId="24">#REF!</definedName>
    <definedName name="H2C4" localSheetId="104">#REF!</definedName>
    <definedName name="H2C4" localSheetId="65">#REF!</definedName>
    <definedName name="H2C4" localSheetId="64">#REF!</definedName>
    <definedName name="H2C4" localSheetId="77">#REF!</definedName>
    <definedName name="H2C4" localSheetId="49">#REF!</definedName>
    <definedName name="H2C4" localSheetId="40">#REF!</definedName>
    <definedName name="H2C4" localSheetId="43">#REF!</definedName>
    <definedName name="H2C4" localSheetId="13">#REF!</definedName>
    <definedName name="H2C4" localSheetId="38">#REF!</definedName>
    <definedName name="H2C4">#REF!</definedName>
    <definedName name="H2C5" localSheetId="3">#REF!</definedName>
    <definedName name="H2C5" localSheetId="7">#REF!</definedName>
    <definedName name="H2C5" localSheetId="9">#REF!</definedName>
    <definedName name="H2C5" localSheetId="10">#REF!</definedName>
    <definedName name="H2C5" localSheetId="15">#REF!</definedName>
    <definedName name="H2C5" localSheetId="19">#REF!</definedName>
    <definedName name="H2C5" localSheetId="20">#REF!</definedName>
    <definedName name="H2C5" localSheetId="24">#REF!</definedName>
    <definedName name="H2C5" localSheetId="104">#REF!</definedName>
    <definedName name="H2C5" localSheetId="65">#REF!</definedName>
    <definedName name="H2C5" localSheetId="64">#REF!</definedName>
    <definedName name="H2C5" localSheetId="77">#REF!</definedName>
    <definedName name="H2C5" localSheetId="49">#REF!</definedName>
    <definedName name="H2C5" localSheetId="40">#REF!</definedName>
    <definedName name="H2C5" localSheetId="43">#REF!</definedName>
    <definedName name="H2C5" localSheetId="13">#REF!</definedName>
    <definedName name="H2C5" localSheetId="38">#REF!</definedName>
    <definedName name="H2C5">#REF!</definedName>
    <definedName name="H2C6" localSheetId="3">#REF!</definedName>
    <definedName name="H2C6" localSheetId="7">#REF!</definedName>
    <definedName name="H2C6" localSheetId="9">#REF!</definedName>
    <definedName name="H2C6" localSheetId="10">#REF!</definedName>
    <definedName name="H2C6" localSheetId="15">#REF!</definedName>
    <definedName name="H2C6" localSheetId="19">#REF!</definedName>
    <definedName name="H2C6" localSheetId="20">#REF!</definedName>
    <definedName name="H2C6" localSheetId="24">#REF!</definedName>
    <definedName name="H2C6" localSheetId="104">#REF!</definedName>
    <definedName name="H2C6" localSheetId="65">#REF!</definedName>
    <definedName name="H2C6" localSheetId="64">#REF!</definedName>
    <definedName name="H2C6" localSheetId="77">#REF!</definedName>
    <definedName name="H2C6" localSheetId="49">#REF!</definedName>
    <definedName name="H2C6" localSheetId="40">#REF!</definedName>
    <definedName name="H2C6" localSheetId="43">#REF!</definedName>
    <definedName name="H2C6" localSheetId="13">#REF!</definedName>
    <definedName name="H2C6" localSheetId="38">#REF!</definedName>
    <definedName name="H2C6">#REF!</definedName>
    <definedName name="H2C7" localSheetId="3">#REF!</definedName>
    <definedName name="H2C7" localSheetId="7">#REF!</definedName>
    <definedName name="H2C7" localSheetId="9">#REF!</definedName>
    <definedName name="H2C7" localSheetId="10">#REF!</definedName>
    <definedName name="H2C7" localSheetId="15">#REF!</definedName>
    <definedName name="H2C7" localSheetId="19">#REF!</definedName>
    <definedName name="H2C7" localSheetId="20">#REF!</definedName>
    <definedName name="H2C7" localSheetId="24">#REF!</definedName>
    <definedName name="H2C7" localSheetId="104">#REF!</definedName>
    <definedName name="H2C7" localSheetId="65">#REF!</definedName>
    <definedName name="H2C7" localSheetId="64">#REF!</definedName>
    <definedName name="H2C7" localSheetId="77">#REF!</definedName>
    <definedName name="H2C7" localSheetId="49">#REF!</definedName>
    <definedName name="H2C7" localSheetId="40">#REF!</definedName>
    <definedName name="H2C7" localSheetId="43">#REF!</definedName>
    <definedName name="H2C7" localSheetId="13">#REF!</definedName>
    <definedName name="H2C7" localSheetId="38">#REF!</definedName>
    <definedName name="H2C7">#REF!</definedName>
    <definedName name="H2C8" localSheetId="3">#REF!</definedName>
    <definedName name="H2C8" localSheetId="7">#REF!</definedName>
    <definedName name="H2C8" localSheetId="9">#REF!</definedName>
    <definedName name="H2C8" localSheetId="10">#REF!</definedName>
    <definedName name="H2C8" localSheetId="15">#REF!</definedName>
    <definedName name="H2C8" localSheetId="19">#REF!</definedName>
    <definedName name="H2C8" localSheetId="20">#REF!</definedName>
    <definedName name="H2C8" localSheetId="24">#REF!</definedName>
    <definedName name="H2C8" localSheetId="104">#REF!</definedName>
    <definedName name="H2C8" localSheetId="65">#REF!</definedName>
    <definedName name="H2C8" localSheetId="64">#REF!</definedName>
    <definedName name="H2C8" localSheetId="77">#REF!</definedName>
    <definedName name="H2C8" localSheetId="49">#REF!</definedName>
    <definedName name="H2C8" localSheetId="40">#REF!</definedName>
    <definedName name="H2C8" localSheetId="43">#REF!</definedName>
    <definedName name="H2C8" localSheetId="13">#REF!</definedName>
    <definedName name="H2C8" localSheetId="38">#REF!</definedName>
    <definedName name="H2C8">#REF!</definedName>
    <definedName name="H2C9" localSheetId="3">#REF!</definedName>
    <definedName name="H2C9" localSheetId="7">#REF!</definedName>
    <definedName name="H2C9" localSheetId="9">#REF!</definedName>
    <definedName name="H2C9" localSheetId="10">#REF!</definedName>
    <definedName name="H2C9" localSheetId="15">#REF!</definedName>
    <definedName name="H2C9" localSheetId="19">#REF!</definedName>
    <definedName name="H2C9" localSheetId="20">#REF!</definedName>
    <definedName name="H2C9" localSheetId="24">#REF!</definedName>
    <definedName name="H2C9" localSheetId="104">#REF!</definedName>
    <definedName name="H2C9" localSheetId="65">#REF!</definedName>
    <definedName name="H2C9" localSheetId="64">#REF!</definedName>
    <definedName name="H2C9" localSheetId="77">#REF!</definedName>
    <definedName name="H2C9" localSheetId="49">#REF!</definedName>
    <definedName name="H2C9" localSheetId="40">#REF!</definedName>
    <definedName name="H2C9" localSheetId="43">#REF!</definedName>
    <definedName name="H2C9" localSheetId="13">#REF!</definedName>
    <definedName name="H2C9" localSheetId="38">#REF!</definedName>
    <definedName name="H2C9">#REF!</definedName>
    <definedName name="h2furnbtu" localSheetId="3">'[7]Operational Basis'!#REF!</definedName>
    <definedName name="h2furnbtu" localSheetId="7">'[7]Operational Basis'!#REF!</definedName>
    <definedName name="h2furnbtu" localSheetId="9">'[7]Operational Basis'!#REF!</definedName>
    <definedName name="h2furnbtu" localSheetId="10">'[7]Operational Basis'!#REF!</definedName>
    <definedName name="h2furnbtu" localSheetId="15">'[7]Operational Basis'!#REF!</definedName>
    <definedName name="h2furnbtu" localSheetId="19">'[7]Operational Basis'!#REF!</definedName>
    <definedName name="h2furnbtu" localSheetId="20">'[7]Operational Basis'!#REF!</definedName>
    <definedName name="h2furnbtu" localSheetId="24">'[7]Operational Basis'!#REF!</definedName>
    <definedName name="h2furnbtu" localSheetId="104">'[7]Operational Basis'!#REF!</definedName>
    <definedName name="h2furnbtu" localSheetId="65">'[7]Operational Basis'!#REF!</definedName>
    <definedName name="h2furnbtu" localSheetId="64">'[7]Operational Basis'!#REF!</definedName>
    <definedName name="h2furnbtu" localSheetId="77">'[7]Operational Basis'!#REF!</definedName>
    <definedName name="h2furnbtu" localSheetId="49">'[7]Operational Basis'!#REF!</definedName>
    <definedName name="h2furnbtu" localSheetId="40">'[7]Operational Basis'!#REF!</definedName>
    <definedName name="h2furnbtu" localSheetId="43">'[7]Operational Basis'!#REF!</definedName>
    <definedName name="h2furnbtu" localSheetId="44">'[7]Operational Basis'!#REF!</definedName>
    <definedName name="h2furnbtu" localSheetId="13">'[7]Operational Basis'!#REF!</definedName>
    <definedName name="h2furnbtu" localSheetId="38">'[7]Operational Basis'!#REF!</definedName>
    <definedName name="h2furnbtu">'[7]Operational Basis'!#REF!</definedName>
    <definedName name="H2S" localSheetId="3">'[8]Completion Emissions Tier0'!#REF!</definedName>
    <definedName name="H2S" localSheetId="7">'[8]Completion Emissions Tier0'!#REF!</definedName>
    <definedName name="H2S" localSheetId="9">'[8]Completion Emissions Tier0'!#REF!</definedName>
    <definedName name="H2S" localSheetId="10">'[8]Completion Emissions Tier0'!#REF!</definedName>
    <definedName name="H2S" localSheetId="15">'[8]Completion Emissions Tier0'!#REF!</definedName>
    <definedName name="H2S" localSheetId="19">'[8]Completion Emissions Tier0'!#REF!</definedName>
    <definedName name="H2S" localSheetId="20">'[8]Completion Emissions Tier0'!#REF!</definedName>
    <definedName name="H2S" localSheetId="24">'[8]Completion Emissions Tier0'!#REF!</definedName>
    <definedName name="H2S" localSheetId="104">'[8]Completion Emissions Tier0'!#REF!</definedName>
    <definedName name="H2S" localSheetId="65">'[8]Completion Emissions Tier0'!#REF!</definedName>
    <definedName name="H2S" localSheetId="64">'[8]Completion Emissions Tier0'!#REF!</definedName>
    <definedName name="H2S" localSheetId="77">'[8]Completion Emissions Tier0'!#REF!</definedName>
    <definedName name="H2S" localSheetId="49">'[8]Completion Emissions Tier0'!#REF!</definedName>
    <definedName name="H2S" localSheetId="40">'[8]Completion Emissions Tier0'!#REF!</definedName>
    <definedName name="H2S" localSheetId="43">'[8]Completion Emissions Tier0'!#REF!</definedName>
    <definedName name="H2S" localSheetId="44">'[8]Completion Emissions Tier0'!#REF!</definedName>
    <definedName name="H2S" localSheetId="13">'[8]Completion Emissions Tier0'!#REF!</definedName>
    <definedName name="H2S" localSheetId="38">'[8]Completion Emissions Tier0'!#REF!</definedName>
    <definedName name="H2S">'[8]Completion Emissions Tier0'!#REF!</definedName>
    <definedName name="H3505btu" localSheetId="3">'[7]Operational Basis'!#REF!</definedName>
    <definedName name="H3505btu" localSheetId="7">'[7]Operational Basis'!#REF!</definedName>
    <definedName name="H3505btu" localSheetId="9">'[7]Operational Basis'!#REF!</definedName>
    <definedName name="H3505btu" localSheetId="10">'[7]Operational Basis'!#REF!</definedName>
    <definedName name="H3505btu" localSheetId="15">'[7]Operational Basis'!#REF!</definedName>
    <definedName name="H3505btu" localSheetId="19">'[7]Operational Basis'!#REF!</definedName>
    <definedName name="H3505btu" localSheetId="20">'[7]Operational Basis'!#REF!</definedName>
    <definedName name="H3505btu" localSheetId="24">'[7]Operational Basis'!#REF!</definedName>
    <definedName name="H3505btu" localSheetId="104">'[7]Operational Basis'!#REF!</definedName>
    <definedName name="H3505btu" localSheetId="65">'[7]Operational Basis'!#REF!</definedName>
    <definedName name="H3505btu" localSheetId="64">'[7]Operational Basis'!#REF!</definedName>
    <definedName name="H3505btu" localSheetId="77">'[7]Operational Basis'!#REF!</definedName>
    <definedName name="H3505btu" localSheetId="49">'[7]Operational Basis'!#REF!</definedName>
    <definedName name="H3505btu" localSheetId="40">'[7]Operational Basis'!#REF!</definedName>
    <definedName name="H3505btu" localSheetId="43">'[7]Operational Basis'!#REF!</definedName>
    <definedName name="H3505btu" localSheetId="44">'[7]Operational Basis'!#REF!</definedName>
    <definedName name="H3505btu" localSheetId="13">'[7]Operational Basis'!#REF!</definedName>
    <definedName name="H3505btu" localSheetId="38">'[7]Operational Basis'!#REF!</definedName>
    <definedName name="H3505btu">'[7]Operational Basis'!#REF!</definedName>
    <definedName name="H3C1" localSheetId="3">#REF!</definedName>
    <definedName name="H3C1" localSheetId="7">#REF!</definedName>
    <definedName name="H3C1" localSheetId="9">#REF!</definedName>
    <definedName name="H3C1" localSheetId="10">#REF!</definedName>
    <definedName name="H3C1" localSheetId="15">#REF!</definedName>
    <definedName name="H3C1" localSheetId="19">#REF!</definedName>
    <definedName name="H3C1" localSheetId="20">#REF!</definedName>
    <definedName name="H3C1" localSheetId="24">#REF!</definedName>
    <definedName name="H3C1" localSheetId="104">#REF!</definedName>
    <definedName name="H3C1" localSheetId="65">#REF!</definedName>
    <definedName name="H3C1" localSheetId="64">#REF!</definedName>
    <definedName name="H3C1" localSheetId="77">#REF!</definedName>
    <definedName name="H3C1" localSheetId="49">#REF!</definedName>
    <definedName name="H3C1" localSheetId="40">#REF!</definedName>
    <definedName name="H3C1" localSheetId="43">#REF!</definedName>
    <definedName name="H3C1" localSheetId="13">#REF!</definedName>
    <definedName name="H3C1" localSheetId="38">#REF!</definedName>
    <definedName name="H3C1">#REF!</definedName>
    <definedName name="H3C10" localSheetId="3">#REF!</definedName>
    <definedName name="H3C10" localSheetId="7">#REF!</definedName>
    <definedName name="H3C10" localSheetId="9">#REF!</definedName>
    <definedName name="H3C10" localSheetId="10">#REF!</definedName>
    <definedName name="H3C10" localSheetId="15">#REF!</definedName>
    <definedName name="H3C10" localSheetId="19">#REF!</definedName>
    <definedName name="H3C10" localSheetId="20">#REF!</definedName>
    <definedName name="H3C10" localSheetId="24">#REF!</definedName>
    <definedName name="H3C10" localSheetId="104">#REF!</definedName>
    <definedName name="H3C10" localSheetId="65">#REF!</definedName>
    <definedName name="H3C10" localSheetId="64">#REF!</definedName>
    <definedName name="H3C10" localSheetId="77">#REF!</definedName>
    <definedName name="H3C10" localSheetId="49">#REF!</definedName>
    <definedName name="H3C10" localSheetId="40">#REF!</definedName>
    <definedName name="H3C10" localSheetId="43">#REF!</definedName>
    <definedName name="H3C10" localSheetId="13">#REF!</definedName>
    <definedName name="H3C10" localSheetId="38">#REF!</definedName>
    <definedName name="H3C10">#REF!</definedName>
    <definedName name="H3C11" localSheetId="3">#REF!</definedName>
    <definedName name="H3C11" localSheetId="7">#REF!</definedName>
    <definedName name="H3C11" localSheetId="9">#REF!</definedName>
    <definedName name="H3C11" localSheetId="10">#REF!</definedName>
    <definedName name="H3C11" localSheetId="15">#REF!</definedName>
    <definedName name="H3C11" localSheetId="19">#REF!</definedName>
    <definedName name="H3C11" localSheetId="20">#REF!</definedName>
    <definedName name="H3C11" localSheetId="24">#REF!</definedName>
    <definedName name="H3C11" localSheetId="104">#REF!</definedName>
    <definedName name="H3C11" localSheetId="65">#REF!</definedName>
    <definedName name="H3C11" localSheetId="64">#REF!</definedName>
    <definedName name="H3C11" localSheetId="77">#REF!</definedName>
    <definedName name="H3C11" localSheetId="49">#REF!</definedName>
    <definedName name="H3C11" localSheetId="40">#REF!</definedName>
    <definedName name="H3C11" localSheetId="43">#REF!</definedName>
    <definedName name="H3C11" localSheetId="13">#REF!</definedName>
    <definedName name="H3C11" localSheetId="38">#REF!</definedName>
    <definedName name="H3C11">#REF!</definedName>
    <definedName name="H3C12" localSheetId="3">#REF!</definedName>
    <definedName name="H3C12" localSheetId="7">#REF!</definedName>
    <definedName name="H3C12" localSheetId="9">#REF!</definedName>
    <definedName name="H3C12" localSheetId="10">#REF!</definedName>
    <definedName name="H3C12" localSheetId="15">#REF!</definedName>
    <definedName name="H3C12" localSheetId="19">#REF!</definedName>
    <definedName name="H3C12" localSheetId="20">#REF!</definedName>
    <definedName name="H3C12" localSheetId="24">#REF!</definedName>
    <definedName name="H3C12" localSheetId="104">#REF!</definedName>
    <definedName name="H3C12" localSheetId="65">#REF!</definedName>
    <definedName name="H3C12" localSheetId="64">#REF!</definedName>
    <definedName name="H3C12" localSheetId="77">#REF!</definedName>
    <definedName name="H3C12" localSheetId="49">#REF!</definedName>
    <definedName name="H3C12" localSheetId="40">#REF!</definedName>
    <definedName name="H3C12" localSheetId="43">#REF!</definedName>
    <definedName name="H3C12" localSheetId="13">#REF!</definedName>
    <definedName name="H3C12" localSheetId="38">#REF!</definedName>
    <definedName name="H3C12">#REF!</definedName>
    <definedName name="H3C13" localSheetId="3">#REF!</definedName>
    <definedName name="H3C13" localSheetId="7">#REF!</definedName>
    <definedName name="H3C13" localSheetId="9">#REF!</definedName>
    <definedName name="H3C13" localSheetId="10">#REF!</definedName>
    <definedName name="H3C13" localSheetId="15">#REF!</definedName>
    <definedName name="H3C13" localSheetId="19">#REF!</definedName>
    <definedName name="H3C13" localSheetId="20">#REF!</definedName>
    <definedName name="H3C13" localSheetId="24">#REF!</definedName>
    <definedName name="H3C13" localSheetId="104">#REF!</definedName>
    <definedName name="H3C13" localSheetId="65">#REF!</definedName>
    <definedName name="H3C13" localSheetId="64">#REF!</definedName>
    <definedName name="H3C13" localSheetId="77">#REF!</definedName>
    <definedName name="H3C13" localSheetId="49">#REF!</definedName>
    <definedName name="H3C13" localSheetId="40">#REF!</definedName>
    <definedName name="H3C13" localSheetId="43">#REF!</definedName>
    <definedName name="H3C13" localSheetId="13">#REF!</definedName>
    <definedName name="H3C13" localSheetId="38">#REF!</definedName>
    <definedName name="H3C13">#REF!</definedName>
    <definedName name="H3C14" localSheetId="3">#REF!</definedName>
    <definedName name="H3C14" localSheetId="7">#REF!</definedName>
    <definedName name="H3C14" localSheetId="9">#REF!</definedName>
    <definedName name="H3C14" localSheetId="10">#REF!</definedName>
    <definedName name="H3C14" localSheetId="15">#REF!</definedName>
    <definedName name="H3C14" localSheetId="19">#REF!</definedName>
    <definedName name="H3C14" localSheetId="20">#REF!</definedName>
    <definedName name="H3C14" localSheetId="24">#REF!</definedName>
    <definedName name="H3C14" localSheetId="104">#REF!</definedName>
    <definedName name="H3C14" localSheetId="65">#REF!</definedName>
    <definedName name="H3C14" localSheetId="64">#REF!</definedName>
    <definedName name="H3C14" localSheetId="77">#REF!</definedName>
    <definedName name="H3C14" localSheetId="49">#REF!</definedName>
    <definedName name="H3C14" localSheetId="40">#REF!</definedName>
    <definedName name="H3C14" localSheetId="43">#REF!</definedName>
    <definedName name="H3C14" localSheetId="13">#REF!</definedName>
    <definedName name="H3C14" localSheetId="38">#REF!</definedName>
    <definedName name="H3C14">#REF!</definedName>
    <definedName name="H3C15" localSheetId="3">#REF!</definedName>
    <definedName name="H3C15" localSheetId="7">#REF!</definedName>
    <definedName name="H3C15" localSheetId="9">#REF!</definedName>
    <definedName name="H3C15" localSheetId="10">#REF!</definedName>
    <definedName name="H3C15" localSheetId="15">#REF!</definedName>
    <definedName name="H3C15" localSheetId="19">#REF!</definedName>
    <definedName name="H3C15" localSheetId="20">#REF!</definedName>
    <definedName name="H3C15" localSheetId="24">#REF!</definedName>
    <definedName name="H3C15" localSheetId="104">#REF!</definedName>
    <definedName name="H3C15" localSheetId="65">#REF!</definedName>
    <definedName name="H3C15" localSheetId="64">#REF!</definedName>
    <definedName name="H3C15" localSheetId="77">#REF!</definedName>
    <definedName name="H3C15" localSheetId="49">#REF!</definedName>
    <definedName name="H3C15" localSheetId="40">#REF!</definedName>
    <definedName name="H3C15" localSheetId="43">#REF!</definedName>
    <definedName name="H3C15" localSheetId="13">#REF!</definedName>
    <definedName name="H3C15" localSheetId="38">#REF!</definedName>
    <definedName name="H3C15">#REF!</definedName>
    <definedName name="H3C2" localSheetId="3">#REF!</definedName>
    <definedName name="H3C2" localSheetId="7">#REF!</definedName>
    <definedName name="H3C2" localSheetId="9">#REF!</definedName>
    <definedName name="H3C2" localSheetId="10">#REF!</definedName>
    <definedName name="H3C2" localSheetId="15">#REF!</definedName>
    <definedName name="H3C2" localSheetId="19">#REF!</definedName>
    <definedName name="H3C2" localSheetId="20">#REF!</definedName>
    <definedName name="H3C2" localSheetId="24">#REF!</definedName>
    <definedName name="H3C2" localSheetId="104">#REF!</definedName>
    <definedName name="H3C2" localSheetId="65">#REF!</definedName>
    <definedName name="H3C2" localSheetId="64">#REF!</definedName>
    <definedName name="H3C2" localSheetId="77">#REF!</definedName>
    <definedName name="H3C2" localSheetId="49">#REF!</definedName>
    <definedName name="H3C2" localSheetId="40">#REF!</definedName>
    <definedName name="H3C2" localSheetId="43">#REF!</definedName>
    <definedName name="H3C2" localSheetId="13">#REF!</definedName>
    <definedName name="H3C2" localSheetId="38">#REF!</definedName>
    <definedName name="H3C2">#REF!</definedName>
    <definedName name="H3C3" localSheetId="3">#REF!</definedName>
    <definedName name="H3C3" localSheetId="7">#REF!</definedName>
    <definedName name="H3C3" localSheetId="9">#REF!</definedName>
    <definedName name="H3C3" localSheetId="10">#REF!</definedName>
    <definedName name="H3C3" localSheetId="15">#REF!</definedName>
    <definedName name="H3C3" localSheetId="19">#REF!</definedName>
    <definedName name="H3C3" localSheetId="20">#REF!</definedName>
    <definedName name="H3C3" localSheetId="24">#REF!</definedName>
    <definedName name="H3C3" localSheetId="104">#REF!</definedName>
    <definedName name="H3C3" localSheetId="65">#REF!</definedName>
    <definedName name="H3C3" localSheetId="64">#REF!</definedName>
    <definedName name="H3C3" localSheetId="77">#REF!</definedName>
    <definedName name="H3C3" localSheetId="49">#REF!</definedName>
    <definedName name="H3C3" localSheetId="40">#REF!</definedName>
    <definedName name="H3C3" localSheetId="43">#REF!</definedName>
    <definedName name="H3C3" localSheetId="13">#REF!</definedName>
    <definedName name="H3C3" localSheetId="38">#REF!</definedName>
    <definedName name="H3C3">#REF!</definedName>
    <definedName name="H3C4" localSheetId="3">#REF!</definedName>
    <definedName name="H3C4" localSheetId="7">#REF!</definedName>
    <definedName name="H3C4" localSheetId="9">#REF!</definedName>
    <definedName name="H3C4" localSheetId="10">#REF!</definedName>
    <definedName name="H3C4" localSheetId="15">#REF!</definedName>
    <definedName name="H3C4" localSheetId="19">#REF!</definedName>
    <definedName name="H3C4" localSheetId="20">#REF!</definedName>
    <definedName name="H3C4" localSheetId="24">#REF!</definedName>
    <definedName name="H3C4" localSheetId="104">#REF!</definedName>
    <definedName name="H3C4" localSheetId="65">#REF!</definedName>
    <definedName name="H3C4" localSheetId="64">#REF!</definedName>
    <definedName name="H3C4" localSheetId="77">#REF!</definedName>
    <definedName name="H3C4" localSheetId="49">#REF!</definedName>
    <definedName name="H3C4" localSheetId="40">#REF!</definedName>
    <definedName name="H3C4" localSheetId="43">#REF!</definedName>
    <definedName name="H3C4" localSheetId="13">#REF!</definedName>
    <definedName name="H3C4" localSheetId="38">#REF!</definedName>
    <definedName name="H3C4">#REF!</definedName>
    <definedName name="H3C5" localSheetId="3">#REF!</definedName>
    <definedName name="H3C5" localSheetId="7">#REF!</definedName>
    <definedName name="H3C5" localSheetId="9">#REF!</definedName>
    <definedName name="H3C5" localSheetId="10">#REF!</definedName>
    <definedName name="H3C5" localSheetId="15">#REF!</definedName>
    <definedName name="H3C5" localSheetId="19">#REF!</definedName>
    <definedName name="H3C5" localSheetId="20">#REF!</definedName>
    <definedName name="H3C5" localSheetId="24">#REF!</definedName>
    <definedName name="H3C5" localSheetId="104">#REF!</definedName>
    <definedName name="H3C5" localSheetId="65">#REF!</definedName>
    <definedName name="H3C5" localSheetId="64">#REF!</definedName>
    <definedName name="H3C5" localSheetId="77">#REF!</definedName>
    <definedName name="H3C5" localSheetId="49">#REF!</definedName>
    <definedName name="H3C5" localSheetId="40">#REF!</definedName>
    <definedName name="H3C5" localSheetId="43">#REF!</definedName>
    <definedName name="H3C5" localSheetId="13">#REF!</definedName>
    <definedName name="H3C5" localSheetId="38">#REF!</definedName>
    <definedName name="H3C5">#REF!</definedName>
    <definedName name="H3C6" localSheetId="3">#REF!</definedName>
    <definedName name="H3C6" localSheetId="7">#REF!</definedName>
    <definedName name="H3C6" localSheetId="9">#REF!</definedName>
    <definedName name="H3C6" localSheetId="10">#REF!</definedName>
    <definedName name="H3C6" localSheetId="15">#REF!</definedName>
    <definedName name="H3C6" localSheetId="19">#REF!</definedName>
    <definedName name="H3C6" localSheetId="20">#REF!</definedName>
    <definedName name="H3C6" localSheetId="24">#REF!</definedName>
    <definedName name="H3C6" localSheetId="104">#REF!</definedName>
    <definedName name="H3C6" localSheetId="65">#REF!</definedName>
    <definedName name="H3C6" localSheetId="64">#REF!</definedName>
    <definedName name="H3C6" localSheetId="77">#REF!</definedName>
    <definedName name="H3C6" localSheetId="49">#REF!</definedName>
    <definedName name="H3C6" localSheetId="40">#REF!</definedName>
    <definedName name="H3C6" localSheetId="43">#REF!</definedName>
    <definedName name="H3C6" localSheetId="13">#REF!</definedName>
    <definedName name="H3C6" localSheetId="38">#REF!</definedName>
    <definedName name="H3C6">#REF!</definedName>
    <definedName name="H3C7" localSheetId="3">#REF!</definedName>
    <definedName name="H3C7" localSheetId="7">#REF!</definedName>
    <definedName name="H3C7" localSheetId="9">#REF!</definedName>
    <definedName name="H3C7" localSheetId="10">#REF!</definedName>
    <definedName name="H3C7" localSheetId="15">#REF!</definedName>
    <definedName name="H3C7" localSheetId="19">#REF!</definedName>
    <definedName name="H3C7" localSheetId="20">#REF!</definedName>
    <definedName name="H3C7" localSheetId="24">#REF!</definedName>
    <definedName name="H3C7" localSheetId="104">#REF!</definedName>
    <definedName name="H3C7" localSheetId="65">#REF!</definedName>
    <definedName name="H3C7" localSheetId="64">#REF!</definedName>
    <definedName name="H3C7" localSheetId="77">#REF!</definedName>
    <definedName name="H3C7" localSheetId="49">#REF!</definedName>
    <definedName name="H3C7" localSheetId="40">#REF!</definedName>
    <definedName name="H3C7" localSheetId="43">#REF!</definedName>
    <definedName name="H3C7" localSheetId="13">#REF!</definedName>
    <definedName name="H3C7" localSheetId="38">#REF!</definedName>
    <definedName name="H3C7">#REF!</definedName>
    <definedName name="H3C8" localSheetId="3">#REF!</definedName>
    <definedName name="H3C8" localSheetId="7">#REF!</definedName>
    <definedName name="H3C8" localSheetId="9">#REF!</definedName>
    <definedName name="H3C8" localSheetId="10">#REF!</definedName>
    <definedName name="H3C8" localSheetId="15">#REF!</definedName>
    <definedName name="H3C8" localSheetId="19">#REF!</definedName>
    <definedName name="H3C8" localSheetId="20">#REF!</definedName>
    <definedName name="H3C8" localSheetId="24">#REF!</definedName>
    <definedName name="H3C8" localSheetId="104">#REF!</definedName>
    <definedName name="H3C8" localSheetId="65">#REF!</definedName>
    <definedName name="H3C8" localSheetId="64">#REF!</definedName>
    <definedName name="H3C8" localSheetId="77">#REF!</definedName>
    <definedName name="H3C8" localSheetId="49">#REF!</definedName>
    <definedName name="H3C8" localSheetId="40">#REF!</definedName>
    <definedName name="H3C8" localSheetId="43">#REF!</definedName>
    <definedName name="H3C8" localSheetId="13">#REF!</definedName>
    <definedName name="H3C8" localSheetId="38">#REF!</definedName>
    <definedName name="H3C8">#REF!</definedName>
    <definedName name="H3C9" localSheetId="3">#REF!</definedName>
    <definedName name="H3C9" localSheetId="7">#REF!</definedName>
    <definedName name="H3C9" localSheetId="9">#REF!</definedName>
    <definedName name="H3C9" localSheetId="10">#REF!</definedName>
    <definedName name="H3C9" localSheetId="15">#REF!</definedName>
    <definedName name="H3C9" localSheetId="19">#REF!</definedName>
    <definedName name="H3C9" localSheetId="20">#REF!</definedName>
    <definedName name="H3C9" localSheetId="24">#REF!</definedName>
    <definedName name="H3C9" localSheetId="104">#REF!</definedName>
    <definedName name="H3C9" localSheetId="65">#REF!</definedName>
    <definedName name="H3C9" localSheetId="64">#REF!</definedName>
    <definedName name="H3C9" localSheetId="77">#REF!</definedName>
    <definedName name="H3C9" localSheetId="49">#REF!</definedName>
    <definedName name="H3C9" localSheetId="40">#REF!</definedName>
    <definedName name="H3C9" localSheetId="43">#REF!</definedName>
    <definedName name="H3C9" localSheetId="13">#REF!</definedName>
    <definedName name="H3C9" localSheetId="38">#REF!</definedName>
    <definedName name="H3C9">#REF!</definedName>
    <definedName name="H401btu" localSheetId="3">'[7]Operational Basis'!#REF!</definedName>
    <definedName name="H401btu" localSheetId="7">'[7]Operational Basis'!#REF!</definedName>
    <definedName name="H401btu" localSheetId="9">'[7]Operational Basis'!#REF!</definedName>
    <definedName name="H401btu" localSheetId="10">'[7]Operational Basis'!#REF!</definedName>
    <definedName name="H401btu" localSheetId="15">'[7]Operational Basis'!#REF!</definedName>
    <definedName name="H401btu" localSheetId="19">'[7]Operational Basis'!#REF!</definedName>
    <definedName name="H401btu" localSheetId="20">'[7]Operational Basis'!#REF!</definedName>
    <definedName name="H401btu" localSheetId="24">'[7]Operational Basis'!#REF!</definedName>
    <definedName name="H401btu" localSheetId="104">'[7]Operational Basis'!#REF!</definedName>
    <definedName name="H401btu" localSheetId="65">'[7]Operational Basis'!#REF!</definedName>
    <definedName name="H401btu" localSheetId="64">'[7]Operational Basis'!#REF!</definedName>
    <definedName name="H401btu" localSheetId="77">'[7]Operational Basis'!#REF!</definedName>
    <definedName name="H401btu" localSheetId="49">'[7]Operational Basis'!#REF!</definedName>
    <definedName name="H401btu" localSheetId="40">'[7]Operational Basis'!#REF!</definedName>
    <definedName name="H401btu" localSheetId="43">'[7]Operational Basis'!#REF!</definedName>
    <definedName name="H401btu" localSheetId="44">'[7]Operational Basis'!#REF!</definedName>
    <definedName name="H401btu" localSheetId="13">'[7]Operational Basis'!#REF!</definedName>
    <definedName name="H401btu" localSheetId="38">'[7]Operational Basis'!#REF!</definedName>
    <definedName name="H401btu">'[7]Operational Basis'!#REF!</definedName>
    <definedName name="H402btu" localSheetId="3">'[7]Operational Basis'!#REF!</definedName>
    <definedName name="H402btu" localSheetId="7">'[7]Operational Basis'!#REF!</definedName>
    <definedName name="H402btu" localSheetId="9">'[7]Operational Basis'!#REF!</definedName>
    <definedName name="H402btu" localSheetId="10">'[7]Operational Basis'!#REF!</definedName>
    <definedName name="H402btu" localSheetId="15">'[7]Operational Basis'!#REF!</definedName>
    <definedName name="H402btu" localSheetId="19">'[7]Operational Basis'!#REF!</definedName>
    <definedName name="H402btu" localSheetId="20">'[7]Operational Basis'!#REF!</definedName>
    <definedName name="H402btu" localSheetId="24">'[7]Operational Basis'!#REF!</definedName>
    <definedName name="H402btu" localSheetId="104">'[7]Operational Basis'!#REF!</definedName>
    <definedName name="H402btu" localSheetId="65">'[7]Operational Basis'!#REF!</definedName>
    <definedName name="H402btu" localSheetId="64">'[7]Operational Basis'!#REF!</definedName>
    <definedName name="H402btu" localSheetId="77">'[7]Operational Basis'!#REF!</definedName>
    <definedName name="H402btu" localSheetId="49">'[7]Operational Basis'!#REF!</definedName>
    <definedName name="H402btu" localSheetId="40">'[7]Operational Basis'!#REF!</definedName>
    <definedName name="H402btu" localSheetId="43">'[7]Operational Basis'!#REF!</definedName>
    <definedName name="H402btu" localSheetId="44">'[7]Operational Basis'!#REF!</definedName>
    <definedName name="H402btu" localSheetId="13">'[7]Operational Basis'!#REF!</definedName>
    <definedName name="H402btu" localSheetId="38">'[7]Operational Basis'!#REF!</definedName>
    <definedName name="H402btu">'[7]Operational Basis'!#REF!</definedName>
    <definedName name="H4C1" localSheetId="3">#REF!</definedName>
    <definedName name="H4C1" localSheetId="7">#REF!</definedName>
    <definedName name="H4C1" localSheetId="9">#REF!</definedName>
    <definedName name="H4C1" localSheetId="10">#REF!</definedName>
    <definedName name="H4C1" localSheetId="15">#REF!</definedName>
    <definedName name="H4C1" localSheetId="19">#REF!</definedName>
    <definedName name="H4C1" localSheetId="20">#REF!</definedName>
    <definedName name="H4C1" localSheetId="24">#REF!</definedName>
    <definedName name="H4C1" localSheetId="104">#REF!</definedName>
    <definedName name="H4C1" localSheetId="65">#REF!</definedName>
    <definedName name="H4C1" localSheetId="64">#REF!</definedName>
    <definedName name="H4C1" localSheetId="77">#REF!</definedName>
    <definedName name="H4C1" localSheetId="49">#REF!</definedName>
    <definedName name="H4C1" localSheetId="40">#REF!</definedName>
    <definedName name="H4C1" localSheetId="43">#REF!</definedName>
    <definedName name="H4C1" localSheetId="13">#REF!</definedName>
    <definedName name="H4C1" localSheetId="38">#REF!</definedName>
    <definedName name="H4C1">#REF!</definedName>
    <definedName name="H4C10" localSheetId="3">#REF!</definedName>
    <definedName name="H4C10" localSheetId="7">#REF!</definedName>
    <definedName name="H4C10" localSheetId="9">#REF!</definedName>
    <definedName name="H4C10" localSheetId="10">#REF!</definedName>
    <definedName name="H4C10" localSheetId="15">#REF!</definedName>
    <definedName name="H4C10" localSheetId="19">#REF!</definedName>
    <definedName name="H4C10" localSheetId="20">#REF!</definedName>
    <definedName name="H4C10" localSheetId="24">#REF!</definedName>
    <definedName name="H4C10" localSheetId="104">#REF!</definedName>
    <definedName name="H4C10" localSheetId="65">#REF!</definedName>
    <definedName name="H4C10" localSheetId="64">#REF!</definedName>
    <definedName name="H4C10" localSheetId="77">#REF!</definedName>
    <definedName name="H4C10" localSheetId="49">#REF!</definedName>
    <definedName name="H4C10" localSheetId="40">#REF!</definedName>
    <definedName name="H4C10" localSheetId="43">#REF!</definedName>
    <definedName name="H4C10" localSheetId="13">#REF!</definedName>
    <definedName name="H4C10" localSheetId="38">#REF!</definedName>
    <definedName name="H4C10">#REF!</definedName>
    <definedName name="H4C11" localSheetId="3">#REF!</definedName>
    <definedName name="H4C11" localSheetId="7">#REF!</definedName>
    <definedName name="H4C11" localSheetId="9">#REF!</definedName>
    <definedName name="H4C11" localSheetId="10">#REF!</definedName>
    <definedName name="H4C11" localSheetId="15">#REF!</definedName>
    <definedName name="H4C11" localSheetId="19">#REF!</definedName>
    <definedName name="H4C11" localSheetId="20">#REF!</definedName>
    <definedName name="H4C11" localSheetId="24">#REF!</definedName>
    <definedName name="H4C11" localSheetId="104">#REF!</definedName>
    <definedName name="H4C11" localSheetId="65">#REF!</definedName>
    <definedName name="H4C11" localSheetId="64">#REF!</definedName>
    <definedName name="H4C11" localSheetId="77">#REF!</definedName>
    <definedName name="H4C11" localSheetId="49">#REF!</definedName>
    <definedName name="H4C11" localSheetId="40">#REF!</definedName>
    <definedName name="H4C11" localSheetId="43">#REF!</definedName>
    <definedName name="H4C11" localSheetId="13">#REF!</definedName>
    <definedName name="H4C11" localSheetId="38">#REF!</definedName>
    <definedName name="H4C11">#REF!</definedName>
    <definedName name="H4C12" localSheetId="3">#REF!</definedName>
    <definedName name="H4C12" localSheetId="7">#REF!</definedName>
    <definedName name="H4C12" localSheetId="9">#REF!</definedName>
    <definedName name="H4C12" localSheetId="10">#REF!</definedName>
    <definedName name="H4C12" localSheetId="15">#REF!</definedName>
    <definedName name="H4C12" localSheetId="19">#REF!</definedName>
    <definedName name="H4C12" localSheetId="20">#REF!</definedName>
    <definedName name="H4C12" localSheetId="24">#REF!</definedName>
    <definedName name="H4C12" localSheetId="104">#REF!</definedName>
    <definedName name="H4C12" localSheetId="65">#REF!</definedName>
    <definedName name="H4C12" localSheetId="64">#REF!</definedName>
    <definedName name="H4C12" localSheetId="77">#REF!</definedName>
    <definedName name="H4C12" localSheetId="49">#REF!</definedName>
    <definedName name="H4C12" localSheetId="40">#REF!</definedName>
    <definedName name="H4C12" localSheetId="43">#REF!</definedName>
    <definedName name="H4C12" localSheetId="13">#REF!</definedName>
    <definedName name="H4C12" localSheetId="38">#REF!</definedName>
    <definedName name="H4C12">#REF!</definedName>
    <definedName name="H4C13" localSheetId="3">#REF!</definedName>
    <definedName name="H4C13" localSheetId="7">#REF!</definedName>
    <definedName name="H4C13" localSheetId="9">#REF!</definedName>
    <definedName name="H4C13" localSheetId="10">#REF!</definedName>
    <definedName name="H4C13" localSheetId="15">#REF!</definedName>
    <definedName name="H4C13" localSheetId="19">#REF!</definedName>
    <definedName name="H4C13" localSheetId="20">#REF!</definedName>
    <definedName name="H4C13" localSheetId="24">#REF!</definedName>
    <definedName name="H4C13" localSheetId="104">#REF!</definedName>
    <definedName name="H4C13" localSheetId="65">#REF!</definedName>
    <definedName name="H4C13" localSheetId="64">#REF!</definedName>
    <definedName name="H4C13" localSheetId="77">#REF!</definedName>
    <definedName name="H4C13" localSheetId="49">#REF!</definedName>
    <definedName name="H4C13" localSheetId="40">#REF!</definedName>
    <definedName name="H4C13" localSheetId="43">#REF!</definedName>
    <definedName name="H4C13" localSheetId="13">#REF!</definedName>
    <definedName name="H4C13" localSheetId="38">#REF!</definedName>
    <definedName name="H4C13">#REF!</definedName>
    <definedName name="H4C14" localSheetId="3">#REF!</definedName>
    <definedName name="H4C14" localSheetId="7">#REF!</definedName>
    <definedName name="H4C14" localSheetId="9">#REF!</definedName>
    <definedName name="H4C14" localSheetId="10">#REF!</definedName>
    <definedName name="H4C14" localSheetId="15">#REF!</definedName>
    <definedName name="H4C14" localSheetId="19">#REF!</definedName>
    <definedName name="H4C14" localSheetId="20">#REF!</definedName>
    <definedName name="H4C14" localSheetId="24">#REF!</definedName>
    <definedName name="H4C14" localSheetId="104">#REF!</definedName>
    <definedName name="H4C14" localSheetId="65">#REF!</definedName>
    <definedName name="H4C14" localSheetId="64">#REF!</definedName>
    <definedName name="H4C14" localSheetId="77">#REF!</definedName>
    <definedName name="H4C14" localSheetId="49">#REF!</definedName>
    <definedName name="H4C14" localSheetId="40">#REF!</definedName>
    <definedName name="H4C14" localSheetId="43">#REF!</definedName>
    <definedName name="H4C14" localSheetId="13">#REF!</definedName>
    <definedName name="H4C14" localSheetId="38">#REF!</definedName>
    <definedName name="H4C14">#REF!</definedName>
    <definedName name="H4C15" localSheetId="3">#REF!</definedName>
    <definedName name="H4C15" localSheetId="7">#REF!</definedName>
    <definedName name="H4C15" localSheetId="9">#REF!</definedName>
    <definedName name="H4C15" localSheetId="10">#REF!</definedName>
    <definedName name="H4C15" localSheetId="15">#REF!</definedName>
    <definedName name="H4C15" localSheetId="19">#REF!</definedName>
    <definedName name="H4C15" localSheetId="20">#REF!</definedName>
    <definedName name="H4C15" localSheetId="24">#REF!</definedName>
    <definedName name="H4C15" localSheetId="104">#REF!</definedName>
    <definedName name="H4C15" localSheetId="65">#REF!</definedName>
    <definedName name="H4C15" localSheetId="64">#REF!</definedName>
    <definedName name="H4C15" localSheetId="77">#REF!</definedName>
    <definedName name="H4C15" localSheetId="49">#REF!</definedName>
    <definedName name="H4C15" localSheetId="40">#REF!</definedName>
    <definedName name="H4C15" localSheetId="43">#REF!</definedName>
    <definedName name="H4C15" localSheetId="13">#REF!</definedName>
    <definedName name="H4C15" localSheetId="38">#REF!</definedName>
    <definedName name="H4C15">#REF!</definedName>
    <definedName name="H4C2" localSheetId="3">#REF!</definedName>
    <definedName name="H4C2" localSheetId="7">#REF!</definedName>
    <definedName name="H4C2" localSheetId="9">#REF!</definedName>
    <definedName name="H4C2" localSheetId="10">#REF!</definedName>
    <definedName name="H4C2" localSheetId="15">#REF!</definedName>
    <definedName name="H4C2" localSheetId="19">#REF!</definedName>
    <definedName name="H4C2" localSheetId="20">#REF!</definedName>
    <definedName name="H4C2" localSheetId="24">#REF!</definedName>
    <definedName name="H4C2" localSheetId="104">#REF!</definedName>
    <definedName name="H4C2" localSheetId="65">#REF!</definedName>
    <definedName name="H4C2" localSheetId="64">#REF!</definedName>
    <definedName name="H4C2" localSheetId="77">#REF!</definedName>
    <definedName name="H4C2" localSheetId="49">#REF!</definedName>
    <definedName name="H4C2" localSheetId="40">#REF!</definedName>
    <definedName name="H4C2" localSheetId="43">#REF!</definedName>
    <definedName name="H4C2" localSheetId="13">#REF!</definedName>
    <definedName name="H4C2" localSheetId="38">#REF!</definedName>
    <definedName name="H4C2">#REF!</definedName>
    <definedName name="H4C3" localSheetId="3">#REF!</definedName>
    <definedName name="H4C3" localSheetId="7">#REF!</definedName>
    <definedName name="H4C3" localSheetId="9">#REF!</definedName>
    <definedName name="H4C3" localSheetId="10">#REF!</definedName>
    <definedName name="H4C3" localSheetId="15">#REF!</definedName>
    <definedName name="H4C3" localSheetId="19">#REF!</definedName>
    <definedName name="H4C3" localSheetId="20">#REF!</definedName>
    <definedName name="H4C3" localSheetId="24">#REF!</definedName>
    <definedName name="H4C3" localSheetId="104">#REF!</definedName>
    <definedName name="H4C3" localSheetId="65">#REF!</definedName>
    <definedName name="H4C3" localSheetId="64">#REF!</definedName>
    <definedName name="H4C3" localSheetId="77">#REF!</definedName>
    <definedName name="H4C3" localSheetId="49">#REF!</definedName>
    <definedName name="H4C3" localSheetId="40">#REF!</definedName>
    <definedName name="H4C3" localSheetId="43">#REF!</definedName>
    <definedName name="H4C3" localSheetId="13">#REF!</definedName>
    <definedName name="H4C3" localSheetId="38">#REF!</definedName>
    <definedName name="H4C3">#REF!</definedName>
    <definedName name="H4C4" localSheetId="3">#REF!</definedName>
    <definedName name="H4C4" localSheetId="7">#REF!</definedName>
    <definedName name="H4C4" localSheetId="9">#REF!</definedName>
    <definedName name="H4C4" localSheetId="10">#REF!</definedName>
    <definedName name="H4C4" localSheetId="15">#REF!</definedName>
    <definedName name="H4C4" localSheetId="19">#REF!</definedName>
    <definedName name="H4C4" localSheetId="20">#REF!</definedName>
    <definedName name="H4C4" localSheetId="24">#REF!</definedName>
    <definedName name="H4C4" localSheetId="104">#REF!</definedName>
    <definedName name="H4C4" localSheetId="65">#REF!</definedName>
    <definedName name="H4C4" localSheetId="64">#REF!</definedName>
    <definedName name="H4C4" localSheetId="77">#REF!</definedName>
    <definedName name="H4C4" localSheetId="49">#REF!</definedName>
    <definedName name="H4C4" localSheetId="40">#REF!</definedName>
    <definedName name="H4C4" localSheetId="43">#REF!</definedName>
    <definedName name="H4C4" localSheetId="13">#REF!</definedName>
    <definedName name="H4C4" localSheetId="38">#REF!</definedName>
    <definedName name="H4C4">#REF!</definedName>
    <definedName name="H4C5" localSheetId="3">#REF!</definedName>
    <definedName name="H4C5" localSheetId="7">#REF!</definedName>
    <definedName name="H4C5" localSheetId="9">#REF!</definedName>
    <definedName name="H4C5" localSheetId="10">#REF!</definedName>
    <definedName name="H4C5" localSheetId="15">#REF!</definedName>
    <definedName name="H4C5" localSheetId="19">#REF!</definedName>
    <definedName name="H4C5" localSheetId="20">#REF!</definedName>
    <definedName name="H4C5" localSheetId="24">#REF!</definedName>
    <definedName name="H4C5" localSheetId="104">#REF!</definedName>
    <definedName name="H4C5" localSheetId="65">#REF!</definedName>
    <definedName name="H4C5" localSheetId="64">#REF!</definedName>
    <definedName name="H4C5" localSheetId="77">#REF!</definedName>
    <definedName name="H4C5" localSheetId="49">#REF!</definedName>
    <definedName name="H4C5" localSheetId="40">#REF!</definedName>
    <definedName name="H4C5" localSheetId="43">#REF!</definedName>
    <definedName name="H4C5" localSheetId="13">#REF!</definedName>
    <definedName name="H4C5" localSheetId="38">#REF!</definedName>
    <definedName name="H4C5">#REF!</definedName>
    <definedName name="H4C6" localSheetId="3">#REF!</definedName>
    <definedName name="H4C6" localSheetId="7">#REF!</definedName>
    <definedName name="H4C6" localSheetId="9">#REF!</definedName>
    <definedName name="H4C6" localSheetId="10">#REF!</definedName>
    <definedName name="H4C6" localSheetId="15">#REF!</definedName>
    <definedName name="H4C6" localSheetId="19">#REF!</definedName>
    <definedName name="H4C6" localSheetId="20">#REF!</definedName>
    <definedName name="H4C6" localSheetId="24">#REF!</definedName>
    <definedName name="H4C6" localSheetId="104">#REF!</definedName>
    <definedName name="H4C6" localSheetId="65">#REF!</definedName>
    <definedName name="H4C6" localSheetId="64">#REF!</definedName>
    <definedName name="H4C6" localSheetId="77">#REF!</definedName>
    <definedName name="H4C6" localSheetId="49">#REF!</definedName>
    <definedName name="H4C6" localSheetId="40">#REF!</definedName>
    <definedName name="H4C6" localSheetId="43">#REF!</definedName>
    <definedName name="H4C6" localSheetId="13">#REF!</definedName>
    <definedName name="H4C6" localSheetId="38">#REF!</definedName>
    <definedName name="H4C6">#REF!</definedName>
    <definedName name="H4C7" localSheetId="3">#REF!</definedName>
    <definedName name="H4C7" localSheetId="7">#REF!</definedName>
    <definedName name="H4C7" localSheetId="9">#REF!</definedName>
    <definedName name="H4C7" localSheetId="10">#REF!</definedName>
    <definedName name="H4C7" localSheetId="15">#REF!</definedName>
    <definedName name="H4C7" localSheetId="19">#REF!</definedName>
    <definedName name="H4C7" localSheetId="20">#REF!</definedName>
    <definedName name="H4C7" localSheetId="24">#REF!</definedName>
    <definedName name="H4C7" localSheetId="104">#REF!</definedName>
    <definedName name="H4C7" localSheetId="65">#REF!</definedName>
    <definedName name="H4C7" localSheetId="64">#REF!</definedName>
    <definedName name="H4C7" localSheetId="77">#REF!</definedName>
    <definedName name="H4C7" localSheetId="49">#REF!</definedName>
    <definedName name="H4C7" localSheetId="40">#REF!</definedName>
    <definedName name="H4C7" localSheetId="43">#REF!</definedName>
    <definedName name="H4C7" localSheetId="13">#REF!</definedName>
    <definedName name="H4C7" localSheetId="38">#REF!</definedName>
    <definedName name="H4C7">#REF!</definedName>
    <definedName name="H4C8" localSheetId="3">#REF!</definedName>
    <definedName name="H4C8" localSheetId="7">#REF!</definedName>
    <definedName name="H4C8" localSheetId="9">#REF!</definedName>
    <definedName name="H4C8" localSheetId="10">#REF!</definedName>
    <definedName name="H4C8" localSheetId="15">#REF!</definedName>
    <definedName name="H4C8" localSheetId="19">#REF!</definedName>
    <definedName name="H4C8" localSheetId="20">#REF!</definedName>
    <definedName name="H4C8" localSheetId="24">#REF!</definedName>
    <definedName name="H4C8" localSheetId="104">#REF!</definedName>
    <definedName name="H4C8" localSheetId="65">#REF!</definedName>
    <definedName name="H4C8" localSheetId="64">#REF!</definedName>
    <definedName name="H4C8" localSheetId="77">#REF!</definedName>
    <definedName name="H4C8" localSheetId="49">#REF!</definedName>
    <definedName name="H4C8" localSheetId="40">#REF!</definedName>
    <definedName name="H4C8" localSheetId="43">#REF!</definedName>
    <definedName name="H4C8" localSheetId="13">#REF!</definedName>
    <definedName name="H4C8" localSheetId="38">#REF!</definedName>
    <definedName name="H4C8">#REF!</definedName>
    <definedName name="H4C9" localSheetId="3">#REF!</definedName>
    <definedName name="H4C9" localSheetId="7">#REF!</definedName>
    <definedName name="H4C9" localSheetId="9">#REF!</definedName>
    <definedName name="H4C9" localSheetId="10">#REF!</definedName>
    <definedName name="H4C9" localSheetId="15">#REF!</definedName>
    <definedName name="H4C9" localSheetId="19">#REF!</definedName>
    <definedName name="H4C9" localSheetId="20">#REF!</definedName>
    <definedName name="H4C9" localSheetId="24">#REF!</definedName>
    <definedName name="H4C9" localSheetId="104">#REF!</definedName>
    <definedName name="H4C9" localSheetId="65">#REF!</definedName>
    <definedName name="H4C9" localSheetId="64">#REF!</definedName>
    <definedName name="H4C9" localSheetId="77">#REF!</definedName>
    <definedName name="H4C9" localSheetId="49">#REF!</definedName>
    <definedName name="H4C9" localSheetId="40">#REF!</definedName>
    <definedName name="H4C9" localSheetId="43">#REF!</definedName>
    <definedName name="H4C9" localSheetId="13">#REF!</definedName>
    <definedName name="H4C9" localSheetId="38">#REF!</definedName>
    <definedName name="H4C9">#REF!</definedName>
    <definedName name="H5C1" localSheetId="3">#REF!</definedName>
    <definedName name="H5C1" localSheetId="7">#REF!</definedName>
    <definedName name="H5C1" localSheetId="9">#REF!</definedName>
    <definedName name="H5C1" localSheetId="10">#REF!</definedName>
    <definedName name="H5C1" localSheetId="15">#REF!</definedName>
    <definedName name="H5C1" localSheetId="19">#REF!</definedName>
    <definedName name="H5C1" localSheetId="20">#REF!</definedName>
    <definedName name="H5C1" localSheetId="24">#REF!</definedName>
    <definedName name="H5C1" localSheetId="104">#REF!</definedName>
    <definedName name="H5C1" localSheetId="65">#REF!</definedName>
    <definedName name="H5C1" localSheetId="64">#REF!</definedName>
    <definedName name="H5C1" localSheetId="77">#REF!</definedName>
    <definedName name="H5C1" localSheetId="49">#REF!</definedName>
    <definedName name="H5C1" localSheetId="40">#REF!</definedName>
    <definedName name="H5C1" localSheetId="43">#REF!</definedName>
    <definedName name="H5C1" localSheetId="13">#REF!</definedName>
    <definedName name="H5C1" localSheetId="38">#REF!</definedName>
    <definedName name="H5C1">#REF!</definedName>
    <definedName name="H5C10" localSheetId="3">#REF!</definedName>
    <definedName name="H5C10" localSheetId="7">#REF!</definedName>
    <definedName name="H5C10" localSheetId="9">#REF!</definedName>
    <definedName name="H5C10" localSheetId="10">#REF!</definedName>
    <definedName name="H5C10" localSheetId="15">#REF!</definedName>
    <definedName name="H5C10" localSheetId="19">#REF!</definedName>
    <definedName name="H5C10" localSheetId="20">#REF!</definedName>
    <definedName name="H5C10" localSheetId="24">#REF!</definedName>
    <definedName name="H5C10" localSheetId="104">#REF!</definedName>
    <definedName name="H5C10" localSheetId="65">#REF!</definedName>
    <definedName name="H5C10" localSheetId="64">#REF!</definedName>
    <definedName name="H5C10" localSheetId="77">#REF!</definedName>
    <definedName name="H5C10" localSheetId="49">#REF!</definedName>
    <definedName name="H5C10" localSheetId="40">#REF!</definedName>
    <definedName name="H5C10" localSheetId="43">#REF!</definedName>
    <definedName name="H5C10" localSheetId="13">#REF!</definedName>
    <definedName name="H5C10" localSheetId="38">#REF!</definedName>
    <definedName name="H5C10">#REF!</definedName>
    <definedName name="H5C11" localSheetId="3">#REF!</definedName>
    <definedName name="H5C11" localSheetId="7">#REF!</definedName>
    <definedName name="H5C11" localSheetId="9">#REF!</definedName>
    <definedName name="H5C11" localSheetId="10">#REF!</definedName>
    <definedName name="H5C11" localSheetId="15">#REF!</definedName>
    <definedName name="H5C11" localSheetId="19">#REF!</definedName>
    <definedName name="H5C11" localSheetId="20">#REF!</definedName>
    <definedName name="H5C11" localSheetId="24">#REF!</definedName>
    <definedName name="H5C11" localSheetId="104">#REF!</definedName>
    <definedName name="H5C11" localSheetId="65">#REF!</definedName>
    <definedName name="H5C11" localSheetId="64">#REF!</definedName>
    <definedName name="H5C11" localSheetId="77">#REF!</definedName>
    <definedName name="H5C11" localSheetId="49">#REF!</definedName>
    <definedName name="H5C11" localSheetId="40">#REF!</definedName>
    <definedName name="H5C11" localSheetId="43">#REF!</definedName>
    <definedName name="H5C11" localSheetId="13">#REF!</definedName>
    <definedName name="H5C11" localSheetId="38">#REF!</definedName>
    <definedName name="H5C11">#REF!</definedName>
    <definedName name="H5C12" localSheetId="3">#REF!</definedName>
    <definedName name="H5C12" localSheetId="7">#REF!</definedName>
    <definedName name="H5C12" localSheetId="9">#REF!</definedName>
    <definedName name="H5C12" localSheetId="10">#REF!</definedName>
    <definedName name="H5C12" localSheetId="15">#REF!</definedName>
    <definedName name="H5C12" localSheetId="19">#REF!</definedName>
    <definedName name="H5C12" localSheetId="20">#REF!</definedName>
    <definedName name="H5C12" localSheetId="24">#REF!</definedName>
    <definedName name="H5C12" localSheetId="104">#REF!</definedName>
    <definedName name="H5C12" localSheetId="65">#REF!</definedName>
    <definedName name="H5C12" localSheetId="64">#REF!</definedName>
    <definedName name="H5C12" localSheetId="77">#REF!</definedName>
    <definedName name="H5C12" localSheetId="49">#REF!</definedName>
    <definedName name="H5C12" localSheetId="40">#REF!</definedName>
    <definedName name="H5C12" localSheetId="43">#REF!</definedName>
    <definedName name="H5C12" localSheetId="13">#REF!</definedName>
    <definedName name="H5C12" localSheetId="38">#REF!</definedName>
    <definedName name="H5C12">#REF!</definedName>
    <definedName name="H5C13" localSheetId="3">#REF!</definedName>
    <definedName name="H5C13" localSheetId="7">#REF!</definedName>
    <definedName name="H5C13" localSheetId="9">#REF!</definedName>
    <definedName name="H5C13" localSheetId="10">#REF!</definedName>
    <definedName name="H5C13" localSheetId="15">#REF!</definedName>
    <definedName name="H5C13" localSheetId="19">#REF!</definedName>
    <definedName name="H5C13" localSheetId="20">#REF!</definedName>
    <definedName name="H5C13" localSheetId="24">#REF!</definedName>
    <definedName name="H5C13" localSheetId="104">#REF!</definedName>
    <definedName name="H5C13" localSheetId="65">#REF!</definedName>
    <definedName name="H5C13" localSheetId="64">#REF!</definedName>
    <definedName name="H5C13" localSheetId="77">#REF!</definedName>
    <definedName name="H5C13" localSheetId="49">#REF!</definedName>
    <definedName name="H5C13" localSheetId="40">#REF!</definedName>
    <definedName name="H5C13" localSheetId="43">#REF!</definedName>
    <definedName name="H5C13" localSheetId="13">#REF!</definedName>
    <definedName name="H5C13" localSheetId="38">#REF!</definedName>
    <definedName name="H5C13">#REF!</definedName>
    <definedName name="H5C14" localSheetId="3">#REF!</definedName>
    <definedName name="H5C14" localSheetId="7">#REF!</definedName>
    <definedName name="H5C14" localSheetId="9">#REF!</definedName>
    <definedName name="H5C14" localSheetId="10">#REF!</definedName>
    <definedName name="H5C14" localSheetId="15">#REF!</definedName>
    <definedName name="H5C14" localSheetId="19">#REF!</definedName>
    <definedName name="H5C14" localSheetId="20">#REF!</definedName>
    <definedName name="H5C14" localSheetId="24">#REF!</definedName>
    <definedName name="H5C14" localSheetId="104">#REF!</definedName>
    <definedName name="H5C14" localSheetId="65">#REF!</definedName>
    <definedName name="H5C14" localSheetId="64">#REF!</definedName>
    <definedName name="H5C14" localSheetId="77">#REF!</definedName>
    <definedName name="H5C14" localSheetId="49">#REF!</definedName>
    <definedName name="H5C14" localSheetId="40">#REF!</definedName>
    <definedName name="H5C14" localSheetId="43">#REF!</definedName>
    <definedName name="H5C14" localSheetId="13">#REF!</definedName>
    <definedName name="H5C14" localSheetId="38">#REF!</definedName>
    <definedName name="H5C14">#REF!</definedName>
    <definedName name="H5C15" localSheetId="3">#REF!</definedName>
    <definedName name="H5C15" localSheetId="7">#REF!</definedName>
    <definedName name="H5C15" localSheetId="9">#REF!</definedName>
    <definedName name="H5C15" localSheetId="10">#REF!</definedName>
    <definedName name="H5C15" localSheetId="15">#REF!</definedName>
    <definedName name="H5C15" localSheetId="19">#REF!</definedName>
    <definedName name="H5C15" localSheetId="20">#REF!</definedName>
    <definedName name="H5C15" localSheetId="24">#REF!</definedName>
    <definedName name="H5C15" localSheetId="104">#REF!</definedName>
    <definedName name="H5C15" localSheetId="65">#REF!</definedName>
    <definedName name="H5C15" localSheetId="64">#REF!</definedName>
    <definedName name="H5C15" localSheetId="77">#REF!</definedName>
    <definedName name="H5C15" localSheetId="49">#REF!</definedName>
    <definedName name="H5C15" localSheetId="40">#REF!</definedName>
    <definedName name="H5C15" localSheetId="43">#REF!</definedName>
    <definedName name="H5C15" localSheetId="13">#REF!</definedName>
    <definedName name="H5C15" localSheetId="38">#REF!</definedName>
    <definedName name="H5C15">#REF!</definedName>
    <definedName name="H5C2" localSheetId="3">#REF!</definedName>
    <definedName name="H5C2" localSheetId="7">#REF!</definedName>
    <definedName name="H5C2" localSheetId="9">#REF!</definedName>
    <definedName name="H5C2" localSheetId="10">#REF!</definedName>
    <definedName name="H5C2" localSheetId="15">#REF!</definedName>
    <definedName name="H5C2" localSheetId="19">#REF!</definedName>
    <definedName name="H5C2" localSheetId="20">#REF!</definedName>
    <definedName name="H5C2" localSheetId="24">#REF!</definedName>
    <definedName name="H5C2" localSheetId="104">#REF!</definedName>
    <definedName name="H5C2" localSheetId="65">#REF!</definedName>
    <definedName name="H5C2" localSheetId="64">#REF!</definedName>
    <definedName name="H5C2" localSheetId="77">#REF!</definedName>
    <definedName name="H5C2" localSheetId="49">#REF!</definedName>
    <definedName name="H5C2" localSheetId="40">#REF!</definedName>
    <definedName name="H5C2" localSheetId="43">#REF!</definedName>
    <definedName name="H5C2" localSheetId="13">#REF!</definedName>
    <definedName name="H5C2" localSheetId="38">#REF!</definedName>
    <definedName name="H5C2">#REF!</definedName>
    <definedName name="H5C3" localSheetId="3">#REF!</definedName>
    <definedName name="H5C3" localSheetId="7">#REF!</definedName>
    <definedName name="H5C3" localSheetId="9">#REF!</definedName>
    <definedName name="H5C3" localSheetId="10">#REF!</definedName>
    <definedName name="H5C3" localSheetId="15">#REF!</definedName>
    <definedName name="H5C3" localSheetId="19">#REF!</definedName>
    <definedName name="H5C3" localSheetId="20">#REF!</definedName>
    <definedName name="H5C3" localSheetId="24">#REF!</definedName>
    <definedName name="H5C3" localSheetId="104">#REF!</definedName>
    <definedName name="H5C3" localSheetId="65">#REF!</definedName>
    <definedName name="H5C3" localSheetId="64">#REF!</definedName>
    <definedName name="H5C3" localSheetId="77">#REF!</definedName>
    <definedName name="H5C3" localSheetId="49">#REF!</definedName>
    <definedName name="H5C3" localSheetId="40">#REF!</definedName>
    <definedName name="H5C3" localSheetId="43">#REF!</definedName>
    <definedName name="H5C3" localSheetId="13">#REF!</definedName>
    <definedName name="H5C3" localSheetId="38">#REF!</definedName>
    <definedName name="H5C3">#REF!</definedName>
    <definedName name="H5C4" localSheetId="3">#REF!</definedName>
    <definedName name="H5C4" localSheetId="7">#REF!</definedName>
    <definedName name="H5C4" localSheetId="9">#REF!</definedName>
    <definedName name="H5C4" localSheetId="10">#REF!</definedName>
    <definedName name="H5C4" localSheetId="15">#REF!</definedName>
    <definedName name="H5C4" localSheetId="19">#REF!</definedName>
    <definedName name="H5C4" localSheetId="20">#REF!</definedName>
    <definedName name="H5C4" localSheetId="24">#REF!</definedName>
    <definedName name="H5C4" localSheetId="104">#REF!</definedName>
    <definedName name="H5C4" localSheetId="65">#REF!</definedName>
    <definedName name="H5C4" localSheetId="64">#REF!</definedName>
    <definedName name="H5C4" localSheetId="77">#REF!</definedName>
    <definedName name="H5C4" localSheetId="49">#REF!</definedName>
    <definedName name="H5C4" localSheetId="40">#REF!</definedName>
    <definedName name="H5C4" localSheetId="43">#REF!</definedName>
    <definedName name="H5C4" localSheetId="13">#REF!</definedName>
    <definedName name="H5C4" localSheetId="38">#REF!</definedName>
    <definedName name="H5C4">#REF!</definedName>
    <definedName name="H5C5" localSheetId="3">#REF!</definedName>
    <definedName name="H5C5" localSheetId="7">#REF!</definedName>
    <definedName name="H5C5" localSheetId="9">#REF!</definedName>
    <definedName name="H5C5" localSheetId="10">#REF!</definedName>
    <definedName name="H5C5" localSheetId="15">#REF!</definedName>
    <definedName name="H5C5" localSheetId="19">#REF!</definedName>
    <definedName name="H5C5" localSheetId="20">#REF!</definedName>
    <definedName name="H5C5" localSheetId="24">#REF!</definedName>
    <definedName name="H5C5" localSheetId="104">#REF!</definedName>
    <definedName name="H5C5" localSheetId="65">#REF!</definedName>
    <definedName name="H5C5" localSheetId="64">#REF!</definedName>
    <definedName name="H5C5" localSheetId="77">#REF!</definedName>
    <definedName name="H5C5" localSheetId="49">#REF!</definedName>
    <definedName name="H5C5" localSheetId="40">#REF!</definedName>
    <definedName name="H5C5" localSheetId="43">#REF!</definedName>
    <definedName name="H5C5" localSheetId="13">#REF!</definedName>
    <definedName name="H5C5" localSheetId="38">#REF!</definedName>
    <definedName name="H5C5">#REF!</definedName>
    <definedName name="H5C6" localSheetId="3">#REF!</definedName>
    <definedName name="H5C6" localSheetId="7">#REF!</definedName>
    <definedName name="H5C6" localSheetId="9">#REF!</definedName>
    <definedName name="H5C6" localSheetId="10">#REF!</definedName>
    <definedName name="H5C6" localSheetId="15">#REF!</definedName>
    <definedName name="H5C6" localSheetId="19">#REF!</definedName>
    <definedName name="H5C6" localSheetId="20">#REF!</definedName>
    <definedName name="H5C6" localSheetId="24">#REF!</definedName>
    <definedName name="H5C6" localSheetId="104">#REF!</definedName>
    <definedName name="H5C6" localSheetId="65">#REF!</definedName>
    <definedName name="H5C6" localSheetId="64">#REF!</definedName>
    <definedName name="H5C6" localSheetId="77">#REF!</definedName>
    <definedName name="H5C6" localSheetId="49">#REF!</definedName>
    <definedName name="H5C6" localSheetId="40">#REF!</definedName>
    <definedName name="H5C6" localSheetId="43">#REF!</definedName>
    <definedName name="H5C6" localSheetId="13">#REF!</definedName>
    <definedName name="H5C6" localSheetId="38">#REF!</definedName>
    <definedName name="H5C6">#REF!</definedName>
    <definedName name="H5C7" localSheetId="3">#REF!</definedName>
    <definedName name="H5C7" localSheetId="7">#REF!</definedName>
    <definedName name="H5C7" localSheetId="9">#REF!</definedName>
    <definedName name="H5C7" localSheetId="10">#REF!</definedName>
    <definedName name="H5C7" localSheetId="15">#REF!</definedName>
    <definedName name="H5C7" localSheetId="19">#REF!</definedName>
    <definedName name="H5C7" localSheetId="20">#REF!</definedName>
    <definedName name="H5C7" localSheetId="24">#REF!</definedName>
    <definedName name="H5C7" localSheetId="104">#REF!</definedName>
    <definedName name="H5C7" localSheetId="65">#REF!</definedName>
    <definedName name="H5C7" localSheetId="64">#REF!</definedName>
    <definedName name="H5C7" localSheetId="77">#REF!</definedName>
    <definedName name="H5C7" localSheetId="49">#REF!</definedName>
    <definedName name="H5C7" localSheetId="40">#REF!</definedName>
    <definedName name="H5C7" localSheetId="43">#REF!</definedName>
    <definedName name="H5C7" localSheetId="13">#REF!</definedName>
    <definedName name="H5C7" localSheetId="38">#REF!</definedName>
    <definedName name="H5C7">#REF!</definedName>
    <definedName name="H5C8" localSheetId="3">#REF!</definedName>
    <definedName name="H5C8" localSheetId="7">#REF!</definedName>
    <definedName name="H5C8" localSheetId="9">#REF!</definedName>
    <definedName name="H5C8" localSheetId="10">#REF!</definedName>
    <definedName name="H5C8" localSheetId="15">#REF!</definedName>
    <definedName name="H5C8" localSheetId="19">#REF!</definedName>
    <definedName name="H5C8" localSheetId="20">#REF!</definedName>
    <definedName name="H5C8" localSheetId="24">#REF!</definedName>
    <definedName name="H5C8" localSheetId="104">#REF!</definedName>
    <definedName name="H5C8" localSheetId="65">#REF!</definedName>
    <definedName name="H5C8" localSheetId="64">#REF!</definedName>
    <definedName name="H5C8" localSheetId="77">#REF!</definedName>
    <definedName name="H5C8" localSheetId="49">#REF!</definedName>
    <definedName name="H5C8" localSheetId="40">#REF!</definedName>
    <definedName name="H5C8" localSheetId="43">#REF!</definedName>
    <definedName name="H5C8" localSheetId="13">#REF!</definedName>
    <definedName name="H5C8" localSheetId="38">#REF!</definedName>
    <definedName name="H5C8">#REF!</definedName>
    <definedName name="H5C9" localSheetId="3">#REF!</definedName>
    <definedName name="H5C9" localSheetId="7">#REF!</definedName>
    <definedName name="H5C9" localSheetId="9">#REF!</definedName>
    <definedName name="H5C9" localSheetId="10">#REF!</definedName>
    <definedName name="H5C9" localSheetId="15">#REF!</definedName>
    <definedName name="H5C9" localSheetId="19">#REF!</definedName>
    <definedName name="H5C9" localSheetId="20">#REF!</definedName>
    <definedName name="H5C9" localSheetId="24">#REF!</definedName>
    <definedName name="H5C9" localSheetId="104">#REF!</definedName>
    <definedName name="H5C9" localSheetId="65">#REF!</definedName>
    <definedName name="H5C9" localSheetId="64">#REF!</definedName>
    <definedName name="H5C9" localSheetId="77">#REF!</definedName>
    <definedName name="H5C9" localSheetId="49">#REF!</definedName>
    <definedName name="H5C9" localSheetId="40">#REF!</definedName>
    <definedName name="H5C9" localSheetId="43">#REF!</definedName>
    <definedName name="H5C9" localSheetId="13">#REF!</definedName>
    <definedName name="H5C9" localSheetId="38">#REF!</definedName>
    <definedName name="H5C9">#REF!</definedName>
    <definedName name="H6C1" localSheetId="3">#REF!</definedName>
    <definedName name="H6C1" localSheetId="7">#REF!</definedName>
    <definedName name="H6C1" localSheetId="9">#REF!</definedName>
    <definedName name="H6C1" localSheetId="10">#REF!</definedName>
    <definedName name="H6C1" localSheetId="15">#REF!</definedName>
    <definedName name="H6C1" localSheetId="19">#REF!</definedName>
    <definedName name="H6C1" localSheetId="20">#REF!</definedName>
    <definedName name="H6C1" localSheetId="24">#REF!</definedName>
    <definedName name="H6C1" localSheetId="104">#REF!</definedName>
    <definedName name="H6C1" localSheetId="65">#REF!</definedName>
    <definedName name="H6C1" localSheetId="64">#REF!</definedName>
    <definedName name="H6C1" localSheetId="77">#REF!</definedName>
    <definedName name="H6C1" localSheetId="49">#REF!</definedName>
    <definedName name="H6C1" localSheetId="40">#REF!</definedName>
    <definedName name="H6C1" localSheetId="43">#REF!</definedName>
    <definedName name="H6C1" localSheetId="13">#REF!</definedName>
    <definedName name="H6C1" localSheetId="38">#REF!</definedName>
    <definedName name="H6C1">#REF!</definedName>
    <definedName name="H6C10" localSheetId="3">#REF!</definedName>
    <definedName name="H6C10" localSheetId="7">#REF!</definedName>
    <definedName name="H6C10" localSheetId="9">#REF!</definedName>
    <definedName name="H6C10" localSheetId="10">#REF!</definedName>
    <definedName name="H6C10" localSheetId="15">#REF!</definedName>
    <definedName name="H6C10" localSheetId="19">#REF!</definedName>
    <definedName name="H6C10" localSheetId="20">#REF!</definedName>
    <definedName name="H6C10" localSheetId="24">#REF!</definedName>
    <definedName name="H6C10" localSheetId="104">#REF!</definedName>
    <definedName name="H6C10" localSheetId="65">#REF!</definedName>
    <definedName name="H6C10" localSheetId="64">#REF!</definedName>
    <definedName name="H6C10" localSheetId="77">#REF!</definedName>
    <definedName name="H6C10" localSheetId="49">#REF!</definedName>
    <definedName name="H6C10" localSheetId="40">#REF!</definedName>
    <definedName name="H6C10" localSheetId="43">#REF!</definedName>
    <definedName name="H6C10" localSheetId="13">#REF!</definedName>
    <definedName name="H6C10" localSheetId="38">#REF!</definedName>
    <definedName name="H6C10">#REF!</definedName>
    <definedName name="H6C11" localSheetId="3">#REF!</definedName>
    <definedName name="H6C11" localSheetId="7">#REF!</definedName>
    <definedName name="H6C11" localSheetId="9">#REF!</definedName>
    <definedName name="H6C11" localSheetId="10">#REF!</definedName>
    <definedName name="H6C11" localSheetId="15">#REF!</definedName>
    <definedName name="H6C11" localSheetId="19">#REF!</definedName>
    <definedName name="H6C11" localSheetId="20">#REF!</definedName>
    <definedName name="H6C11" localSheetId="24">#REF!</definedName>
    <definedName name="H6C11" localSheetId="104">#REF!</definedName>
    <definedName name="H6C11" localSheetId="65">#REF!</definedName>
    <definedName name="H6C11" localSheetId="64">#REF!</definedName>
    <definedName name="H6C11" localSheetId="77">#REF!</definedName>
    <definedName name="H6C11" localSheetId="49">#REF!</definedName>
    <definedName name="H6C11" localSheetId="40">#REF!</definedName>
    <definedName name="H6C11" localSheetId="43">#REF!</definedName>
    <definedName name="H6C11" localSheetId="13">#REF!</definedName>
    <definedName name="H6C11" localSheetId="38">#REF!</definedName>
    <definedName name="H6C11">#REF!</definedName>
    <definedName name="H6C12" localSheetId="3">#REF!</definedName>
    <definedName name="H6C12" localSheetId="7">#REF!</definedName>
    <definedName name="H6C12" localSheetId="9">#REF!</definedName>
    <definedName name="H6C12" localSheetId="10">#REF!</definedName>
    <definedName name="H6C12" localSheetId="15">#REF!</definedName>
    <definedName name="H6C12" localSheetId="19">#REF!</definedName>
    <definedName name="H6C12" localSheetId="20">#REF!</definedName>
    <definedName name="H6C12" localSheetId="24">#REF!</definedName>
    <definedName name="H6C12" localSheetId="104">#REF!</definedName>
    <definedName name="H6C12" localSheetId="65">#REF!</definedName>
    <definedName name="H6C12" localSheetId="64">#REF!</definedName>
    <definedName name="H6C12" localSheetId="77">#REF!</definedName>
    <definedName name="H6C12" localSheetId="49">#REF!</definedName>
    <definedName name="H6C12" localSheetId="40">#REF!</definedName>
    <definedName name="H6C12" localSheetId="43">#REF!</definedName>
    <definedName name="H6C12" localSheetId="13">#REF!</definedName>
    <definedName name="H6C12" localSheetId="38">#REF!</definedName>
    <definedName name="H6C12">#REF!</definedName>
    <definedName name="H6C13" localSheetId="3">#REF!</definedName>
    <definedName name="H6C13" localSheetId="7">#REF!</definedName>
    <definedName name="H6C13" localSheetId="9">#REF!</definedName>
    <definedName name="H6C13" localSheetId="10">#REF!</definedName>
    <definedName name="H6C13" localSheetId="15">#REF!</definedName>
    <definedName name="H6C13" localSheetId="19">#REF!</definedName>
    <definedName name="H6C13" localSheetId="20">#REF!</definedName>
    <definedName name="H6C13" localSheetId="24">#REF!</definedName>
    <definedName name="H6C13" localSheetId="104">#REF!</definedName>
    <definedName name="H6C13" localSheetId="65">#REF!</definedName>
    <definedName name="H6C13" localSheetId="64">#REF!</definedName>
    <definedName name="H6C13" localSheetId="77">#REF!</definedName>
    <definedName name="H6C13" localSheetId="49">#REF!</definedName>
    <definedName name="H6C13" localSheetId="40">#REF!</definedName>
    <definedName name="H6C13" localSheetId="43">#REF!</definedName>
    <definedName name="H6C13" localSheetId="13">#REF!</definedName>
    <definedName name="H6C13" localSheetId="38">#REF!</definedName>
    <definedName name="H6C13">#REF!</definedName>
    <definedName name="H6C14" localSheetId="3">#REF!</definedName>
    <definedName name="H6C14" localSheetId="7">#REF!</definedName>
    <definedName name="H6C14" localSheetId="9">#REF!</definedName>
    <definedName name="H6C14" localSheetId="10">#REF!</definedName>
    <definedName name="H6C14" localSheetId="15">#REF!</definedName>
    <definedName name="H6C14" localSheetId="19">#REF!</definedName>
    <definedName name="H6C14" localSheetId="20">#REF!</definedName>
    <definedName name="H6C14" localSheetId="24">#REF!</definedName>
    <definedName name="H6C14" localSheetId="104">#REF!</definedName>
    <definedName name="H6C14" localSheetId="65">#REF!</definedName>
    <definedName name="H6C14" localSheetId="64">#REF!</definedName>
    <definedName name="H6C14" localSheetId="77">#REF!</definedName>
    <definedName name="H6C14" localSheetId="49">#REF!</definedName>
    <definedName name="H6C14" localSheetId="40">#REF!</definedName>
    <definedName name="H6C14" localSheetId="43">#REF!</definedName>
    <definedName name="H6C14" localSheetId="13">#REF!</definedName>
    <definedName name="H6C14" localSheetId="38">#REF!</definedName>
    <definedName name="H6C14">#REF!</definedName>
    <definedName name="H6C15" localSheetId="3">#REF!</definedName>
    <definedName name="H6C15" localSheetId="7">#REF!</definedName>
    <definedName name="H6C15" localSheetId="9">#REF!</definedName>
    <definedName name="H6C15" localSheetId="10">#REF!</definedName>
    <definedName name="H6C15" localSheetId="15">#REF!</definedName>
    <definedName name="H6C15" localSheetId="19">#REF!</definedName>
    <definedName name="H6C15" localSheetId="20">#REF!</definedName>
    <definedName name="H6C15" localSheetId="24">#REF!</definedName>
    <definedName name="H6C15" localSheetId="104">#REF!</definedName>
    <definedName name="H6C15" localSheetId="65">#REF!</definedName>
    <definedName name="H6C15" localSheetId="64">#REF!</definedName>
    <definedName name="H6C15" localSheetId="77">#REF!</definedName>
    <definedName name="H6C15" localSheetId="49">#REF!</definedName>
    <definedName name="H6C15" localSheetId="40">#REF!</definedName>
    <definedName name="H6C15" localSheetId="43">#REF!</definedName>
    <definedName name="H6C15" localSheetId="13">#REF!</definedName>
    <definedName name="H6C15" localSheetId="38">#REF!</definedName>
    <definedName name="H6C15">#REF!</definedName>
    <definedName name="H6C2" localSheetId="3">#REF!</definedName>
    <definedName name="H6C2" localSheetId="7">#REF!</definedName>
    <definedName name="H6C2" localSheetId="9">#REF!</definedName>
    <definedName name="H6C2" localSheetId="10">#REF!</definedName>
    <definedName name="H6C2" localSheetId="15">#REF!</definedName>
    <definedName name="H6C2" localSheetId="19">#REF!</definedName>
    <definedName name="H6C2" localSheetId="20">#REF!</definedName>
    <definedName name="H6C2" localSheetId="24">#REF!</definedName>
    <definedName name="H6C2" localSheetId="104">#REF!</definedName>
    <definedName name="H6C2" localSheetId="65">#REF!</definedName>
    <definedName name="H6C2" localSheetId="64">#REF!</definedName>
    <definedName name="H6C2" localSheetId="77">#REF!</definedName>
    <definedName name="H6C2" localSheetId="49">#REF!</definedName>
    <definedName name="H6C2" localSheetId="40">#REF!</definedName>
    <definedName name="H6C2" localSheetId="43">#REF!</definedName>
    <definedName name="H6C2" localSheetId="13">#REF!</definedName>
    <definedName name="H6C2" localSheetId="38">#REF!</definedName>
    <definedName name="H6C2">#REF!</definedName>
    <definedName name="H6C3" localSheetId="3">#REF!</definedName>
    <definedName name="H6C3" localSheetId="7">#REF!</definedName>
    <definedName name="H6C3" localSheetId="9">#REF!</definedName>
    <definedName name="H6C3" localSheetId="10">#REF!</definedName>
    <definedName name="H6C3" localSheetId="15">#REF!</definedName>
    <definedName name="H6C3" localSheetId="19">#REF!</definedName>
    <definedName name="H6C3" localSheetId="20">#REF!</definedName>
    <definedName name="H6C3" localSheetId="24">#REF!</definedName>
    <definedName name="H6C3" localSheetId="104">#REF!</definedName>
    <definedName name="H6C3" localSheetId="65">#REF!</definedName>
    <definedName name="H6C3" localSheetId="64">#REF!</definedName>
    <definedName name="H6C3" localSheetId="77">#REF!</definedName>
    <definedName name="H6C3" localSheetId="49">#REF!</definedName>
    <definedName name="H6C3" localSheetId="40">#REF!</definedName>
    <definedName name="H6C3" localSheetId="43">#REF!</definedName>
    <definedName name="H6C3" localSheetId="13">#REF!</definedName>
    <definedName name="H6C3" localSheetId="38">#REF!</definedName>
    <definedName name="H6C3">#REF!</definedName>
    <definedName name="H6C4" localSheetId="3">#REF!</definedName>
    <definedName name="H6C4" localSheetId="7">#REF!</definedName>
    <definedName name="H6C4" localSheetId="9">#REF!</definedName>
    <definedName name="H6C4" localSheetId="10">#REF!</definedName>
    <definedName name="H6C4" localSheetId="15">#REF!</definedName>
    <definedName name="H6C4" localSheetId="19">#REF!</definedName>
    <definedName name="H6C4" localSheetId="20">#REF!</definedName>
    <definedName name="H6C4" localSheetId="24">#REF!</definedName>
    <definedName name="H6C4" localSheetId="104">#REF!</definedName>
    <definedName name="H6C4" localSheetId="65">#REF!</definedName>
    <definedName name="H6C4" localSheetId="64">#REF!</definedName>
    <definedName name="H6C4" localSheetId="77">#REF!</definedName>
    <definedName name="H6C4" localSheetId="49">#REF!</definedName>
    <definedName name="H6C4" localSheetId="40">#REF!</definedName>
    <definedName name="H6C4" localSheetId="43">#REF!</definedName>
    <definedName name="H6C4" localSheetId="13">#REF!</definedName>
    <definedName name="H6C4" localSheetId="38">#REF!</definedName>
    <definedName name="H6C4">#REF!</definedName>
    <definedName name="H6C5" localSheetId="3">#REF!</definedName>
    <definedName name="H6C5" localSheetId="7">#REF!</definedName>
    <definedName name="H6C5" localSheetId="9">#REF!</definedName>
    <definedName name="H6C5" localSheetId="10">#REF!</definedName>
    <definedName name="H6C5" localSheetId="15">#REF!</definedName>
    <definedName name="H6C5" localSheetId="19">#REF!</definedName>
    <definedName name="H6C5" localSheetId="20">#REF!</definedName>
    <definedName name="H6C5" localSheetId="24">#REF!</definedName>
    <definedName name="H6C5" localSheetId="104">#REF!</definedName>
    <definedName name="H6C5" localSheetId="65">#REF!</definedName>
    <definedName name="H6C5" localSheetId="64">#REF!</definedName>
    <definedName name="H6C5" localSheetId="77">#REF!</definedName>
    <definedName name="H6C5" localSheetId="49">#REF!</definedName>
    <definedName name="H6C5" localSheetId="40">#REF!</definedName>
    <definedName name="H6C5" localSheetId="43">#REF!</definedName>
    <definedName name="H6C5" localSheetId="13">#REF!</definedName>
    <definedName name="H6C5" localSheetId="38">#REF!</definedName>
    <definedName name="H6C5">#REF!</definedName>
    <definedName name="H6C6" localSheetId="3">#REF!</definedName>
    <definedName name="H6C6" localSheetId="7">#REF!</definedName>
    <definedName name="H6C6" localSheetId="9">#REF!</definedName>
    <definedName name="H6C6" localSheetId="10">#REF!</definedName>
    <definedName name="H6C6" localSheetId="15">#REF!</definedName>
    <definedName name="H6C6" localSheetId="19">#REF!</definedName>
    <definedName name="H6C6" localSheetId="20">#REF!</definedName>
    <definedName name="H6C6" localSheetId="24">#REF!</definedName>
    <definedName name="H6C6" localSheetId="104">#REF!</definedName>
    <definedName name="H6C6" localSheetId="65">#REF!</definedName>
    <definedName name="H6C6" localSheetId="64">#REF!</definedName>
    <definedName name="H6C6" localSheetId="77">#REF!</definedName>
    <definedName name="H6C6" localSheetId="49">#REF!</definedName>
    <definedName name="H6C6" localSheetId="40">#REF!</definedName>
    <definedName name="H6C6" localSheetId="43">#REF!</definedName>
    <definedName name="H6C6" localSheetId="13">#REF!</definedName>
    <definedName name="H6C6" localSheetId="38">#REF!</definedName>
    <definedName name="H6C6">#REF!</definedName>
    <definedName name="H6C7" localSheetId="3">#REF!</definedName>
    <definedName name="H6C7" localSheetId="7">#REF!</definedName>
    <definedName name="H6C7" localSheetId="9">#REF!</definedName>
    <definedName name="H6C7" localSheetId="10">#REF!</definedName>
    <definedName name="H6C7" localSheetId="15">#REF!</definedName>
    <definedName name="H6C7" localSheetId="19">#REF!</definedName>
    <definedName name="H6C7" localSheetId="20">#REF!</definedName>
    <definedName name="H6C7" localSheetId="24">#REF!</definedName>
    <definedName name="H6C7" localSheetId="104">#REF!</definedName>
    <definedName name="H6C7" localSheetId="65">#REF!</definedName>
    <definedName name="H6C7" localSheetId="64">#REF!</definedName>
    <definedName name="H6C7" localSheetId="77">#REF!</definedName>
    <definedName name="H6C7" localSheetId="49">#REF!</definedName>
    <definedName name="H6C7" localSheetId="40">#REF!</definedName>
    <definedName name="H6C7" localSheetId="43">#REF!</definedName>
    <definedName name="H6C7" localSheetId="13">#REF!</definedName>
    <definedName name="H6C7" localSheetId="38">#REF!</definedName>
    <definedName name="H6C7">#REF!</definedName>
    <definedName name="H6C8" localSheetId="3">#REF!</definedName>
    <definedName name="H6C8" localSheetId="7">#REF!</definedName>
    <definedName name="H6C8" localSheetId="9">#REF!</definedName>
    <definedName name="H6C8" localSheetId="10">#REF!</definedName>
    <definedName name="H6C8" localSheetId="15">#REF!</definedName>
    <definedName name="H6C8" localSheetId="19">#REF!</definedName>
    <definedName name="H6C8" localSheetId="20">#REF!</definedName>
    <definedName name="H6C8" localSheetId="24">#REF!</definedName>
    <definedName name="H6C8" localSheetId="104">#REF!</definedName>
    <definedName name="H6C8" localSheetId="65">#REF!</definedName>
    <definedName name="H6C8" localSheetId="64">#REF!</definedName>
    <definedName name="H6C8" localSheetId="77">#REF!</definedName>
    <definedName name="H6C8" localSheetId="49">#REF!</definedName>
    <definedName name="H6C8" localSheetId="40">#REF!</definedName>
    <definedName name="H6C8" localSheetId="43">#REF!</definedName>
    <definedName name="H6C8" localSheetId="13">#REF!</definedName>
    <definedName name="H6C8" localSheetId="38">#REF!</definedName>
    <definedName name="H6C8">#REF!</definedName>
    <definedName name="H6C9" localSheetId="3">#REF!</definedName>
    <definedName name="H6C9" localSheetId="7">#REF!</definedName>
    <definedName name="H6C9" localSheetId="9">#REF!</definedName>
    <definedName name="H6C9" localSheetId="10">#REF!</definedName>
    <definedName name="H6C9" localSheetId="15">#REF!</definedName>
    <definedName name="H6C9" localSheetId="19">#REF!</definedName>
    <definedName name="H6C9" localSheetId="20">#REF!</definedName>
    <definedName name="H6C9" localSheetId="24">#REF!</definedName>
    <definedName name="H6C9" localSheetId="104">#REF!</definedName>
    <definedName name="H6C9" localSheetId="65">#REF!</definedName>
    <definedName name="H6C9" localSheetId="64">#REF!</definedName>
    <definedName name="H6C9" localSheetId="77">#REF!</definedName>
    <definedName name="H6C9" localSheetId="49">#REF!</definedName>
    <definedName name="H6C9" localSheetId="40">#REF!</definedName>
    <definedName name="H6C9" localSheetId="43">#REF!</definedName>
    <definedName name="H6C9" localSheetId="13">#REF!</definedName>
    <definedName name="H6C9" localSheetId="38">#REF!</definedName>
    <definedName name="H6C9">#REF!</definedName>
    <definedName name="H7C1" localSheetId="3">#REF!</definedName>
    <definedName name="H7C1" localSheetId="7">#REF!</definedName>
    <definedName name="H7C1" localSheetId="9">#REF!</definedName>
    <definedName name="H7C1" localSheetId="10">#REF!</definedName>
    <definedName name="H7C1" localSheetId="15">#REF!</definedName>
    <definedName name="H7C1" localSheetId="19">#REF!</definedName>
    <definedName name="H7C1" localSheetId="20">#REF!</definedName>
    <definedName name="H7C1" localSheetId="24">#REF!</definedName>
    <definedName name="H7C1" localSheetId="104">#REF!</definedName>
    <definedName name="H7C1" localSheetId="65">#REF!</definedName>
    <definedName name="H7C1" localSheetId="64">#REF!</definedName>
    <definedName name="H7C1" localSheetId="77">#REF!</definedName>
    <definedName name="H7C1" localSheetId="49">#REF!</definedName>
    <definedName name="H7C1" localSheetId="40">#REF!</definedName>
    <definedName name="H7C1" localSheetId="43">#REF!</definedName>
    <definedName name="H7C1" localSheetId="13">#REF!</definedName>
    <definedName name="H7C1" localSheetId="38">#REF!</definedName>
    <definedName name="H7C1">#REF!</definedName>
    <definedName name="H7C10" localSheetId="3">#REF!</definedName>
    <definedName name="H7C10" localSheetId="7">#REF!</definedName>
    <definedName name="H7C10" localSheetId="9">#REF!</definedName>
    <definedName name="H7C10" localSheetId="10">#REF!</definedName>
    <definedName name="H7C10" localSheetId="15">#REF!</definedName>
    <definedName name="H7C10" localSheetId="19">#REF!</definedName>
    <definedName name="H7C10" localSheetId="20">#REF!</definedName>
    <definedName name="H7C10" localSheetId="24">#REF!</definedName>
    <definedName name="H7C10" localSheetId="104">#REF!</definedName>
    <definedName name="H7C10" localSheetId="65">#REF!</definedName>
    <definedName name="H7C10" localSheetId="64">#REF!</definedName>
    <definedName name="H7C10" localSheetId="77">#REF!</definedName>
    <definedName name="H7C10" localSheetId="49">#REF!</definedName>
    <definedName name="H7C10" localSheetId="40">#REF!</definedName>
    <definedName name="H7C10" localSheetId="43">#REF!</definedName>
    <definedName name="H7C10" localSheetId="13">#REF!</definedName>
    <definedName name="H7C10" localSheetId="38">#REF!</definedName>
    <definedName name="H7C10">#REF!</definedName>
    <definedName name="H7C11" localSheetId="3">#REF!</definedName>
    <definedName name="H7C11" localSheetId="7">#REF!</definedName>
    <definedName name="H7C11" localSheetId="9">#REF!</definedName>
    <definedName name="H7C11" localSheetId="10">#REF!</definedName>
    <definedName name="H7C11" localSheetId="15">#REF!</definedName>
    <definedName name="H7C11" localSheetId="19">#REF!</definedName>
    <definedName name="H7C11" localSheetId="20">#REF!</definedName>
    <definedName name="H7C11" localSheetId="24">#REF!</definedName>
    <definedName name="H7C11" localSheetId="104">#REF!</definedName>
    <definedName name="H7C11" localSheetId="65">#REF!</definedName>
    <definedName name="H7C11" localSheetId="64">#REF!</definedName>
    <definedName name="H7C11" localSheetId="77">#REF!</definedName>
    <definedName name="H7C11" localSheetId="49">#REF!</definedName>
    <definedName name="H7C11" localSheetId="40">#REF!</definedName>
    <definedName name="H7C11" localSheetId="43">#REF!</definedName>
    <definedName name="H7C11" localSheetId="13">#REF!</definedName>
    <definedName name="H7C11" localSheetId="38">#REF!</definedName>
    <definedName name="H7C11">#REF!</definedName>
    <definedName name="H7C12" localSheetId="3">#REF!</definedName>
    <definedName name="H7C12" localSheetId="7">#REF!</definedName>
    <definedName name="H7C12" localSheetId="9">#REF!</definedName>
    <definedName name="H7C12" localSheetId="10">#REF!</definedName>
    <definedName name="H7C12" localSheetId="15">#REF!</definedName>
    <definedName name="H7C12" localSheetId="19">#REF!</definedName>
    <definedName name="H7C12" localSheetId="20">#REF!</definedName>
    <definedName name="H7C12" localSheetId="24">#REF!</definedName>
    <definedName name="H7C12" localSheetId="104">#REF!</definedName>
    <definedName name="H7C12" localSheetId="65">#REF!</definedName>
    <definedName name="H7C12" localSheetId="64">#REF!</definedName>
    <definedName name="H7C12" localSheetId="77">#REF!</definedName>
    <definedName name="H7C12" localSheetId="49">#REF!</definedName>
    <definedName name="H7C12" localSheetId="40">#REF!</definedName>
    <definedName name="H7C12" localSheetId="43">#REF!</definedName>
    <definedName name="H7C12" localSheetId="13">#REF!</definedName>
    <definedName name="H7C12" localSheetId="38">#REF!</definedName>
    <definedName name="H7C12">#REF!</definedName>
    <definedName name="H7C13" localSheetId="3">#REF!</definedName>
    <definedName name="H7C13" localSheetId="7">#REF!</definedName>
    <definedName name="H7C13" localSheetId="9">#REF!</definedName>
    <definedName name="H7C13" localSheetId="10">#REF!</definedName>
    <definedName name="H7C13" localSheetId="15">#REF!</definedName>
    <definedName name="H7C13" localSheetId="19">#REF!</definedName>
    <definedName name="H7C13" localSheetId="20">#REF!</definedName>
    <definedName name="H7C13" localSheetId="24">#REF!</definedName>
    <definedName name="H7C13" localSheetId="104">#REF!</definedName>
    <definedName name="H7C13" localSheetId="65">#REF!</definedName>
    <definedName name="H7C13" localSheetId="64">#REF!</definedName>
    <definedName name="H7C13" localSheetId="77">#REF!</definedName>
    <definedName name="H7C13" localSheetId="49">#REF!</definedName>
    <definedName name="H7C13" localSheetId="40">#REF!</definedName>
    <definedName name="H7C13" localSheetId="43">#REF!</definedName>
    <definedName name="H7C13" localSheetId="13">#REF!</definedName>
    <definedName name="H7C13" localSheetId="38">#REF!</definedName>
    <definedName name="H7C13">#REF!</definedName>
    <definedName name="H7C14" localSheetId="3">#REF!</definedName>
    <definedName name="H7C14" localSheetId="7">#REF!</definedName>
    <definedName name="H7C14" localSheetId="9">#REF!</definedName>
    <definedName name="H7C14" localSheetId="10">#REF!</definedName>
    <definedName name="H7C14" localSheetId="15">#REF!</definedName>
    <definedName name="H7C14" localSheetId="19">#REF!</definedName>
    <definedName name="H7C14" localSheetId="20">#REF!</definedName>
    <definedName name="H7C14" localSheetId="24">#REF!</definedName>
    <definedName name="H7C14" localSheetId="104">#REF!</definedName>
    <definedName name="H7C14" localSheetId="65">#REF!</definedName>
    <definedName name="H7C14" localSheetId="64">#REF!</definedName>
    <definedName name="H7C14" localSheetId="77">#REF!</definedName>
    <definedName name="H7C14" localSheetId="49">#REF!</definedName>
    <definedName name="H7C14" localSheetId="40">#REF!</definedName>
    <definedName name="H7C14" localSheetId="43">#REF!</definedName>
    <definedName name="H7C14" localSheetId="13">#REF!</definedName>
    <definedName name="H7C14" localSheetId="38">#REF!</definedName>
    <definedName name="H7C14">#REF!</definedName>
    <definedName name="H7C15" localSheetId="3">#REF!</definedName>
    <definedName name="H7C15" localSheetId="7">#REF!</definedName>
    <definedName name="H7C15" localSheetId="9">#REF!</definedName>
    <definedName name="H7C15" localSheetId="10">#REF!</definedName>
    <definedName name="H7C15" localSheetId="15">#REF!</definedName>
    <definedName name="H7C15" localSheetId="19">#REF!</definedName>
    <definedName name="H7C15" localSheetId="20">#REF!</definedName>
    <definedName name="H7C15" localSheetId="24">#REF!</definedName>
    <definedName name="H7C15" localSheetId="104">#REF!</definedName>
    <definedName name="H7C15" localSheetId="65">#REF!</definedName>
    <definedName name="H7C15" localSheetId="64">#REF!</definedName>
    <definedName name="H7C15" localSheetId="77">#REF!</definedName>
    <definedName name="H7C15" localSheetId="49">#REF!</definedName>
    <definedName name="H7C15" localSheetId="40">#REF!</definedName>
    <definedName name="H7C15" localSheetId="43">#REF!</definedName>
    <definedName name="H7C15" localSheetId="13">#REF!</definedName>
    <definedName name="H7C15" localSheetId="38">#REF!</definedName>
    <definedName name="H7C15">#REF!</definedName>
    <definedName name="H7C2" localSheetId="3">#REF!</definedName>
    <definedName name="H7C2" localSheetId="7">#REF!</definedName>
    <definedName name="H7C2" localSheetId="9">#REF!</definedName>
    <definedName name="H7C2" localSheetId="10">#REF!</definedName>
    <definedName name="H7C2" localSheetId="15">#REF!</definedName>
    <definedName name="H7C2" localSheetId="19">#REF!</definedName>
    <definedName name="H7C2" localSheetId="20">#REF!</definedName>
    <definedName name="H7C2" localSheetId="24">#REF!</definedName>
    <definedName name="H7C2" localSheetId="104">#REF!</definedName>
    <definedName name="H7C2" localSheetId="65">#REF!</definedName>
    <definedName name="H7C2" localSheetId="64">#REF!</definedName>
    <definedName name="H7C2" localSheetId="77">#REF!</definedName>
    <definedName name="H7C2" localSheetId="49">#REF!</definedName>
    <definedName name="H7C2" localSheetId="40">#REF!</definedName>
    <definedName name="H7C2" localSheetId="43">#REF!</definedName>
    <definedName name="H7C2" localSheetId="13">#REF!</definedName>
    <definedName name="H7C2" localSheetId="38">#REF!</definedName>
    <definedName name="H7C2">#REF!</definedName>
    <definedName name="H7C3" localSheetId="3">#REF!</definedName>
    <definedName name="H7C3" localSheetId="7">#REF!</definedName>
    <definedName name="H7C3" localSheetId="9">#REF!</definedName>
    <definedName name="H7C3" localSheetId="10">#REF!</definedName>
    <definedName name="H7C3" localSheetId="15">#REF!</definedName>
    <definedName name="H7C3" localSheetId="19">#REF!</definedName>
    <definedName name="H7C3" localSheetId="20">#REF!</definedName>
    <definedName name="H7C3" localSheetId="24">#REF!</definedName>
    <definedName name="H7C3" localSheetId="104">#REF!</definedName>
    <definedName name="H7C3" localSheetId="65">#REF!</definedName>
    <definedName name="H7C3" localSheetId="64">#REF!</definedName>
    <definedName name="H7C3" localSheetId="77">#REF!</definedName>
    <definedName name="H7C3" localSheetId="49">#REF!</definedName>
    <definedName name="H7C3" localSheetId="40">#REF!</definedName>
    <definedName name="H7C3" localSheetId="43">#REF!</definedName>
    <definedName name="H7C3" localSheetId="13">#REF!</definedName>
    <definedName name="H7C3" localSheetId="38">#REF!</definedName>
    <definedName name="H7C3">#REF!</definedName>
    <definedName name="H7C4" localSheetId="3">#REF!</definedName>
    <definedName name="H7C4" localSheetId="7">#REF!</definedName>
    <definedName name="H7C4" localSheetId="9">#REF!</definedName>
    <definedName name="H7C4" localSheetId="10">#REF!</definedName>
    <definedName name="H7C4" localSheetId="15">#REF!</definedName>
    <definedName name="H7C4" localSheetId="19">#REF!</definedName>
    <definedName name="H7C4" localSheetId="20">#REF!</definedName>
    <definedName name="H7C4" localSheetId="24">#REF!</definedName>
    <definedName name="H7C4" localSheetId="104">#REF!</definedName>
    <definedName name="H7C4" localSheetId="65">#REF!</definedName>
    <definedName name="H7C4" localSheetId="64">#REF!</definedName>
    <definedName name="H7C4" localSheetId="77">#REF!</definedName>
    <definedName name="H7C4" localSheetId="49">#REF!</definedName>
    <definedName name="H7C4" localSheetId="40">#REF!</definedName>
    <definedName name="H7C4" localSheetId="43">#REF!</definedName>
    <definedName name="H7C4" localSheetId="13">#REF!</definedName>
    <definedName name="H7C4" localSheetId="38">#REF!</definedName>
    <definedName name="H7C4">#REF!</definedName>
    <definedName name="H7C5" localSheetId="3">#REF!</definedName>
    <definedName name="H7C5" localSheetId="7">#REF!</definedName>
    <definedName name="H7C5" localSheetId="9">#REF!</definedName>
    <definedName name="H7C5" localSheetId="10">#REF!</definedName>
    <definedName name="H7C5" localSheetId="15">#REF!</definedName>
    <definedName name="H7C5" localSheetId="19">#REF!</definedName>
    <definedName name="H7C5" localSheetId="20">#REF!</definedName>
    <definedName name="H7C5" localSheetId="24">#REF!</definedName>
    <definedName name="H7C5" localSheetId="104">#REF!</definedName>
    <definedName name="H7C5" localSheetId="65">#REF!</definedName>
    <definedName name="H7C5" localSheetId="64">#REF!</definedName>
    <definedName name="H7C5" localSheetId="77">#REF!</definedName>
    <definedName name="H7C5" localSheetId="49">#REF!</definedName>
    <definedName name="H7C5" localSheetId="40">#REF!</definedName>
    <definedName name="H7C5" localSheetId="43">#REF!</definedName>
    <definedName name="H7C5" localSheetId="13">#REF!</definedName>
    <definedName name="H7C5" localSheetId="38">#REF!</definedName>
    <definedName name="H7C5">#REF!</definedName>
    <definedName name="H7C6" localSheetId="3">#REF!</definedName>
    <definedName name="H7C6" localSheetId="7">#REF!</definedName>
    <definedName name="H7C6" localSheetId="9">#REF!</definedName>
    <definedName name="H7C6" localSheetId="10">#REF!</definedName>
    <definedName name="H7C6" localSheetId="15">#REF!</definedName>
    <definedName name="H7C6" localSheetId="19">#REF!</definedName>
    <definedName name="H7C6" localSheetId="20">#REF!</definedName>
    <definedName name="H7C6" localSheetId="24">#REF!</definedName>
    <definedName name="H7C6" localSheetId="104">#REF!</definedName>
    <definedName name="H7C6" localSheetId="65">#REF!</definedName>
    <definedName name="H7C6" localSheetId="64">#REF!</definedName>
    <definedName name="H7C6" localSheetId="77">#REF!</definedName>
    <definedName name="H7C6" localSheetId="49">#REF!</definedName>
    <definedName name="H7C6" localSheetId="40">#REF!</definedName>
    <definedName name="H7C6" localSheetId="43">#REF!</definedName>
    <definedName name="H7C6" localSheetId="13">#REF!</definedName>
    <definedName name="H7C6" localSheetId="38">#REF!</definedName>
    <definedName name="H7C6">#REF!</definedName>
    <definedName name="H7C7" localSheetId="3">#REF!</definedName>
    <definedName name="H7C7" localSheetId="7">#REF!</definedName>
    <definedName name="H7C7" localSheetId="9">#REF!</definedName>
    <definedName name="H7C7" localSheetId="10">#REF!</definedName>
    <definedName name="H7C7" localSheetId="15">#REF!</definedName>
    <definedName name="H7C7" localSheetId="19">#REF!</definedName>
    <definedName name="H7C7" localSheetId="20">#REF!</definedName>
    <definedName name="H7C7" localSheetId="24">#REF!</definedName>
    <definedName name="H7C7" localSheetId="104">#REF!</definedName>
    <definedName name="H7C7" localSheetId="65">#REF!</definedName>
    <definedName name="H7C7" localSheetId="64">#REF!</definedName>
    <definedName name="H7C7" localSheetId="77">#REF!</definedName>
    <definedName name="H7C7" localSheetId="49">#REF!</definedName>
    <definedName name="H7C7" localSheetId="40">#REF!</definedName>
    <definedName name="H7C7" localSheetId="43">#REF!</definedName>
    <definedName name="H7C7" localSheetId="13">#REF!</definedName>
    <definedName name="H7C7" localSheetId="38">#REF!</definedName>
    <definedName name="H7C7">#REF!</definedName>
    <definedName name="H7C8" localSheetId="3">#REF!</definedName>
    <definedName name="H7C8" localSheetId="7">#REF!</definedName>
    <definedName name="H7C8" localSheetId="9">#REF!</definedName>
    <definedName name="H7C8" localSheetId="10">#REF!</definedName>
    <definedName name="H7C8" localSheetId="15">#REF!</definedName>
    <definedName name="H7C8" localSheetId="19">#REF!</definedName>
    <definedName name="H7C8" localSheetId="20">#REF!</definedName>
    <definedName name="H7C8" localSheetId="24">#REF!</definedName>
    <definedName name="H7C8" localSheetId="104">#REF!</definedName>
    <definedName name="H7C8" localSheetId="65">#REF!</definedName>
    <definedName name="H7C8" localSheetId="64">#REF!</definedName>
    <definedName name="H7C8" localSheetId="77">#REF!</definedName>
    <definedName name="H7C8" localSheetId="49">#REF!</definedName>
    <definedName name="H7C8" localSheetId="40">#REF!</definedName>
    <definedName name="H7C8" localSheetId="43">#REF!</definedName>
    <definedName name="H7C8" localSheetId="13">#REF!</definedName>
    <definedName name="H7C8" localSheetId="38">#REF!</definedName>
    <definedName name="H7C8">#REF!</definedName>
    <definedName name="H7C9" localSheetId="3">#REF!</definedName>
    <definedName name="H7C9" localSheetId="7">#REF!</definedName>
    <definedName name="H7C9" localSheetId="9">#REF!</definedName>
    <definedName name="H7C9" localSheetId="10">#REF!</definedName>
    <definedName name="H7C9" localSheetId="15">#REF!</definedName>
    <definedName name="H7C9" localSheetId="19">#REF!</definedName>
    <definedName name="H7C9" localSheetId="20">#REF!</definedName>
    <definedName name="H7C9" localSheetId="24">#REF!</definedName>
    <definedName name="H7C9" localSheetId="104">#REF!</definedName>
    <definedName name="H7C9" localSheetId="65">#REF!</definedName>
    <definedName name="H7C9" localSheetId="64">#REF!</definedName>
    <definedName name="H7C9" localSheetId="77">#REF!</definedName>
    <definedName name="H7C9" localSheetId="49">#REF!</definedName>
    <definedName name="H7C9" localSheetId="40">#REF!</definedName>
    <definedName name="H7C9" localSheetId="43">#REF!</definedName>
    <definedName name="H7C9" localSheetId="13">#REF!</definedName>
    <definedName name="H7C9" localSheetId="38">#REF!</definedName>
    <definedName name="H7C9">#REF!</definedName>
    <definedName name="H8C1" localSheetId="3">#REF!</definedName>
    <definedName name="H8C1" localSheetId="7">#REF!</definedName>
    <definedName name="H8C1" localSheetId="9">#REF!</definedName>
    <definedName name="H8C1" localSheetId="10">#REF!</definedName>
    <definedName name="H8C1" localSheetId="15">#REF!</definedName>
    <definedName name="H8C1" localSheetId="19">#REF!</definedName>
    <definedName name="H8C1" localSheetId="20">#REF!</definedName>
    <definedName name="H8C1" localSheetId="24">#REF!</definedName>
    <definedName name="H8C1" localSheetId="104">#REF!</definedName>
    <definedName name="H8C1" localSheetId="65">#REF!</definedName>
    <definedName name="H8C1" localSheetId="64">#REF!</definedName>
    <definedName name="H8C1" localSheetId="77">#REF!</definedName>
    <definedName name="H8C1" localSheetId="49">#REF!</definedName>
    <definedName name="H8C1" localSheetId="40">#REF!</definedName>
    <definedName name="H8C1" localSheetId="43">#REF!</definedName>
    <definedName name="H8C1" localSheetId="13">#REF!</definedName>
    <definedName name="H8C1" localSheetId="38">#REF!</definedName>
    <definedName name="H8C1">#REF!</definedName>
    <definedName name="H8C10" localSheetId="3">#REF!</definedName>
    <definedName name="H8C10" localSheetId="7">#REF!</definedName>
    <definedName name="H8C10" localSheetId="9">#REF!</definedName>
    <definedName name="H8C10" localSheetId="10">#REF!</definedName>
    <definedName name="H8C10" localSheetId="15">#REF!</definedName>
    <definedName name="H8C10" localSheetId="19">#REF!</definedName>
    <definedName name="H8C10" localSheetId="20">#REF!</definedName>
    <definedName name="H8C10" localSheetId="24">#REF!</definedName>
    <definedName name="H8C10" localSheetId="104">#REF!</definedName>
    <definedName name="H8C10" localSheetId="65">#REF!</definedName>
    <definedName name="H8C10" localSheetId="64">#REF!</definedName>
    <definedName name="H8C10" localSheetId="77">#REF!</definedName>
    <definedName name="H8C10" localSheetId="49">#REF!</definedName>
    <definedName name="H8C10" localSheetId="40">#REF!</definedName>
    <definedName name="H8C10" localSheetId="43">#REF!</definedName>
    <definedName name="H8C10" localSheetId="13">#REF!</definedName>
    <definedName name="H8C10" localSheetId="38">#REF!</definedName>
    <definedName name="H8C10">#REF!</definedName>
    <definedName name="H8C11" localSheetId="3">#REF!</definedName>
    <definedName name="H8C11" localSheetId="7">#REF!</definedName>
    <definedName name="H8C11" localSheetId="9">#REF!</definedName>
    <definedName name="H8C11" localSheetId="10">#REF!</definedName>
    <definedName name="H8C11" localSheetId="15">#REF!</definedName>
    <definedName name="H8C11" localSheetId="19">#REF!</definedName>
    <definedName name="H8C11" localSheetId="20">#REF!</definedName>
    <definedName name="H8C11" localSheetId="24">#REF!</definedName>
    <definedName name="H8C11" localSheetId="104">#REF!</definedName>
    <definedName name="H8C11" localSheetId="65">#REF!</definedName>
    <definedName name="H8C11" localSheetId="64">#REF!</definedName>
    <definedName name="H8C11" localSheetId="77">#REF!</definedName>
    <definedName name="H8C11" localSheetId="49">#REF!</definedName>
    <definedName name="H8C11" localSheetId="40">#REF!</definedName>
    <definedName name="H8C11" localSheetId="43">#REF!</definedName>
    <definedName name="H8C11" localSheetId="13">#REF!</definedName>
    <definedName name="H8C11" localSheetId="38">#REF!</definedName>
    <definedName name="H8C11">#REF!</definedName>
    <definedName name="H8C12" localSheetId="3">#REF!</definedName>
    <definedName name="H8C12" localSheetId="7">#REF!</definedName>
    <definedName name="H8C12" localSheetId="9">#REF!</definedName>
    <definedName name="H8C12" localSheetId="10">#REF!</definedName>
    <definedName name="H8C12" localSheetId="15">#REF!</definedName>
    <definedName name="H8C12" localSheetId="19">#REF!</definedName>
    <definedName name="H8C12" localSheetId="20">#REF!</definedName>
    <definedName name="H8C12" localSheetId="24">#REF!</definedName>
    <definedName name="H8C12" localSheetId="104">#REF!</definedName>
    <definedName name="H8C12" localSheetId="65">#REF!</definedName>
    <definedName name="H8C12" localSheetId="64">#REF!</definedName>
    <definedName name="H8C12" localSheetId="77">#REF!</definedName>
    <definedName name="H8C12" localSheetId="49">#REF!</definedName>
    <definedName name="H8C12" localSheetId="40">#REF!</definedName>
    <definedName name="H8C12" localSheetId="43">#REF!</definedName>
    <definedName name="H8C12" localSheetId="13">#REF!</definedName>
    <definedName name="H8C12" localSheetId="38">#REF!</definedName>
    <definedName name="H8C12">#REF!</definedName>
    <definedName name="H8C13" localSheetId="3">#REF!</definedName>
    <definedName name="H8C13" localSheetId="7">#REF!</definedName>
    <definedName name="H8C13" localSheetId="9">#REF!</definedName>
    <definedName name="H8C13" localSheetId="10">#REF!</definedName>
    <definedName name="H8C13" localSheetId="15">#REF!</definedName>
    <definedName name="H8C13" localSheetId="19">#REF!</definedName>
    <definedName name="H8C13" localSheetId="20">#REF!</definedName>
    <definedName name="H8C13" localSheetId="24">#REF!</definedName>
    <definedName name="H8C13" localSheetId="104">#REF!</definedName>
    <definedName name="H8C13" localSheetId="65">#REF!</definedName>
    <definedName name="H8C13" localSheetId="64">#REF!</definedName>
    <definedName name="H8C13" localSheetId="77">#REF!</definedName>
    <definedName name="H8C13" localSheetId="49">#REF!</definedName>
    <definedName name="H8C13" localSheetId="40">#REF!</definedName>
    <definedName name="H8C13" localSheetId="43">#REF!</definedName>
    <definedName name="H8C13" localSheetId="13">#REF!</definedName>
    <definedName name="H8C13" localSheetId="38">#REF!</definedName>
    <definedName name="H8C13">#REF!</definedName>
    <definedName name="H8C14" localSheetId="3">#REF!</definedName>
    <definedName name="H8C14" localSheetId="7">#REF!</definedName>
    <definedName name="H8C14" localSheetId="9">#REF!</definedName>
    <definedName name="H8C14" localSheetId="10">#REF!</definedName>
    <definedName name="H8C14" localSheetId="15">#REF!</definedName>
    <definedName name="H8C14" localSheetId="19">#REF!</definedName>
    <definedName name="H8C14" localSheetId="20">#REF!</definedName>
    <definedName name="H8C14" localSheetId="24">#REF!</definedName>
    <definedName name="H8C14" localSheetId="104">#REF!</definedName>
    <definedName name="H8C14" localSheetId="65">#REF!</definedName>
    <definedName name="H8C14" localSheetId="64">#REF!</definedName>
    <definedName name="H8C14" localSheetId="77">#REF!</definedName>
    <definedName name="H8C14" localSheetId="49">#REF!</definedName>
    <definedName name="H8C14" localSheetId="40">#REF!</definedName>
    <definedName name="H8C14" localSheetId="43">#REF!</definedName>
    <definedName name="H8C14" localSheetId="13">#REF!</definedName>
    <definedName name="H8C14" localSheetId="38">#REF!</definedName>
    <definedName name="H8C14">#REF!</definedName>
    <definedName name="H8C15" localSheetId="3">#REF!</definedName>
    <definedName name="H8C15" localSheetId="7">#REF!</definedName>
    <definedName name="H8C15" localSheetId="9">#REF!</definedName>
    <definedName name="H8C15" localSheetId="10">#REF!</definedName>
    <definedName name="H8C15" localSheetId="15">#REF!</definedName>
    <definedName name="H8C15" localSheetId="19">#REF!</definedName>
    <definedName name="H8C15" localSheetId="20">#REF!</definedName>
    <definedName name="H8C15" localSheetId="24">#REF!</definedName>
    <definedName name="H8C15" localSheetId="104">#REF!</definedName>
    <definedName name="H8C15" localSheetId="65">#REF!</definedName>
    <definedName name="H8C15" localSheetId="64">#REF!</definedName>
    <definedName name="H8C15" localSheetId="77">#REF!</definedName>
    <definedName name="H8C15" localSheetId="49">#REF!</definedName>
    <definedName name="H8C15" localSheetId="40">#REF!</definedName>
    <definedName name="H8C15" localSheetId="43">#REF!</definedName>
    <definedName name="H8C15" localSheetId="13">#REF!</definedName>
    <definedName name="H8C15" localSheetId="38">#REF!</definedName>
    <definedName name="H8C15">#REF!</definedName>
    <definedName name="H8C2" localSheetId="3">#REF!</definedName>
    <definedName name="H8C2" localSheetId="7">#REF!</definedName>
    <definedName name="H8C2" localSheetId="9">#REF!</definedName>
    <definedName name="H8C2" localSheetId="10">#REF!</definedName>
    <definedName name="H8C2" localSheetId="15">#REF!</definedName>
    <definedName name="H8C2" localSheetId="19">#REF!</definedName>
    <definedName name="H8C2" localSheetId="20">#REF!</definedName>
    <definedName name="H8C2" localSheetId="24">#REF!</definedName>
    <definedName name="H8C2" localSheetId="104">#REF!</definedName>
    <definedName name="H8C2" localSheetId="65">#REF!</definedName>
    <definedName name="H8C2" localSheetId="64">#REF!</definedName>
    <definedName name="H8C2" localSheetId="77">#REF!</definedName>
    <definedName name="H8C2" localSheetId="49">#REF!</definedName>
    <definedName name="H8C2" localSheetId="40">#REF!</definedName>
    <definedName name="H8C2" localSheetId="43">#REF!</definedName>
    <definedName name="H8C2" localSheetId="13">#REF!</definedName>
    <definedName name="H8C2" localSheetId="38">#REF!</definedName>
    <definedName name="H8C2">#REF!</definedName>
    <definedName name="H8C3" localSheetId="3">#REF!</definedName>
    <definedName name="H8C3" localSheetId="7">#REF!</definedName>
    <definedName name="H8C3" localSheetId="9">#REF!</definedName>
    <definedName name="H8C3" localSheetId="10">#REF!</definedName>
    <definedName name="H8C3" localSheetId="15">#REF!</definedName>
    <definedName name="H8C3" localSheetId="19">#REF!</definedName>
    <definedName name="H8C3" localSheetId="20">#REF!</definedName>
    <definedName name="H8C3" localSheetId="24">#REF!</definedName>
    <definedName name="H8C3" localSheetId="104">#REF!</definedName>
    <definedName name="H8C3" localSheetId="65">#REF!</definedName>
    <definedName name="H8C3" localSheetId="64">#REF!</definedName>
    <definedName name="H8C3" localSheetId="77">#REF!</definedName>
    <definedName name="H8C3" localSheetId="49">#REF!</definedName>
    <definedName name="H8C3" localSheetId="40">#REF!</definedName>
    <definedName name="H8C3" localSheetId="43">#REF!</definedName>
    <definedName name="H8C3" localSheetId="13">#REF!</definedName>
    <definedName name="H8C3" localSheetId="38">#REF!</definedName>
    <definedName name="H8C3">#REF!</definedName>
    <definedName name="H8C4" localSheetId="3">#REF!</definedName>
    <definedName name="H8C4" localSheetId="7">#REF!</definedName>
    <definedName name="H8C4" localSheetId="9">#REF!</definedName>
    <definedName name="H8C4" localSheetId="10">#REF!</definedName>
    <definedName name="H8C4" localSheetId="15">#REF!</definedName>
    <definedName name="H8C4" localSheetId="19">#REF!</definedName>
    <definedName name="H8C4" localSheetId="20">#REF!</definedName>
    <definedName name="H8C4" localSheetId="24">#REF!</definedName>
    <definedName name="H8C4" localSheetId="104">#REF!</definedName>
    <definedName name="H8C4" localSheetId="65">#REF!</definedName>
    <definedName name="H8C4" localSheetId="64">#REF!</definedName>
    <definedName name="H8C4" localSheetId="77">#REF!</definedName>
    <definedName name="H8C4" localSheetId="49">#REF!</definedName>
    <definedName name="H8C4" localSheetId="40">#REF!</definedName>
    <definedName name="H8C4" localSheetId="43">#REF!</definedName>
    <definedName name="H8C4" localSheetId="13">#REF!</definedName>
    <definedName name="H8C4" localSheetId="38">#REF!</definedName>
    <definedName name="H8C4">#REF!</definedName>
    <definedName name="H8C5" localSheetId="3">#REF!</definedName>
    <definedName name="H8C5" localSheetId="7">#REF!</definedName>
    <definedName name="H8C5" localSheetId="9">#REF!</definedName>
    <definedName name="H8C5" localSheetId="10">#REF!</definedName>
    <definedName name="H8C5" localSheetId="15">#REF!</definedName>
    <definedName name="H8C5" localSheetId="19">#REF!</definedName>
    <definedName name="H8C5" localSheetId="20">#REF!</definedName>
    <definedName name="H8C5" localSheetId="24">#REF!</definedName>
    <definedName name="H8C5" localSheetId="104">#REF!</definedName>
    <definedName name="H8C5" localSheetId="65">#REF!</definedName>
    <definedName name="H8C5" localSheetId="64">#REF!</definedName>
    <definedName name="H8C5" localSheetId="77">#REF!</definedName>
    <definedName name="H8C5" localSheetId="49">#REF!</definedName>
    <definedName name="H8C5" localSheetId="40">#REF!</definedName>
    <definedName name="H8C5" localSheetId="43">#REF!</definedName>
    <definedName name="H8C5" localSheetId="13">#REF!</definedName>
    <definedName name="H8C5" localSheetId="38">#REF!</definedName>
    <definedName name="H8C5">#REF!</definedName>
    <definedName name="H8C6" localSheetId="3">#REF!</definedName>
    <definedName name="H8C6" localSheetId="7">#REF!</definedName>
    <definedName name="H8C6" localSheetId="9">#REF!</definedName>
    <definedName name="H8C6" localSheetId="10">#REF!</definedName>
    <definedName name="H8C6" localSheetId="15">#REF!</definedName>
    <definedName name="H8C6" localSheetId="19">#REF!</definedName>
    <definedName name="H8C6" localSheetId="20">#REF!</definedName>
    <definedName name="H8C6" localSheetId="24">#REF!</definedName>
    <definedName name="H8C6" localSheetId="104">#REF!</definedName>
    <definedName name="H8C6" localSheetId="65">#REF!</definedName>
    <definedName name="H8C6" localSheetId="64">#REF!</definedName>
    <definedName name="H8C6" localSheetId="77">#REF!</definedName>
    <definedName name="H8C6" localSheetId="49">#REF!</definedName>
    <definedName name="H8C6" localSheetId="40">#REF!</definedName>
    <definedName name="H8C6" localSheetId="43">#REF!</definedName>
    <definedName name="H8C6" localSheetId="13">#REF!</definedName>
    <definedName name="H8C6" localSheetId="38">#REF!</definedName>
    <definedName name="H8C6">#REF!</definedName>
    <definedName name="H8C7" localSheetId="3">#REF!</definedName>
    <definedName name="H8C7" localSheetId="7">#REF!</definedName>
    <definedName name="H8C7" localSheetId="9">#REF!</definedName>
    <definedName name="H8C7" localSheetId="10">#REF!</definedName>
    <definedName name="H8C7" localSheetId="15">#REF!</definedName>
    <definedName name="H8C7" localSheetId="19">#REF!</definedName>
    <definedName name="H8C7" localSheetId="20">#REF!</definedName>
    <definedName name="H8C7" localSheetId="24">#REF!</definedName>
    <definedName name="H8C7" localSheetId="104">#REF!</definedName>
    <definedName name="H8C7" localSheetId="65">#REF!</definedName>
    <definedName name="H8C7" localSheetId="64">#REF!</definedName>
    <definedName name="H8C7" localSheetId="77">#REF!</definedName>
    <definedName name="H8C7" localSheetId="49">#REF!</definedName>
    <definedName name="H8C7" localSheetId="40">#REF!</definedName>
    <definedName name="H8C7" localSheetId="43">#REF!</definedName>
    <definedName name="H8C7" localSheetId="13">#REF!</definedName>
    <definedName name="H8C7" localSheetId="38">#REF!</definedName>
    <definedName name="H8C7">#REF!</definedName>
    <definedName name="H8C8" localSheetId="3">#REF!</definedName>
    <definedName name="H8C8" localSheetId="7">#REF!</definedName>
    <definedName name="H8C8" localSheetId="9">#REF!</definedName>
    <definedName name="H8C8" localSheetId="10">#REF!</definedName>
    <definedName name="H8C8" localSheetId="15">#REF!</definedName>
    <definedName name="H8C8" localSheetId="19">#REF!</definedName>
    <definedName name="H8C8" localSheetId="20">#REF!</definedName>
    <definedName name="H8C8" localSheetId="24">#REF!</definedName>
    <definedName name="H8C8" localSheetId="104">#REF!</definedName>
    <definedName name="H8C8" localSheetId="65">#REF!</definedName>
    <definedName name="H8C8" localSheetId="64">#REF!</definedName>
    <definedName name="H8C8" localSheetId="77">#REF!</definedName>
    <definedName name="H8C8" localSheetId="49">#REF!</definedName>
    <definedName name="H8C8" localSheetId="40">#REF!</definedName>
    <definedName name="H8C8" localSheetId="43">#REF!</definedName>
    <definedName name="H8C8" localSheetId="13">#REF!</definedName>
    <definedName name="H8C8" localSheetId="38">#REF!</definedName>
    <definedName name="H8C8">#REF!</definedName>
    <definedName name="H8C9" localSheetId="3">#REF!</definedName>
    <definedName name="H8C9" localSheetId="7">#REF!</definedName>
    <definedName name="H8C9" localSheetId="9">#REF!</definedName>
    <definedName name="H8C9" localSheetId="10">#REF!</definedName>
    <definedName name="H8C9" localSheetId="15">#REF!</definedName>
    <definedName name="H8C9" localSheetId="19">#REF!</definedName>
    <definedName name="H8C9" localSheetId="20">#REF!</definedName>
    <definedName name="H8C9" localSheetId="24">#REF!</definedName>
    <definedName name="H8C9" localSheetId="104">#REF!</definedName>
    <definedName name="H8C9" localSheetId="65">#REF!</definedName>
    <definedName name="H8C9" localSheetId="64">#REF!</definedName>
    <definedName name="H8C9" localSheetId="77">#REF!</definedName>
    <definedName name="H8C9" localSheetId="49">#REF!</definedName>
    <definedName name="H8C9" localSheetId="40">#REF!</definedName>
    <definedName name="H8C9" localSheetId="43">#REF!</definedName>
    <definedName name="H8C9" localSheetId="13">#REF!</definedName>
    <definedName name="H8C9" localSheetId="38">#REF!</definedName>
    <definedName name="H8C9">#REF!</definedName>
    <definedName name="H9C1" localSheetId="3">#REF!</definedName>
    <definedName name="H9C1" localSheetId="7">#REF!</definedName>
    <definedName name="H9C1" localSheetId="9">#REF!</definedName>
    <definedName name="H9C1" localSheetId="10">#REF!</definedName>
    <definedName name="H9C1" localSheetId="15">#REF!</definedName>
    <definedName name="H9C1" localSheetId="19">#REF!</definedName>
    <definedName name="H9C1" localSheetId="20">#REF!</definedName>
    <definedName name="H9C1" localSheetId="24">#REF!</definedName>
    <definedName name="H9C1" localSheetId="104">#REF!</definedName>
    <definedName name="H9C1" localSheetId="65">#REF!</definedName>
    <definedName name="H9C1" localSheetId="64">#REF!</definedName>
    <definedName name="H9C1" localSheetId="77">#REF!</definedName>
    <definedName name="H9C1" localSheetId="49">#REF!</definedName>
    <definedName name="H9C1" localSheetId="40">#REF!</definedName>
    <definedName name="H9C1" localSheetId="43">#REF!</definedName>
    <definedName name="H9C1" localSheetId="13">#REF!</definedName>
    <definedName name="H9C1" localSheetId="38">#REF!</definedName>
    <definedName name="H9C1">#REF!</definedName>
    <definedName name="H9C10" localSheetId="3">#REF!</definedName>
    <definedName name="H9C10" localSheetId="7">#REF!</definedName>
    <definedName name="H9C10" localSheetId="9">#REF!</definedName>
    <definedName name="H9C10" localSheetId="10">#REF!</definedName>
    <definedName name="H9C10" localSheetId="15">#REF!</definedName>
    <definedName name="H9C10" localSheetId="19">#REF!</definedName>
    <definedName name="H9C10" localSheetId="20">#REF!</definedName>
    <definedName name="H9C10" localSheetId="24">#REF!</definedName>
    <definedName name="H9C10" localSheetId="104">#REF!</definedName>
    <definedName name="H9C10" localSheetId="65">#REF!</definedName>
    <definedName name="H9C10" localSheetId="64">#REF!</definedName>
    <definedName name="H9C10" localSheetId="77">#REF!</definedName>
    <definedName name="H9C10" localSheetId="49">#REF!</definedName>
    <definedName name="H9C10" localSheetId="40">#REF!</definedName>
    <definedName name="H9C10" localSheetId="43">#REF!</definedName>
    <definedName name="H9C10" localSheetId="13">#REF!</definedName>
    <definedName name="H9C10" localSheetId="38">#REF!</definedName>
    <definedName name="H9C10">#REF!</definedName>
    <definedName name="H9C11" localSheetId="3">#REF!</definedName>
    <definedName name="H9C11" localSheetId="7">#REF!</definedName>
    <definedName name="H9C11" localSheetId="9">#REF!</definedName>
    <definedName name="H9C11" localSheetId="10">#REF!</definedName>
    <definedName name="H9C11" localSheetId="15">#REF!</definedName>
    <definedName name="H9C11" localSheetId="19">#REF!</definedName>
    <definedName name="H9C11" localSheetId="20">#REF!</definedName>
    <definedName name="H9C11" localSheetId="24">#REF!</definedName>
    <definedName name="H9C11" localSheetId="104">#REF!</definedName>
    <definedName name="H9C11" localSheetId="65">#REF!</definedName>
    <definedName name="H9C11" localSheetId="64">#REF!</definedName>
    <definedName name="H9C11" localSheetId="77">#REF!</definedName>
    <definedName name="H9C11" localSheetId="49">#REF!</definedName>
    <definedName name="H9C11" localSheetId="40">#REF!</definedName>
    <definedName name="H9C11" localSheetId="43">#REF!</definedName>
    <definedName name="H9C11" localSheetId="13">#REF!</definedName>
    <definedName name="H9C11" localSheetId="38">#REF!</definedName>
    <definedName name="H9C11">#REF!</definedName>
    <definedName name="H9C12" localSheetId="3">#REF!</definedName>
    <definedName name="H9C12" localSheetId="7">#REF!</definedName>
    <definedName name="H9C12" localSheetId="9">#REF!</definedName>
    <definedName name="H9C12" localSheetId="10">#REF!</definedName>
    <definedName name="H9C12" localSheetId="15">#REF!</definedName>
    <definedName name="H9C12" localSheetId="19">#REF!</definedName>
    <definedName name="H9C12" localSheetId="20">#REF!</definedName>
    <definedName name="H9C12" localSheetId="24">#REF!</definedName>
    <definedName name="H9C12" localSheetId="104">#REF!</definedName>
    <definedName name="H9C12" localSheetId="65">#REF!</definedName>
    <definedName name="H9C12" localSheetId="64">#REF!</definedName>
    <definedName name="H9C12" localSheetId="77">#REF!</definedName>
    <definedName name="H9C12" localSheetId="49">#REF!</definedName>
    <definedName name="H9C12" localSheetId="40">#REF!</definedName>
    <definedName name="H9C12" localSheetId="43">#REF!</definedName>
    <definedName name="H9C12" localSheetId="13">#REF!</definedName>
    <definedName name="H9C12" localSheetId="38">#REF!</definedName>
    <definedName name="H9C12">#REF!</definedName>
    <definedName name="H9C13" localSheetId="3">#REF!</definedName>
    <definedName name="H9C13" localSheetId="7">#REF!</definedName>
    <definedName name="H9C13" localSheetId="9">#REF!</definedName>
    <definedName name="H9C13" localSheetId="10">#REF!</definedName>
    <definedName name="H9C13" localSheetId="15">#REF!</definedName>
    <definedName name="H9C13" localSheetId="19">#REF!</definedName>
    <definedName name="H9C13" localSheetId="20">#REF!</definedName>
    <definedName name="H9C13" localSheetId="24">#REF!</definedName>
    <definedName name="H9C13" localSheetId="104">#REF!</definedName>
    <definedName name="H9C13" localSheetId="65">#REF!</definedName>
    <definedName name="H9C13" localSheetId="64">#REF!</definedName>
    <definedName name="H9C13" localSheetId="77">#REF!</definedName>
    <definedName name="H9C13" localSheetId="49">#REF!</definedName>
    <definedName name="H9C13" localSheetId="40">#REF!</definedName>
    <definedName name="H9C13" localSheetId="43">#REF!</definedName>
    <definedName name="H9C13" localSheetId="13">#REF!</definedName>
    <definedName name="H9C13" localSheetId="38">#REF!</definedName>
    <definedName name="H9C13">#REF!</definedName>
    <definedName name="H9C14" localSheetId="3">#REF!</definedName>
    <definedName name="H9C14" localSheetId="7">#REF!</definedName>
    <definedName name="H9C14" localSheetId="9">#REF!</definedName>
    <definedName name="H9C14" localSheetId="10">#REF!</definedName>
    <definedName name="H9C14" localSheetId="15">#REF!</definedName>
    <definedName name="H9C14" localSheetId="19">#REF!</definedName>
    <definedName name="H9C14" localSheetId="20">#REF!</definedName>
    <definedName name="H9C14" localSheetId="24">#REF!</definedName>
    <definedName name="H9C14" localSheetId="104">#REF!</definedName>
    <definedName name="H9C14" localSheetId="65">#REF!</definedName>
    <definedName name="H9C14" localSheetId="64">#REF!</definedName>
    <definedName name="H9C14" localSheetId="77">#REF!</definedName>
    <definedName name="H9C14" localSheetId="49">#REF!</definedName>
    <definedName name="H9C14" localSheetId="40">#REF!</definedName>
    <definedName name="H9C14" localSheetId="43">#REF!</definedName>
    <definedName name="H9C14" localSheetId="13">#REF!</definedName>
    <definedName name="H9C14" localSheetId="38">#REF!</definedName>
    <definedName name="H9C14">#REF!</definedName>
    <definedName name="H9C15" localSheetId="3">#REF!</definedName>
    <definedName name="H9C15" localSheetId="7">#REF!</definedName>
    <definedName name="H9C15" localSheetId="9">#REF!</definedName>
    <definedName name="H9C15" localSheetId="10">#REF!</definedName>
    <definedName name="H9C15" localSheetId="15">#REF!</definedName>
    <definedName name="H9C15" localSheetId="19">#REF!</definedName>
    <definedName name="H9C15" localSheetId="20">#REF!</definedName>
    <definedName name="H9C15" localSheetId="24">#REF!</definedName>
    <definedName name="H9C15" localSheetId="104">#REF!</definedName>
    <definedName name="H9C15" localSheetId="65">#REF!</definedName>
    <definedName name="H9C15" localSheetId="64">#REF!</definedName>
    <definedName name="H9C15" localSheetId="77">#REF!</definedName>
    <definedName name="H9C15" localSheetId="49">#REF!</definedName>
    <definedName name="H9C15" localSheetId="40">#REF!</definedName>
    <definedName name="H9C15" localSheetId="43">#REF!</definedName>
    <definedName name="H9C15" localSheetId="13">#REF!</definedName>
    <definedName name="H9C15" localSheetId="38">#REF!</definedName>
    <definedName name="H9C15">#REF!</definedName>
    <definedName name="H9C2" localSheetId="3">#REF!</definedName>
    <definedName name="H9C2" localSheetId="7">#REF!</definedName>
    <definedName name="H9C2" localSheetId="9">#REF!</definedName>
    <definedName name="H9C2" localSheetId="10">#REF!</definedName>
    <definedName name="H9C2" localSheetId="15">#REF!</definedName>
    <definedName name="H9C2" localSheetId="19">#REF!</definedName>
    <definedName name="H9C2" localSheetId="20">#REF!</definedName>
    <definedName name="H9C2" localSheetId="24">#REF!</definedName>
    <definedName name="H9C2" localSheetId="104">#REF!</definedName>
    <definedName name="H9C2" localSheetId="65">#REF!</definedName>
    <definedName name="H9C2" localSheetId="64">#REF!</definedName>
    <definedName name="H9C2" localSheetId="77">#REF!</definedName>
    <definedName name="H9C2" localSheetId="49">#REF!</definedName>
    <definedName name="H9C2" localSheetId="40">#REF!</definedName>
    <definedName name="H9C2" localSheetId="43">#REF!</definedName>
    <definedName name="H9C2" localSheetId="13">#REF!</definedName>
    <definedName name="H9C2" localSheetId="38">#REF!</definedName>
    <definedName name="H9C2">#REF!</definedName>
    <definedName name="H9C3" localSheetId="3">#REF!</definedName>
    <definedName name="H9C3" localSheetId="7">#REF!</definedName>
    <definedName name="H9C3" localSheetId="9">#REF!</definedName>
    <definedName name="H9C3" localSheetId="10">#REF!</definedName>
    <definedName name="H9C3" localSheetId="15">#REF!</definedName>
    <definedName name="H9C3" localSheetId="19">#REF!</definedName>
    <definedName name="H9C3" localSheetId="20">#REF!</definedName>
    <definedName name="H9C3" localSheetId="24">#REF!</definedName>
    <definedName name="H9C3" localSheetId="104">#REF!</definedName>
    <definedName name="H9C3" localSheetId="65">#REF!</definedName>
    <definedName name="H9C3" localSheetId="64">#REF!</definedName>
    <definedName name="H9C3" localSheetId="77">#REF!</definedName>
    <definedName name="H9C3" localSheetId="49">#REF!</definedName>
    <definedName name="H9C3" localSheetId="40">#REF!</definedName>
    <definedName name="H9C3" localSheetId="43">#REF!</definedName>
    <definedName name="H9C3" localSheetId="13">#REF!</definedName>
    <definedName name="H9C3" localSheetId="38">#REF!</definedName>
    <definedName name="H9C3">#REF!</definedName>
    <definedName name="H9C4" localSheetId="3">#REF!</definedName>
    <definedName name="H9C4" localSheetId="7">#REF!</definedName>
    <definedName name="H9C4" localSheetId="9">#REF!</definedName>
    <definedName name="H9C4" localSheetId="10">#REF!</definedName>
    <definedName name="H9C4" localSheetId="15">#REF!</definedName>
    <definedName name="H9C4" localSheetId="19">#REF!</definedName>
    <definedName name="H9C4" localSheetId="20">#REF!</definedName>
    <definedName name="H9C4" localSheetId="24">#REF!</definedName>
    <definedName name="H9C4" localSheetId="104">#REF!</definedName>
    <definedName name="H9C4" localSheetId="65">#REF!</definedName>
    <definedName name="H9C4" localSheetId="64">#REF!</definedName>
    <definedName name="H9C4" localSheetId="77">#REF!</definedName>
    <definedName name="H9C4" localSheetId="49">#REF!</definedName>
    <definedName name="H9C4" localSheetId="40">#REF!</definedName>
    <definedName name="H9C4" localSheetId="43">#REF!</definedName>
    <definedName name="H9C4" localSheetId="13">#REF!</definedName>
    <definedName name="H9C4" localSheetId="38">#REF!</definedName>
    <definedName name="H9C4">#REF!</definedName>
    <definedName name="H9C5" localSheetId="3">#REF!</definedName>
    <definedName name="H9C5" localSheetId="7">#REF!</definedName>
    <definedName name="H9C5" localSheetId="9">#REF!</definedName>
    <definedName name="H9C5" localSheetId="10">#REF!</definedName>
    <definedName name="H9C5" localSheetId="15">#REF!</definedName>
    <definedName name="H9C5" localSheetId="19">#REF!</definedName>
    <definedName name="H9C5" localSheetId="20">#REF!</definedName>
    <definedName name="H9C5" localSheetId="24">#REF!</definedName>
    <definedName name="H9C5" localSheetId="104">#REF!</definedName>
    <definedName name="H9C5" localSheetId="65">#REF!</definedName>
    <definedName name="H9C5" localSheetId="64">#REF!</definedName>
    <definedName name="H9C5" localSheetId="77">#REF!</definedName>
    <definedName name="H9C5" localSheetId="49">#REF!</definedName>
    <definedName name="H9C5" localSheetId="40">#REF!</definedName>
    <definedName name="H9C5" localSheetId="43">#REF!</definedName>
    <definedName name="H9C5" localSheetId="13">#REF!</definedName>
    <definedName name="H9C5" localSheetId="38">#REF!</definedName>
    <definedName name="H9C5">#REF!</definedName>
    <definedName name="H9C6" localSheetId="3">#REF!</definedName>
    <definedName name="H9C6" localSheetId="7">#REF!</definedName>
    <definedName name="H9C6" localSheetId="9">#REF!</definedName>
    <definedName name="H9C6" localSheetId="10">#REF!</definedName>
    <definedName name="H9C6" localSheetId="15">#REF!</definedName>
    <definedName name="H9C6" localSheetId="19">#REF!</definedName>
    <definedName name="H9C6" localSheetId="20">#REF!</definedName>
    <definedName name="H9C6" localSheetId="24">#REF!</definedName>
    <definedName name="H9C6" localSheetId="104">#REF!</definedName>
    <definedName name="H9C6" localSheetId="65">#REF!</definedName>
    <definedName name="H9C6" localSheetId="64">#REF!</definedName>
    <definedName name="H9C6" localSheetId="77">#REF!</definedName>
    <definedName name="H9C6" localSheetId="49">#REF!</definedName>
    <definedName name="H9C6" localSheetId="40">#REF!</definedName>
    <definedName name="H9C6" localSheetId="43">#REF!</definedName>
    <definedName name="H9C6" localSheetId="13">#REF!</definedName>
    <definedName name="H9C6" localSheetId="38">#REF!</definedName>
    <definedName name="H9C6">#REF!</definedName>
    <definedName name="H9C7" localSheetId="3">#REF!</definedName>
    <definedName name="H9C7" localSheetId="7">#REF!</definedName>
    <definedName name="H9C7" localSheetId="9">#REF!</definedName>
    <definedName name="H9C7" localSheetId="10">#REF!</definedName>
    <definedName name="H9C7" localSheetId="15">#REF!</definedName>
    <definedName name="H9C7" localSheetId="19">#REF!</definedName>
    <definedName name="H9C7" localSheetId="20">#REF!</definedName>
    <definedName name="H9C7" localSheetId="24">#REF!</definedName>
    <definedName name="H9C7" localSheetId="104">#REF!</definedName>
    <definedName name="H9C7" localSheetId="65">#REF!</definedName>
    <definedName name="H9C7" localSheetId="64">#REF!</definedName>
    <definedName name="H9C7" localSheetId="77">#REF!</definedName>
    <definedName name="H9C7" localSheetId="49">#REF!</definedName>
    <definedName name="H9C7" localSheetId="40">#REF!</definedName>
    <definedName name="H9C7" localSheetId="43">#REF!</definedName>
    <definedName name="H9C7" localSheetId="13">#REF!</definedName>
    <definedName name="H9C7" localSheetId="38">#REF!</definedName>
    <definedName name="H9C7">#REF!</definedName>
    <definedName name="H9C8" localSheetId="3">#REF!</definedName>
    <definedName name="H9C8" localSheetId="7">#REF!</definedName>
    <definedName name="H9C8" localSheetId="9">#REF!</definedName>
    <definedName name="H9C8" localSheetId="10">#REF!</definedName>
    <definedName name="H9C8" localSheetId="15">#REF!</definedName>
    <definedName name="H9C8" localSheetId="19">#REF!</definedName>
    <definedName name="H9C8" localSheetId="20">#REF!</definedName>
    <definedName name="H9C8" localSheetId="24">#REF!</definedName>
    <definedName name="H9C8" localSheetId="104">#REF!</definedName>
    <definedName name="H9C8" localSheetId="65">#REF!</definedName>
    <definedName name="H9C8" localSheetId="64">#REF!</definedName>
    <definedName name="H9C8" localSheetId="77">#REF!</definedName>
    <definedName name="H9C8" localSheetId="49">#REF!</definedName>
    <definedName name="H9C8" localSheetId="40">#REF!</definedName>
    <definedName name="H9C8" localSheetId="43">#REF!</definedName>
    <definedName name="H9C8" localSheetId="13">#REF!</definedName>
    <definedName name="H9C8" localSheetId="38">#REF!</definedName>
    <definedName name="H9C8">#REF!</definedName>
    <definedName name="H9C9" localSheetId="3">#REF!</definedName>
    <definedName name="H9C9" localSheetId="7">#REF!</definedName>
    <definedName name="H9C9" localSheetId="9">#REF!</definedName>
    <definedName name="H9C9" localSheetId="10">#REF!</definedName>
    <definedName name="H9C9" localSheetId="15">#REF!</definedName>
    <definedName name="H9C9" localSheetId="19">#REF!</definedName>
    <definedName name="H9C9" localSheetId="20">#REF!</definedName>
    <definedName name="H9C9" localSheetId="24">#REF!</definedName>
    <definedName name="H9C9" localSheetId="104">#REF!</definedName>
    <definedName name="H9C9" localSheetId="65">#REF!</definedName>
    <definedName name="H9C9" localSheetId="64">#REF!</definedName>
    <definedName name="H9C9" localSheetId="77">#REF!</definedName>
    <definedName name="H9C9" localSheetId="49">#REF!</definedName>
    <definedName name="H9C9" localSheetId="40">#REF!</definedName>
    <definedName name="H9C9" localSheetId="43">#REF!</definedName>
    <definedName name="H9C9" localSheetId="13">#REF!</definedName>
    <definedName name="H9C9" localSheetId="38">#REF!</definedName>
    <definedName name="H9C9">#REF!</definedName>
    <definedName name="HAPs" localSheetId="3">#REF!</definedName>
    <definedName name="HAPs" localSheetId="7">#REF!</definedName>
    <definedName name="HAPs" localSheetId="9">#REF!</definedName>
    <definedName name="HAPs" localSheetId="10">#REF!</definedName>
    <definedName name="HAPs" localSheetId="15">#REF!</definedName>
    <definedName name="HAPs" localSheetId="19">#REF!</definedName>
    <definedName name="HAPs" localSheetId="20">#REF!</definedName>
    <definedName name="HAPs" localSheetId="24">#REF!</definedName>
    <definedName name="HAPs" localSheetId="104">#REF!</definedName>
    <definedName name="HAPs" localSheetId="65">#REF!</definedName>
    <definedName name="HAPs" localSheetId="64">#REF!</definedName>
    <definedName name="HAPs" localSheetId="77">#REF!</definedName>
    <definedName name="HAPs" localSheetId="49">#REF!</definedName>
    <definedName name="HAPs" localSheetId="40">#REF!</definedName>
    <definedName name="HAPs" localSheetId="43">#REF!</definedName>
    <definedName name="HAPs" localSheetId="13">#REF!</definedName>
    <definedName name="HAPs" localSheetId="38">#REF!</definedName>
    <definedName name="HAPs">#REF!</definedName>
    <definedName name="HDC_Attribute" localSheetId="3">#REF!</definedName>
    <definedName name="HDC_Attribute" localSheetId="7">#REF!</definedName>
    <definedName name="HDC_Attribute" localSheetId="9">#REF!</definedName>
    <definedName name="HDC_Attribute" localSheetId="10">#REF!</definedName>
    <definedName name="HDC_Attribute" localSheetId="15">#REF!</definedName>
    <definedName name="HDC_Attribute" localSheetId="19">#REF!</definedName>
    <definedName name="HDC_Attribute" localSheetId="20">#REF!</definedName>
    <definedName name="HDC_Attribute" localSheetId="24">#REF!</definedName>
    <definedName name="HDC_Attribute" localSheetId="104">#REF!</definedName>
    <definedName name="HDC_Attribute" localSheetId="65">#REF!</definedName>
    <definedName name="HDC_Attribute" localSheetId="64">#REF!</definedName>
    <definedName name="HDC_Attribute" localSheetId="77">#REF!</definedName>
    <definedName name="HDC_Attribute" localSheetId="49">#REF!</definedName>
    <definedName name="HDC_Attribute" localSheetId="40">#REF!</definedName>
    <definedName name="HDC_Attribute" localSheetId="43">#REF!</definedName>
    <definedName name="HDC_Attribute" localSheetId="13">#REF!</definedName>
    <definedName name="HDC_Attribute" localSheetId="38">#REF!</definedName>
    <definedName name="HDC_Attribute">#REF!</definedName>
    <definedName name="HDC_attributes" localSheetId="3">#REF!</definedName>
    <definedName name="HDC_attributes" localSheetId="7">#REF!</definedName>
    <definedName name="HDC_attributes" localSheetId="9">#REF!</definedName>
    <definedName name="HDC_attributes" localSheetId="10">#REF!</definedName>
    <definedName name="HDC_attributes" localSheetId="15">#REF!</definedName>
    <definedName name="HDC_attributes" localSheetId="19">#REF!</definedName>
    <definedName name="HDC_attributes" localSheetId="20">#REF!</definedName>
    <definedName name="HDC_attributes" localSheetId="24">#REF!</definedName>
    <definedName name="HDC_attributes" localSheetId="104">#REF!</definedName>
    <definedName name="HDC_attributes" localSheetId="65">#REF!</definedName>
    <definedName name="HDC_attributes" localSheetId="64">#REF!</definedName>
    <definedName name="HDC_attributes" localSheetId="77">#REF!</definedName>
    <definedName name="HDC_attributes" localSheetId="49">#REF!</definedName>
    <definedName name="HDC_attributes" localSheetId="40">#REF!</definedName>
    <definedName name="HDC_attributes" localSheetId="43">#REF!</definedName>
    <definedName name="HDC_attributes" localSheetId="13">#REF!</definedName>
    <definedName name="HDC_attributes" localSheetId="38">#REF!</definedName>
    <definedName name="HDC_attributes">#REF!</definedName>
    <definedName name="HDC_chart1.def" localSheetId="3">#REF!</definedName>
    <definedName name="HDC_chart1.def" localSheetId="7">#REF!</definedName>
    <definedName name="HDC_chart1.def" localSheetId="9">#REF!</definedName>
    <definedName name="HDC_chart1.def" localSheetId="10">#REF!</definedName>
    <definedName name="HDC_chart1.def" localSheetId="15">#REF!</definedName>
    <definedName name="HDC_chart1.def" localSheetId="19">#REF!</definedName>
    <definedName name="HDC_chart1.def" localSheetId="20">#REF!</definedName>
    <definedName name="HDC_chart1.def" localSheetId="24">#REF!</definedName>
    <definedName name="HDC_chart1.def" localSheetId="104">#REF!</definedName>
    <definedName name="HDC_chart1.def" localSheetId="65">#REF!</definedName>
    <definedName name="HDC_chart1.def" localSheetId="64">#REF!</definedName>
    <definedName name="HDC_chart1.def" localSheetId="77">#REF!</definedName>
    <definedName name="HDC_chart1.def" localSheetId="49">#REF!</definedName>
    <definedName name="HDC_chart1.def" localSheetId="40">#REF!</definedName>
    <definedName name="HDC_chart1.def" localSheetId="43">#REF!</definedName>
    <definedName name="HDC_chart1.def" localSheetId="13">#REF!</definedName>
    <definedName name="HDC_chart1.def" localSheetId="38">#REF!</definedName>
    <definedName name="HDC_chart1.def">#REF!</definedName>
    <definedName name="HDC_chart2.def" localSheetId="3">#REF!</definedName>
    <definedName name="HDC_chart2.def" localSheetId="7">#REF!</definedName>
    <definedName name="HDC_chart2.def" localSheetId="9">#REF!</definedName>
    <definedName name="HDC_chart2.def" localSheetId="10">#REF!</definedName>
    <definedName name="HDC_chart2.def" localSheetId="15">#REF!</definedName>
    <definedName name="HDC_chart2.def" localSheetId="19">#REF!</definedName>
    <definedName name="HDC_chart2.def" localSheetId="20">#REF!</definedName>
    <definedName name="HDC_chart2.def" localSheetId="24">#REF!</definedName>
    <definedName name="HDC_chart2.def" localSheetId="104">#REF!</definedName>
    <definedName name="HDC_chart2.def" localSheetId="65">#REF!</definedName>
    <definedName name="HDC_chart2.def" localSheetId="64">#REF!</definedName>
    <definedName name="HDC_chart2.def" localSheetId="77">#REF!</definedName>
    <definedName name="HDC_chart2.def" localSheetId="49">#REF!</definedName>
    <definedName name="HDC_chart2.def" localSheetId="40">#REF!</definedName>
    <definedName name="HDC_chart2.def" localSheetId="43">#REF!</definedName>
    <definedName name="HDC_chart2.def" localSheetId="13">#REF!</definedName>
    <definedName name="HDC_chart2.def" localSheetId="38">#REF!</definedName>
    <definedName name="HDC_chart2.def">#REF!</definedName>
    <definedName name="HDC_chart3.def" localSheetId="3">#REF!</definedName>
    <definedName name="HDC_chart3.def" localSheetId="7">#REF!</definedName>
    <definedName name="HDC_chart3.def" localSheetId="9">#REF!</definedName>
    <definedName name="HDC_chart3.def" localSheetId="10">#REF!</definedName>
    <definedName name="HDC_chart3.def" localSheetId="15">#REF!</definedName>
    <definedName name="HDC_chart3.def" localSheetId="19">#REF!</definedName>
    <definedName name="HDC_chart3.def" localSheetId="20">#REF!</definedName>
    <definedName name="HDC_chart3.def" localSheetId="24">#REF!</definedName>
    <definedName name="HDC_chart3.def" localSheetId="104">#REF!</definedName>
    <definedName name="HDC_chart3.def" localSheetId="65">#REF!</definedName>
    <definedName name="HDC_chart3.def" localSheetId="64">#REF!</definedName>
    <definedName name="HDC_chart3.def" localSheetId="77">#REF!</definedName>
    <definedName name="HDC_chart3.def" localSheetId="49">#REF!</definedName>
    <definedName name="HDC_chart3.def" localSheetId="40">#REF!</definedName>
    <definedName name="HDC_chart3.def" localSheetId="43">#REF!</definedName>
    <definedName name="HDC_chart3.def" localSheetId="13">#REF!</definedName>
    <definedName name="HDC_chart3.def" localSheetId="38">#REF!</definedName>
    <definedName name="HDC_chart3.def">#REF!</definedName>
    <definedName name="HDC_chart4.def" localSheetId="3">#REF!</definedName>
    <definedName name="HDC_chart4.def" localSheetId="7">#REF!</definedName>
    <definedName name="HDC_chart4.def" localSheetId="9">#REF!</definedName>
    <definedName name="HDC_chart4.def" localSheetId="10">#REF!</definedName>
    <definedName name="HDC_chart4.def" localSheetId="15">#REF!</definedName>
    <definedName name="HDC_chart4.def" localSheetId="19">#REF!</definedName>
    <definedName name="HDC_chart4.def" localSheetId="20">#REF!</definedName>
    <definedName name="HDC_chart4.def" localSheetId="24">#REF!</definedName>
    <definedName name="HDC_chart4.def" localSheetId="104">#REF!</definedName>
    <definedName name="HDC_chart4.def" localSheetId="65">#REF!</definedName>
    <definedName name="HDC_chart4.def" localSheetId="64">#REF!</definedName>
    <definedName name="HDC_chart4.def" localSheetId="77">#REF!</definedName>
    <definedName name="HDC_chart4.def" localSheetId="49">#REF!</definedName>
    <definedName name="HDC_chart4.def" localSheetId="40">#REF!</definedName>
    <definedName name="HDC_chart4.def" localSheetId="43">#REF!</definedName>
    <definedName name="HDC_chart4.def" localSheetId="13">#REF!</definedName>
    <definedName name="HDC_chart4.def" localSheetId="38">#REF!</definedName>
    <definedName name="HDC_chart4.def">#REF!</definedName>
    <definedName name="HDC_chartn.NoSeries" localSheetId="3">#REF!</definedName>
    <definedName name="HDC_chartn.NoSeries" localSheetId="7">#REF!</definedName>
    <definedName name="HDC_chartn.NoSeries" localSheetId="9">#REF!</definedName>
    <definedName name="HDC_chartn.NoSeries" localSheetId="10">#REF!</definedName>
    <definedName name="HDC_chartn.NoSeries" localSheetId="15">#REF!</definedName>
    <definedName name="HDC_chartn.NoSeries" localSheetId="19">#REF!</definedName>
    <definedName name="HDC_chartn.NoSeries" localSheetId="20">#REF!</definedName>
    <definedName name="HDC_chartn.NoSeries" localSheetId="24">#REF!</definedName>
    <definedName name="HDC_chartn.NoSeries" localSheetId="104">#REF!</definedName>
    <definedName name="HDC_chartn.NoSeries" localSheetId="65">#REF!</definedName>
    <definedName name="HDC_chartn.NoSeries" localSheetId="64">#REF!</definedName>
    <definedName name="HDC_chartn.NoSeries" localSheetId="77">#REF!</definedName>
    <definedName name="HDC_chartn.NoSeries" localSheetId="49">#REF!</definedName>
    <definedName name="HDC_chartn.NoSeries" localSheetId="40">#REF!</definedName>
    <definedName name="HDC_chartn.NoSeries" localSheetId="43">#REF!</definedName>
    <definedName name="HDC_chartn.NoSeries" localSheetId="13">#REF!</definedName>
    <definedName name="HDC_chartn.NoSeries" localSheetId="38">#REF!</definedName>
    <definedName name="HDC_chartn.NoSeries">#REF!</definedName>
    <definedName name="HDC_Chartn.TagList" localSheetId="3">#REF!</definedName>
    <definedName name="HDC_Chartn.TagList" localSheetId="7">#REF!</definedName>
    <definedName name="HDC_Chartn.TagList" localSheetId="9">#REF!</definedName>
    <definedName name="HDC_Chartn.TagList" localSheetId="10">#REF!</definedName>
    <definedName name="HDC_Chartn.TagList" localSheetId="15">#REF!</definedName>
    <definedName name="HDC_Chartn.TagList" localSheetId="19">#REF!</definedName>
    <definedName name="HDC_Chartn.TagList" localSheetId="20">#REF!</definedName>
    <definedName name="HDC_Chartn.TagList" localSheetId="24">#REF!</definedName>
    <definedName name="HDC_Chartn.TagList" localSheetId="104">#REF!</definedName>
    <definedName name="HDC_Chartn.TagList" localSheetId="65">#REF!</definedName>
    <definedName name="HDC_Chartn.TagList" localSheetId="64">#REF!</definedName>
    <definedName name="HDC_Chartn.TagList" localSheetId="77">#REF!</definedName>
    <definedName name="HDC_Chartn.TagList" localSheetId="49">#REF!</definedName>
    <definedName name="HDC_Chartn.TagList" localSheetId="40">#REF!</definedName>
    <definedName name="HDC_Chartn.TagList" localSheetId="43">#REF!</definedName>
    <definedName name="HDC_Chartn.TagList" localSheetId="13">#REF!</definedName>
    <definedName name="HDC_Chartn.TagList" localSheetId="38">#REF!</definedName>
    <definedName name="HDC_Chartn.TagList">#REF!</definedName>
    <definedName name="HDC_Connect" localSheetId="3">#REF!</definedName>
    <definedName name="HDC_Connect" localSheetId="7">#REF!</definedName>
    <definedName name="HDC_Connect" localSheetId="9">#REF!</definedName>
    <definedName name="HDC_Connect" localSheetId="10">#REF!</definedName>
    <definedName name="HDC_Connect" localSheetId="15">#REF!</definedName>
    <definedName name="HDC_Connect" localSheetId="19">#REF!</definedName>
    <definedName name="HDC_Connect" localSheetId="20">#REF!</definedName>
    <definedName name="HDC_Connect" localSheetId="24">#REF!</definedName>
    <definedName name="HDC_Connect" localSheetId="104">#REF!</definedName>
    <definedName name="HDC_Connect" localSheetId="65">#REF!</definedName>
    <definedName name="HDC_Connect" localSheetId="64">#REF!</definedName>
    <definedName name="HDC_Connect" localSheetId="77">#REF!</definedName>
    <definedName name="HDC_Connect" localSheetId="49">#REF!</definedName>
    <definedName name="HDC_Connect" localSheetId="40">#REF!</definedName>
    <definedName name="HDC_Connect" localSheetId="43">#REF!</definedName>
    <definedName name="HDC_Connect" localSheetId="13">#REF!</definedName>
    <definedName name="HDC_Connect" localSheetId="38">#REF!</definedName>
    <definedName name="HDC_Connect">#REF!</definedName>
    <definedName name="HDC_data.out" localSheetId="3">#REF!</definedName>
    <definedName name="HDC_data.out" localSheetId="7">#REF!</definedName>
    <definedName name="HDC_data.out" localSheetId="9">#REF!</definedName>
    <definedName name="HDC_data.out" localSheetId="10">#REF!</definedName>
    <definedName name="HDC_data.out" localSheetId="15">#REF!</definedName>
    <definedName name="HDC_data.out" localSheetId="19">#REF!</definedName>
    <definedName name="HDC_data.out" localSheetId="20">#REF!</definedName>
    <definedName name="HDC_data.out" localSheetId="24">#REF!</definedName>
    <definedName name="HDC_data.out" localSheetId="104">#REF!</definedName>
    <definedName name="HDC_data.out" localSheetId="65">#REF!</definedName>
    <definedName name="HDC_data.out" localSheetId="64">#REF!</definedName>
    <definedName name="HDC_data.out" localSheetId="77">#REF!</definedName>
    <definedName name="HDC_data.out" localSheetId="49">#REF!</definedName>
    <definedName name="HDC_data.out" localSheetId="40">#REF!</definedName>
    <definedName name="HDC_data.out" localSheetId="43">#REF!</definedName>
    <definedName name="HDC_data.out" localSheetId="13">#REF!</definedName>
    <definedName name="HDC_data.out" localSheetId="38">#REF!</definedName>
    <definedName name="HDC_data.out">#REF!</definedName>
    <definedName name="HDC_def.float">4</definedName>
    <definedName name="HDC_def.option">1</definedName>
    <definedName name="HDC_desc" localSheetId="3">#REF!</definedName>
    <definedName name="HDC_desc" localSheetId="7">#REF!</definedName>
    <definedName name="HDC_desc" localSheetId="9">#REF!</definedName>
    <definedName name="HDC_desc" localSheetId="10">#REF!</definedName>
    <definedName name="HDC_desc" localSheetId="15">#REF!</definedName>
    <definedName name="HDC_desc" localSheetId="19">#REF!</definedName>
    <definedName name="HDC_desc" localSheetId="20">#REF!</definedName>
    <definedName name="HDC_desc" localSheetId="24">#REF!</definedName>
    <definedName name="HDC_desc" localSheetId="104">#REF!</definedName>
    <definedName name="HDC_desc" localSheetId="65">#REF!</definedName>
    <definedName name="HDC_desc" localSheetId="64">#REF!</definedName>
    <definedName name="HDC_desc" localSheetId="77">#REF!</definedName>
    <definedName name="HDC_desc" localSheetId="49">#REF!</definedName>
    <definedName name="HDC_desc" localSheetId="40">#REF!</definedName>
    <definedName name="HDC_desc" localSheetId="43">#REF!</definedName>
    <definedName name="HDC_desc" localSheetId="13">#REF!</definedName>
    <definedName name="HDC_desc" localSheetId="38">#REF!</definedName>
    <definedName name="HDC_desc">#REF!</definedName>
    <definedName name="HDC_GetData.Time">34708.5716782407</definedName>
    <definedName name="HDC_HeadFootDef" localSheetId="3">#REF!</definedName>
    <definedName name="HDC_HeadFootDef" localSheetId="7">#REF!</definedName>
    <definedName name="HDC_HeadFootDef" localSheetId="9">#REF!</definedName>
    <definedName name="HDC_HeadFootDef" localSheetId="10">#REF!</definedName>
    <definedName name="HDC_HeadFootDef" localSheetId="15">#REF!</definedName>
    <definedName name="HDC_HeadFootDef" localSheetId="19">#REF!</definedName>
    <definedName name="HDC_HeadFootDef" localSheetId="20">#REF!</definedName>
    <definedName name="HDC_HeadFootDef" localSheetId="24">#REF!</definedName>
    <definedName name="HDC_HeadFootDef" localSheetId="104">#REF!</definedName>
    <definedName name="HDC_HeadFootDef" localSheetId="65">#REF!</definedName>
    <definedName name="HDC_HeadFootDef" localSheetId="64">#REF!</definedName>
    <definedName name="HDC_HeadFootDef" localSheetId="77">#REF!</definedName>
    <definedName name="HDC_HeadFootDef" localSheetId="49">#REF!</definedName>
    <definedName name="HDC_HeadFootDef" localSheetId="40">#REF!</definedName>
    <definedName name="HDC_HeadFootDef" localSheetId="43">#REF!</definedName>
    <definedName name="HDC_HeadFootDef" localSheetId="13">#REF!</definedName>
    <definedName name="HDC_HeadFootDef" localSheetId="38">#REF!</definedName>
    <definedName name="HDC_HeadFootDef">#REF!</definedName>
    <definedName name="HDC_inp.end" localSheetId="3">#REF!</definedName>
    <definedName name="HDC_inp.end" localSheetId="7">#REF!</definedName>
    <definedName name="HDC_inp.end" localSheetId="9">#REF!</definedName>
    <definedName name="HDC_inp.end" localSheetId="10">#REF!</definedName>
    <definedName name="HDC_inp.end" localSheetId="15">#REF!</definedName>
    <definedName name="HDC_inp.end" localSheetId="19">#REF!</definedName>
    <definedName name="HDC_inp.end" localSheetId="20">#REF!</definedName>
    <definedName name="HDC_inp.end" localSheetId="24">#REF!</definedName>
    <definedName name="HDC_inp.end" localSheetId="104">#REF!</definedName>
    <definedName name="HDC_inp.end" localSheetId="65">#REF!</definedName>
    <definedName name="HDC_inp.end" localSheetId="64">#REF!</definedName>
    <definedName name="HDC_inp.end" localSheetId="77">#REF!</definedName>
    <definedName name="HDC_inp.end" localSheetId="49">#REF!</definedName>
    <definedName name="HDC_inp.end" localSheetId="40">#REF!</definedName>
    <definedName name="HDC_inp.end" localSheetId="43">#REF!</definedName>
    <definedName name="HDC_inp.end" localSheetId="13">#REF!</definedName>
    <definedName name="HDC_inp.end" localSheetId="38">#REF!</definedName>
    <definedName name="HDC_inp.end">#REF!</definedName>
    <definedName name="HDC_inp.interval" localSheetId="3">#REF!</definedName>
    <definedName name="HDC_inp.interval" localSheetId="7">#REF!</definedName>
    <definedName name="HDC_inp.interval" localSheetId="9">#REF!</definedName>
    <definedName name="HDC_inp.interval" localSheetId="10">#REF!</definedName>
    <definedName name="HDC_inp.interval" localSheetId="15">#REF!</definedName>
    <definedName name="HDC_inp.interval" localSheetId="19">#REF!</definedName>
    <definedName name="HDC_inp.interval" localSheetId="20">#REF!</definedName>
    <definedName name="HDC_inp.interval" localSheetId="24">#REF!</definedName>
    <definedName name="HDC_inp.interval" localSheetId="104">#REF!</definedName>
    <definedName name="HDC_inp.interval" localSheetId="65">#REF!</definedName>
    <definedName name="HDC_inp.interval" localSheetId="64">#REF!</definedName>
    <definedName name="HDC_inp.interval" localSheetId="77">#REF!</definedName>
    <definedName name="HDC_inp.interval" localSheetId="49">#REF!</definedName>
    <definedName name="HDC_inp.interval" localSheetId="40">#REF!</definedName>
    <definedName name="HDC_inp.interval" localSheetId="43">#REF!</definedName>
    <definedName name="HDC_inp.interval" localSheetId="13">#REF!</definedName>
    <definedName name="HDC_inp.interval" localSheetId="38">#REF!</definedName>
    <definedName name="HDC_inp.interval">#REF!</definedName>
    <definedName name="HDC_inp.nopnts" localSheetId="3">#REF!</definedName>
    <definedName name="HDC_inp.nopnts" localSheetId="7">#REF!</definedName>
    <definedName name="HDC_inp.nopnts" localSheetId="9">#REF!</definedName>
    <definedName name="HDC_inp.nopnts" localSheetId="10">#REF!</definedName>
    <definedName name="HDC_inp.nopnts" localSheetId="15">#REF!</definedName>
    <definedName name="HDC_inp.nopnts" localSheetId="19">#REF!</definedName>
    <definedName name="HDC_inp.nopnts" localSheetId="20">#REF!</definedName>
    <definedName name="HDC_inp.nopnts" localSheetId="24">#REF!</definedName>
    <definedName name="HDC_inp.nopnts" localSheetId="104">#REF!</definedName>
    <definedName name="HDC_inp.nopnts" localSheetId="65">#REF!</definedName>
    <definedName name="HDC_inp.nopnts" localSheetId="64">#REF!</definedName>
    <definedName name="HDC_inp.nopnts" localSheetId="77">#REF!</definedName>
    <definedName name="HDC_inp.nopnts" localSheetId="49">#REF!</definedName>
    <definedName name="HDC_inp.nopnts" localSheetId="40">#REF!</definedName>
    <definedName name="HDC_inp.nopnts" localSheetId="43">#REF!</definedName>
    <definedName name="HDC_inp.nopnts" localSheetId="13">#REF!</definedName>
    <definedName name="HDC_inp.nopnts" localSheetId="38">#REF!</definedName>
    <definedName name="HDC_inp.nopnts">#REF!</definedName>
    <definedName name="HDC_inp.start" localSheetId="3">#REF!</definedName>
    <definedName name="HDC_inp.start" localSheetId="7">#REF!</definedName>
    <definedName name="HDC_inp.start" localSheetId="9">#REF!</definedName>
    <definedName name="HDC_inp.start" localSheetId="10">#REF!</definedName>
    <definedName name="HDC_inp.start" localSheetId="15">#REF!</definedName>
    <definedName name="HDC_inp.start" localSheetId="19">#REF!</definedName>
    <definedName name="HDC_inp.start" localSheetId="20">#REF!</definedName>
    <definedName name="HDC_inp.start" localSheetId="24">#REF!</definedName>
    <definedName name="HDC_inp.start" localSheetId="104">#REF!</definedName>
    <definedName name="HDC_inp.start" localSheetId="65">#REF!</definedName>
    <definedName name="HDC_inp.start" localSheetId="64">#REF!</definedName>
    <definedName name="HDC_inp.start" localSheetId="77">#REF!</definedName>
    <definedName name="HDC_inp.start" localSheetId="49">#REF!</definedName>
    <definedName name="HDC_inp.start" localSheetId="40">#REF!</definedName>
    <definedName name="HDC_inp.start" localSheetId="43">#REF!</definedName>
    <definedName name="HDC_inp.start" localSheetId="13">#REF!</definedName>
    <definedName name="HDC_inp.start" localSheetId="38">#REF!</definedName>
    <definedName name="HDC_inp.start">#REF!</definedName>
    <definedName name="HDC_N.Columns" localSheetId="3">#REF!</definedName>
    <definedName name="HDC_N.Columns" localSheetId="7">#REF!</definedName>
    <definedName name="HDC_N.Columns" localSheetId="9">#REF!</definedName>
    <definedName name="HDC_N.Columns" localSheetId="10">#REF!</definedName>
    <definedName name="HDC_N.Columns" localSheetId="15">#REF!</definedName>
    <definedName name="HDC_N.Columns" localSheetId="19">#REF!</definedName>
    <definedName name="HDC_N.Columns" localSheetId="20">#REF!</definedName>
    <definedName name="HDC_N.Columns" localSheetId="24">#REF!</definedName>
    <definedName name="HDC_N.Columns" localSheetId="104">#REF!</definedName>
    <definedName name="HDC_N.Columns" localSheetId="65">#REF!</definedName>
    <definedName name="HDC_N.Columns" localSheetId="64">#REF!</definedName>
    <definedName name="HDC_N.Columns" localSheetId="77">#REF!</definedName>
    <definedName name="HDC_N.Columns" localSheetId="49">#REF!</definedName>
    <definedName name="HDC_N.Columns" localSheetId="40">#REF!</definedName>
    <definedName name="HDC_N.Columns" localSheetId="43">#REF!</definedName>
    <definedName name="HDC_N.Columns" localSheetId="13">#REF!</definedName>
    <definedName name="HDC_N.Columns" localSheetId="38">#REF!</definedName>
    <definedName name="HDC_N.Columns">#REF!</definedName>
    <definedName name="HDC_N.Rows" localSheetId="3">#REF!</definedName>
    <definedName name="HDC_N.Rows" localSheetId="7">#REF!</definedName>
    <definedName name="HDC_N.Rows" localSheetId="9">#REF!</definedName>
    <definedName name="HDC_N.Rows" localSheetId="10">#REF!</definedName>
    <definedName name="HDC_N.Rows" localSheetId="15">#REF!</definedName>
    <definedName name="HDC_N.Rows" localSheetId="19">#REF!</definedName>
    <definedName name="HDC_N.Rows" localSheetId="20">#REF!</definedName>
    <definedName name="HDC_N.Rows" localSheetId="24">#REF!</definedName>
    <definedName name="HDC_N.Rows" localSheetId="104">#REF!</definedName>
    <definedName name="HDC_N.Rows" localSheetId="65">#REF!</definedName>
    <definedName name="HDC_N.Rows" localSheetId="64">#REF!</definedName>
    <definedName name="HDC_N.Rows" localSheetId="77">#REF!</definedName>
    <definedName name="HDC_N.Rows" localSheetId="49">#REF!</definedName>
    <definedName name="HDC_N.Rows" localSheetId="40">#REF!</definedName>
    <definedName name="HDC_N.Rows" localSheetId="43">#REF!</definedName>
    <definedName name="HDC_N.Rows" localSheetId="13">#REF!</definedName>
    <definedName name="HDC_N.Rows" localSheetId="38">#REF!</definedName>
    <definedName name="HDC_N.Rows">#REF!</definedName>
    <definedName name="HDC_NoofCharts" localSheetId="3">#REF!</definedName>
    <definedName name="HDC_NoofCharts" localSheetId="7">#REF!</definedName>
    <definedName name="HDC_NoofCharts" localSheetId="9">#REF!</definedName>
    <definedName name="HDC_NoofCharts" localSheetId="10">#REF!</definedName>
    <definedName name="HDC_NoofCharts" localSheetId="15">#REF!</definedName>
    <definedName name="HDC_NoofCharts" localSheetId="19">#REF!</definedName>
    <definedName name="HDC_NoofCharts" localSheetId="20">#REF!</definedName>
    <definedName name="HDC_NoofCharts" localSheetId="24">#REF!</definedName>
    <definedName name="HDC_NoofCharts" localSheetId="104">#REF!</definedName>
    <definedName name="HDC_NoofCharts" localSheetId="65">#REF!</definedName>
    <definedName name="HDC_NoofCharts" localSheetId="64">#REF!</definedName>
    <definedName name="HDC_NoofCharts" localSheetId="77">#REF!</definedName>
    <definedName name="HDC_NoofCharts" localSheetId="49">#REF!</definedName>
    <definedName name="HDC_NoofCharts" localSheetId="40">#REF!</definedName>
    <definedName name="HDC_NoofCharts" localSheetId="43">#REF!</definedName>
    <definedName name="HDC_NoofCharts" localSheetId="13">#REF!</definedName>
    <definedName name="HDC_NoofCharts" localSheetId="38">#REF!</definedName>
    <definedName name="HDC_NoofCharts">#REF!</definedName>
    <definedName name="HDC_nopnts" localSheetId="3">#REF!</definedName>
    <definedName name="HDC_nopnts" localSheetId="7">#REF!</definedName>
    <definedName name="HDC_nopnts" localSheetId="9">#REF!</definedName>
    <definedName name="HDC_nopnts" localSheetId="10">#REF!</definedName>
    <definedName name="HDC_nopnts" localSheetId="15">#REF!</definedName>
    <definedName name="HDC_nopnts" localSheetId="19">#REF!</definedName>
    <definedName name="HDC_nopnts" localSheetId="20">#REF!</definedName>
    <definedName name="HDC_nopnts" localSheetId="24">#REF!</definedName>
    <definedName name="HDC_nopnts" localSheetId="104">#REF!</definedName>
    <definedName name="HDC_nopnts" localSheetId="65">#REF!</definedName>
    <definedName name="HDC_nopnts" localSheetId="64">#REF!</definedName>
    <definedName name="HDC_nopnts" localSheetId="77">#REF!</definedName>
    <definedName name="HDC_nopnts" localSheetId="49">#REF!</definedName>
    <definedName name="HDC_nopnts" localSheetId="40">#REF!</definedName>
    <definedName name="HDC_nopnts" localSheetId="43">#REF!</definedName>
    <definedName name="HDC_nopnts" localSheetId="13">#REF!</definedName>
    <definedName name="HDC_nopnts" localSheetId="38">#REF!</definedName>
    <definedName name="HDC_nopnts">#REF!</definedName>
    <definedName name="HDC_out1" localSheetId="3">#REF!</definedName>
    <definedName name="HDC_out1" localSheetId="7">#REF!</definedName>
    <definedName name="HDC_out1" localSheetId="9">#REF!</definedName>
    <definedName name="HDC_out1" localSheetId="10">#REF!</definedName>
    <definedName name="HDC_out1" localSheetId="15">#REF!</definedName>
    <definedName name="HDC_out1" localSheetId="19">#REF!</definedName>
    <definedName name="HDC_out1" localSheetId="20">#REF!</definedName>
    <definedName name="HDC_out1" localSheetId="24">#REF!</definedName>
    <definedName name="HDC_out1" localSheetId="104">#REF!</definedName>
    <definedName name="HDC_out1" localSheetId="65">#REF!</definedName>
    <definedName name="HDC_out1" localSheetId="64">#REF!</definedName>
    <definedName name="HDC_out1" localSheetId="77">#REF!</definedName>
    <definedName name="HDC_out1" localSheetId="49">#REF!</definedName>
    <definedName name="HDC_out1" localSheetId="40">#REF!</definedName>
    <definedName name="HDC_out1" localSheetId="43">#REF!</definedName>
    <definedName name="HDC_out1" localSheetId="13">#REF!</definedName>
    <definedName name="HDC_out1" localSheetId="38">#REF!</definedName>
    <definedName name="HDC_out1">#REF!</definedName>
    <definedName name="HDC_Paper.Size" localSheetId="3">#REF!</definedName>
    <definedName name="HDC_Paper.Size" localSheetId="7">#REF!</definedName>
    <definedName name="HDC_Paper.Size" localSheetId="9">#REF!</definedName>
    <definedName name="HDC_Paper.Size" localSheetId="10">#REF!</definedName>
    <definedName name="HDC_Paper.Size" localSheetId="15">#REF!</definedName>
    <definedName name="HDC_Paper.Size" localSheetId="19">#REF!</definedName>
    <definedName name="HDC_Paper.Size" localSheetId="20">#REF!</definedName>
    <definedName name="HDC_Paper.Size" localSheetId="24">#REF!</definedName>
    <definedName name="HDC_Paper.Size" localSheetId="104">#REF!</definedName>
    <definedName name="HDC_Paper.Size" localSheetId="65">#REF!</definedName>
    <definedName name="HDC_Paper.Size" localSheetId="64">#REF!</definedName>
    <definedName name="HDC_Paper.Size" localSheetId="77">#REF!</definedName>
    <definedName name="HDC_Paper.Size" localSheetId="49">#REF!</definedName>
    <definedName name="HDC_Paper.Size" localSheetId="40">#REF!</definedName>
    <definedName name="HDC_Paper.Size" localSheetId="43">#REF!</definedName>
    <definedName name="HDC_Paper.Size" localSheetId="13">#REF!</definedName>
    <definedName name="HDC_Paper.Size" localSheetId="38">#REF!</definedName>
    <definedName name="HDC_Paper.Size">#REF!</definedName>
    <definedName name="HDC_Portrait" localSheetId="3">#REF!</definedName>
    <definedName name="HDC_Portrait" localSheetId="7">#REF!</definedName>
    <definedName name="HDC_Portrait" localSheetId="9">#REF!</definedName>
    <definedName name="HDC_Portrait" localSheetId="10">#REF!</definedName>
    <definedName name="HDC_Portrait" localSheetId="15">#REF!</definedName>
    <definedName name="HDC_Portrait" localSheetId="19">#REF!</definedName>
    <definedName name="HDC_Portrait" localSheetId="20">#REF!</definedName>
    <definedName name="HDC_Portrait" localSheetId="24">#REF!</definedName>
    <definedName name="HDC_Portrait" localSheetId="104">#REF!</definedName>
    <definedName name="HDC_Portrait" localSheetId="65">#REF!</definedName>
    <definedName name="HDC_Portrait" localSheetId="64">#REF!</definedName>
    <definedName name="HDC_Portrait" localSheetId="77">#REF!</definedName>
    <definedName name="HDC_Portrait" localSheetId="49">#REF!</definedName>
    <definedName name="HDC_Portrait" localSheetId="40">#REF!</definedName>
    <definedName name="HDC_Portrait" localSheetId="43">#REF!</definedName>
    <definedName name="HDC_Portrait" localSheetId="13">#REF!</definedName>
    <definedName name="HDC_Portrait" localSheetId="38">#REF!</definedName>
    <definedName name="HDC_Portrait">#REF!</definedName>
    <definedName name="HDC_PrintDef" localSheetId="3">#REF!</definedName>
    <definedName name="HDC_PrintDef" localSheetId="7">#REF!</definedName>
    <definedName name="HDC_PrintDef" localSheetId="9">#REF!</definedName>
    <definedName name="HDC_PrintDef" localSheetId="10">#REF!</definedName>
    <definedName name="HDC_PrintDef" localSheetId="15">#REF!</definedName>
    <definedName name="HDC_PrintDef" localSheetId="19">#REF!</definedName>
    <definedName name="HDC_PrintDef" localSheetId="20">#REF!</definedName>
    <definedName name="HDC_PrintDef" localSheetId="24">#REF!</definedName>
    <definedName name="HDC_PrintDef" localSheetId="104">#REF!</definedName>
    <definedName name="HDC_PrintDef" localSheetId="65">#REF!</definedName>
    <definedName name="HDC_PrintDef" localSheetId="64">#REF!</definedName>
    <definedName name="HDC_PrintDef" localSheetId="77">#REF!</definedName>
    <definedName name="HDC_PrintDef" localSheetId="49">#REF!</definedName>
    <definedName name="HDC_PrintDef" localSheetId="40">#REF!</definedName>
    <definedName name="HDC_PrintDef" localSheetId="43">#REF!</definedName>
    <definedName name="HDC_PrintDef" localSheetId="13">#REF!</definedName>
    <definedName name="HDC_PrintDef" localSheetId="38">#REF!</definedName>
    <definedName name="HDC_PrintDef">#REF!</definedName>
    <definedName name="HDC_res.end" localSheetId="3">#REF!</definedName>
    <definedName name="HDC_res.end" localSheetId="7">#REF!</definedName>
    <definedName name="HDC_res.end" localSheetId="9">#REF!</definedName>
    <definedName name="HDC_res.end" localSheetId="10">#REF!</definedName>
    <definedName name="HDC_res.end" localSheetId="15">#REF!</definedName>
    <definedName name="HDC_res.end" localSheetId="19">#REF!</definedName>
    <definedName name="HDC_res.end" localSheetId="20">#REF!</definedName>
    <definedName name="HDC_res.end" localSheetId="24">#REF!</definedName>
    <definedName name="HDC_res.end" localSheetId="104">#REF!</definedName>
    <definedName name="HDC_res.end" localSheetId="65">#REF!</definedName>
    <definedName name="HDC_res.end" localSheetId="64">#REF!</definedName>
    <definedName name="HDC_res.end" localSheetId="77">#REF!</definedName>
    <definedName name="HDC_res.end" localSheetId="49">#REF!</definedName>
    <definedName name="HDC_res.end" localSheetId="40">#REF!</definedName>
    <definedName name="HDC_res.end" localSheetId="43">#REF!</definedName>
    <definedName name="HDC_res.end" localSheetId="13">#REF!</definedName>
    <definedName name="HDC_res.end" localSheetId="38">#REF!</definedName>
    <definedName name="HDC_res.end">#REF!</definedName>
    <definedName name="HDC_res.interval" localSheetId="3">#REF!</definedName>
    <definedName name="HDC_res.interval" localSheetId="7">#REF!</definedName>
    <definedName name="HDC_res.interval" localSheetId="9">#REF!</definedName>
    <definedName name="HDC_res.interval" localSheetId="10">#REF!</definedName>
    <definedName name="HDC_res.interval" localSheetId="15">#REF!</definedName>
    <definedName name="HDC_res.interval" localSheetId="19">#REF!</definedName>
    <definedName name="HDC_res.interval" localSheetId="20">#REF!</definedName>
    <definedName name="HDC_res.interval" localSheetId="24">#REF!</definedName>
    <definedName name="HDC_res.interval" localSheetId="104">#REF!</definedName>
    <definedName name="HDC_res.interval" localSheetId="65">#REF!</definedName>
    <definedName name="HDC_res.interval" localSheetId="64">#REF!</definedName>
    <definedName name="HDC_res.interval" localSheetId="77">#REF!</definedName>
    <definedName name="HDC_res.interval" localSheetId="49">#REF!</definedName>
    <definedName name="HDC_res.interval" localSheetId="40">#REF!</definedName>
    <definedName name="HDC_res.interval" localSheetId="43">#REF!</definedName>
    <definedName name="HDC_res.interval" localSheetId="13">#REF!</definedName>
    <definedName name="HDC_res.interval" localSheetId="38">#REF!</definedName>
    <definedName name="HDC_res.interval">#REF!</definedName>
    <definedName name="HDC_res.nopnts" localSheetId="3">#REF!</definedName>
    <definedName name="HDC_res.nopnts" localSheetId="7">#REF!</definedName>
    <definedName name="HDC_res.nopnts" localSheetId="9">#REF!</definedName>
    <definedName name="HDC_res.nopnts" localSheetId="10">#REF!</definedName>
    <definedName name="HDC_res.nopnts" localSheetId="15">#REF!</definedName>
    <definedName name="HDC_res.nopnts" localSheetId="19">#REF!</definedName>
    <definedName name="HDC_res.nopnts" localSheetId="20">#REF!</definedName>
    <definedName name="HDC_res.nopnts" localSheetId="24">#REF!</definedName>
    <definedName name="HDC_res.nopnts" localSheetId="104">#REF!</definedName>
    <definedName name="HDC_res.nopnts" localSheetId="65">#REF!</definedName>
    <definedName name="HDC_res.nopnts" localSheetId="64">#REF!</definedName>
    <definedName name="HDC_res.nopnts" localSheetId="77">#REF!</definedName>
    <definedName name="HDC_res.nopnts" localSheetId="49">#REF!</definedName>
    <definedName name="HDC_res.nopnts" localSheetId="40">#REF!</definedName>
    <definedName name="HDC_res.nopnts" localSheetId="43">#REF!</definedName>
    <definedName name="HDC_res.nopnts" localSheetId="13">#REF!</definedName>
    <definedName name="HDC_res.nopnts" localSheetId="38">#REF!</definedName>
    <definedName name="HDC_res.nopnts">#REF!</definedName>
    <definedName name="HDC_res.start" localSheetId="3">#REF!</definedName>
    <definedName name="HDC_res.start" localSheetId="7">#REF!</definedName>
    <definedName name="HDC_res.start" localSheetId="9">#REF!</definedName>
    <definedName name="HDC_res.start" localSheetId="10">#REF!</definedName>
    <definedName name="HDC_res.start" localSheetId="15">#REF!</definedName>
    <definedName name="HDC_res.start" localSheetId="19">#REF!</definedName>
    <definedName name="HDC_res.start" localSheetId="20">#REF!</definedName>
    <definedName name="HDC_res.start" localSheetId="24">#REF!</definedName>
    <definedName name="HDC_res.start" localSheetId="104">#REF!</definedName>
    <definedName name="HDC_res.start" localSheetId="65">#REF!</definedName>
    <definedName name="HDC_res.start" localSheetId="64">#REF!</definedName>
    <definedName name="HDC_res.start" localSheetId="77">#REF!</definedName>
    <definedName name="HDC_res.start" localSheetId="49">#REF!</definedName>
    <definedName name="HDC_res.start" localSheetId="40">#REF!</definedName>
    <definedName name="HDC_res.start" localSheetId="43">#REF!</definedName>
    <definedName name="HDC_res.start" localSheetId="13">#REF!</definedName>
    <definedName name="HDC_res.start" localSheetId="38">#REF!</definedName>
    <definedName name="HDC_res.start">#REF!</definedName>
    <definedName name="HDC_server.name" localSheetId="3">#REF!</definedName>
    <definedName name="HDC_server.name" localSheetId="7">#REF!</definedName>
    <definedName name="HDC_server.name" localSheetId="9">#REF!</definedName>
    <definedName name="HDC_server.name" localSheetId="10">#REF!</definedName>
    <definedName name="HDC_server.name" localSheetId="15">#REF!</definedName>
    <definedName name="HDC_server.name" localSheetId="19">#REF!</definedName>
    <definedName name="HDC_server.name" localSheetId="20">#REF!</definedName>
    <definedName name="HDC_server.name" localSheetId="24">#REF!</definedName>
    <definedName name="HDC_server.name" localSheetId="104">#REF!</definedName>
    <definedName name="HDC_server.name" localSheetId="65">#REF!</definedName>
    <definedName name="HDC_server.name" localSheetId="64">#REF!</definedName>
    <definedName name="HDC_server.name" localSheetId="77">#REF!</definedName>
    <definedName name="HDC_server.name" localSheetId="49">#REF!</definedName>
    <definedName name="HDC_server.name" localSheetId="40">#REF!</definedName>
    <definedName name="HDC_server.name" localSheetId="43">#REF!</definedName>
    <definedName name="HDC_server.name" localSheetId="13">#REF!</definedName>
    <definedName name="HDC_server.name" localSheetId="38">#REF!</definedName>
    <definedName name="HDC_server.name">#REF!</definedName>
    <definedName name="HDC_tag.attr" localSheetId="3">#REF!</definedName>
    <definedName name="HDC_tag.attr" localSheetId="7">#REF!</definedName>
    <definedName name="HDC_tag.attr" localSheetId="9">#REF!</definedName>
    <definedName name="HDC_tag.attr" localSheetId="10">#REF!</definedName>
    <definedName name="HDC_tag.attr" localSheetId="15">#REF!</definedName>
    <definedName name="HDC_tag.attr" localSheetId="19">#REF!</definedName>
    <definedName name="HDC_tag.attr" localSheetId="20">#REF!</definedName>
    <definedName name="HDC_tag.attr" localSheetId="24">#REF!</definedName>
    <definedName name="HDC_tag.attr" localSheetId="104">#REF!</definedName>
    <definedName name="HDC_tag.attr" localSheetId="65">#REF!</definedName>
    <definedName name="HDC_tag.attr" localSheetId="64">#REF!</definedName>
    <definedName name="HDC_tag.attr" localSheetId="77">#REF!</definedName>
    <definedName name="HDC_tag.attr" localSheetId="49">#REF!</definedName>
    <definedName name="HDC_tag.attr" localSheetId="40">#REF!</definedName>
    <definedName name="HDC_tag.attr" localSheetId="43">#REF!</definedName>
    <definedName name="HDC_tag.attr" localSheetId="13">#REF!</definedName>
    <definedName name="HDC_tag.attr" localSheetId="38">#REF!</definedName>
    <definedName name="HDC_tag.attr">#REF!</definedName>
    <definedName name="HDC_tag.end" localSheetId="3">#REF!</definedName>
    <definedName name="HDC_tag.end" localSheetId="7">#REF!</definedName>
    <definedName name="HDC_tag.end" localSheetId="9">#REF!</definedName>
    <definedName name="HDC_tag.end" localSheetId="10">#REF!</definedName>
    <definedName name="HDC_tag.end" localSheetId="15">#REF!</definedName>
    <definedName name="HDC_tag.end" localSheetId="19">#REF!</definedName>
    <definedName name="HDC_tag.end" localSheetId="20">#REF!</definedName>
    <definedName name="HDC_tag.end" localSheetId="24">#REF!</definedName>
    <definedName name="HDC_tag.end" localSheetId="104">#REF!</definedName>
    <definedName name="HDC_tag.end" localSheetId="65">#REF!</definedName>
    <definedName name="HDC_tag.end" localSheetId="64">#REF!</definedName>
    <definedName name="HDC_tag.end" localSheetId="77">#REF!</definedName>
    <definedName name="HDC_tag.end" localSheetId="49">#REF!</definedName>
    <definedName name="HDC_tag.end" localSheetId="40">#REF!</definedName>
    <definedName name="HDC_tag.end" localSheetId="43">#REF!</definedName>
    <definedName name="HDC_tag.end" localSheetId="13">#REF!</definedName>
    <definedName name="HDC_tag.end" localSheetId="38">#REF!</definedName>
    <definedName name="HDC_tag.end">#REF!</definedName>
    <definedName name="HDC_tag.names" localSheetId="3">#REF!</definedName>
    <definedName name="HDC_tag.names" localSheetId="7">#REF!</definedName>
    <definedName name="HDC_tag.names" localSheetId="9">#REF!</definedName>
    <definedName name="HDC_tag.names" localSheetId="10">#REF!</definedName>
    <definedName name="HDC_tag.names" localSheetId="15">#REF!</definedName>
    <definedName name="HDC_tag.names" localSheetId="19">#REF!</definedName>
    <definedName name="HDC_tag.names" localSheetId="20">#REF!</definedName>
    <definedName name="HDC_tag.names" localSheetId="24">#REF!</definedName>
    <definedName name="HDC_tag.names" localSheetId="104">#REF!</definedName>
    <definedName name="HDC_tag.names" localSheetId="65">#REF!</definedName>
    <definedName name="HDC_tag.names" localSheetId="64">#REF!</definedName>
    <definedName name="HDC_tag.names" localSheetId="77">#REF!</definedName>
    <definedName name="HDC_tag.names" localSheetId="49">#REF!</definedName>
    <definedName name="HDC_tag.names" localSheetId="40">#REF!</definedName>
    <definedName name="HDC_tag.names" localSheetId="43">#REF!</definedName>
    <definedName name="HDC_tag.names" localSheetId="13">#REF!</definedName>
    <definedName name="HDC_tag.names" localSheetId="38">#REF!</definedName>
    <definedName name="HDC_tag.names">#REF!</definedName>
    <definedName name="HDC_tag.number">8</definedName>
    <definedName name="HDC_tag.start" localSheetId="3">#REF!</definedName>
    <definedName name="HDC_tag.start" localSheetId="7">#REF!</definedName>
    <definedName name="HDC_tag.start" localSheetId="9">#REF!</definedName>
    <definedName name="HDC_tag.start" localSheetId="10">#REF!</definedName>
    <definedName name="HDC_tag.start" localSheetId="15">#REF!</definedName>
    <definedName name="HDC_tag.start" localSheetId="19">#REF!</definedName>
    <definedName name="HDC_tag.start" localSheetId="20">#REF!</definedName>
    <definedName name="HDC_tag.start" localSheetId="24">#REF!</definedName>
    <definedName name="HDC_tag.start" localSheetId="104">#REF!</definedName>
    <definedName name="HDC_tag.start" localSheetId="65">#REF!</definedName>
    <definedName name="HDC_tag.start" localSheetId="64">#REF!</definedName>
    <definedName name="HDC_tag.start" localSheetId="77">#REF!</definedName>
    <definedName name="HDC_tag.start" localSheetId="49">#REF!</definedName>
    <definedName name="HDC_tag.start" localSheetId="40">#REF!</definedName>
    <definedName name="HDC_tag.start" localSheetId="43">#REF!</definedName>
    <definedName name="HDC_tag.start" localSheetId="13">#REF!</definedName>
    <definedName name="HDC_tag.start" localSheetId="38">#REF!</definedName>
    <definedName name="HDC_tag.start">#REF!</definedName>
    <definedName name="HDC_time.stamp" localSheetId="3">#REF!</definedName>
    <definedName name="HDC_time.stamp" localSheetId="7">#REF!</definedName>
    <definedName name="HDC_time.stamp" localSheetId="9">#REF!</definedName>
    <definedName name="HDC_time.stamp" localSheetId="10">#REF!</definedName>
    <definedName name="HDC_time.stamp" localSheetId="15">#REF!</definedName>
    <definedName name="HDC_time.stamp" localSheetId="19">#REF!</definedName>
    <definedName name="HDC_time.stamp" localSheetId="20">#REF!</definedName>
    <definedName name="HDC_time.stamp" localSheetId="24">#REF!</definedName>
    <definedName name="HDC_time.stamp" localSheetId="104">#REF!</definedName>
    <definedName name="HDC_time.stamp" localSheetId="65">#REF!</definedName>
    <definedName name="HDC_time.stamp" localSheetId="64">#REF!</definedName>
    <definedName name="HDC_time.stamp" localSheetId="77">#REF!</definedName>
    <definedName name="HDC_time.stamp" localSheetId="49">#REF!</definedName>
    <definedName name="HDC_time.stamp" localSheetId="40">#REF!</definedName>
    <definedName name="HDC_time.stamp" localSheetId="43">#REF!</definedName>
    <definedName name="HDC_time.stamp" localSheetId="13">#REF!</definedName>
    <definedName name="HDC_time.stamp" localSheetId="38">#REF!</definedName>
    <definedName name="HDC_time.stamp">#REF!</definedName>
    <definedName name="HDC_unit.desc" localSheetId="3">#REF!</definedName>
    <definedName name="HDC_unit.desc" localSheetId="7">#REF!</definedName>
    <definedName name="HDC_unit.desc" localSheetId="9">#REF!</definedName>
    <definedName name="HDC_unit.desc" localSheetId="10">#REF!</definedName>
    <definedName name="HDC_unit.desc" localSheetId="15">#REF!</definedName>
    <definedName name="HDC_unit.desc" localSheetId="19">#REF!</definedName>
    <definedName name="HDC_unit.desc" localSheetId="20">#REF!</definedName>
    <definedName name="HDC_unit.desc" localSheetId="24">#REF!</definedName>
    <definedName name="HDC_unit.desc" localSheetId="104">#REF!</definedName>
    <definedName name="HDC_unit.desc" localSheetId="65">#REF!</definedName>
    <definedName name="HDC_unit.desc" localSheetId="64">#REF!</definedName>
    <definedName name="HDC_unit.desc" localSheetId="77">#REF!</definedName>
    <definedName name="HDC_unit.desc" localSheetId="49">#REF!</definedName>
    <definedName name="HDC_unit.desc" localSheetId="40">#REF!</definedName>
    <definedName name="HDC_unit.desc" localSheetId="43">#REF!</definedName>
    <definedName name="HDC_unit.desc" localSheetId="13">#REF!</definedName>
    <definedName name="HDC_unit.desc" localSheetId="38">#REF!</definedName>
    <definedName name="HDC_unit.desc">#REF!</definedName>
    <definedName name="HDC_ViewOption" localSheetId="3">#REF!</definedName>
    <definedName name="HDC_ViewOption" localSheetId="7">#REF!</definedName>
    <definedName name="HDC_ViewOption" localSheetId="9">#REF!</definedName>
    <definedName name="HDC_ViewOption" localSheetId="10">#REF!</definedName>
    <definedName name="HDC_ViewOption" localSheetId="15">#REF!</definedName>
    <definedName name="HDC_ViewOption" localSheetId="19">#REF!</definedName>
    <definedName name="HDC_ViewOption" localSheetId="20">#REF!</definedName>
    <definedName name="HDC_ViewOption" localSheetId="24">#REF!</definedName>
    <definedName name="HDC_ViewOption" localSheetId="104">#REF!</definedName>
    <definedName name="HDC_ViewOption" localSheetId="65">#REF!</definedName>
    <definedName name="HDC_ViewOption" localSheetId="64">#REF!</definedName>
    <definedName name="HDC_ViewOption" localSheetId="77">#REF!</definedName>
    <definedName name="HDC_ViewOption" localSheetId="49">#REF!</definedName>
    <definedName name="HDC_ViewOption" localSheetId="40">#REF!</definedName>
    <definedName name="HDC_ViewOption" localSheetId="43">#REF!</definedName>
    <definedName name="HDC_ViewOption" localSheetId="13">#REF!</definedName>
    <definedName name="HDC_ViewOption" localSheetId="38">#REF!</definedName>
    <definedName name="HDC_ViewOption">#REF!</definedName>
    <definedName name="HEAD" localSheetId="3">#REF!</definedName>
    <definedName name="HEAD" localSheetId="7">#REF!</definedName>
    <definedName name="HEAD" localSheetId="9">#REF!</definedName>
    <definedName name="HEAD" localSheetId="10">#REF!</definedName>
    <definedName name="HEAD" localSheetId="15">#REF!</definedName>
    <definedName name="HEAD" localSheetId="19">#REF!</definedName>
    <definedName name="HEAD" localSheetId="20">#REF!</definedName>
    <definedName name="HEAD" localSheetId="24">#REF!</definedName>
    <definedName name="HEAD" localSheetId="104">#REF!</definedName>
    <definedName name="HEAD" localSheetId="65">#REF!</definedName>
    <definedName name="HEAD" localSheetId="64">#REF!</definedName>
    <definedName name="HEAD" localSheetId="77">#REF!</definedName>
    <definedName name="HEAD" localSheetId="49">#REF!</definedName>
    <definedName name="HEAD" localSheetId="40">#REF!</definedName>
    <definedName name="HEAD" localSheetId="43">#REF!</definedName>
    <definedName name="HEAD" localSheetId="13">#REF!</definedName>
    <definedName name="HEAD" localSheetId="38">#REF!</definedName>
    <definedName name="HEAD">#REF!</definedName>
    <definedName name="Header" localSheetId="3">#REF!</definedName>
    <definedName name="Header" localSheetId="7">#REF!</definedName>
    <definedName name="Header" localSheetId="9">#REF!</definedName>
    <definedName name="Header" localSheetId="10">#REF!</definedName>
    <definedName name="Header" localSheetId="15">#REF!</definedName>
    <definedName name="Header" localSheetId="19">#REF!</definedName>
    <definedName name="Header" localSheetId="20">#REF!</definedName>
    <definedName name="Header" localSheetId="24">#REF!</definedName>
    <definedName name="Header" localSheetId="104">#REF!</definedName>
    <definedName name="Header" localSheetId="65">#REF!</definedName>
    <definedName name="Header" localSheetId="64">#REF!</definedName>
    <definedName name="Header" localSheetId="77">#REF!</definedName>
    <definedName name="Header" localSheetId="49">#REF!</definedName>
    <definedName name="Header" localSheetId="40">#REF!</definedName>
    <definedName name="Header" localSheetId="43">#REF!</definedName>
    <definedName name="Header" localSheetId="13">#REF!</definedName>
    <definedName name="Header" localSheetId="38">#REF!</definedName>
    <definedName name="Header">#REF!</definedName>
    <definedName name="HEADER2" localSheetId="3">#REF!</definedName>
    <definedName name="HEADER2" localSheetId="7">#REF!</definedName>
    <definedName name="HEADER2" localSheetId="9">#REF!</definedName>
    <definedName name="HEADER2" localSheetId="10">#REF!</definedName>
    <definedName name="HEADER2" localSheetId="15">#REF!</definedName>
    <definedName name="HEADER2" localSheetId="19">#REF!</definedName>
    <definedName name="HEADER2" localSheetId="20">#REF!</definedName>
    <definedName name="HEADER2" localSheetId="24">#REF!</definedName>
    <definedName name="HEADER2" localSheetId="104">#REF!</definedName>
    <definedName name="HEADER2" localSheetId="65">#REF!</definedName>
    <definedName name="HEADER2" localSheetId="64">#REF!</definedName>
    <definedName name="HEADER2" localSheetId="77">#REF!</definedName>
    <definedName name="HEADER2" localSheetId="49">#REF!</definedName>
    <definedName name="HEADER2" localSheetId="40">#REF!</definedName>
    <definedName name="HEADER2" localSheetId="43">#REF!</definedName>
    <definedName name="HEADER2" localSheetId="13">#REF!</definedName>
    <definedName name="HEADER2" localSheetId="38">#REF!</definedName>
    <definedName name="HEADER2">#REF!</definedName>
    <definedName name="Heat" localSheetId="3">'[8]Completion Emissions Tier0'!#REF!</definedName>
    <definedName name="Heat" localSheetId="7">'[8]Completion Emissions Tier0'!#REF!</definedName>
    <definedName name="Heat" localSheetId="9">'[8]Completion Emissions Tier0'!#REF!</definedName>
    <definedName name="Heat" localSheetId="10">'[8]Completion Emissions Tier0'!#REF!</definedName>
    <definedName name="Heat" localSheetId="15">'[8]Completion Emissions Tier0'!#REF!</definedName>
    <definedName name="Heat" localSheetId="19">'[8]Completion Emissions Tier0'!#REF!</definedName>
    <definedName name="Heat" localSheetId="20">'[8]Completion Emissions Tier0'!#REF!</definedName>
    <definedName name="Heat" localSheetId="24">'[8]Completion Emissions Tier0'!#REF!</definedName>
    <definedName name="Heat" localSheetId="104">'[8]Completion Emissions Tier0'!#REF!</definedName>
    <definedName name="Heat" localSheetId="65">'[8]Completion Emissions Tier0'!#REF!</definedName>
    <definedName name="Heat" localSheetId="64">'[8]Completion Emissions Tier0'!#REF!</definedName>
    <definedName name="Heat" localSheetId="77">'[8]Completion Emissions Tier0'!#REF!</definedName>
    <definedName name="Heat" localSheetId="49">'[8]Completion Emissions Tier0'!#REF!</definedName>
    <definedName name="Heat" localSheetId="40">'[8]Completion Emissions Tier0'!#REF!</definedName>
    <definedName name="Heat" localSheetId="43">'[8]Completion Emissions Tier0'!#REF!</definedName>
    <definedName name="Heat" localSheetId="44">'[8]Completion Emissions Tier0'!#REF!</definedName>
    <definedName name="Heat" localSheetId="13">'[8]Completion Emissions Tier0'!#REF!</definedName>
    <definedName name="Heat" localSheetId="38">'[8]Completion Emissions Tier0'!#REF!</definedName>
    <definedName name="Heat">'[8]Completion Emissions Tier0'!#REF!</definedName>
    <definedName name="HEAT_VALUE" localSheetId="3">#REF!</definedName>
    <definedName name="HEAT_VALUE" localSheetId="7">#REF!</definedName>
    <definedName name="HEAT_VALUE" localSheetId="9">#REF!</definedName>
    <definedName name="HEAT_VALUE" localSheetId="10">#REF!</definedName>
    <definedName name="HEAT_VALUE" localSheetId="15">#REF!</definedName>
    <definedName name="HEAT_VALUE" localSheetId="19">#REF!</definedName>
    <definedName name="HEAT_VALUE" localSheetId="20">#REF!</definedName>
    <definedName name="HEAT_VALUE" localSheetId="24">#REF!</definedName>
    <definedName name="HEAT_VALUE" localSheetId="104">#REF!</definedName>
    <definedName name="HEAT_VALUE" localSheetId="65">#REF!</definedName>
    <definedName name="HEAT_VALUE" localSheetId="64">#REF!</definedName>
    <definedName name="HEAT_VALUE" localSheetId="77">#REF!</definedName>
    <definedName name="HEAT_VALUE" localSheetId="49">#REF!</definedName>
    <definedName name="HEAT_VALUE" localSheetId="40">#REF!</definedName>
    <definedName name="HEAT_VALUE" localSheetId="43">#REF!</definedName>
    <definedName name="HEAT_VALUE" localSheetId="13">#REF!</definedName>
    <definedName name="HEAT_VALUE" localSheetId="38">#REF!</definedName>
    <definedName name="HEAT_VALUE">#REF!</definedName>
    <definedName name="Heater" localSheetId="3">#REF!</definedName>
    <definedName name="Heater" localSheetId="7">#REF!</definedName>
    <definedName name="Heater" localSheetId="9">#REF!</definedName>
    <definedName name="Heater" localSheetId="10">#REF!</definedName>
    <definedName name="Heater" localSheetId="15">#REF!</definedName>
    <definedName name="Heater" localSheetId="19">#REF!</definedName>
    <definedName name="Heater" localSheetId="20">#REF!</definedName>
    <definedName name="Heater" localSheetId="24">#REF!</definedName>
    <definedName name="Heater" localSheetId="104">#REF!</definedName>
    <definedName name="Heater" localSheetId="65">#REF!</definedName>
    <definedName name="Heater" localSheetId="64">#REF!</definedName>
    <definedName name="Heater" localSheetId="77">#REF!</definedName>
    <definedName name="Heater" localSheetId="49">#REF!</definedName>
    <definedName name="Heater" localSheetId="40">#REF!</definedName>
    <definedName name="Heater" localSheetId="43">#REF!</definedName>
    <definedName name="Heater" localSheetId="13">#REF!</definedName>
    <definedName name="Heater" localSheetId="38">#REF!</definedName>
    <definedName name="Heater">#REF!</definedName>
    <definedName name="HeaterBoilerRating">'[12]T7-D'!$P$4:$P$11</definedName>
    <definedName name="HeatExchangers" localSheetId="3">#REF!</definedName>
    <definedName name="HeatExchangers" localSheetId="7">#REF!</definedName>
    <definedName name="HeatExchangers" localSheetId="9">#REF!</definedName>
    <definedName name="HeatExchangers" localSheetId="10">#REF!</definedName>
    <definedName name="HeatExchangers" localSheetId="15">#REF!</definedName>
    <definedName name="HeatExchangers" localSheetId="19">#REF!</definedName>
    <definedName name="HeatExchangers" localSheetId="20">#REF!</definedName>
    <definedName name="HeatExchangers" localSheetId="24">#REF!</definedName>
    <definedName name="HeatExchangers" localSheetId="104">#REF!</definedName>
    <definedName name="HeatExchangers" localSheetId="65">#REF!</definedName>
    <definedName name="HeatExchangers" localSheetId="64">#REF!</definedName>
    <definedName name="HeatExchangers" localSheetId="77">#REF!</definedName>
    <definedName name="HeatExchangers" localSheetId="49">#REF!</definedName>
    <definedName name="HeatExchangers" localSheetId="40">#REF!</definedName>
    <definedName name="HeatExchangers" localSheetId="43">#REF!</definedName>
    <definedName name="HeatExchangers" localSheetId="13">#REF!</definedName>
    <definedName name="HeatExchangers" localSheetId="38">#REF!</definedName>
    <definedName name="HeatExchangers">#REF!</definedName>
    <definedName name="Hello" localSheetId="3" hidden="1">#REF!</definedName>
    <definedName name="Hello" localSheetId="7" hidden="1">#REF!</definedName>
    <definedName name="Hello" localSheetId="9" hidden="1">#REF!</definedName>
    <definedName name="Hello" localSheetId="10" hidden="1">#REF!</definedName>
    <definedName name="Hello" localSheetId="15" hidden="1">#REF!</definedName>
    <definedName name="Hello" localSheetId="18" hidden="1">#REF!</definedName>
    <definedName name="Hello" localSheetId="19" hidden="1">#REF!</definedName>
    <definedName name="Hello" localSheetId="20" hidden="1">#REF!</definedName>
    <definedName name="Hello" localSheetId="23" hidden="1">#REF!</definedName>
    <definedName name="Hello" localSheetId="24" hidden="1">#REF!</definedName>
    <definedName name="Hello" localSheetId="35" hidden="1">#REF!</definedName>
    <definedName name="Hello" localSheetId="58" hidden="1">#REF!</definedName>
    <definedName name="Hello" localSheetId="60" hidden="1">#REF!</definedName>
    <definedName name="Hello" localSheetId="51" hidden="1">#REF!</definedName>
    <definedName name="Hello" localSheetId="54" hidden="1">#REF!</definedName>
    <definedName name="Hello" localSheetId="47" hidden="1">#REF!</definedName>
    <definedName name="Hello" localSheetId="105" hidden="1">#REF!</definedName>
    <definedName name="Hello" localSheetId="104" hidden="1">#REF!</definedName>
    <definedName name="Hello" localSheetId="88" hidden="1">#REF!</definedName>
    <definedName name="Hello" localSheetId="89" hidden="1">#REF!</definedName>
    <definedName name="Hello" localSheetId="87" hidden="1">#REF!</definedName>
    <definedName name="Hello" localSheetId="90" hidden="1">#REF!</definedName>
    <definedName name="Hello" localSheetId="70" hidden="1">#REF!</definedName>
    <definedName name="Hello" localSheetId="65" hidden="1">#REF!</definedName>
    <definedName name="Hello" localSheetId="64" hidden="1">#REF!</definedName>
    <definedName name="Hello" localSheetId="77" hidden="1">#REF!</definedName>
    <definedName name="Hello" localSheetId="49" hidden="1">#REF!</definedName>
    <definedName name="Hello" localSheetId="57" hidden="1">#REF!</definedName>
    <definedName name="Hello" localSheetId="59" hidden="1">#REF!</definedName>
    <definedName name="Hello" localSheetId="40" hidden="1">#REF!</definedName>
    <definedName name="Hello" localSheetId="43" hidden="1">#REF!</definedName>
    <definedName name="Hello" localSheetId="55" hidden="1">#REF!</definedName>
    <definedName name="Hello" localSheetId="13" hidden="1">#REF!</definedName>
    <definedName name="Hello" localSheetId="11" hidden="1">#REF!</definedName>
    <definedName name="Hello" localSheetId="38" hidden="1">#REF!</definedName>
    <definedName name="Hello" localSheetId="41" hidden="1">#REF!</definedName>
    <definedName name="Hello" localSheetId="101" hidden="1">#REF!</definedName>
    <definedName name="Hello" localSheetId="102" hidden="1">#REF!</definedName>
    <definedName name="Hello" localSheetId="103" hidden="1">#REF!</definedName>
    <definedName name="Hello" localSheetId="97" hidden="1">#REF!</definedName>
    <definedName name="Hello" localSheetId="42" hidden="1">#REF!</definedName>
    <definedName name="Hello" localSheetId="12" hidden="1">#REF!</definedName>
    <definedName name="Hello" localSheetId="73" hidden="1">#REF!</definedName>
    <definedName name="Hello" localSheetId="74" hidden="1">#REF!</definedName>
    <definedName name="Hello" hidden="1">#REF!</definedName>
    <definedName name="Help">#N/A</definedName>
    <definedName name="help2" localSheetId="105"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localSheetId="96"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localSheetId="44"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XA_Gas" localSheetId="3">#REF!</definedName>
    <definedName name="HEXA_Gas" localSheetId="7">#REF!</definedName>
    <definedName name="HEXA_Gas" localSheetId="9">#REF!</definedName>
    <definedName name="HEXA_Gas" localSheetId="10">#REF!</definedName>
    <definedName name="HEXA_Gas" localSheetId="15">#REF!</definedName>
    <definedName name="HEXA_Gas" localSheetId="19">#REF!</definedName>
    <definedName name="HEXA_Gas" localSheetId="20">#REF!</definedName>
    <definedName name="HEXA_Gas" localSheetId="24">#REF!</definedName>
    <definedName name="HEXA_Gas" localSheetId="104">#REF!</definedName>
    <definedName name="HEXA_Gas" localSheetId="65">#REF!</definedName>
    <definedName name="HEXA_Gas" localSheetId="64">#REF!</definedName>
    <definedName name="HEXA_Gas" localSheetId="77">#REF!</definedName>
    <definedName name="HEXA_Gas" localSheetId="49">#REF!</definedName>
    <definedName name="HEXA_Gas" localSheetId="40">#REF!</definedName>
    <definedName name="HEXA_Gas" localSheetId="43">#REF!</definedName>
    <definedName name="HEXA_Gas" localSheetId="13">#REF!</definedName>
    <definedName name="HEXA_Gas" localSheetId="38">#REF!</definedName>
    <definedName name="HEXA_Gas">#REF!</definedName>
    <definedName name="HEXA_Liq" localSheetId="3">#REF!</definedName>
    <definedName name="HEXA_Liq" localSheetId="7">#REF!</definedName>
    <definedName name="HEXA_Liq" localSheetId="9">#REF!</definedName>
    <definedName name="HEXA_Liq" localSheetId="10">#REF!</definedName>
    <definedName name="HEXA_Liq" localSheetId="15">#REF!</definedName>
    <definedName name="HEXA_Liq" localSheetId="19">#REF!</definedName>
    <definedName name="HEXA_Liq" localSheetId="20">#REF!</definedName>
    <definedName name="HEXA_Liq" localSheetId="24">#REF!</definedName>
    <definedName name="HEXA_Liq" localSheetId="104">#REF!</definedName>
    <definedName name="HEXA_Liq" localSheetId="65">#REF!</definedName>
    <definedName name="HEXA_Liq" localSheetId="64">#REF!</definedName>
    <definedName name="HEXA_Liq" localSheetId="77">#REF!</definedName>
    <definedName name="HEXA_Liq" localSheetId="49">#REF!</definedName>
    <definedName name="HEXA_Liq" localSheetId="40">#REF!</definedName>
    <definedName name="HEXA_Liq" localSheetId="43">#REF!</definedName>
    <definedName name="HEXA_Liq" localSheetId="13">#REF!</definedName>
    <definedName name="HEXA_Liq" localSheetId="38">#REF!</definedName>
    <definedName name="HEXA_Liq">#REF!</definedName>
    <definedName name="HHHHH" localSheetId="3">#REF!</definedName>
    <definedName name="HHHHH" localSheetId="7">#REF!</definedName>
    <definedName name="HHHHH" localSheetId="9">#REF!</definedName>
    <definedName name="HHHHH" localSheetId="10">#REF!</definedName>
    <definedName name="HHHHH" localSheetId="15">#REF!</definedName>
    <definedName name="HHHHH" localSheetId="19">#REF!</definedName>
    <definedName name="HHHHH" localSheetId="20">#REF!</definedName>
    <definedName name="HHHHH" localSheetId="24">#REF!</definedName>
    <definedName name="HHHHH" localSheetId="104">#REF!</definedName>
    <definedName name="HHHHH" localSheetId="65">#REF!</definedName>
    <definedName name="HHHHH" localSheetId="64">#REF!</definedName>
    <definedName name="HHHHH" localSheetId="77">#REF!</definedName>
    <definedName name="HHHHH" localSheetId="49">#REF!</definedName>
    <definedName name="HHHHH" localSheetId="40">#REF!</definedName>
    <definedName name="HHHHH" localSheetId="43">#REF!</definedName>
    <definedName name="HHHHH" localSheetId="13">#REF!</definedName>
    <definedName name="HHHHH" localSheetId="38">#REF!</definedName>
    <definedName name="HHHHH">#REF!</definedName>
    <definedName name="HI" localSheetId="3">#REF!</definedName>
    <definedName name="HI" localSheetId="7">#REF!</definedName>
    <definedName name="HI" localSheetId="9">#REF!</definedName>
    <definedName name="HI" localSheetId="10">#REF!</definedName>
    <definedName name="HI" localSheetId="15">#REF!</definedName>
    <definedName name="HI" localSheetId="19">#REF!</definedName>
    <definedName name="HI" localSheetId="20">#REF!</definedName>
    <definedName name="HI" localSheetId="24">#REF!</definedName>
    <definedName name="HI" localSheetId="104">#REF!</definedName>
    <definedName name="HI" localSheetId="65">#REF!</definedName>
    <definedName name="HI" localSheetId="64">#REF!</definedName>
    <definedName name="HI" localSheetId="77">#REF!</definedName>
    <definedName name="HI" localSheetId="49">#REF!</definedName>
    <definedName name="HI" localSheetId="40">#REF!</definedName>
    <definedName name="HI" localSheetId="43">#REF!</definedName>
    <definedName name="HI" localSheetId="13">#REF!</definedName>
    <definedName name="HI" localSheetId="38">#REF!</definedName>
    <definedName name="HI">#REF!</definedName>
    <definedName name="HiddenRows" localSheetId="3" hidden="1">#REF!</definedName>
    <definedName name="HiddenRows" localSheetId="7" hidden="1">#REF!</definedName>
    <definedName name="HiddenRows" localSheetId="9" hidden="1">#REF!</definedName>
    <definedName name="HiddenRows" localSheetId="10" hidden="1">#REF!</definedName>
    <definedName name="HiddenRows" localSheetId="15" hidden="1">#REF!</definedName>
    <definedName name="HiddenRows" localSheetId="18" hidden="1">#REF!</definedName>
    <definedName name="HiddenRows" localSheetId="19" hidden="1">#REF!</definedName>
    <definedName name="HiddenRows" localSheetId="20" hidden="1">#REF!</definedName>
    <definedName name="HiddenRows" localSheetId="23" hidden="1">#REF!</definedName>
    <definedName name="HiddenRows" localSheetId="24" hidden="1">#REF!</definedName>
    <definedName name="HiddenRows" localSheetId="35" hidden="1">#REF!</definedName>
    <definedName name="HiddenRows" localSheetId="58" hidden="1">#REF!</definedName>
    <definedName name="HiddenRows" localSheetId="60" hidden="1">#REF!</definedName>
    <definedName name="HiddenRows" localSheetId="51" hidden="1">#REF!</definedName>
    <definedName name="HiddenRows" localSheetId="54" hidden="1">#REF!</definedName>
    <definedName name="HiddenRows" localSheetId="47" hidden="1">#REF!</definedName>
    <definedName name="HiddenRows" localSheetId="105" hidden="1">#REF!</definedName>
    <definedName name="HiddenRows" localSheetId="104" hidden="1">#REF!</definedName>
    <definedName name="HiddenRows" localSheetId="88" hidden="1">#REF!</definedName>
    <definedName name="HiddenRows" localSheetId="89" hidden="1">#REF!</definedName>
    <definedName name="HiddenRows" localSheetId="87" hidden="1">#REF!</definedName>
    <definedName name="HiddenRows" localSheetId="90" hidden="1">#REF!</definedName>
    <definedName name="HiddenRows" localSheetId="70" hidden="1">#REF!</definedName>
    <definedName name="HiddenRows" localSheetId="63" hidden="1">#REF!</definedName>
    <definedName name="HiddenRows" localSheetId="65" hidden="1">#REF!</definedName>
    <definedName name="HiddenRows" localSheetId="64" hidden="1">#REF!</definedName>
    <definedName name="HiddenRows" localSheetId="77" hidden="1">#REF!</definedName>
    <definedName name="HiddenRows" localSheetId="49" hidden="1">#REF!</definedName>
    <definedName name="HiddenRows" localSheetId="48" hidden="1">#REF!</definedName>
    <definedName name="HiddenRows" localSheetId="57" hidden="1">#REF!</definedName>
    <definedName name="HiddenRows" localSheetId="59" hidden="1">#REF!</definedName>
    <definedName name="HiddenRows" localSheetId="52" hidden="1">#REF!</definedName>
    <definedName name="HiddenRows" localSheetId="67" hidden="1">#REF!</definedName>
    <definedName name="HiddenRows" localSheetId="80" hidden="1">#REF!</definedName>
    <definedName name="HiddenRows" localSheetId="40" hidden="1">#REF!</definedName>
    <definedName name="HiddenRows" localSheetId="43" hidden="1">#REF!</definedName>
    <definedName name="HiddenRows" localSheetId="55" hidden="1">#REF!</definedName>
    <definedName name="HiddenRows" localSheetId="81" hidden="1">#REF!</definedName>
    <definedName name="HiddenRows" localSheetId="53" hidden="1">#REF!</definedName>
    <definedName name="HiddenRows" localSheetId="13" hidden="1">#REF!</definedName>
    <definedName name="HiddenRows" localSheetId="11" hidden="1">#REF!</definedName>
    <definedName name="HiddenRows" localSheetId="38" hidden="1">#REF!</definedName>
    <definedName name="HiddenRows" localSheetId="41" hidden="1">#REF!</definedName>
    <definedName name="HiddenRows" localSheetId="101" hidden="1">#REF!</definedName>
    <definedName name="HiddenRows" localSheetId="102" hidden="1">#REF!</definedName>
    <definedName name="HiddenRows" localSheetId="103" hidden="1">#REF!</definedName>
    <definedName name="HiddenRows" localSheetId="97" hidden="1">#REF!</definedName>
    <definedName name="HiddenRows" localSheetId="42" hidden="1">#REF!</definedName>
    <definedName name="HiddenRows" localSheetId="12" hidden="1">#REF!</definedName>
    <definedName name="HiddenRows" localSheetId="73" hidden="1">#REF!</definedName>
    <definedName name="HiddenRows" localSheetId="74" hidden="1">#REF!</definedName>
    <definedName name="HiddenRows" hidden="1">#REF!</definedName>
    <definedName name="Hl" localSheetId="3">#REF!</definedName>
    <definedName name="Hl" localSheetId="7">#REF!</definedName>
    <definedName name="Hl" localSheetId="9">#REF!</definedName>
    <definedName name="Hl" localSheetId="10">#REF!</definedName>
    <definedName name="Hl" localSheetId="15">#REF!</definedName>
    <definedName name="Hl" localSheetId="19">#REF!</definedName>
    <definedName name="Hl" localSheetId="20">#REF!</definedName>
    <definedName name="Hl" localSheetId="24">#REF!</definedName>
    <definedName name="Hl" localSheetId="104">#REF!</definedName>
    <definedName name="Hl" localSheetId="65">#REF!</definedName>
    <definedName name="Hl" localSheetId="64">#REF!</definedName>
    <definedName name="Hl" localSheetId="77">#REF!</definedName>
    <definedName name="Hl" localSheetId="49">#REF!</definedName>
    <definedName name="Hl" localSheetId="40">#REF!</definedName>
    <definedName name="Hl" localSheetId="43">#REF!</definedName>
    <definedName name="Hl" localSheetId="13">#REF!</definedName>
    <definedName name="Hl" localSheetId="38">#REF!</definedName>
    <definedName name="Hl">#REF!</definedName>
    <definedName name="Hlx" localSheetId="3">#REF!</definedName>
    <definedName name="Hlx" localSheetId="7">#REF!</definedName>
    <definedName name="Hlx" localSheetId="9">#REF!</definedName>
    <definedName name="Hlx" localSheetId="10">#REF!</definedName>
    <definedName name="Hlx" localSheetId="15">#REF!</definedName>
    <definedName name="Hlx" localSheetId="19">#REF!</definedName>
    <definedName name="Hlx" localSheetId="20">#REF!</definedName>
    <definedName name="Hlx" localSheetId="24">#REF!</definedName>
    <definedName name="Hlx" localSheetId="104">#REF!</definedName>
    <definedName name="Hlx" localSheetId="65">#REF!</definedName>
    <definedName name="Hlx" localSheetId="64">#REF!</definedName>
    <definedName name="Hlx" localSheetId="77">#REF!</definedName>
    <definedName name="Hlx" localSheetId="49">#REF!</definedName>
    <definedName name="Hlx" localSheetId="40">#REF!</definedName>
    <definedName name="Hlx" localSheetId="43">#REF!</definedName>
    <definedName name="Hlx" localSheetId="13">#REF!</definedName>
    <definedName name="Hlx" localSheetId="38">#REF!</definedName>
    <definedName name="Hlx">#REF!</definedName>
    <definedName name="HM0010V_EXTRACT" localSheetId="3">#REF!</definedName>
    <definedName name="HM0010V_EXTRACT" localSheetId="7">#REF!</definedName>
    <definedName name="HM0010V_EXTRACT" localSheetId="9">#REF!</definedName>
    <definedName name="HM0010V_EXTRACT" localSheetId="10">#REF!</definedName>
    <definedName name="HM0010V_EXTRACT" localSheetId="15">#REF!</definedName>
    <definedName name="HM0010V_EXTRACT" localSheetId="19">#REF!</definedName>
    <definedName name="HM0010V_EXTRACT" localSheetId="20">#REF!</definedName>
    <definedName name="HM0010V_EXTRACT" localSheetId="24">#REF!</definedName>
    <definedName name="HM0010V_EXTRACT" localSheetId="104">#REF!</definedName>
    <definedName name="HM0010V_EXTRACT" localSheetId="65">#REF!</definedName>
    <definedName name="HM0010V_EXTRACT" localSheetId="64">#REF!</definedName>
    <definedName name="HM0010V_EXTRACT" localSheetId="77">#REF!</definedName>
    <definedName name="HM0010V_EXTRACT" localSheetId="49">#REF!</definedName>
    <definedName name="HM0010V_EXTRACT" localSheetId="40">#REF!</definedName>
    <definedName name="HM0010V_EXTRACT" localSheetId="43">#REF!</definedName>
    <definedName name="HM0010V_EXTRACT" localSheetId="13">#REF!</definedName>
    <definedName name="HM0010V_EXTRACT" localSheetId="38">#REF!</definedName>
    <definedName name="HM0010V_EXTRACT">#REF!</definedName>
    <definedName name="HM0161W_EXTRACT" localSheetId="3">#REF!</definedName>
    <definedName name="HM0161W_EXTRACT" localSheetId="7">#REF!</definedName>
    <definedName name="HM0161W_EXTRACT" localSheetId="9">#REF!</definedName>
    <definedName name="HM0161W_EXTRACT" localSheetId="10">#REF!</definedName>
    <definedName name="HM0161W_EXTRACT" localSheetId="15">#REF!</definedName>
    <definedName name="HM0161W_EXTRACT" localSheetId="19">#REF!</definedName>
    <definedName name="HM0161W_EXTRACT" localSheetId="20">#REF!</definedName>
    <definedName name="HM0161W_EXTRACT" localSheetId="24">#REF!</definedName>
    <definedName name="HM0161W_EXTRACT" localSheetId="104">#REF!</definedName>
    <definedName name="HM0161W_EXTRACT" localSheetId="65">#REF!</definedName>
    <definedName name="HM0161W_EXTRACT" localSheetId="64">#REF!</definedName>
    <definedName name="HM0161W_EXTRACT" localSheetId="77">#REF!</definedName>
    <definedName name="HM0161W_EXTRACT" localSheetId="49">#REF!</definedName>
    <definedName name="HM0161W_EXTRACT" localSheetId="40">#REF!</definedName>
    <definedName name="HM0161W_EXTRACT" localSheetId="43">#REF!</definedName>
    <definedName name="HM0161W_EXTRACT" localSheetId="13">#REF!</definedName>
    <definedName name="HM0161W_EXTRACT" localSheetId="38">#REF!</definedName>
    <definedName name="HM0161W_EXTRACT">#REF!</definedName>
    <definedName name="hois1" localSheetId="3">#REF!</definedName>
    <definedName name="hois1" localSheetId="7">#REF!</definedName>
    <definedName name="hois1" localSheetId="9">#REF!</definedName>
    <definedName name="hois1" localSheetId="10">#REF!</definedName>
    <definedName name="hois1" localSheetId="15">#REF!</definedName>
    <definedName name="hois1" localSheetId="19">#REF!</definedName>
    <definedName name="hois1" localSheetId="20">#REF!</definedName>
    <definedName name="hois1" localSheetId="24">#REF!</definedName>
    <definedName name="hois1" localSheetId="104">#REF!</definedName>
    <definedName name="hois1" localSheetId="65">#REF!</definedName>
    <definedName name="hois1" localSheetId="64">#REF!</definedName>
    <definedName name="hois1" localSheetId="77">#REF!</definedName>
    <definedName name="hois1" localSheetId="49">#REF!</definedName>
    <definedName name="hois1" localSheetId="40">#REF!</definedName>
    <definedName name="hois1" localSheetId="43">#REF!</definedName>
    <definedName name="hois1" localSheetId="13">#REF!</definedName>
    <definedName name="hois1" localSheetId="38">#REF!</definedName>
    <definedName name="hois1">#REF!</definedName>
    <definedName name="hois2" localSheetId="3">#REF!</definedName>
    <definedName name="hois2" localSheetId="7">#REF!</definedName>
    <definedName name="hois2" localSheetId="9">#REF!</definedName>
    <definedName name="hois2" localSheetId="10">#REF!</definedName>
    <definedName name="hois2" localSheetId="15">#REF!</definedName>
    <definedName name="hois2" localSheetId="19">#REF!</definedName>
    <definedName name="hois2" localSheetId="20">#REF!</definedName>
    <definedName name="hois2" localSheetId="24">#REF!</definedName>
    <definedName name="hois2" localSheetId="104">#REF!</definedName>
    <definedName name="hois2" localSheetId="65">#REF!</definedName>
    <definedName name="hois2" localSheetId="64">#REF!</definedName>
    <definedName name="hois2" localSheetId="77">#REF!</definedName>
    <definedName name="hois2" localSheetId="49">#REF!</definedName>
    <definedName name="hois2" localSheetId="40">#REF!</definedName>
    <definedName name="hois2" localSheetId="43">#REF!</definedName>
    <definedName name="hois2" localSheetId="13">#REF!</definedName>
    <definedName name="hois2" localSheetId="38">#REF!</definedName>
    <definedName name="hois2">#REF!</definedName>
    <definedName name="hois3" localSheetId="3">#REF!</definedName>
    <definedName name="hois3" localSheetId="7">#REF!</definedName>
    <definedName name="hois3" localSheetId="9">#REF!</definedName>
    <definedName name="hois3" localSheetId="10">#REF!</definedName>
    <definedName name="hois3" localSheetId="15">#REF!</definedName>
    <definedName name="hois3" localSheetId="19">#REF!</definedName>
    <definedName name="hois3" localSheetId="20">#REF!</definedName>
    <definedName name="hois3" localSheetId="24">#REF!</definedName>
    <definedName name="hois3" localSheetId="104">#REF!</definedName>
    <definedName name="hois3" localSheetId="65">#REF!</definedName>
    <definedName name="hois3" localSheetId="64">#REF!</definedName>
    <definedName name="hois3" localSheetId="77">#REF!</definedName>
    <definedName name="hois3" localSheetId="49">#REF!</definedName>
    <definedName name="hois3" localSheetId="40">#REF!</definedName>
    <definedName name="hois3" localSheetId="43">#REF!</definedName>
    <definedName name="hois3" localSheetId="13">#REF!</definedName>
    <definedName name="hois3" localSheetId="38">#REF!</definedName>
    <definedName name="hois3">#REF!</definedName>
    <definedName name="hois4" localSheetId="3">#REF!</definedName>
    <definedName name="hois4" localSheetId="7">#REF!</definedName>
    <definedName name="hois4" localSheetId="9">#REF!</definedName>
    <definedName name="hois4" localSheetId="10">#REF!</definedName>
    <definedName name="hois4" localSheetId="15">#REF!</definedName>
    <definedName name="hois4" localSheetId="19">#REF!</definedName>
    <definedName name="hois4" localSheetId="20">#REF!</definedName>
    <definedName name="hois4" localSheetId="24">#REF!</definedName>
    <definedName name="hois4" localSheetId="104">#REF!</definedName>
    <definedName name="hois4" localSheetId="65">#REF!</definedName>
    <definedName name="hois4" localSheetId="64">#REF!</definedName>
    <definedName name="hois4" localSheetId="77">#REF!</definedName>
    <definedName name="hois4" localSheetId="49">#REF!</definedName>
    <definedName name="hois4" localSheetId="40">#REF!</definedName>
    <definedName name="hois4" localSheetId="43">#REF!</definedName>
    <definedName name="hois4" localSheetId="13">#REF!</definedName>
    <definedName name="hois4" localSheetId="38">#REF!</definedName>
    <definedName name="hois4">#REF!</definedName>
    <definedName name="hoistot" localSheetId="3">#REF!</definedName>
    <definedName name="hoistot" localSheetId="7">#REF!</definedName>
    <definedName name="hoistot" localSheetId="9">#REF!</definedName>
    <definedName name="hoistot" localSheetId="10">#REF!</definedName>
    <definedName name="hoistot" localSheetId="15">#REF!</definedName>
    <definedName name="hoistot" localSheetId="19">#REF!</definedName>
    <definedName name="hoistot" localSheetId="20">#REF!</definedName>
    <definedName name="hoistot" localSheetId="24">#REF!</definedName>
    <definedName name="hoistot" localSheetId="104">#REF!</definedName>
    <definedName name="hoistot" localSheetId="65">#REF!</definedName>
    <definedName name="hoistot" localSheetId="64">#REF!</definedName>
    <definedName name="hoistot" localSheetId="77">#REF!</definedName>
    <definedName name="hoistot" localSheetId="49">#REF!</definedName>
    <definedName name="hoistot" localSheetId="40">#REF!</definedName>
    <definedName name="hoistot" localSheetId="43">#REF!</definedName>
    <definedName name="hoistot" localSheetId="13">#REF!</definedName>
    <definedName name="hoistot" localSheetId="38">#REF!</definedName>
    <definedName name="hoistot">#REF!</definedName>
    <definedName name="HomeChemList" localSheetId="3">#REF!</definedName>
    <definedName name="HomeChemList" localSheetId="7">#REF!</definedName>
    <definedName name="HomeChemList" localSheetId="9">#REF!</definedName>
    <definedName name="HomeChemList" localSheetId="10">#REF!</definedName>
    <definedName name="HomeChemList" localSheetId="15">#REF!</definedName>
    <definedName name="HomeChemList" localSheetId="19">#REF!</definedName>
    <definedName name="HomeChemList" localSheetId="20">#REF!</definedName>
    <definedName name="HomeChemList" localSheetId="24">#REF!</definedName>
    <definedName name="HomeChemList" localSheetId="104">#REF!</definedName>
    <definedName name="HomeChemList" localSheetId="65">#REF!</definedName>
    <definedName name="HomeChemList" localSheetId="64">#REF!</definedName>
    <definedName name="HomeChemList" localSheetId="77">#REF!</definedName>
    <definedName name="HomeChemList" localSheetId="49">#REF!</definedName>
    <definedName name="HomeChemList" localSheetId="40">#REF!</definedName>
    <definedName name="HomeChemList" localSheetId="43">#REF!</definedName>
    <definedName name="HomeChemList" localSheetId="13">#REF!</definedName>
    <definedName name="HomeChemList" localSheetId="38">#REF!</definedName>
    <definedName name="HomeChemList">#REF!</definedName>
    <definedName name="HOT_OIL_HEATER" localSheetId="3">#REF!</definedName>
    <definedName name="HOT_OIL_HEATER" localSheetId="7">#REF!</definedName>
    <definedName name="HOT_OIL_HEATER" localSheetId="9">#REF!</definedName>
    <definedName name="HOT_OIL_HEATER" localSheetId="10">#REF!</definedName>
    <definedName name="HOT_OIL_HEATER" localSheetId="15">#REF!</definedName>
    <definedName name="HOT_OIL_HEATER" localSheetId="19">#REF!</definedName>
    <definedName name="HOT_OIL_HEATER" localSheetId="20">#REF!</definedName>
    <definedName name="HOT_OIL_HEATER" localSheetId="24">#REF!</definedName>
    <definedName name="HOT_OIL_HEATER" localSheetId="104">#REF!</definedName>
    <definedName name="HOT_OIL_HEATER" localSheetId="65">#REF!</definedName>
    <definedName name="HOT_OIL_HEATER" localSheetId="64">#REF!</definedName>
    <definedName name="HOT_OIL_HEATER" localSheetId="77">#REF!</definedName>
    <definedName name="HOT_OIL_HEATER" localSheetId="49">#REF!</definedName>
    <definedName name="HOT_OIL_HEATER" localSheetId="40">#REF!</definedName>
    <definedName name="HOT_OIL_HEATER" localSheetId="43">#REF!</definedName>
    <definedName name="HOT_OIL_HEATER" localSheetId="13">#REF!</definedName>
    <definedName name="HOT_OIL_HEATER" localSheetId="38">#REF!</definedName>
    <definedName name="HOT_OIL_HEATER">#REF!</definedName>
    <definedName name="HOUR_PER_YEAR" localSheetId="3">#REF!</definedName>
    <definedName name="HOUR_PER_YEAR" localSheetId="7">#REF!</definedName>
    <definedName name="HOUR_PER_YEAR" localSheetId="9">#REF!</definedName>
    <definedName name="HOUR_PER_YEAR" localSheetId="10">#REF!</definedName>
    <definedName name="HOUR_PER_YEAR" localSheetId="15">#REF!</definedName>
    <definedName name="HOUR_PER_YEAR" localSheetId="19">#REF!</definedName>
    <definedName name="HOUR_PER_YEAR" localSheetId="20">#REF!</definedName>
    <definedName name="HOUR_PER_YEAR" localSheetId="24">#REF!</definedName>
    <definedName name="HOUR_PER_YEAR" localSheetId="104">#REF!</definedName>
    <definedName name="HOUR_PER_YEAR" localSheetId="65">#REF!</definedName>
    <definedName name="HOUR_PER_YEAR" localSheetId="64">#REF!</definedName>
    <definedName name="HOUR_PER_YEAR" localSheetId="77">#REF!</definedName>
    <definedName name="HOUR_PER_YEAR" localSheetId="49">#REF!</definedName>
    <definedName name="HOUR_PER_YEAR" localSheetId="40">#REF!</definedName>
    <definedName name="HOUR_PER_YEAR" localSheetId="43">#REF!</definedName>
    <definedName name="HOUR_PER_YEAR" localSheetId="13">#REF!</definedName>
    <definedName name="HOUR_PER_YEAR" localSheetId="38">#REF!</definedName>
    <definedName name="HOUR_PER_YEAR">#REF!</definedName>
    <definedName name="HourlyFlows" localSheetId="3">#REF!</definedName>
    <definedName name="HourlyFlows" localSheetId="7">#REF!</definedName>
    <definedName name="HourlyFlows" localSheetId="9">#REF!</definedName>
    <definedName name="HourlyFlows" localSheetId="10">#REF!</definedName>
    <definedName name="HourlyFlows" localSheetId="15">#REF!</definedName>
    <definedName name="HourlyFlows" localSheetId="19">#REF!</definedName>
    <definedName name="HourlyFlows" localSheetId="20">#REF!</definedName>
    <definedName name="HourlyFlows" localSheetId="24">#REF!</definedName>
    <definedName name="HourlyFlows" localSheetId="104">#REF!</definedName>
    <definedName name="HourlyFlows" localSheetId="65">#REF!</definedName>
    <definedName name="HourlyFlows" localSheetId="64">#REF!</definedName>
    <definedName name="HourlyFlows" localSheetId="77">#REF!</definedName>
    <definedName name="HourlyFlows" localSheetId="49">#REF!</definedName>
    <definedName name="HourlyFlows" localSheetId="40">#REF!</definedName>
    <definedName name="HourlyFlows" localSheetId="43">#REF!</definedName>
    <definedName name="HourlyFlows" localSheetId="13">#REF!</definedName>
    <definedName name="HourlyFlows" localSheetId="38">#REF!</definedName>
    <definedName name="HourlyFlows">#REF!</definedName>
    <definedName name="HourlySummary" localSheetId="3">#REF!</definedName>
    <definedName name="HourlySummary" localSheetId="7">#REF!</definedName>
    <definedName name="HourlySummary" localSheetId="9">#REF!</definedName>
    <definedName name="HourlySummary" localSheetId="10">#REF!</definedName>
    <definedName name="HourlySummary" localSheetId="15">#REF!</definedName>
    <definedName name="HourlySummary" localSheetId="19">#REF!</definedName>
    <definedName name="HourlySummary" localSheetId="20">#REF!</definedName>
    <definedName name="HourlySummary" localSheetId="24">#REF!</definedName>
    <definedName name="HourlySummary" localSheetId="104">#REF!</definedName>
    <definedName name="HourlySummary" localSheetId="65">#REF!</definedName>
    <definedName name="HourlySummary" localSheetId="64">#REF!</definedName>
    <definedName name="HourlySummary" localSheetId="77">#REF!</definedName>
    <definedName name="HourlySummary" localSheetId="49">#REF!</definedName>
    <definedName name="HourlySummary" localSheetId="40">#REF!</definedName>
    <definedName name="HourlySummary" localSheetId="43">#REF!</definedName>
    <definedName name="HourlySummary" localSheetId="13">#REF!</definedName>
    <definedName name="HourlySummary" localSheetId="38">#REF!</definedName>
    <definedName name="HourlySummary">#REF!</definedName>
    <definedName name="Hours" localSheetId="3">#REF!</definedName>
    <definedName name="Hours" localSheetId="7">#REF!</definedName>
    <definedName name="Hours" localSheetId="9">#REF!</definedName>
    <definedName name="Hours" localSheetId="10">#REF!</definedName>
    <definedName name="Hours" localSheetId="15">#REF!</definedName>
    <definedName name="Hours" localSheetId="19">#REF!</definedName>
    <definedName name="Hours" localSheetId="20">#REF!</definedName>
    <definedName name="Hours" localSheetId="24">#REF!</definedName>
    <definedName name="Hours" localSheetId="104">#REF!</definedName>
    <definedName name="Hours" localSheetId="65">#REF!</definedName>
    <definedName name="Hours" localSheetId="64">#REF!</definedName>
    <definedName name="Hours" localSheetId="77">#REF!</definedName>
    <definedName name="Hours" localSheetId="49">#REF!</definedName>
    <definedName name="Hours" localSheetId="40">#REF!</definedName>
    <definedName name="Hours" localSheetId="43">#REF!</definedName>
    <definedName name="Hours" localSheetId="13">#REF!</definedName>
    <definedName name="Hours" localSheetId="38">#REF!</definedName>
    <definedName name="Hours">#REF!</definedName>
    <definedName name="Hours_of_operation__hrs_yr" localSheetId="3">#REF!</definedName>
    <definedName name="Hours_of_operation__hrs_yr" localSheetId="7">#REF!</definedName>
    <definedName name="Hours_of_operation__hrs_yr" localSheetId="9">#REF!</definedName>
    <definedName name="Hours_of_operation__hrs_yr" localSheetId="10">#REF!</definedName>
    <definedName name="Hours_of_operation__hrs_yr" localSheetId="15">#REF!</definedName>
    <definedName name="Hours_of_operation__hrs_yr" localSheetId="19">#REF!</definedName>
    <definedName name="Hours_of_operation__hrs_yr" localSheetId="20">#REF!</definedName>
    <definedName name="Hours_of_operation__hrs_yr" localSheetId="24">#REF!</definedName>
    <definedName name="Hours_of_operation__hrs_yr" localSheetId="104">#REF!</definedName>
    <definedName name="Hours_of_operation__hrs_yr" localSheetId="65">#REF!</definedName>
    <definedName name="Hours_of_operation__hrs_yr" localSheetId="64">#REF!</definedName>
    <definedName name="Hours_of_operation__hrs_yr" localSheetId="77">#REF!</definedName>
    <definedName name="Hours_of_operation__hrs_yr" localSheetId="49">#REF!</definedName>
    <definedName name="Hours_of_operation__hrs_yr" localSheetId="40">#REF!</definedName>
    <definedName name="Hours_of_operation__hrs_yr" localSheetId="43">#REF!</definedName>
    <definedName name="Hours_of_operation__hrs_yr" localSheetId="13">#REF!</definedName>
    <definedName name="Hours_of_operation__hrs_yr" localSheetId="38">#REF!</definedName>
    <definedName name="Hours_of_operation__hrs_yr">#REF!</definedName>
    <definedName name="hphr_MMBtu" localSheetId="3">#REF!</definedName>
    <definedName name="hphr_MMBtu" localSheetId="7">#REF!</definedName>
    <definedName name="hphr_MMBtu" localSheetId="9">#REF!</definedName>
    <definedName name="hphr_MMBtu" localSheetId="10">#REF!</definedName>
    <definedName name="hphr_MMBtu" localSheetId="15">#REF!</definedName>
    <definedName name="hphr_MMBtu" localSheetId="19">#REF!</definedName>
    <definedName name="hphr_MMBtu" localSheetId="20">#REF!</definedName>
    <definedName name="hphr_MMBtu" localSheetId="24">#REF!</definedName>
    <definedName name="hphr_MMBtu" localSheetId="104">#REF!</definedName>
    <definedName name="hphr_MMBtu" localSheetId="65">#REF!</definedName>
    <definedName name="hphr_MMBtu" localSheetId="64">#REF!</definedName>
    <definedName name="hphr_MMBtu" localSheetId="77">#REF!</definedName>
    <definedName name="hphr_MMBtu" localSheetId="49">#REF!</definedName>
    <definedName name="hphr_MMBtu" localSheetId="40">#REF!</definedName>
    <definedName name="hphr_MMBtu" localSheetId="43">#REF!</definedName>
    <definedName name="hphr_MMBtu" localSheetId="13">#REF!</definedName>
    <definedName name="hphr_MMBtu" localSheetId="38">#REF!</definedName>
    <definedName name="hphr_MMBtu">#REF!</definedName>
    <definedName name="Hrd" localSheetId="3">#REF!</definedName>
    <definedName name="Hrd" localSheetId="7">#REF!</definedName>
    <definedName name="Hrd" localSheetId="9">#REF!</definedName>
    <definedName name="Hrd" localSheetId="10">#REF!</definedName>
    <definedName name="Hrd" localSheetId="15">#REF!</definedName>
    <definedName name="Hrd" localSheetId="19">#REF!</definedName>
    <definedName name="Hrd" localSheetId="20">#REF!</definedName>
    <definedName name="Hrd" localSheetId="24">#REF!</definedName>
    <definedName name="Hrd" localSheetId="104">#REF!</definedName>
    <definedName name="Hrd" localSheetId="65">#REF!</definedName>
    <definedName name="Hrd" localSheetId="64">#REF!</definedName>
    <definedName name="Hrd" localSheetId="77">#REF!</definedName>
    <definedName name="Hrd" localSheetId="49">#REF!</definedName>
    <definedName name="Hrd" localSheetId="40">#REF!</definedName>
    <definedName name="Hrd" localSheetId="43">#REF!</definedName>
    <definedName name="Hrd" localSheetId="13">#REF!</definedName>
    <definedName name="Hrd" localSheetId="38">#REF!</definedName>
    <definedName name="Hrd">#REF!</definedName>
    <definedName name="Hro" localSheetId="3">#REF!</definedName>
    <definedName name="Hro" localSheetId="7">#REF!</definedName>
    <definedName name="Hro" localSheetId="9">#REF!</definedName>
    <definedName name="Hro" localSheetId="10">#REF!</definedName>
    <definedName name="Hro" localSheetId="15">#REF!</definedName>
    <definedName name="Hro" localSheetId="19">#REF!</definedName>
    <definedName name="Hro" localSheetId="20">#REF!</definedName>
    <definedName name="Hro" localSheetId="24">#REF!</definedName>
    <definedName name="Hro" localSheetId="104">#REF!</definedName>
    <definedName name="Hro" localSheetId="65">#REF!</definedName>
    <definedName name="Hro" localSheetId="64">#REF!</definedName>
    <definedName name="Hro" localSheetId="77">#REF!</definedName>
    <definedName name="Hro" localSheetId="49">#REF!</definedName>
    <definedName name="Hro" localSheetId="40">#REF!</definedName>
    <definedName name="Hro" localSheetId="43">#REF!</definedName>
    <definedName name="Hro" localSheetId="13">#REF!</definedName>
    <definedName name="Hro" localSheetId="38">#REF!</definedName>
    <definedName name="Hro">#REF!</definedName>
    <definedName name="Hroc" localSheetId="3">#REF!</definedName>
    <definedName name="Hroc" localSheetId="7">#REF!</definedName>
    <definedName name="Hroc" localSheetId="9">#REF!</definedName>
    <definedName name="Hroc" localSheetId="10">#REF!</definedName>
    <definedName name="Hroc" localSheetId="15">#REF!</definedName>
    <definedName name="Hroc" localSheetId="19">#REF!</definedName>
    <definedName name="Hroc" localSheetId="20">#REF!</definedName>
    <definedName name="Hroc" localSheetId="24">#REF!</definedName>
    <definedName name="Hroc" localSheetId="104">#REF!</definedName>
    <definedName name="Hroc" localSheetId="65">#REF!</definedName>
    <definedName name="Hroc" localSheetId="64">#REF!</definedName>
    <definedName name="Hroc" localSheetId="77">#REF!</definedName>
    <definedName name="Hroc" localSheetId="49">#REF!</definedName>
    <definedName name="Hroc" localSheetId="40">#REF!</definedName>
    <definedName name="Hroc" localSheetId="43">#REF!</definedName>
    <definedName name="Hroc" localSheetId="13">#REF!</definedName>
    <definedName name="Hroc" localSheetId="38">#REF!</definedName>
    <definedName name="Hroc">#REF!</definedName>
    <definedName name="Hrod" localSheetId="3">#REF!</definedName>
    <definedName name="Hrod" localSheetId="7">#REF!</definedName>
    <definedName name="Hrod" localSheetId="9">#REF!</definedName>
    <definedName name="Hrod" localSheetId="10">#REF!</definedName>
    <definedName name="Hrod" localSheetId="15">#REF!</definedName>
    <definedName name="Hrod" localSheetId="19">#REF!</definedName>
    <definedName name="Hrod" localSheetId="20">#REF!</definedName>
    <definedName name="Hrod" localSheetId="24">#REF!</definedName>
    <definedName name="Hrod" localSheetId="104">#REF!</definedName>
    <definedName name="Hrod" localSheetId="65">#REF!</definedName>
    <definedName name="Hrod" localSheetId="64">#REF!</definedName>
    <definedName name="Hrod" localSheetId="77">#REF!</definedName>
    <definedName name="Hrod" localSheetId="49">#REF!</definedName>
    <definedName name="Hrod" localSheetId="40">#REF!</definedName>
    <definedName name="Hrod" localSheetId="43">#REF!</definedName>
    <definedName name="Hrod" localSheetId="13">#REF!</definedName>
    <definedName name="Hrod" localSheetId="38">#REF!</definedName>
    <definedName name="Hrod">#REF!</definedName>
    <definedName name="HRSG_BDS" localSheetId="3">#REF!</definedName>
    <definedName name="HRSG_BDS" localSheetId="7">#REF!</definedName>
    <definedName name="HRSG_BDS" localSheetId="9">#REF!</definedName>
    <definedName name="HRSG_BDS" localSheetId="10">#REF!</definedName>
    <definedName name="HRSG_BDS" localSheetId="15">#REF!</definedName>
    <definedName name="HRSG_BDS" localSheetId="19">#REF!</definedName>
    <definedName name="HRSG_BDS" localSheetId="20">#REF!</definedName>
    <definedName name="HRSG_BDS" localSheetId="24">#REF!</definedName>
    <definedName name="HRSG_BDS" localSheetId="104">#REF!</definedName>
    <definedName name="HRSG_BDS" localSheetId="65">#REF!</definedName>
    <definedName name="HRSG_BDS" localSheetId="64">#REF!</definedName>
    <definedName name="HRSG_BDS" localSheetId="77">#REF!</definedName>
    <definedName name="HRSG_BDS" localSheetId="49">#REF!</definedName>
    <definedName name="HRSG_BDS" localSheetId="40">#REF!</definedName>
    <definedName name="HRSG_BDS" localSheetId="43">#REF!</definedName>
    <definedName name="HRSG_BDS" localSheetId="13">#REF!</definedName>
    <definedName name="HRSG_BDS" localSheetId="38">#REF!</definedName>
    <definedName name="HRSG_BDS">#REF!</definedName>
    <definedName name="Hs" localSheetId="3">#REF!</definedName>
    <definedName name="Hs" localSheetId="7">#REF!</definedName>
    <definedName name="Hs" localSheetId="9">#REF!</definedName>
    <definedName name="Hs" localSheetId="10">#REF!</definedName>
    <definedName name="Hs" localSheetId="15">#REF!</definedName>
    <definedName name="Hs" localSheetId="19">#REF!</definedName>
    <definedName name="Hs" localSheetId="20">#REF!</definedName>
    <definedName name="Hs" localSheetId="24">#REF!</definedName>
    <definedName name="Hs" localSheetId="104">#REF!</definedName>
    <definedName name="Hs" localSheetId="65">#REF!</definedName>
    <definedName name="Hs" localSheetId="64">#REF!</definedName>
    <definedName name="Hs" localSheetId="77">#REF!</definedName>
    <definedName name="Hs" localSheetId="49">#REF!</definedName>
    <definedName name="Hs" localSheetId="40">#REF!</definedName>
    <definedName name="Hs" localSheetId="43">#REF!</definedName>
    <definedName name="Hs" localSheetId="13">#REF!</definedName>
    <definedName name="Hs" localSheetId="38">#REF!</definedName>
    <definedName name="Hs">#REF!</definedName>
    <definedName name="ht" localSheetId="3">#REF!</definedName>
    <definedName name="ht" localSheetId="7">#REF!</definedName>
    <definedName name="ht" localSheetId="9">#REF!</definedName>
    <definedName name="ht" localSheetId="10">#REF!</definedName>
    <definedName name="ht" localSheetId="15">#REF!</definedName>
    <definedName name="ht" localSheetId="19">#REF!</definedName>
    <definedName name="ht" localSheetId="20">#REF!</definedName>
    <definedName name="ht" localSheetId="24">#REF!</definedName>
    <definedName name="ht" localSheetId="104">#REF!</definedName>
    <definedName name="ht" localSheetId="65">#REF!</definedName>
    <definedName name="ht" localSheetId="64">#REF!</definedName>
    <definedName name="ht" localSheetId="77">#REF!</definedName>
    <definedName name="ht" localSheetId="49">#REF!</definedName>
    <definedName name="ht" localSheetId="40">#REF!</definedName>
    <definedName name="ht" localSheetId="43">#REF!</definedName>
    <definedName name="ht" localSheetId="13">#REF!</definedName>
    <definedName name="ht" localSheetId="38">#REF!</definedName>
    <definedName name="ht">#REF!</definedName>
    <definedName name="htytr" localSheetId="50" hidden="1">{"Compositions",#N/A,FALSE,"TTU Summary"}</definedName>
    <definedName name="htytr" localSheetId="51" hidden="1">{"Compositions",#N/A,FALSE,"TTU Summary"}</definedName>
    <definedName name="htytr" localSheetId="105" hidden="1">{"Compositions",#N/A,FALSE,"TTU Summary"}</definedName>
    <definedName name="htytr" localSheetId="75" hidden="1">{"Compositions",#N/A,FALSE,"TTU Summary"}</definedName>
    <definedName name="htytr" localSheetId="70" hidden="1">{"Compositions",#N/A,FALSE,"TTU Summary"}</definedName>
    <definedName name="htytr" localSheetId="63" hidden="1">{"Compositions",#N/A,FALSE,"TTU Summary"}</definedName>
    <definedName name="htytr" localSheetId="65" hidden="1">{"Compositions",#N/A,FALSE,"TTU Summary"}</definedName>
    <definedName name="htytr" localSheetId="64" hidden="1">{"Compositions",#N/A,FALSE,"TTU Summary"}</definedName>
    <definedName name="htytr" localSheetId="96" hidden="1">{"Compositions",#N/A,FALSE,"TTU Summary"}</definedName>
    <definedName name="htytr" localSheetId="48" hidden="1">{"Compositions",#N/A,FALSE,"TTU Summary"}</definedName>
    <definedName name="htytr" localSheetId="52" hidden="1">{"Compositions",#N/A,FALSE,"TTU Summary"}</definedName>
    <definedName name="htytr" localSheetId="67" hidden="1">{"Compositions",#N/A,FALSE,"TTU Summary"}</definedName>
    <definedName name="htytr" localSheetId="44" hidden="1">{"Compositions",#N/A,FALSE,"TTU Summary"}</definedName>
    <definedName name="htytr" localSheetId="81" hidden="1">{"Compositions",#N/A,FALSE,"TTU Summary"}</definedName>
    <definedName name="htytr" localSheetId="73" hidden="1">{"Compositions",#N/A,FALSE,"TTU Summary"}</definedName>
    <definedName name="htytr" localSheetId="74" hidden="1">{"Compositions",#N/A,FALSE,"TTU Summary"}</definedName>
    <definedName name="htytr" hidden="1">{"Compositions",#N/A,FALSE,"TTU Summary"}</definedName>
    <definedName name="htytr_1" hidden="1">{"Compositions",#N/A,FALSE,"TTU Summary"}</definedName>
    <definedName name="Hvo" localSheetId="3">#REF!</definedName>
    <definedName name="Hvo" localSheetId="7">#REF!</definedName>
    <definedName name="Hvo" localSheetId="9">#REF!</definedName>
    <definedName name="Hvo" localSheetId="10">#REF!</definedName>
    <definedName name="Hvo" localSheetId="15">#REF!</definedName>
    <definedName name="Hvo" localSheetId="19">#REF!</definedName>
    <definedName name="Hvo" localSheetId="20">#REF!</definedName>
    <definedName name="Hvo" localSheetId="24">#REF!</definedName>
    <definedName name="Hvo" localSheetId="104">#REF!</definedName>
    <definedName name="Hvo" localSheetId="65">#REF!</definedName>
    <definedName name="Hvo" localSheetId="64">#REF!</definedName>
    <definedName name="Hvo" localSheetId="77">#REF!</definedName>
    <definedName name="Hvo" localSheetId="49">#REF!</definedName>
    <definedName name="Hvo" localSheetId="40">#REF!</definedName>
    <definedName name="Hvo" localSheetId="43">#REF!</definedName>
    <definedName name="Hvo" localSheetId="13">#REF!</definedName>
    <definedName name="Hvo" localSheetId="38">#REF!</definedName>
    <definedName name="Hvo">#REF!</definedName>
    <definedName name="Hydrochloric" localSheetId="3">#REF!</definedName>
    <definedName name="Hydrochloric" localSheetId="7">#REF!</definedName>
    <definedName name="Hydrochloric" localSheetId="9">#REF!</definedName>
    <definedName name="Hydrochloric" localSheetId="10">#REF!</definedName>
    <definedName name="Hydrochloric" localSheetId="15">#REF!</definedName>
    <definedName name="Hydrochloric" localSheetId="19">#REF!</definedName>
    <definedName name="Hydrochloric" localSheetId="20">#REF!</definedName>
    <definedName name="Hydrochloric" localSheetId="24">#REF!</definedName>
    <definedName name="Hydrochloric" localSheetId="104">#REF!</definedName>
    <definedName name="Hydrochloric" localSheetId="65">#REF!</definedName>
    <definedName name="Hydrochloric" localSheetId="64">#REF!</definedName>
    <definedName name="Hydrochloric" localSheetId="77">#REF!</definedName>
    <definedName name="Hydrochloric" localSheetId="49">#REF!</definedName>
    <definedName name="Hydrochloric" localSheetId="40">#REF!</definedName>
    <definedName name="Hydrochloric" localSheetId="43">#REF!</definedName>
    <definedName name="Hydrochloric" localSheetId="13">#REF!</definedName>
    <definedName name="Hydrochloric" localSheetId="38">#REF!</definedName>
    <definedName name="Hydrochloric">#REF!</definedName>
    <definedName name="i" localSheetId="3">#REF!</definedName>
    <definedName name="i" localSheetId="7">#REF!</definedName>
    <definedName name="i" localSheetId="9">#REF!</definedName>
    <definedName name="i" localSheetId="10">#REF!</definedName>
    <definedName name="i" localSheetId="15">#REF!</definedName>
    <definedName name="i" localSheetId="19">#REF!</definedName>
    <definedName name="i" localSheetId="20">#REF!</definedName>
    <definedName name="i" localSheetId="24">#REF!</definedName>
    <definedName name="i" localSheetId="104">#REF!</definedName>
    <definedName name="i" localSheetId="65">#REF!</definedName>
    <definedName name="i" localSheetId="64">#REF!</definedName>
    <definedName name="i" localSheetId="77">#REF!</definedName>
    <definedName name="i" localSheetId="49">#REF!</definedName>
    <definedName name="i" localSheetId="40">#REF!</definedName>
    <definedName name="i" localSheetId="43">#REF!</definedName>
    <definedName name="i" localSheetId="13">#REF!</definedName>
    <definedName name="i" localSheetId="38">#REF!</definedName>
    <definedName name="i">#REF!</definedName>
    <definedName name="Ifurn" localSheetId="3">#REF!</definedName>
    <definedName name="Ifurn" localSheetId="7">#REF!</definedName>
    <definedName name="Ifurn" localSheetId="9">#REF!</definedName>
    <definedName name="Ifurn" localSheetId="10">#REF!</definedName>
    <definedName name="Ifurn" localSheetId="15">#REF!</definedName>
    <definedName name="Ifurn" localSheetId="19">#REF!</definedName>
    <definedName name="Ifurn" localSheetId="20">#REF!</definedName>
    <definedName name="Ifurn" localSheetId="24">#REF!</definedName>
    <definedName name="Ifurn" localSheetId="104">#REF!</definedName>
    <definedName name="Ifurn" localSheetId="65">#REF!</definedName>
    <definedName name="Ifurn" localSheetId="64">#REF!</definedName>
    <definedName name="Ifurn" localSheetId="77">#REF!</definedName>
    <definedName name="Ifurn" localSheetId="49">#REF!</definedName>
    <definedName name="Ifurn" localSheetId="40">#REF!</definedName>
    <definedName name="Ifurn" localSheetId="43">#REF!</definedName>
    <definedName name="Ifurn" localSheetId="13">#REF!</definedName>
    <definedName name="Ifurn" localSheetId="38">#REF!</definedName>
    <definedName name="Ifurn">#REF!</definedName>
    <definedName name="IH1C1" localSheetId="3">#REF!</definedName>
    <definedName name="IH1C1" localSheetId="7">#REF!</definedName>
    <definedName name="IH1C1" localSheetId="9">#REF!</definedName>
    <definedName name="IH1C1" localSheetId="10">#REF!</definedName>
    <definedName name="IH1C1" localSheetId="15">#REF!</definedName>
    <definedName name="IH1C1" localSheetId="19">#REF!</definedName>
    <definedName name="IH1C1" localSheetId="20">#REF!</definedName>
    <definedName name="IH1C1" localSheetId="24">#REF!</definedName>
    <definedName name="IH1C1" localSheetId="104">#REF!</definedName>
    <definedName name="IH1C1" localSheetId="65">#REF!</definedName>
    <definedName name="IH1C1" localSheetId="64">#REF!</definedName>
    <definedName name="IH1C1" localSheetId="77">#REF!</definedName>
    <definedName name="IH1C1" localSheetId="49">#REF!</definedName>
    <definedName name="IH1C1" localSheetId="40">#REF!</definedName>
    <definedName name="IH1C1" localSheetId="43">#REF!</definedName>
    <definedName name="IH1C1" localSheetId="13">#REF!</definedName>
    <definedName name="IH1C1" localSheetId="38">#REF!</definedName>
    <definedName name="IH1C1">#REF!</definedName>
    <definedName name="IH1C10" localSheetId="3">#REF!</definedName>
    <definedName name="IH1C10" localSheetId="7">#REF!</definedName>
    <definedName name="IH1C10" localSheetId="9">#REF!</definedName>
    <definedName name="IH1C10" localSheetId="10">#REF!</definedName>
    <definedName name="IH1C10" localSheetId="15">#REF!</definedName>
    <definedName name="IH1C10" localSheetId="19">#REF!</definedName>
    <definedName name="IH1C10" localSheetId="20">#REF!</definedName>
    <definedName name="IH1C10" localSheetId="24">#REF!</definedName>
    <definedName name="IH1C10" localSheetId="104">#REF!</definedName>
    <definedName name="IH1C10" localSheetId="65">#REF!</definedName>
    <definedName name="IH1C10" localSheetId="64">#REF!</definedName>
    <definedName name="IH1C10" localSheetId="77">#REF!</definedName>
    <definedName name="IH1C10" localSheetId="49">#REF!</definedName>
    <definedName name="IH1C10" localSheetId="40">#REF!</definedName>
    <definedName name="IH1C10" localSheetId="43">#REF!</definedName>
    <definedName name="IH1C10" localSheetId="13">#REF!</definedName>
    <definedName name="IH1C10" localSheetId="38">#REF!</definedName>
    <definedName name="IH1C10">#REF!</definedName>
    <definedName name="IH1C11" localSheetId="3">#REF!</definedName>
    <definedName name="IH1C11" localSheetId="7">#REF!</definedName>
    <definedName name="IH1C11" localSheetId="9">#REF!</definedName>
    <definedName name="IH1C11" localSheetId="10">#REF!</definedName>
    <definedName name="IH1C11" localSheetId="15">#REF!</definedName>
    <definedName name="IH1C11" localSheetId="19">#REF!</definedName>
    <definedName name="IH1C11" localSheetId="20">#REF!</definedName>
    <definedName name="IH1C11" localSheetId="24">#REF!</definedName>
    <definedName name="IH1C11" localSheetId="104">#REF!</definedName>
    <definedName name="IH1C11" localSheetId="65">#REF!</definedName>
    <definedName name="IH1C11" localSheetId="64">#REF!</definedName>
    <definedName name="IH1C11" localSheetId="77">#REF!</definedName>
    <definedName name="IH1C11" localSheetId="49">#REF!</definedName>
    <definedName name="IH1C11" localSheetId="40">#REF!</definedName>
    <definedName name="IH1C11" localSheetId="43">#REF!</definedName>
    <definedName name="IH1C11" localSheetId="13">#REF!</definedName>
    <definedName name="IH1C11" localSheetId="38">#REF!</definedName>
    <definedName name="IH1C11">#REF!</definedName>
    <definedName name="IH1C12" localSheetId="3">#REF!</definedName>
    <definedName name="IH1C12" localSheetId="7">#REF!</definedName>
    <definedName name="IH1C12" localSheetId="9">#REF!</definedName>
    <definedName name="IH1C12" localSheetId="10">#REF!</definedName>
    <definedName name="IH1C12" localSheetId="15">#REF!</definedName>
    <definedName name="IH1C12" localSheetId="19">#REF!</definedName>
    <definedName name="IH1C12" localSheetId="20">#REF!</definedName>
    <definedName name="IH1C12" localSheetId="24">#REF!</definedName>
    <definedName name="IH1C12" localSheetId="104">#REF!</definedName>
    <definedName name="IH1C12" localSheetId="65">#REF!</definedName>
    <definedName name="IH1C12" localSheetId="64">#REF!</definedName>
    <definedName name="IH1C12" localSheetId="77">#REF!</definedName>
    <definedName name="IH1C12" localSheetId="49">#REF!</definedName>
    <definedName name="IH1C12" localSheetId="40">#REF!</definedName>
    <definedName name="IH1C12" localSheetId="43">#REF!</definedName>
    <definedName name="IH1C12" localSheetId="13">#REF!</definedName>
    <definedName name="IH1C12" localSheetId="38">#REF!</definedName>
    <definedName name="IH1C12">#REF!</definedName>
    <definedName name="IH1C13" localSheetId="3">#REF!</definedName>
    <definedName name="IH1C13" localSheetId="7">#REF!</definedName>
    <definedName name="IH1C13" localSheetId="9">#REF!</definedName>
    <definedName name="IH1C13" localSheetId="10">#REF!</definedName>
    <definedName name="IH1C13" localSheetId="15">#REF!</definedName>
    <definedName name="IH1C13" localSheetId="19">#REF!</definedName>
    <definedName name="IH1C13" localSheetId="20">#REF!</definedName>
    <definedName name="IH1C13" localSheetId="24">#REF!</definedName>
    <definedName name="IH1C13" localSheetId="104">#REF!</definedName>
    <definedName name="IH1C13" localSheetId="65">#REF!</definedName>
    <definedName name="IH1C13" localSheetId="64">#REF!</definedName>
    <definedName name="IH1C13" localSheetId="77">#REF!</definedName>
    <definedName name="IH1C13" localSheetId="49">#REF!</definedName>
    <definedName name="IH1C13" localSheetId="40">#REF!</definedName>
    <definedName name="IH1C13" localSheetId="43">#REF!</definedName>
    <definedName name="IH1C13" localSheetId="13">#REF!</definedName>
    <definedName name="IH1C13" localSheetId="38">#REF!</definedName>
    <definedName name="IH1C13">#REF!</definedName>
    <definedName name="IH1C14" localSheetId="3">#REF!</definedName>
    <definedName name="IH1C14" localSheetId="7">#REF!</definedName>
    <definedName name="IH1C14" localSheetId="9">#REF!</definedName>
    <definedName name="IH1C14" localSheetId="10">#REF!</definedName>
    <definedName name="IH1C14" localSheetId="15">#REF!</definedName>
    <definedName name="IH1C14" localSheetId="19">#REF!</definedName>
    <definedName name="IH1C14" localSheetId="20">#REF!</definedName>
    <definedName name="IH1C14" localSheetId="24">#REF!</definedName>
    <definedName name="IH1C14" localSheetId="104">#REF!</definedName>
    <definedName name="IH1C14" localSheetId="65">#REF!</definedName>
    <definedName name="IH1C14" localSheetId="64">#REF!</definedName>
    <definedName name="IH1C14" localSheetId="77">#REF!</definedName>
    <definedName name="IH1C14" localSheetId="49">#REF!</definedName>
    <definedName name="IH1C14" localSheetId="40">#REF!</definedName>
    <definedName name="IH1C14" localSheetId="43">#REF!</definedName>
    <definedName name="IH1C14" localSheetId="13">#REF!</definedName>
    <definedName name="IH1C14" localSheetId="38">#REF!</definedName>
    <definedName name="IH1C14">#REF!</definedName>
    <definedName name="IH1C15" localSheetId="3">#REF!</definedName>
    <definedName name="IH1C15" localSheetId="7">#REF!</definedName>
    <definedName name="IH1C15" localSheetId="9">#REF!</definedName>
    <definedName name="IH1C15" localSheetId="10">#REF!</definedName>
    <definedName name="IH1C15" localSheetId="15">#REF!</definedName>
    <definedName name="IH1C15" localSheetId="19">#REF!</definedName>
    <definedName name="IH1C15" localSheetId="20">#REF!</definedName>
    <definedName name="IH1C15" localSheetId="24">#REF!</definedName>
    <definedName name="IH1C15" localSheetId="104">#REF!</definedName>
    <definedName name="IH1C15" localSheetId="65">#REF!</definedName>
    <definedName name="IH1C15" localSheetId="64">#REF!</definedName>
    <definedName name="IH1C15" localSheetId="77">#REF!</definedName>
    <definedName name="IH1C15" localSheetId="49">#REF!</definedName>
    <definedName name="IH1C15" localSheetId="40">#REF!</definedName>
    <definedName name="IH1C15" localSheetId="43">#REF!</definedName>
    <definedName name="IH1C15" localSheetId="13">#REF!</definedName>
    <definedName name="IH1C15" localSheetId="38">#REF!</definedName>
    <definedName name="IH1C15">#REF!</definedName>
    <definedName name="IH1C2" localSheetId="3">#REF!</definedName>
    <definedName name="IH1C2" localSheetId="7">#REF!</definedName>
    <definedName name="IH1C2" localSheetId="9">#REF!</definedName>
    <definedName name="IH1C2" localSheetId="10">#REF!</definedName>
    <definedName name="IH1C2" localSheetId="15">#REF!</definedName>
    <definedName name="IH1C2" localSheetId="19">#REF!</definedName>
    <definedName name="IH1C2" localSheetId="20">#REF!</definedName>
    <definedName name="IH1C2" localSheetId="24">#REF!</definedName>
    <definedName name="IH1C2" localSheetId="104">#REF!</definedName>
    <definedName name="IH1C2" localSheetId="65">#REF!</definedName>
    <definedName name="IH1C2" localSheetId="64">#REF!</definedName>
    <definedName name="IH1C2" localSheetId="77">#REF!</definedName>
    <definedName name="IH1C2" localSheetId="49">#REF!</definedName>
    <definedName name="IH1C2" localSheetId="40">#REF!</definedName>
    <definedName name="IH1C2" localSheetId="43">#REF!</definedName>
    <definedName name="IH1C2" localSheetId="13">#REF!</definedName>
    <definedName name="IH1C2" localSheetId="38">#REF!</definedName>
    <definedName name="IH1C2">#REF!</definedName>
    <definedName name="IH1C3" localSheetId="3">#REF!</definedName>
    <definedName name="IH1C3" localSheetId="7">#REF!</definedName>
    <definedName name="IH1C3" localSheetId="9">#REF!</definedName>
    <definedName name="IH1C3" localSheetId="10">#REF!</definedName>
    <definedName name="IH1C3" localSheetId="15">#REF!</definedName>
    <definedName name="IH1C3" localSheetId="19">#REF!</definedName>
    <definedName name="IH1C3" localSheetId="20">#REF!</definedName>
    <definedName name="IH1C3" localSheetId="24">#REF!</definedName>
    <definedName name="IH1C3" localSheetId="104">#REF!</definedName>
    <definedName name="IH1C3" localSheetId="65">#REF!</definedName>
    <definedName name="IH1C3" localSheetId="64">#REF!</definedName>
    <definedName name="IH1C3" localSheetId="77">#REF!</definedName>
    <definedName name="IH1C3" localSheetId="49">#REF!</definedName>
    <definedName name="IH1C3" localSheetId="40">#REF!</definedName>
    <definedName name="IH1C3" localSheetId="43">#REF!</definedName>
    <definedName name="IH1C3" localSheetId="13">#REF!</definedName>
    <definedName name="IH1C3" localSheetId="38">#REF!</definedName>
    <definedName name="IH1C3">#REF!</definedName>
    <definedName name="IH1C4" localSheetId="3">#REF!</definedName>
    <definedName name="IH1C4" localSheetId="7">#REF!</definedName>
    <definedName name="IH1C4" localSheetId="9">#REF!</definedName>
    <definedName name="IH1C4" localSheetId="10">#REF!</definedName>
    <definedName name="IH1C4" localSheetId="15">#REF!</definedName>
    <definedName name="IH1C4" localSheetId="19">#REF!</definedName>
    <definedName name="IH1C4" localSheetId="20">#REF!</definedName>
    <definedName name="IH1C4" localSheetId="24">#REF!</definedName>
    <definedName name="IH1C4" localSheetId="104">#REF!</definedName>
    <definedName name="IH1C4" localSheetId="65">#REF!</definedName>
    <definedName name="IH1C4" localSheetId="64">#REF!</definedName>
    <definedName name="IH1C4" localSheetId="77">#REF!</definedName>
    <definedName name="IH1C4" localSheetId="49">#REF!</definedName>
    <definedName name="IH1C4" localSheetId="40">#REF!</definedName>
    <definedName name="IH1C4" localSheetId="43">#REF!</definedName>
    <definedName name="IH1C4" localSheetId="13">#REF!</definedName>
    <definedName name="IH1C4" localSheetId="38">#REF!</definedName>
    <definedName name="IH1C4">#REF!</definedName>
    <definedName name="IH1C5" localSheetId="3">#REF!</definedName>
    <definedName name="IH1C5" localSheetId="7">#REF!</definedName>
    <definedName name="IH1C5" localSheetId="9">#REF!</definedName>
    <definedName name="IH1C5" localSheetId="10">#REF!</definedName>
    <definedName name="IH1C5" localSheetId="15">#REF!</definedName>
    <definedName name="IH1C5" localSheetId="19">#REF!</definedName>
    <definedName name="IH1C5" localSheetId="20">#REF!</definedName>
    <definedName name="IH1C5" localSheetId="24">#REF!</definedName>
    <definedName name="IH1C5" localSheetId="104">#REF!</definedName>
    <definedName name="IH1C5" localSheetId="65">#REF!</definedName>
    <definedName name="IH1C5" localSheetId="64">#REF!</definedName>
    <definedName name="IH1C5" localSheetId="77">#REF!</definedName>
    <definedName name="IH1C5" localSheetId="49">#REF!</definedName>
    <definedName name="IH1C5" localSheetId="40">#REF!</definedName>
    <definedName name="IH1C5" localSheetId="43">#REF!</definedName>
    <definedName name="IH1C5" localSheetId="13">#REF!</definedName>
    <definedName name="IH1C5" localSheetId="38">#REF!</definedName>
    <definedName name="IH1C5">#REF!</definedName>
    <definedName name="IH1C6" localSheetId="3">#REF!</definedName>
    <definedName name="IH1C6" localSheetId="7">#REF!</definedName>
    <definedName name="IH1C6" localSheetId="9">#REF!</definedName>
    <definedName name="IH1C6" localSheetId="10">#REF!</definedName>
    <definedName name="IH1C6" localSheetId="15">#REF!</definedName>
    <definedName name="IH1C6" localSheetId="19">#REF!</definedName>
    <definedName name="IH1C6" localSheetId="20">#REF!</definedName>
    <definedName name="IH1C6" localSheetId="24">#REF!</definedName>
    <definedName name="IH1C6" localSheetId="104">#REF!</definedName>
    <definedName name="IH1C6" localSheetId="65">#REF!</definedName>
    <definedName name="IH1C6" localSheetId="64">#REF!</definedName>
    <definedName name="IH1C6" localSheetId="77">#REF!</definedName>
    <definedName name="IH1C6" localSheetId="49">#REF!</definedName>
    <definedName name="IH1C6" localSheetId="40">#REF!</definedName>
    <definedName name="IH1C6" localSheetId="43">#REF!</definedName>
    <definedName name="IH1C6" localSheetId="13">#REF!</definedName>
    <definedName name="IH1C6" localSheetId="38">#REF!</definedName>
    <definedName name="IH1C6">#REF!</definedName>
    <definedName name="IH1C7" localSheetId="3">#REF!</definedName>
    <definedName name="IH1C7" localSheetId="7">#REF!</definedName>
    <definedName name="IH1C7" localSheetId="9">#REF!</definedName>
    <definedName name="IH1C7" localSheetId="10">#REF!</definedName>
    <definedName name="IH1C7" localSheetId="15">#REF!</definedName>
    <definedName name="IH1C7" localSheetId="19">#REF!</definedName>
    <definedName name="IH1C7" localSheetId="20">#REF!</definedName>
    <definedName name="IH1C7" localSheetId="24">#REF!</definedName>
    <definedName name="IH1C7" localSheetId="104">#REF!</definedName>
    <definedName name="IH1C7" localSheetId="65">#REF!</definedName>
    <definedName name="IH1C7" localSheetId="64">#REF!</definedName>
    <definedName name="IH1C7" localSheetId="77">#REF!</definedName>
    <definedName name="IH1C7" localSheetId="49">#REF!</definedName>
    <definedName name="IH1C7" localSheetId="40">#REF!</definedName>
    <definedName name="IH1C7" localSheetId="43">#REF!</definedName>
    <definedName name="IH1C7" localSheetId="13">#REF!</definedName>
    <definedName name="IH1C7" localSheetId="38">#REF!</definedName>
    <definedName name="IH1C7">#REF!</definedName>
    <definedName name="IH1C8" localSheetId="3">#REF!</definedName>
    <definedName name="IH1C8" localSheetId="7">#REF!</definedName>
    <definedName name="IH1C8" localSheetId="9">#REF!</definedName>
    <definedName name="IH1C8" localSheetId="10">#REF!</definedName>
    <definedName name="IH1C8" localSheetId="15">#REF!</definedName>
    <definedName name="IH1C8" localSheetId="19">#REF!</definedName>
    <definedName name="IH1C8" localSheetId="20">#REF!</definedName>
    <definedName name="IH1C8" localSheetId="24">#REF!</definedName>
    <definedName name="IH1C8" localSheetId="104">#REF!</definedName>
    <definedName name="IH1C8" localSheetId="65">#REF!</definedName>
    <definedName name="IH1C8" localSheetId="64">#REF!</definedName>
    <definedName name="IH1C8" localSheetId="77">#REF!</definedName>
    <definedName name="IH1C8" localSheetId="49">#REF!</definedName>
    <definedName name="IH1C8" localSheetId="40">#REF!</definedName>
    <definedName name="IH1C8" localSheetId="43">#REF!</definedName>
    <definedName name="IH1C8" localSheetId="13">#REF!</definedName>
    <definedName name="IH1C8" localSheetId="38">#REF!</definedName>
    <definedName name="IH1C8">#REF!</definedName>
    <definedName name="IH1C9" localSheetId="3">#REF!</definedName>
    <definedName name="IH1C9" localSheetId="7">#REF!</definedName>
    <definedName name="IH1C9" localSheetId="9">#REF!</definedName>
    <definedName name="IH1C9" localSheetId="10">#REF!</definedName>
    <definedName name="IH1C9" localSheetId="15">#REF!</definedName>
    <definedName name="IH1C9" localSheetId="19">#REF!</definedName>
    <definedName name="IH1C9" localSheetId="20">#REF!</definedName>
    <definedName name="IH1C9" localSheetId="24">#REF!</definedName>
    <definedName name="IH1C9" localSheetId="104">#REF!</definedName>
    <definedName name="IH1C9" localSheetId="65">#REF!</definedName>
    <definedName name="IH1C9" localSheetId="64">#REF!</definedName>
    <definedName name="IH1C9" localSheetId="77">#REF!</definedName>
    <definedName name="IH1C9" localSheetId="49">#REF!</definedName>
    <definedName name="IH1C9" localSheetId="40">#REF!</definedName>
    <definedName name="IH1C9" localSheetId="43">#REF!</definedName>
    <definedName name="IH1C9" localSheetId="13">#REF!</definedName>
    <definedName name="IH1C9" localSheetId="38">#REF!</definedName>
    <definedName name="IH1C9">#REF!</definedName>
    <definedName name="IH2C1" localSheetId="3">#REF!</definedName>
    <definedName name="IH2C1" localSheetId="7">#REF!</definedName>
    <definedName name="IH2C1" localSheetId="9">#REF!</definedName>
    <definedName name="IH2C1" localSheetId="10">#REF!</definedName>
    <definedName name="IH2C1" localSheetId="15">#REF!</definedName>
    <definedName name="IH2C1" localSheetId="19">#REF!</definedName>
    <definedName name="IH2C1" localSheetId="20">#REF!</definedName>
    <definedName name="IH2C1" localSheetId="24">#REF!</definedName>
    <definedName name="IH2C1" localSheetId="104">#REF!</definedName>
    <definedName name="IH2C1" localSheetId="65">#REF!</definedName>
    <definedName name="IH2C1" localSheetId="64">#REF!</definedName>
    <definedName name="IH2C1" localSheetId="77">#REF!</definedName>
    <definedName name="IH2C1" localSheetId="49">#REF!</definedName>
    <definedName name="IH2C1" localSheetId="40">#REF!</definedName>
    <definedName name="IH2C1" localSheetId="43">#REF!</definedName>
    <definedName name="IH2C1" localSheetId="13">#REF!</definedName>
    <definedName name="IH2C1" localSheetId="38">#REF!</definedName>
    <definedName name="IH2C1">#REF!</definedName>
    <definedName name="IH2C10" localSheetId="3">#REF!</definedName>
    <definedName name="IH2C10" localSheetId="7">#REF!</definedName>
    <definedName name="IH2C10" localSheetId="9">#REF!</definedName>
    <definedName name="IH2C10" localSheetId="10">#REF!</definedName>
    <definedName name="IH2C10" localSheetId="15">#REF!</definedName>
    <definedName name="IH2C10" localSheetId="19">#REF!</definedName>
    <definedName name="IH2C10" localSheetId="20">#REF!</definedName>
    <definedName name="IH2C10" localSheetId="24">#REF!</definedName>
    <definedName name="IH2C10" localSheetId="104">#REF!</definedName>
    <definedName name="IH2C10" localSheetId="65">#REF!</definedName>
    <definedName name="IH2C10" localSheetId="64">#REF!</definedName>
    <definedName name="IH2C10" localSheetId="77">#REF!</definedName>
    <definedName name="IH2C10" localSheetId="49">#REF!</definedName>
    <definedName name="IH2C10" localSheetId="40">#REF!</definedName>
    <definedName name="IH2C10" localSheetId="43">#REF!</definedName>
    <definedName name="IH2C10" localSheetId="13">#REF!</definedName>
    <definedName name="IH2C10" localSheetId="38">#REF!</definedName>
    <definedName name="IH2C10">#REF!</definedName>
    <definedName name="IH2C11" localSheetId="3">#REF!</definedName>
    <definedName name="IH2C11" localSheetId="7">#REF!</definedName>
    <definedName name="IH2C11" localSheetId="9">#REF!</definedName>
    <definedName name="IH2C11" localSheetId="10">#REF!</definedName>
    <definedName name="IH2C11" localSheetId="15">#REF!</definedName>
    <definedName name="IH2C11" localSheetId="19">#REF!</definedName>
    <definedName name="IH2C11" localSheetId="20">#REF!</definedName>
    <definedName name="IH2C11" localSheetId="24">#REF!</definedName>
    <definedName name="IH2C11" localSheetId="104">#REF!</definedName>
    <definedName name="IH2C11" localSheetId="65">#REF!</definedName>
    <definedName name="IH2C11" localSheetId="64">#REF!</definedName>
    <definedName name="IH2C11" localSheetId="77">#REF!</definedName>
    <definedName name="IH2C11" localSheetId="49">#REF!</definedName>
    <definedName name="IH2C11" localSheetId="40">#REF!</definedName>
    <definedName name="IH2C11" localSheetId="43">#REF!</definedName>
    <definedName name="IH2C11" localSheetId="13">#REF!</definedName>
    <definedName name="IH2C11" localSheetId="38">#REF!</definedName>
    <definedName name="IH2C11">#REF!</definedName>
    <definedName name="IH2C12" localSheetId="3">#REF!</definedName>
    <definedName name="IH2C12" localSheetId="7">#REF!</definedName>
    <definedName name="IH2C12" localSheetId="9">#REF!</definedName>
    <definedName name="IH2C12" localSheetId="10">#REF!</definedName>
    <definedName name="IH2C12" localSheetId="15">#REF!</definedName>
    <definedName name="IH2C12" localSheetId="19">#REF!</definedName>
    <definedName name="IH2C12" localSheetId="20">#REF!</definedName>
    <definedName name="IH2C12" localSheetId="24">#REF!</definedName>
    <definedName name="IH2C12" localSheetId="104">#REF!</definedName>
    <definedName name="IH2C12" localSheetId="65">#REF!</definedName>
    <definedName name="IH2C12" localSheetId="64">#REF!</definedName>
    <definedName name="IH2C12" localSheetId="77">#REF!</definedName>
    <definedName name="IH2C12" localSheetId="49">#REF!</definedName>
    <definedName name="IH2C12" localSheetId="40">#REF!</definedName>
    <definedName name="IH2C12" localSheetId="43">#REF!</definedName>
    <definedName name="IH2C12" localSheetId="13">#REF!</definedName>
    <definedName name="IH2C12" localSheetId="38">#REF!</definedName>
    <definedName name="IH2C12">#REF!</definedName>
    <definedName name="IH2C13" localSheetId="3">#REF!</definedName>
    <definedName name="IH2C13" localSheetId="7">#REF!</definedName>
    <definedName name="IH2C13" localSheetId="9">#REF!</definedName>
    <definedName name="IH2C13" localSheetId="10">#REF!</definedName>
    <definedName name="IH2C13" localSheetId="15">#REF!</definedName>
    <definedName name="IH2C13" localSheetId="19">#REF!</definedName>
    <definedName name="IH2C13" localSheetId="20">#REF!</definedName>
    <definedName name="IH2C13" localSheetId="24">#REF!</definedName>
    <definedName name="IH2C13" localSheetId="104">#REF!</definedName>
    <definedName name="IH2C13" localSheetId="65">#REF!</definedName>
    <definedName name="IH2C13" localSheetId="64">#REF!</definedName>
    <definedName name="IH2C13" localSheetId="77">#REF!</definedName>
    <definedName name="IH2C13" localSheetId="49">#REF!</definedName>
    <definedName name="IH2C13" localSheetId="40">#REF!</definedName>
    <definedName name="IH2C13" localSheetId="43">#REF!</definedName>
    <definedName name="IH2C13" localSheetId="13">#REF!</definedName>
    <definedName name="IH2C13" localSheetId="38">#REF!</definedName>
    <definedName name="IH2C13">#REF!</definedName>
    <definedName name="IH2C14" localSheetId="3">#REF!</definedName>
    <definedName name="IH2C14" localSheetId="7">#REF!</definedName>
    <definedName name="IH2C14" localSheetId="9">#REF!</definedName>
    <definedName name="IH2C14" localSheetId="10">#REF!</definedName>
    <definedName name="IH2C14" localSheetId="15">#REF!</definedName>
    <definedName name="IH2C14" localSheetId="19">#REF!</definedName>
    <definedName name="IH2C14" localSheetId="20">#REF!</definedName>
    <definedName name="IH2C14" localSheetId="24">#REF!</definedName>
    <definedName name="IH2C14" localSheetId="104">#REF!</definedName>
    <definedName name="IH2C14" localSheetId="65">#REF!</definedName>
    <definedName name="IH2C14" localSheetId="64">#REF!</definedName>
    <definedName name="IH2C14" localSheetId="77">#REF!</definedName>
    <definedName name="IH2C14" localSheetId="49">#REF!</definedName>
    <definedName name="IH2C14" localSheetId="40">#REF!</definedName>
    <definedName name="IH2C14" localSheetId="43">#REF!</definedName>
    <definedName name="IH2C14" localSheetId="13">#REF!</definedName>
    <definedName name="IH2C14" localSheetId="38">#REF!</definedName>
    <definedName name="IH2C14">#REF!</definedName>
    <definedName name="IH2C15" localSheetId="3">#REF!</definedName>
    <definedName name="IH2C15" localSheetId="7">#REF!</definedName>
    <definedName name="IH2C15" localSheetId="9">#REF!</definedName>
    <definedName name="IH2C15" localSheetId="10">#REF!</definedName>
    <definedName name="IH2C15" localSheetId="15">#REF!</definedName>
    <definedName name="IH2C15" localSheetId="19">#REF!</definedName>
    <definedName name="IH2C15" localSheetId="20">#REF!</definedName>
    <definedName name="IH2C15" localSheetId="24">#REF!</definedName>
    <definedName name="IH2C15" localSheetId="104">#REF!</definedName>
    <definedName name="IH2C15" localSheetId="65">#REF!</definedName>
    <definedName name="IH2C15" localSheetId="64">#REF!</definedName>
    <definedName name="IH2C15" localSheetId="77">#REF!</definedName>
    <definedName name="IH2C15" localSheetId="49">#REF!</definedName>
    <definedName name="IH2C15" localSheetId="40">#REF!</definedName>
    <definedName name="IH2C15" localSheetId="43">#REF!</definedName>
    <definedName name="IH2C15" localSheetId="13">#REF!</definedName>
    <definedName name="IH2C15" localSheetId="38">#REF!</definedName>
    <definedName name="IH2C15">#REF!</definedName>
    <definedName name="IH2C2" localSheetId="3">#REF!</definedName>
    <definedName name="IH2C2" localSheetId="7">#REF!</definedName>
    <definedName name="IH2C2" localSheetId="9">#REF!</definedName>
    <definedName name="IH2C2" localSheetId="10">#REF!</definedName>
    <definedName name="IH2C2" localSheetId="15">#REF!</definedName>
    <definedName name="IH2C2" localSheetId="19">#REF!</definedName>
    <definedName name="IH2C2" localSheetId="20">#REF!</definedName>
    <definedName name="IH2C2" localSheetId="24">#REF!</definedName>
    <definedName name="IH2C2" localSheetId="104">#REF!</definedName>
    <definedName name="IH2C2" localSheetId="65">#REF!</definedName>
    <definedName name="IH2C2" localSheetId="64">#REF!</definedName>
    <definedName name="IH2C2" localSheetId="77">#REF!</definedName>
    <definedName name="IH2C2" localSheetId="49">#REF!</definedName>
    <definedName name="IH2C2" localSheetId="40">#REF!</definedName>
    <definedName name="IH2C2" localSheetId="43">#REF!</definedName>
    <definedName name="IH2C2" localSheetId="13">#REF!</definedName>
    <definedName name="IH2C2" localSheetId="38">#REF!</definedName>
    <definedName name="IH2C2">#REF!</definedName>
    <definedName name="IH2C3" localSheetId="3">#REF!</definedName>
    <definedName name="IH2C3" localSheetId="7">#REF!</definedName>
    <definedName name="IH2C3" localSheetId="9">#REF!</definedName>
    <definedName name="IH2C3" localSheetId="10">#REF!</definedName>
    <definedName name="IH2C3" localSheetId="15">#REF!</definedName>
    <definedName name="IH2C3" localSheetId="19">#REF!</definedName>
    <definedName name="IH2C3" localSheetId="20">#REF!</definedName>
    <definedName name="IH2C3" localSheetId="24">#REF!</definedName>
    <definedName name="IH2C3" localSheetId="104">#REF!</definedName>
    <definedName name="IH2C3" localSheetId="65">#REF!</definedName>
    <definedName name="IH2C3" localSheetId="64">#REF!</definedName>
    <definedName name="IH2C3" localSheetId="77">#REF!</definedName>
    <definedName name="IH2C3" localSheetId="49">#REF!</definedName>
    <definedName name="IH2C3" localSheetId="40">#REF!</definedName>
    <definedName name="IH2C3" localSheetId="43">#REF!</definedName>
    <definedName name="IH2C3" localSheetId="13">#REF!</definedName>
    <definedName name="IH2C3" localSheetId="38">#REF!</definedName>
    <definedName name="IH2C3">#REF!</definedName>
    <definedName name="IH2C4" localSheetId="3">#REF!</definedName>
    <definedName name="IH2C4" localSheetId="7">#REF!</definedName>
    <definedName name="IH2C4" localSheetId="9">#REF!</definedName>
    <definedName name="IH2C4" localSheetId="10">#REF!</definedName>
    <definedName name="IH2C4" localSheetId="15">#REF!</definedName>
    <definedName name="IH2C4" localSheetId="19">#REF!</definedName>
    <definedName name="IH2C4" localSheetId="20">#REF!</definedName>
    <definedName name="IH2C4" localSheetId="24">#REF!</definedName>
    <definedName name="IH2C4" localSheetId="104">#REF!</definedName>
    <definedName name="IH2C4" localSheetId="65">#REF!</definedName>
    <definedName name="IH2C4" localSheetId="64">#REF!</definedName>
    <definedName name="IH2C4" localSheetId="77">#REF!</definedName>
    <definedName name="IH2C4" localSheetId="49">#REF!</definedName>
    <definedName name="IH2C4" localSheetId="40">#REF!</definedName>
    <definedName name="IH2C4" localSheetId="43">#REF!</definedName>
    <definedName name="IH2C4" localSheetId="13">#REF!</definedName>
    <definedName name="IH2C4" localSheetId="38">#REF!</definedName>
    <definedName name="IH2C4">#REF!</definedName>
    <definedName name="IH2C5" localSheetId="3">#REF!</definedName>
    <definedName name="IH2C5" localSheetId="7">#REF!</definedName>
    <definedName name="IH2C5" localSheetId="9">#REF!</definedName>
    <definedName name="IH2C5" localSheetId="10">#REF!</definedName>
    <definedName name="IH2C5" localSheetId="15">#REF!</definedName>
    <definedName name="IH2C5" localSheetId="19">#REF!</definedName>
    <definedName name="IH2C5" localSheetId="20">#REF!</definedName>
    <definedName name="IH2C5" localSheetId="24">#REF!</definedName>
    <definedName name="IH2C5" localSheetId="104">#REF!</definedName>
    <definedName name="IH2C5" localSheetId="65">#REF!</definedName>
    <definedName name="IH2C5" localSheetId="64">#REF!</definedName>
    <definedName name="IH2C5" localSheetId="77">#REF!</definedName>
    <definedName name="IH2C5" localSheetId="49">#REF!</definedName>
    <definedName name="IH2C5" localSheetId="40">#REF!</definedName>
    <definedName name="IH2C5" localSheetId="43">#REF!</definedName>
    <definedName name="IH2C5" localSheetId="13">#REF!</definedName>
    <definedName name="IH2C5" localSheetId="38">#REF!</definedName>
    <definedName name="IH2C5">#REF!</definedName>
    <definedName name="IH2C6" localSheetId="3">#REF!</definedName>
    <definedName name="IH2C6" localSheetId="7">#REF!</definedName>
    <definedName name="IH2C6" localSheetId="9">#REF!</definedName>
    <definedName name="IH2C6" localSheetId="10">#REF!</definedName>
    <definedName name="IH2C6" localSheetId="15">#REF!</definedName>
    <definedName name="IH2C6" localSheetId="19">#REF!</definedName>
    <definedName name="IH2C6" localSheetId="20">#REF!</definedName>
    <definedName name="IH2C6" localSheetId="24">#REF!</definedName>
    <definedName name="IH2C6" localSheetId="104">#REF!</definedName>
    <definedName name="IH2C6" localSheetId="65">#REF!</definedName>
    <definedName name="IH2C6" localSheetId="64">#REF!</definedName>
    <definedName name="IH2C6" localSheetId="77">#REF!</definedName>
    <definedName name="IH2C6" localSheetId="49">#REF!</definedName>
    <definedName name="IH2C6" localSheetId="40">#REF!</definedName>
    <definedName name="IH2C6" localSheetId="43">#REF!</definedName>
    <definedName name="IH2C6" localSheetId="13">#REF!</definedName>
    <definedName name="IH2C6" localSheetId="38">#REF!</definedName>
    <definedName name="IH2C6">#REF!</definedName>
    <definedName name="IH2C7" localSheetId="3">#REF!</definedName>
    <definedName name="IH2C7" localSheetId="7">#REF!</definedName>
    <definedName name="IH2C7" localSheetId="9">#REF!</definedName>
    <definedName name="IH2C7" localSheetId="10">#REF!</definedName>
    <definedName name="IH2C7" localSheetId="15">#REF!</definedName>
    <definedName name="IH2C7" localSheetId="19">#REF!</definedName>
    <definedName name="IH2C7" localSheetId="20">#REF!</definedName>
    <definedName name="IH2C7" localSheetId="24">#REF!</definedName>
    <definedName name="IH2C7" localSheetId="104">#REF!</definedName>
    <definedName name="IH2C7" localSheetId="65">#REF!</definedName>
    <definedName name="IH2C7" localSheetId="64">#REF!</definedName>
    <definedName name="IH2C7" localSheetId="77">#REF!</definedName>
    <definedName name="IH2C7" localSheetId="49">#REF!</definedName>
    <definedName name="IH2C7" localSheetId="40">#REF!</definedName>
    <definedName name="IH2C7" localSheetId="43">#REF!</definedName>
    <definedName name="IH2C7" localSheetId="13">#REF!</definedName>
    <definedName name="IH2C7" localSheetId="38">#REF!</definedName>
    <definedName name="IH2C7">#REF!</definedName>
    <definedName name="IH2C8" localSheetId="3">#REF!</definedName>
    <definedName name="IH2C8" localSheetId="7">#REF!</definedName>
    <definedName name="IH2C8" localSheetId="9">#REF!</definedName>
    <definedName name="IH2C8" localSheetId="10">#REF!</definedName>
    <definedName name="IH2C8" localSheetId="15">#REF!</definedName>
    <definedName name="IH2C8" localSheetId="19">#REF!</definedName>
    <definedName name="IH2C8" localSheetId="20">#REF!</definedName>
    <definedName name="IH2C8" localSheetId="24">#REF!</definedName>
    <definedName name="IH2C8" localSheetId="104">#REF!</definedName>
    <definedName name="IH2C8" localSheetId="65">#REF!</definedName>
    <definedName name="IH2C8" localSheetId="64">#REF!</definedName>
    <definedName name="IH2C8" localSheetId="77">#REF!</definedName>
    <definedName name="IH2C8" localSheetId="49">#REF!</definedName>
    <definedName name="IH2C8" localSheetId="40">#REF!</definedName>
    <definedName name="IH2C8" localSheetId="43">#REF!</definedName>
    <definedName name="IH2C8" localSheetId="13">#REF!</definedName>
    <definedName name="IH2C8" localSheetId="38">#REF!</definedName>
    <definedName name="IH2C8">#REF!</definedName>
    <definedName name="IH2C9" localSheetId="3">#REF!</definedName>
    <definedName name="IH2C9" localSheetId="7">#REF!</definedName>
    <definedName name="IH2C9" localSheetId="9">#REF!</definedName>
    <definedName name="IH2C9" localSheetId="10">#REF!</definedName>
    <definedName name="IH2C9" localSheetId="15">#REF!</definedName>
    <definedName name="IH2C9" localSheetId="19">#REF!</definedName>
    <definedName name="IH2C9" localSheetId="20">#REF!</definedName>
    <definedName name="IH2C9" localSheetId="24">#REF!</definedName>
    <definedName name="IH2C9" localSheetId="104">#REF!</definedName>
    <definedName name="IH2C9" localSheetId="65">#REF!</definedName>
    <definedName name="IH2C9" localSheetId="64">#REF!</definedName>
    <definedName name="IH2C9" localSheetId="77">#REF!</definedName>
    <definedName name="IH2C9" localSheetId="49">#REF!</definedName>
    <definedName name="IH2C9" localSheetId="40">#REF!</definedName>
    <definedName name="IH2C9" localSheetId="43">#REF!</definedName>
    <definedName name="IH2C9" localSheetId="13">#REF!</definedName>
    <definedName name="IH2C9" localSheetId="38">#REF!</definedName>
    <definedName name="IH2C9">#REF!</definedName>
    <definedName name="IH3C1" localSheetId="3">#REF!</definedName>
    <definedName name="IH3C1" localSheetId="7">#REF!</definedName>
    <definedName name="IH3C1" localSheetId="9">#REF!</definedName>
    <definedName name="IH3C1" localSheetId="10">#REF!</definedName>
    <definedName name="IH3C1" localSheetId="15">#REF!</definedName>
    <definedName name="IH3C1" localSheetId="19">#REF!</definedName>
    <definedName name="IH3C1" localSheetId="20">#REF!</definedName>
    <definedName name="IH3C1" localSheetId="24">#REF!</definedName>
    <definedName name="IH3C1" localSheetId="104">#REF!</definedName>
    <definedName name="IH3C1" localSheetId="65">#REF!</definedName>
    <definedName name="IH3C1" localSheetId="64">#REF!</definedName>
    <definedName name="IH3C1" localSheetId="77">#REF!</definedName>
    <definedName name="IH3C1" localSheetId="49">#REF!</definedName>
    <definedName name="IH3C1" localSheetId="40">#REF!</definedName>
    <definedName name="IH3C1" localSheetId="43">#REF!</definedName>
    <definedName name="IH3C1" localSheetId="13">#REF!</definedName>
    <definedName name="IH3C1" localSheetId="38">#REF!</definedName>
    <definedName name="IH3C1">#REF!</definedName>
    <definedName name="IH3C10" localSheetId="3">#REF!</definedName>
    <definedName name="IH3C10" localSheetId="7">#REF!</definedName>
    <definedName name="IH3C10" localSheetId="9">#REF!</definedName>
    <definedName name="IH3C10" localSheetId="10">#REF!</definedName>
    <definedName name="IH3C10" localSheetId="15">#REF!</definedName>
    <definedName name="IH3C10" localSheetId="19">#REF!</definedName>
    <definedName name="IH3C10" localSheetId="20">#REF!</definedName>
    <definedName name="IH3C10" localSheetId="24">#REF!</definedName>
    <definedName name="IH3C10" localSheetId="104">#REF!</definedName>
    <definedName name="IH3C10" localSheetId="65">#REF!</definedName>
    <definedName name="IH3C10" localSheetId="64">#REF!</definedName>
    <definedName name="IH3C10" localSheetId="77">#REF!</definedName>
    <definedName name="IH3C10" localSheetId="49">#REF!</definedName>
    <definedName name="IH3C10" localSheetId="40">#REF!</definedName>
    <definedName name="IH3C10" localSheetId="43">#REF!</definedName>
    <definedName name="IH3C10" localSheetId="13">#REF!</definedName>
    <definedName name="IH3C10" localSheetId="38">#REF!</definedName>
    <definedName name="IH3C10">#REF!</definedName>
    <definedName name="IH3C11" localSheetId="3">#REF!</definedName>
    <definedName name="IH3C11" localSheetId="7">#REF!</definedName>
    <definedName name="IH3C11" localSheetId="9">#REF!</definedName>
    <definedName name="IH3C11" localSheetId="10">#REF!</definedName>
    <definedName name="IH3C11" localSheetId="15">#REF!</definedName>
    <definedName name="IH3C11" localSheetId="19">#REF!</definedName>
    <definedName name="IH3C11" localSheetId="20">#REF!</definedName>
    <definedName name="IH3C11" localSheetId="24">#REF!</definedName>
    <definedName name="IH3C11" localSheetId="104">#REF!</definedName>
    <definedName name="IH3C11" localSheetId="65">#REF!</definedName>
    <definedName name="IH3C11" localSheetId="64">#REF!</definedName>
    <definedName name="IH3C11" localSheetId="77">#REF!</definedName>
    <definedName name="IH3C11" localSheetId="49">#REF!</definedName>
    <definedName name="IH3C11" localSheetId="40">#REF!</definedName>
    <definedName name="IH3C11" localSheetId="43">#REF!</definedName>
    <definedName name="IH3C11" localSheetId="13">#REF!</definedName>
    <definedName name="IH3C11" localSheetId="38">#REF!</definedName>
    <definedName name="IH3C11">#REF!</definedName>
    <definedName name="IH3C12" localSheetId="3">#REF!</definedName>
    <definedName name="IH3C12" localSheetId="7">#REF!</definedName>
    <definedName name="IH3C12" localSheetId="9">#REF!</definedName>
    <definedName name="IH3C12" localSheetId="10">#REF!</definedName>
    <definedName name="IH3C12" localSheetId="15">#REF!</definedName>
    <definedName name="IH3C12" localSheetId="19">#REF!</definedName>
    <definedName name="IH3C12" localSheetId="20">#REF!</definedName>
    <definedName name="IH3C12" localSheetId="24">#REF!</definedName>
    <definedName name="IH3C12" localSheetId="104">#REF!</definedName>
    <definedName name="IH3C12" localSheetId="65">#REF!</definedName>
    <definedName name="IH3C12" localSheetId="64">#REF!</definedName>
    <definedName name="IH3C12" localSheetId="77">#REF!</definedName>
    <definedName name="IH3C12" localSheetId="49">#REF!</definedName>
    <definedName name="IH3C12" localSheetId="40">#REF!</definedName>
    <definedName name="IH3C12" localSheetId="43">#REF!</definedName>
    <definedName name="IH3C12" localSheetId="13">#REF!</definedName>
    <definedName name="IH3C12" localSheetId="38">#REF!</definedName>
    <definedName name="IH3C12">#REF!</definedName>
    <definedName name="IH3C13" localSheetId="3">#REF!</definedName>
    <definedName name="IH3C13" localSheetId="7">#REF!</definedName>
    <definedName name="IH3C13" localSheetId="9">#REF!</definedName>
    <definedName name="IH3C13" localSheetId="10">#REF!</definedName>
    <definedName name="IH3C13" localSheetId="15">#REF!</definedName>
    <definedName name="IH3C13" localSheetId="19">#REF!</definedName>
    <definedName name="IH3C13" localSheetId="20">#REF!</definedName>
    <definedName name="IH3C13" localSheetId="24">#REF!</definedName>
    <definedName name="IH3C13" localSheetId="104">#REF!</definedName>
    <definedName name="IH3C13" localSheetId="65">#REF!</definedName>
    <definedName name="IH3C13" localSheetId="64">#REF!</definedName>
    <definedName name="IH3C13" localSheetId="77">#REF!</definedName>
    <definedName name="IH3C13" localSheetId="49">#REF!</definedName>
    <definedName name="IH3C13" localSheetId="40">#REF!</definedName>
    <definedName name="IH3C13" localSheetId="43">#REF!</definedName>
    <definedName name="IH3C13" localSheetId="13">#REF!</definedName>
    <definedName name="IH3C13" localSheetId="38">#REF!</definedName>
    <definedName name="IH3C13">#REF!</definedName>
    <definedName name="IH3C14" localSheetId="3">#REF!</definedName>
    <definedName name="IH3C14" localSheetId="7">#REF!</definedName>
    <definedName name="IH3C14" localSheetId="9">#REF!</definedName>
    <definedName name="IH3C14" localSheetId="10">#REF!</definedName>
    <definedName name="IH3C14" localSheetId="15">#REF!</definedName>
    <definedName name="IH3C14" localSheetId="19">#REF!</definedName>
    <definedName name="IH3C14" localSheetId="20">#REF!</definedName>
    <definedName name="IH3C14" localSheetId="24">#REF!</definedName>
    <definedName name="IH3C14" localSheetId="104">#REF!</definedName>
    <definedName name="IH3C14" localSheetId="65">#REF!</definedName>
    <definedName name="IH3C14" localSheetId="64">#REF!</definedName>
    <definedName name="IH3C14" localSheetId="77">#REF!</definedName>
    <definedName name="IH3C14" localSheetId="49">#REF!</definedName>
    <definedName name="IH3C14" localSheetId="40">#REF!</definedName>
    <definedName name="IH3C14" localSheetId="43">#REF!</definedName>
    <definedName name="IH3C14" localSheetId="13">#REF!</definedName>
    <definedName name="IH3C14" localSheetId="38">#REF!</definedName>
    <definedName name="IH3C14">#REF!</definedName>
    <definedName name="IH3C15" localSheetId="3">#REF!</definedName>
    <definedName name="IH3C15" localSheetId="7">#REF!</definedName>
    <definedName name="IH3C15" localSheetId="9">#REF!</definedName>
    <definedName name="IH3C15" localSheetId="10">#REF!</definedName>
    <definedName name="IH3C15" localSheetId="15">#REF!</definedName>
    <definedName name="IH3C15" localSheetId="19">#REF!</definedName>
    <definedName name="IH3C15" localSheetId="20">#REF!</definedName>
    <definedName name="IH3C15" localSheetId="24">#REF!</definedName>
    <definedName name="IH3C15" localSheetId="104">#REF!</definedName>
    <definedName name="IH3C15" localSheetId="65">#REF!</definedName>
    <definedName name="IH3C15" localSheetId="64">#REF!</definedName>
    <definedName name="IH3C15" localSheetId="77">#REF!</definedName>
    <definedName name="IH3C15" localSheetId="49">#REF!</definedName>
    <definedName name="IH3C15" localSheetId="40">#REF!</definedName>
    <definedName name="IH3C15" localSheetId="43">#REF!</definedName>
    <definedName name="IH3C15" localSheetId="13">#REF!</definedName>
    <definedName name="IH3C15" localSheetId="38">#REF!</definedName>
    <definedName name="IH3C15">#REF!</definedName>
    <definedName name="IH3C2" localSheetId="3">#REF!</definedName>
    <definedName name="IH3C2" localSheetId="7">#REF!</definedName>
    <definedName name="IH3C2" localSheetId="9">#REF!</definedName>
    <definedName name="IH3C2" localSheetId="10">#REF!</definedName>
    <definedName name="IH3C2" localSheetId="15">#REF!</definedName>
    <definedName name="IH3C2" localSheetId="19">#REF!</definedName>
    <definedName name="IH3C2" localSheetId="20">#REF!</definedName>
    <definedName name="IH3C2" localSheetId="24">#REF!</definedName>
    <definedName name="IH3C2" localSheetId="104">#REF!</definedName>
    <definedName name="IH3C2" localSheetId="65">#REF!</definedName>
    <definedName name="IH3C2" localSheetId="64">#REF!</definedName>
    <definedName name="IH3C2" localSheetId="77">#REF!</definedName>
    <definedName name="IH3C2" localSheetId="49">#REF!</definedName>
    <definedName name="IH3C2" localSheetId="40">#REF!</definedName>
    <definedName name="IH3C2" localSheetId="43">#REF!</definedName>
    <definedName name="IH3C2" localSheetId="13">#REF!</definedName>
    <definedName name="IH3C2" localSheetId="38">#REF!</definedName>
    <definedName name="IH3C2">#REF!</definedName>
    <definedName name="IH3C3" localSheetId="3">#REF!</definedName>
    <definedName name="IH3C3" localSheetId="7">#REF!</definedName>
    <definedName name="IH3C3" localSheetId="9">#REF!</definedName>
    <definedName name="IH3C3" localSheetId="10">#REF!</definedName>
    <definedName name="IH3C3" localSheetId="15">#REF!</definedName>
    <definedName name="IH3C3" localSheetId="19">#REF!</definedName>
    <definedName name="IH3C3" localSheetId="20">#REF!</definedName>
    <definedName name="IH3C3" localSheetId="24">#REF!</definedName>
    <definedName name="IH3C3" localSheetId="104">#REF!</definedName>
    <definedName name="IH3C3" localSheetId="65">#REF!</definedName>
    <definedName name="IH3C3" localSheetId="64">#REF!</definedName>
    <definedName name="IH3C3" localSheetId="77">#REF!</definedName>
    <definedName name="IH3C3" localSheetId="49">#REF!</definedName>
    <definedName name="IH3C3" localSheetId="40">#REF!</definedName>
    <definedName name="IH3C3" localSheetId="43">#REF!</definedName>
    <definedName name="IH3C3" localSheetId="13">#REF!</definedName>
    <definedName name="IH3C3" localSheetId="38">#REF!</definedName>
    <definedName name="IH3C3">#REF!</definedName>
    <definedName name="IH3C4" localSheetId="3">#REF!</definedName>
    <definedName name="IH3C4" localSheetId="7">#REF!</definedName>
    <definedName name="IH3C4" localSheetId="9">#REF!</definedName>
    <definedName name="IH3C4" localSheetId="10">#REF!</definedName>
    <definedName name="IH3C4" localSheetId="15">#REF!</definedName>
    <definedName name="IH3C4" localSheetId="19">#REF!</definedName>
    <definedName name="IH3C4" localSheetId="20">#REF!</definedName>
    <definedName name="IH3C4" localSheetId="24">#REF!</definedName>
    <definedName name="IH3C4" localSheetId="104">#REF!</definedName>
    <definedName name="IH3C4" localSheetId="65">#REF!</definedName>
    <definedName name="IH3C4" localSheetId="64">#REF!</definedName>
    <definedName name="IH3C4" localSheetId="77">#REF!</definedName>
    <definedName name="IH3C4" localSheetId="49">#REF!</definedName>
    <definedName name="IH3C4" localSheetId="40">#REF!</definedName>
    <definedName name="IH3C4" localSheetId="43">#REF!</definedName>
    <definedName name="IH3C4" localSheetId="13">#REF!</definedName>
    <definedName name="IH3C4" localSheetId="38">#REF!</definedName>
    <definedName name="IH3C4">#REF!</definedName>
    <definedName name="IH3C5" localSheetId="3">#REF!</definedName>
    <definedName name="IH3C5" localSheetId="7">#REF!</definedName>
    <definedName name="IH3C5" localSheetId="9">#REF!</definedName>
    <definedName name="IH3C5" localSheetId="10">#REF!</definedName>
    <definedName name="IH3C5" localSheetId="15">#REF!</definedName>
    <definedName name="IH3C5" localSheetId="19">#REF!</definedName>
    <definedName name="IH3C5" localSheetId="20">#REF!</definedName>
    <definedName name="IH3C5" localSheetId="24">#REF!</definedName>
    <definedName name="IH3C5" localSheetId="104">#REF!</definedName>
    <definedName name="IH3C5" localSheetId="65">#REF!</definedName>
    <definedName name="IH3C5" localSheetId="64">#REF!</definedName>
    <definedName name="IH3C5" localSheetId="77">#REF!</definedName>
    <definedName name="IH3C5" localSheetId="49">#REF!</definedName>
    <definedName name="IH3C5" localSheetId="40">#REF!</definedName>
    <definedName name="IH3C5" localSheetId="43">#REF!</definedName>
    <definedName name="IH3C5" localSheetId="13">#REF!</definedName>
    <definedName name="IH3C5" localSheetId="38">#REF!</definedName>
    <definedName name="IH3C5">#REF!</definedName>
    <definedName name="IH3C6" localSheetId="3">#REF!</definedName>
    <definedName name="IH3C6" localSheetId="7">#REF!</definedName>
    <definedName name="IH3C6" localSheetId="9">#REF!</definedName>
    <definedName name="IH3C6" localSheetId="10">#REF!</definedName>
    <definedName name="IH3C6" localSheetId="15">#REF!</definedName>
    <definedName name="IH3C6" localSheetId="19">#REF!</definedName>
    <definedName name="IH3C6" localSheetId="20">#REF!</definedName>
    <definedName name="IH3C6" localSheetId="24">#REF!</definedName>
    <definedName name="IH3C6" localSheetId="104">#REF!</definedName>
    <definedName name="IH3C6" localSheetId="65">#REF!</definedName>
    <definedName name="IH3C6" localSheetId="64">#REF!</definedName>
    <definedName name="IH3C6" localSheetId="77">#REF!</definedName>
    <definedName name="IH3C6" localSheetId="49">#REF!</definedName>
    <definedName name="IH3C6" localSheetId="40">#REF!</definedName>
    <definedName name="IH3C6" localSheetId="43">#REF!</definedName>
    <definedName name="IH3C6" localSheetId="13">#REF!</definedName>
    <definedName name="IH3C6" localSheetId="38">#REF!</definedName>
    <definedName name="IH3C6">#REF!</definedName>
    <definedName name="IH3C7" localSheetId="3">#REF!</definedName>
    <definedName name="IH3C7" localSheetId="7">#REF!</definedName>
    <definedName name="IH3C7" localSheetId="9">#REF!</definedName>
    <definedName name="IH3C7" localSheetId="10">#REF!</definedName>
    <definedName name="IH3C7" localSheetId="15">#REF!</definedName>
    <definedName name="IH3C7" localSheetId="19">#REF!</definedName>
    <definedName name="IH3C7" localSheetId="20">#REF!</definedName>
    <definedName name="IH3C7" localSheetId="24">#REF!</definedName>
    <definedName name="IH3C7" localSheetId="104">#REF!</definedName>
    <definedName name="IH3C7" localSheetId="65">#REF!</definedName>
    <definedName name="IH3C7" localSheetId="64">#REF!</definedName>
    <definedName name="IH3C7" localSheetId="77">#REF!</definedName>
    <definedName name="IH3C7" localSheetId="49">#REF!</definedName>
    <definedName name="IH3C7" localSheetId="40">#REF!</definedName>
    <definedName name="IH3C7" localSheetId="43">#REF!</definedName>
    <definedName name="IH3C7" localSheetId="13">#REF!</definedName>
    <definedName name="IH3C7" localSheetId="38">#REF!</definedName>
    <definedName name="IH3C7">#REF!</definedName>
    <definedName name="IH3C8" localSheetId="3">#REF!</definedName>
    <definedName name="IH3C8" localSheetId="7">#REF!</definedName>
    <definedName name="IH3C8" localSheetId="9">#REF!</definedName>
    <definedName name="IH3C8" localSheetId="10">#REF!</definedName>
    <definedName name="IH3C8" localSheetId="15">#REF!</definedName>
    <definedName name="IH3C8" localSheetId="19">#REF!</definedName>
    <definedName name="IH3C8" localSheetId="20">#REF!</definedName>
    <definedName name="IH3C8" localSheetId="24">#REF!</definedName>
    <definedName name="IH3C8" localSheetId="104">#REF!</definedName>
    <definedName name="IH3C8" localSheetId="65">#REF!</definedName>
    <definedName name="IH3C8" localSheetId="64">#REF!</definedName>
    <definedName name="IH3C8" localSheetId="77">#REF!</definedName>
    <definedName name="IH3C8" localSheetId="49">#REF!</definedName>
    <definedName name="IH3C8" localSheetId="40">#REF!</definedName>
    <definedName name="IH3C8" localSheetId="43">#REF!</definedName>
    <definedName name="IH3C8" localSheetId="13">#REF!</definedName>
    <definedName name="IH3C8" localSheetId="38">#REF!</definedName>
    <definedName name="IH3C8">#REF!</definedName>
    <definedName name="IH3C9" localSheetId="3">#REF!</definedName>
    <definedName name="IH3C9" localSheetId="7">#REF!</definedName>
    <definedName name="IH3C9" localSheetId="9">#REF!</definedName>
    <definedName name="IH3C9" localSheetId="10">#REF!</definedName>
    <definedName name="IH3C9" localSheetId="15">#REF!</definedName>
    <definedName name="IH3C9" localSheetId="19">#REF!</definedName>
    <definedName name="IH3C9" localSheetId="20">#REF!</definedName>
    <definedName name="IH3C9" localSheetId="24">#REF!</definedName>
    <definedName name="IH3C9" localSheetId="104">#REF!</definedName>
    <definedName name="IH3C9" localSheetId="65">#REF!</definedName>
    <definedName name="IH3C9" localSheetId="64">#REF!</definedName>
    <definedName name="IH3C9" localSheetId="77">#REF!</definedName>
    <definedName name="IH3C9" localSheetId="49">#REF!</definedName>
    <definedName name="IH3C9" localSheetId="40">#REF!</definedName>
    <definedName name="IH3C9" localSheetId="43">#REF!</definedName>
    <definedName name="IH3C9" localSheetId="13">#REF!</definedName>
    <definedName name="IH3C9" localSheetId="38">#REF!</definedName>
    <definedName name="IH3C9">#REF!</definedName>
    <definedName name="IH4C1" localSheetId="3">#REF!</definedName>
    <definedName name="IH4C1" localSheetId="7">#REF!</definedName>
    <definedName name="IH4C1" localSheetId="9">#REF!</definedName>
    <definedName name="IH4C1" localSheetId="10">#REF!</definedName>
    <definedName name="IH4C1" localSheetId="15">#REF!</definedName>
    <definedName name="IH4C1" localSheetId="19">#REF!</definedName>
    <definedName name="IH4C1" localSheetId="20">#REF!</definedName>
    <definedName name="IH4C1" localSheetId="24">#REF!</definedName>
    <definedName name="IH4C1" localSheetId="104">#REF!</definedName>
    <definedName name="IH4C1" localSheetId="65">#REF!</definedName>
    <definedName name="IH4C1" localSheetId="64">#REF!</definedName>
    <definedName name="IH4C1" localSheetId="77">#REF!</definedName>
    <definedName name="IH4C1" localSheetId="49">#REF!</definedName>
    <definedName name="IH4C1" localSheetId="40">#REF!</definedName>
    <definedName name="IH4C1" localSheetId="43">#REF!</definedName>
    <definedName name="IH4C1" localSheetId="13">#REF!</definedName>
    <definedName name="IH4C1" localSheetId="38">#REF!</definedName>
    <definedName name="IH4C1">#REF!</definedName>
    <definedName name="IH4C10" localSheetId="3">#REF!</definedName>
    <definedName name="IH4C10" localSheetId="7">#REF!</definedName>
    <definedName name="IH4C10" localSheetId="9">#REF!</definedName>
    <definedName name="IH4C10" localSheetId="10">#REF!</definedName>
    <definedName name="IH4C10" localSheetId="15">#REF!</definedName>
    <definedName name="IH4C10" localSheetId="19">#REF!</definedName>
    <definedName name="IH4C10" localSheetId="20">#REF!</definedName>
    <definedName name="IH4C10" localSheetId="24">#REF!</definedName>
    <definedName name="IH4C10" localSheetId="104">#REF!</definedName>
    <definedName name="IH4C10" localSheetId="65">#REF!</definedName>
    <definedName name="IH4C10" localSheetId="64">#REF!</definedName>
    <definedName name="IH4C10" localSheetId="77">#REF!</definedName>
    <definedName name="IH4C10" localSheetId="49">#REF!</definedName>
    <definedName name="IH4C10" localSheetId="40">#REF!</definedName>
    <definedName name="IH4C10" localSheetId="43">#REF!</definedName>
    <definedName name="IH4C10" localSheetId="13">#REF!</definedName>
    <definedName name="IH4C10" localSheetId="38">#REF!</definedName>
    <definedName name="IH4C10">#REF!</definedName>
    <definedName name="IH4C11" localSheetId="3">#REF!</definedName>
    <definedName name="IH4C11" localSheetId="7">#REF!</definedName>
    <definedName name="IH4C11" localSheetId="9">#REF!</definedName>
    <definedName name="IH4C11" localSheetId="10">#REF!</definedName>
    <definedName name="IH4C11" localSheetId="15">#REF!</definedName>
    <definedName name="IH4C11" localSheetId="19">#REF!</definedName>
    <definedName name="IH4C11" localSheetId="20">#REF!</definedName>
    <definedName name="IH4C11" localSheetId="24">#REF!</definedName>
    <definedName name="IH4C11" localSheetId="104">#REF!</definedName>
    <definedName name="IH4C11" localSheetId="65">#REF!</definedName>
    <definedName name="IH4C11" localSheetId="64">#REF!</definedName>
    <definedName name="IH4C11" localSheetId="77">#REF!</definedName>
    <definedName name="IH4C11" localSheetId="49">#REF!</definedName>
    <definedName name="IH4C11" localSheetId="40">#REF!</definedName>
    <definedName name="IH4C11" localSheetId="43">#REF!</definedName>
    <definedName name="IH4C11" localSheetId="13">#REF!</definedName>
    <definedName name="IH4C11" localSheetId="38">#REF!</definedName>
    <definedName name="IH4C11">#REF!</definedName>
    <definedName name="IH4C12" localSheetId="3">#REF!</definedName>
    <definedName name="IH4C12" localSheetId="7">#REF!</definedName>
    <definedName name="IH4C12" localSheetId="9">#REF!</definedName>
    <definedName name="IH4C12" localSheetId="10">#REF!</definedName>
    <definedName name="IH4C12" localSheetId="15">#REF!</definedName>
    <definedName name="IH4C12" localSheetId="19">#REF!</definedName>
    <definedName name="IH4C12" localSheetId="20">#REF!</definedName>
    <definedName name="IH4C12" localSheetId="24">#REF!</definedName>
    <definedName name="IH4C12" localSheetId="104">#REF!</definedName>
    <definedName name="IH4C12" localSheetId="65">#REF!</definedName>
    <definedName name="IH4C12" localSheetId="64">#REF!</definedName>
    <definedName name="IH4C12" localSheetId="77">#REF!</definedName>
    <definedName name="IH4C12" localSheetId="49">#REF!</definedName>
    <definedName name="IH4C12" localSheetId="40">#REF!</definedName>
    <definedName name="IH4C12" localSheetId="43">#REF!</definedName>
    <definedName name="IH4C12" localSheetId="13">#REF!</definedName>
    <definedName name="IH4C12" localSheetId="38">#REF!</definedName>
    <definedName name="IH4C12">#REF!</definedName>
    <definedName name="IH4C13" localSheetId="3">#REF!</definedName>
    <definedName name="IH4C13" localSheetId="7">#REF!</definedName>
    <definedName name="IH4C13" localSheetId="9">#REF!</definedName>
    <definedName name="IH4C13" localSheetId="10">#REF!</definedName>
    <definedName name="IH4C13" localSheetId="15">#REF!</definedName>
    <definedName name="IH4C13" localSheetId="19">#REF!</definedName>
    <definedName name="IH4C13" localSheetId="20">#REF!</definedName>
    <definedName name="IH4C13" localSheetId="24">#REF!</definedName>
    <definedName name="IH4C13" localSheetId="104">#REF!</definedName>
    <definedName name="IH4C13" localSheetId="65">#REF!</definedName>
    <definedName name="IH4C13" localSheetId="64">#REF!</definedName>
    <definedName name="IH4C13" localSheetId="77">#REF!</definedName>
    <definedName name="IH4C13" localSheetId="49">#REF!</definedName>
    <definedName name="IH4C13" localSheetId="40">#REF!</definedName>
    <definedName name="IH4C13" localSheetId="43">#REF!</definedName>
    <definedName name="IH4C13" localSheetId="13">#REF!</definedName>
    <definedName name="IH4C13" localSheetId="38">#REF!</definedName>
    <definedName name="IH4C13">#REF!</definedName>
    <definedName name="IH4C14" localSheetId="3">#REF!</definedName>
    <definedName name="IH4C14" localSheetId="7">#REF!</definedName>
    <definedName name="IH4C14" localSheetId="9">#REF!</definedName>
    <definedName name="IH4C14" localSheetId="10">#REF!</definedName>
    <definedName name="IH4C14" localSheetId="15">#REF!</definedName>
    <definedName name="IH4C14" localSheetId="19">#REF!</definedName>
    <definedName name="IH4C14" localSheetId="20">#REF!</definedName>
    <definedName name="IH4C14" localSheetId="24">#REF!</definedName>
    <definedName name="IH4C14" localSheetId="104">#REF!</definedName>
    <definedName name="IH4C14" localSheetId="65">#REF!</definedName>
    <definedName name="IH4C14" localSheetId="64">#REF!</definedName>
    <definedName name="IH4C14" localSheetId="77">#REF!</definedName>
    <definedName name="IH4C14" localSheetId="49">#REF!</definedName>
    <definedName name="IH4C14" localSheetId="40">#REF!</definedName>
    <definedName name="IH4C14" localSheetId="43">#REF!</definedName>
    <definedName name="IH4C14" localSheetId="13">#REF!</definedName>
    <definedName name="IH4C14" localSheetId="38">#REF!</definedName>
    <definedName name="IH4C14">#REF!</definedName>
    <definedName name="IH4C15" localSheetId="3">#REF!</definedName>
    <definedName name="IH4C15" localSheetId="7">#REF!</definedName>
    <definedName name="IH4C15" localSheetId="9">#REF!</definedName>
    <definedName name="IH4C15" localSheetId="10">#REF!</definedName>
    <definedName name="IH4C15" localSheetId="15">#REF!</definedName>
    <definedName name="IH4C15" localSheetId="19">#REF!</definedName>
    <definedName name="IH4C15" localSheetId="20">#REF!</definedName>
    <definedName name="IH4C15" localSheetId="24">#REF!</definedName>
    <definedName name="IH4C15" localSheetId="104">#REF!</definedName>
    <definedName name="IH4C15" localSheetId="65">#REF!</definedName>
    <definedName name="IH4C15" localSheetId="64">#REF!</definedName>
    <definedName name="IH4C15" localSheetId="77">#REF!</definedName>
    <definedName name="IH4C15" localSheetId="49">#REF!</definedName>
    <definedName name="IH4C15" localSheetId="40">#REF!</definedName>
    <definedName name="IH4C15" localSheetId="43">#REF!</definedName>
    <definedName name="IH4C15" localSheetId="13">#REF!</definedName>
    <definedName name="IH4C15" localSheetId="38">#REF!</definedName>
    <definedName name="IH4C15">#REF!</definedName>
    <definedName name="IH4C2" localSheetId="3">#REF!</definedName>
    <definedName name="IH4C2" localSheetId="7">#REF!</definedName>
    <definedName name="IH4C2" localSheetId="9">#REF!</definedName>
    <definedName name="IH4C2" localSheetId="10">#REF!</definedName>
    <definedName name="IH4C2" localSheetId="15">#REF!</definedName>
    <definedName name="IH4C2" localSheetId="19">#REF!</definedName>
    <definedName name="IH4C2" localSheetId="20">#REF!</definedName>
    <definedName name="IH4C2" localSheetId="24">#REF!</definedName>
    <definedName name="IH4C2" localSheetId="104">#REF!</definedName>
    <definedName name="IH4C2" localSheetId="65">#REF!</definedName>
    <definedName name="IH4C2" localSheetId="64">#REF!</definedName>
    <definedName name="IH4C2" localSheetId="77">#REF!</definedName>
    <definedName name="IH4C2" localSheetId="49">#REF!</definedName>
    <definedName name="IH4C2" localSheetId="40">#REF!</definedName>
    <definedName name="IH4C2" localSheetId="43">#REF!</definedName>
    <definedName name="IH4C2" localSheetId="13">#REF!</definedName>
    <definedName name="IH4C2" localSheetId="38">#REF!</definedName>
    <definedName name="IH4C2">#REF!</definedName>
    <definedName name="IH4C3" localSheetId="3">#REF!</definedName>
    <definedName name="IH4C3" localSheetId="7">#REF!</definedName>
    <definedName name="IH4C3" localSheetId="9">#REF!</definedName>
    <definedName name="IH4C3" localSheetId="10">#REF!</definedName>
    <definedName name="IH4C3" localSheetId="15">#REF!</definedName>
    <definedName name="IH4C3" localSheetId="19">#REF!</definedName>
    <definedName name="IH4C3" localSheetId="20">#REF!</definedName>
    <definedName name="IH4C3" localSheetId="24">#REF!</definedName>
    <definedName name="IH4C3" localSheetId="104">#REF!</definedName>
    <definedName name="IH4C3" localSheetId="65">#REF!</definedName>
    <definedName name="IH4C3" localSheetId="64">#REF!</definedName>
    <definedName name="IH4C3" localSheetId="77">#REF!</definedName>
    <definedName name="IH4C3" localSheetId="49">#REF!</definedName>
    <definedName name="IH4C3" localSheetId="40">#REF!</definedName>
    <definedName name="IH4C3" localSheetId="43">#REF!</definedName>
    <definedName name="IH4C3" localSheetId="13">#REF!</definedName>
    <definedName name="IH4C3" localSheetId="38">#REF!</definedName>
    <definedName name="IH4C3">#REF!</definedName>
    <definedName name="IH4C4" localSheetId="3">#REF!</definedName>
    <definedName name="IH4C4" localSheetId="7">#REF!</definedName>
    <definedName name="IH4C4" localSheetId="9">#REF!</definedName>
    <definedName name="IH4C4" localSheetId="10">#REF!</definedName>
    <definedName name="IH4C4" localSheetId="15">#REF!</definedName>
    <definedName name="IH4C4" localSheetId="19">#REF!</definedName>
    <definedName name="IH4C4" localSheetId="20">#REF!</definedName>
    <definedName name="IH4C4" localSheetId="24">#REF!</definedName>
    <definedName name="IH4C4" localSheetId="104">#REF!</definedName>
    <definedName name="IH4C4" localSheetId="65">#REF!</definedName>
    <definedName name="IH4C4" localSheetId="64">#REF!</definedName>
    <definedName name="IH4C4" localSheetId="77">#REF!</definedName>
    <definedName name="IH4C4" localSheetId="49">#REF!</definedName>
    <definedName name="IH4C4" localSheetId="40">#REF!</definedName>
    <definedName name="IH4C4" localSheetId="43">#REF!</definedName>
    <definedName name="IH4C4" localSheetId="13">#REF!</definedName>
    <definedName name="IH4C4" localSheetId="38">#REF!</definedName>
    <definedName name="IH4C4">#REF!</definedName>
    <definedName name="IH4C5" localSheetId="3">#REF!</definedName>
    <definedName name="IH4C5" localSheetId="7">#REF!</definedName>
    <definedName name="IH4C5" localSheetId="9">#REF!</definedName>
    <definedName name="IH4C5" localSheetId="10">#REF!</definedName>
    <definedName name="IH4C5" localSheetId="15">#REF!</definedName>
    <definedName name="IH4C5" localSheetId="19">#REF!</definedName>
    <definedName name="IH4C5" localSheetId="20">#REF!</definedName>
    <definedName name="IH4C5" localSheetId="24">#REF!</definedName>
    <definedName name="IH4C5" localSheetId="104">#REF!</definedName>
    <definedName name="IH4C5" localSheetId="65">#REF!</definedName>
    <definedName name="IH4C5" localSheetId="64">#REF!</definedName>
    <definedName name="IH4C5" localSheetId="77">#REF!</definedName>
    <definedName name="IH4C5" localSheetId="49">#REF!</definedName>
    <definedName name="IH4C5" localSheetId="40">#REF!</definedName>
    <definedName name="IH4C5" localSheetId="43">#REF!</definedName>
    <definedName name="IH4C5" localSheetId="13">#REF!</definedName>
    <definedName name="IH4C5" localSheetId="38">#REF!</definedName>
    <definedName name="IH4C5">#REF!</definedName>
    <definedName name="IH4C6" localSheetId="3">#REF!</definedName>
    <definedName name="IH4C6" localSheetId="7">#REF!</definedName>
    <definedName name="IH4C6" localSheetId="9">#REF!</definedName>
    <definedName name="IH4C6" localSheetId="10">#REF!</definedName>
    <definedName name="IH4C6" localSheetId="15">#REF!</definedName>
    <definedName name="IH4C6" localSheetId="19">#REF!</definedName>
    <definedName name="IH4C6" localSheetId="20">#REF!</definedName>
    <definedName name="IH4C6" localSheetId="24">#REF!</definedName>
    <definedName name="IH4C6" localSheetId="104">#REF!</definedName>
    <definedName name="IH4C6" localSheetId="65">#REF!</definedName>
    <definedName name="IH4C6" localSheetId="64">#REF!</definedName>
    <definedName name="IH4C6" localSheetId="77">#REF!</definedName>
    <definedName name="IH4C6" localSheetId="49">#REF!</definedName>
    <definedName name="IH4C6" localSheetId="40">#REF!</definedName>
    <definedName name="IH4C6" localSheetId="43">#REF!</definedName>
    <definedName name="IH4C6" localSheetId="13">#REF!</definedName>
    <definedName name="IH4C6" localSheetId="38">#REF!</definedName>
    <definedName name="IH4C6">#REF!</definedName>
    <definedName name="IH4C7" localSheetId="3">#REF!</definedName>
    <definedName name="IH4C7" localSheetId="7">#REF!</definedName>
    <definedName name="IH4C7" localSheetId="9">#REF!</definedName>
    <definedName name="IH4C7" localSheetId="10">#REF!</definedName>
    <definedName name="IH4C7" localSheetId="15">#REF!</definedName>
    <definedName name="IH4C7" localSheetId="19">#REF!</definedName>
    <definedName name="IH4C7" localSheetId="20">#REF!</definedName>
    <definedName name="IH4C7" localSheetId="24">#REF!</definedName>
    <definedName name="IH4C7" localSheetId="104">#REF!</definedName>
    <definedName name="IH4C7" localSheetId="65">#REF!</definedName>
    <definedName name="IH4C7" localSheetId="64">#REF!</definedName>
    <definedName name="IH4C7" localSheetId="77">#REF!</definedName>
    <definedName name="IH4C7" localSheetId="49">#REF!</definedName>
    <definedName name="IH4C7" localSheetId="40">#REF!</definedName>
    <definedName name="IH4C7" localSheetId="43">#REF!</definedName>
    <definedName name="IH4C7" localSheetId="13">#REF!</definedName>
    <definedName name="IH4C7" localSheetId="38">#REF!</definedName>
    <definedName name="IH4C7">#REF!</definedName>
    <definedName name="IH4C8" localSheetId="3">#REF!</definedName>
    <definedName name="IH4C8" localSheetId="7">#REF!</definedName>
    <definedName name="IH4C8" localSheetId="9">#REF!</definedName>
    <definedName name="IH4C8" localSheetId="10">#REF!</definedName>
    <definedName name="IH4C8" localSheetId="15">#REF!</definedName>
    <definedName name="IH4C8" localSheetId="19">#REF!</definedName>
    <definedName name="IH4C8" localSheetId="20">#REF!</definedName>
    <definedName name="IH4C8" localSheetId="24">#REF!</definedName>
    <definedName name="IH4C8" localSheetId="104">#REF!</definedName>
    <definedName name="IH4C8" localSheetId="65">#REF!</definedName>
    <definedName name="IH4C8" localSheetId="64">#REF!</definedName>
    <definedName name="IH4C8" localSheetId="77">#REF!</definedName>
    <definedName name="IH4C8" localSheetId="49">#REF!</definedName>
    <definedName name="IH4C8" localSheetId="40">#REF!</definedName>
    <definedName name="IH4C8" localSheetId="43">#REF!</definedName>
    <definedName name="IH4C8" localSheetId="13">#REF!</definedName>
    <definedName name="IH4C8" localSheetId="38">#REF!</definedName>
    <definedName name="IH4C8">#REF!</definedName>
    <definedName name="IH4C9" localSheetId="3">#REF!</definedName>
    <definedName name="IH4C9" localSheetId="7">#REF!</definedName>
    <definedName name="IH4C9" localSheetId="9">#REF!</definedName>
    <definedName name="IH4C9" localSheetId="10">#REF!</definedName>
    <definedName name="IH4C9" localSheetId="15">#REF!</definedName>
    <definedName name="IH4C9" localSheetId="19">#REF!</definedName>
    <definedName name="IH4C9" localSheetId="20">#REF!</definedName>
    <definedName name="IH4C9" localSheetId="24">#REF!</definedName>
    <definedName name="IH4C9" localSheetId="104">#REF!</definedName>
    <definedName name="IH4C9" localSheetId="65">#REF!</definedName>
    <definedName name="IH4C9" localSheetId="64">#REF!</definedName>
    <definedName name="IH4C9" localSheetId="77">#REF!</definedName>
    <definedName name="IH4C9" localSheetId="49">#REF!</definedName>
    <definedName name="IH4C9" localSheetId="40">#REF!</definedName>
    <definedName name="IH4C9" localSheetId="43">#REF!</definedName>
    <definedName name="IH4C9" localSheetId="13">#REF!</definedName>
    <definedName name="IH4C9" localSheetId="38">#REF!</definedName>
    <definedName name="IH4C9">#REF!</definedName>
    <definedName name="IH5C1" localSheetId="3">#REF!</definedName>
    <definedName name="IH5C1" localSheetId="7">#REF!</definedName>
    <definedName name="IH5C1" localSheetId="9">#REF!</definedName>
    <definedName name="IH5C1" localSheetId="10">#REF!</definedName>
    <definedName name="IH5C1" localSheetId="15">#REF!</definedName>
    <definedName name="IH5C1" localSheetId="19">#REF!</definedName>
    <definedName name="IH5C1" localSheetId="20">#REF!</definedName>
    <definedName name="IH5C1" localSheetId="24">#REF!</definedName>
    <definedName name="IH5C1" localSheetId="104">#REF!</definedName>
    <definedName name="IH5C1" localSheetId="65">#REF!</definedName>
    <definedName name="IH5C1" localSheetId="64">#REF!</definedName>
    <definedName name="IH5C1" localSheetId="77">#REF!</definedName>
    <definedName name="IH5C1" localSheetId="49">#REF!</definedName>
    <definedName name="IH5C1" localSheetId="40">#REF!</definedName>
    <definedName name="IH5C1" localSheetId="43">#REF!</definedName>
    <definedName name="IH5C1" localSheetId="13">#REF!</definedName>
    <definedName name="IH5C1" localSheetId="38">#REF!</definedName>
    <definedName name="IH5C1">#REF!</definedName>
    <definedName name="IH5C10" localSheetId="3">#REF!</definedName>
    <definedName name="IH5C10" localSheetId="7">#REF!</definedName>
    <definedName name="IH5C10" localSheetId="9">#REF!</definedName>
    <definedName name="IH5C10" localSheetId="10">#REF!</definedName>
    <definedName name="IH5C10" localSheetId="15">#REF!</definedName>
    <definedName name="IH5C10" localSheetId="19">#REF!</definedName>
    <definedName name="IH5C10" localSheetId="20">#REF!</definedName>
    <definedName name="IH5C10" localSheetId="24">#REF!</definedName>
    <definedName name="IH5C10" localSheetId="104">#REF!</definedName>
    <definedName name="IH5C10" localSheetId="65">#REF!</definedName>
    <definedName name="IH5C10" localSheetId="64">#REF!</definedName>
    <definedName name="IH5C10" localSheetId="77">#REF!</definedName>
    <definedName name="IH5C10" localSheetId="49">#REF!</definedName>
    <definedName name="IH5C10" localSheetId="40">#REF!</definedName>
    <definedName name="IH5C10" localSheetId="43">#REF!</definedName>
    <definedName name="IH5C10" localSheetId="13">#REF!</definedName>
    <definedName name="IH5C10" localSheetId="38">#REF!</definedName>
    <definedName name="IH5C10">#REF!</definedName>
    <definedName name="IH5C11" localSheetId="3">#REF!</definedName>
    <definedName name="IH5C11" localSheetId="7">#REF!</definedName>
    <definedName name="IH5C11" localSheetId="9">#REF!</definedName>
    <definedName name="IH5C11" localSheetId="10">#REF!</definedName>
    <definedName name="IH5C11" localSheetId="15">#REF!</definedName>
    <definedName name="IH5C11" localSheetId="19">#REF!</definedName>
    <definedName name="IH5C11" localSheetId="20">#REF!</definedName>
    <definedName name="IH5C11" localSheetId="24">#REF!</definedName>
    <definedName name="IH5C11" localSheetId="104">#REF!</definedName>
    <definedName name="IH5C11" localSheetId="65">#REF!</definedName>
    <definedName name="IH5C11" localSheetId="64">#REF!</definedName>
    <definedName name="IH5C11" localSheetId="77">#REF!</definedName>
    <definedName name="IH5C11" localSheetId="49">#REF!</definedName>
    <definedName name="IH5C11" localSheetId="40">#REF!</definedName>
    <definedName name="IH5C11" localSheetId="43">#REF!</definedName>
    <definedName name="IH5C11" localSheetId="13">#REF!</definedName>
    <definedName name="IH5C11" localSheetId="38">#REF!</definedName>
    <definedName name="IH5C11">#REF!</definedName>
    <definedName name="IH5C12" localSheetId="3">#REF!</definedName>
    <definedName name="IH5C12" localSheetId="7">#REF!</definedName>
    <definedName name="IH5C12" localSheetId="9">#REF!</definedName>
    <definedName name="IH5C12" localSheetId="10">#REF!</definedName>
    <definedName name="IH5C12" localSheetId="15">#REF!</definedName>
    <definedName name="IH5C12" localSheetId="19">#REF!</definedName>
    <definedName name="IH5C12" localSheetId="20">#REF!</definedName>
    <definedName name="IH5C12" localSheetId="24">#REF!</definedName>
    <definedName name="IH5C12" localSheetId="104">#REF!</definedName>
    <definedName name="IH5C12" localSheetId="65">#REF!</definedName>
    <definedName name="IH5C12" localSheetId="64">#REF!</definedName>
    <definedName name="IH5C12" localSheetId="77">#REF!</definedName>
    <definedName name="IH5C12" localSheetId="49">#REF!</definedName>
    <definedName name="IH5C12" localSheetId="40">#REF!</definedName>
    <definedName name="IH5C12" localSheetId="43">#REF!</definedName>
    <definedName name="IH5C12" localSheetId="13">#REF!</definedName>
    <definedName name="IH5C12" localSheetId="38">#REF!</definedName>
    <definedName name="IH5C12">#REF!</definedName>
    <definedName name="IH5C13" localSheetId="3">#REF!</definedName>
    <definedName name="IH5C13" localSheetId="7">#REF!</definedName>
    <definedName name="IH5C13" localSheetId="9">#REF!</definedName>
    <definedName name="IH5C13" localSheetId="10">#REF!</definedName>
    <definedName name="IH5C13" localSheetId="15">#REF!</definedName>
    <definedName name="IH5C13" localSheetId="19">#REF!</definedName>
    <definedName name="IH5C13" localSheetId="20">#REF!</definedName>
    <definedName name="IH5C13" localSheetId="24">#REF!</definedName>
    <definedName name="IH5C13" localSheetId="104">#REF!</definedName>
    <definedName name="IH5C13" localSheetId="65">#REF!</definedName>
    <definedName name="IH5C13" localSheetId="64">#REF!</definedName>
    <definedName name="IH5C13" localSheetId="77">#REF!</definedName>
    <definedName name="IH5C13" localSheetId="49">#REF!</definedName>
    <definedName name="IH5C13" localSheetId="40">#REF!</definedName>
    <definedName name="IH5C13" localSheetId="43">#REF!</definedName>
    <definedName name="IH5C13" localSheetId="13">#REF!</definedName>
    <definedName name="IH5C13" localSheetId="38">#REF!</definedName>
    <definedName name="IH5C13">#REF!</definedName>
    <definedName name="IH5C14" localSheetId="3">#REF!</definedName>
    <definedName name="IH5C14" localSheetId="7">#REF!</definedName>
    <definedName name="IH5C14" localSheetId="9">#REF!</definedName>
    <definedName name="IH5C14" localSheetId="10">#REF!</definedName>
    <definedName name="IH5C14" localSheetId="15">#REF!</definedName>
    <definedName name="IH5C14" localSheetId="19">#REF!</definedName>
    <definedName name="IH5C14" localSheetId="20">#REF!</definedName>
    <definedName name="IH5C14" localSheetId="24">#REF!</definedName>
    <definedName name="IH5C14" localSheetId="104">#REF!</definedName>
    <definedName name="IH5C14" localSheetId="65">#REF!</definedName>
    <definedName name="IH5C14" localSheetId="64">#REF!</definedName>
    <definedName name="IH5C14" localSheetId="77">#REF!</definedName>
    <definedName name="IH5C14" localSheetId="49">#REF!</definedName>
    <definedName name="IH5C14" localSheetId="40">#REF!</definedName>
    <definedName name="IH5C14" localSheetId="43">#REF!</definedName>
    <definedName name="IH5C14" localSheetId="13">#REF!</definedName>
    <definedName name="IH5C14" localSheetId="38">#REF!</definedName>
    <definedName name="IH5C14">#REF!</definedName>
    <definedName name="IH5C15" localSheetId="3">#REF!</definedName>
    <definedName name="IH5C15" localSheetId="7">#REF!</definedName>
    <definedName name="IH5C15" localSheetId="9">#REF!</definedName>
    <definedName name="IH5C15" localSheetId="10">#REF!</definedName>
    <definedName name="IH5C15" localSheetId="15">#REF!</definedName>
    <definedName name="IH5C15" localSheetId="19">#REF!</definedName>
    <definedName name="IH5C15" localSheetId="20">#REF!</definedName>
    <definedName name="IH5C15" localSheetId="24">#REF!</definedName>
    <definedName name="IH5C15" localSheetId="104">#REF!</definedName>
    <definedName name="IH5C15" localSheetId="65">#REF!</definedName>
    <definedName name="IH5C15" localSheetId="64">#REF!</definedName>
    <definedName name="IH5C15" localSheetId="77">#REF!</definedName>
    <definedName name="IH5C15" localSheetId="49">#REF!</definedName>
    <definedName name="IH5C15" localSheetId="40">#REF!</definedName>
    <definedName name="IH5C15" localSheetId="43">#REF!</definedName>
    <definedName name="IH5C15" localSheetId="13">#REF!</definedName>
    <definedName name="IH5C15" localSheetId="38">#REF!</definedName>
    <definedName name="IH5C15">#REF!</definedName>
    <definedName name="IH5C2" localSheetId="3">#REF!</definedName>
    <definedName name="IH5C2" localSheetId="7">#REF!</definedName>
    <definedName name="IH5C2" localSheetId="9">#REF!</definedName>
    <definedName name="IH5C2" localSheetId="10">#REF!</definedName>
    <definedName name="IH5C2" localSheetId="15">#REF!</definedName>
    <definedName name="IH5C2" localSheetId="19">#REF!</definedName>
    <definedName name="IH5C2" localSheetId="20">#REF!</definedName>
    <definedName name="IH5C2" localSheetId="24">#REF!</definedName>
    <definedName name="IH5C2" localSheetId="104">#REF!</definedName>
    <definedName name="IH5C2" localSheetId="65">#REF!</definedName>
    <definedName name="IH5C2" localSheetId="64">#REF!</definedName>
    <definedName name="IH5C2" localSheetId="77">#REF!</definedName>
    <definedName name="IH5C2" localSheetId="49">#REF!</definedName>
    <definedName name="IH5C2" localSheetId="40">#REF!</definedName>
    <definedName name="IH5C2" localSheetId="43">#REF!</definedName>
    <definedName name="IH5C2" localSheetId="13">#REF!</definedName>
    <definedName name="IH5C2" localSheetId="38">#REF!</definedName>
    <definedName name="IH5C2">#REF!</definedName>
    <definedName name="IH5C3" localSheetId="3">#REF!</definedName>
    <definedName name="IH5C3" localSheetId="7">#REF!</definedName>
    <definedName name="IH5C3" localSheetId="9">#REF!</definedName>
    <definedName name="IH5C3" localSheetId="10">#REF!</definedName>
    <definedName name="IH5C3" localSheetId="15">#REF!</definedName>
    <definedName name="IH5C3" localSheetId="19">#REF!</definedName>
    <definedName name="IH5C3" localSheetId="20">#REF!</definedName>
    <definedName name="IH5C3" localSheetId="24">#REF!</definedName>
    <definedName name="IH5C3" localSheetId="104">#REF!</definedName>
    <definedName name="IH5C3" localSheetId="65">#REF!</definedName>
    <definedName name="IH5C3" localSheetId="64">#REF!</definedName>
    <definedName name="IH5C3" localSheetId="77">#REF!</definedName>
    <definedName name="IH5C3" localSheetId="49">#REF!</definedName>
    <definedName name="IH5C3" localSheetId="40">#REF!</definedName>
    <definedName name="IH5C3" localSheetId="43">#REF!</definedName>
    <definedName name="IH5C3" localSheetId="13">#REF!</definedName>
    <definedName name="IH5C3" localSheetId="38">#REF!</definedName>
    <definedName name="IH5C3">#REF!</definedName>
    <definedName name="IH5C4" localSheetId="3">#REF!</definedName>
    <definedName name="IH5C4" localSheetId="7">#REF!</definedName>
    <definedName name="IH5C4" localSheetId="9">#REF!</definedName>
    <definedName name="IH5C4" localSheetId="10">#REF!</definedName>
    <definedName name="IH5C4" localSheetId="15">#REF!</definedName>
    <definedName name="IH5C4" localSheetId="19">#REF!</definedName>
    <definedName name="IH5C4" localSheetId="20">#REF!</definedName>
    <definedName name="IH5C4" localSheetId="24">#REF!</definedName>
    <definedName name="IH5C4" localSheetId="104">#REF!</definedName>
    <definedName name="IH5C4" localSheetId="65">#REF!</definedName>
    <definedName name="IH5C4" localSheetId="64">#REF!</definedName>
    <definedName name="IH5C4" localSheetId="77">#REF!</definedName>
    <definedName name="IH5C4" localSheetId="49">#REF!</definedName>
    <definedName name="IH5C4" localSheetId="40">#REF!</definedName>
    <definedName name="IH5C4" localSheetId="43">#REF!</definedName>
    <definedName name="IH5C4" localSheetId="13">#REF!</definedName>
    <definedName name="IH5C4" localSheetId="38">#REF!</definedName>
    <definedName name="IH5C4">#REF!</definedName>
    <definedName name="IH5C5" localSheetId="3">#REF!</definedName>
    <definedName name="IH5C5" localSheetId="7">#REF!</definedName>
    <definedName name="IH5C5" localSheetId="9">#REF!</definedName>
    <definedName name="IH5C5" localSheetId="10">#REF!</definedName>
    <definedName name="IH5C5" localSheetId="15">#REF!</definedName>
    <definedName name="IH5C5" localSheetId="19">#REF!</definedName>
    <definedName name="IH5C5" localSheetId="20">#REF!</definedName>
    <definedName name="IH5C5" localSheetId="24">#REF!</definedName>
    <definedName name="IH5C5" localSheetId="104">#REF!</definedName>
    <definedName name="IH5C5" localSheetId="65">#REF!</definedName>
    <definedName name="IH5C5" localSheetId="64">#REF!</definedName>
    <definedName name="IH5C5" localSheetId="77">#REF!</definedName>
    <definedName name="IH5C5" localSheetId="49">#REF!</definedName>
    <definedName name="IH5C5" localSheetId="40">#REF!</definedName>
    <definedName name="IH5C5" localSheetId="43">#REF!</definedName>
    <definedName name="IH5C5" localSheetId="13">#REF!</definedName>
    <definedName name="IH5C5" localSheetId="38">#REF!</definedName>
    <definedName name="IH5C5">#REF!</definedName>
    <definedName name="IH5C6" localSheetId="3">#REF!</definedName>
    <definedName name="IH5C6" localSheetId="7">#REF!</definedName>
    <definedName name="IH5C6" localSheetId="9">#REF!</definedName>
    <definedName name="IH5C6" localSheetId="10">#REF!</definedName>
    <definedName name="IH5C6" localSheetId="15">#REF!</definedName>
    <definedName name="IH5C6" localSheetId="19">#REF!</definedName>
    <definedName name="IH5C6" localSheetId="20">#REF!</definedName>
    <definedName name="IH5C6" localSheetId="24">#REF!</definedName>
    <definedName name="IH5C6" localSheetId="104">#REF!</definedName>
    <definedName name="IH5C6" localSheetId="65">#REF!</definedName>
    <definedName name="IH5C6" localSheetId="64">#REF!</definedName>
    <definedName name="IH5C6" localSheetId="77">#REF!</definedName>
    <definedName name="IH5C6" localSheetId="49">#REF!</definedName>
    <definedName name="IH5C6" localSheetId="40">#REF!</definedName>
    <definedName name="IH5C6" localSheetId="43">#REF!</definedName>
    <definedName name="IH5C6" localSheetId="13">#REF!</definedName>
    <definedName name="IH5C6" localSheetId="38">#REF!</definedName>
    <definedName name="IH5C6">#REF!</definedName>
    <definedName name="IH5C7" localSheetId="3">#REF!</definedName>
    <definedName name="IH5C7" localSheetId="7">#REF!</definedName>
    <definedName name="IH5C7" localSheetId="9">#REF!</definedName>
    <definedName name="IH5C7" localSheetId="10">#REF!</definedName>
    <definedName name="IH5C7" localSheetId="15">#REF!</definedName>
    <definedName name="IH5C7" localSheetId="19">#REF!</definedName>
    <definedName name="IH5C7" localSheetId="20">#REF!</definedName>
    <definedName name="IH5C7" localSheetId="24">#REF!</definedName>
    <definedName name="IH5C7" localSheetId="104">#REF!</definedName>
    <definedName name="IH5C7" localSheetId="65">#REF!</definedName>
    <definedName name="IH5C7" localSheetId="64">#REF!</definedName>
    <definedName name="IH5C7" localSheetId="77">#REF!</definedName>
    <definedName name="IH5C7" localSheetId="49">#REF!</definedName>
    <definedName name="IH5C7" localSheetId="40">#REF!</definedName>
    <definedName name="IH5C7" localSheetId="43">#REF!</definedName>
    <definedName name="IH5C7" localSheetId="13">#REF!</definedName>
    <definedName name="IH5C7" localSheetId="38">#REF!</definedName>
    <definedName name="IH5C7">#REF!</definedName>
    <definedName name="IH5C8" localSheetId="3">#REF!</definedName>
    <definedName name="IH5C8" localSheetId="7">#REF!</definedName>
    <definedName name="IH5C8" localSheetId="9">#REF!</definedName>
    <definedName name="IH5C8" localSheetId="10">#REF!</definedName>
    <definedName name="IH5C8" localSheetId="15">#REF!</definedName>
    <definedName name="IH5C8" localSheetId="19">#REF!</definedName>
    <definedName name="IH5C8" localSheetId="20">#REF!</definedName>
    <definedName name="IH5C8" localSheetId="24">#REF!</definedName>
    <definedName name="IH5C8" localSheetId="104">#REF!</definedName>
    <definedName name="IH5C8" localSheetId="65">#REF!</definedName>
    <definedName name="IH5C8" localSheetId="64">#REF!</definedName>
    <definedName name="IH5C8" localSheetId="77">#REF!</definedName>
    <definedName name="IH5C8" localSheetId="49">#REF!</definedName>
    <definedName name="IH5C8" localSheetId="40">#REF!</definedName>
    <definedName name="IH5C8" localSheetId="43">#REF!</definedName>
    <definedName name="IH5C8" localSheetId="13">#REF!</definedName>
    <definedName name="IH5C8" localSheetId="38">#REF!</definedName>
    <definedName name="IH5C8">#REF!</definedName>
    <definedName name="IH5C9" localSheetId="3">#REF!</definedName>
    <definedName name="IH5C9" localSheetId="7">#REF!</definedName>
    <definedName name="IH5C9" localSheetId="9">#REF!</definedName>
    <definedName name="IH5C9" localSheetId="10">#REF!</definedName>
    <definedName name="IH5C9" localSheetId="15">#REF!</definedName>
    <definedName name="IH5C9" localSheetId="19">#REF!</definedName>
    <definedName name="IH5C9" localSheetId="20">#REF!</definedName>
    <definedName name="IH5C9" localSheetId="24">#REF!</definedName>
    <definedName name="IH5C9" localSheetId="104">#REF!</definedName>
    <definedName name="IH5C9" localSheetId="65">#REF!</definedName>
    <definedName name="IH5C9" localSheetId="64">#REF!</definedName>
    <definedName name="IH5C9" localSheetId="77">#REF!</definedName>
    <definedName name="IH5C9" localSheetId="49">#REF!</definedName>
    <definedName name="IH5C9" localSheetId="40">#REF!</definedName>
    <definedName name="IH5C9" localSheetId="43">#REF!</definedName>
    <definedName name="IH5C9" localSheetId="13">#REF!</definedName>
    <definedName name="IH5C9" localSheetId="38">#REF!</definedName>
    <definedName name="IH5C9">#REF!</definedName>
    <definedName name="ii" localSheetId="3">#REF!</definedName>
    <definedName name="ii" localSheetId="7">#REF!</definedName>
    <definedName name="ii" localSheetId="9">#REF!</definedName>
    <definedName name="ii" localSheetId="10">#REF!</definedName>
    <definedName name="ii" localSheetId="15">#REF!</definedName>
    <definedName name="ii" localSheetId="19">#REF!</definedName>
    <definedName name="ii" localSheetId="20">#REF!</definedName>
    <definedName name="ii" localSheetId="24">#REF!</definedName>
    <definedName name="ii" localSheetId="104">#REF!</definedName>
    <definedName name="ii" localSheetId="65">#REF!</definedName>
    <definedName name="ii" localSheetId="64">#REF!</definedName>
    <definedName name="ii" localSheetId="77">#REF!</definedName>
    <definedName name="ii" localSheetId="49">#REF!</definedName>
    <definedName name="ii" localSheetId="40">#REF!</definedName>
    <definedName name="ii" localSheetId="43">#REF!</definedName>
    <definedName name="ii" localSheetId="13">#REF!</definedName>
    <definedName name="ii" localSheetId="38">#REF!</definedName>
    <definedName name="ii">#REF!</definedName>
    <definedName name="IIIII" localSheetId="3">#REF!</definedName>
    <definedName name="IIIII" localSheetId="7">#REF!</definedName>
    <definedName name="IIIII" localSheetId="9">#REF!</definedName>
    <definedName name="IIIII" localSheetId="10">#REF!</definedName>
    <definedName name="IIIII" localSheetId="15">#REF!</definedName>
    <definedName name="IIIII" localSheetId="19">#REF!</definedName>
    <definedName name="IIIII" localSheetId="20">#REF!</definedName>
    <definedName name="IIIII" localSheetId="24">#REF!</definedName>
    <definedName name="IIIII" localSheetId="104">#REF!</definedName>
    <definedName name="IIIII" localSheetId="65">#REF!</definedName>
    <definedName name="IIIII" localSheetId="64">#REF!</definedName>
    <definedName name="IIIII" localSheetId="77">#REF!</definedName>
    <definedName name="IIIII" localSheetId="49">#REF!</definedName>
    <definedName name="IIIII" localSheetId="40">#REF!</definedName>
    <definedName name="IIIII" localSheetId="43">#REF!</definedName>
    <definedName name="IIIII" localSheetId="13">#REF!</definedName>
    <definedName name="IIIII" localSheetId="38">#REF!</definedName>
    <definedName name="IIIII">#REF!</definedName>
    <definedName name="IIIIII" localSheetId="3">#REF!</definedName>
    <definedName name="IIIIII" localSheetId="7">#REF!</definedName>
    <definedName name="IIIIII" localSheetId="9">#REF!</definedName>
    <definedName name="IIIIII" localSheetId="10">#REF!</definedName>
    <definedName name="IIIIII" localSheetId="15">#REF!</definedName>
    <definedName name="IIIIII" localSheetId="19">#REF!</definedName>
    <definedName name="IIIIII" localSheetId="20">#REF!</definedName>
    <definedName name="IIIIII" localSheetId="24">#REF!</definedName>
    <definedName name="IIIIII" localSheetId="104">#REF!</definedName>
    <definedName name="IIIIII" localSheetId="65">#REF!</definedName>
    <definedName name="IIIIII" localSheetId="64">#REF!</definedName>
    <definedName name="IIIIII" localSheetId="77">#REF!</definedName>
    <definedName name="IIIIII" localSheetId="49">#REF!</definedName>
    <definedName name="IIIIII" localSheetId="40">#REF!</definedName>
    <definedName name="IIIIII" localSheetId="43">#REF!</definedName>
    <definedName name="IIIIII" localSheetId="13">#REF!</definedName>
    <definedName name="IIIIII" localSheetId="38">#REF!</definedName>
    <definedName name="IIIIII">#REF!</definedName>
    <definedName name="ImportRange" localSheetId="3">#REF!</definedName>
    <definedName name="ImportRange" localSheetId="7">#REF!</definedName>
    <definedName name="ImportRange" localSheetId="9">#REF!</definedName>
    <definedName name="ImportRange" localSheetId="10">#REF!</definedName>
    <definedName name="ImportRange" localSheetId="15">#REF!</definedName>
    <definedName name="ImportRange" localSheetId="19">#REF!</definedName>
    <definedName name="ImportRange" localSheetId="20">#REF!</definedName>
    <definedName name="ImportRange" localSheetId="24">#REF!</definedName>
    <definedName name="ImportRange" localSheetId="104">#REF!</definedName>
    <definedName name="ImportRange" localSheetId="65">#REF!</definedName>
    <definedName name="ImportRange" localSheetId="64">#REF!</definedName>
    <definedName name="ImportRange" localSheetId="77">#REF!</definedName>
    <definedName name="ImportRange" localSheetId="49">#REF!</definedName>
    <definedName name="ImportRange" localSheetId="40">#REF!</definedName>
    <definedName name="ImportRange" localSheetId="43">#REF!</definedName>
    <definedName name="ImportRange" localSheetId="13">#REF!</definedName>
    <definedName name="ImportRange" localSheetId="38">#REF!</definedName>
    <definedName name="ImportRange">#REF!</definedName>
    <definedName name="Index" localSheetId="3">#REF!</definedName>
    <definedName name="Index" localSheetId="7">#REF!</definedName>
    <definedName name="Index" localSheetId="9">#REF!</definedName>
    <definedName name="Index" localSheetId="10">#REF!</definedName>
    <definedName name="Index" localSheetId="15">#REF!</definedName>
    <definedName name="Index" localSheetId="19">#REF!</definedName>
    <definedName name="Index" localSheetId="20">#REF!</definedName>
    <definedName name="Index" localSheetId="24">#REF!</definedName>
    <definedName name="Index" localSheetId="104">#REF!</definedName>
    <definedName name="Index" localSheetId="65">#REF!</definedName>
    <definedName name="Index" localSheetId="64">#REF!</definedName>
    <definedName name="Index" localSheetId="77">#REF!</definedName>
    <definedName name="Index" localSheetId="49">#REF!</definedName>
    <definedName name="Index" localSheetId="40">#REF!</definedName>
    <definedName name="Index" localSheetId="43">#REF!</definedName>
    <definedName name="Index" localSheetId="13">#REF!</definedName>
    <definedName name="Index" localSheetId="38">#REF!</definedName>
    <definedName name="Index">#REF!</definedName>
    <definedName name="IndustrySegment" localSheetId="3">#REF!</definedName>
    <definedName name="IndustrySegment" localSheetId="7">#REF!</definedName>
    <definedName name="IndustrySegment" localSheetId="9">#REF!</definedName>
    <definedName name="IndustrySegment" localSheetId="10">#REF!</definedName>
    <definedName name="IndustrySegment" localSheetId="15">#REF!</definedName>
    <definedName name="IndustrySegment" localSheetId="19">#REF!</definedName>
    <definedName name="IndustrySegment" localSheetId="20">#REF!</definedName>
    <definedName name="IndustrySegment" localSheetId="24">#REF!</definedName>
    <definedName name="IndustrySegment" localSheetId="104">#REF!</definedName>
    <definedName name="IndustrySegment" localSheetId="65">#REF!</definedName>
    <definedName name="IndustrySegment" localSheetId="64">#REF!</definedName>
    <definedName name="IndustrySegment" localSheetId="77">#REF!</definedName>
    <definedName name="IndustrySegment" localSheetId="49">#REF!</definedName>
    <definedName name="IndustrySegment" localSheetId="40">#REF!</definedName>
    <definedName name="IndustrySegment" localSheetId="43">#REF!</definedName>
    <definedName name="IndustrySegment" localSheetId="13">#REF!</definedName>
    <definedName name="IndustrySegment" localSheetId="38">#REF!</definedName>
    <definedName name="IndustrySegment">#REF!</definedName>
    <definedName name="Input" localSheetId="3">#REF!</definedName>
    <definedName name="Input" localSheetId="7">#REF!</definedName>
    <definedName name="Input" localSheetId="9">#REF!</definedName>
    <definedName name="Input" localSheetId="10">#REF!</definedName>
    <definedName name="Input" localSheetId="15">#REF!</definedName>
    <definedName name="Input" localSheetId="19">#REF!</definedName>
    <definedName name="Input" localSheetId="20">#REF!</definedName>
    <definedName name="Input" localSheetId="24">#REF!</definedName>
    <definedName name="Input" localSheetId="104">#REF!</definedName>
    <definedName name="Input" localSheetId="65">#REF!</definedName>
    <definedName name="Input" localSheetId="64">#REF!</definedName>
    <definedName name="Input" localSheetId="77">#REF!</definedName>
    <definedName name="Input" localSheetId="49">#REF!</definedName>
    <definedName name="Input" localSheetId="40">#REF!</definedName>
    <definedName name="Input" localSheetId="43">#REF!</definedName>
    <definedName name="Input" localSheetId="13">#REF!</definedName>
    <definedName name="Input" localSheetId="38">#REF!</definedName>
    <definedName name="Input">#REF!</definedName>
    <definedName name="Inputs_are_shaded_gray_throughout" localSheetId="3">#REF!</definedName>
    <definedName name="Inputs_are_shaded_gray_throughout" localSheetId="7">#REF!</definedName>
    <definedName name="Inputs_are_shaded_gray_throughout" localSheetId="9">#REF!</definedName>
    <definedName name="Inputs_are_shaded_gray_throughout" localSheetId="10">#REF!</definedName>
    <definedName name="Inputs_are_shaded_gray_throughout" localSheetId="15">#REF!</definedName>
    <definedName name="Inputs_are_shaded_gray_throughout" localSheetId="19">#REF!</definedName>
    <definedName name="Inputs_are_shaded_gray_throughout" localSheetId="20">#REF!</definedName>
    <definedName name="Inputs_are_shaded_gray_throughout" localSheetId="24">#REF!</definedName>
    <definedName name="Inputs_are_shaded_gray_throughout" localSheetId="104">#REF!</definedName>
    <definedName name="Inputs_are_shaded_gray_throughout" localSheetId="65">#REF!</definedName>
    <definedName name="Inputs_are_shaded_gray_throughout" localSheetId="64">#REF!</definedName>
    <definedName name="Inputs_are_shaded_gray_throughout" localSheetId="77">#REF!</definedName>
    <definedName name="Inputs_are_shaded_gray_throughout" localSheetId="49">#REF!</definedName>
    <definedName name="Inputs_are_shaded_gray_throughout" localSheetId="40">#REF!</definedName>
    <definedName name="Inputs_are_shaded_gray_throughout" localSheetId="43">#REF!</definedName>
    <definedName name="Inputs_are_shaded_gray_throughout" localSheetId="13">#REF!</definedName>
    <definedName name="Inputs_are_shaded_gray_throughout" localSheetId="38">#REF!</definedName>
    <definedName name="Inputs_are_shaded_gray_throughout">#REF!</definedName>
    <definedName name="inq" localSheetId="3">#REF!</definedName>
    <definedName name="inq" localSheetId="7">#REF!</definedName>
    <definedName name="inq" localSheetId="9">#REF!</definedName>
    <definedName name="inq" localSheetId="10">#REF!</definedName>
    <definedName name="inq" localSheetId="15">#REF!</definedName>
    <definedName name="inq" localSheetId="19">#REF!</definedName>
    <definedName name="inq" localSheetId="20">#REF!</definedName>
    <definedName name="inq" localSheetId="24">#REF!</definedName>
    <definedName name="inq" localSheetId="104">#REF!</definedName>
    <definedName name="inq" localSheetId="65">#REF!</definedName>
    <definedName name="inq" localSheetId="64">#REF!</definedName>
    <definedName name="inq" localSheetId="77">#REF!</definedName>
    <definedName name="inq" localSheetId="49">#REF!</definedName>
    <definedName name="inq" localSheetId="40">#REF!</definedName>
    <definedName name="inq" localSheetId="43">#REF!</definedName>
    <definedName name="inq" localSheetId="13">#REF!</definedName>
    <definedName name="inq" localSheetId="38">#REF!</definedName>
    <definedName name="inq">#REF!</definedName>
    <definedName name="inqno" localSheetId="3">#REF!</definedName>
    <definedName name="inqno" localSheetId="7">#REF!</definedName>
    <definedName name="inqno" localSheetId="9">#REF!</definedName>
    <definedName name="inqno" localSheetId="10">#REF!</definedName>
    <definedName name="inqno" localSheetId="15">#REF!</definedName>
    <definedName name="inqno" localSheetId="19">#REF!</definedName>
    <definedName name="inqno" localSheetId="20">#REF!</definedName>
    <definedName name="inqno" localSheetId="24">#REF!</definedName>
    <definedName name="inqno" localSheetId="104">#REF!</definedName>
    <definedName name="inqno" localSheetId="65">#REF!</definedName>
    <definedName name="inqno" localSheetId="64">#REF!</definedName>
    <definedName name="inqno" localSheetId="77">#REF!</definedName>
    <definedName name="inqno" localSheetId="49">#REF!</definedName>
    <definedName name="inqno" localSheetId="40">#REF!</definedName>
    <definedName name="inqno" localSheetId="43">#REF!</definedName>
    <definedName name="inqno" localSheetId="13">#REF!</definedName>
    <definedName name="inqno" localSheetId="38">#REF!</definedName>
    <definedName name="inqno">#REF!</definedName>
    <definedName name="invoice" localSheetId="3">#REF!</definedName>
    <definedName name="invoice" localSheetId="7">#REF!</definedName>
    <definedName name="invoice" localSheetId="9">#REF!</definedName>
    <definedName name="invoice" localSheetId="10">#REF!</definedName>
    <definedName name="invoice" localSheetId="15">#REF!</definedName>
    <definedName name="invoice" localSheetId="19">#REF!</definedName>
    <definedName name="invoice" localSheetId="20">#REF!</definedName>
    <definedName name="invoice" localSheetId="24">#REF!</definedName>
    <definedName name="invoice" localSheetId="104">#REF!</definedName>
    <definedName name="invoice" localSheetId="65">#REF!</definedName>
    <definedName name="invoice" localSheetId="64">#REF!</definedName>
    <definedName name="invoice" localSheetId="77">#REF!</definedName>
    <definedName name="invoice" localSheetId="49">#REF!</definedName>
    <definedName name="invoice" localSheetId="40">#REF!</definedName>
    <definedName name="invoice" localSheetId="43">#REF!</definedName>
    <definedName name="invoice" localSheetId="13">#REF!</definedName>
    <definedName name="invoice" localSheetId="38">#REF!</definedName>
    <definedName name="invoice">#REF!</definedName>
    <definedName name="isopropyl" localSheetId="3">#REF!</definedName>
    <definedName name="isopropyl" localSheetId="7">#REF!</definedName>
    <definedName name="isopropyl" localSheetId="9">#REF!</definedName>
    <definedName name="isopropyl" localSheetId="10">#REF!</definedName>
    <definedName name="isopropyl" localSheetId="15">#REF!</definedName>
    <definedName name="isopropyl" localSheetId="19">#REF!</definedName>
    <definedName name="isopropyl" localSheetId="20">#REF!</definedName>
    <definedName name="isopropyl" localSheetId="24">#REF!</definedName>
    <definedName name="isopropyl" localSheetId="104">#REF!</definedName>
    <definedName name="isopropyl" localSheetId="65">#REF!</definedName>
    <definedName name="isopropyl" localSheetId="64">#REF!</definedName>
    <definedName name="isopropyl" localSheetId="77">#REF!</definedName>
    <definedName name="isopropyl" localSheetId="49">#REF!</definedName>
    <definedName name="isopropyl" localSheetId="40">#REF!</definedName>
    <definedName name="isopropyl" localSheetId="43">#REF!</definedName>
    <definedName name="isopropyl" localSheetId="13">#REF!</definedName>
    <definedName name="isopropyl" localSheetId="38">#REF!</definedName>
    <definedName name="isopropyl">#REF!</definedName>
    <definedName name="J" localSheetId="3">#REF!</definedName>
    <definedName name="J" localSheetId="7">#REF!</definedName>
    <definedName name="J" localSheetId="9">#REF!</definedName>
    <definedName name="J" localSheetId="10">#REF!</definedName>
    <definedName name="J" localSheetId="15">#REF!</definedName>
    <definedName name="J" localSheetId="19">#REF!</definedName>
    <definedName name="J" localSheetId="20">#REF!</definedName>
    <definedName name="J" localSheetId="24">#REF!</definedName>
    <definedName name="J" localSheetId="104">#REF!</definedName>
    <definedName name="J" localSheetId="65">#REF!</definedName>
    <definedName name="J" localSheetId="64">#REF!</definedName>
    <definedName name="J" localSheetId="77">#REF!</definedName>
    <definedName name="J" localSheetId="49">#REF!</definedName>
    <definedName name="J" localSheetId="40">#REF!</definedName>
    <definedName name="J" localSheetId="43">#REF!</definedName>
    <definedName name="J" localSheetId="13">#REF!</definedName>
    <definedName name="J" localSheetId="38">#REF!</definedName>
    <definedName name="J">#REF!</definedName>
    <definedName name="JAN" localSheetId="3">#REF!</definedName>
    <definedName name="JAN" localSheetId="7">#REF!</definedName>
    <definedName name="JAN" localSheetId="9">#REF!</definedName>
    <definedName name="JAN" localSheetId="10">#REF!</definedName>
    <definedName name="JAN" localSheetId="15">#REF!</definedName>
    <definedName name="JAN" localSheetId="19">#REF!</definedName>
    <definedName name="JAN" localSheetId="20">#REF!</definedName>
    <definedName name="JAN" localSheetId="24">#REF!</definedName>
    <definedName name="JAN" localSheetId="104">#REF!</definedName>
    <definedName name="JAN" localSheetId="65">#REF!</definedName>
    <definedName name="JAN" localSheetId="64">#REF!</definedName>
    <definedName name="JAN" localSheetId="77">#REF!</definedName>
    <definedName name="JAN" localSheetId="49">#REF!</definedName>
    <definedName name="JAN" localSheetId="40">#REF!</definedName>
    <definedName name="JAN" localSheetId="43">#REF!</definedName>
    <definedName name="JAN" localSheetId="13">#REF!</definedName>
    <definedName name="JAN" localSheetId="38">#REF!</definedName>
    <definedName name="JAN">#REF!</definedName>
    <definedName name="jj" localSheetId="3" hidden="1">#REF!</definedName>
    <definedName name="jj" localSheetId="7" hidden="1">#REF!</definedName>
    <definedName name="jj" localSheetId="9" hidden="1">#REF!</definedName>
    <definedName name="jj" localSheetId="10" hidden="1">#REF!</definedName>
    <definedName name="jj" localSheetId="15" hidden="1">#REF!</definedName>
    <definedName name="jj" localSheetId="18" hidden="1">#REF!</definedName>
    <definedName name="jj" localSheetId="19" hidden="1">#REF!</definedName>
    <definedName name="jj" localSheetId="20" hidden="1">#REF!</definedName>
    <definedName name="jj" localSheetId="23" hidden="1">#REF!</definedName>
    <definedName name="jj" localSheetId="24" hidden="1">#REF!</definedName>
    <definedName name="jj" localSheetId="35" hidden="1">#REF!</definedName>
    <definedName name="jj" localSheetId="58" hidden="1">#REF!</definedName>
    <definedName name="jj" localSheetId="60" hidden="1">#REF!</definedName>
    <definedName name="jj" localSheetId="51" hidden="1">#REF!</definedName>
    <definedName name="jj" localSheetId="54" hidden="1">#REF!</definedName>
    <definedName name="jj" localSheetId="47" hidden="1">#REF!</definedName>
    <definedName name="jj" localSheetId="105" hidden="1">#REF!</definedName>
    <definedName name="jj" localSheetId="104" hidden="1">#REF!</definedName>
    <definedName name="jj" localSheetId="88" hidden="1">#REF!</definedName>
    <definedName name="jj" localSheetId="89" hidden="1">#REF!</definedName>
    <definedName name="jj" localSheetId="87" hidden="1">#REF!</definedName>
    <definedName name="jj" localSheetId="90" hidden="1">#REF!</definedName>
    <definedName name="jj" localSheetId="70" hidden="1">#REF!</definedName>
    <definedName name="jj" localSheetId="65" hidden="1">#REF!</definedName>
    <definedName name="jj" localSheetId="64" hidden="1">#REF!</definedName>
    <definedName name="jj" localSheetId="77" hidden="1">#REF!</definedName>
    <definedName name="jj" localSheetId="49" hidden="1">#REF!</definedName>
    <definedName name="jj" localSheetId="57" hidden="1">#REF!</definedName>
    <definedName name="jj" localSheetId="59" hidden="1">#REF!</definedName>
    <definedName name="jj" localSheetId="40" hidden="1">#REF!</definedName>
    <definedName name="jj" localSheetId="43" hidden="1">#REF!</definedName>
    <definedName name="jj" localSheetId="55" hidden="1">#REF!</definedName>
    <definedName name="jj" localSheetId="13" hidden="1">#REF!</definedName>
    <definedName name="jj" localSheetId="11" hidden="1">#REF!</definedName>
    <definedName name="jj" localSheetId="38" hidden="1">#REF!</definedName>
    <definedName name="jj" localSheetId="41" hidden="1">#REF!</definedName>
    <definedName name="jj" localSheetId="101" hidden="1">#REF!</definedName>
    <definedName name="jj" localSheetId="102" hidden="1">#REF!</definedName>
    <definedName name="jj" localSheetId="103" hidden="1">#REF!</definedName>
    <definedName name="jj" localSheetId="97" hidden="1">#REF!</definedName>
    <definedName name="jj" localSheetId="42" hidden="1">#REF!</definedName>
    <definedName name="jj" localSheetId="12" hidden="1">#REF!</definedName>
    <definedName name="jj" localSheetId="73" hidden="1">#REF!</definedName>
    <definedName name="jj" localSheetId="74" hidden="1">#REF!</definedName>
    <definedName name="jj" hidden="1">#REF!</definedName>
    <definedName name="jk" localSheetId="3" hidden="1">#REF!</definedName>
    <definedName name="jk" localSheetId="7" hidden="1">#REF!</definedName>
    <definedName name="jk" localSheetId="9" hidden="1">#REF!</definedName>
    <definedName name="jk" localSheetId="10" hidden="1">#REF!</definedName>
    <definedName name="jk" localSheetId="15" hidden="1">#REF!</definedName>
    <definedName name="jk" localSheetId="18" hidden="1">#REF!</definedName>
    <definedName name="jk" localSheetId="19" hidden="1">#REF!</definedName>
    <definedName name="jk" localSheetId="20" hidden="1">#REF!</definedName>
    <definedName name="jk" localSheetId="23" hidden="1">#REF!</definedName>
    <definedName name="jk" localSheetId="24" hidden="1">#REF!</definedName>
    <definedName name="jk" localSheetId="35" hidden="1">#REF!</definedName>
    <definedName name="jk" localSheetId="58" hidden="1">#REF!</definedName>
    <definedName name="jk" localSheetId="60" hidden="1">#REF!</definedName>
    <definedName name="jk" localSheetId="51" hidden="1">#REF!</definedName>
    <definedName name="jk" localSheetId="54" hidden="1">#REF!</definedName>
    <definedName name="jk" localSheetId="47" hidden="1">#REF!</definedName>
    <definedName name="jk" localSheetId="105" hidden="1">#REF!</definedName>
    <definedName name="jk" localSheetId="104" hidden="1">#REF!</definedName>
    <definedName name="jk" localSheetId="88" hidden="1">#REF!</definedName>
    <definedName name="jk" localSheetId="89" hidden="1">#REF!</definedName>
    <definedName name="jk" localSheetId="87" hidden="1">#REF!</definedName>
    <definedName name="jk" localSheetId="90" hidden="1">#REF!</definedName>
    <definedName name="jk" localSheetId="70" hidden="1">#REF!</definedName>
    <definedName name="jk" localSheetId="65" hidden="1">#REF!</definedName>
    <definedName name="jk" localSheetId="64" hidden="1">#REF!</definedName>
    <definedName name="jk" localSheetId="77" hidden="1">#REF!</definedName>
    <definedName name="jk" localSheetId="49" hidden="1">#REF!</definedName>
    <definedName name="jk" localSheetId="57" hidden="1">#REF!</definedName>
    <definedName name="jk" localSheetId="59" hidden="1">#REF!</definedName>
    <definedName name="jk" localSheetId="40" hidden="1">#REF!</definedName>
    <definedName name="jk" localSheetId="43" hidden="1">#REF!</definedName>
    <definedName name="jk" localSheetId="55" hidden="1">#REF!</definedName>
    <definedName name="jk" localSheetId="13" hidden="1">#REF!</definedName>
    <definedName name="jk" localSheetId="11" hidden="1">#REF!</definedName>
    <definedName name="jk" localSheetId="38" hidden="1">#REF!</definedName>
    <definedName name="jk" localSheetId="41" hidden="1">#REF!</definedName>
    <definedName name="jk" localSheetId="101" hidden="1">#REF!</definedName>
    <definedName name="jk" localSheetId="102" hidden="1">#REF!</definedName>
    <definedName name="jk" localSheetId="103" hidden="1">#REF!</definedName>
    <definedName name="jk" localSheetId="97" hidden="1">#REF!</definedName>
    <definedName name="jk" localSheetId="42" hidden="1">#REF!</definedName>
    <definedName name="jk" localSheetId="12" hidden="1">#REF!</definedName>
    <definedName name="jk" localSheetId="73" hidden="1">#REF!</definedName>
    <definedName name="jk" localSheetId="74" hidden="1">#REF!</definedName>
    <definedName name="jk" hidden="1">#REF!</definedName>
    <definedName name="joe" localSheetId="105" hidden="1">{#N/A,#N/A,FALSE,"F1-Currrent";#N/A,#N/A,FALSE,"F2-Current";#N/A,#N/A,FALSE,"F2-Proposed";#N/A,#N/A,FALSE,"F3-Current";#N/A,#N/A,FALSE,"F4-Current";#N/A,#N/A,FALSE,"F4-Proposed";#N/A,#N/A,FALSE,"Controls"}</definedName>
    <definedName name="joe" localSheetId="96" hidden="1">{#N/A,#N/A,FALSE,"F1-Currrent";#N/A,#N/A,FALSE,"F2-Current";#N/A,#N/A,FALSE,"F2-Proposed";#N/A,#N/A,FALSE,"F3-Current";#N/A,#N/A,FALSE,"F4-Current";#N/A,#N/A,FALSE,"F4-Proposed";#N/A,#N/A,FALSE,"Controls"}</definedName>
    <definedName name="joe" localSheetId="44" hidden="1">{#N/A,#N/A,FALSE,"F1-Currrent";#N/A,#N/A,FALSE,"F2-Current";#N/A,#N/A,FALSE,"F2-Proposed";#N/A,#N/A,FALSE,"F3-Current";#N/A,#N/A,FALSE,"F4-Current";#N/A,#N/A,FALSE,"F4-Proposed";#N/A,#N/A,FALSE,"Controls"}</definedName>
    <definedName name="joe" hidden="1">{#N/A,#N/A,FALSE,"F1-Currrent";#N/A,#N/A,FALSE,"F2-Current";#N/A,#N/A,FALSE,"F2-Proposed";#N/A,#N/A,FALSE,"F3-Current";#N/A,#N/A,FALSE,"F4-Current";#N/A,#N/A,FALSE,"F4-Proposed";#N/A,#N/A,FALSE,"Controls"}</definedName>
    <definedName name="JUL" localSheetId="3">#REF!</definedName>
    <definedName name="JUL" localSheetId="7">#REF!</definedName>
    <definedName name="JUL" localSheetId="9">#REF!</definedName>
    <definedName name="JUL" localSheetId="10">#REF!</definedName>
    <definedName name="JUL" localSheetId="15">#REF!</definedName>
    <definedName name="JUL" localSheetId="19">#REF!</definedName>
    <definedName name="JUL" localSheetId="20">#REF!</definedName>
    <definedName name="JUL" localSheetId="24">#REF!</definedName>
    <definedName name="JUL" localSheetId="104">#REF!</definedName>
    <definedName name="JUL" localSheetId="65">#REF!</definedName>
    <definedName name="JUL" localSheetId="64">#REF!</definedName>
    <definedName name="JUL" localSheetId="77">#REF!</definedName>
    <definedName name="JUL" localSheetId="49">#REF!</definedName>
    <definedName name="JUL" localSheetId="40">#REF!</definedName>
    <definedName name="JUL" localSheetId="43">#REF!</definedName>
    <definedName name="JUL" localSheetId="13">#REF!</definedName>
    <definedName name="JUL" localSheetId="38">#REF!</definedName>
    <definedName name="JUL">#REF!</definedName>
    <definedName name="JUNE" localSheetId="3">#REF!</definedName>
    <definedName name="JUNE" localSheetId="7">#REF!</definedName>
    <definedName name="JUNE" localSheetId="9">#REF!</definedName>
    <definedName name="JUNE" localSheetId="10">#REF!</definedName>
    <definedName name="JUNE" localSheetId="15">#REF!</definedName>
    <definedName name="JUNE" localSheetId="19">#REF!</definedName>
    <definedName name="JUNE" localSheetId="20">#REF!</definedName>
    <definedName name="JUNE" localSheetId="24">#REF!</definedName>
    <definedName name="JUNE" localSheetId="104">#REF!</definedName>
    <definedName name="JUNE" localSheetId="65">#REF!</definedName>
    <definedName name="JUNE" localSheetId="64">#REF!</definedName>
    <definedName name="JUNE" localSheetId="77">#REF!</definedName>
    <definedName name="JUNE" localSheetId="49">#REF!</definedName>
    <definedName name="JUNE" localSheetId="40">#REF!</definedName>
    <definedName name="JUNE" localSheetId="43">#REF!</definedName>
    <definedName name="JUNE" localSheetId="13">#REF!</definedName>
    <definedName name="JUNE" localSheetId="38">#REF!</definedName>
    <definedName name="JUNE">#REF!</definedName>
    <definedName name="k" localSheetId="3">#REF!</definedName>
    <definedName name="k" localSheetId="7">#REF!</definedName>
    <definedName name="k" localSheetId="9">#REF!</definedName>
    <definedName name="k" localSheetId="10">#REF!</definedName>
    <definedName name="k" localSheetId="15">#REF!</definedName>
    <definedName name="k" localSheetId="19">#REF!</definedName>
    <definedName name="k" localSheetId="20">#REF!</definedName>
    <definedName name="k" localSheetId="24">#REF!</definedName>
    <definedName name="k" localSheetId="104">#REF!</definedName>
    <definedName name="k" localSheetId="65">#REF!</definedName>
    <definedName name="k" localSheetId="64">#REF!</definedName>
    <definedName name="k" localSheetId="77">#REF!</definedName>
    <definedName name="k" localSheetId="49">#REF!</definedName>
    <definedName name="k" localSheetId="48">#REF!</definedName>
    <definedName name="k" localSheetId="40">#REF!</definedName>
    <definedName name="k" localSheetId="43">#REF!</definedName>
    <definedName name="k" localSheetId="13">#REF!</definedName>
    <definedName name="k" localSheetId="38">#REF!</definedName>
    <definedName name="k">#REF!</definedName>
    <definedName name="K501sbtu">'[20]Operational Basis'!$C$195</definedName>
    <definedName name="kb" localSheetId="105" hidden="1">{#N/A,#N/A,FALSE,"F1-Currrent";#N/A,#N/A,FALSE,"F2-Current";#N/A,#N/A,FALSE,"F2-Proposed";#N/A,#N/A,FALSE,"F3-Current";#N/A,#N/A,FALSE,"F4-Current";#N/A,#N/A,FALSE,"F4-Proposed";#N/A,#N/A,FALSE,"Controls"}</definedName>
    <definedName name="kb" localSheetId="96" hidden="1">{#N/A,#N/A,FALSE,"F1-Currrent";#N/A,#N/A,FALSE,"F2-Current";#N/A,#N/A,FALSE,"F2-Proposed";#N/A,#N/A,FALSE,"F3-Current";#N/A,#N/A,FALSE,"F4-Current";#N/A,#N/A,FALSE,"F4-Proposed";#N/A,#N/A,FALSE,"Controls"}</definedName>
    <definedName name="kb" localSheetId="44" hidden="1">{#N/A,#N/A,FALSE,"F1-Currrent";#N/A,#N/A,FALSE,"F2-Current";#N/A,#N/A,FALSE,"F2-Proposed";#N/A,#N/A,FALSE,"F3-Current";#N/A,#N/A,FALSE,"F4-Current";#N/A,#N/A,FALSE,"F4-Proposed";#N/A,#N/A,FALSE,"Controls"}</definedName>
    <definedName name="kb" hidden="1">{#N/A,#N/A,FALSE,"F1-Currrent";#N/A,#N/A,FALSE,"F2-Current";#N/A,#N/A,FALSE,"F2-Proposed";#N/A,#N/A,FALSE,"F3-Current";#N/A,#N/A,FALSE,"F4-Current";#N/A,#N/A,FALSE,"F4-Proposed";#N/A,#N/A,FALSE,"Controls"}</definedName>
    <definedName name="Ke" localSheetId="3">#REF!</definedName>
    <definedName name="Ke" localSheetId="7">#REF!</definedName>
    <definedName name="Ke" localSheetId="9">#REF!</definedName>
    <definedName name="Ke" localSheetId="10">#REF!</definedName>
    <definedName name="Ke" localSheetId="15">#REF!</definedName>
    <definedName name="Ke" localSheetId="19">#REF!</definedName>
    <definedName name="Ke" localSheetId="20">#REF!</definedName>
    <definedName name="Ke" localSheetId="24">#REF!</definedName>
    <definedName name="Ke" localSheetId="104">#REF!</definedName>
    <definedName name="Ke" localSheetId="65">#REF!</definedName>
    <definedName name="Ke" localSheetId="64">#REF!</definedName>
    <definedName name="Ke" localSheetId="77">#REF!</definedName>
    <definedName name="Ke" localSheetId="49">#REF!</definedName>
    <definedName name="Ke" localSheetId="40">#REF!</definedName>
    <definedName name="Ke" localSheetId="43">#REF!</definedName>
    <definedName name="Ke" localSheetId="13">#REF!</definedName>
    <definedName name="Ke" localSheetId="38">#REF!</definedName>
    <definedName name="Ke">#REF!</definedName>
    <definedName name="Kerosene" localSheetId="3">#REF!</definedName>
    <definedName name="Kerosene" localSheetId="7">#REF!</definedName>
    <definedName name="Kerosene" localSheetId="9">#REF!</definedName>
    <definedName name="Kerosene" localSheetId="10">#REF!</definedName>
    <definedName name="Kerosene" localSheetId="15">#REF!</definedName>
    <definedName name="Kerosene" localSheetId="19">#REF!</definedName>
    <definedName name="Kerosene" localSheetId="20">#REF!</definedName>
    <definedName name="Kerosene" localSheetId="24">#REF!</definedName>
    <definedName name="Kerosene" localSheetId="104">#REF!</definedName>
    <definedName name="Kerosene" localSheetId="65">#REF!</definedName>
    <definedName name="Kerosene" localSheetId="64">#REF!</definedName>
    <definedName name="Kerosene" localSheetId="77">#REF!</definedName>
    <definedName name="Kerosene" localSheetId="49">#REF!</definedName>
    <definedName name="Kerosene" localSheetId="40">#REF!</definedName>
    <definedName name="Kerosene" localSheetId="43">#REF!</definedName>
    <definedName name="Kerosene" localSheetId="13">#REF!</definedName>
    <definedName name="Kerosene" localSheetId="38">#REF!</definedName>
    <definedName name="Kerosene">#REF!</definedName>
    <definedName name="KILN" localSheetId="3">#REF!</definedName>
    <definedName name="KILN" localSheetId="7">#REF!</definedName>
    <definedName name="KILN" localSheetId="9">#REF!</definedName>
    <definedName name="KILN" localSheetId="10">#REF!</definedName>
    <definedName name="KILN" localSheetId="15">#REF!</definedName>
    <definedName name="KILN" localSheetId="19">#REF!</definedName>
    <definedName name="KILN" localSheetId="20">#REF!</definedName>
    <definedName name="KILN" localSheetId="24">#REF!</definedName>
    <definedName name="KILN" localSheetId="104">#REF!</definedName>
    <definedName name="KILN" localSheetId="65">#REF!</definedName>
    <definedName name="KILN" localSheetId="64">#REF!</definedName>
    <definedName name="KILN" localSheetId="77">#REF!</definedName>
    <definedName name="KILN" localSheetId="49">#REF!</definedName>
    <definedName name="KILN" localSheetId="40">#REF!</definedName>
    <definedName name="KILN" localSheetId="43">#REF!</definedName>
    <definedName name="KILN" localSheetId="13">#REF!</definedName>
    <definedName name="KILN" localSheetId="38">#REF!</definedName>
    <definedName name="KILN">#REF!</definedName>
    <definedName name="kjkjh" localSheetId="105" hidden="1">{"Total TTU Output",#N/A,FALSE,"TTU Summary";"B_68 OPN Output",#N/A,FALSE,"TTU Summary";"B_19 OPN Output",#N/A,FALSE,"TTU Summary"}</definedName>
    <definedName name="kjkjh" localSheetId="96" hidden="1">{"Total TTU Output",#N/A,FALSE,"TTU Summary";"B_68 OPN Output",#N/A,FALSE,"TTU Summary";"B_19 OPN Output",#N/A,FALSE,"TTU Summary"}</definedName>
    <definedName name="kjkjh" localSheetId="44" hidden="1">{"Total TTU Output",#N/A,FALSE,"TTU Summary";"B_68 OPN Output",#N/A,FALSE,"TTU Summary";"B_19 OPN Output",#N/A,FALSE,"TTU Summary"}</definedName>
    <definedName name="kjkjh" hidden="1">{"Total TTU Output",#N/A,FALSE,"TTU Summary";"B_68 OPN Output",#N/A,FALSE,"TTU Summary";"B_19 OPN Output",#N/A,FALSE,"TTU Summary"}</definedName>
    <definedName name="kk" localSheetId="105" hidden="1">{#N/A,#N/A,FALSE,"Annual Summary";#N/A,#N/A,FALSE,"Hourly Summary";#N/A,#N/A,FALSE,"Flare Combustion";#N/A,#N/A,FALSE,"Shipping";#N/A,#N/A,FALSE,"Process Turnaround";#N/A,#N/A,FALSE,"Lab Samples";#N/A,#N/A,FALSE,"Product Cycles 5-4";#N/A,#N/A,FALSE,"5-4.1";#N/A,#N/A,FALSE,"5-4.2";#N/A,#N/A,FALSE,"Physical Prop Data"}</definedName>
    <definedName name="kk" localSheetId="96" hidden="1">{#N/A,#N/A,FALSE,"Annual Summary";#N/A,#N/A,FALSE,"Hourly Summary";#N/A,#N/A,FALSE,"Flare Combustion";#N/A,#N/A,FALSE,"Shipping";#N/A,#N/A,FALSE,"Process Turnaround";#N/A,#N/A,FALSE,"Lab Samples";#N/A,#N/A,FALSE,"Product Cycles 5-4";#N/A,#N/A,FALSE,"5-4.1";#N/A,#N/A,FALSE,"5-4.2";#N/A,#N/A,FALSE,"Physical Prop Data"}</definedName>
    <definedName name="kk" localSheetId="44" hidden="1">{#N/A,#N/A,FALSE,"Annual Summary";#N/A,#N/A,FALSE,"Hourly Summary";#N/A,#N/A,FALSE,"Flare Combustion";#N/A,#N/A,FALSE,"Shipping";#N/A,#N/A,FALSE,"Process Turnaround";#N/A,#N/A,FALSE,"Lab Samples";#N/A,#N/A,FALSE,"Product Cycles 5-4";#N/A,#N/A,FALSE,"5-4.1";#N/A,#N/A,FALSE,"5-4.2";#N/A,#N/A,FALSE,"Physical Prop Data"}</definedName>
    <definedName name="kk" hidden="1">{#N/A,#N/A,FALSE,"Annual Summary";#N/A,#N/A,FALSE,"Hourly Summary";#N/A,#N/A,FALSE,"Flare Combustion";#N/A,#N/A,FALSE,"Shipping";#N/A,#N/A,FALSE,"Process Turnaround";#N/A,#N/A,FALSE,"Lab Samples";#N/A,#N/A,FALSE,"Product Cycles 5-4";#N/A,#N/A,FALSE,"5-4.1";#N/A,#N/A,FALSE,"5-4.2";#N/A,#N/A,FALSE,"Physical Prop Data"}</definedName>
    <definedName name="Kn" localSheetId="3">#REF!</definedName>
    <definedName name="Kn" localSheetId="7">#REF!</definedName>
    <definedName name="Kn" localSheetId="9">#REF!</definedName>
    <definedName name="Kn" localSheetId="10">#REF!</definedName>
    <definedName name="Kn" localSheetId="15">#REF!</definedName>
    <definedName name="Kn" localSheetId="19">#REF!</definedName>
    <definedName name="Kn" localSheetId="20">#REF!</definedName>
    <definedName name="Kn" localSheetId="24">#REF!</definedName>
    <definedName name="Kn" localSheetId="104">#REF!</definedName>
    <definedName name="Kn" localSheetId="65">#REF!</definedName>
    <definedName name="Kn" localSheetId="64">#REF!</definedName>
    <definedName name="Kn" localSheetId="77">#REF!</definedName>
    <definedName name="Kn" localSheetId="49">#REF!</definedName>
    <definedName name="Kn" localSheetId="40">#REF!</definedName>
    <definedName name="Kn" localSheetId="43">#REF!</definedName>
    <definedName name="Kn" localSheetId="13">#REF!</definedName>
    <definedName name="Kn" localSheetId="38">#REF!</definedName>
    <definedName name="Kn">#REF!</definedName>
    <definedName name="Kp" localSheetId="3">#REF!</definedName>
    <definedName name="Kp" localSheetId="7">#REF!</definedName>
    <definedName name="Kp" localSheetId="9">#REF!</definedName>
    <definedName name="Kp" localSheetId="10">#REF!</definedName>
    <definedName name="Kp" localSheetId="15">#REF!</definedName>
    <definedName name="Kp" localSheetId="19">#REF!</definedName>
    <definedName name="Kp" localSheetId="20">#REF!</definedName>
    <definedName name="Kp" localSheetId="24">#REF!</definedName>
    <definedName name="Kp" localSheetId="104">#REF!</definedName>
    <definedName name="Kp" localSheetId="65">#REF!</definedName>
    <definedName name="Kp" localSheetId="64">#REF!</definedName>
    <definedName name="Kp" localSheetId="77">#REF!</definedName>
    <definedName name="Kp" localSheetId="49">#REF!</definedName>
    <definedName name="Kp" localSheetId="40">#REF!</definedName>
    <definedName name="Kp" localSheetId="43">#REF!</definedName>
    <definedName name="Kp" localSheetId="13">#REF!</definedName>
    <definedName name="Kp" localSheetId="38">#REF!</definedName>
    <definedName name="Kp">#REF!</definedName>
    <definedName name="Ks" localSheetId="3">#REF!</definedName>
    <definedName name="Ks" localSheetId="7">#REF!</definedName>
    <definedName name="Ks" localSheetId="9">#REF!</definedName>
    <definedName name="Ks" localSheetId="10">#REF!</definedName>
    <definedName name="Ks" localSheetId="15">#REF!</definedName>
    <definedName name="Ks" localSheetId="19">#REF!</definedName>
    <definedName name="Ks" localSheetId="20">#REF!</definedName>
    <definedName name="Ks" localSheetId="24">#REF!</definedName>
    <definedName name="Ks" localSheetId="104">#REF!</definedName>
    <definedName name="Ks" localSheetId="65">#REF!</definedName>
    <definedName name="Ks" localSheetId="64">#REF!</definedName>
    <definedName name="Ks" localSheetId="77">#REF!</definedName>
    <definedName name="Ks" localSheetId="49">#REF!</definedName>
    <definedName name="Ks" localSheetId="40">#REF!</definedName>
    <definedName name="Ks" localSheetId="43">#REF!</definedName>
    <definedName name="Ks" localSheetId="13">#REF!</definedName>
    <definedName name="Ks" localSheetId="38">#REF!</definedName>
    <definedName name="Ks">#REF!</definedName>
    <definedName name="kWhr_MMBtu" localSheetId="3">#REF!</definedName>
    <definedName name="kWhr_MMBtu" localSheetId="7">#REF!</definedName>
    <definedName name="kWhr_MMBtu" localSheetId="9">#REF!</definedName>
    <definedName name="kWhr_MMBtu" localSheetId="10">#REF!</definedName>
    <definedName name="kWhr_MMBtu" localSheetId="15">#REF!</definedName>
    <definedName name="kWhr_MMBtu" localSheetId="19">#REF!</definedName>
    <definedName name="kWhr_MMBtu" localSheetId="20">#REF!</definedName>
    <definedName name="kWhr_MMBtu" localSheetId="24">#REF!</definedName>
    <definedName name="kWhr_MMBtu" localSheetId="104">#REF!</definedName>
    <definedName name="kWhr_MMBtu" localSheetId="65">#REF!</definedName>
    <definedName name="kWhr_MMBtu" localSheetId="64">#REF!</definedName>
    <definedName name="kWhr_MMBtu" localSheetId="77">#REF!</definedName>
    <definedName name="kWhr_MMBtu" localSheetId="49">#REF!</definedName>
    <definedName name="kWhr_MMBtu" localSheetId="40">#REF!</definedName>
    <definedName name="kWhr_MMBtu" localSheetId="43">#REF!</definedName>
    <definedName name="kWhr_MMBtu" localSheetId="13">#REF!</definedName>
    <definedName name="kWhr_MMBtu" localSheetId="38">#REF!</definedName>
    <definedName name="kWhr_MMBtu">#REF!</definedName>
    <definedName name="kysif" localSheetId="5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5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7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7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6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6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6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9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5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6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8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7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localSheetId="7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kysif_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L" localSheetId="3">#REF!</definedName>
    <definedName name="L" localSheetId="7">#REF!</definedName>
    <definedName name="L" localSheetId="9">#REF!</definedName>
    <definedName name="L" localSheetId="10">#REF!</definedName>
    <definedName name="L" localSheetId="15">#REF!</definedName>
    <definedName name="L" localSheetId="19">#REF!</definedName>
    <definedName name="L" localSheetId="20">#REF!</definedName>
    <definedName name="L" localSheetId="24">#REF!</definedName>
    <definedName name="L" localSheetId="104">#REF!</definedName>
    <definedName name="L" localSheetId="65">#REF!</definedName>
    <definedName name="L" localSheetId="64">#REF!</definedName>
    <definedName name="L" localSheetId="77">#REF!</definedName>
    <definedName name="L" localSheetId="49">#REF!</definedName>
    <definedName name="L" localSheetId="40">#REF!</definedName>
    <definedName name="L" localSheetId="43">#REF!</definedName>
    <definedName name="L" localSheetId="13">#REF!</definedName>
    <definedName name="L" localSheetId="38">#REF!</definedName>
    <definedName name="L">#REF!</definedName>
    <definedName name="L_ft3" localSheetId="3">#REF!</definedName>
    <definedName name="L_ft3" localSheetId="7">#REF!</definedName>
    <definedName name="L_ft3" localSheetId="9">#REF!</definedName>
    <definedName name="L_ft3" localSheetId="10">#REF!</definedName>
    <definedName name="L_ft3" localSheetId="15">#REF!</definedName>
    <definedName name="L_ft3" localSheetId="19">#REF!</definedName>
    <definedName name="L_ft3" localSheetId="20">#REF!</definedName>
    <definedName name="L_ft3" localSheetId="24">#REF!</definedName>
    <definedName name="L_ft3" localSheetId="104">#REF!</definedName>
    <definedName name="L_ft3" localSheetId="65">#REF!</definedName>
    <definedName name="L_ft3" localSheetId="64">#REF!</definedName>
    <definedName name="L_ft3" localSheetId="77">#REF!</definedName>
    <definedName name="L_ft3" localSheetId="49">#REF!</definedName>
    <definedName name="L_ft3" localSheetId="40">#REF!</definedName>
    <definedName name="L_ft3" localSheetId="43">#REF!</definedName>
    <definedName name="L_ft3" localSheetId="13">#REF!</definedName>
    <definedName name="L_ft3" localSheetId="38">#REF!</definedName>
    <definedName name="L_ft3">#REF!</definedName>
    <definedName name="LABELING" localSheetId="3">#REF!</definedName>
    <definedName name="LABELING" localSheetId="7">#REF!</definedName>
    <definedName name="LABELING" localSheetId="9">#REF!</definedName>
    <definedName name="LABELING" localSheetId="10">#REF!</definedName>
    <definedName name="LABELING" localSheetId="15">#REF!</definedName>
    <definedName name="LABELING" localSheetId="19">#REF!</definedName>
    <definedName name="LABELING" localSheetId="20">#REF!</definedName>
    <definedName name="LABELING" localSheetId="24">#REF!</definedName>
    <definedName name="LABELING" localSheetId="104">#REF!</definedName>
    <definedName name="LABELING" localSheetId="65">#REF!</definedName>
    <definedName name="LABELING" localSheetId="64">#REF!</definedName>
    <definedName name="LABELING" localSheetId="77">#REF!</definedName>
    <definedName name="LABELING" localSheetId="49">#REF!</definedName>
    <definedName name="LABELING" localSheetId="48">#REF!</definedName>
    <definedName name="LABELING" localSheetId="40">#REF!</definedName>
    <definedName name="LABELING" localSheetId="43">#REF!</definedName>
    <definedName name="LABELING" localSheetId="13">#REF!</definedName>
    <definedName name="LABELING" localSheetId="38">#REF!</definedName>
    <definedName name="LABELING">#REF!</definedName>
    <definedName name="LandingLossType" localSheetId="3">#REF!</definedName>
    <definedName name="LandingLossType" localSheetId="7">#REF!</definedName>
    <definedName name="LandingLossType" localSheetId="9">#REF!</definedName>
    <definedName name="LandingLossType" localSheetId="10">#REF!</definedName>
    <definedName name="LandingLossType" localSheetId="15">#REF!</definedName>
    <definedName name="LandingLossType" localSheetId="19">#REF!</definedName>
    <definedName name="LandingLossType" localSheetId="20">#REF!</definedName>
    <definedName name="LandingLossType" localSheetId="24">#REF!</definedName>
    <definedName name="LandingLossType" localSheetId="104">#REF!</definedName>
    <definedName name="LandingLossType" localSheetId="65">#REF!</definedName>
    <definedName name="LandingLossType" localSheetId="64">#REF!</definedName>
    <definedName name="LandingLossType" localSheetId="77">#REF!</definedName>
    <definedName name="LandingLossType" localSheetId="49">#REF!</definedName>
    <definedName name="LandingLossType" localSheetId="40">#REF!</definedName>
    <definedName name="LandingLossType" localSheetId="43">#REF!</definedName>
    <definedName name="LandingLossType" localSheetId="13">#REF!</definedName>
    <definedName name="LandingLossType" localSheetId="38">#REF!</definedName>
    <definedName name="LandingLossType">#REF!</definedName>
    <definedName name="lb_gr" localSheetId="3">#REF!</definedName>
    <definedName name="lb_gr" localSheetId="7">#REF!</definedName>
    <definedName name="lb_gr" localSheetId="9">#REF!</definedName>
    <definedName name="lb_gr" localSheetId="10">#REF!</definedName>
    <definedName name="lb_gr" localSheetId="15">#REF!</definedName>
    <definedName name="lb_gr" localSheetId="19">#REF!</definedName>
    <definedName name="lb_gr" localSheetId="20">#REF!</definedName>
    <definedName name="lb_gr" localSheetId="24">#REF!</definedName>
    <definedName name="lb_gr" localSheetId="104">#REF!</definedName>
    <definedName name="lb_gr" localSheetId="65">#REF!</definedName>
    <definedName name="lb_gr" localSheetId="64">#REF!</definedName>
    <definedName name="lb_gr" localSheetId="77">#REF!</definedName>
    <definedName name="lb_gr" localSheetId="49">#REF!</definedName>
    <definedName name="lb_gr" localSheetId="40">#REF!</definedName>
    <definedName name="lb_gr" localSheetId="43">#REF!</definedName>
    <definedName name="lb_gr" localSheetId="13">#REF!</definedName>
    <definedName name="lb_gr" localSheetId="38">#REF!</definedName>
    <definedName name="lb_gr">#REF!</definedName>
    <definedName name="lb2g" localSheetId="3">'[21]EU 10-17,25-27'!#REF!</definedName>
    <definedName name="lb2g" localSheetId="7">'[21]EU 10-17,25-27'!#REF!</definedName>
    <definedName name="lb2g" localSheetId="9">'[21]EU 10-17,25-27'!#REF!</definedName>
    <definedName name="lb2g" localSheetId="10">'[21]EU 10-17,25-27'!#REF!</definedName>
    <definedName name="lb2g" localSheetId="15">'[21]EU 10-17,25-27'!#REF!</definedName>
    <definedName name="lb2g" localSheetId="19">'[21]EU 10-17,25-27'!#REF!</definedName>
    <definedName name="lb2g" localSheetId="20">'[21]EU 10-17,25-27'!#REF!</definedName>
    <definedName name="lb2g" localSheetId="24">'[21]EU 10-17,25-27'!#REF!</definedName>
    <definedName name="lb2g" localSheetId="104">'[21]EU 10-17,25-27'!#REF!</definedName>
    <definedName name="lb2g" localSheetId="65">'[21]EU 10-17,25-27'!#REF!</definedName>
    <definedName name="lb2g" localSheetId="64">'[21]EU 10-17,25-27'!#REF!</definedName>
    <definedName name="lb2g" localSheetId="77">'[21]EU 10-17,25-27'!#REF!</definedName>
    <definedName name="lb2g" localSheetId="49">'[21]EU 10-17,25-27'!#REF!</definedName>
    <definedName name="lb2g" localSheetId="40">'[21]EU 10-17,25-27'!#REF!</definedName>
    <definedName name="lb2g" localSheetId="43">'[21]EU 10-17,25-27'!#REF!</definedName>
    <definedName name="lb2g" localSheetId="13">'[21]EU 10-17,25-27'!#REF!</definedName>
    <definedName name="lb2g" localSheetId="38">'[21]EU 10-17,25-27'!#REF!</definedName>
    <definedName name="lb2g">'[21]EU 10-17,25-27'!#REF!</definedName>
    <definedName name="LDF" localSheetId="3">#REF!</definedName>
    <definedName name="LDF" localSheetId="7">#REF!</definedName>
    <definedName name="LDF" localSheetId="9">#REF!</definedName>
    <definedName name="LDF" localSheetId="10">#REF!</definedName>
    <definedName name="LDF" localSheetId="15">#REF!</definedName>
    <definedName name="LDF" localSheetId="19">#REF!</definedName>
    <definedName name="LDF" localSheetId="20">#REF!</definedName>
    <definedName name="LDF" localSheetId="24">#REF!</definedName>
    <definedName name="LDF" localSheetId="104">#REF!</definedName>
    <definedName name="LDF" localSheetId="65">#REF!</definedName>
    <definedName name="LDF" localSheetId="64">#REF!</definedName>
    <definedName name="LDF" localSheetId="77">#REF!</definedName>
    <definedName name="LDF" localSheetId="49">#REF!</definedName>
    <definedName name="LDF" localSheetId="40">#REF!</definedName>
    <definedName name="LDF" localSheetId="43">#REF!</definedName>
    <definedName name="LDF" localSheetId="13">#REF!</definedName>
    <definedName name="LDF" localSheetId="38">#REF!</definedName>
    <definedName name="LDF">#REF!</definedName>
    <definedName name="LDS" localSheetId="3">#REF!</definedName>
    <definedName name="LDS" localSheetId="7">#REF!</definedName>
    <definedName name="LDS" localSheetId="9">#REF!</definedName>
    <definedName name="LDS" localSheetId="10">#REF!</definedName>
    <definedName name="LDS" localSheetId="15">#REF!</definedName>
    <definedName name="LDS" localSheetId="19">#REF!</definedName>
    <definedName name="LDS" localSheetId="20">#REF!</definedName>
    <definedName name="LDS" localSheetId="24">#REF!</definedName>
    <definedName name="LDS" localSheetId="104">#REF!</definedName>
    <definedName name="LDS" localSheetId="65">#REF!</definedName>
    <definedName name="LDS" localSheetId="64">#REF!</definedName>
    <definedName name="LDS" localSheetId="77">#REF!</definedName>
    <definedName name="LDS" localSheetId="49">#REF!</definedName>
    <definedName name="LDS" localSheetId="40">#REF!</definedName>
    <definedName name="LDS" localSheetId="43">#REF!</definedName>
    <definedName name="LDS" localSheetId="13">#REF!</definedName>
    <definedName name="LDS" localSheetId="38">#REF!</definedName>
    <definedName name="LDS">#REF!</definedName>
    <definedName name="leah" localSheetId="105" hidden="1">{#N/A,#N/A,FALSE,"Annual Summary";#N/A,#N/A,FALSE,"Hourly Summary";#N/A,#N/A,FALSE,"Flare Combustion";#N/A,#N/A,FALSE,"Shipping";#N/A,#N/A,FALSE,"Process Turnaround";#N/A,#N/A,FALSE,"Lab Samples";#N/A,#N/A,FALSE,"Product Cycles 5-4";#N/A,#N/A,FALSE,"5-4.1";#N/A,#N/A,FALSE,"5-4.2";#N/A,#N/A,FALSE,"Physical Prop Data"}</definedName>
    <definedName name="leah" localSheetId="96" hidden="1">{#N/A,#N/A,FALSE,"Annual Summary";#N/A,#N/A,FALSE,"Hourly Summary";#N/A,#N/A,FALSE,"Flare Combustion";#N/A,#N/A,FALSE,"Shipping";#N/A,#N/A,FALSE,"Process Turnaround";#N/A,#N/A,FALSE,"Lab Samples";#N/A,#N/A,FALSE,"Product Cycles 5-4";#N/A,#N/A,FALSE,"5-4.1";#N/A,#N/A,FALSE,"5-4.2";#N/A,#N/A,FALSE,"Physical Prop Data"}</definedName>
    <definedName name="leah" localSheetId="44" hidden="1">{#N/A,#N/A,FALSE,"Annual Summary";#N/A,#N/A,FALSE,"Hourly Summary";#N/A,#N/A,FALSE,"Flare Combustion";#N/A,#N/A,FALSE,"Shipping";#N/A,#N/A,FALSE,"Process Turnaround";#N/A,#N/A,FALSE,"Lab Samples";#N/A,#N/A,FALSE,"Product Cycles 5-4";#N/A,#N/A,FALSE,"5-4.1";#N/A,#N/A,FALSE,"5-4.2";#N/A,#N/A,FALSE,"Physical Prop Data"}</definedName>
    <definedName name="leah" hidden="1">{#N/A,#N/A,FALSE,"Annual Summary";#N/A,#N/A,FALSE,"Hourly Summary";#N/A,#N/A,FALSE,"Flare Combustion";#N/A,#N/A,FALSE,"Shipping";#N/A,#N/A,FALSE,"Process Turnaround";#N/A,#N/A,FALSE,"Lab Samples";#N/A,#N/A,FALSE,"Product Cycles 5-4";#N/A,#N/A,FALSE,"5-4.1";#N/A,#N/A,FALSE,"5-4.2";#N/A,#N/A,FALSE,"Physical Prop Data"}</definedName>
    <definedName name="legs" localSheetId="3">#REF!</definedName>
    <definedName name="legs" localSheetId="7">#REF!</definedName>
    <definedName name="legs" localSheetId="9">#REF!</definedName>
    <definedName name="legs" localSheetId="10">#REF!</definedName>
    <definedName name="legs" localSheetId="15">#REF!</definedName>
    <definedName name="legs" localSheetId="19">#REF!</definedName>
    <definedName name="legs" localSheetId="20">#REF!</definedName>
    <definedName name="legs" localSheetId="24">#REF!</definedName>
    <definedName name="legs" localSheetId="104">#REF!</definedName>
    <definedName name="legs" localSheetId="65">#REF!</definedName>
    <definedName name="legs" localSheetId="64">#REF!</definedName>
    <definedName name="legs" localSheetId="77">#REF!</definedName>
    <definedName name="legs" localSheetId="49">#REF!</definedName>
    <definedName name="legs" localSheetId="40">#REF!</definedName>
    <definedName name="legs" localSheetId="43">#REF!</definedName>
    <definedName name="legs" localSheetId="13">#REF!</definedName>
    <definedName name="legs" localSheetId="38">#REF!</definedName>
    <definedName name="legs">#REF!</definedName>
    <definedName name="LF" localSheetId="3">#REF!</definedName>
    <definedName name="LF" localSheetId="7">#REF!</definedName>
    <definedName name="LF" localSheetId="9">#REF!</definedName>
    <definedName name="LF" localSheetId="10">#REF!</definedName>
    <definedName name="LF" localSheetId="15">#REF!</definedName>
    <definedName name="LF" localSheetId="19">#REF!</definedName>
    <definedName name="LF" localSheetId="20">#REF!</definedName>
    <definedName name="LF" localSheetId="24">#REF!</definedName>
    <definedName name="LF" localSheetId="104">#REF!</definedName>
    <definedName name="LF" localSheetId="65">#REF!</definedName>
    <definedName name="LF" localSheetId="64">#REF!</definedName>
    <definedName name="LF" localSheetId="77">#REF!</definedName>
    <definedName name="LF" localSheetId="49">#REF!</definedName>
    <definedName name="LF" localSheetId="40">#REF!</definedName>
    <definedName name="LF" localSheetId="43">#REF!</definedName>
    <definedName name="LF" localSheetId="13">#REF!</definedName>
    <definedName name="LF" localSheetId="38">#REF!</definedName>
    <definedName name="LF">#REF!</definedName>
    <definedName name="Limestone" localSheetId="3">#REF!</definedName>
    <definedName name="Limestone" localSheetId="7">#REF!</definedName>
    <definedName name="Limestone" localSheetId="9">#REF!</definedName>
    <definedName name="Limestone" localSheetId="10">#REF!</definedName>
    <definedName name="Limestone" localSheetId="15">#REF!</definedName>
    <definedName name="Limestone" localSheetId="19">#REF!</definedName>
    <definedName name="Limestone" localSheetId="20">#REF!</definedName>
    <definedName name="Limestone" localSheetId="24">#REF!</definedName>
    <definedName name="Limestone" localSheetId="104">#REF!</definedName>
    <definedName name="Limestone" localSheetId="65">#REF!</definedName>
    <definedName name="Limestone" localSheetId="64">#REF!</definedName>
    <definedName name="Limestone" localSheetId="77">#REF!</definedName>
    <definedName name="Limestone" localSheetId="49">#REF!</definedName>
    <definedName name="Limestone" localSheetId="40">#REF!</definedName>
    <definedName name="Limestone" localSheetId="43">#REF!</definedName>
    <definedName name="Limestone" localSheetId="13">#REF!</definedName>
    <definedName name="Limestone" localSheetId="38">#REF!</definedName>
    <definedName name="Limestone">#REF!</definedName>
    <definedName name="line">[15]ENGINE.XLM!$C$1</definedName>
    <definedName name="liquid" localSheetId="3">#REF!</definedName>
    <definedName name="liquid" localSheetId="7">#REF!</definedName>
    <definedName name="liquid" localSheetId="9">#REF!</definedName>
    <definedName name="liquid" localSheetId="10">#REF!</definedName>
    <definedName name="liquid" localSheetId="15">#REF!</definedName>
    <definedName name="liquid" localSheetId="19">#REF!</definedName>
    <definedName name="liquid" localSheetId="20">#REF!</definedName>
    <definedName name="liquid" localSheetId="24">#REF!</definedName>
    <definedName name="liquid" localSheetId="104">#REF!</definedName>
    <definedName name="liquid" localSheetId="65">#REF!</definedName>
    <definedName name="liquid" localSheetId="64">#REF!</definedName>
    <definedName name="liquid" localSheetId="77">#REF!</definedName>
    <definedName name="liquid" localSheetId="49">#REF!</definedName>
    <definedName name="liquid" localSheetId="40">#REF!</definedName>
    <definedName name="liquid" localSheetId="43">#REF!</definedName>
    <definedName name="liquid" localSheetId="13">#REF!</definedName>
    <definedName name="liquid" localSheetId="38">#REF!</definedName>
    <definedName name="liquid">#REF!</definedName>
    <definedName name="load" localSheetId="3">#REF!</definedName>
    <definedName name="load" localSheetId="7">#REF!</definedName>
    <definedName name="load" localSheetId="9">#REF!</definedName>
    <definedName name="load" localSheetId="10">#REF!</definedName>
    <definedName name="load" localSheetId="15">#REF!</definedName>
    <definedName name="load" localSheetId="19">#REF!</definedName>
    <definedName name="load" localSheetId="20">#REF!</definedName>
    <definedName name="load" localSheetId="24">#REF!</definedName>
    <definedName name="load" localSheetId="104">#REF!</definedName>
    <definedName name="load" localSheetId="65">#REF!</definedName>
    <definedName name="load" localSheetId="64">#REF!</definedName>
    <definedName name="load" localSheetId="77">#REF!</definedName>
    <definedName name="load" localSheetId="49">#REF!</definedName>
    <definedName name="load" localSheetId="40">#REF!</definedName>
    <definedName name="load" localSheetId="43">#REF!</definedName>
    <definedName name="load" localSheetId="13">#REF!</definedName>
    <definedName name="load" localSheetId="38">#REF!</definedName>
    <definedName name="load">#REF!</definedName>
    <definedName name="Load_Emission_btm" localSheetId="3">#REF!</definedName>
    <definedName name="Load_Emission_btm" localSheetId="7">#REF!</definedName>
    <definedName name="Load_Emission_btm" localSheetId="9">#REF!</definedName>
    <definedName name="Load_Emission_btm" localSheetId="10">#REF!</definedName>
    <definedName name="Load_Emission_btm" localSheetId="15">#REF!</definedName>
    <definedName name="Load_Emission_btm" localSheetId="19">#REF!</definedName>
    <definedName name="Load_Emission_btm" localSheetId="20">#REF!</definedName>
    <definedName name="Load_Emission_btm" localSheetId="24">#REF!</definedName>
    <definedName name="Load_Emission_btm" localSheetId="104">#REF!</definedName>
    <definedName name="Load_Emission_btm" localSheetId="65">#REF!</definedName>
    <definedName name="Load_Emission_btm" localSheetId="64">#REF!</definedName>
    <definedName name="Load_Emission_btm" localSheetId="77">#REF!</definedName>
    <definedName name="Load_Emission_btm" localSheetId="49">#REF!</definedName>
    <definedName name="Load_Emission_btm" localSheetId="40">#REF!</definedName>
    <definedName name="Load_Emission_btm" localSheetId="43">#REF!</definedName>
    <definedName name="Load_Emission_btm" localSheetId="13">#REF!</definedName>
    <definedName name="Load_Emission_btm" localSheetId="38">#REF!</definedName>
    <definedName name="Load_Emission_btm">#REF!</definedName>
    <definedName name="Load_HomeChemList" localSheetId="3">#REF!</definedName>
    <definedName name="Load_HomeChemList" localSheetId="7">#REF!</definedName>
    <definedName name="Load_HomeChemList" localSheetId="9">#REF!</definedName>
    <definedName name="Load_HomeChemList" localSheetId="10">#REF!</definedName>
    <definedName name="Load_HomeChemList" localSheetId="15">#REF!</definedName>
    <definedName name="Load_HomeChemList" localSheetId="19">#REF!</definedName>
    <definedName name="Load_HomeChemList" localSheetId="20">#REF!</definedName>
    <definedName name="Load_HomeChemList" localSheetId="24">#REF!</definedName>
    <definedName name="Load_HomeChemList" localSheetId="104">#REF!</definedName>
    <definedName name="Load_HomeChemList" localSheetId="65">#REF!</definedName>
    <definedName name="Load_HomeChemList" localSheetId="64">#REF!</definedName>
    <definedName name="Load_HomeChemList" localSheetId="77">#REF!</definedName>
    <definedName name="Load_HomeChemList" localSheetId="49">#REF!</definedName>
    <definedName name="Load_HomeChemList" localSheetId="40">#REF!</definedName>
    <definedName name="Load_HomeChemList" localSheetId="43">#REF!</definedName>
    <definedName name="Load_HomeChemList" localSheetId="13">#REF!</definedName>
    <definedName name="Load_HomeChemList" localSheetId="38">#REF!</definedName>
    <definedName name="Load_HomeChemList">#REF!</definedName>
    <definedName name="Load_Strm_01" localSheetId="3">#REF!</definedName>
    <definedName name="Load_Strm_01" localSheetId="7">#REF!</definedName>
    <definedName name="Load_Strm_01" localSheetId="9">#REF!</definedName>
    <definedName name="Load_Strm_01" localSheetId="10">#REF!</definedName>
    <definedName name="Load_Strm_01" localSheetId="15">#REF!</definedName>
    <definedName name="Load_Strm_01" localSheetId="19">#REF!</definedName>
    <definedName name="Load_Strm_01" localSheetId="20">#REF!</definedName>
    <definedName name="Load_Strm_01" localSheetId="24">#REF!</definedName>
    <definedName name="Load_Strm_01" localSheetId="104">#REF!</definedName>
    <definedName name="Load_Strm_01" localSheetId="65">#REF!</definedName>
    <definedName name="Load_Strm_01" localSheetId="64">#REF!</definedName>
    <definedName name="Load_Strm_01" localSheetId="77">#REF!</definedName>
    <definedName name="Load_Strm_01" localSheetId="49">#REF!</definedName>
    <definedName name="Load_Strm_01" localSheetId="40">#REF!</definedName>
    <definedName name="Load_Strm_01" localSheetId="43">#REF!</definedName>
    <definedName name="Load_Strm_01" localSheetId="13">#REF!</definedName>
    <definedName name="Load_Strm_01" localSheetId="38">#REF!</definedName>
    <definedName name="Load_Strm_01">#REF!</definedName>
    <definedName name="Load_Strm_01_Comp" localSheetId="3">#REF!</definedName>
    <definedName name="Load_Strm_01_Comp" localSheetId="7">#REF!</definedName>
    <definedName name="Load_Strm_01_Comp" localSheetId="9">#REF!</definedName>
    <definedName name="Load_Strm_01_Comp" localSheetId="10">#REF!</definedName>
    <definedName name="Load_Strm_01_Comp" localSheetId="15">#REF!</definedName>
    <definedName name="Load_Strm_01_Comp" localSheetId="19">#REF!</definedName>
    <definedName name="Load_Strm_01_Comp" localSheetId="20">#REF!</definedName>
    <definedName name="Load_Strm_01_Comp" localSheetId="24">#REF!</definedName>
    <definedName name="Load_Strm_01_Comp" localSheetId="104">#REF!</definedName>
    <definedName name="Load_Strm_01_Comp" localSheetId="65">#REF!</definedName>
    <definedName name="Load_Strm_01_Comp" localSheetId="64">#REF!</definedName>
    <definedName name="Load_Strm_01_Comp" localSheetId="77">#REF!</definedName>
    <definedName name="Load_Strm_01_Comp" localSheetId="49">#REF!</definedName>
    <definedName name="Load_Strm_01_Comp" localSheetId="40">#REF!</definedName>
    <definedName name="Load_Strm_01_Comp" localSheetId="43">#REF!</definedName>
    <definedName name="Load_Strm_01_Comp" localSheetId="13">#REF!</definedName>
    <definedName name="Load_Strm_01_Comp" localSheetId="38">#REF!</definedName>
    <definedName name="Load_Strm_01_Comp">#REF!</definedName>
    <definedName name="Load_Strm_01_Emissions" localSheetId="3">#REF!</definedName>
    <definedName name="Load_Strm_01_Emissions" localSheetId="7">#REF!</definedName>
    <definedName name="Load_Strm_01_Emissions" localSheetId="9">#REF!</definedName>
    <definedName name="Load_Strm_01_Emissions" localSheetId="10">#REF!</definedName>
    <definedName name="Load_Strm_01_Emissions" localSheetId="15">#REF!</definedName>
    <definedName name="Load_Strm_01_Emissions" localSheetId="19">#REF!</definedName>
    <definedName name="Load_Strm_01_Emissions" localSheetId="20">#REF!</definedName>
    <definedName name="Load_Strm_01_Emissions" localSheetId="24">#REF!</definedName>
    <definedName name="Load_Strm_01_Emissions" localSheetId="104">#REF!</definedName>
    <definedName name="Load_Strm_01_Emissions" localSheetId="65">#REF!</definedName>
    <definedName name="Load_Strm_01_Emissions" localSheetId="64">#REF!</definedName>
    <definedName name="Load_Strm_01_Emissions" localSheetId="77">#REF!</definedName>
    <definedName name="Load_Strm_01_Emissions" localSheetId="49">#REF!</definedName>
    <definedName name="Load_Strm_01_Emissions" localSheetId="40">#REF!</definedName>
    <definedName name="Load_Strm_01_Emissions" localSheetId="43">#REF!</definedName>
    <definedName name="Load_Strm_01_Emissions" localSheetId="13">#REF!</definedName>
    <definedName name="Load_Strm_01_Emissions" localSheetId="38">#REF!</definedName>
    <definedName name="Load_Strm_01_Emissions">#REF!</definedName>
    <definedName name="Load_Strm_02" localSheetId="3">#REF!</definedName>
    <definedName name="Load_Strm_02" localSheetId="7">#REF!</definedName>
    <definedName name="Load_Strm_02" localSheetId="9">#REF!</definedName>
    <definedName name="Load_Strm_02" localSheetId="10">#REF!</definedName>
    <definedName name="Load_Strm_02" localSheetId="15">#REF!</definedName>
    <definedName name="Load_Strm_02" localSheetId="19">#REF!</definedName>
    <definedName name="Load_Strm_02" localSheetId="20">#REF!</definedName>
    <definedName name="Load_Strm_02" localSheetId="24">#REF!</definedName>
    <definedName name="Load_Strm_02" localSheetId="104">#REF!</definedName>
    <definedName name="Load_Strm_02" localSheetId="65">#REF!</definedName>
    <definedName name="Load_Strm_02" localSheetId="64">#REF!</definedName>
    <definedName name="Load_Strm_02" localSheetId="77">#REF!</definedName>
    <definedName name="Load_Strm_02" localSheetId="49">#REF!</definedName>
    <definedName name="Load_Strm_02" localSheetId="40">#REF!</definedName>
    <definedName name="Load_Strm_02" localSheetId="43">#REF!</definedName>
    <definedName name="Load_Strm_02" localSheetId="13">#REF!</definedName>
    <definedName name="Load_Strm_02" localSheetId="38">#REF!</definedName>
    <definedName name="Load_Strm_02">#REF!</definedName>
    <definedName name="Load_Strm_02_Comp" localSheetId="3">#REF!</definedName>
    <definedName name="Load_Strm_02_Comp" localSheetId="7">#REF!</definedName>
    <definedName name="Load_Strm_02_Comp" localSheetId="9">#REF!</definedName>
    <definedName name="Load_Strm_02_Comp" localSheetId="10">#REF!</definedName>
    <definedName name="Load_Strm_02_Comp" localSheetId="15">#REF!</definedName>
    <definedName name="Load_Strm_02_Comp" localSheetId="19">#REF!</definedName>
    <definedName name="Load_Strm_02_Comp" localSheetId="20">#REF!</definedName>
    <definedName name="Load_Strm_02_Comp" localSheetId="24">#REF!</definedName>
    <definedName name="Load_Strm_02_Comp" localSheetId="104">#REF!</definedName>
    <definedName name="Load_Strm_02_Comp" localSheetId="65">#REF!</definedName>
    <definedName name="Load_Strm_02_Comp" localSheetId="64">#REF!</definedName>
    <definedName name="Load_Strm_02_Comp" localSheetId="77">#REF!</definedName>
    <definedName name="Load_Strm_02_Comp" localSheetId="49">#REF!</definedName>
    <definedName name="Load_Strm_02_Comp" localSheetId="40">#REF!</definedName>
    <definedName name="Load_Strm_02_Comp" localSheetId="43">#REF!</definedName>
    <definedName name="Load_Strm_02_Comp" localSheetId="13">#REF!</definedName>
    <definedName name="Load_Strm_02_Comp" localSheetId="38">#REF!</definedName>
    <definedName name="Load_Strm_02_Comp">#REF!</definedName>
    <definedName name="Load_Strm_02_Emissions" localSheetId="3">#REF!</definedName>
    <definedName name="Load_Strm_02_Emissions" localSheetId="7">#REF!</definedName>
    <definedName name="Load_Strm_02_Emissions" localSheetId="9">#REF!</definedName>
    <definedName name="Load_Strm_02_Emissions" localSheetId="10">#REF!</definedName>
    <definedName name="Load_Strm_02_Emissions" localSheetId="15">#REF!</definedName>
    <definedName name="Load_Strm_02_Emissions" localSheetId="19">#REF!</definedName>
    <definedName name="Load_Strm_02_Emissions" localSheetId="20">#REF!</definedName>
    <definedName name="Load_Strm_02_Emissions" localSheetId="24">#REF!</definedName>
    <definedName name="Load_Strm_02_Emissions" localSheetId="104">#REF!</definedName>
    <definedName name="Load_Strm_02_Emissions" localSheetId="65">#REF!</definedName>
    <definedName name="Load_Strm_02_Emissions" localSheetId="64">#REF!</definedName>
    <definedName name="Load_Strm_02_Emissions" localSheetId="77">#REF!</definedName>
    <definedName name="Load_Strm_02_Emissions" localSheetId="49">#REF!</definedName>
    <definedName name="Load_Strm_02_Emissions" localSheetId="40">#REF!</definedName>
    <definedName name="Load_Strm_02_Emissions" localSheetId="43">#REF!</definedName>
    <definedName name="Load_Strm_02_Emissions" localSheetId="13">#REF!</definedName>
    <definedName name="Load_Strm_02_Emissions" localSheetId="38">#REF!</definedName>
    <definedName name="Load_Strm_02_Emissions">#REF!</definedName>
    <definedName name="Load_Strm_03" localSheetId="3">#REF!</definedName>
    <definedName name="Load_Strm_03" localSheetId="7">#REF!</definedName>
    <definedName name="Load_Strm_03" localSheetId="9">#REF!</definedName>
    <definedName name="Load_Strm_03" localSheetId="10">#REF!</definedName>
    <definedName name="Load_Strm_03" localSheetId="15">#REF!</definedName>
    <definedName name="Load_Strm_03" localSheetId="19">#REF!</definedName>
    <definedName name="Load_Strm_03" localSheetId="20">#REF!</definedName>
    <definedName name="Load_Strm_03" localSheetId="24">#REF!</definedName>
    <definedName name="Load_Strm_03" localSheetId="104">#REF!</definedName>
    <definedName name="Load_Strm_03" localSheetId="65">#REF!</definedName>
    <definedName name="Load_Strm_03" localSheetId="64">#REF!</definedName>
    <definedName name="Load_Strm_03" localSheetId="77">#REF!</definedName>
    <definedName name="Load_Strm_03" localSheetId="49">#REF!</definedName>
    <definedName name="Load_Strm_03" localSheetId="40">#REF!</definedName>
    <definedName name="Load_Strm_03" localSheetId="43">#REF!</definedName>
    <definedName name="Load_Strm_03" localSheetId="13">#REF!</definedName>
    <definedName name="Load_Strm_03" localSheetId="38">#REF!</definedName>
    <definedName name="Load_Strm_03">#REF!</definedName>
    <definedName name="Load_Strm_03_Comp" localSheetId="3">#REF!</definedName>
    <definedName name="Load_Strm_03_Comp" localSheetId="7">#REF!</definedName>
    <definedName name="Load_Strm_03_Comp" localSheetId="9">#REF!</definedName>
    <definedName name="Load_Strm_03_Comp" localSheetId="10">#REF!</definedName>
    <definedName name="Load_Strm_03_Comp" localSheetId="15">#REF!</definedName>
    <definedName name="Load_Strm_03_Comp" localSheetId="19">#REF!</definedName>
    <definedName name="Load_Strm_03_Comp" localSheetId="20">#REF!</definedName>
    <definedName name="Load_Strm_03_Comp" localSheetId="24">#REF!</definedName>
    <definedName name="Load_Strm_03_Comp" localSheetId="104">#REF!</definedName>
    <definedName name="Load_Strm_03_Comp" localSheetId="65">#REF!</definedName>
    <definedName name="Load_Strm_03_Comp" localSheetId="64">#REF!</definedName>
    <definedName name="Load_Strm_03_Comp" localSheetId="77">#REF!</definedName>
    <definedName name="Load_Strm_03_Comp" localSheetId="49">#REF!</definedName>
    <definedName name="Load_Strm_03_Comp" localSheetId="40">#REF!</definedName>
    <definedName name="Load_Strm_03_Comp" localSheetId="43">#REF!</definedName>
    <definedName name="Load_Strm_03_Comp" localSheetId="13">#REF!</definedName>
    <definedName name="Load_Strm_03_Comp" localSheetId="38">#REF!</definedName>
    <definedName name="Load_Strm_03_Comp">#REF!</definedName>
    <definedName name="Load_Strm_03_Emissions" localSheetId="3">#REF!</definedName>
    <definedName name="Load_Strm_03_Emissions" localSheetId="7">#REF!</definedName>
    <definedName name="Load_Strm_03_Emissions" localSheetId="9">#REF!</definedName>
    <definedName name="Load_Strm_03_Emissions" localSheetId="10">#REF!</definedName>
    <definedName name="Load_Strm_03_Emissions" localSheetId="15">#REF!</definedName>
    <definedName name="Load_Strm_03_Emissions" localSheetId="19">#REF!</definedName>
    <definedName name="Load_Strm_03_Emissions" localSheetId="20">#REF!</definedName>
    <definedName name="Load_Strm_03_Emissions" localSheetId="24">#REF!</definedName>
    <definedName name="Load_Strm_03_Emissions" localSheetId="104">#REF!</definedName>
    <definedName name="Load_Strm_03_Emissions" localSheetId="65">#REF!</definedName>
    <definedName name="Load_Strm_03_Emissions" localSheetId="64">#REF!</definedName>
    <definedName name="Load_Strm_03_Emissions" localSheetId="77">#REF!</definedName>
    <definedName name="Load_Strm_03_Emissions" localSheetId="49">#REF!</definedName>
    <definedName name="Load_Strm_03_Emissions" localSheetId="40">#REF!</definedName>
    <definedName name="Load_Strm_03_Emissions" localSheetId="43">#REF!</definedName>
    <definedName name="Load_Strm_03_Emissions" localSheetId="13">#REF!</definedName>
    <definedName name="Load_Strm_03_Emissions" localSheetId="38">#REF!</definedName>
    <definedName name="Load_Strm_03_Emissions">#REF!</definedName>
    <definedName name="Load_Strm_04" localSheetId="3">#REF!</definedName>
    <definedName name="Load_Strm_04" localSheetId="7">#REF!</definedName>
    <definedName name="Load_Strm_04" localSheetId="9">#REF!</definedName>
    <definedName name="Load_Strm_04" localSheetId="10">#REF!</definedName>
    <definedName name="Load_Strm_04" localSheetId="15">#REF!</definedName>
    <definedName name="Load_Strm_04" localSheetId="19">#REF!</definedName>
    <definedName name="Load_Strm_04" localSheetId="20">#REF!</definedName>
    <definedName name="Load_Strm_04" localSheetId="24">#REF!</definedName>
    <definedName name="Load_Strm_04" localSheetId="104">#REF!</definedName>
    <definedName name="Load_Strm_04" localSheetId="65">#REF!</definedName>
    <definedName name="Load_Strm_04" localSheetId="64">#REF!</definedName>
    <definedName name="Load_Strm_04" localSheetId="77">#REF!</definedName>
    <definedName name="Load_Strm_04" localSheetId="49">#REF!</definedName>
    <definedName name="Load_Strm_04" localSheetId="40">#REF!</definedName>
    <definedName name="Load_Strm_04" localSheetId="43">#REF!</definedName>
    <definedName name="Load_Strm_04" localSheetId="13">#REF!</definedName>
    <definedName name="Load_Strm_04" localSheetId="38">#REF!</definedName>
    <definedName name="Load_Strm_04">#REF!</definedName>
    <definedName name="Load_Strm_04_Comp" localSheetId="3">#REF!</definedName>
    <definedName name="Load_Strm_04_Comp" localSheetId="7">#REF!</definedName>
    <definedName name="Load_Strm_04_Comp" localSheetId="9">#REF!</definedName>
    <definedName name="Load_Strm_04_Comp" localSheetId="10">#REF!</definedName>
    <definedName name="Load_Strm_04_Comp" localSheetId="15">#REF!</definedName>
    <definedName name="Load_Strm_04_Comp" localSheetId="19">#REF!</definedName>
    <definedName name="Load_Strm_04_Comp" localSheetId="20">#REF!</definedName>
    <definedName name="Load_Strm_04_Comp" localSheetId="24">#REF!</definedName>
    <definedName name="Load_Strm_04_Comp" localSheetId="104">#REF!</definedName>
    <definedName name="Load_Strm_04_Comp" localSheetId="65">#REF!</definedName>
    <definedName name="Load_Strm_04_Comp" localSheetId="64">#REF!</definedName>
    <definedName name="Load_Strm_04_Comp" localSheetId="77">#REF!</definedName>
    <definedName name="Load_Strm_04_Comp" localSheetId="49">#REF!</definedName>
    <definedName name="Load_Strm_04_Comp" localSheetId="40">#REF!</definedName>
    <definedName name="Load_Strm_04_Comp" localSheetId="43">#REF!</definedName>
    <definedName name="Load_Strm_04_Comp" localSheetId="13">#REF!</definedName>
    <definedName name="Load_Strm_04_Comp" localSheetId="38">#REF!</definedName>
    <definedName name="Load_Strm_04_Comp">#REF!</definedName>
    <definedName name="Load_Strm_04_Emissions" localSheetId="3">#REF!</definedName>
    <definedName name="Load_Strm_04_Emissions" localSheetId="7">#REF!</definedName>
    <definedName name="Load_Strm_04_Emissions" localSheetId="9">#REF!</definedName>
    <definedName name="Load_Strm_04_Emissions" localSheetId="10">#REF!</definedName>
    <definedName name="Load_Strm_04_Emissions" localSheetId="15">#REF!</definedName>
    <definedName name="Load_Strm_04_Emissions" localSheetId="19">#REF!</definedName>
    <definedName name="Load_Strm_04_Emissions" localSheetId="20">#REF!</definedName>
    <definedName name="Load_Strm_04_Emissions" localSheetId="24">#REF!</definedName>
    <definedName name="Load_Strm_04_Emissions" localSheetId="104">#REF!</definedName>
    <definedName name="Load_Strm_04_Emissions" localSheetId="65">#REF!</definedName>
    <definedName name="Load_Strm_04_Emissions" localSheetId="64">#REF!</definedName>
    <definedName name="Load_Strm_04_Emissions" localSheetId="77">#REF!</definedName>
    <definedName name="Load_Strm_04_Emissions" localSheetId="49">#REF!</definedName>
    <definedName name="Load_Strm_04_Emissions" localSheetId="40">#REF!</definedName>
    <definedName name="Load_Strm_04_Emissions" localSheetId="43">#REF!</definedName>
    <definedName name="Load_Strm_04_Emissions" localSheetId="13">#REF!</definedName>
    <definedName name="Load_Strm_04_Emissions" localSheetId="38">#REF!</definedName>
    <definedName name="Load_Strm_04_Emissions">#REF!</definedName>
    <definedName name="Load_Strm_05" localSheetId="3">#REF!</definedName>
    <definedName name="Load_Strm_05" localSheetId="7">#REF!</definedName>
    <definedName name="Load_Strm_05" localSheetId="9">#REF!</definedName>
    <definedName name="Load_Strm_05" localSheetId="10">#REF!</definedName>
    <definedName name="Load_Strm_05" localSheetId="15">#REF!</definedName>
    <definedName name="Load_Strm_05" localSheetId="19">#REF!</definedName>
    <definedName name="Load_Strm_05" localSheetId="20">#REF!</definedName>
    <definedName name="Load_Strm_05" localSheetId="24">#REF!</definedName>
    <definedName name="Load_Strm_05" localSheetId="104">#REF!</definedName>
    <definedName name="Load_Strm_05" localSheetId="65">#REF!</definedName>
    <definedName name="Load_Strm_05" localSheetId="64">#REF!</definedName>
    <definedName name="Load_Strm_05" localSheetId="77">#REF!</definedName>
    <definedName name="Load_Strm_05" localSheetId="49">#REF!</definedName>
    <definedName name="Load_Strm_05" localSheetId="40">#REF!</definedName>
    <definedName name="Load_Strm_05" localSheetId="43">#REF!</definedName>
    <definedName name="Load_Strm_05" localSheetId="13">#REF!</definedName>
    <definedName name="Load_Strm_05" localSheetId="38">#REF!</definedName>
    <definedName name="Load_Strm_05">#REF!</definedName>
    <definedName name="Load_Strm_05_Comp" localSheetId="3">#REF!</definedName>
    <definedName name="Load_Strm_05_Comp" localSheetId="7">#REF!</definedName>
    <definedName name="Load_Strm_05_Comp" localSheetId="9">#REF!</definedName>
    <definedName name="Load_Strm_05_Comp" localSheetId="10">#REF!</definedName>
    <definedName name="Load_Strm_05_Comp" localSheetId="15">#REF!</definedName>
    <definedName name="Load_Strm_05_Comp" localSheetId="19">#REF!</definedName>
    <definedName name="Load_Strm_05_Comp" localSheetId="20">#REF!</definedName>
    <definedName name="Load_Strm_05_Comp" localSheetId="24">#REF!</definedName>
    <definedName name="Load_Strm_05_Comp" localSheetId="104">#REF!</definedName>
    <definedName name="Load_Strm_05_Comp" localSheetId="65">#REF!</definedName>
    <definedName name="Load_Strm_05_Comp" localSheetId="64">#REF!</definedName>
    <definedName name="Load_Strm_05_Comp" localSheetId="77">#REF!</definedName>
    <definedName name="Load_Strm_05_Comp" localSheetId="49">#REF!</definedName>
    <definedName name="Load_Strm_05_Comp" localSheetId="40">#REF!</definedName>
    <definedName name="Load_Strm_05_Comp" localSheetId="43">#REF!</definedName>
    <definedName name="Load_Strm_05_Comp" localSheetId="13">#REF!</definedName>
    <definedName name="Load_Strm_05_Comp" localSheetId="38">#REF!</definedName>
    <definedName name="Load_Strm_05_Comp">#REF!</definedName>
    <definedName name="Load_Strm_05_Emissions" localSheetId="3">#REF!</definedName>
    <definedName name="Load_Strm_05_Emissions" localSheetId="7">#REF!</definedName>
    <definedName name="Load_Strm_05_Emissions" localSheetId="9">#REF!</definedName>
    <definedName name="Load_Strm_05_Emissions" localSheetId="10">#REF!</definedName>
    <definedName name="Load_Strm_05_Emissions" localSheetId="15">#REF!</definedName>
    <definedName name="Load_Strm_05_Emissions" localSheetId="19">#REF!</definedName>
    <definedName name="Load_Strm_05_Emissions" localSheetId="20">#REF!</definedName>
    <definedName name="Load_Strm_05_Emissions" localSheetId="24">#REF!</definedName>
    <definedName name="Load_Strm_05_Emissions" localSheetId="104">#REF!</definedName>
    <definedName name="Load_Strm_05_Emissions" localSheetId="65">#REF!</definedName>
    <definedName name="Load_Strm_05_Emissions" localSheetId="64">#REF!</definedName>
    <definedName name="Load_Strm_05_Emissions" localSheetId="77">#REF!</definedName>
    <definedName name="Load_Strm_05_Emissions" localSheetId="49">#REF!</definedName>
    <definedName name="Load_Strm_05_Emissions" localSheetId="40">#REF!</definedName>
    <definedName name="Load_Strm_05_Emissions" localSheetId="43">#REF!</definedName>
    <definedName name="Load_Strm_05_Emissions" localSheetId="13">#REF!</definedName>
    <definedName name="Load_Strm_05_Emissions" localSheetId="38">#REF!</definedName>
    <definedName name="Load_Strm_05_Emissions">#REF!</definedName>
    <definedName name="Load_Strm_06" localSheetId="3">#REF!</definedName>
    <definedName name="Load_Strm_06" localSheetId="7">#REF!</definedName>
    <definedName name="Load_Strm_06" localSheetId="9">#REF!</definedName>
    <definedName name="Load_Strm_06" localSheetId="10">#REF!</definedName>
    <definedName name="Load_Strm_06" localSheetId="15">#REF!</definedName>
    <definedName name="Load_Strm_06" localSheetId="19">#REF!</definedName>
    <definedName name="Load_Strm_06" localSheetId="20">#REF!</definedName>
    <definedName name="Load_Strm_06" localSheetId="24">#REF!</definedName>
    <definedName name="Load_Strm_06" localSheetId="104">#REF!</definedName>
    <definedName name="Load_Strm_06" localSheetId="65">#REF!</definedName>
    <definedName name="Load_Strm_06" localSheetId="64">#REF!</definedName>
    <definedName name="Load_Strm_06" localSheetId="77">#REF!</definedName>
    <definedName name="Load_Strm_06" localSheetId="49">#REF!</definedName>
    <definedName name="Load_Strm_06" localSheetId="40">#REF!</definedName>
    <definedName name="Load_Strm_06" localSheetId="43">#REF!</definedName>
    <definedName name="Load_Strm_06" localSheetId="13">#REF!</definedName>
    <definedName name="Load_Strm_06" localSheetId="38">#REF!</definedName>
    <definedName name="Load_Strm_06">#REF!</definedName>
    <definedName name="Load_Strm_06_Comp" localSheetId="3">#REF!</definedName>
    <definedName name="Load_Strm_06_Comp" localSheetId="7">#REF!</definedName>
    <definedName name="Load_Strm_06_Comp" localSheetId="9">#REF!</definedName>
    <definedName name="Load_Strm_06_Comp" localSheetId="10">#REF!</definedName>
    <definedName name="Load_Strm_06_Comp" localSheetId="15">#REF!</definedName>
    <definedName name="Load_Strm_06_Comp" localSheetId="19">#REF!</definedName>
    <definedName name="Load_Strm_06_Comp" localSheetId="20">#REF!</definedName>
    <definedName name="Load_Strm_06_Comp" localSheetId="24">#REF!</definedName>
    <definedName name="Load_Strm_06_Comp" localSheetId="104">#REF!</definedName>
    <definedName name="Load_Strm_06_Comp" localSheetId="65">#REF!</definedName>
    <definedName name="Load_Strm_06_Comp" localSheetId="64">#REF!</definedName>
    <definedName name="Load_Strm_06_Comp" localSheetId="77">#REF!</definedName>
    <definedName name="Load_Strm_06_Comp" localSheetId="49">#REF!</definedName>
    <definedName name="Load_Strm_06_Comp" localSheetId="40">#REF!</definedName>
    <definedName name="Load_Strm_06_Comp" localSheetId="43">#REF!</definedName>
    <definedName name="Load_Strm_06_Comp" localSheetId="13">#REF!</definedName>
    <definedName name="Load_Strm_06_Comp" localSheetId="38">#REF!</definedName>
    <definedName name="Load_Strm_06_Comp">#REF!</definedName>
    <definedName name="Load_Strm_06_Emissions" localSheetId="3">#REF!</definedName>
    <definedName name="Load_Strm_06_Emissions" localSheetId="7">#REF!</definedName>
    <definedName name="Load_Strm_06_Emissions" localSheetId="9">#REF!</definedName>
    <definedName name="Load_Strm_06_Emissions" localSheetId="10">#REF!</definedName>
    <definedName name="Load_Strm_06_Emissions" localSheetId="15">#REF!</definedName>
    <definedName name="Load_Strm_06_Emissions" localSheetId="19">#REF!</definedName>
    <definedName name="Load_Strm_06_Emissions" localSheetId="20">#REF!</definedName>
    <definedName name="Load_Strm_06_Emissions" localSheetId="24">#REF!</definedName>
    <definedName name="Load_Strm_06_Emissions" localSheetId="104">#REF!</definedName>
    <definedName name="Load_Strm_06_Emissions" localSheetId="65">#REF!</definedName>
    <definedName name="Load_Strm_06_Emissions" localSheetId="64">#REF!</definedName>
    <definedName name="Load_Strm_06_Emissions" localSheetId="77">#REF!</definedName>
    <definedName name="Load_Strm_06_Emissions" localSheetId="49">#REF!</definedName>
    <definedName name="Load_Strm_06_Emissions" localSheetId="40">#REF!</definedName>
    <definedName name="Load_Strm_06_Emissions" localSheetId="43">#REF!</definedName>
    <definedName name="Load_Strm_06_Emissions" localSheetId="13">#REF!</definedName>
    <definedName name="Load_Strm_06_Emissions" localSheetId="38">#REF!</definedName>
    <definedName name="Load_Strm_06_Emissions">#REF!</definedName>
    <definedName name="Load_Strm_07" localSheetId="3">#REF!</definedName>
    <definedName name="Load_Strm_07" localSheetId="7">#REF!</definedName>
    <definedName name="Load_Strm_07" localSheetId="9">#REF!</definedName>
    <definedName name="Load_Strm_07" localSheetId="10">#REF!</definedName>
    <definedName name="Load_Strm_07" localSheetId="15">#REF!</definedName>
    <definedName name="Load_Strm_07" localSheetId="19">#REF!</definedName>
    <definedName name="Load_Strm_07" localSheetId="20">#REF!</definedName>
    <definedName name="Load_Strm_07" localSheetId="24">#REF!</definedName>
    <definedName name="Load_Strm_07" localSheetId="104">#REF!</definedName>
    <definedName name="Load_Strm_07" localSheetId="65">#REF!</definedName>
    <definedName name="Load_Strm_07" localSheetId="64">#REF!</definedName>
    <definedName name="Load_Strm_07" localSheetId="77">#REF!</definedName>
    <definedName name="Load_Strm_07" localSheetId="49">#REF!</definedName>
    <definedName name="Load_Strm_07" localSheetId="40">#REF!</definedName>
    <definedName name="Load_Strm_07" localSheetId="43">#REF!</definedName>
    <definedName name="Load_Strm_07" localSheetId="13">#REF!</definedName>
    <definedName name="Load_Strm_07" localSheetId="38">#REF!</definedName>
    <definedName name="Load_Strm_07">#REF!</definedName>
    <definedName name="Load_Strm_07_Comp" localSheetId="3">#REF!</definedName>
    <definedName name="Load_Strm_07_Comp" localSheetId="7">#REF!</definedName>
    <definedName name="Load_Strm_07_Comp" localSheetId="9">#REF!</definedName>
    <definedName name="Load_Strm_07_Comp" localSheetId="10">#REF!</definedName>
    <definedName name="Load_Strm_07_Comp" localSheetId="15">#REF!</definedName>
    <definedName name="Load_Strm_07_Comp" localSheetId="19">#REF!</definedName>
    <definedName name="Load_Strm_07_Comp" localSheetId="20">#REF!</definedName>
    <definedName name="Load_Strm_07_Comp" localSheetId="24">#REF!</definedName>
    <definedName name="Load_Strm_07_Comp" localSheetId="104">#REF!</definedName>
    <definedName name="Load_Strm_07_Comp" localSheetId="65">#REF!</definedName>
    <definedName name="Load_Strm_07_Comp" localSheetId="64">#REF!</definedName>
    <definedName name="Load_Strm_07_Comp" localSheetId="77">#REF!</definedName>
    <definedName name="Load_Strm_07_Comp" localSheetId="49">#REF!</definedName>
    <definedName name="Load_Strm_07_Comp" localSheetId="40">#REF!</definedName>
    <definedName name="Load_Strm_07_Comp" localSheetId="43">#REF!</definedName>
    <definedName name="Load_Strm_07_Comp" localSheetId="13">#REF!</definedName>
    <definedName name="Load_Strm_07_Comp" localSheetId="38">#REF!</definedName>
    <definedName name="Load_Strm_07_Comp">#REF!</definedName>
    <definedName name="Load_Strm_07_Emissions" localSheetId="3">#REF!</definedName>
    <definedName name="Load_Strm_07_Emissions" localSheetId="7">#REF!</definedName>
    <definedName name="Load_Strm_07_Emissions" localSheetId="9">#REF!</definedName>
    <definedName name="Load_Strm_07_Emissions" localSheetId="10">#REF!</definedName>
    <definedName name="Load_Strm_07_Emissions" localSheetId="15">#REF!</definedName>
    <definedName name="Load_Strm_07_Emissions" localSheetId="19">#REF!</definedName>
    <definedName name="Load_Strm_07_Emissions" localSheetId="20">#REF!</definedName>
    <definedName name="Load_Strm_07_Emissions" localSheetId="24">#REF!</definedName>
    <definedName name="Load_Strm_07_Emissions" localSheetId="104">#REF!</definedName>
    <definedName name="Load_Strm_07_Emissions" localSheetId="65">#REF!</definedName>
    <definedName name="Load_Strm_07_Emissions" localSheetId="64">#REF!</definedName>
    <definedName name="Load_Strm_07_Emissions" localSheetId="77">#REF!</definedName>
    <definedName name="Load_Strm_07_Emissions" localSheetId="49">#REF!</definedName>
    <definedName name="Load_Strm_07_Emissions" localSheetId="40">#REF!</definedName>
    <definedName name="Load_Strm_07_Emissions" localSheetId="43">#REF!</definedName>
    <definedName name="Load_Strm_07_Emissions" localSheetId="13">#REF!</definedName>
    <definedName name="Load_Strm_07_Emissions" localSheetId="38">#REF!</definedName>
    <definedName name="Load_Strm_07_Emissions">#REF!</definedName>
    <definedName name="Load_Strm_08" localSheetId="3">#REF!</definedName>
    <definedName name="Load_Strm_08" localSheetId="7">#REF!</definedName>
    <definedName name="Load_Strm_08" localSheetId="9">#REF!</definedName>
    <definedName name="Load_Strm_08" localSheetId="10">#REF!</definedName>
    <definedName name="Load_Strm_08" localSheetId="15">#REF!</definedName>
    <definedName name="Load_Strm_08" localSheetId="19">#REF!</definedName>
    <definedName name="Load_Strm_08" localSheetId="20">#REF!</definedName>
    <definedName name="Load_Strm_08" localSheetId="24">#REF!</definedName>
    <definedName name="Load_Strm_08" localSheetId="104">#REF!</definedName>
    <definedName name="Load_Strm_08" localSheetId="65">#REF!</definedName>
    <definedName name="Load_Strm_08" localSheetId="64">#REF!</definedName>
    <definedName name="Load_Strm_08" localSheetId="77">#REF!</definedName>
    <definedName name="Load_Strm_08" localSheetId="49">#REF!</definedName>
    <definedName name="Load_Strm_08" localSheetId="40">#REF!</definedName>
    <definedName name="Load_Strm_08" localSheetId="43">#REF!</definedName>
    <definedName name="Load_Strm_08" localSheetId="13">#REF!</definedName>
    <definedName name="Load_Strm_08" localSheetId="38">#REF!</definedName>
    <definedName name="Load_Strm_08">#REF!</definedName>
    <definedName name="Load_Strm_08_Comp" localSheetId="3">#REF!</definedName>
    <definedName name="Load_Strm_08_Comp" localSheetId="7">#REF!</definedName>
    <definedName name="Load_Strm_08_Comp" localSheetId="9">#REF!</definedName>
    <definedName name="Load_Strm_08_Comp" localSheetId="10">#REF!</definedName>
    <definedName name="Load_Strm_08_Comp" localSheetId="15">#REF!</definedName>
    <definedName name="Load_Strm_08_Comp" localSheetId="19">#REF!</definedName>
    <definedName name="Load_Strm_08_Comp" localSheetId="20">#REF!</definedName>
    <definedName name="Load_Strm_08_Comp" localSheetId="24">#REF!</definedName>
    <definedName name="Load_Strm_08_Comp" localSheetId="104">#REF!</definedName>
    <definedName name="Load_Strm_08_Comp" localSheetId="65">#REF!</definedName>
    <definedName name="Load_Strm_08_Comp" localSheetId="64">#REF!</definedName>
    <definedName name="Load_Strm_08_Comp" localSheetId="77">#REF!</definedName>
    <definedName name="Load_Strm_08_Comp" localSheetId="49">#REF!</definedName>
    <definedName name="Load_Strm_08_Comp" localSheetId="40">#REF!</definedName>
    <definedName name="Load_Strm_08_Comp" localSheetId="43">#REF!</definedName>
    <definedName name="Load_Strm_08_Comp" localSheetId="13">#REF!</definedName>
    <definedName name="Load_Strm_08_Comp" localSheetId="38">#REF!</definedName>
    <definedName name="Load_Strm_08_Comp">#REF!</definedName>
    <definedName name="Load_Strm_08_Emissions" localSheetId="3">#REF!</definedName>
    <definedName name="Load_Strm_08_Emissions" localSheetId="7">#REF!</definedName>
    <definedName name="Load_Strm_08_Emissions" localSheetId="9">#REF!</definedName>
    <definedName name="Load_Strm_08_Emissions" localSheetId="10">#REF!</definedName>
    <definedName name="Load_Strm_08_Emissions" localSheetId="15">#REF!</definedName>
    <definedName name="Load_Strm_08_Emissions" localSheetId="19">#REF!</definedName>
    <definedName name="Load_Strm_08_Emissions" localSheetId="20">#REF!</definedName>
    <definedName name="Load_Strm_08_Emissions" localSheetId="24">#REF!</definedName>
    <definedName name="Load_Strm_08_Emissions" localSheetId="104">#REF!</definedName>
    <definedName name="Load_Strm_08_Emissions" localSheetId="65">#REF!</definedName>
    <definedName name="Load_Strm_08_Emissions" localSheetId="64">#REF!</definedName>
    <definedName name="Load_Strm_08_Emissions" localSheetId="77">#REF!</definedName>
    <definedName name="Load_Strm_08_Emissions" localSheetId="49">#REF!</definedName>
    <definedName name="Load_Strm_08_Emissions" localSheetId="40">#REF!</definedName>
    <definedName name="Load_Strm_08_Emissions" localSheetId="43">#REF!</definedName>
    <definedName name="Load_Strm_08_Emissions" localSheetId="13">#REF!</definedName>
    <definedName name="Load_Strm_08_Emissions" localSheetId="38">#REF!</definedName>
    <definedName name="Load_Strm_08_Emissions">#REF!</definedName>
    <definedName name="Load_Strm_09" localSheetId="3">#REF!</definedName>
    <definedName name="Load_Strm_09" localSheetId="7">#REF!</definedName>
    <definedName name="Load_Strm_09" localSheetId="9">#REF!</definedName>
    <definedName name="Load_Strm_09" localSheetId="10">#REF!</definedName>
    <definedName name="Load_Strm_09" localSheetId="15">#REF!</definedName>
    <definedName name="Load_Strm_09" localSheetId="19">#REF!</definedName>
    <definedName name="Load_Strm_09" localSheetId="20">#REF!</definedName>
    <definedName name="Load_Strm_09" localSheetId="24">#REF!</definedName>
    <definedName name="Load_Strm_09" localSheetId="104">#REF!</definedName>
    <definedName name="Load_Strm_09" localSheetId="65">#REF!</definedName>
    <definedName name="Load_Strm_09" localSheetId="64">#REF!</definedName>
    <definedName name="Load_Strm_09" localSheetId="77">#REF!</definedName>
    <definedName name="Load_Strm_09" localSheetId="49">#REF!</definedName>
    <definedName name="Load_Strm_09" localSheetId="40">#REF!</definedName>
    <definedName name="Load_Strm_09" localSheetId="43">#REF!</definedName>
    <definedName name="Load_Strm_09" localSheetId="13">#REF!</definedName>
    <definedName name="Load_Strm_09" localSheetId="38">#REF!</definedName>
    <definedName name="Load_Strm_09">#REF!</definedName>
    <definedName name="Load_Strm_09_Comp" localSheetId="3">#REF!</definedName>
    <definedName name="Load_Strm_09_Comp" localSheetId="7">#REF!</definedName>
    <definedName name="Load_Strm_09_Comp" localSheetId="9">#REF!</definedName>
    <definedName name="Load_Strm_09_Comp" localSheetId="10">#REF!</definedName>
    <definedName name="Load_Strm_09_Comp" localSheetId="15">#REF!</definedName>
    <definedName name="Load_Strm_09_Comp" localSheetId="19">#REF!</definedName>
    <definedName name="Load_Strm_09_Comp" localSheetId="20">#REF!</definedName>
    <definedName name="Load_Strm_09_Comp" localSheetId="24">#REF!</definedName>
    <definedName name="Load_Strm_09_Comp" localSheetId="104">#REF!</definedName>
    <definedName name="Load_Strm_09_Comp" localSheetId="65">#REF!</definedName>
    <definedName name="Load_Strm_09_Comp" localSheetId="64">#REF!</definedName>
    <definedName name="Load_Strm_09_Comp" localSheetId="77">#REF!</definedName>
    <definedName name="Load_Strm_09_Comp" localSheetId="49">#REF!</definedName>
    <definedName name="Load_Strm_09_Comp" localSheetId="40">#REF!</definedName>
    <definedName name="Load_Strm_09_Comp" localSheetId="43">#REF!</definedName>
    <definedName name="Load_Strm_09_Comp" localSheetId="13">#REF!</definedName>
    <definedName name="Load_Strm_09_Comp" localSheetId="38">#REF!</definedName>
    <definedName name="Load_Strm_09_Comp">#REF!</definedName>
    <definedName name="Load_Strm_09_Emissions" localSheetId="3">#REF!</definedName>
    <definedName name="Load_Strm_09_Emissions" localSheetId="7">#REF!</definedName>
    <definedName name="Load_Strm_09_Emissions" localSheetId="9">#REF!</definedName>
    <definedName name="Load_Strm_09_Emissions" localSheetId="10">#REF!</definedName>
    <definedName name="Load_Strm_09_Emissions" localSheetId="15">#REF!</definedName>
    <definedName name="Load_Strm_09_Emissions" localSheetId="19">#REF!</definedName>
    <definedName name="Load_Strm_09_Emissions" localSheetId="20">#REF!</definedName>
    <definedName name="Load_Strm_09_Emissions" localSheetId="24">#REF!</definedName>
    <definedName name="Load_Strm_09_Emissions" localSheetId="104">#REF!</definedName>
    <definedName name="Load_Strm_09_Emissions" localSheetId="65">#REF!</definedName>
    <definedName name="Load_Strm_09_Emissions" localSheetId="64">#REF!</definedName>
    <definedName name="Load_Strm_09_Emissions" localSheetId="77">#REF!</definedName>
    <definedName name="Load_Strm_09_Emissions" localSheetId="49">#REF!</definedName>
    <definedName name="Load_Strm_09_Emissions" localSheetId="40">#REF!</definedName>
    <definedName name="Load_Strm_09_Emissions" localSheetId="43">#REF!</definedName>
    <definedName name="Load_Strm_09_Emissions" localSheetId="13">#REF!</definedName>
    <definedName name="Load_Strm_09_Emissions" localSheetId="38">#REF!</definedName>
    <definedName name="Load_Strm_09_Emissions">#REF!</definedName>
    <definedName name="Load_Strm_10" localSheetId="3">#REF!</definedName>
    <definedName name="Load_Strm_10" localSheetId="7">#REF!</definedName>
    <definedName name="Load_Strm_10" localSheetId="9">#REF!</definedName>
    <definedName name="Load_Strm_10" localSheetId="10">#REF!</definedName>
    <definedName name="Load_Strm_10" localSheetId="15">#REF!</definedName>
    <definedName name="Load_Strm_10" localSheetId="19">#REF!</definedName>
    <definedName name="Load_Strm_10" localSheetId="20">#REF!</definedName>
    <definedName name="Load_Strm_10" localSheetId="24">#REF!</definedName>
    <definedName name="Load_Strm_10" localSheetId="104">#REF!</definedName>
    <definedName name="Load_Strm_10" localSheetId="65">#REF!</definedName>
    <definedName name="Load_Strm_10" localSheetId="64">#REF!</definedName>
    <definedName name="Load_Strm_10" localSheetId="77">#REF!</definedName>
    <definedName name="Load_Strm_10" localSheetId="49">#REF!</definedName>
    <definedName name="Load_Strm_10" localSheetId="40">#REF!</definedName>
    <definedName name="Load_Strm_10" localSheetId="43">#REF!</definedName>
    <definedName name="Load_Strm_10" localSheetId="13">#REF!</definedName>
    <definedName name="Load_Strm_10" localSheetId="38">#REF!</definedName>
    <definedName name="Load_Strm_10">#REF!</definedName>
    <definedName name="Load_Strm_10_Comp" localSheetId="3">#REF!</definedName>
    <definedName name="Load_Strm_10_Comp" localSheetId="7">#REF!</definedName>
    <definedName name="Load_Strm_10_Comp" localSheetId="9">#REF!</definedName>
    <definedName name="Load_Strm_10_Comp" localSheetId="10">#REF!</definedName>
    <definedName name="Load_Strm_10_Comp" localSheetId="15">#REF!</definedName>
    <definedName name="Load_Strm_10_Comp" localSheetId="19">#REF!</definedName>
    <definedName name="Load_Strm_10_Comp" localSheetId="20">#REF!</definedName>
    <definedName name="Load_Strm_10_Comp" localSheetId="24">#REF!</definedName>
    <definedName name="Load_Strm_10_Comp" localSheetId="104">#REF!</definedName>
    <definedName name="Load_Strm_10_Comp" localSheetId="65">#REF!</definedName>
    <definedName name="Load_Strm_10_Comp" localSheetId="64">#REF!</definedName>
    <definedName name="Load_Strm_10_Comp" localSheetId="77">#REF!</definedName>
    <definedName name="Load_Strm_10_Comp" localSheetId="49">#REF!</definedName>
    <definedName name="Load_Strm_10_Comp" localSheetId="40">#REF!</definedName>
    <definedName name="Load_Strm_10_Comp" localSheetId="43">#REF!</definedName>
    <definedName name="Load_Strm_10_Comp" localSheetId="13">#REF!</definedName>
    <definedName name="Load_Strm_10_Comp" localSheetId="38">#REF!</definedName>
    <definedName name="Load_Strm_10_Comp">#REF!</definedName>
    <definedName name="Load_Strm_10_Emissions" localSheetId="3">#REF!</definedName>
    <definedName name="Load_Strm_10_Emissions" localSheetId="7">#REF!</definedName>
    <definedName name="Load_Strm_10_Emissions" localSheetId="9">#REF!</definedName>
    <definedName name="Load_Strm_10_Emissions" localSheetId="10">#REF!</definedName>
    <definedName name="Load_Strm_10_Emissions" localSheetId="15">#REF!</definedName>
    <definedName name="Load_Strm_10_Emissions" localSheetId="19">#REF!</definedName>
    <definedName name="Load_Strm_10_Emissions" localSheetId="20">#REF!</definedName>
    <definedName name="Load_Strm_10_Emissions" localSheetId="24">#REF!</definedName>
    <definedName name="Load_Strm_10_Emissions" localSheetId="104">#REF!</definedName>
    <definedName name="Load_Strm_10_Emissions" localSheetId="65">#REF!</definedName>
    <definedName name="Load_Strm_10_Emissions" localSheetId="64">#REF!</definedName>
    <definedName name="Load_Strm_10_Emissions" localSheetId="77">#REF!</definedName>
    <definedName name="Load_Strm_10_Emissions" localSheetId="49">#REF!</definedName>
    <definedName name="Load_Strm_10_Emissions" localSheetId="40">#REF!</definedName>
    <definedName name="Load_Strm_10_Emissions" localSheetId="43">#REF!</definedName>
    <definedName name="Load_Strm_10_Emissions" localSheetId="13">#REF!</definedName>
    <definedName name="Load_Strm_10_Emissions" localSheetId="38">#REF!</definedName>
    <definedName name="Load_Strm_10_Emissions">#REF!</definedName>
    <definedName name="Load_Strm_11" localSheetId="3">#REF!</definedName>
    <definedName name="Load_Strm_11" localSheetId="7">#REF!</definedName>
    <definedName name="Load_Strm_11" localSheetId="9">#REF!</definedName>
    <definedName name="Load_Strm_11" localSheetId="10">#REF!</definedName>
    <definedName name="Load_Strm_11" localSheetId="15">#REF!</definedName>
    <definedName name="Load_Strm_11" localSheetId="19">#REF!</definedName>
    <definedName name="Load_Strm_11" localSheetId="20">#REF!</definedName>
    <definedName name="Load_Strm_11" localSheetId="24">#REF!</definedName>
    <definedName name="Load_Strm_11" localSheetId="104">#REF!</definedName>
    <definedName name="Load_Strm_11" localSheetId="65">#REF!</definedName>
    <definedName name="Load_Strm_11" localSheetId="64">#REF!</definedName>
    <definedName name="Load_Strm_11" localSheetId="77">#REF!</definedName>
    <definedName name="Load_Strm_11" localSheetId="49">#REF!</definedName>
    <definedName name="Load_Strm_11" localSheetId="40">#REF!</definedName>
    <definedName name="Load_Strm_11" localSheetId="43">#REF!</definedName>
    <definedName name="Load_Strm_11" localSheetId="13">#REF!</definedName>
    <definedName name="Load_Strm_11" localSheetId="38">#REF!</definedName>
    <definedName name="Load_Strm_11">#REF!</definedName>
    <definedName name="Load_Strm_11_Comp" localSheetId="3">#REF!</definedName>
    <definedName name="Load_Strm_11_Comp" localSheetId="7">#REF!</definedName>
    <definedName name="Load_Strm_11_Comp" localSheetId="9">#REF!</definedName>
    <definedName name="Load_Strm_11_Comp" localSheetId="10">#REF!</definedName>
    <definedName name="Load_Strm_11_Comp" localSheetId="15">#REF!</definedName>
    <definedName name="Load_Strm_11_Comp" localSheetId="19">#REF!</definedName>
    <definedName name="Load_Strm_11_Comp" localSheetId="20">#REF!</definedName>
    <definedName name="Load_Strm_11_Comp" localSheetId="24">#REF!</definedName>
    <definedName name="Load_Strm_11_Comp" localSheetId="104">#REF!</definedName>
    <definedName name="Load_Strm_11_Comp" localSheetId="65">#REF!</definedName>
    <definedName name="Load_Strm_11_Comp" localSheetId="64">#REF!</definedName>
    <definedName name="Load_Strm_11_Comp" localSheetId="77">#REF!</definedName>
    <definedName name="Load_Strm_11_Comp" localSheetId="49">#REF!</definedName>
    <definedName name="Load_Strm_11_Comp" localSheetId="40">#REF!</definedName>
    <definedName name="Load_Strm_11_Comp" localSheetId="43">#REF!</definedName>
    <definedName name="Load_Strm_11_Comp" localSheetId="13">#REF!</definedName>
    <definedName name="Load_Strm_11_Comp" localSheetId="38">#REF!</definedName>
    <definedName name="Load_Strm_11_Comp">#REF!</definedName>
    <definedName name="Load_Strm_11_Emissions" localSheetId="3">#REF!</definedName>
    <definedName name="Load_Strm_11_Emissions" localSheetId="7">#REF!</definedName>
    <definedName name="Load_Strm_11_Emissions" localSheetId="9">#REF!</definedName>
    <definedName name="Load_Strm_11_Emissions" localSheetId="10">#REF!</definedName>
    <definedName name="Load_Strm_11_Emissions" localSheetId="15">#REF!</definedName>
    <definedName name="Load_Strm_11_Emissions" localSheetId="19">#REF!</definedName>
    <definedName name="Load_Strm_11_Emissions" localSheetId="20">#REF!</definedName>
    <definedName name="Load_Strm_11_Emissions" localSheetId="24">#REF!</definedName>
    <definedName name="Load_Strm_11_Emissions" localSheetId="104">#REF!</definedName>
    <definedName name="Load_Strm_11_Emissions" localSheetId="65">#REF!</definedName>
    <definedName name="Load_Strm_11_Emissions" localSheetId="64">#REF!</definedName>
    <definedName name="Load_Strm_11_Emissions" localSheetId="77">#REF!</definedName>
    <definedName name="Load_Strm_11_Emissions" localSheetId="49">#REF!</definedName>
    <definedName name="Load_Strm_11_Emissions" localSheetId="40">#REF!</definedName>
    <definedName name="Load_Strm_11_Emissions" localSheetId="43">#REF!</definedName>
    <definedName name="Load_Strm_11_Emissions" localSheetId="13">#REF!</definedName>
    <definedName name="Load_Strm_11_Emissions" localSheetId="38">#REF!</definedName>
    <definedName name="Load_Strm_11_Emissions">#REF!</definedName>
    <definedName name="Load_Strm_12" localSheetId="3">#REF!</definedName>
    <definedName name="Load_Strm_12" localSheetId="7">#REF!</definedName>
    <definedName name="Load_Strm_12" localSheetId="9">#REF!</definedName>
    <definedName name="Load_Strm_12" localSheetId="10">#REF!</definedName>
    <definedName name="Load_Strm_12" localSheetId="15">#REF!</definedName>
    <definedName name="Load_Strm_12" localSheetId="19">#REF!</definedName>
    <definedName name="Load_Strm_12" localSheetId="20">#REF!</definedName>
    <definedName name="Load_Strm_12" localSheetId="24">#REF!</definedName>
    <definedName name="Load_Strm_12" localSheetId="104">#REF!</definedName>
    <definedName name="Load_Strm_12" localSheetId="65">#REF!</definedName>
    <definedName name="Load_Strm_12" localSheetId="64">#REF!</definedName>
    <definedName name="Load_Strm_12" localSheetId="77">#REF!</definedName>
    <definedName name="Load_Strm_12" localSheetId="49">#REF!</definedName>
    <definedName name="Load_Strm_12" localSheetId="40">#REF!</definedName>
    <definedName name="Load_Strm_12" localSheetId="43">#REF!</definedName>
    <definedName name="Load_Strm_12" localSheetId="13">#REF!</definedName>
    <definedName name="Load_Strm_12" localSheetId="38">#REF!</definedName>
    <definedName name="Load_Strm_12">#REF!</definedName>
    <definedName name="Load_Strm_12_Comp" localSheetId="3">#REF!</definedName>
    <definedName name="Load_Strm_12_Comp" localSheetId="7">#REF!</definedName>
    <definedName name="Load_Strm_12_Comp" localSheetId="9">#REF!</definedName>
    <definedName name="Load_Strm_12_Comp" localSheetId="10">#REF!</definedName>
    <definedName name="Load_Strm_12_Comp" localSheetId="15">#REF!</definedName>
    <definedName name="Load_Strm_12_Comp" localSheetId="19">#REF!</definedName>
    <definedName name="Load_Strm_12_Comp" localSheetId="20">#REF!</definedName>
    <definedName name="Load_Strm_12_Comp" localSheetId="24">#REF!</definedName>
    <definedName name="Load_Strm_12_Comp" localSheetId="104">#REF!</definedName>
    <definedName name="Load_Strm_12_Comp" localSheetId="65">#REF!</definedName>
    <definedName name="Load_Strm_12_Comp" localSheetId="64">#REF!</definedName>
    <definedName name="Load_Strm_12_Comp" localSheetId="77">#REF!</definedName>
    <definedName name="Load_Strm_12_Comp" localSheetId="49">#REF!</definedName>
    <definedName name="Load_Strm_12_Comp" localSheetId="40">#REF!</definedName>
    <definedName name="Load_Strm_12_Comp" localSheetId="43">#REF!</definedName>
    <definedName name="Load_Strm_12_Comp" localSheetId="13">#REF!</definedName>
    <definedName name="Load_Strm_12_Comp" localSheetId="38">#REF!</definedName>
    <definedName name="Load_Strm_12_Comp">#REF!</definedName>
    <definedName name="Load_Strm_12_Emissions" localSheetId="3">#REF!</definedName>
    <definedName name="Load_Strm_12_Emissions" localSheetId="7">#REF!</definedName>
    <definedName name="Load_Strm_12_Emissions" localSheetId="9">#REF!</definedName>
    <definedName name="Load_Strm_12_Emissions" localSheetId="10">#REF!</definedName>
    <definedName name="Load_Strm_12_Emissions" localSheetId="15">#REF!</definedName>
    <definedName name="Load_Strm_12_Emissions" localSheetId="19">#REF!</definedName>
    <definedName name="Load_Strm_12_Emissions" localSheetId="20">#REF!</definedName>
    <definedName name="Load_Strm_12_Emissions" localSheetId="24">#REF!</definedName>
    <definedName name="Load_Strm_12_Emissions" localSheetId="104">#REF!</definedName>
    <definedName name="Load_Strm_12_Emissions" localSheetId="65">#REF!</definedName>
    <definedName name="Load_Strm_12_Emissions" localSheetId="64">#REF!</definedName>
    <definedName name="Load_Strm_12_Emissions" localSheetId="77">#REF!</definedName>
    <definedName name="Load_Strm_12_Emissions" localSheetId="49">#REF!</definedName>
    <definedName name="Load_Strm_12_Emissions" localSheetId="40">#REF!</definedName>
    <definedName name="Load_Strm_12_Emissions" localSheetId="43">#REF!</definedName>
    <definedName name="Load_Strm_12_Emissions" localSheetId="13">#REF!</definedName>
    <definedName name="Load_Strm_12_Emissions" localSheetId="38">#REF!</definedName>
    <definedName name="Load_Strm_12_Emissions">#REF!</definedName>
    <definedName name="Load_Strm_13" localSheetId="3">#REF!</definedName>
    <definedName name="Load_Strm_13" localSheetId="7">#REF!</definedName>
    <definedName name="Load_Strm_13" localSheetId="9">#REF!</definedName>
    <definedName name="Load_Strm_13" localSheetId="10">#REF!</definedName>
    <definedName name="Load_Strm_13" localSheetId="15">#REF!</definedName>
    <definedName name="Load_Strm_13" localSheetId="19">#REF!</definedName>
    <definedName name="Load_Strm_13" localSheetId="20">#REF!</definedName>
    <definedName name="Load_Strm_13" localSheetId="24">#REF!</definedName>
    <definedName name="Load_Strm_13" localSheetId="104">#REF!</definedName>
    <definedName name="Load_Strm_13" localSheetId="65">#REF!</definedName>
    <definedName name="Load_Strm_13" localSheetId="64">#REF!</definedName>
    <definedName name="Load_Strm_13" localSheetId="77">#REF!</definedName>
    <definedName name="Load_Strm_13" localSheetId="49">#REF!</definedName>
    <definedName name="Load_Strm_13" localSheetId="40">#REF!</definedName>
    <definedName name="Load_Strm_13" localSheetId="43">#REF!</definedName>
    <definedName name="Load_Strm_13" localSheetId="13">#REF!</definedName>
    <definedName name="Load_Strm_13" localSheetId="38">#REF!</definedName>
    <definedName name="Load_Strm_13">#REF!</definedName>
    <definedName name="Load_Strm_13_Comp" localSheetId="3">#REF!</definedName>
    <definedName name="Load_Strm_13_Comp" localSheetId="7">#REF!</definedName>
    <definedName name="Load_Strm_13_Comp" localSheetId="9">#REF!</definedName>
    <definedName name="Load_Strm_13_Comp" localSheetId="10">#REF!</definedName>
    <definedName name="Load_Strm_13_Comp" localSheetId="15">#REF!</definedName>
    <definedName name="Load_Strm_13_Comp" localSheetId="19">#REF!</definedName>
    <definedName name="Load_Strm_13_Comp" localSheetId="20">#REF!</definedName>
    <definedName name="Load_Strm_13_Comp" localSheetId="24">#REF!</definedName>
    <definedName name="Load_Strm_13_Comp" localSheetId="104">#REF!</definedName>
    <definedName name="Load_Strm_13_Comp" localSheetId="65">#REF!</definedName>
    <definedName name="Load_Strm_13_Comp" localSheetId="64">#REF!</definedName>
    <definedName name="Load_Strm_13_Comp" localSheetId="77">#REF!</definedName>
    <definedName name="Load_Strm_13_Comp" localSheetId="49">#REF!</definedName>
    <definedName name="Load_Strm_13_Comp" localSheetId="40">#REF!</definedName>
    <definedName name="Load_Strm_13_Comp" localSheetId="43">#REF!</definedName>
    <definedName name="Load_Strm_13_Comp" localSheetId="13">#REF!</definedName>
    <definedName name="Load_Strm_13_Comp" localSheetId="38">#REF!</definedName>
    <definedName name="Load_Strm_13_Comp">#REF!</definedName>
    <definedName name="Load_Strm_13_Emissions" localSheetId="3">#REF!</definedName>
    <definedName name="Load_Strm_13_Emissions" localSheetId="7">#REF!</definedName>
    <definedName name="Load_Strm_13_Emissions" localSheetId="9">#REF!</definedName>
    <definedName name="Load_Strm_13_Emissions" localSheetId="10">#REF!</definedName>
    <definedName name="Load_Strm_13_Emissions" localSheetId="15">#REF!</definedName>
    <definedName name="Load_Strm_13_Emissions" localSheetId="19">#REF!</definedName>
    <definedName name="Load_Strm_13_Emissions" localSheetId="20">#REF!</definedName>
    <definedName name="Load_Strm_13_Emissions" localSheetId="24">#REF!</definedName>
    <definedName name="Load_Strm_13_Emissions" localSheetId="104">#REF!</definedName>
    <definedName name="Load_Strm_13_Emissions" localSheetId="65">#REF!</definedName>
    <definedName name="Load_Strm_13_Emissions" localSheetId="64">#REF!</definedName>
    <definedName name="Load_Strm_13_Emissions" localSheetId="77">#REF!</definedName>
    <definedName name="Load_Strm_13_Emissions" localSheetId="49">#REF!</definedName>
    <definedName name="Load_Strm_13_Emissions" localSheetId="40">#REF!</definedName>
    <definedName name="Load_Strm_13_Emissions" localSheetId="43">#REF!</definedName>
    <definedName name="Load_Strm_13_Emissions" localSheetId="13">#REF!</definedName>
    <definedName name="Load_Strm_13_Emissions" localSheetId="38">#REF!</definedName>
    <definedName name="Load_Strm_13_Emissions">#REF!</definedName>
    <definedName name="Load_Strm_14" localSheetId="3">#REF!</definedName>
    <definedName name="Load_Strm_14" localSheetId="7">#REF!</definedName>
    <definedName name="Load_Strm_14" localSheetId="9">#REF!</definedName>
    <definedName name="Load_Strm_14" localSheetId="10">#REF!</definedName>
    <definedName name="Load_Strm_14" localSheetId="15">#REF!</definedName>
    <definedName name="Load_Strm_14" localSheetId="19">#REF!</definedName>
    <definedName name="Load_Strm_14" localSheetId="20">#REF!</definedName>
    <definedName name="Load_Strm_14" localSheetId="24">#REF!</definedName>
    <definedName name="Load_Strm_14" localSheetId="104">#REF!</definedName>
    <definedName name="Load_Strm_14" localSheetId="65">#REF!</definedName>
    <definedName name="Load_Strm_14" localSheetId="64">#REF!</definedName>
    <definedName name="Load_Strm_14" localSheetId="77">#REF!</definedName>
    <definedName name="Load_Strm_14" localSheetId="49">#REF!</definedName>
    <definedName name="Load_Strm_14" localSheetId="40">#REF!</definedName>
    <definedName name="Load_Strm_14" localSheetId="43">#REF!</definedName>
    <definedName name="Load_Strm_14" localSheetId="13">#REF!</definedName>
    <definedName name="Load_Strm_14" localSheetId="38">#REF!</definedName>
    <definedName name="Load_Strm_14">#REF!</definedName>
    <definedName name="Load_Strm_14_Comp" localSheetId="3">#REF!</definedName>
    <definedName name="Load_Strm_14_Comp" localSheetId="7">#REF!</definedName>
    <definedName name="Load_Strm_14_Comp" localSheetId="9">#REF!</definedName>
    <definedName name="Load_Strm_14_Comp" localSheetId="10">#REF!</definedName>
    <definedName name="Load_Strm_14_Comp" localSheetId="15">#REF!</definedName>
    <definedName name="Load_Strm_14_Comp" localSheetId="19">#REF!</definedName>
    <definedName name="Load_Strm_14_Comp" localSheetId="20">#REF!</definedName>
    <definedName name="Load_Strm_14_Comp" localSheetId="24">#REF!</definedName>
    <definedName name="Load_Strm_14_Comp" localSheetId="104">#REF!</definedName>
    <definedName name="Load_Strm_14_Comp" localSheetId="65">#REF!</definedName>
    <definedName name="Load_Strm_14_Comp" localSheetId="64">#REF!</definedName>
    <definedName name="Load_Strm_14_Comp" localSheetId="77">#REF!</definedName>
    <definedName name="Load_Strm_14_Comp" localSheetId="49">#REF!</definedName>
    <definedName name="Load_Strm_14_Comp" localSheetId="40">#REF!</definedName>
    <definedName name="Load_Strm_14_Comp" localSheetId="43">#REF!</definedName>
    <definedName name="Load_Strm_14_Comp" localSheetId="13">#REF!</definedName>
    <definedName name="Load_Strm_14_Comp" localSheetId="38">#REF!</definedName>
    <definedName name="Load_Strm_14_Comp">#REF!</definedName>
    <definedName name="Load_Strm_14_Emissions" localSheetId="3">#REF!</definedName>
    <definedName name="Load_Strm_14_Emissions" localSheetId="7">#REF!</definedName>
    <definedName name="Load_Strm_14_Emissions" localSheetId="9">#REF!</definedName>
    <definedName name="Load_Strm_14_Emissions" localSheetId="10">#REF!</definedName>
    <definedName name="Load_Strm_14_Emissions" localSheetId="15">#REF!</definedName>
    <definedName name="Load_Strm_14_Emissions" localSheetId="19">#REF!</definedName>
    <definedName name="Load_Strm_14_Emissions" localSheetId="20">#REF!</definedName>
    <definedName name="Load_Strm_14_Emissions" localSheetId="24">#REF!</definedName>
    <definedName name="Load_Strm_14_Emissions" localSheetId="104">#REF!</definedName>
    <definedName name="Load_Strm_14_Emissions" localSheetId="65">#REF!</definedName>
    <definedName name="Load_Strm_14_Emissions" localSheetId="64">#REF!</definedName>
    <definedName name="Load_Strm_14_Emissions" localSheetId="77">#REF!</definedName>
    <definedName name="Load_Strm_14_Emissions" localSheetId="49">#REF!</definedName>
    <definedName name="Load_Strm_14_Emissions" localSheetId="40">#REF!</definedName>
    <definedName name="Load_Strm_14_Emissions" localSheetId="43">#REF!</definedName>
    <definedName name="Load_Strm_14_Emissions" localSheetId="13">#REF!</definedName>
    <definedName name="Load_Strm_14_Emissions" localSheetId="38">#REF!</definedName>
    <definedName name="Load_Strm_14_Emissions">#REF!</definedName>
    <definedName name="Load_Strm_15" localSheetId="3">#REF!</definedName>
    <definedName name="Load_Strm_15" localSheetId="7">#REF!</definedName>
    <definedName name="Load_Strm_15" localSheetId="9">#REF!</definedName>
    <definedName name="Load_Strm_15" localSheetId="10">#REF!</definedName>
    <definedName name="Load_Strm_15" localSheetId="15">#REF!</definedName>
    <definedName name="Load_Strm_15" localSheetId="19">#REF!</definedName>
    <definedName name="Load_Strm_15" localSheetId="20">#REF!</definedName>
    <definedName name="Load_Strm_15" localSheetId="24">#REF!</definedName>
    <definedName name="Load_Strm_15" localSheetId="104">#REF!</definedName>
    <definedName name="Load_Strm_15" localSheetId="65">#REF!</definedName>
    <definedName name="Load_Strm_15" localSheetId="64">#REF!</definedName>
    <definedName name="Load_Strm_15" localSheetId="77">#REF!</definedName>
    <definedName name="Load_Strm_15" localSheetId="49">#REF!</definedName>
    <definedName name="Load_Strm_15" localSheetId="40">#REF!</definedName>
    <definedName name="Load_Strm_15" localSheetId="43">#REF!</definedName>
    <definedName name="Load_Strm_15" localSheetId="13">#REF!</definedName>
    <definedName name="Load_Strm_15" localSheetId="38">#REF!</definedName>
    <definedName name="Load_Strm_15">#REF!</definedName>
    <definedName name="Load_Strm_15_Comp" localSheetId="3">#REF!</definedName>
    <definedName name="Load_Strm_15_Comp" localSheetId="7">#REF!</definedName>
    <definedName name="Load_Strm_15_Comp" localSheetId="9">#REF!</definedName>
    <definedName name="Load_Strm_15_Comp" localSheetId="10">#REF!</definedName>
    <definedName name="Load_Strm_15_Comp" localSheetId="15">#REF!</definedName>
    <definedName name="Load_Strm_15_Comp" localSheetId="19">#REF!</definedName>
    <definedName name="Load_Strm_15_Comp" localSheetId="20">#REF!</definedName>
    <definedName name="Load_Strm_15_Comp" localSheetId="24">#REF!</definedName>
    <definedName name="Load_Strm_15_Comp" localSheetId="104">#REF!</definedName>
    <definedName name="Load_Strm_15_Comp" localSheetId="65">#REF!</definedName>
    <definedName name="Load_Strm_15_Comp" localSheetId="64">#REF!</definedName>
    <definedName name="Load_Strm_15_Comp" localSheetId="77">#REF!</definedName>
    <definedName name="Load_Strm_15_Comp" localSheetId="49">#REF!</definedName>
    <definedName name="Load_Strm_15_Comp" localSheetId="40">#REF!</definedName>
    <definedName name="Load_Strm_15_Comp" localSheetId="43">#REF!</definedName>
    <definedName name="Load_Strm_15_Comp" localSheetId="13">#REF!</definedName>
    <definedName name="Load_Strm_15_Comp" localSheetId="38">#REF!</definedName>
    <definedName name="Load_Strm_15_Comp">#REF!</definedName>
    <definedName name="Load_Strm_15_Emissions" localSheetId="3">#REF!</definedName>
    <definedName name="Load_Strm_15_Emissions" localSheetId="7">#REF!</definedName>
    <definedName name="Load_Strm_15_Emissions" localSheetId="9">#REF!</definedName>
    <definedName name="Load_Strm_15_Emissions" localSheetId="10">#REF!</definedName>
    <definedName name="Load_Strm_15_Emissions" localSheetId="15">#REF!</definedName>
    <definedName name="Load_Strm_15_Emissions" localSheetId="19">#REF!</definedName>
    <definedName name="Load_Strm_15_Emissions" localSheetId="20">#REF!</definedName>
    <definedName name="Load_Strm_15_Emissions" localSheetId="24">#REF!</definedName>
    <definedName name="Load_Strm_15_Emissions" localSheetId="104">#REF!</definedName>
    <definedName name="Load_Strm_15_Emissions" localSheetId="65">#REF!</definedName>
    <definedName name="Load_Strm_15_Emissions" localSheetId="64">#REF!</definedName>
    <definedName name="Load_Strm_15_Emissions" localSheetId="77">#REF!</definedName>
    <definedName name="Load_Strm_15_Emissions" localSheetId="49">#REF!</definedName>
    <definedName name="Load_Strm_15_Emissions" localSheetId="40">#REF!</definedName>
    <definedName name="Load_Strm_15_Emissions" localSheetId="43">#REF!</definedName>
    <definedName name="Load_Strm_15_Emissions" localSheetId="13">#REF!</definedName>
    <definedName name="Load_Strm_15_Emissions" localSheetId="38">#REF!</definedName>
    <definedName name="Load_Strm_15_Emissions">#REF!</definedName>
    <definedName name="Load_Strm_16" localSheetId="3">#REF!</definedName>
    <definedName name="Load_Strm_16" localSheetId="7">#REF!</definedName>
    <definedName name="Load_Strm_16" localSheetId="9">#REF!</definedName>
    <definedName name="Load_Strm_16" localSheetId="10">#REF!</definedName>
    <definedName name="Load_Strm_16" localSheetId="15">#REF!</definedName>
    <definedName name="Load_Strm_16" localSheetId="19">#REF!</definedName>
    <definedName name="Load_Strm_16" localSheetId="20">#REF!</definedName>
    <definedName name="Load_Strm_16" localSheetId="24">#REF!</definedName>
    <definedName name="Load_Strm_16" localSheetId="104">#REF!</definedName>
    <definedName name="Load_Strm_16" localSheetId="65">#REF!</definedName>
    <definedName name="Load_Strm_16" localSheetId="64">#REF!</definedName>
    <definedName name="Load_Strm_16" localSheetId="77">#REF!</definedName>
    <definedName name="Load_Strm_16" localSheetId="49">#REF!</definedName>
    <definedName name="Load_Strm_16" localSheetId="40">#REF!</definedName>
    <definedName name="Load_Strm_16" localSheetId="43">#REF!</definedName>
    <definedName name="Load_Strm_16" localSheetId="13">#REF!</definedName>
    <definedName name="Load_Strm_16" localSheetId="38">#REF!</definedName>
    <definedName name="Load_Strm_16">#REF!</definedName>
    <definedName name="Load_Strm_16_Comp" localSheetId="3">#REF!</definedName>
    <definedName name="Load_Strm_16_Comp" localSheetId="7">#REF!</definedName>
    <definedName name="Load_Strm_16_Comp" localSheetId="9">#REF!</definedName>
    <definedName name="Load_Strm_16_Comp" localSheetId="10">#REF!</definedName>
    <definedName name="Load_Strm_16_Comp" localSheetId="15">#REF!</definedName>
    <definedName name="Load_Strm_16_Comp" localSheetId="19">#REF!</definedName>
    <definedName name="Load_Strm_16_Comp" localSheetId="20">#REF!</definedName>
    <definedName name="Load_Strm_16_Comp" localSheetId="24">#REF!</definedName>
    <definedName name="Load_Strm_16_Comp" localSheetId="104">#REF!</definedName>
    <definedName name="Load_Strm_16_Comp" localSheetId="65">#REF!</definedName>
    <definedName name="Load_Strm_16_Comp" localSheetId="64">#REF!</definedName>
    <definedName name="Load_Strm_16_Comp" localSheetId="77">#REF!</definedName>
    <definedName name="Load_Strm_16_Comp" localSheetId="49">#REF!</definedName>
    <definedName name="Load_Strm_16_Comp" localSheetId="40">#REF!</definedName>
    <definedName name="Load_Strm_16_Comp" localSheetId="43">#REF!</definedName>
    <definedName name="Load_Strm_16_Comp" localSheetId="13">#REF!</definedName>
    <definedName name="Load_Strm_16_Comp" localSheetId="38">#REF!</definedName>
    <definedName name="Load_Strm_16_Comp">#REF!</definedName>
    <definedName name="Load_Strm_16_Emissions" localSheetId="3">#REF!</definedName>
    <definedName name="Load_Strm_16_Emissions" localSheetId="7">#REF!</definedName>
    <definedName name="Load_Strm_16_Emissions" localSheetId="9">#REF!</definedName>
    <definedName name="Load_Strm_16_Emissions" localSheetId="10">#REF!</definedName>
    <definedName name="Load_Strm_16_Emissions" localSheetId="15">#REF!</definedName>
    <definedName name="Load_Strm_16_Emissions" localSheetId="19">#REF!</definedName>
    <definedName name="Load_Strm_16_Emissions" localSheetId="20">#REF!</definedName>
    <definedName name="Load_Strm_16_Emissions" localSheetId="24">#REF!</definedName>
    <definedName name="Load_Strm_16_Emissions" localSheetId="104">#REF!</definedName>
    <definedName name="Load_Strm_16_Emissions" localSheetId="65">#REF!</definedName>
    <definedName name="Load_Strm_16_Emissions" localSheetId="64">#REF!</definedName>
    <definedName name="Load_Strm_16_Emissions" localSheetId="77">#REF!</definedName>
    <definedName name="Load_Strm_16_Emissions" localSheetId="49">#REF!</definedName>
    <definedName name="Load_Strm_16_Emissions" localSheetId="40">#REF!</definedName>
    <definedName name="Load_Strm_16_Emissions" localSheetId="43">#REF!</definedName>
    <definedName name="Load_Strm_16_Emissions" localSheetId="13">#REF!</definedName>
    <definedName name="Load_Strm_16_Emissions" localSheetId="38">#REF!</definedName>
    <definedName name="Load_Strm_16_Emissions">#REF!</definedName>
    <definedName name="Load_Strm_17" localSheetId="3">#REF!</definedName>
    <definedName name="Load_Strm_17" localSheetId="7">#REF!</definedName>
    <definedName name="Load_Strm_17" localSheetId="9">#REF!</definedName>
    <definedName name="Load_Strm_17" localSheetId="10">#REF!</definedName>
    <definedName name="Load_Strm_17" localSheetId="15">#REF!</definedName>
    <definedName name="Load_Strm_17" localSheetId="19">#REF!</definedName>
    <definedName name="Load_Strm_17" localSheetId="20">#REF!</definedName>
    <definedName name="Load_Strm_17" localSheetId="24">#REF!</definedName>
    <definedName name="Load_Strm_17" localSheetId="104">#REF!</definedName>
    <definedName name="Load_Strm_17" localSheetId="65">#REF!</definedName>
    <definedName name="Load_Strm_17" localSheetId="64">#REF!</definedName>
    <definedName name="Load_Strm_17" localSheetId="77">#REF!</definedName>
    <definedName name="Load_Strm_17" localSheetId="49">#REF!</definedName>
    <definedName name="Load_Strm_17" localSheetId="40">#REF!</definedName>
    <definedName name="Load_Strm_17" localSheetId="43">#REF!</definedName>
    <definedName name="Load_Strm_17" localSheetId="13">#REF!</definedName>
    <definedName name="Load_Strm_17" localSheetId="38">#REF!</definedName>
    <definedName name="Load_Strm_17">#REF!</definedName>
    <definedName name="Load_Strm_17_Comp" localSheetId="3">#REF!</definedName>
    <definedName name="Load_Strm_17_Comp" localSheetId="7">#REF!</definedName>
    <definedName name="Load_Strm_17_Comp" localSheetId="9">#REF!</definedName>
    <definedName name="Load_Strm_17_Comp" localSheetId="10">#REF!</definedName>
    <definedName name="Load_Strm_17_Comp" localSheetId="15">#REF!</definedName>
    <definedName name="Load_Strm_17_Comp" localSheetId="19">#REF!</definedName>
    <definedName name="Load_Strm_17_Comp" localSheetId="20">#REF!</definedName>
    <definedName name="Load_Strm_17_Comp" localSheetId="24">#REF!</definedName>
    <definedName name="Load_Strm_17_Comp" localSheetId="104">#REF!</definedName>
    <definedName name="Load_Strm_17_Comp" localSheetId="65">#REF!</definedName>
    <definedName name="Load_Strm_17_Comp" localSheetId="64">#REF!</definedName>
    <definedName name="Load_Strm_17_Comp" localSheetId="77">#REF!</definedName>
    <definedName name="Load_Strm_17_Comp" localSheetId="49">#REF!</definedName>
    <definedName name="Load_Strm_17_Comp" localSheetId="40">#REF!</definedName>
    <definedName name="Load_Strm_17_Comp" localSheetId="43">#REF!</definedName>
    <definedName name="Load_Strm_17_Comp" localSheetId="13">#REF!</definedName>
    <definedName name="Load_Strm_17_Comp" localSheetId="38">#REF!</definedName>
    <definedName name="Load_Strm_17_Comp">#REF!</definedName>
    <definedName name="Load_Strm_17_Emissions" localSheetId="3">#REF!</definedName>
    <definedName name="Load_Strm_17_Emissions" localSheetId="7">#REF!</definedName>
    <definedName name="Load_Strm_17_Emissions" localSheetId="9">#REF!</definedName>
    <definedName name="Load_Strm_17_Emissions" localSheetId="10">#REF!</definedName>
    <definedName name="Load_Strm_17_Emissions" localSheetId="15">#REF!</definedName>
    <definedName name="Load_Strm_17_Emissions" localSheetId="19">#REF!</definedName>
    <definedName name="Load_Strm_17_Emissions" localSheetId="20">#REF!</definedName>
    <definedName name="Load_Strm_17_Emissions" localSheetId="24">#REF!</definedName>
    <definedName name="Load_Strm_17_Emissions" localSheetId="104">#REF!</definedName>
    <definedName name="Load_Strm_17_Emissions" localSheetId="65">#REF!</definedName>
    <definedName name="Load_Strm_17_Emissions" localSheetId="64">#REF!</definedName>
    <definedName name="Load_Strm_17_Emissions" localSheetId="77">#REF!</definedName>
    <definedName name="Load_Strm_17_Emissions" localSheetId="49">#REF!</definedName>
    <definedName name="Load_Strm_17_Emissions" localSheetId="40">#REF!</definedName>
    <definedName name="Load_Strm_17_Emissions" localSheetId="43">#REF!</definedName>
    <definedName name="Load_Strm_17_Emissions" localSheetId="13">#REF!</definedName>
    <definedName name="Load_Strm_17_Emissions" localSheetId="38">#REF!</definedName>
    <definedName name="Load_Strm_17_Emissions">#REF!</definedName>
    <definedName name="Load_Strm_18" localSheetId="3">#REF!</definedName>
    <definedName name="Load_Strm_18" localSheetId="7">#REF!</definedName>
    <definedName name="Load_Strm_18" localSheetId="9">#REF!</definedName>
    <definedName name="Load_Strm_18" localSheetId="10">#REF!</definedName>
    <definedName name="Load_Strm_18" localSheetId="15">#REF!</definedName>
    <definedName name="Load_Strm_18" localSheetId="19">#REF!</definedName>
    <definedName name="Load_Strm_18" localSheetId="20">#REF!</definedName>
    <definedName name="Load_Strm_18" localSheetId="24">#REF!</definedName>
    <definedName name="Load_Strm_18" localSheetId="104">#REF!</definedName>
    <definedName name="Load_Strm_18" localSheetId="65">#REF!</definedName>
    <definedName name="Load_Strm_18" localSheetId="64">#REF!</definedName>
    <definedName name="Load_Strm_18" localSheetId="77">#REF!</definedName>
    <definedName name="Load_Strm_18" localSheetId="49">#REF!</definedName>
    <definedName name="Load_Strm_18" localSheetId="40">#REF!</definedName>
    <definedName name="Load_Strm_18" localSheetId="43">#REF!</definedName>
    <definedName name="Load_Strm_18" localSheetId="13">#REF!</definedName>
    <definedName name="Load_Strm_18" localSheetId="38">#REF!</definedName>
    <definedName name="Load_Strm_18">#REF!</definedName>
    <definedName name="Load_Strm_18_Comp" localSheetId="3">#REF!</definedName>
    <definedName name="Load_Strm_18_Comp" localSheetId="7">#REF!</definedName>
    <definedName name="Load_Strm_18_Comp" localSheetId="9">#REF!</definedName>
    <definedName name="Load_Strm_18_Comp" localSheetId="10">#REF!</definedName>
    <definedName name="Load_Strm_18_Comp" localSheetId="15">#REF!</definedName>
    <definedName name="Load_Strm_18_Comp" localSheetId="19">#REF!</definedName>
    <definedName name="Load_Strm_18_Comp" localSheetId="20">#REF!</definedName>
    <definedName name="Load_Strm_18_Comp" localSheetId="24">#REF!</definedName>
    <definedName name="Load_Strm_18_Comp" localSheetId="104">#REF!</definedName>
    <definedName name="Load_Strm_18_Comp" localSheetId="65">#REF!</definedName>
    <definedName name="Load_Strm_18_Comp" localSheetId="64">#REF!</definedName>
    <definedName name="Load_Strm_18_Comp" localSheetId="77">#REF!</definedName>
    <definedName name="Load_Strm_18_Comp" localSheetId="49">#REF!</definedName>
    <definedName name="Load_Strm_18_Comp" localSheetId="40">#REF!</definedName>
    <definedName name="Load_Strm_18_Comp" localSheetId="43">#REF!</definedName>
    <definedName name="Load_Strm_18_Comp" localSheetId="13">#REF!</definedName>
    <definedName name="Load_Strm_18_Comp" localSheetId="38">#REF!</definedName>
    <definedName name="Load_Strm_18_Comp">#REF!</definedName>
    <definedName name="Load_Strm_18_Emissions" localSheetId="3">#REF!</definedName>
    <definedName name="Load_Strm_18_Emissions" localSheetId="7">#REF!</definedName>
    <definedName name="Load_Strm_18_Emissions" localSheetId="9">#REF!</definedName>
    <definedName name="Load_Strm_18_Emissions" localSheetId="10">#REF!</definedName>
    <definedName name="Load_Strm_18_Emissions" localSheetId="15">#REF!</definedName>
    <definedName name="Load_Strm_18_Emissions" localSheetId="19">#REF!</definedName>
    <definedName name="Load_Strm_18_Emissions" localSheetId="20">#REF!</definedName>
    <definedName name="Load_Strm_18_Emissions" localSheetId="24">#REF!</definedName>
    <definedName name="Load_Strm_18_Emissions" localSheetId="104">#REF!</definedName>
    <definedName name="Load_Strm_18_Emissions" localSheetId="65">#REF!</definedName>
    <definedName name="Load_Strm_18_Emissions" localSheetId="64">#REF!</definedName>
    <definedName name="Load_Strm_18_Emissions" localSheetId="77">#REF!</definedName>
    <definedName name="Load_Strm_18_Emissions" localSheetId="49">#REF!</definedName>
    <definedName name="Load_Strm_18_Emissions" localSheetId="40">#REF!</definedName>
    <definedName name="Load_Strm_18_Emissions" localSheetId="43">#REF!</definedName>
    <definedName name="Load_Strm_18_Emissions" localSheetId="13">#REF!</definedName>
    <definedName name="Load_Strm_18_Emissions" localSheetId="38">#REF!</definedName>
    <definedName name="Load_Strm_18_Emissions">#REF!</definedName>
    <definedName name="Load_Strm_19" localSheetId="3">#REF!</definedName>
    <definedName name="Load_Strm_19" localSheetId="7">#REF!</definedName>
    <definedName name="Load_Strm_19" localSheetId="9">#REF!</definedName>
    <definedName name="Load_Strm_19" localSheetId="10">#REF!</definedName>
    <definedName name="Load_Strm_19" localSheetId="15">#REF!</definedName>
    <definedName name="Load_Strm_19" localSheetId="19">#REF!</definedName>
    <definedName name="Load_Strm_19" localSheetId="20">#REF!</definedName>
    <definedName name="Load_Strm_19" localSheetId="24">#REF!</definedName>
    <definedName name="Load_Strm_19" localSheetId="104">#REF!</definedName>
    <definedName name="Load_Strm_19" localSheetId="65">#REF!</definedName>
    <definedName name="Load_Strm_19" localSheetId="64">#REF!</definedName>
    <definedName name="Load_Strm_19" localSheetId="77">#REF!</definedName>
    <definedName name="Load_Strm_19" localSheetId="49">#REF!</definedName>
    <definedName name="Load_Strm_19" localSheetId="40">#REF!</definedName>
    <definedName name="Load_Strm_19" localSheetId="43">#REF!</definedName>
    <definedName name="Load_Strm_19" localSheetId="13">#REF!</definedName>
    <definedName name="Load_Strm_19" localSheetId="38">#REF!</definedName>
    <definedName name="Load_Strm_19">#REF!</definedName>
    <definedName name="Load_Strm_19_Comp" localSheetId="3">#REF!</definedName>
    <definedName name="Load_Strm_19_Comp" localSheetId="7">#REF!</definedName>
    <definedName name="Load_Strm_19_Comp" localSheetId="9">#REF!</definedName>
    <definedName name="Load_Strm_19_Comp" localSheetId="10">#REF!</definedName>
    <definedName name="Load_Strm_19_Comp" localSheetId="15">#REF!</definedName>
    <definedName name="Load_Strm_19_Comp" localSheetId="19">#REF!</definedName>
    <definedName name="Load_Strm_19_Comp" localSheetId="20">#REF!</definedName>
    <definedName name="Load_Strm_19_Comp" localSheetId="24">#REF!</definedName>
    <definedName name="Load_Strm_19_Comp" localSheetId="104">#REF!</definedName>
    <definedName name="Load_Strm_19_Comp" localSheetId="65">#REF!</definedName>
    <definedName name="Load_Strm_19_Comp" localSheetId="64">#REF!</definedName>
    <definedName name="Load_Strm_19_Comp" localSheetId="77">#REF!</definedName>
    <definedName name="Load_Strm_19_Comp" localSheetId="49">#REF!</definedName>
    <definedName name="Load_Strm_19_Comp" localSheetId="40">#REF!</definedName>
    <definedName name="Load_Strm_19_Comp" localSheetId="43">#REF!</definedName>
    <definedName name="Load_Strm_19_Comp" localSheetId="13">#REF!</definedName>
    <definedName name="Load_Strm_19_Comp" localSheetId="38">#REF!</definedName>
    <definedName name="Load_Strm_19_Comp">#REF!</definedName>
    <definedName name="Load_Strm_19_Emissions" localSheetId="3">#REF!</definedName>
    <definedName name="Load_Strm_19_Emissions" localSheetId="7">#REF!</definedName>
    <definedName name="Load_Strm_19_Emissions" localSheetId="9">#REF!</definedName>
    <definedName name="Load_Strm_19_Emissions" localSheetId="10">#REF!</definedName>
    <definedName name="Load_Strm_19_Emissions" localSheetId="15">#REF!</definedName>
    <definedName name="Load_Strm_19_Emissions" localSheetId="19">#REF!</definedName>
    <definedName name="Load_Strm_19_Emissions" localSheetId="20">#REF!</definedName>
    <definedName name="Load_Strm_19_Emissions" localSheetId="24">#REF!</definedName>
    <definedName name="Load_Strm_19_Emissions" localSheetId="104">#REF!</definedName>
    <definedName name="Load_Strm_19_Emissions" localSheetId="65">#REF!</definedName>
    <definedName name="Load_Strm_19_Emissions" localSheetId="64">#REF!</definedName>
    <definedName name="Load_Strm_19_Emissions" localSheetId="77">#REF!</definedName>
    <definedName name="Load_Strm_19_Emissions" localSheetId="49">#REF!</definedName>
    <definedName name="Load_Strm_19_Emissions" localSheetId="40">#REF!</definedName>
    <definedName name="Load_Strm_19_Emissions" localSheetId="43">#REF!</definedName>
    <definedName name="Load_Strm_19_Emissions" localSheetId="13">#REF!</definedName>
    <definedName name="Load_Strm_19_Emissions" localSheetId="38">#REF!</definedName>
    <definedName name="Load_Strm_19_Emissions">#REF!</definedName>
    <definedName name="Load_Strm_20" localSheetId="3">#REF!</definedName>
    <definedName name="Load_Strm_20" localSheetId="7">#REF!</definedName>
    <definedName name="Load_Strm_20" localSheetId="9">#REF!</definedName>
    <definedName name="Load_Strm_20" localSheetId="10">#REF!</definedName>
    <definedName name="Load_Strm_20" localSheetId="15">#REF!</definedName>
    <definedName name="Load_Strm_20" localSheetId="19">#REF!</definedName>
    <definedName name="Load_Strm_20" localSheetId="20">#REF!</definedName>
    <definedName name="Load_Strm_20" localSheetId="24">#REF!</definedName>
    <definedName name="Load_Strm_20" localSheetId="104">#REF!</definedName>
    <definedName name="Load_Strm_20" localSheetId="65">#REF!</definedName>
    <definedName name="Load_Strm_20" localSheetId="64">#REF!</definedName>
    <definedName name="Load_Strm_20" localSheetId="77">#REF!</definedName>
    <definedName name="Load_Strm_20" localSheetId="49">#REF!</definedName>
    <definedName name="Load_Strm_20" localSheetId="40">#REF!</definedName>
    <definedName name="Load_Strm_20" localSheetId="43">#REF!</definedName>
    <definedName name="Load_Strm_20" localSheetId="13">#REF!</definedName>
    <definedName name="Load_Strm_20" localSheetId="38">#REF!</definedName>
    <definedName name="Load_Strm_20">#REF!</definedName>
    <definedName name="Load_Strm_20_Comp" localSheetId="3">#REF!</definedName>
    <definedName name="Load_Strm_20_Comp" localSheetId="7">#REF!</definedName>
    <definedName name="Load_Strm_20_Comp" localSheetId="9">#REF!</definedName>
    <definedName name="Load_Strm_20_Comp" localSheetId="10">#REF!</definedName>
    <definedName name="Load_Strm_20_Comp" localSheetId="15">#REF!</definedName>
    <definedName name="Load_Strm_20_Comp" localSheetId="19">#REF!</definedName>
    <definedName name="Load_Strm_20_Comp" localSheetId="20">#REF!</definedName>
    <definedName name="Load_Strm_20_Comp" localSheetId="24">#REF!</definedName>
    <definedName name="Load_Strm_20_Comp" localSheetId="104">#REF!</definedName>
    <definedName name="Load_Strm_20_Comp" localSheetId="65">#REF!</definedName>
    <definedName name="Load_Strm_20_Comp" localSheetId="64">#REF!</definedName>
    <definedName name="Load_Strm_20_Comp" localSheetId="77">#REF!</definedName>
    <definedName name="Load_Strm_20_Comp" localSheetId="49">#REF!</definedName>
    <definedName name="Load_Strm_20_Comp" localSheetId="40">#REF!</definedName>
    <definedName name="Load_Strm_20_Comp" localSheetId="43">#REF!</definedName>
    <definedName name="Load_Strm_20_Comp" localSheetId="13">#REF!</definedName>
    <definedName name="Load_Strm_20_Comp" localSheetId="38">#REF!</definedName>
    <definedName name="Load_Strm_20_Comp">#REF!</definedName>
    <definedName name="Load_Strm_20_Emissions" localSheetId="3">#REF!</definedName>
    <definedName name="Load_Strm_20_Emissions" localSheetId="7">#REF!</definedName>
    <definedName name="Load_Strm_20_Emissions" localSheetId="9">#REF!</definedName>
    <definedName name="Load_Strm_20_Emissions" localSheetId="10">#REF!</definedName>
    <definedName name="Load_Strm_20_Emissions" localSheetId="15">#REF!</definedName>
    <definedName name="Load_Strm_20_Emissions" localSheetId="19">#REF!</definedName>
    <definedName name="Load_Strm_20_Emissions" localSheetId="20">#REF!</definedName>
    <definedName name="Load_Strm_20_Emissions" localSheetId="24">#REF!</definedName>
    <definedName name="Load_Strm_20_Emissions" localSheetId="104">#REF!</definedName>
    <definedName name="Load_Strm_20_Emissions" localSheetId="65">#REF!</definedName>
    <definedName name="Load_Strm_20_Emissions" localSheetId="64">#REF!</definedName>
    <definedName name="Load_Strm_20_Emissions" localSheetId="77">#REF!</definedName>
    <definedName name="Load_Strm_20_Emissions" localSheetId="49">#REF!</definedName>
    <definedName name="Load_Strm_20_Emissions" localSheetId="40">#REF!</definedName>
    <definedName name="Load_Strm_20_Emissions" localSheetId="43">#REF!</definedName>
    <definedName name="Load_Strm_20_Emissions" localSheetId="13">#REF!</definedName>
    <definedName name="Load_Strm_20_Emissions" localSheetId="38">#REF!</definedName>
    <definedName name="Load_Strm_20_Emissions">#REF!</definedName>
    <definedName name="Load_Strm_Lis_Btm" localSheetId="3">#REF!</definedName>
    <definedName name="Load_Strm_Lis_Btm" localSheetId="7">#REF!</definedName>
    <definedName name="Load_Strm_Lis_Btm" localSheetId="9">#REF!</definedName>
    <definedName name="Load_Strm_Lis_Btm" localSheetId="10">#REF!</definedName>
    <definedName name="Load_Strm_Lis_Btm" localSheetId="15">#REF!</definedName>
    <definedName name="Load_Strm_Lis_Btm" localSheetId="19">#REF!</definedName>
    <definedName name="Load_Strm_Lis_Btm" localSheetId="20">#REF!</definedName>
    <definedName name="Load_Strm_Lis_Btm" localSheetId="24">#REF!</definedName>
    <definedName name="Load_Strm_Lis_Btm" localSheetId="104">#REF!</definedName>
    <definedName name="Load_Strm_Lis_Btm" localSheetId="65">#REF!</definedName>
    <definedName name="Load_Strm_Lis_Btm" localSheetId="64">#REF!</definedName>
    <definedName name="Load_Strm_Lis_Btm" localSheetId="77">#REF!</definedName>
    <definedName name="Load_Strm_Lis_Btm" localSheetId="49">#REF!</definedName>
    <definedName name="Load_Strm_Lis_Btm" localSheetId="40">#REF!</definedName>
    <definedName name="Load_Strm_Lis_Btm" localSheetId="43">#REF!</definedName>
    <definedName name="Load_Strm_Lis_Btm" localSheetId="13">#REF!</definedName>
    <definedName name="Load_Strm_Lis_Btm" localSheetId="38">#REF!</definedName>
    <definedName name="Load_Strm_Lis_Btm">#REF!</definedName>
    <definedName name="Load_Strm_List" localSheetId="3">#REF!</definedName>
    <definedName name="Load_Strm_List" localSheetId="7">#REF!</definedName>
    <definedName name="Load_Strm_List" localSheetId="9">#REF!</definedName>
    <definedName name="Load_Strm_List" localSheetId="10">#REF!</definedName>
    <definedName name="Load_Strm_List" localSheetId="15">#REF!</definedName>
    <definedName name="Load_Strm_List" localSheetId="19">#REF!</definedName>
    <definedName name="Load_Strm_List" localSheetId="20">#REF!</definedName>
    <definedName name="Load_Strm_List" localSheetId="24">#REF!</definedName>
    <definedName name="Load_Strm_List" localSheetId="104">#REF!</definedName>
    <definedName name="Load_Strm_List" localSheetId="65">#REF!</definedName>
    <definedName name="Load_Strm_List" localSheetId="64">#REF!</definedName>
    <definedName name="Load_Strm_List" localSheetId="77">#REF!</definedName>
    <definedName name="Load_Strm_List" localSheetId="49">#REF!</definedName>
    <definedName name="Load_Strm_List" localSheetId="40">#REF!</definedName>
    <definedName name="Load_Strm_List" localSheetId="43">#REF!</definedName>
    <definedName name="Load_Strm_List" localSheetId="13">#REF!</definedName>
    <definedName name="Load_Strm_List" localSheetId="38">#REF!</definedName>
    <definedName name="Load_Strm_List">#REF!</definedName>
    <definedName name="Load_Top" localSheetId="3">#REF!</definedName>
    <definedName name="Load_Top" localSheetId="7">#REF!</definedName>
    <definedName name="Load_Top" localSheetId="9">#REF!</definedName>
    <definedName name="Load_Top" localSheetId="10">#REF!</definedName>
    <definedName name="Load_Top" localSheetId="15">#REF!</definedName>
    <definedName name="Load_Top" localSheetId="19">#REF!</definedName>
    <definedName name="Load_Top" localSheetId="20">#REF!</definedName>
    <definedName name="Load_Top" localSheetId="24">#REF!</definedName>
    <definedName name="Load_Top" localSheetId="104">#REF!</definedName>
    <definedName name="Load_Top" localSheetId="65">#REF!</definedName>
    <definedName name="Load_Top" localSheetId="64">#REF!</definedName>
    <definedName name="Load_Top" localSheetId="77">#REF!</definedName>
    <definedName name="Load_Top" localSheetId="49">#REF!</definedName>
    <definedName name="Load_Top" localSheetId="40">#REF!</definedName>
    <definedName name="Load_Top" localSheetId="43">#REF!</definedName>
    <definedName name="Load_Top" localSheetId="13">#REF!</definedName>
    <definedName name="Load_Top" localSheetId="38">#REF!</definedName>
    <definedName name="Load_Top">#REF!</definedName>
    <definedName name="Loading">[17]Compliance_NS!$A$75:$A$76</definedName>
    <definedName name="LOADING_RACK" localSheetId="3">#REF!</definedName>
    <definedName name="LOADING_RACK" localSheetId="7">#REF!</definedName>
    <definedName name="LOADING_RACK" localSheetId="9">#REF!</definedName>
    <definedName name="LOADING_RACK" localSheetId="10">#REF!</definedName>
    <definedName name="LOADING_RACK" localSheetId="15">#REF!</definedName>
    <definedName name="LOADING_RACK" localSheetId="19">#REF!</definedName>
    <definedName name="LOADING_RACK" localSheetId="20">#REF!</definedName>
    <definedName name="LOADING_RACK" localSheetId="24">#REF!</definedName>
    <definedName name="LOADING_RACK" localSheetId="104">#REF!</definedName>
    <definedName name="LOADING_RACK" localSheetId="65">#REF!</definedName>
    <definedName name="LOADING_RACK" localSheetId="64">#REF!</definedName>
    <definedName name="LOADING_RACK" localSheetId="77">#REF!</definedName>
    <definedName name="LOADING_RACK" localSheetId="49">#REF!</definedName>
    <definedName name="LOADING_RACK" localSheetId="48">#REF!</definedName>
    <definedName name="LOADING_RACK" localSheetId="40">#REF!</definedName>
    <definedName name="LOADING_RACK" localSheetId="43">#REF!</definedName>
    <definedName name="LOADING_RACK" localSheetId="13">#REF!</definedName>
    <definedName name="LOADING_RACK" localSheetId="38">#REF!</definedName>
    <definedName name="LOADING_RACK">#REF!</definedName>
    <definedName name="love" localSheetId="105" hidden="1">{#N/A,#N/A,FALSE,"Summary";#N/A,#N/A,FALSE,"Fixed (94)";#N/A,#N/A,FALSE,"fixed (P)";#N/A,#N/A,FALSE,"ExtFloat(94)";#N/A,#N/A,FALSE,"ExtFloat(P)";#N/A,#N/A,FALSE,"IntFloat(94)";#N/A,#N/A,FALSE,"IntFloat(P)";#N/A,#N/A,FALSE,"LD(94)";#N/A,#N/A,FALSE,"LD(P)";#N/A,#N/A,FALSE,"Fugitives";#N/A,#N/A,FALSE,"Speciate (94)";#N/A,#N/A,FALSE,"Speciate (P)"}</definedName>
    <definedName name="love" localSheetId="96" hidden="1">{#N/A,#N/A,FALSE,"Summary";#N/A,#N/A,FALSE,"Fixed (94)";#N/A,#N/A,FALSE,"fixed (P)";#N/A,#N/A,FALSE,"ExtFloat(94)";#N/A,#N/A,FALSE,"ExtFloat(P)";#N/A,#N/A,FALSE,"IntFloat(94)";#N/A,#N/A,FALSE,"IntFloat(P)";#N/A,#N/A,FALSE,"LD(94)";#N/A,#N/A,FALSE,"LD(P)";#N/A,#N/A,FALSE,"Fugitives";#N/A,#N/A,FALSE,"Speciate (94)";#N/A,#N/A,FALSE,"Speciate (P)"}</definedName>
    <definedName name="love" localSheetId="44" hidden="1">{#N/A,#N/A,FALSE,"Summary";#N/A,#N/A,FALSE,"Fixed (94)";#N/A,#N/A,FALSE,"fixed (P)";#N/A,#N/A,FALSE,"ExtFloat(94)";#N/A,#N/A,FALSE,"ExtFloat(P)";#N/A,#N/A,FALSE,"IntFloat(94)";#N/A,#N/A,FALSE,"IntFloat(P)";#N/A,#N/A,FALSE,"LD(94)";#N/A,#N/A,FALSE,"LD(P)";#N/A,#N/A,FALSE,"Fugitives";#N/A,#N/A,FALSE,"Speciate (94)";#N/A,#N/A,FALSE,"Speciate (P)"}</definedName>
    <definedName name="love" hidden="1">{#N/A,#N/A,FALSE,"Summary";#N/A,#N/A,FALSE,"Fixed (94)";#N/A,#N/A,FALSE,"fixed (P)";#N/A,#N/A,FALSE,"ExtFloat(94)";#N/A,#N/A,FALSE,"ExtFloat(P)";#N/A,#N/A,FALSE,"IntFloat(94)";#N/A,#N/A,FALSE,"IntFloat(P)";#N/A,#N/A,FALSE,"LD(94)";#N/A,#N/A,FALSE,"LD(P)";#N/A,#N/A,FALSE,"Fugitives";#N/A,#N/A,FALSE,"Speciate (94)";#N/A,#N/A,FALSE,"Speciate (P)"}</definedName>
    <definedName name="LR" localSheetId="3">#REF!</definedName>
    <definedName name="LR" localSheetId="7">#REF!</definedName>
    <definedName name="LR" localSheetId="9">#REF!</definedName>
    <definedName name="LR" localSheetId="10">#REF!</definedName>
    <definedName name="LR" localSheetId="15">#REF!</definedName>
    <definedName name="LR" localSheetId="19">#REF!</definedName>
    <definedName name="LR" localSheetId="20">#REF!</definedName>
    <definedName name="LR" localSheetId="24">#REF!</definedName>
    <definedName name="LR" localSheetId="104">#REF!</definedName>
    <definedName name="LR" localSheetId="65">#REF!</definedName>
    <definedName name="LR" localSheetId="64">#REF!</definedName>
    <definedName name="LR" localSheetId="77">#REF!</definedName>
    <definedName name="LR" localSheetId="49">#REF!</definedName>
    <definedName name="LR" localSheetId="40">#REF!</definedName>
    <definedName name="LR" localSheetId="43">#REF!</definedName>
    <definedName name="LR" localSheetId="13">#REF!</definedName>
    <definedName name="LR" localSheetId="38">#REF!</definedName>
    <definedName name="LR">#REF!</definedName>
    <definedName name="Ls" localSheetId="3">#REF!</definedName>
    <definedName name="Ls" localSheetId="7">#REF!</definedName>
    <definedName name="Ls" localSheetId="9">#REF!</definedName>
    <definedName name="Ls" localSheetId="10">#REF!</definedName>
    <definedName name="Ls" localSheetId="15">#REF!</definedName>
    <definedName name="Ls" localSheetId="19">#REF!</definedName>
    <definedName name="Ls" localSheetId="20">#REF!</definedName>
    <definedName name="Ls" localSheetId="24">#REF!</definedName>
    <definedName name="Ls" localSheetId="104">#REF!</definedName>
    <definedName name="Ls" localSheetId="65">#REF!</definedName>
    <definedName name="Ls" localSheetId="64">#REF!</definedName>
    <definedName name="Ls" localSheetId="77">#REF!</definedName>
    <definedName name="Ls" localSheetId="49">#REF!</definedName>
    <definedName name="Ls" localSheetId="40">#REF!</definedName>
    <definedName name="Ls" localSheetId="43">#REF!</definedName>
    <definedName name="Ls" localSheetId="13">#REF!</definedName>
    <definedName name="Ls" localSheetId="38">#REF!</definedName>
    <definedName name="Ls">#REF!</definedName>
    <definedName name="LTAP_Standards" localSheetId="3">#REF!</definedName>
    <definedName name="LTAP_Standards" localSheetId="7">#REF!</definedName>
    <definedName name="LTAP_Standards" localSheetId="9">#REF!</definedName>
    <definedName name="LTAP_Standards" localSheetId="10">#REF!</definedName>
    <definedName name="LTAP_Standards" localSheetId="15">#REF!</definedName>
    <definedName name="LTAP_Standards" localSheetId="19">#REF!</definedName>
    <definedName name="LTAP_Standards" localSheetId="20">#REF!</definedName>
    <definedName name="LTAP_Standards" localSheetId="24">#REF!</definedName>
    <definedName name="LTAP_Standards" localSheetId="104">#REF!</definedName>
    <definedName name="LTAP_Standards" localSheetId="65">#REF!</definedName>
    <definedName name="LTAP_Standards" localSheetId="64">#REF!</definedName>
    <definedName name="LTAP_Standards" localSheetId="77">#REF!</definedName>
    <definedName name="LTAP_Standards" localSheetId="49">#REF!</definedName>
    <definedName name="LTAP_Standards" localSheetId="40">#REF!</definedName>
    <definedName name="LTAP_Standards" localSheetId="43">#REF!</definedName>
    <definedName name="LTAP_Standards" localSheetId="13">#REF!</definedName>
    <definedName name="LTAP_Standards" localSheetId="38">#REF!</definedName>
    <definedName name="LTAP_Standards">#REF!</definedName>
    <definedName name="luv" localSheetId="105" hidden="1">{#N/A,#N/A,FALSE,"Summary";#N/A,#N/A,FALSE,"Fixed (94)";#N/A,#N/A,FALSE,"fixed (P)";#N/A,#N/A,FALSE,"ExtFloat(94)";#N/A,#N/A,FALSE,"ExtFloat(P)";#N/A,#N/A,FALSE,"IntFloat(94)";#N/A,#N/A,FALSE,"IntFloat(P)";#N/A,#N/A,FALSE,"LD(94)";#N/A,#N/A,FALSE,"LD(P)";#N/A,#N/A,FALSE,"Fugitives";#N/A,#N/A,FALSE,"Speciate (94)";#N/A,#N/A,FALSE,"Speciate (P)"}</definedName>
    <definedName name="luv" localSheetId="96" hidden="1">{#N/A,#N/A,FALSE,"Summary";#N/A,#N/A,FALSE,"Fixed (94)";#N/A,#N/A,FALSE,"fixed (P)";#N/A,#N/A,FALSE,"ExtFloat(94)";#N/A,#N/A,FALSE,"ExtFloat(P)";#N/A,#N/A,FALSE,"IntFloat(94)";#N/A,#N/A,FALSE,"IntFloat(P)";#N/A,#N/A,FALSE,"LD(94)";#N/A,#N/A,FALSE,"LD(P)";#N/A,#N/A,FALSE,"Fugitives";#N/A,#N/A,FALSE,"Speciate (94)";#N/A,#N/A,FALSE,"Speciate (P)"}</definedName>
    <definedName name="luv" localSheetId="44" hidden="1">{#N/A,#N/A,FALSE,"Summary";#N/A,#N/A,FALSE,"Fixed (94)";#N/A,#N/A,FALSE,"fixed (P)";#N/A,#N/A,FALSE,"ExtFloat(94)";#N/A,#N/A,FALSE,"ExtFloat(P)";#N/A,#N/A,FALSE,"IntFloat(94)";#N/A,#N/A,FALSE,"IntFloat(P)";#N/A,#N/A,FALSE,"LD(94)";#N/A,#N/A,FALSE,"LD(P)";#N/A,#N/A,FALSE,"Fugitives";#N/A,#N/A,FALSE,"Speciate (94)";#N/A,#N/A,FALSE,"Speciate (P)"}</definedName>
    <definedName name="luv" hidden="1">{#N/A,#N/A,FALSE,"Summary";#N/A,#N/A,FALSE,"Fixed (94)";#N/A,#N/A,FALSE,"fixed (P)";#N/A,#N/A,FALSE,"ExtFloat(94)";#N/A,#N/A,FALSE,"ExtFloat(P)";#N/A,#N/A,FALSE,"IntFloat(94)";#N/A,#N/A,FALSE,"IntFloat(P)";#N/A,#N/A,FALSE,"LD(94)";#N/A,#N/A,FALSE,"LD(P)";#N/A,#N/A,FALSE,"Fugitives";#N/A,#N/A,FALSE,"Speciate (94)";#N/A,#N/A,FALSE,"Speciate (P)"}</definedName>
    <definedName name="lv" localSheetId="105" hidden="1">{#N/A,#N/A,FALSE,"Summary";#N/A,#N/A,FALSE,"Fixed (94)";#N/A,#N/A,FALSE,"fixed (P)";#N/A,#N/A,FALSE,"ExtFloat(94)";#N/A,#N/A,FALSE,"ExtFloat(P)";#N/A,#N/A,FALSE,"IntFloat(94)";#N/A,#N/A,FALSE,"IntFloat(P)";#N/A,#N/A,FALSE,"LD(94)";#N/A,#N/A,FALSE,"LD(P)";#N/A,#N/A,FALSE,"Fugitives";#N/A,#N/A,FALSE,"Speciate (94)";#N/A,#N/A,FALSE,"Speciate (P)"}</definedName>
    <definedName name="lv" localSheetId="96" hidden="1">{#N/A,#N/A,FALSE,"Summary";#N/A,#N/A,FALSE,"Fixed (94)";#N/A,#N/A,FALSE,"fixed (P)";#N/A,#N/A,FALSE,"ExtFloat(94)";#N/A,#N/A,FALSE,"ExtFloat(P)";#N/A,#N/A,FALSE,"IntFloat(94)";#N/A,#N/A,FALSE,"IntFloat(P)";#N/A,#N/A,FALSE,"LD(94)";#N/A,#N/A,FALSE,"LD(P)";#N/A,#N/A,FALSE,"Fugitives";#N/A,#N/A,FALSE,"Speciate (94)";#N/A,#N/A,FALSE,"Speciate (P)"}</definedName>
    <definedName name="lv" localSheetId="44" hidden="1">{#N/A,#N/A,FALSE,"Summary";#N/A,#N/A,FALSE,"Fixed (94)";#N/A,#N/A,FALSE,"fixed (P)";#N/A,#N/A,FALSE,"ExtFloat(94)";#N/A,#N/A,FALSE,"ExtFloat(P)";#N/A,#N/A,FALSE,"IntFloat(94)";#N/A,#N/A,FALSE,"IntFloat(P)";#N/A,#N/A,FALSE,"LD(94)";#N/A,#N/A,FALSE,"LD(P)";#N/A,#N/A,FALSE,"Fugitives";#N/A,#N/A,FALSE,"Speciate (94)";#N/A,#N/A,FALSE,"Speciate (P)"}</definedName>
    <definedName name="lv" hidden="1">{#N/A,#N/A,FALSE,"Summary";#N/A,#N/A,FALSE,"Fixed (94)";#N/A,#N/A,FALSE,"fixed (P)";#N/A,#N/A,FALSE,"ExtFloat(94)";#N/A,#N/A,FALSE,"ExtFloat(P)";#N/A,#N/A,FALSE,"IntFloat(94)";#N/A,#N/A,FALSE,"IntFloat(P)";#N/A,#N/A,FALSE,"LD(94)";#N/A,#N/A,FALSE,"LD(P)";#N/A,#N/A,FALSE,"Fugitives";#N/A,#N/A,FALSE,"Speciate (94)";#N/A,#N/A,FALSE,"Speciate (P)"}</definedName>
    <definedName name="Lw" localSheetId="3">#REF!</definedName>
    <definedName name="Lw" localSheetId="7">#REF!</definedName>
    <definedName name="Lw" localSheetId="9">#REF!</definedName>
    <definedName name="Lw" localSheetId="10">#REF!</definedName>
    <definedName name="Lw" localSheetId="15">#REF!</definedName>
    <definedName name="Lw" localSheetId="19">#REF!</definedName>
    <definedName name="Lw" localSheetId="20">#REF!</definedName>
    <definedName name="Lw" localSheetId="24">#REF!</definedName>
    <definedName name="Lw" localSheetId="104">#REF!</definedName>
    <definedName name="Lw" localSheetId="65">#REF!</definedName>
    <definedName name="Lw" localSheetId="64">#REF!</definedName>
    <definedName name="Lw" localSheetId="77">#REF!</definedName>
    <definedName name="Lw" localSheetId="49">#REF!</definedName>
    <definedName name="Lw" localSheetId="40">#REF!</definedName>
    <definedName name="Lw" localSheetId="43">#REF!</definedName>
    <definedName name="Lw" localSheetId="13">#REF!</definedName>
    <definedName name="Lw" localSheetId="38">#REF!</definedName>
    <definedName name="Lw">#REF!</definedName>
    <definedName name="LWa" localSheetId="3">#REF!</definedName>
    <definedName name="LWa" localSheetId="7">#REF!</definedName>
    <definedName name="LWa" localSheetId="9">#REF!</definedName>
    <definedName name="LWa" localSheetId="10">#REF!</definedName>
    <definedName name="LWa" localSheetId="15">#REF!</definedName>
    <definedName name="LWa" localSheetId="19">#REF!</definedName>
    <definedName name="LWa" localSheetId="20">#REF!</definedName>
    <definedName name="LWa" localSheetId="24">#REF!</definedName>
    <definedName name="LWa" localSheetId="104">#REF!</definedName>
    <definedName name="LWa" localSheetId="65">#REF!</definedName>
    <definedName name="LWa" localSheetId="64">#REF!</definedName>
    <definedName name="LWa" localSheetId="77">#REF!</definedName>
    <definedName name="LWa" localSheetId="49">#REF!</definedName>
    <definedName name="LWa" localSheetId="40">#REF!</definedName>
    <definedName name="LWa" localSheetId="43">#REF!</definedName>
    <definedName name="LWa" localSheetId="13">#REF!</definedName>
    <definedName name="LWa" localSheetId="38">#REF!</definedName>
    <definedName name="LWa">#REF!</definedName>
    <definedName name="LWD" localSheetId="3">#REF!</definedName>
    <definedName name="LWD" localSheetId="7">#REF!</definedName>
    <definedName name="LWD" localSheetId="9">#REF!</definedName>
    <definedName name="LWD" localSheetId="10">#REF!</definedName>
    <definedName name="LWD" localSheetId="15">#REF!</definedName>
    <definedName name="LWD" localSheetId="19">#REF!</definedName>
    <definedName name="LWD" localSheetId="20">#REF!</definedName>
    <definedName name="LWD" localSheetId="24">#REF!</definedName>
    <definedName name="LWD" localSheetId="104">#REF!</definedName>
    <definedName name="LWD" localSheetId="65">#REF!</definedName>
    <definedName name="LWD" localSheetId="64">#REF!</definedName>
    <definedName name="LWD" localSheetId="77">#REF!</definedName>
    <definedName name="LWD" localSheetId="49">#REF!</definedName>
    <definedName name="LWD" localSheetId="40">#REF!</definedName>
    <definedName name="LWD" localSheetId="43">#REF!</definedName>
    <definedName name="LWD" localSheetId="13">#REF!</definedName>
    <definedName name="LWD" localSheetId="38">#REF!</definedName>
    <definedName name="LWD">#REF!</definedName>
    <definedName name="M" localSheetId="3">#REF!</definedName>
    <definedName name="M" localSheetId="7">#REF!</definedName>
    <definedName name="M" localSheetId="9">#REF!</definedName>
    <definedName name="M" localSheetId="10">#REF!</definedName>
    <definedName name="M" localSheetId="15">#REF!</definedName>
    <definedName name="M" localSheetId="19">#REF!</definedName>
    <definedName name="M" localSheetId="20">#REF!</definedName>
    <definedName name="M" localSheetId="24">#REF!</definedName>
    <definedName name="M" localSheetId="104">#REF!</definedName>
    <definedName name="M" localSheetId="65">#REF!</definedName>
    <definedName name="M" localSheetId="64">#REF!</definedName>
    <definedName name="M" localSheetId="77">#REF!</definedName>
    <definedName name="M" localSheetId="49">#REF!</definedName>
    <definedName name="M" localSheetId="48">#REF!</definedName>
    <definedName name="M" localSheetId="40">#REF!</definedName>
    <definedName name="M" localSheetId="43">#REF!</definedName>
    <definedName name="M" localSheetId="13">#REF!</definedName>
    <definedName name="M" localSheetId="38">#REF!</definedName>
    <definedName name="M">#REF!</definedName>
    <definedName name="m_ft" localSheetId="3">#REF!</definedName>
    <definedName name="m_ft" localSheetId="7">#REF!</definedName>
    <definedName name="m_ft" localSheetId="9">#REF!</definedName>
    <definedName name="m_ft" localSheetId="10">#REF!</definedName>
    <definedName name="m_ft" localSheetId="15">#REF!</definedName>
    <definedName name="m_ft" localSheetId="19">#REF!</definedName>
    <definedName name="m_ft" localSheetId="20">#REF!</definedName>
    <definedName name="m_ft" localSheetId="24">#REF!</definedName>
    <definedName name="m_ft" localSheetId="104">#REF!</definedName>
    <definedName name="m_ft" localSheetId="65">#REF!</definedName>
    <definedName name="m_ft" localSheetId="64">#REF!</definedName>
    <definedName name="m_ft" localSheetId="77">#REF!</definedName>
    <definedName name="m_ft" localSheetId="49">#REF!</definedName>
    <definedName name="m_ft" localSheetId="40">#REF!</definedName>
    <definedName name="m_ft" localSheetId="43">#REF!</definedName>
    <definedName name="m_ft" localSheetId="13">#REF!</definedName>
    <definedName name="m_ft" localSheetId="38">#REF!</definedName>
    <definedName name="m_ft">#REF!</definedName>
    <definedName name="macrobug"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2"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2"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2"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2"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3"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3"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3"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3"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4"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4"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4"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5"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5"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5"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6"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6"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6"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crobug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Main_gwopdata" localSheetId="3">#REF!</definedName>
    <definedName name="Main_gwopdata" localSheetId="7">#REF!</definedName>
    <definedName name="Main_gwopdata" localSheetId="9">#REF!</definedName>
    <definedName name="Main_gwopdata" localSheetId="10">#REF!</definedName>
    <definedName name="Main_gwopdata" localSheetId="15">#REF!</definedName>
    <definedName name="Main_gwopdata" localSheetId="19">#REF!</definedName>
    <definedName name="Main_gwopdata" localSheetId="20">#REF!</definedName>
    <definedName name="Main_gwopdata" localSheetId="24">#REF!</definedName>
    <definedName name="Main_gwopdata" localSheetId="104">#REF!</definedName>
    <definedName name="Main_gwopdata" localSheetId="65">#REF!</definedName>
    <definedName name="Main_gwopdata" localSheetId="64">#REF!</definedName>
    <definedName name="Main_gwopdata" localSheetId="77">#REF!</definedName>
    <definedName name="Main_gwopdata" localSheetId="49">#REF!</definedName>
    <definedName name="Main_gwopdata" localSheetId="40">#REF!</definedName>
    <definedName name="Main_gwopdata" localSheetId="43">#REF!</definedName>
    <definedName name="Main_gwopdata" localSheetId="13">#REF!</definedName>
    <definedName name="Main_gwopdata" localSheetId="38">#REF!</definedName>
    <definedName name="Main_gwopdata">#REF!</definedName>
    <definedName name="Main_gwperfdata" localSheetId="3">#REF!</definedName>
    <definedName name="Main_gwperfdata" localSheetId="7">#REF!</definedName>
    <definedName name="Main_gwperfdata" localSheetId="9">#REF!</definedName>
    <definedName name="Main_gwperfdata" localSheetId="10">#REF!</definedName>
    <definedName name="Main_gwperfdata" localSheetId="15">#REF!</definedName>
    <definedName name="Main_gwperfdata" localSheetId="19">#REF!</definedName>
    <definedName name="Main_gwperfdata" localSheetId="20">#REF!</definedName>
    <definedName name="Main_gwperfdata" localSheetId="24">#REF!</definedName>
    <definedName name="Main_gwperfdata" localSheetId="104">#REF!</definedName>
    <definedName name="Main_gwperfdata" localSheetId="65">#REF!</definedName>
    <definedName name="Main_gwperfdata" localSheetId="64">#REF!</definedName>
    <definedName name="Main_gwperfdata" localSheetId="77">#REF!</definedName>
    <definedName name="Main_gwperfdata" localSheetId="49">#REF!</definedName>
    <definedName name="Main_gwperfdata" localSheetId="40">#REF!</definedName>
    <definedName name="Main_gwperfdata" localSheetId="43">#REF!</definedName>
    <definedName name="Main_gwperfdata" localSheetId="13">#REF!</definedName>
    <definedName name="Main_gwperfdata" localSheetId="38">#REF!</definedName>
    <definedName name="Main_gwperfdata">#REF!</definedName>
    <definedName name="Main_Steam_opdata" localSheetId="3">#REF!</definedName>
    <definedName name="Main_Steam_opdata" localSheetId="7">#REF!</definedName>
    <definedName name="Main_Steam_opdata" localSheetId="9">#REF!</definedName>
    <definedName name="Main_Steam_opdata" localSheetId="10">#REF!</definedName>
    <definedName name="Main_Steam_opdata" localSheetId="15">#REF!</definedName>
    <definedName name="Main_Steam_opdata" localSheetId="19">#REF!</definedName>
    <definedName name="Main_Steam_opdata" localSheetId="20">#REF!</definedName>
    <definedName name="Main_Steam_opdata" localSheetId="24">#REF!</definedName>
    <definedName name="Main_Steam_opdata" localSheetId="104">#REF!</definedName>
    <definedName name="Main_Steam_opdata" localSheetId="65">#REF!</definedName>
    <definedName name="Main_Steam_opdata" localSheetId="64">#REF!</definedName>
    <definedName name="Main_Steam_opdata" localSheetId="77">#REF!</definedName>
    <definedName name="Main_Steam_opdata" localSheetId="49">#REF!</definedName>
    <definedName name="Main_Steam_opdata" localSheetId="40">#REF!</definedName>
    <definedName name="Main_Steam_opdata" localSheetId="43">#REF!</definedName>
    <definedName name="Main_Steam_opdata" localSheetId="13">#REF!</definedName>
    <definedName name="Main_Steam_opdata" localSheetId="38">#REF!</definedName>
    <definedName name="Main_Steam_opdata">#REF!</definedName>
    <definedName name="Main_SVE_opdata" localSheetId="3">#REF!</definedName>
    <definedName name="Main_SVE_opdata" localSheetId="7">#REF!</definedName>
    <definedName name="Main_SVE_opdata" localSheetId="9">#REF!</definedName>
    <definedName name="Main_SVE_opdata" localSheetId="10">#REF!</definedName>
    <definedName name="Main_SVE_opdata" localSheetId="15">#REF!</definedName>
    <definedName name="Main_SVE_opdata" localSheetId="19">#REF!</definedName>
    <definedName name="Main_SVE_opdata" localSheetId="20">#REF!</definedName>
    <definedName name="Main_SVE_opdata" localSheetId="24">#REF!</definedName>
    <definedName name="Main_SVE_opdata" localSheetId="104">#REF!</definedName>
    <definedName name="Main_SVE_opdata" localSheetId="65">#REF!</definedName>
    <definedName name="Main_SVE_opdata" localSheetId="64">#REF!</definedName>
    <definedName name="Main_SVE_opdata" localSheetId="77">#REF!</definedName>
    <definedName name="Main_SVE_opdata" localSheetId="49">#REF!</definedName>
    <definedName name="Main_SVE_opdata" localSheetId="40">#REF!</definedName>
    <definedName name="Main_SVE_opdata" localSheetId="43">#REF!</definedName>
    <definedName name="Main_SVE_opdata" localSheetId="13">#REF!</definedName>
    <definedName name="Main_SVE_opdata" localSheetId="38">#REF!</definedName>
    <definedName name="Main_SVE_opdata">#REF!</definedName>
    <definedName name="Main_SVE_perfdata" localSheetId="3">#REF!</definedName>
    <definedName name="Main_SVE_perfdata" localSheetId="7">#REF!</definedName>
    <definedName name="Main_SVE_perfdata" localSheetId="9">#REF!</definedName>
    <definedName name="Main_SVE_perfdata" localSheetId="10">#REF!</definedName>
    <definedName name="Main_SVE_perfdata" localSheetId="15">#REF!</definedName>
    <definedName name="Main_SVE_perfdata" localSheetId="19">#REF!</definedName>
    <definedName name="Main_SVE_perfdata" localSheetId="20">#REF!</definedName>
    <definedName name="Main_SVE_perfdata" localSheetId="24">#REF!</definedName>
    <definedName name="Main_SVE_perfdata" localSheetId="104">#REF!</definedName>
    <definedName name="Main_SVE_perfdata" localSheetId="65">#REF!</definedName>
    <definedName name="Main_SVE_perfdata" localSheetId="64">#REF!</definedName>
    <definedName name="Main_SVE_perfdata" localSheetId="77">#REF!</definedName>
    <definedName name="Main_SVE_perfdata" localSheetId="49">#REF!</definedName>
    <definedName name="Main_SVE_perfdata" localSheetId="40">#REF!</definedName>
    <definedName name="Main_SVE_perfdata" localSheetId="43">#REF!</definedName>
    <definedName name="Main_SVE_perfdata" localSheetId="13">#REF!</definedName>
    <definedName name="Main_SVE_perfdata" localSheetId="38">#REF!</definedName>
    <definedName name="Main_SVE_perfdata">#REF!</definedName>
    <definedName name="Main_SVE_pfdata" localSheetId="3">#REF!</definedName>
    <definedName name="Main_SVE_pfdata" localSheetId="7">#REF!</definedName>
    <definedName name="Main_SVE_pfdata" localSheetId="9">#REF!</definedName>
    <definedName name="Main_SVE_pfdata" localSheetId="10">#REF!</definedName>
    <definedName name="Main_SVE_pfdata" localSheetId="15">#REF!</definedName>
    <definedName name="Main_SVE_pfdata" localSheetId="19">#REF!</definedName>
    <definedName name="Main_SVE_pfdata" localSheetId="20">#REF!</definedName>
    <definedName name="Main_SVE_pfdata" localSheetId="24">#REF!</definedName>
    <definedName name="Main_SVE_pfdata" localSheetId="104">#REF!</definedName>
    <definedName name="Main_SVE_pfdata" localSheetId="65">#REF!</definedName>
    <definedName name="Main_SVE_pfdata" localSheetId="64">#REF!</definedName>
    <definedName name="Main_SVE_pfdata" localSheetId="77">#REF!</definedName>
    <definedName name="Main_SVE_pfdata" localSheetId="49">#REF!</definedName>
    <definedName name="Main_SVE_pfdata" localSheetId="40">#REF!</definedName>
    <definedName name="Main_SVE_pfdata" localSheetId="43">#REF!</definedName>
    <definedName name="Main_SVE_pfdata" localSheetId="13">#REF!</definedName>
    <definedName name="Main_SVE_pfdata" localSheetId="38">#REF!</definedName>
    <definedName name="Main_SVE_pfdata">#REF!</definedName>
    <definedName name="ManualXAxis">"Check Box 12"</definedName>
    <definedName name="ManualYAxis">"Check Box 17"</definedName>
    <definedName name="MAR" localSheetId="3">#REF!</definedName>
    <definedName name="MAR" localSheetId="7">#REF!</definedName>
    <definedName name="MAR" localSheetId="9">#REF!</definedName>
    <definedName name="MAR" localSheetId="10">#REF!</definedName>
    <definedName name="MAR" localSheetId="15">#REF!</definedName>
    <definedName name="MAR" localSheetId="19">#REF!</definedName>
    <definedName name="MAR" localSheetId="20">#REF!</definedName>
    <definedName name="MAR" localSheetId="24">#REF!</definedName>
    <definedName name="MAR" localSheetId="104">#REF!</definedName>
    <definedName name="MAR" localSheetId="65">#REF!</definedName>
    <definedName name="MAR" localSheetId="64">#REF!</definedName>
    <definedName name="MAR" localSheetId="77">#REF!</definedName>
    <definedName name="MAR" localSheetId="49">#REF!</definedName>
    <definedName name="MAR" localSheetId="40">#REF!</definedName>
    <definedName name="MAR" localSheetId="43">#REF!</definedName>
    <definedName name="MAR" localSheetId="13">#REF!</definedName>
    <definedName name="MAR" localSheetId="38">#REF!</definedName>
    <definedName name="MAR">#REF!</definedName>
    <definedName name="Markup" localSheetId="3">#REF!</definedName>
    <definedName name="Markup" localSheetId="7">#REF!</definedName>
    <definedName name="Markup" localSheetId="9">#REF!</definedName>
    <definedName name="Markup" localSheetId="10">#REF!</definedName>
    <definedName name="Markup" localSheetId="15">#REF!</definedName>
    <definedName name="Markup" localSheetId="19">#REF!</definedName>
    <definedName name="Markup" localSheetId="20">#REF!</definedName>
    <definedName name="Markup" localSheetId="24">#REF!</definedName>
    <definedName name="Markup" localSheetId="104">#REF!</definedName>
    <definedName name="Markup" localSheetId="65">#REF!</definedName>
    <definedName name="Markup" localSheetId="64">#REF!</definedName>
    <definedName name="Markup" localSheetId="77">#REF!</definedName>
    <definedName name="Markup" localSheetId="49">#REF!</definedName>
    <definedName name="Markup" localSheetId="40">#REF!</definedName>
    <definedName name="Markup" localSheetId="43">#REF!</definedName>
    <definedName name="Markup" localSheetId="13">#REF!</definedName>
    <definedName name="Markup" localSheetId="38">#REF!</definedName>
    <definedName name="Markup">#REF!</definedName>
    <definedName name="match" localSheetId="3">#REF!</definedName>
    <definedName name="match" localSheetId="7">#REF!</definedName>
    <definedName name="match" localSheetId="9">#REF!</definedName>
    <definedName name="match" localSheetId="10">#REF!</definedName>
    <definedName name="match" localSheetId="15">#REF!</definedName>
    <definedName name="match" localSheetId="19">#REF!</definedName>
    <definedName name="match" localSheetId="20">#REF!</definedName>
    <definedName name="match" localSheetId="24">#REF!</definedName>
    <definedName name="match" localSheetId="104">#REF!</definedName>
    <definedName name="match" localSheetId="65">#REF!</definedName>
    <definedName name="match" localSheetId="64">#REF!</definedName>
    <definedName name="match" localSheetId="77">#REF!</definedName>
    <definedName name="match" localSheetId="49">#REF!</definedName>
    <definedName name="match" localSheetId="40">#REF!</definedName>
    <definedName name="match" localSheetId="43">#REF!</definedName>
    <definedName name="match" localSheetId="13">#REF!</definedName>
    <definedName name="match" localSheetId="38">#REF!</definedName>
    <definedName name="match">#REF!</definedName>
    <definedName name="mate1" localSheetId="3">#REF!</definedName>
    <definedName name="mate1" localSheetId="7">#REF!</definedName>
    <definedName name="mate1" localSheetId="9">#REF!</definedName>
    <definedName name="mate1" localSheetId="10">#REF!</definedName>
    <definedName name="mate1" localSheetId="15">#REF!</definedName>
    <definedName name="mate1" localSheetId="19">#REF!</definedName>
    <definedName name="mate1" localSheetId="20">#REF!</definedName>
    <definedName name="mate1" localSheetId="24">#REF!</definedName>
    <definedName name="mate1" localSheetId="104">#REF!</definedName>
    <definedName name="mate1" localSheetId="65">#REF!</definedName>
    <definedName name="mate1" localSheetId="64">#REF!</definedName>
    <definedName name="mate1" localSheetId="77">#REF!</definedName>
    <definedName name="mate1" localSheetId="49">#REF!</definedName>
    <definedName name="mate1" localSheetId="40">#REF!</definedName>
    <definedName name="mate1" localSheetId="43">#REF!</definedName>
    <definedName name="mate1" localSheetId="13">#REF!</definedName>
    <definedName name="mate1" localSheetId="38">#REF!</definedName>
    <definedName name="mate1">#REF!</definedName>
    <definedName name="mate2" localSheetId="3">#REF!</definedName>
    <definedName name="mate2" localSheetId="7">#REF!</definedName>
    <definedName name="mate2" localSheetId="9">#REF!</definedName>
    <definedName name="mate2" localSheetId="10">#REF!</definedName>
    <definedName name="mate2" localSheetId="15">#REF!</definedName>
    <definedName name="mate2" localSheetId="19">#REF!</definedName>
    <definedName name="mate2" localSheetId="20">#REF!</definedName>
    <definedName name="mate2" localSheetId="24">#REF!</definedName>
    <definedName name="mate2" localSheetId="104">#REF!</definedName>
    <definedName name="mate2" localSheetId="65">#REF!</definedName>
    <definedName name="mate2" localSheetId="64">#REF!</definedName>
    <definedName name="mate2" localSheetId="77">#REF!</definedName>
    <definedName name="mate2" localSheetId="49">#REF!</definedName>
    <definedName name="mate2" localSheetId="40">#REF!</definedName>
    <definedName name="mate2" localSheetId="43">#REF!</definedName>
    <definedName name="mate2" localSheetId="13">#REF!</definedName>
    <definedName name="mate2" localSheetId="38">#REF!</definedName>
    <definedName name="mate2">#REF!</definedName>
    <definedName name="mate3" localSheetId="3">#REF!</definedName>
    <definedName name="mate3" localSheetId="7">#REF!</definedName>
    <definedName name="mate3" localSheetId="9">#REF!</definedName>
    <definedName name="mate3" localSheetId="10">#REF!</definedName>
    <definedName name="mate3" localSheetId="15">#REF!</definedName>
    <definedName name="mate3" localSheetId="19">#REF!</definedName>
    <definedName name="mate3" localSheetId="20">#REF!</definedName>
    <definedName name="mate3" localSheetId="24">#REF!</definedName>
    <definedName name="mate3" localSheetId="104">#REF!</definedName>
    <definedName name="mate3" localSheetId="65">#REF!</definedName>
    <definedName name="mate3" localSheetId="64">#REF!</definedName>
    <definedName name="mate3" localSheetId="77">#REF!</definedName>
    <definedName name="mate3" localSheetId="49">#REF!</definedName>
    <definedName name="mate3" localSheetId="40">#REF!</definedName>
    <definedName name="mate3" localSheetId="43">#REF!</definedName>
    <definedName name="mate3" localSheetId="13">#REF!</definedName>
    <definedName name="mate3" localSheetId="38">#REF!</definedName>
    <definedName name="mate3">#REF!</definedName>
    <definedName name="mate4" localSheetId="3">#REF!</definedName>
    <definedName name="mate4" localSheetId="7">#REF!</definedName>
    <definedName name="mate4" localSheetId="9">#REF!</definedName>
    <definedName name="mate4" localSheetId="10">#REF!</definedName>
    <definedName name="mate4" localSheetId="15">#REF!</definedName>
    <definedName name="mate4" localSheetId="19">#REF!</definedName>
    <definedName name="mate4" localSheetId="20">#REF!</definedName>
    <definedName name="mate4" localSheetId="24">#REF!</definedName>
    <definedName name="mate4" localSheetId="104">#REF!</definedName>
    <definedName name="mate4" localSheetId="65">#REF!</definedName>
    <definedName name="mate4" localSheetId="64">#REF!</definedName>
    <definedName name="mate4" localSheetId="77">#REF!</definedName>
    <definedName name="mate4" localSheetId="49">#REF!</definedName>
    <definedName name="mate4" localSheetId="40">#REF!</definedName>
    <definedName name="mate4" localSheetId="43">#REF!</definedName>
    <definedName name="mate4" localSheetId="13">#REF!</definedName>
    <definedName name="mate4" localSheetId="38">#REF!</definedName>
    <definedName name="mate4">#REF!</definedName>
    <definedName name="material_tank" localSheetId="3">#REF!</definedName>
    <definedName name="material_tank" localSheetId="7">#REF!</definedName>
    <definedName name="material_tank" localSheetId="9">#REF!</definedName>
    <definedName name="material_tank" localSheetId="10">#REF!</definedName>
    <definedName name="material_tank" localSheetId="15">#REF!</definedName>
    <definedName name="material_tank" localSheetId="19">#REF!</definedName>
    <definedName name="material_tank" localSheetId="20">#REF!</definedName>
    <definedName name="material_tank" localSheetId="24">#REF!</definedName>
    <definedName name="material_tank" localSheetId="104">#REF!</definedName>
    <definedName name="material_tank" localSheetId="65">#REF!</definedName>
    <definedName name="material_tank" localSheetId="64">#REF!</definedName>
    <definedName name="material_tank" localSheetId="77">#REF!</definedName>
    <definedName name="material_tank" localSheetId="49">#REF!</definedName>
    <definedName name="material_tank" localSheetId="40">#REF!</definedName>
    <definedName name="material_tank" localSheetId="43">#REF!</definedName>
    <definedName name="material_tank" localSheetId="13">#REF!</definedName>
    <definedName name="material_tank" localSheetId="38">#REF!</definedName>
    <definedName name="material_tank">#REF!</definedName>
    <definedName name="matetot" localSheetId="3">#REF!</definedName>
    <definedName name="matetot" localSheetId="7">#REF!</definedName>
    <definedName name="matetot" localSheetId="9">#REF!</definedName>
    <definedName name="matetot" localSheetId="10">#REF!</definedName>
    <definedName name="matetot" localSheetId="15">#REF!</definedName>
    <definedName name="matetot" localSheetId="19">#REF!</definedName>
    <definedName name="matetot" localSheetId="20">#REF!</definedName>
    <definedName name="matetot" localSheetId="24">#REF!</definedName>
    <definedName name="matetot" localSheetId="104">#REF!</definedName>
    <definedName name="matetot" localSheetId="65">#REF!</definedName>
    <definedName name="matetot" localSheetId="64">#REF!</definedName>
    <definedName name="matetot" localSheetId="77">#REF!</definedName>
    <definedName name="matetot" localSheetId="49">#REF!</definedName>
    <definedName name="matetot" localSheetId="40">#REF!</definedName>
    <definedName name="matetot" localSheetId="43">#REF!</definedName>
    <definedName name="matetot" localSheetId="13">#REF!</definedName>
    <definedName name="matetot" localSheetId="38">#REF!</definedName>
    <definedName name="matetot">#REF!</definedName>
    <definedName name="Matthew" localSheetId="3" hidden="1">#REF!</definedName>
    <definedName name="Matthew" localSheetId="7" hidden="1">#REF!</definedName>
    <definedName name="Matthew" localSheetId="9" hidden="1">#REF!</definedName>
    <definedName name="Matthew" localSheetId="10" hidden="1">#REF!</definedName>
    <definedName name="Matthew" localSheetId="15" hidden="1">#REF!</definedName>
    <definedName name="Matthew" localSheetId="18" hidden="1">#REF!</definedName>
    <definedName name="Matthew" localSheetId="19" hidden="1">#REF!</definedName>
    <definedName name="Matthew" localSheetId="20" hidden="1">#REF!</definedName>
    <definedName name="Matthew" localSheetId="23" hidden="1">#REF!</definedName>
    <definedName name="Matthew" localSheetId="24" hidden="1">#REF!</definedName>
    <definedName name="Matthew" localSheetId="35" hidden="1">#REF!</definedName>
    <definedName name="Matthew" localSheetId="58" hidden="1">#REF!</definedName>
    <definedName name="Matthew" localSheetId="60" hidden="1">#REF!</definedName>
    <definedName name="Matthew" localSheetId="51" hidden="1">#REF!</definedName>
    <definedName name="Matthew" localSheetId="54" hidden="1">#REF!</definedName>
    <definedName name="Matthew" localSheetId="47" hidden="1">#REF!</definedName>
    <definedName name="Matthew" localSheetId="105" hidden="1">#REF!</definedName>
    <definedName name="Matthew" localSheetId="104" hidden="1">#REF!</definedName>
    <definedName name="Matthew" localSheetId="88" hidden="1">#REF!</definedName>
    <definedName name="Matthew" localSheetId="89" hidden="1">#REF!</definedName>
    <definedName name="Matthew" localSheetId="87" hidden="1">#REF!</definedName>
    <definedName name="Matthew" localSheetId="90" hidden="1">#REF!</definedName>
    <definedName name="Matthew" localSheetId="70" hidden="1">#REF!</definedName>
    <definedName name="Matthew" localSheetId="65" hidden="1">#REF!</definedName>
    <definedName name="Matthew" localSheetId="64" hidden="1">#REF!</definedName>
    <definedName name="Matthew" localSheetId="77" hidden="1">#REF!</definedName>
    <definedName name="Matthew" localSheetId="49" hidden="1">#REF!</definedName>
    <definedName name="Matthew" localSheetId="57" hidden="1">#REF!</definedName>
    <definedName name="Matthew" localSheetId="59" hidden="1">#REF!</definedName>
    <definedName name="Matthew" localSheetId="40" hidden="1">#REF!</definedName>
    <definedName name="Matthew" localSheetId="43" hidden="1">#REF!</definedName>
    <definedName name="Matthew" localSheetId="55" hidden="1">#REF!</definedName>
    <definedName name="Matthew" localSheetId="13" hidden="1">#REF!</definedName>
    <definedName name="Matthew" localSheetId="11" hidden="1">#REF!</definedName>
    <definedName name="Matthew" localSheetId="38" hidden="1">#REF!</definedName>
    <definedName name="Matthew" localSheetId="41" hidden="1">#REF!</definedName>
    <definedName name="Matthew" localSheetId="101" hidden="1">#REF!</definedName>
    <definedName name="Matthew" localSheetId="102" hidden="1">#REF!</definedName>
    <definedName name="Matthew" localSheetId="103" hidden="1">#REF!</definedName>
    <definedName name="Matthew" localSheetId="97" hidden="1">#REF!</definedName>
    <definedName name="Matthew" localSheetId="42" hidden="1">#REF!</definedName>
    <definedName name="Matthew" localSheetId="12" hidden="1">#REF!</definedName>
    <definedName name="Matthew" localSheetId="73" hidden="1">#REF!</definedName>
    <definedName name="Matthew" localSheetId="74" hidden="1">#REF!</definedName>
    <definedName name="Matthew" hidden="1">#REF!</definedName>
    <definedName name="Max_Ann_Avg_FG" localSheetId="3">#REF!</definedName>
    <definedName name="Max_Ann_Avg_FG" localSheetId="7">#REF!</definedName>
    <definedName name="Max_Ann_Avg_FG" localSheetId="9">#REF!</definedName>
    <definedName name="Max_Ann_Avg_FG" localSheetId="10">#REF!</definedName>
    <definedName name="Max_Ann_Avg_FG" localSheetId="15">#REF!</definedName>
    <definedName name="Max_Ann_Avg_FG" localSheetId="19">#REF!</definedName>
    <definedName name="Max_Ann_Avg_FG" localSheetId="20">#REF!</definedName>
    <definedName name="Max_Ann_Avg_FG" localSheetId="24">#REF!</definedName>
    <definedName name="Max_Ann_Avg_FG" localSheetId="104">#REF!</definedName>
    <definedName name="Max_Ann_Avg_FG" localSheetId="65">#REF!</definedName>
    <definedName name="Max_Ann_Avg_FG" localSheetId="64">#REF!</definedName>
    <definedName name="Max_Ann_Avg_FG" localSheetId="77">#REF!</definedName>
    <definedName name="Max_Ann_Avg_FG" localSheetId="49">#REF!</definedName>
    <definedName name="Max_Ann_Avg_FG" localSheetId="40">#REF!</definedName>
    <definedName name="Max_Ann_Avg_FG" localSheetId="43">#REF!</definedName>
    <definedName name="Max_Ann_Avg_FG" localSheetId="13">#REF!</definedName>
    <definedName name="Max_Ann_Avg_FG" localSheetId="38">#REF!</definedName>
    <definedName name="Max_Ann_Avg_FG">#REF!</definedName>
    <definedName name="MAX_HEAT_INPUT" localSheetId="3">#REF!</definedName>
    <definedName name="MAX_HEAT_INPUT" localSheetId="7">#REF!</definedName>
    <definedName name="MAX_HEAT_INPUT" localSheetId="9">#REF!</definedName>
    <definedName name="MAX_HEAT_INPUT" localSheetId="10">#REF!</definedName>
    <definedName name="MAX_HEAT_INPUT" localSheetId="15">#REF!</definedName>
    <definedName name="MAX_HEAT_INPUT" localSheetId="19">#REF!</definedName>
    <definedName name="MAX_HEAT_INPUT" localSheetId="20">#REF!</definedName>
    <definedName name="MAX_HEAT_INPUT" localSheetId="24">#REF!</definedName>
    <definedName name="MAX_HEAT_INPUT" localSheetId="104">#REF!</definedName>
    <definedName name="MAX_HEAT_INPUT" localSheetId="65">#REF!</definedName>
    <definedName name="MAX_HEAT_INPUT" localSheetId="64">#REF!</definedName>
    <definedName name="MAX_HEAT_INPUT" localSheetId="77">#REF!</definedName>
    <definedName name="MAX_HEAT_INPUT" localSheetId="49">#REF!</definedName>
    <definedName name="MAX_HEAT_INPUT" localSheetId="40">#REF!</definedName>
    <definedName name="MAX_HEAT_INPUT" localSheetId="43">#REF!</definedName>
    <definedName name="MAX_HEAT_INPUT" localSheetId="13">#REF!</definedName>
    <definedName name="MAX_HEAT_INPUT" localSheetId="38">#REF!</definedName>
    <definedName name="MAX_HEAT_INPUT">#REF!</definedName>
    <definedName name="MaxAnnHrs" localSheetId="3">#REF!</definedName>
    <definedName name="MaxAnnHrs" localSheetId="7">#REF!</definedName>
    <definedName name="MaxAnnHrs" localSheetId="9">#REF!</definedName>
    <definedName name="MaxAnnHrs" localSheetId="10">#REF!</definedName>
    <definedName name="MaxAnnHrs" localSheetId="15">#REF!</definedName>
    <definedName name="MaxAnnHrs" localSheetId="19">#REF!</definedName>
    <definedName name="MaxAnnHrs" localSheetId="20">#REF!</definedName>
    <definedName name="MaxAnnHrs" localSheetId="24">#REF!</definedName>
    <definedName name="MaxAnnHrs" localSheetId="104">#REF!</definedName>
    <definedName name="MaxAnnHrs" localSheetId="65">#REF!</definedName>
    <definedName name="MaxAnnHrs" localSheetId="64">#REF!</definedName>
    <definedName name="MaxAnnHrs" localSheetId="77">#REF!</definedName>
    <definedName name="MaxAnnHrs" localSheetId="49">#REF!</definedName>
    <definedName name="MaxAnnHrs" localSheetId="40">#REF!</definedName>
    <definedName name="MaxAnnHrs" localSheetId="43">#REF!</definedName>
    <definedName name="MaxAnnHrs" localSheetId="13">#REF!</definedName>
    <definedName name="MaxAnnHrs" localSheetId="38">#REF!</definedName>
    <definedName name="MaxAnnHrs">#REF!</definedName>
    <definedName name="maxdpw" localSheetId="3">#REF!</definedName>
    <definedName name="maxdpw" localSheetId="7">#REF!</definedName>
    <definedName name="maxdpw" localSheetId="9">#REF!</definedName>
    <definedName name="maxdpw" localSheetId="10">#REF!</definedName>
    <definedName name="maxdpw" localSheetId="15">#REF!</definedName>
    <definedName name="maxdpw" localSheetId="19">#REF!</definedName>
    <definedName name="maxdpw" localSheetId="20">#REF!</definedName>
    <definedName name="maxdpw" localSheetId="24">#REF!</definedName>
    <definedName name="maxdpw" localSheetId="104">#REF!</definedName>
    <definedName name="maxdpw" localSheetId="65">#REF!</definedName>
    <definedName name="maxdpw" localSheetId="64">#REF!</definedName>
    <definedName name="maxdpw" localSheetId="77">#REF!</definedName>
    <definedName name="maxdpw" localSheetId="49">#REF!</definedName>
    <definedName name="maxdpw" localSheetId="40">#REF!</definedName>
    <definedName name="maxdpw" localSheetId="43">#REF!</definedName>
    <definedName name="maxdpw" localSheetId="13">#REF!</definedName>
    <definedName name="maxdpw" localSheetId="38">#REF!</definedName>
    <definedName name="maxdpw">#REF!</definedName>
    <definedName name="maxfuel" localSheetId="3">#REF!</definedName>
    <definedName name="maxfuel" localSheetId="7">#REF!</definedName>
    <definedName name="maxfuel" localSheetId="9">#REF!</definedName>
    <definedName name="maxfuel" localSheetId="10">#REF!</definedName>
    <definedName name="maxfuel" localSheetId="15">#REF!</definedName>
    <definedName name="maxfuel" localSheetId="19">#REF!</definedName>
    <definedName name="maxfuel" localSheetId="20">#REF!</definedName>
    <definedName name="maxfuel" localSheetId="24">#REF!</definedName>
    <definedName name="maxfuel" localSheetId="104">#REF!</definedName>
    <definedName name="maxfuel" localSheetId="65">#REF!</definedName>
    <definedName name="maxfuel" localSheetId="64">#REF!</definedName>
    <definedName name="maxfuel" localSheetId="77">#REF!</definedName>
    <definedName name="maxfuel" localSheetId="49">#REF!</definedName>
    <definedName name="maxfuel" localSheetId="40">#REF!</definedName>
    <definedName name="maxfuel" localSheetId="43">#REF!</definedName>
    <definedName name="maxfuel" localSheetId="13">#REF!</definedName>
    <definedName name="maxfuel" localSheetId="38">#REF!</definedName>
    <definedName name="maxfuel">#REF!</definedName>
    <definedName name="maxhour" localSheetId="3">#REF!</definedName>
    <definedName name="maxhour" localSheetId="7">#REF!</definedName>
    <definedName name="maxhour" localSheetId="9">#REF!</definedName>
    <definedName name="maxhour" localSheetId="10">#REF!</definedName>
    <definedName name="maxhour" localSheetId="15">#REF!</definedName>
    <definedName name="maxhour" localSheetId="19">#REF!</definedName>
    <definedName name="maxhour" localSheetId="20">#REF!</definedName>
    <definedName name="maxhour" localSheetId="24">#REF!</definedName>
    <definedName name="maxhour" localSheetId="104">#REF!</definedName>
    <definedName name="maxhour" localSheetId="65">#REF!</definedName>
    <definedName name="maxhour" localSheetId="64">#REF!</definedName>
    <definedName name="maxhour" localSheetId="77">#REF!</definedName>
    <definedName name="maxhour" localSheetId="49">#REF!</definedName>
    <definedName name="maxhour" localSheetId="40">#REF!</definedName>
    <definedName name="maxhour" localSheetId="43">#REF!</definedName>
    <definedName name="maxhour" localSheetId="13">#REF!</definedName>
    <definedName name="maxhour" localSheetId="38">#REF!</definedName>
    <definedName name="maxhour">#REF!</definedName>
    <definedName name="maxhpd" localSheetId="3">#REF!</definedName>
    <definedName name="maxhpd" localSheetId="7">#REF!</definedName>
    <definedName name="maxhpd" localSheetId="9">#REF!</definedName>
    <definedName name="maxhpd" localSheetId="10">#REF!</definedName>
    <definedName name="maxhpd" localSheetId="15">#REF!</definedName>
    <definedName name="maxhpd" localSheetId="19">#REF!</definedName>
    <definedName name="maxhpd" localSheetId="20">#REF!</definedName>
    <definedName name="maxhpd" localSheetId="24">#REF!</definedName>
    <definedName name="maxhpd" localSheetId="104">#REF!</definedName>
    <definedName name="maxhpd" localSheetId="65">#REF!</definedName>
    <definedName name="maxhpd" localSheetId="64">#REF!</definedName>
    <definedName name="maxhpd" localSheetId="77">#REF!</definedName>
    <definedName name="maxhpd" localSheetId="49">#REF!</definedName>
    <definedName name="maxhpd" localSheetId="40">#REF!</definedName>
    <definedName name="maxhpd" localSheetId="43">#REF!</definedName>
    <definedName name="maxhpd" localSheetId="13">#REF!</definedName>
    <definedName name="maxhpd" localSheetId="38">#REF!</definedName>
    <definedName name="maxhpd">#REF!</definedName>
    <definedName name="maxrate" localSheetId="3">#REF!</definedName>
    <definedName name="maxrate" localSheetId="7">#REF!</definedName>
    <definedName name="maxrate" localSheetId="9">#REF!</definedName>
    <definedName name="maxrate" localSheetId="10">#REF!</definedName>
    <definedName name="maxrate" localSheetId="15">#REF!</definedName>
    <definedName name="maxrate" localSheetId="19">#REF!</definedName>
    <definedName name="maxrate" localSheetId="20">#REF!</definedName>
    <definedName name="maxrate" localSheetId="24">#REF!</definedName>
    <definedName name="maxrate" localSheetId="104">#REF!</definedName>
    <definedName name="maxrate" localSheetId="65">#REF!</definedName>
    <definedName name="maxrate" localSheetId="64">#REF!</definedName>
    <definedName name="maxrate" localSheetId="77">#REF!</definedName>
    <definedName name="maxrate" localSheetId="49">#REF!</definedName>
    <definedName name="maxrate" localSheetId="40">#REF!</definedName>
    <definedName name="maxrate" localSheetId="43">#REF!</definedName>
    <definedName name="maxrate" localSheetId="13">#REF!</definedName>
    <definedName name="maxrate" localSheetId="38">#REF!</definedName>
    <definedName name="maxrate">#REF!</definedName>
    <definedName name="maxT" localSheetId="3">#REF!</definedName>
    <definedName name="maxT" localSheetId="7">#REF!</definedName>
    <definedName name="maxT" localSheetId="9">#REF!</definedName>
    <definedName name="maxT" localSheetId="10">#REF!</definedName>
    <definedName name="maxT" localSheetId="15">#REF!</definedName>
    <definedName name="maxT" localSheetId="19">#REF!</definedName>
    <definedName name="maxT" localSheetId="20">#REF!</definedName>
    <definedName name="maxT" localSheetId="24">#REF!</definedName>
    <definedName name="maxT" localSheetId="104">#REF!</definedName>
    <definedName name="maxT" localSheetId="65">#REF!</definedName>
    <definedName name="maxT" localSheetId="64">#REF!</definedName>
    <definedName name="maxT" localSheetId="77">#REF!</definedName>
    <definedName name="maxT" localSheetId="49">#REF!</definedName>
    <definedName name="maxT" localSheetId="40">#REF!</definedName>
    <definedName name="maxT" localSheetId="43">#REF!</definedName>
    <definedName name="maxT" localSheetId="13">#REF!</definedName>
    <definedName name="maxT" localSheetId="38">#REF!</definedName>
    <definedName name="maxT">#REF!</definedName>
    <definedName name="MAXTEMP" localSheetId="3">#REF!</definedName>
    <definedName name="MAXTEMP" localSheetId="7">#REF!</definedName>
    <definedName name="MAXTEMP" localSheetId="9">#REF!</definedName>
    <definedName name="MAXTEMP" localSheetId="10">#REF!</definedName>
    <definedName name="MAXTEMP" localSheetId="15">#REF!</definedName>
    <definedName name="MAXTEMP" localSheetId="19">#REF!</definedName>
    <definedName name="MAXTEMP" localSheetId="20">#REF!</definedName>
    <definedName name="MAXTEMP" localSheetId="24">#REF!</definedName>
    <definedName name="MAXTEMP" localSheetId="104">#REF!</definedName>
    <definedName name="MAXTEMP" localSheetId="65">#REF!</definedName>
    <definedName name="MAXTEMP" localSheetId="64">#REF!</definedName>
    <definedName name="MAXTEMP" localSheetId="77">#REF!</definedName>
    <definedName name="MAXTEMP" localSheetId="49">#REF!</definedName>
    <definedName name="MAXTEMP" localSheetId="40">#REF!</definedName>
    <definedName name="MAXTEMP" localSheetId="43">#REF!</definedName>
    <definedName name="MAXTEMP" localSheetId="13">#REF!</definedName>
    <definedName name="MAXTEMP" localSheetId="38">#REF!</definedName>
    <definedName name="MAXTEMP">#REF!</definedName>
    <definedName name="maxVP" localSheetId="3">#REF!</definedName>
    <definedName name="maxVP" localSheetId="7">#REF!</definedName>
    <definedName name="maxVP" localSheetId="9">#REF!</definedName>
    <definedName name="maxVP" localSheetId="10">#REF!</definedName>
    <definedName name="maxVP" localSheetId="15">#REF!</definedName>
    <definedName name="maxVP" localSheetId="19">#REF!</definedName>
    <definedName name="maxVP" localSheetId="20">#REF!</definedName>
    <definedName name="maxVP" localSheetId="24">#REF!</definedName>
    <definedName name="maxVP" localSheetId="104">#REF!</definedName>
    <definedName name="maxVP" localSheetId="65">#REF!</definedName>
    <definedName name="maxVP" localSheetId="64">#REF!</definedName>
    <definedName name="maxVP" localSheetId="77">#REF!</definedName>
    <definedName name="maxVP" localSheetId="49">#REF!</definedName>
    <definedName name="maxVP" localSheetId="40">#REF!</definedName>
    <definedName name="maxVP" localSheetId="43">#REF!</definedName>
    <definedName name="maxVP" localSheetId="13">#REF!</definedName>
    <definedName name="maxVP" localSheetId="38">#REF!</definedName>
    <definedName name="maxVP">#REF!</definedName>
    <definedName name="maxwpy" localSheetId="3">#REF!</definedName>
    <definedName name="maxwpy" localSheetId="7">#REF!</definedName>
    <definedName name="maxwpy" localSheetId="9">#REF!</definedName>
    <definedName name="maxwpy" localSheetId="10">#REF!</definedName>
    <definedName name="maxwpy" localSheetId="15">#REF!</definedName>
    <definedName name="maxwpy" localSheetId="19">#REF!</definedName>
    <definedName name="maxwpy" localSheetId="20">#REF!</definedName>
    <definedName name="maxwpy" localSheetId="24">#REF!</definedName>
    <definedName name="maxwpy" localSheetId="104">#REF!</definedName>
    <definedName name="maxwpy" localSheetId="65">#REF!</definedName>
    <definedName name="maxwpy" localSheetId="64">#REF!</definedName>
    <definedName name="maxwpy" localSheetId="77">#REF!</definedName>
    <definedName name="maxwpy" localSheetId="49">#REF!</definedName>
    <definedName name="maxwpy" localSheetId="40">#REF!</definedName>
    <definedName name="maxwpy" localSheetId="43">#REF!</definedName>
    <definedName name="maxwpy" localSheetId="13">#REF!</definedName>
    <definedName name="maxwpy" localSheetId="38">#REF!</definedName>
    <definedName name="maxwpy">#REF!</definedName>
    <definedName name="MaxXAxis">"Edit Box 14"</definedName>
    <definedName name="MaxYAxis">"Edit Box 19"</definedName>
    <definedName name="MAY" localSheetId="3">#REF!</definedName>
    <definedName name="MAY" localSheetId="7">#REF!</definedName>
    <definedName name="MAY" localSheetId="9">#REF!</definedName>
    <definedName name="MAY" localSheetId="10">#REF!</definedName>
    <definedName name="MAY" localSheetId="15">#REF!</definedName>
    <definedName name="MAY" localSheetId="19">#REF!</definedName>
    <definedName name="MAY" localSheetId="20">#REF!</definedName>
    <definedName name="MAY" localSheetId="24">#REF!</definedName>
    <definedName name="MAY" localSheetId="104">#REF!</definedName>
    <definedName name="MAY" localSheetId="65">#REF!</definedName>
    <definedName name="MAY" localSheetId="64">#REF!</definedName>
    <definedName name="MAY" localSheetId="77">#REF!</definedName>
    <definedName name="MAY" localSheetId="49">#REF!</definedName>
    <definedName name="MAY" localSheetId="40">#REF!</definedName>
    <definedName name="MAY" localSheetId="43">#REF!</definedName>
    <definedName name="MAY" localSheetId="13">#REF!</definedName>
    <definedName name="MAY" localSheetId="38">#REF!</definedName>
    <definedName name="MAY">#REF!</definedName>
    <definedName name="mg" localSheetId="105" hidden="1">{#N/A,#N/A,FALSE,"F1-Currrent";#N/A,#N/A,FALSE,"F2-Current";#N/A,#N/A,FALSE,"F2-Proposed";#N/A,#N/A,FALSE,"F3-Current";#N/A,#N/A,FALSE,"F4-Current";#N/A,#N/A,FALSE,"F4-Proposed";#N/A,#N/A,FALSE,"Controls"}</definedName>
    <definedName name="mg" localSheetId="96" hidden="1">{#N/A,#N/A,FALSE,"F1-Currrent";#N/A,#N/A,FALSE,"F2-Current";#N/A,#N/A,FALSE,"F2-Proposed";#N/A,#N/A,FALSE,"F3-Current";#N/A,#N/A,FALSE,"F4-Current";#N/A,#N/A,FALSE,"F4-Proposed";#N/A,#N/A,FALSE,"Controls"}</definedName>
    <definedName name="mg" localSheetId="44" hidden="1">{#N/A,#N/A,FALSE,"F1-Currrent";#N/A,#N/A,FALSE,"F2-Current";#N/A,#N/A,FALSE,"F2-Proposed";#N/A,#N/A,FALSE,"F3-Current";#N/A,#N/A,FALSE,"F4-Current";#N/A,#N/A,FALSE,"F4-Proposed";#N/A,#N/A,FALSE,"Controls"}</definedName>
    <definedName name="mg" hidden="1">{#N/A,#N/A,FALSE,"F1-Currrent";#N/A,#N/A,FALSE,"F2-Current";#N/A,#N/A,FALSE,"F2-Proposed";#N/A,#N/A,FALSE,"F3-Current";#N/A,#N/A,FALSE,"F4-Current";#N/A,#N/A,FALSE,"F4-Proposed";#N/A,#N/A,FALSE,"Controls"}</definedName>
    <definedName name="MH_EPNs" localSheetId="3">#REF!</definedName>
    <definedName name="MH_EPNs" localSheetId="7">#REF!</definedName>
    <definedName name="MH_EPNs" localSheetId="9">#REF!</definedName>
    <definedName name="MH_EPNs" localSheetId="10">#REF!</definedName>
    <definedName name="MH_EPNs" localSheetId="15">#REF!</definedName>
    <definedName name="MH_EPNs" localSheetId="19">#REF!</definedName>
    <definedName name="MH_EPNs" localSheetId="20">#REF!</definedName>
    <definedName name="MH_EPNs" localSheetId="24">#REF!</definedName>
    <definedName name="MH_EPNs" localSheetId="104">#REF!</definedName>
    <definedName name="MH_EPNs" localSheetId="65">#REF!</definedName>
    <definedName name="MH_EPNs" localSheetId="64">#REF!</definedName>
    <definedName name="MH_EPNs" localSheetId="77">#REF!</definedName>
    <definedName name="MH_EPNs" localSheetId="49">#REF!</definedName>
    <definedName name="MH_EPNs" localSheetId="40">#REF!</definedName>
    <definedName name="MH_EPNs" localSheetId="43">#REF!</definedName>
    <definedName name="MH_EPNs" localSheetId="13">#REF!</definedName>
    <definedName name="MH_EPNs" localSheetId="38">#REF!</definedName>
    <definedName name="MH_EPNs">#REF!</definedName>
    <definedName name="MH_FINs" localSheetId="3">#REF!</definedName>
    <definedName name="MH_FINs" localSheetId="7">#REF!</definedName>
    <definedName name="MH_FINs" localSheetId="9">#REF!</definedName>
    <definedName name="MH_FINs" localSheetId="10">#REF!</definedName>
    <definedName name="MH_FINs" localSheetId="15">#REF!</definedName>
    <definedName name="MH_FINs" localSheetId="19">#REF!</definedName>
    <definedName name="MH_FINs" localSheetId="20">#REF!</definedName>
    <definedName name="MH_FINs" localSheetId="24">#REF!</definedName>
    <definedName name="MH_FINs" localSheetId="104">#REF!</definedName>
    <definedName name="MH_FINs" localSheetId="65">#REF!</definedName>
    <definedName name="MH_FINs" localSheetId="64">#REF!</definedName>
    <definedName name="MH_FINs" localSheetId="77">#REF!</definedName>
    <definedName name="MH_FINs" localSheetId="49">#REF!</definedName>
    <definedName name="MH_FINs" localSheetId="40">#REF!</definedName>
    <definedName name="MH_FINs" localSheetId="43">#REF!</definedName>
    <definedName name="MH_FINs" localSheetId="13">#REF!</definedName>
    <definedName name="MH_FINs" localSheetId="38">#REF!</definedName>
    <definedName name="MH_FINs">#REF!</definedName>
    <definedName name="miles_ft" localSheetId="3">#REF!</definedName>
    <definedName name="miles_ft" localSheetId="7">#REF!</definedName>
    <definedName name="miles_ft" localSheetId="9">#REF!</definedName>
    <definedName name="miles_ft" localSheetId="10">#REF!</definedName>
    <definedName name="miles_ft" localSheetId="15">#REF!</definedName>
    <definedName name="miles_ft" localSheetId="19">#REF!</definedName>
    <definedName name="miles_ft" localSheetId="20">#REF!</definedName>
    <definedName name="miles_ft" localSheetId="24">#REF!</definedName>
    <definedName name="miles_ft" localSheetId="104">#REF!</definedName>
    <definedName name="miles_ft" localSheetId="65">#REF!</definedName>
    <definedName name="miles_ft" localSheetId="64">#REF!</definedName>
    <definedName name="miles_ft" localSheetId="77">#REF!</definedName>
    <definedName name="miles_ft" localSheetId="49">#REF!</definedName>
    <definedName name="miles_ft" localSheetId="40">#REF!</definedName>
    <definedName name="miles_ft" localSheetId="43">#REF!</definedName>
    <definedName name="miles_ft" localSheetId="13">#REF!</definedName>
    <definedName name="miles_ft" localSheetId="38">#REF!</definedName>
    <definedName name="miles_ft">#REF!</definedName>
    <definedName name="Mineral_Oil" localSheetId="3">#REF!</definedName>
    <definedName name="Mineral_Oil" localSheetId="7">#REF!</definedName>
    <definedName name="Mineral_Oil" localSheetId="9">#REF!</definedName>
    <definedName name="Mineral_Oil" localSheetId="10">#REF!</definedName>
    <definedName name="Mineral_Oil" localSheetId="15">#REF!</definedName>
    <definedName name="Mineral_Oil" localSheetId="19">#REF!</definedName>
    <definedName name="Mineral_Oil" localSheetId="20">#REF!</definedName>
    <definedName name="Mineral_Oil" localSheetId="24">#REF!</definedName>
    <definedName name="Mineral_Oil" localSheetId="104">#REF!</definedName>
    <definedName name="Mineral_Oil" localSheetId="65">#REF!</definedName>
    <definedName name="Mineral_Oil" localSheetId="64">#REF!</definedName>
    <definedName name="Mineral_Oil" localSheetId="77">#REF!</definedName>
    <definedName name="Mineral_Oil" localSheetId="49">#REF!</definedName>
    <definedName name="Mineral_Oil" localSheetId="40">#REF!</definedName>
    <definedName name="Mineral_Oil" localSheetId="43">#REF!</definedName>
    <definedName name="Mineral_Oil" localSheetId="13">#REF!</definedName>
    <definedName name="Mineral_Oil" localSheetId="38">#REF!</definedName>
    <definedName name="Mineral_Oil">#REF!</definedName>
    <definedName name="MinXAxis">"Edit Box 13"</definedName>
    <definedName name="MinYAxis">"Edit Box 18"</definedName>
    <definedName name="misc1" localSheetId="3">#REF!</definedName>
    <definedName name="misc1" localSheetId="7">#REF!</definedName>
    <definedName name="misc1" localSheetId="9">#REF!</definedName>
    <definedName name="misc1" localSheetId="10">#REF!</definedName>
    <definedName name="misc1" localSheetId="15">#REF!</definedName>
    <definedName name="misc1" localSheetId="19">#REF!</definedName>
    <definedName name="misc1" localSheetId="20">#REF!</definedName>
    <definedName name="misc1" localSheetId="24">#REF!</definedName>
    <definedName name="misc1" localSheetId="104">#REF!</definedName>
    <definedName name="misc1" localSheetId="65">#REF!</definedName>
    <definedName name="misc1" localSheetId="64">#REF!</definedName>
    <definedName name="misc1" localSheetId="77">#REF!</definedName>
    <definedName name="misc1" localSheetId="49">#REF!</definedName>
    <definedName name="misc1" localSheetId="40">#REF!</definedName>
    <definedName name="misc1" localSheetId="43">#REF!</definedName>
    <definedName name="misc1" localSheetId="13">#REF!</definedName>
    <definedName name="misc1" localSheetId="38">#REF!</definedName>
    <definedName name="misc1">#REF!</definedName>
    <definedName name="misc2" localSheetId="3">#REF!</definedName>
    <definedName name="misc2" localSheetId="7">#REF!</definedName>
    <definedName name="misc2" localSheetId="9">#REF!</definedName>
    <definedName name="misc2" localSheetId="10">#REF!</definedName>
    <definedName name="misc2" localSheetId="15">#REF!</definedName>
    <definedName name="misc2" localSheetId="19">#REF!</definedName>
    <definedName name="misc2" localSheetId="20">#REF!</definedName>
    <definedName name="misc2" localSheetId="24">#REF!</definedName>
    <definedName name="misc2" localSheetId="104">#REF!</definedName>
    <definedName name="misc2" localSheetId="65">#REF!</definedName>
    <definedName name="misc2" localSheetId="64">#REF!</definedName>
    <definedName name="misc2" localSheetId="77">#REF!</definedName>
    <definedName name="misc2" localSheetId="49">#REF!</definedName>
    <definedName name="misc2" localSheetId="40">#REF!</definedName>
    <definedName name="misc2" localSheetId="43">#REF!</definedName>
    <definedName name="misc2" localSheetId="13">#REF!</definedName>
    <definedName name="misc2" localSheetId="38">#REF!</definedName>
    <definedName name="misc2">#REF!</definedName>
    <definedName name="misc3" localSheetId="3">#REF!</definedName>
    <definedName name="misc3" localSheetId="7">#REF!</definedName>
    <definedName name="misc3" localSheetId="9">#REF!</definedName>
    <definedName name="misc3" localSheetId="10">#REF!</definedName>
    <definedName name="misc3" localSheetId="15">#REF!</definedName>
    <definedName name="misc3" localSheetId="19">#REF!</definedName>
    <definedName name="misc3" localSheetId="20">#REF!</definedName>
    <definedName name="misc3" localSheetId="24">#REF!</definedName>
    <definedName name="misc3" localSheetId="104">#REF!</definedName>
    <definedName name="misc3" localSheetId="65">#REF!</definedName>
    <definedName name="misc3" localSheetId="64">#REF!</definedName>
    <definedName name="misc3" localSheetId="77">#REF!</definedName>
    <definedName name="misc3" localSheetId="49">#REF!</definedName>
    <definedName name="misc3" localSheetId="40">#REF!</definedName>
    <definedName name="misc3" localSheetId="43">#REF!</definedName>
    <definedName name="misc3" localSheetId="13">#REF!</definedName>
    <definedName name="misc3" localSheetId="38">#REF!</definedName>
    <definedName name="misc3">#REF!</definedName>
    <definedName name="misc4" localSheetId="3">#REF!</definedName>
    <definedName name="misc4" localSheetId="7">#REF!</definedName>
    <definedName name="misc4" localSheetId="9">#REF!</definedName>
    <definedName name="misc4" localSheetId="10">#REF!</definedName>
    <definedName name="misc4" localSheetId="15">#REF!</definedName>
    <definedName name="misc4" localSheetId="19">#REF!</definedName>
    <definedName name="misc4" localSheetId="20">#REF!</definedName>
    <definedName name="misc4" localSheetId="24">#REF!</definedName>
    <definedName name="misc4" localSheetId="104">#REF!</definedName>
    <definedName name="misc4" localSheetId="65">#REF!</definedName>
    <definedName name="misc4" localSheetId="64">#REF!</definedName>
    <definedName name="misc4" localSheetId="77">#REF!</definedName>
    <definedName name="misc4" localSheetId="49">#REF!</definedName>
    <definedName name="misc4" localSheetId="40">#REF!</definedName>
    <definedName name="misc4" localSheetId="43">#REF!</definedName>
    <definedName name="misc4" localSheetId="13">#REF!</definedName>
    <definedName name="misc4" localSheetId="38">#REF!</definedName>
    <definedName name="misc4">#REF!</definedName>
    <definedName name="misctot" localSheetId="3">#REF!</definedName>
    <definedName name="misctot" localSheetId="7">#REF!</definedName>
    <definedName name="misctot" localSheetId="9">#REF!</definedName>
    <definedName name="misctot" localSheetId="10">#REF!</definedName>
    <definedName name="misctot" localSheetId="15">#REF!</definedName>
    <definedName name="misctot" localSheetId="19">#REF!</definedName>
    <definedName name="misctot" localSheetId="20">#REF!</definedName>
    <definedName name="misctot" localSheetId="24">#REF!</definedName>
    <definedName name="misctot" localSheetId="104">#REF!</definedName>
    <definedName name="misctot" localSheetId="65">#REF!</definedName>
    <definedName name="misctot" localSheetId="64">#REF!</definedName>
    <definedName name="misctot" localSheetId="77">#REF!</definedName>
    <definedName name="misctot" localSheetId="49">#REF!</definedName>
    <definedName name="misctot" localSheetId="40">#REF!</definedName>
    <definedName name="misctot" localSheetId="43">#REF!</definedName>
    <definedName name="misctot" localSheetId="13">#REF!</definedName>
    <definedName name="misctot" localSheetId="38">#REF!</definedName>
    <definedName name="misctot">#REF!</definedName>
    <definedName name="MITI">#N/A</definedName>
    <definedName name="Mode">[17]Compliance_NS!$A$81:$A$82</definedName>
    <definedName name="Modeling" localSheetId="3" hidden="1">#REF!</definedName>
    <definedName name="Modeling" localSheetId="7" hidden="1">#REF!</definedName>
    <definedName name="Modeling" localSheetId="9" hidden="1">#REF!</definedName>
    <definedName name="Modeling" localSheetId="10" hidden="1">#REF!</definedName>
    <definedName name="Modeling" localSheetId="15" hidden="1">#REF!</definedName>
    <definedName name="Modeling" localSheetId="18" hidden="1">#REF!</definedName>
    <definedName name="Modeling" localSheetId="19" hidden="1">#REF!</definedName>
    <definedName name="Modeling" localSheetId="20" hidden="1">#REF!</definedName>
    <definedName name="Modeling" localSheetId="23" hidden="1">#REF!</definedName>
    <definedName name="Modeling" localSheetId="24" hidden="1">#REF!</definedName>
    <definedName name="Modeling" localSheetId="35" hidden="1">#REF!</definedName>
    <definedName name="Modeling" localSheetId="58" hidden="1">#REF!</definedName>
    <definedName name="Modeling" localSheetId="60" hidden="1">#REF!</definedName>
    <definedName name="Modeling" localSheetId="51" hidden="1">#REF!</definedName>
    <definedName name="Modeling" localSheetId="54" hidden="1">#REF!</definedName>
    <definedName name="Modeling" localSheetId="47" hidden="1">#REF!</definedName>
    <definedName name="Modeling" localSheetId="105" hidden="1">#REF!</definedName>
    <definedName name="Modeling" localSheetId="104" hidden="1">#REF!</definedName>
    <definedName name="Modeling" localSheetId="88" hidden="1">#REF!</definedName>
    <definedName name="Modeling" localSheetId="89" hidden="1">#REF!</definedName>
    <definedName name="Modeling" localSheetId="87" hidden="1">#REF!</definedName>
    <definedName name="Modeling" localSheetId="90" hidden="1">#REF!</definedName>
    <definedName name="Modeling" localSheetId="70" hidden="1">#REF!</definedName>
    <definedName name="Modeling" localSheetId="65" hidden="1">#REF!</definedName>
    <definedName name="Modeling" localSheetId="64" hidden="1">#REF!</definedName>
    <definedName name="Modeling" localSheetId="77" hidden="1">#REF!</definedName>
    <definedName name="Modeling" localSheetId="49" hidden="1">#REF!</definedName>
    <definedName name="Modeling" localSheetId="57" hidden="1">#REF!</definedName>
    <definedName name="Modeling" localSheetId="59" hidden="1">#REF!</definedName>
    <definedName name="Modeling" localSheetId="40" hidden="1">#REF!</definedName>
    <definedName name="Modeling" localSheetId="43" hidden="1">#REF!</definedName>
    <definedName name="Modeling" localSheetId="55" hidden="1">#REF!</definedName>
    <definedName name="Modeling" localSheetId="13" hidden="1">#REF!</definedName>
    <definedName name="Modeling" localSheetId="11" hidden="1">#REF!</definedName>
    <definedName name="Modeling" localSheetId="38" hidden="1">#REF!</definedName>
    <definedName name="Modeling" localSheetId="41" hidden="1">#REF!</definedName>
    <definedName name="Modeling" localSheetId="101" hidden="1">#REF!</definedName>
    <definedName name="Modeling" localSheetId="102" hidden="1">#REF!</definedName>
    <definedName name="Modeling" localSheetId="103" hidden="1">#REF!</definedName>
    <definedName name="Modeling" localSheetId="97" hidden="1">#REF!</definedName>
    <definedName name="Modeling" localSheetId="42" hidden="1">#REF!</definedName>
    <definedName name="Modeling" localSheetId="12" hidden="1">#REF!</definedName>
    <definedName name="Modeling" localSheetId="73" hidden="1">#REF!</definedName>
    <definedName name="Modeling" localSheetId="74" hidden="1">#REF!</definedName>
    <definedName name="Modeling" hidden="1">#REF!</definedName>
    <definedName name="ModeofOperation">'[18]Drop Down Lists'!$A$2:$A$4</definedName>
    <definedName name="MODINPUT_H2SO4" localSheetId="105" hidden="1">{"Detailed",#N/A,FALSE,"GAS-COMB";"Summary",#N/A,FALSE,"GAS-COMB"}</definedName>
    <definedName name="MODINPUT_H2SO4" localSheetId="96" hidden="1">{"Detailed",#N/A,FALSE,"GAS-COMB";"Summary",#N/A,FALSE,"GAS-COMB"}</definedName>
    <definedName name="MODINPUT_H2SO4" localSheetId="44" hidden="1">{"Detailed",#N/A,FALSE,"GAS-COMB";"Summary",#N/A,FALSE,"GAS-COMB"}</definedName>
    <definedName name="MODINPUT_H2SO4" hidden="1">{"Detailed",#N/A,FALSE,"GAS-COMB";"Summary",#N/A,FALSE,"GAS-COMB"}</definedName>
    <definedName name="Moisture" localSheetId="3">#REF!</definedName>
    <definedName name="Moisture" localSheetId="7">#REF!</definedName>
    <definedName name="Moisture" localSheetId="9">#REF!</definedName>
    <definedName name="Moisture" localSheetId="10">#REF!</definedName>
    <definedName name="Moisture" localSheetId="15">#REF!</definedName>
    <definedName name="Moisture" localSheetId="19">#REF!</definedName>
    <definedName name="Moisture" localSheetId="20">#REF!</definedName>
    <definedName name="Moisture" localSheetId="24">#REF!</definedName>
    <definedName name="Moisture" localSheetId="104">#REF!</definedName>
    <definedName name="Moisture" localSheetId="65">#REF!</definedName>
    <definedName name="Moisture" localSheetId="64">#REF!</definedName>
    <definedName name="Moisture" localSheetId="77">#REF!</definedName>
    <definedName name="Moisture" localSheetId="49">#REF!</definedName>
    <definedName name="Moisture" localSheetId="40">#REF!</definedName>
    <definedName name="Moisture" localSheetId="43">#REF!</definedName>
    <definedName name="Moisture" localSheetId="13">#REF!</definedName>
    <definedName name="Moisture" localSheetId="38">#REF!</definedName>
    <definedName name="Moisture">#REF!</definedName>
    <definedName name="Molar_Volume" localSheetId="3">#REF!</definedName>
    <definedName name="Molar_Volume" localSheetId="7">#REF!</definedName>
    <definedName name="Molar_Volume" localSheetId="9">#REF!</definedName>
    <definedName name="Molar_Volume" localSheetId="10">#REF!</definedName>
    <definedName name="Molar_Volume" localSheetId="15">#REF!</definedName>
    <definedName name="Molar_Volume" localSheetId="19">#REF!</definedName>
    <definedName name="Molar_Volume" localSheetId="20">#REF!</definedName>
    <definedName name="Molar_Volume" localSheetId="24">#REF!</definedName>
    <definedName name="Molar_Volume" localSheetId="104">#REF!</definedName>
    <definedName name="Molar_Volume" localSheetId="65">#REF!</definedName>
    <definedName name="Molar_Volume" localSheetId="64">#REF!</definedName>
    <definedName name="Molar_Volume" localSheetId="77">#REF!</definedName>
    <definedName name="Molar_Volume" localSheetId="49">#REF!</definedName>
    <definedName name="Molar_Volume" localSheetId="40">#REF!</definedName>
    <definedName name="Molar_Volume" localSheetId="43">#REF!</definedName>
    <definedName name="Molar_Volume" localSheetId="13">#REF!</definedName>
    <definedName name="Molar_Volume" localSheetId="38">#REF!</definedName>
    <definedName name="Molar_Volume">#REF!</definedName>
    <definedName name="MolarVol" localSheetId="3">#REF!</definedName>
    <definedName name="MolarVol" localSheetId="7">#REF!</definedName>
    <definedName name="MolarVol" localSheetId="9">#REF!</definedName>
    <definedName name="MolarVol" localSheetId="10">#REF!</definedName>
    <definedName name="MolarVol" localSheetId="15">#REF!</definedName>
    <definedName name="MolarVol" localSheetId="19">#REF!</definedName>
    <definedName name="MolarVol" localSheetId="20">#REF!</definedName>
    <definedName name="MolarVol" localSheetId="24">#REF!</definedName>
    <definedName name="MolarVol" localSheetId="104">#REF!</definedName>
    <definedName name="MolarVol" localSheetId="65">#REF!</definedName>
    <definedName name="MolarVol" localSheetId="64">#REF!</definedName>
    <definedName name="MolarVol" localSheetId="77">#REF!</definedName>
    <definedName name="MolarVol" localSheetId="49">#REF!</definedName>
    <definedName name="MolarVol" localSheetId="40">#REF!</definedName>
    <definedName name="MolarVol" localSheetId="43">#REF!</definedName>
    <definedName name="MolarVol" localSheetId="13">#REF!</definedName>
    <definedName name="MolarVol" localSheetId="38">#REF!</definedName>
    <definedName name="MolarVol">#REF!</definedName>
    <definedName name="MolarVol_Nm3" localSheetId="3">#REF!</definedName>
    <definedName name="MolarVol_Nm3" localSheetId="7">#REF!</definedName>
    <definedName name="MolarVol_Nm3" localSheetId="9">#REF!</definedName>
    <definedName name="MolarVol_Nm3" localSheetId="10">#REF!</definedName>
    <definedName name="MolarVol_Nm3" localSheetId="15">#REF!</definedName>
    <definedName name="MolarVol_Nm3" localSheetId="19">#REF!</definedName>
    <definedName name="MolarVol_Nm3" localSheetId="20">#REF!</definedName>
    <definedName name="MolarVol_Nm3" localSheetId="24">#REF!</definedName>
    <definedName name="MolarVol_Nm3" localSheetId="104">#REF!</definedName>
    <definedName name="MolarVol_Nm3" localSheetId="65">#REF!</definedName>
    <definedName name="MolarVol_Nm3" localSheetId="64">#REF!</definedName>
    <definedName name="MolarVol_Nm3" localSheetId="77">#REF!</definedName>
    <definedName name="MolarVol_Nm3" localSheetId="49">#REF!</definedName>
    <definedName name="MolarVol_Nm3" localSheetId="40">#REF!</definedName>
    <definedName name="MolarVol_Nm3" localSheetId="43">#REF!</definedName>
    <definedName name="MolarVol_Nm3" localSheetId="13">#REF!</definedName>
    <definedName name="MolarVol_Nm3" localSheetId="38">#REF!</definedName>
    <definedName name="MolarVol_Nm3">#REF!</definedName>
    <definedName name="MolarVolume" localSheetId="3">#REF!</definedName>
    <definedName name="MolarVolume" localSheetId="7">#REF!</definedName>
    <definedName name="MolarVolume" localSheetId="9">#REF!</definedName>
    <definedName name="MolarVolume" localSheetId="10">#REF!</definedName>
    <definedName name="MolarVolume" localSheetId="15">#REF!</definedName>
    <definedName name="MolarVolume" localSheetId="19">#REF!</definedName>
    <definedName name="MolarVolume" localSheetId="20">#REF!</definedName>
    <definedName name="MolarVolume" localSheetId="24">#REF!</definedName>
    <definedName name="MolarVolume" localSheetId="104">#REF!</definedName>
    <definedName name="MolarVolume" localSheetId="65">#REF!</definedName>
    <definedName name="MolarVolume" localSheetId="64">#REF!</definedName>
    <definedName name="MolarVolume" localSheetId="77">#REF!</definedName>
    <definedName name="MolarVolume" localSheetId="49">#REF!</definedName>
    <definedName name="MolarVolume" localSheetId="40">#REF!</definedName>
    <definedName name="MolarVolume" localSheetId="43">#REF!</definedName>
    <definedName name="MolarVolume" localSheetId="13">#REF!</definedName>
    <definedName name="MolarVolume" localSheetId="38">#REF!</definedName>
    <definedName name="MolarVolume">#REF!</definedName>
    <definedName name="MolVol" localSheetId="3">'[8]Completion Emissions Tier0'!#REF!</definedName>
    <definedName name="MolVol" localSheetId="7">'[8]Completion Emissions Tier0'!#REF!</definedName>
    <definedName name="MolVol" localSheetId="9">'[8]Completion Emissions Tier0'!#REF!</definedName>
    <definedName name="MolVol" localSheetId="10">'[8]Completion Emissions Tier0'!#REF!</definedName>
    <definedName name="MolVol" localSheetId="15">'[8]Completion Emissions Tier0'!#REF!</definedName>
    <definedName name="MolVol" localSheetId="19">'[8]Completion Emissions Tier0'!#REF!</definedName>
    <definedName name="MolVol" localSheetId="20">'[8]Completion Emissions Tier0'!#REF!</definedName>
    <definedName name="MolVol" localSheetId="24">'[8]Completion Emissions Tier0'!#REF!</definedName>
    <definedName name="MolVol" localSheetId="104">'[8]Completion Emissions Tier0'!#REF!</definedName>
    <definedName name="MolVol" localSheetId="65">'[8]Completion Emissions Tier0'!#REF!</definedName>
    <definedName name="MolVol" localSheetId="64">'[8]Completion Emissions Tier0'!#REF!</definedName>
    <definedName name="MolVol" localSheetId="77">'[8]Completion Emissions Tier0'!#REF!</definedName>
    <definedName name="MolVol" localSheetId="49">'[8]Completion Emissions Tier0'!#REF!</definedName>
    <definedName name="MolVol" localSheetId="40">'[8]Completion Emissions Tier0'!#REF!</definedName>
    <definedName name="MolVol" localSheetId="43">'[8]Completion Emissions Tier0'!#REF!</definedName>
    <definedName name="MolVol" localSheetId="13">'[8]Completion Emissions Tier0'!#REF!</definedName>
    <definedName name="MolVol" localSheetId="38">'[8]Completion Emissions Tier0'!#REF!</definedName>
    <definedName name="MolVol">'[8]Completion Emissions Tier0'!#REF!</definedName>
    <definedName name="molwt" localSheetId="3">#REF!</definedName>
    <definedName name="molwt" localSheetId="7">#REF!</definedName>
    <definedName name="molwt" localSheetId="9">#REF!</definedName>
    <definedName name="molwt" localSheetId="10">#REF!</definedName>
    <definedName name="molwt" localSheetId="15">#REF!</definedName>
    <definedName name="molwt" localSheetId="19">#REF!</definedName>
    <definedName name="molwt" localSheetId="20">#REF!</definedName>
    <definedName name="molwt" localSheetId="24">#REF!</definedName>
    <definedName name="molwt" localSheetId="104">#REF!</definedName>
    <definedName name="molwt" localSheetId="65">#REF!</definedName>
    <definedName name="molwt" localSheetId="64">#REF!</definedName>
    <definedName name="molwt" localSheetId="77">#REF!</definedName>
    <definedName name="molwt" localSheetId="49">#REF!</definedName>
    <definedName name="molwt" localSheetId="40">#REF!</definedName>
    <definedName name="molwt" localSheetId="43">#REF!</definedName>
    <definedName name="molwt" localSheetId="13">#REF!</definedName>
    <definedName name="molwt" localSheetId="38">#REF!</definedName>
    <definedName name="molwt">#REF!</definedName>
    <definedName name="MonthRange" localSheetId="3">#REF!</definedName>
    <definedName name="MonthRange" localSheetId="7">#REF!</definedName>
    <definedName name="MonthRange" localSheetId="9">#REF!</definedName>
    <definedName name="MonthRange" localSheetId="10">#REF!</definedName>
    <definedName name="MonthRange" localSheetId="15">#REF!</definedName>
    <definedName name="MonthRange" localSheetId="19">#REF!</definedName>
    <definedName name="MonthRange" localSheetId="20">#REF!</definedName>
    <definedName name="MonthRange" localSheetId="24">#REF!</definedName>
    <definedName name="MonthRange" localSheetId="104">#REF!</definedName>
    <definedName name="MonthRange" localSheetId="65">#REF!</definedName>
    <definedName name="MonthRange" localSheetId="64">#REF!</definedName>
    <definedName name="MonthRange" localSheetId="77">#REF!</definedName>
    <definedName name="MonthRange" localSheetId="49">#REF!</definedName>
    <definedName name="MonthRange" localSheetId="40">#REF!</definedName>
    <definedName name="MonthRange" localSheetId="43">#REF!</definedName>
    <definedName name="MonthRange" localSheetId="13">#REF!</definedName>
    <definedName name="MonthRange" localSheetId="38">#REF!</definedName>
    <definedName name="MonthRange">#REF!</definedName>
    <definedName name="MSS_Tanks_NFV_EPN" localSheetId="3">#REF!</definedName>
    <definedName name="MSS_Tanks_NFV_EPN" localSheetId="7">#REF!</definedName>
    <definedName name="MSS_Tanks_NFV_EPN" localSheetId="9">#REF!</definedName>
    <definedName name="MSS_Tanks_NFV_EPN" localSheetId="10">#REF!</definedName>
    <definedName name="MSS_Tanks_NFV_EPN" localSheetId="15">#REF!</definedName>
    <definedName name="MSS_Tanks_NFV_EPN" localSheetId="19">#REF!</definedName>
    <definedName name="MSS_Tanks_NFV_EPN" localSheetId="20">#REF!</definedName>
    <definedName name="MSS_Tanks_NFV_EPN" localSheetId="24">#REF!</definedName>
    <definedName name="MSS_Tanks_NFV_EPN" localSheetId="104">#REF!</definedName>
    <definedName name="MSS_Tanks_NFV_EPN" localSheetId="65">#REF!</definedName>
    <definedName name="MSS_Tanks_NFV_EPN" localSheetId="64">#REF!</definedName>
    <definedName name="MSS_Tanks_NFV_EPN" localSheetId="77">#REF!</definedName>
    <definedName name="MSS_Tanks_NFV_EPN" localSheetId="49">#REF!</definedName>
    <definedName name="MSS_Tanks_NFV_EPN" localSheetId="40">#REF!</definedName>
    <definedName name="MSS_Tanks_NFV_EPN" localSheetId="43">#REF!</definedName>
    <definedName name="MSS_Tanks_NFV_EPN" localSheetId="13">#REF!</definedName>
    <definedName name="MSS_Tanks_NFV_EPN" localSheetId="38">#REF!</definedName>
    <definedName name="MSS_Tanks_NFV_EPN">#REF!</definedName>
    <definedName name="msw" localSheetId="105" hidden="1">{#N/A,#N/A,FALSE,"Rates";#N/A,#N/A,FALSE,"Summary";#N/A,#N/A,FALSE,"Boilers";#N/A,#N/A,FALSE,"Cyclones";#N/A,#N/A,FALSE,"Saws";#N/A,#N/A,FALSE,"Drops";#N/A,#N/A,FALSE,"Piles";#N/A,#N/A,FALSE,"Roads";#N/A,#N/A,FALSE,"Tanks";#N/A,#N/A,FALSE,"Kilns";#N/A,#N/A,FALSE,"Model"}</definedName>
    <definedName name="msw" localSheetId="96" hidden="1">{#N/A,#N/A,FALSE,"Rates";#N/A,#N/A,FALSE,"Summary";#N/A,#N/A,FALSE,"Boilers";#N/A,#N/A,FALSE,"Cyclones";#N/A,#N/A,FALSE,"Saws";#N/A,#N/A,FALSE,"Drops";#N/A,#N/A,FALSE,"Piles";#N/A,#N/A,FALSE,"Roads";#N/A,#N/A,FALSE,"Tanks";#N/A,#N/A,FALSE,"Kilns";#N/A,#N/A,FALSE,"Model"}</definedName>
    <definedName name="msw" localSheetId="44" hidden="1">{#N/A,#N/A,FALSE,"Rates";#N/A,#N/A,FALSE,"Summary";#N/A,#N/A,FALSE,"Boilers";#N/A,#N/A,FALSE,"Cyclones";#N/A,#N/A,FALSE,"Saws";#N/A,#N/A,FALSE,"Drops";#N/A,#N/A,FALSE,"Piles";#N/A,#N/A,FALSE,"Roads";#N/A,#N/A,FALSE,"Tanks";#N/A,#N/A,FALSE,"Kilns";#N/A,#N/A,FALSE,"Model"}</definedName>
    <definedName name="msw" hidden="1">{#N/A,#N/A,FALSE,"Rates";#N/A,#N/A,FALSE,"Summary";#N/A,#N/A,FALSE,"Boilers";#N/A,#N/A,FALSE,"Cyclones";#N/A,#N/A,FALSE,"Saws";#N/A,#N/A,FALSE,"Drops";#N/A,#N/A,FALSE,"Piles";#N/A,#N/A,FALSE,"Roads";#N/A,#N/A,FALSE,"Tanks";#N/A,#N/A,FALSE,"Kilns";#N/A,#N/A,FALSE,"Model"}</definedName>
    <definedName name="Mv" localSheetId="3">#REF!</definedName>
    <definedName name="Mv" localSheetId="7">#REF!</definedName>
    <definedName name="Mv" localSheetId="9">#REF!</definedName>
    <definedName name="Mv" localSheetId="10">#REF!</definedName>
    <definedName name="Mv" localSheetId="15">#REF!</definedName>
    <definedName name="Mv" localSheetId="19">#REF!</definedName>
    <definedName name="Mv" localSheetId="20">#REF!</definedName>
    <definedName name="Mv" localSheetId="24">#REF!</definedName>
    <definedName name="Mv" localSheetId="104">#REF!</definedName>
    <definedName name="Mv" localSheetId="65">#REF!</definedName>
    <definedName name="Mv" localSheetId="64">#REF!</definedName>
    <definedName name="Mv" localSheetId="77">#REF!</definedName>
    <definedName name="Mv" localSheetId="49">#REF!</definedName>
    <definedName name="Mv" localSheetId="40">#REF!</definedName>
    <definedName name="Mv" localSheetId="43">#REF!</definedName>
    <definedName name="Mv" localSheetId="13">#REF!</definedName>
    <definedName name="Mv" localSheetId="38">#REF!</definedName>
    <definedName name="Mv">#REF!</definedName>
    <definedName name="MW">[6]Flashing!$F$17</definedName>
    <definedName name="MW_67" localSheetId="3">#REF!</definedName>
    <definedName name="MW_67" localSheetId="7">#REF!</definedName>
    <definedName name="MW_67" localSheetId="9">#REF!</definedName>
    <definedName name="MW_67" localSheetId="10">#REF!</definedName>
    <definedName name="MW_67" localSheetId="15">#REF!</definedName>
    <definedName name="MW_67" localSheetId="19">#REF!</definedName>
    <definedName name="MW_67" localSheetId="20">#REF!</definedName>
    <definedName name="MW_67" localSheetId="24">#REF!</definedName>
    <definedName name="MW_67" localSheetId="104">#REF!</definedName>
    <definedName name="MW_67" localSheetId="65">#REF!</definedName>
    <definedName name="MW_67" localSheetId="64">#REF!</definedName>
    <definedName name="MW_67" localSheetId="77">#REF!</definedName>
    <definedName name="MW_67" localSheetId="49">#REF!</definedName>
    <definedName name="MW_67" localSheetId="40">#REF!</definedName>
    <definedName name="MW_67" localSheetId="43">#REF!</definedName>
    <definedName name="MW_67" localSheetId="13">#REF!</definedName>
    <definedName name="MW_67" localSheetId="38">#REF!</definedName>
    <definedName name="MW_67">#REF!</definedName>
    <definedName name="MW_Acetylene">26.0378</definedName>
    <definedName name="MW_Ammonia">17.0304</definedName>
    <definedName name="MW_Aniline">93.12</definedName>
    <definedName name="MW_Ar">39.948</definedName>
    <definedName name="MW_Benzene">78.1134</definedName>
    <definedName name="MW_Butane">58.12</definedName>
    <definedName name="MW_Butylene">56.1</definedName>
    <definedName name="MW_C20H42">282.5518</definedName>
    <definedName name="MW_C2H2">26.0378</definedName>
    <definedName name="MW_C2H4">28.0536</definedName>
    <definedName name="MW_C2H4O">44.05</definedName>
    <definedName name="MW_C2H6">30.0694</definedName>
    <definedName name="MW_C3H8">44.09</definedName>
    <definedName name="MW_C4H10">58.12</definedName>
    <definedName name="MW_C4H8">56.1</definedName>
    <definedName name="MW_C5H12">72.15</definedName>
    <definedName name="MW_C6H14">86.17</definedName>
    <definedName name="MW_C6H5NH2">93.12</definedName>
    <definedName name="MW_C6H5OH">94.1128</definedName>
    <definedName name="MW_C6H6">78.1134</definedName>
    <definedName name="MW_CaCO3">100.0892</definedName>
    <definedName name="MW_CalciumCarbonate">100.0892</definedName>
    <definedName name="MW_CalciumSulfate">136.1376</definedName>
    <definedName name="MW_CaO">56.0794</definedName>
    <definedName name="MW_CaSO4">136.1376</definedName>
    <definedName name="MW_CCl4">153.84</definedName>
    <definedName name="MW_Cetane">282.5518</definedName>
    <definedName name="MW_CF4">88.01</definedName>
    <definedName name="MW_CH4">16.0426</definedName>
    <definedName name="MW_CHCl3">119.39</definedName>
    <definedName name="MW_Cl2">70.906</definedName>
    <definedName name="MW_CO" localSheetId="3">#REF!</definedName>
    <definedName name="MW_CO" localSheetId="7">#REF!</definedName>
    <definedName name="MW_CO" localSheetId="9">#REF!</definedName>
    <definedName name="MW_CO" localSheetId="10">#REF!</definedName>
    <definedName name="MW_CO" localSheetId="15">#REF!</definedName>
    <definedName name="MW_CO" localSheetId="19">#REF!</definedName>
    <definedName name="MW_CO" localSheetId="20">#REF!</definedName>
    <definedName name="MW_CO" localSheetId="24">#REF!</definedName>
    <definedName name="MW_CO" localSheetId="104">#REF!</definedName>
    <definedName name="MW_CO" localSheetId="65">#REF!</definedName>
    <definedName name="MW_CO" localSheetId="64">#REF!</definedName>
    <definedName name="MW_CO" localSheetId="77">#REF!</definedName>
    <definedName name="MW_CO" localSheetId="49">#REF!</definedName>
    <definedName name="MW_CO" localSheetId="40">#REF!</definedName>
    <definedName name="MW_CO" localSheetId="43">#REF!</definedName>
    <definedName name="MW_CO" localSheetId="13">#REF!</definedName>
    <definedName name="MW_CO" localSheetId="38">#REF!</definedName>
    <definedName name="MW_CO">#REF!</definedName>
    <definedName name="MW_CO2">44.0098</definedName>
    <definedName name="MW_CS2">76.131</definedName>
    <definedName name="MW_DinitroToluene">182.13</definedName>
    <definedName name="MW_DNT">182.13</definedName>
    <definedName name="MW_Ethanol">46.0688</definedName>
    <definedName name="MW_EthOH">46.0688</definedName>
    <definedName name="MW_Ethylene">28.0536</definedName>
    <definedName name="MW_EthyleneOxide">44.05</definedName>
    <definedName name="MW_Gypsum">172.168</definedName>
    <definedName name="MW_H">1.0079</definedName>
    <definedName name="MW_H2">2.0158</definedName>
    <definedName name="MW_H2O">18.0098</definedName>
    <definedName name="MW_H2O2">34.0146</definedName>
    <definedName name="MW_H2S">34.0758</definedName>
    <definedName name="MW_H2SO4">98.0734</definedName>
    <definedName name="MW_HCl">36.4609</definedName>
    <definedName name="MW_HCN" localSheetId="3">#REF!</definedName>
    <definedName name="MW_HCN" localSheetId="7">#REF!</definedName>
    <definedName name="MW_HCN" localSheetId="9">#REF!</definedName>
    <definedName name="MW_HCN" localSheetId="10">#REF!</definedName>
    <definedName name="MW_HCN" localSheetId="15">#REF!</definedName>
    <definedName name="MW_HCN" localSheetId="19">#REF!</definedName>
    <definedName name="MW_HCN" localSheetId="20">#REF!</definedName>
    <definedName name="MW_HCN" localSheetId="24">#REF!</definedName>
    <definedName name="MW_HCN" localSheetId="104">#REF!</definedName>
    <definedName name="MW_HCN" localSheetId="65">#REF!</definedName>
    <definedName name="MW_HCN" localSheetId="64">#REF!</definedName>
    <definedName name="MW_HCN" localSheetId="77">#REF!</definedName>
    <definedName name="MW_HCN" localSheetId="49">#REF!</definedName>
    <definedName name="MW_HCN" localSheetId="40">#REF!</definedName>
    <definedName name="MW_HCN" localSheetId="43">#REF!</definedName>
    <definedName name="MW_HCN" localSheetId="13">#REF!</definedName>
    <definedName name="MW_HCN" localSheetId="38">#REF!</definedName>
    <definedName name="MW_HCN">#REF!</definedName>
    <definedName name="MW_Hexane">86.17</definedName>
    <definedName name="MW_HF">20.0063</definedName>
    <definedName name="MW_Hg">200.59</definedName>
    <definedName name="MW_HNO3">63.0128</definedName>
    <definedName name="MW_HydrogenPeroxide">34.0146</definedName>
    <definedName name="MW_KCl">74.551</definedName>
    <definedName name="MW_KOH">56.1053</definedName>
    <definedName name="MW_MeCl">50.49</definedName>
    <definedName name="MW_MEK">72.1</definedName>
    <definedName name="MW_MeOH">32.042</definedName>
    <definedName name="MW_Mercury">200.59</definedName>
    <definedName name="MW_Methane">16.0426</definedName>
    <definedName name="MW_Methanol">32.042</definedName>
    <definedName name="MW_MethylChloride">50.49</definedName>
    <definedName name="MW_MethylEthylKetone">72.1</definedName>
    <definedName name="MW_N2">28.0134</definedName>
    <definedName name="MW_N2H4">32.045</definedName>
    <definedName name="MW_Na2CO3">105.98874</definedName>
    <definedName name="MW_NaCl">58.44277</definedName>
    <definedName name="MW_NaHCO3">84.00587</definedName>
    <definedName name="MW_NaOCl">74.44217</definedName>
    <definedName name="MW_NaOH">39.99707</definedName>
    <definedName name="MW_NH3">17.0304</definedName>
    <definedName name="MW_Ni">58.7</definedName>
    <definedName name="MW_Nickel">58.7</definedName>
    <definedName name="MW_NitricAcid">63.0128</definedName>
    <definedName name="MW_Nitrogen">28.0134</definedName>
    <definedName name="MW_NO2">46.0055</definedName>
    <definedName name="MW_NOx" localSheetId="3">#REF!</definedName>
    <definedName name="MW_NOx" localSheetId="7">#REF!</definedName>
    <definedName name="MW_NOx" localSheetId="9">#REF!</definedName>
    <definedName name="MW_NOx" localSheetId="10">#REF!</definedName>
    <definedName name="MW_NOx" localSheetId="15">#REF!</definedName>
    <definedName name="MW_NOx" localSheetId="19">#REF!</definedName>
    <definedName name="MW_NOx" localSheetId="20">#REF!</definedName>
    <definedName name="MW_NOx" localSheetId="24">#REF!</definedName>
    <definedName name="MW_NOx" localSheetId="104">#REF!</definedName>
    <definedName name="MW_NOx" localSheetId="65">#REF!</definedName>
    <definedName name="MW_NOx" localSheetId="64">#REF!</definedName>
    <definedName name="MW_NOx" localSheetId="77">#REF!</definedName>
    <definedName name="MW_NOx" localSheetId="49">#REF!</definedName>
    <definedName name="MW_NOx" localSheetId="40">#REF!</definedName>
    <definedName name="MW_NOx" localSheetId="43">#REF!</definedName>
    <definedName name="MW_NOx" localSheetId="13">#REF!</definedName>
    <definedName name="MW_NOx" localSheetId="38">#REF!</definedName>
    <definedName name="MW_NOx">#REF!</definedName>
    <definedName name="MW_O">15.9994</definedName>
    <definedName name="MW_O2">31.9988</definedName>
    <definedName name="MW_O3">47.9982</definedName>
    <definedName name="MW_Oxygen">31.9988</definedName>
    <definedName name="MW_Ozone">47.9982</definedName>
    <definedName name="MW_Pentane">72.15</definedName>
    <definedName name="MW_Phenol">94.1128</definedName>
    <definedName name="MW_PotassiumHydroxide">56.1053</definedName>
    <definedName name="MW_Propane">44.09</definedName>
    <definedName name="MW_Propylene">42.08</definedName>
    <definedName name="MW_Radon">222</definedName>
    <definedName name="MW_Rn">222</definedName>
    <definedName name="MW_S" localSheetId="3">#REF!</definedName>
    <definedName name="MW_S" localSheetId="7">#REF!</definedName>
    <definedName name="MW_S" localSheetId="9">#REF!</definedName>
    <definedName name="MW_S" localSheetId="10">#REF!</definedName>
    <definedName name="MW_S" localSheetId="15">#REF!</definedName>
    <definedName name="MW_S" localSheetId="19">#REF!</definedName>
    <definedName name="MW_S" localSheetId="20">#REF!</definedName>
    <definedName name="MW_S" localSheetId="24">#REF!</definedName>
    <definedName name="MW_S" localSheetId="104">#REF!</definedName>
    <definedName name="MW_S" localSheetId="65">#REF!</definedName>
    <definedName name="MW_S" localSheetId="64">#REF!</definedName>
    <definedName name="MW_S" localSheetId="77">#REF!</definedName>
    <definedName name="MW_S" localSheetId="49">#REF!</definedName>
    <definedName name="MW_S" localSheetId="40">#REF!</definedName>
    <definedName name="MW_S" localSheetId="43">#REF!</definedName>
    <definedName name="MW_S" localSheetId="13">#REF!</definedName>
    <definedName name="MW_S" localSheetId="38">#REF!</definedName>
    <definedName name="MW_S">#REF!</definedName>
    <definedName name="MW_SA" localSheetId="3">#REF!</definedName>
    <definedName name="MW_SA" localSheetId="7">#REF!</definedName>
    <definedName name="MW_SA" localSheetId="9">#REF!</definedName>
    <definedName name="MW_SA" localSheetId="10">#REF!</definedName>
    <definedName name="MW_SA" localSheetId="15">#REF!</definedName>
    <definedName name="MW_SA" localSheetId="19">#REF!</definedName>
    <definedName name="MW_SA" localSheetId="20">#REF!</definedName>
    <definedName name="MW_SA" localSheetId="24">#REF!</definedName>
    <definedName name="MW_SA" localSheetId="104">#REF!</definedName>
    <definedName name="MW_SA" localSheetId="65">#REF!</definedName>
    <definedName name="MW_SA" localSheetId="64">#REF!</definedName>
    <definedName name="MW_SA" localSheetId="77">#REF!</definedName>
    <definedName name="MW_SA" localSheetId="49">#REF!</definedName>
    <definedName name="MW_SA" localSheetId="40">#REF!</definedName>
    <definedName name="MW_SA" localSheetId="43">#REF!</definedName>
    <definedName name="MW_SA" localSheetId="13">#REF!</definedName>
    <definedName name="MW_SA" localSheetId="38">#REF!</definedName>
    <definedName name="MW_SA">#REF!</definedName>
    <definedName name="MW_SO2">64.048</definedName>
    <definedName name="MW_SO3">80.0582</definedName>
    <definedName name="MW_Styrene">104.14</definedName>
    <definedName name="MW_Sulfur">32.06</definedName>
    <definedName name="MW_Sulphur">32.06</definedName>
    <definedName name="MW_Toluene">92.13</definedName>
    <definedName name="MW_Urea">60.06</definedName>
    <definedName name="MW_VCM">62.5</definedName>
    <definedName name="MW_VinylChloride">62.5</definedName>
    <definedName name="MW_VOC__propane" localSheetId="3">#REF!</definedName>
    <definedName name="MW_VOC__propane" localSheetId="7">#REF!</definedName>
    <definedName name="MW_VOC__propane" localSheetId="9">#REF!</definedName>
    <definedName name="MW_VOC__propane" localSheetId="10">#REF!</definedName>
    <definedName name="MW_VOC__propane" localSheetId="15">#REF!</definedName>
    <definedName name="MW_VOC__propane" localSheetId="19">#REF!</definedName>
    <definedName name="MW_VOC__propane" localSheetId="20">#REF!</definedName>
    <definedName name="MW_VOC__propane" localSheetId="24">#REF!</definedName>
    <definedName name="MW_VOC__propane" localSheetId="104">#REF!</definedName>
    <definedName name="MW_VOC__propane" localSheetId="65">#REF!</definedName>
    <definedName name="MW_VOC__propane" localSheetId="64">#REF!</definedName>
    <definedName name="MW_VOC__propane" localSheetId="77">#REF!</definedName>
    <definedName name="MW_VOC__propane" localSheetId="49">#REF!</definedName>
    <definedName name="MW_VOC__propane" localSheetId="40">#REF!</definedName>
    <definedName name="MW_VOC__propane" localSheetId="43">#REF!</definedName>
    <definedName name="MW_VOC__propane" localSheetId="13">#REF!</definedName>
    <definedName name="MW_VOC__propane" localSheetId="38">#REF!</definedName>
    <definedName name="MW_VOC__propane">#REF!</definedName>
    <definedName name="MW_Water">18.0098</definedName>
    <definedName name="MW_Xylene">106.16</definedName>
    <definedName name="mwC" localSheetId="3">#REF!</definedName>
    <definedName name="mwC" localSheetId="7">#REF!</definedName>
    <definedName name="mwC" localSheetId="9">#REF!</definedName>
    <definedName name="mwC" localSheetId="10">#REF!</definedName>
    <definedName name="mwC" localSheetId="15">#REF!</definedName>
    <definedName name="mwC" localSheetId="19">#REF!</definedName>
    <definedName name="mwC" localSheetId="20">#REF!</definedName>
    <definedName name="mwC" localSheetId="24">#REF!</definedName>
    <definedName name="mwC" localSheetId="104">#REF!</definedName>
    <definedName name="mwC" localSheetId="65">#REF!</definedName>
    <definedName name="mwC" localSheetId="64">#REF!</definedName>
    <definedName name="mwC" localSheetId="77">#REF!</definedName>
    <definedName name="mwC" localSheetId="49">#REF!</definedName>
    <definedName name="mwC" localSheetId="40">#REF!</definedName>
    <definedName name="mwC" localSheetId="43">#REF!</definedName>
    <definedName name="mwC" localSheetId="13">#REF!</definedName>
    <definedName name="mwC" localSheetId="38">#REF!</definedName>
    <definedName name="mwC">#REF!</definedName>
    <definedName name="MWCO2" localSheetId="3">#REF!</definedName>
    <definedName name="MWCO2" localSheetId="7">#REF!</definedName>
    <definedName name="MWCO2" localSheetId="9">#REF!</definedName>
    <definedName name="MWCO2" localSheetId="10">#REF!</definedName>
    <definedName name="MWCO2" localSheetId="15">#REF!</definedName>
    <definedName name="MWCO2" localSheetId="19">#REF!</definedName>
    <definedName name="MWCO2" localSheetId="20">#REF!</definedName>
    <definedName name="MWCO2" localSheetId="24">#REF!</definedName>
    <definedName name="MWCO2" localSheetId="104">#REF!</definedName>
    <definedName name="MWCO2" localSheetId="65">#REF!</definedName>
    <definedName name="MWCO2" localSheetId="64">#REF!</definedName>
    <definedName name="MWCO2" localSheetId="77">#REF!</definedName>
    <definedName name="MWCO2" localSheetId="49">#REF!</definedName>
    <definedName name="MWCO2" localSheetId="40">#REF!</definedName>
    <definedName name="MWCO2" localSheetId="43">#REF!</definedName>
    <definedName name="MWCO2" localSheetId="13">#REF!</definedName>
    <definedName name="MWCO2" localSheetId="38">#REF!</definedName>
    <definedName name="MWCO2">#REF!</definedName>
    <definedName name="MWt" localSheetId="3">#REF!</definedName>
    <definedName name="MWt" localSheetId="7">#REF!</definedName>
    <definedName name="MWt" localSheetId="9">#REF!</definedName>
    <definedName name="MWt" localSheetId="10">#REF!</definedName>
    <definedName name="MWt" localSheetId="15">#REF!</definedName>
    <definedName name="MWt" localSheetId="19">#REF!</definedName>
    <definedName name="MWt" localSheetId="20">#REF!</definedName>
    <definedName name="MWt" localSheetId="24">#REF!</definedName>
    <definedName name="MWt" localSheetId="104">#REF!</definedName>
    <definedName name="MWt" localSheetId="65">#REF!</definedName>
    <definedName name="MWt" localSheetId="64">#REF!</definedName>
    <definedName name="MWt" localSheetId="77">#REF!</definedName>
    <definedName name="MWt" localSheetId="49">#REF!</definedName>
    <definedName name="MWt" localSheetId="40">#REF!</definedName>
    <definedName name="MWt" localSheetId="43">#REF!</definedName>
    <definedName name="MWt" localSheetId="13">#REF!</definedName>
    <definedName name="MWt" localSheetId="38">#REF!</definedName>
    <definedName name="MWt">#REF!</definedName>
    <definedName name="n" localSheetId="3">#REF!</definedName>
    <definedName name="n" localSheetId="7">#REF!</definedName>
    <definedName name="n" localSheetId="9">#REF!</definedName>
    <definedName name="n" localSheetId="10">#REF!</definedName>
    <definedName name="n" localSheetId="15">#REF!</definedName>
    <definedName name="n" localSheetId="19">#REF!</definedName>
    <definedName name="n" localSheetId="20">#REF!</definedName>
    <definedName name="n" localSheetId="24">#REF!</definedName>
    <definedName name="n" localSheetId="104">#REF!</definedName>
    <definedName name="n" localSheetId="65">#REF!</definedName>
    <definedName name="n" localSheetId="64">#REF!</definedName>
    <definedName name="n" localSheetId="77">#REF!</definedName>
    <definedName name="n" localSheetId="49">#REF!</definedName>
    <definedName name="n" localSheetId="48">#REF!</definedName>
    <definedName name="n" localSheetId="40">#REF!</definedName>
    <definedName name="n" localSheetId="43">#REF!</definedName>
    <definedName name="n" localSheetId="13">#REF!</definedName>
    <definedName name="n" localSheetId="38">#REF!</definedName>
    <definedName name="n">#REF!</definedName>
    <definedName name="Name" localSheetId="3">#REF!</definedName>
    <definedName name="Name" localSheetId="7">#REF!</definedName>
    <definedName name="Name" localSheetId="9">#REF!</definedName>
    <definedName name="Name" localSheetId="10">#REF!</definedName>
    <definedName name="Name" localSheetId="15">#REF!</definedName>
    <definedName name="Name" localSheetId="19">#REF!</definedName>
    <definedName name="Name" localSheetId="20">#REF!</definedName>
    <definedName name="Name" localSheetId="24">#REF!</definedName>
    <definedName name="Name" localSheetId="104">#REF!</definedName>
    <definedName name="Name" localSheetId="65">#REF!</definedName>
    <definedName name="Name" localSheetId="64">#REF!</definedName>
    <definedName name="Name" localSheetId="77">#REF!</definedName>
    <definedName name="Name" localSheetId="49">#REF!</definedName>
    <definedName name="Name" localSheetId="48">#REF!</definedName>
    <definedName name="Name" localSheetId="40">#REF!</definedName>
    <definedName name="Name" localSheetId="43">#REF!</definedName>
    <definedName name="Name" localSheetId="13">#REF!</definedName>
    <definedName name="Name" localSheetId="38">#REF!</definedName>
    <definedName name="Name">#REF!</definedName>
    <definedName name="nametable" localSheetId="3">#REF!</definedName>
    <definedName name="nametable" localSheetId="7">#REF!</definedName>
    <definedName name="nametable" localSheetId="9">#REF!</definedName>
    <definedName name="nametable" localSheetId="10">#REF!</definedName>
    <definedName name="nametable" localSheetId="15">#REF!</definedName>
    <definedName name="nametable" localSheetId="19">#REF!</definedName>
    <definedName name="nametable" localSheetId="20">#REF!</definedName>
    <definedName name="nametable" localSheetId="24">#REF!</definedName>
    <definedName name="nametable" localSheetId="104">#REF!</definedName>
    <definedName name="nametable" localSheetId="65">#REF!</definedName>
    <definedName name="nametable" localSheetId="64">#REF!</definedName>
    <definedName name="nametable" localSheetId="77">#REF!</definedName>
    <definedName name="nametable" localSheetId="49">#REF!</definedName>
    <definedName name="nametable" localSheetId="40">#REF!</definedName>
    <definedName name="nametable" localSheetId="43">#REF!</definedName>
    <definedName name="nametable" localSheetId="13">#REF!</definedName>
    <definedName name="nametable" localSheetId="38">#REF!</definedName>
    <definedName name="nametable">#REF!</definedName>
    <definedName name="nametable1" localSheetId="3">#REF!</definedName>
    <definedName name="nametable1" localSheetId="7">#REF!</definedName>
    <definedName name="nametable1" localSheetId="9">#REF!</definedName>
    <definedName name="nametable1" localSheetId="10">#REF!</definedName>
    <definedName name="nametable1" localSheetId="15">#REF!</definedName>
    <definedName name="nametable1" localSheetId="19">#REF!</definedName>
    <definedName name="nametable1" localSheetId="20">#REF!</definedName>
    <definedName name="nametable1" localSheetId="24">#REF!</definedName>
    <definedName name="nametable1" localSheetId="104">#REF!</definedName>
    <definedName name="nametable1" localSheetId="65">#REF!</definedName>
    <definedName name="nametable1" localSheetId="64">#REF!</definedName>
    <definedName name="nametable1" localSheetId="77">#REF!</definedName>
    <definedName name="nametable1" localSheetId="49">#REF!</definedName>
    <definedName name="nametable1" localSheetId="40">#REF!</definedName>
    <definedName name="nametable1" localSheetId="43">#REF!</definedName>
    <definedName name="nametable1" localSheetId="13">#REF!</definedName>
    <definedName name="nametable1" localSheetId="38">#REF!</definedName>
    <definedName name="nametable1">#REF!</definedName>
    <definedName name="NatFactor" localSheetId="3">#REF!</definedName>
    <definedName name="NatFactor" localSheetId="7">#REF!</definedName>
    <definedName name="NatFactor" localSheetId="9">#REF!</definedName>
    <definedName name="NatFactor" localSheetId="10">#REF!</definedName>
    <definedName name="NatFactor" localSheetId="15">#REF!</definedName>
    <definedName name="NatFactor" localSheetId="19">#REF!</definedName>
    <definedName name="NatFactor" localSheetId="20">#REF!</definedName>
    <definedName name="NatFactor" localSheetId="24">#REF!</definedName>
    <definedName name="NatFactor" localSheetId="104">#REF!</definedName>
    <definedName name="NatFactor" localSheetId="65">#REF!</definedName>
    <definedName name="NatFactor" localSheetId="64">#REF!</definedName>
    <definedName name="NatFactor" localSheetId="77">#REF!</definedName>
    <definedName name="NatFactor" localSheetId="49">#REF!</definedName>
    <definedName name="NatFactor" localSheetId="40">#REF!</definedName>
    <definedName name="NatFactor" localSheetId="43">#REF!</definedName>
    <definedName name="NatFactor" localSheetId="13">#REF!</definedName>
    <definedName name="NatFactor" localSheetId="38">#REF!</definedName>
    <definedName name="NatFactor">#REF!</definedName>
    <definedName name="Natural_Gas" localSheetId="3">#REF!</definedName>
    <definedName name="Natural_Gas" localSheetId="7">#REF!</definedName>
    <definedName name="Natural_Gas" localSheetId="9">#REF!</definedName>
    <definedName name="Natural_Gas" localSheetId="10">#REF!</definedName>
    <definedName name="Natural_Gas" localSheetId="15">#REF!</definedName>
    <definedName name="Natural_Gas" localSheetId="19">#REF!</definedName>
    <definedName name="Natural_Gas" localSheetId="20">#REF!</definedName>
    <definedName name="Natural_Gas" localSheetId="24">#REF!</definedName>
    <definedName name="Natural_Gas" localSheetId="104">#REF!</definedName>
    <definedName name="Natural_Gas" localSheetId="65">#REF!</definedName>
    <definedName name="Natural_Gas" localSheetId="64">#REF!</definedName>
    <definedName name="Natural_Gas" localSheetId="77">#REF!</definedName>
    <definedName name="Natural_Gas" localSheetId="49">#REF!</definedName>
    <definedName name="Natural_Gas" localSheetId="40">#REF!</definedName>
    <definedName name="Natural_Gas" localSheetId="43">#REF!</definedName>
    <definedName name="Natural_Gas" localSheetId="13">#REF!</definedName>
    <definedName name="Natural_Gas" localSheetId="38">#REF!</definedName>
    <definedName name="Natural_Gas">#REF!</definedName>
    <definedName name="Natural_Gas_Heating_Value__BTU_scf" localSheetId="3">#REF!</definedName>
    <definedName name="Natural_Gas_Heating_Value__BTU_scf" localSheetId="7">#REF!</definedName>
    <definedName name="Natural_Gas_Heating_Value__BTU_scf" localSheetId="9">#REF!</definedName>
    <definedName name="Natural_Gas_Heating_Value__BTU_scf" localSheetId="10">#REF!</definedName>
    <definedName name="Natural_Gas_Heating_Value__BTU_scf" localSheetId="15">#REF!</definedName>
    <definedName name="Natural_Gas_Heating_Value__BTU_scf" localSheetId="19">#REF!</definedName>
    <definedName name="Natural_Gas_Heating_Value__BTU_scf" localSheetId="20">#REF!</definedName>
    <definedName name="Natural_Gas_Heating_Value__BTU_scf" localSheetId="24">#REF!</definedName>
    <definedName name="Natural_Gas_Heating_Value__BTU_scf" localSheetId="104">#REF!</definedName>
    <definedName name="Natural_Gas_Heating_Value__BTU_scf" localSheetId="65">#REF!</definedName>
    <definedName name="Natural_Gas_Heating_Value__BTU_scf" localSheetId="64">#REF!</definedName>
    <definedName name="Natural_Gas_Heating_Value__BTU_scf" localSheetId="77">#REF!</definedName>
    <definedName name="Natural_Gas_Heating_Value__BTU_scf" localSheetId="49">#REF!</definedName>
    <definedName name="Natural_Gas_Heating_Value__BTU_scf" localSheetId="40">#REF!</definedName>
    <definedName name="Natural_Gas_Heating_Value__BTU_scf" localSheetId="43">#REF!</definedName>
    <definedName name="Natural_Gas_Heating_Value__BTU_scf" localSheetId="13">#REF!</definedName>
    <definedName name="Natural_Gas_Heating_Value__BTU_scf" localSheetId="38">#REF!</definedName>
    <definedName name="Natural_Gas_Heating_Value__BTU_scf">#REF!</definedName>
    <definedName name="nc" localSheetId="3">#REF!</definedName>
    <definedName name="nc" localSheetId="7">#REF!</definedName>
    <definedName name="nc" localSheetId="9">#REF!</definedName>
    <definedName name="nc" localSheetId="10">#REF!</definedName>
    <definedName name="nc" localSheetId="15">#REF!</definedName>
    <definedName name="nc" localSheetId="19">#REF!</definedName>
    <definedName name="nc" localSheetId="20">#REF!</definedName>
    <definedName name="nc" localSheetId="24">#REF!</definedName>
    <definedName name="nc" localSheetId="104">#REF!</definedName>
    <definedName name="nc" localSheetId="65">#REF!</definedName>
    <definedName name="nc" localSheetId="64">#REF!</definedName>
    <definedName name="nc" localSheetId="77">#REF!</definedName>
    <definedName name="nc" localSheetId="49">#REF!</definedName>
    <definedName name="nc" localSheetId="40">#REF!</definedName>
    <definedName name="nc" localSheetId="43">#REF!</definedName>
    <definedName name="nc" localSheetId="13">#REF!</definedName>
    <definedName name="nc" localSheetId="38">#REF!</definedName>
    <definedName name="nc">#REF!</definedName>
    <definedName name="nd" localSheetId="3">#REF!</definedName>
    <definedName name="nd" localSheetId="7">#REF!</definedName>
    <definedName name="nd" localSheetId="9">#REF!</definedName>
    <definedName name="nd" localSheetId="10">#REF!</definedName>
    <definedName name="nd" localSheetId="15">#REF!</definedName>
    <definedName name="nd" localSheetId="19">#REF!</definedName>
    <definedName name="nd" localSheetId="20">#REF!</definedName>
    <definedName name="nd" localSheetId="24">#REF!</definedName>
    <definedName name="nd" localSheetId="104">#REF!</definedName>
    <definedName name="nd" localSheetId="65">#REF!</definedName>
    <definedName name="nd" localSheetId="64">#REF!</definedName>
    <definedName name="nd" localSheetId="77">#REF!</definedName>
    <definedName name="nd" localSheetId="49">#REF!</definedName>
    <definedName name="nd" localSheetId="40">#REF!</definedName>
    <definedName name="nd" localSheetId="43">#REF!</definedName>
    <definedName name="nd" localSheetId="13">#REF!</definedName>
    <definedName name="nd" localSheetId="38">#REF!</definedName>
    <definedName name="nd">#REF!</definedName>
    <definedName name="NetHOC" localSheetId="3">#REF!</definedName>
    <definedName name="NetHOC" localSheetId="7">#REF!</definedName>
    <definedName name="NetHOC" localSheetId="9">#REF!</definedName>
    <definedName name="NetHOC" localSheetId="10">#REF!</definedName>
    <definedName name="NetHOC" localSheetId="15">#REF!</definedName>
    <definedName name="NetHOC" localSheetId="19">#REF!</definedName>
    <definedName name="NetHOC" localSheetId="20">#REF!</definedName>
    <definedName name="NetHOC" localSheetId="24">#REF!</definedName>
    <definedName name="NetHOC" localSheetId="104">#REF!</definedName>
    <definedName name="NetHOC" localSheetId="65">#REF!</definedName>
    <definedName name="NetHOC" localSheetId="64">#REF!</definedName>
    <definedName name="NetHOC" localSheetId="77">#REF!</definedName>
    <definedName name="NetHOC" localSheetId="49">#REF!</definedName>
    <definedName name="NetHOC" localSheetId="40">#REF!</definedName>
    <definedName name="NetHOC" localSheetId="43">#REF!</definedName>
    <definedName name="NetHOC" localSheetId="13">#REF!</definedName>
    <definedName name="NetHOC" localSheetId="38">#REF!</definedName>
    <definedName name="NetHOC">#REF!</definedName>
    <definedName name="nettank1" localSheetId="3">#REF!</definedName>
    <definedName name="nettank1" localSheetId="7">#REF!</definedName>
    <definedName name="nettank1" localSheetId="9">#REF!</definedName>
    <definedName name="nettank1" localSheetId="10">#REF!</definedName>
    <definedName name="nettank1" localSheetId="15">#REF!</definedName>
    <definedName name="nettank1" localSheetId="19">#REF!</definedName>
    <definedName name="nettank1" localSheetId="20">#REF!</definedName>
    <definedName name="nettank1" localSheetId="24">#REF!</definedName>
    <definedName name="nettank1" localSheetId="104">#REF!</definedName>
    <definedName name="nettank1" localSheetId="65">#REF!</definedName>
    <definedName name="nettank1" localSheetId="64">#REF!</definedName>
    <definedName name="nettank1" localSheetId="77">#REF!</definedName>
    <definedName name="nettank1" localSheetId="49">#REF!</definedName>
    <definedName name="nettank1" localSheetId="40">#REF!</definedName>
    <definedName name="nettank1" localSheetId="43">#REF!</definedName>
    <definedName name="nettank1" localSheetId="13">#REF!</definedName>
    <definedName name="nettank1" localSheetId="38">#REF!</definedName>
    <definedName name="nettank1">#REF!</definedName>
    <definedName name="newData" localSheetId="3">#REF!</definedName>
    <definedName name="newData" localSheetId="7">#REF!</definedName>
    <definedName name="newData" localSheetId="9">#REF!</definedName>
    <definedName name="newData" localSheetId="10">#REF!</definedName>
    <definedName name="newData" localSheetId="15">#REF!</definedName>
    <definedName name="newData" localSheetId="19">#REF!</definedName>
    <definedName name="newData" localSheetId="20">#REF!</definedName>
    <definedName name="newData" localSheetId="24">#REF!</definedName>
    <definedName name="newData" localSheetId="104">#REF!</definedName>
    <definedName name="newData" localSheetId="65">#REF!</definedName>
    <definedName name="newData" localSheetId="64">#REF!</definedName>
    <definedName name="newData" localSheetId="77">#REF!</definedName>
    <definedName name="newData" localSheetId="49">#REF!</definedName>
    <definedName name="newData" localSheetId="40">#REF!</definedName>
    <definedName name="newData" localSheetId="43">#REF!</definedName>
    <definedName name="newData" localSheetId="13">#REF!</definedName>
    <definedName name="newData" localSheetId="38">#REF!</definedName>
    <definedName name="newData">#REF!</definedName>
    <definedName name="newname" localSheetId="105" hidden="1">{#N/A,#N/A,FALSE,"Annual Summary";#N/A,#N/A,FALSE,"Hourly Summary";#N/A,#N/A,FALSE,"Flare Combustion";#N/A,#N/A,FALSE,"Shipping";#N/A,#N/A,FALSE,"Process Turnaround";#N/A,#N/A,FALSE,"Lab Samples";#N/A,#N/A,FALSE,"Product Cycles 5-4";#N/A,#N/A,FALSE,"5-4.1";#N/A,#N/A,FALSE,"5-4.2";#N/A,#N/A,FALSE,"Physical Prop Data"}</definedName>
    <definedName name="newname" localSheetId="96" hidden="1">{#N/A,#N/A,FALSE,"Annual Summary";#N/A,#N/A,FALSE,"Hourly Summary";#N/A,#N/A,FALSE,"Flare Combustion";#N/A,#N/A,FALSE,"Shipping";#N/A,#N/A,FALSE,"Process Turnaround";#N/A,#N/A,FALSE,"Lab Samples";#N/A,#N/A,FALSE,"Product Cycles 5-4";#N/A,#N/A,FALSE,"5-4.1";#N/A,#N/A,FALSE,"5-4.2";#N/A,#N/A,FALSE,"Physical Prop Data"}</definedName>
    <definedName name="newname" localSheetId="44" hidden="1">{#N/A,#N/A,FALSE,"Annual Summary";#N/A,#N/A,FALSE,"Hourly Summary";#N/A,#N/A,FALSE,"Flare Combustion";#N/A,#N/A,FALSE,"Shipping";#N/A,#N/A,FALSE,"Process Turnaround";#N/A,#N/A,FALSE,"Lab Samples";#N/A,#N/A,FALSE,"Product Cycles 5-4";#N/A,#N/A,FALSE,"5-4.1";#N/A,#N/A,FALSE,"5-4.2";#N/A,#N/A,FALSE,"Physical Prop Data"}</definedName>
    <definedName name="newname" hidden="1">{#N/A,#N/A,FALSE,"Annual Summary";#N/A,#N/A,FALSE,"Hourly Summary";#N/A,#N/A,FALSE,"Flare Combustion";#N/A,#N/A,FALSE,"Shipping";#N/A,#N/A,FALSE,"Process Turnaround";#N/A,#N/A,FALSE,"Lab Samples";#N/A,#N/A,FALSE,"Product Cycles 5-4";#N/A,#N/A,FALSE,"5-4.1";#N/A,#N/A,FALSE,"5-4.2";#N/A,#N/A,FALSE,"Physical Prop Data"}</definedName>
    <definedName name="newTank" localSheetId="3">#REF!</definedName>
    <definedName name="newTank" localSheetId="7">#REF!</definedName>
    <definedName name="newTank" localSheetId="9">#REF!</definedName>
    <definedName name="newTank" localSheetId="10">#REF!</definedName>
    <definedName name="newTank" localSheetId="15">#REF!</definedName>
    <definedName name="newTank" localSheetId="19">#REF!</definedName>
    <definedName name="newTank" localSheetId="20">#REF!</definedName>
    <definedName name="newTank" localSheetId="24">#REF!</definedName>
    <definedName name="newTank" localSheetId="104">#REF!</definedName>
    <definedName name="newTank" localSheetId="65">#REF!</definedName>
    <definedName name="newTank" localSheetId="64">#REF!</definedName>
    <definedName name="newTank" localSheetId="77">#REF!</definedName>
    <definedName name="newTank" localSheetId="49">#REF!</definedName>
    <definedName name="newTank" localSheetId="40">#REF!</definedName>
    <definedName name="newTank" localSheetId="43">#REF!</definedName>
    <definedName name="newTank" localSheetId="13">#REF!</definedName>
    <definedName name="newTank" localSheetId="38">#REF!</definedName>
    <definedName name="newTank">#REF!</definedName>
    <definedName name="ngheatcontent" localSheetId="3">#REF!</definedName>
    <definedName name="ngheatcontent" localSheetId="7">#REF!</definedName>
    <definedName name="ngheatcontent" localSheetId="9">#REF!</definedName>
    <definedName name="ngheatcontent" localSheetId="10">#REF!</definedName>
    <definedName name="ngheatcontent" localSheetId="15">#REF!</definedName>
    <definedName name="ngheatcontent" localSheetId="19">#REF!</definedName>
    <definedName name="ngheatcontent" localSheetId="20">#REF!</definedName>
    <definedName name="ngheatcontent" localSheetId="24">#REF!</definedName>
    <definedName name="ngheatcontent" localSheetId="104">#REF!</definedName>
    <definedName name="ngheatcontent" localSheetId="65">#REF!</definedName>
    <definedName name="ngheatcontent" localSheetId="64">#REF!</definedName>
    <definedName name="ngheatcontent" localSheetId="77">#REF!</definedName>
    <definedName name="ngheatcontent" localSheetId="49">#REF!</definedName>
    <definedName name="ngheatcontent" localSheetId="40">#REF!</definedName>
    <definedName name="ngheatcontent" localSheetId="43">#REF!</definedName>
    <definedName name="ngheatcontent" localSheetId="13">#REF!</definedName>
    <definedName name="ngheatcontent" localSheetId="38">#REF!</definedName>
    <definedName name="ngheatcontent">#REF!</definedName>
    <definedName name="nnn">[22]Flashing!$F$16</definedName>
    <definedName name="No_6" localSheetId="3">#REF!</definedName>
    <definedName name="No_6" localSheetId="7">#REF!</definedName>
    <definedName name="No_6" localSheetId="9">#REF!</definedName>
    <definedName name="No_6" localSheetId="10">#REF!</definedName>
    <definedName name="No_6" localSheetId="15">#REF!</definedName>
    <definedName name="No_6" localSheetId="19">#REF!</definedName>
    <definedName name="No_6" localSheetId="20">#REF!</definedName>
    <definedName name="No_6" localSheetId="24">#REF!</definedName>
    <definedName name="No_6" localSheetId="104">#REF!</definedName>
    <definedName name="No_6" localSheetId="65">#REF!</definedName>
    <definedName name="No_6" localSheetId="64">#REF!</definedName>
    <definedName name="No_6" localSheetId="77">#REF!</definedName>
    <definedName name="No_6" localSheetId="49">#REF!</definedName>
    <definedName name="No_6" localSheetId="40">#REF!</definedName>
    <definedName name="No_6" localSheetId="43">#REF!</definedName>
    <definedName name="No_6" localSheetId="13">#REF!</definedName>
    <definedName name="No_6" localSheetId="38">#REF!</definedName>
    <definedName name="No_6">#REF!</definedName>
    <definedName name="NonSulfatreatTCS" localSheetId="3">#REF!</definedName>
    <definedName name="NonSulfatreatTCS" localSheetId="7">#REF!</definedName>
    <definedName name="NonSulfatreatTCS" localSheetId="9">#REF!</definedName>
    <definedName name="NonSulfatreatTCS" localSheetId="10">#REF!</definedName>
    <definedName name="NonSulfatreatTCS" localSheetId="15">#REF!</definedName>
    <definedName name="NonSulfatreatTCS" localSheetId="19">#REF!</definedName>
    <definedName name="NonSulfatreatTCS" localSheetId="20">#REF!</definedName>
    <definedName name="NonSulfatreatTCS" localSheetId="24">#REF!</definedName>
    <definedName name="NonSulfatreatTCS" localSheetId="104">#REF!</definedName>
    <definedName name="NonSulfatreatTCS" localSheetId="65">#REF!</definedName>
    <definedName name="NonSulfatreatTCS" localSheetId="64">#REF!</definedName>
    <definedName name="NonSulfatreatTCS" localSheetId="77">#REF!</definedName>
    <definedName name="NonSulfatreatTCS" localSheetId="49">#REF!</definedName>
    <definedName name="NonSulfatreatTCS" localSheetId="48">#REF!</definedName>
    <definedName name="NonSulfatreatTCS" localSheetId="40">#REF!</definedName>
    <definedName name="NonSulfatreatTCS" localSheetId="43">#REF!</definedName>
    <definedName name="NonSulfatreatTCS" localSheetId="13">#REF!</definedName>
    <definedName name="NonSulfatreatTCS" localSheetId="38">#REF!</definedName>
    <definedName name="NonSulfatreatTCS">#REF!</definedName>
    <definedName name="NormalPrintRange" localSheetId="3">#REF!</definedName>
    <definedName name="NormalPrintRange" localSheetId="7">#REF!</definedName>
    <definedName name="NormalPrintRange" localSheetId="9">#REF!</definedName>
    <definedName name="NormalPrintRange" localSheetId="10">#REF!</definedName>
    <definedName name="NormalPrintRange" localSheetId="15">#REF!</definedName>
    <definedName name="NormalPrintRange" localSheetId="19">#REF!</definedName>
    <definedName name="NormalPrintRange" localSheetId="20">#REF!</definedName>
    <definedName name="NormalPrintRange" localSheetId="24">#REF!</definedName>
    <definedName name="NormalPrintRange" localSheetId="104">#REF!</definedName>
    <definedName name="NormalPrintRange" localSheetId="65">#REF!</definedName>
    <definedName name="NormalPrintRange" localSheetId="64">#REF!</definedName>
    <definedName name="NormalPrintRange" localSheetId="77">#REF!</definedName>
    <definedName name="NormalPrintRange" localSheetId="49">#REF!</definedName>
    <definedName name="NormalPrintRange" localSheetId="40">#REF!</definedName>
    <definedName name="NormalPrintRange" localSheetId="43">#REF!</definedName>
    <definedName name="NormalPrintRange" localSheetId="13">#REF!</definedName>
    <definedName name="NormalPrintRange" localSheetId="38">#REF!</definedName>
    <definedName name="NormalPrintRange">#REF!</definedName>
    <definedName name="NOV" localSheetId="3">#REF!</definedName>
    <definedName name="NOV" localSheetId="7">#REF!</definedName>
    <definedName name="NOV" localSheetId="9">#REF!</definedName>
    <definedName name="NOV" localSheetId="10">#REF!</definedName>
    <definedName name="NOV" localSheetId="15">#REF!</definedName>
    <definedName name="NOV" localSheetId="19">#REF!</definedName>
    <definedName name="NOV" localSheetId="20">#REF!</definedName>
    <definedName name="NOV" localSheetId="24">#REF!</definedName>
    <definedName name="NOV" localSheetId="104">#REF!</definedName>
    <definedName name="NOV" localSheetId="65">#REF!</definedName>
    <definedName name="NOV" localSheetId="64">#REF!</definedName>
    <definedName name="NOV" localSheetId="77">#REF!</definedName>
    <definedName name="NOV" localSheetId="49">#REF!</definedName>
    <definedName name="NOV" localSheetId="40">#REF!</definedName>
    <definedName name="NOV" localSheetId="43">#REF!</definedName>
    <definedName name="NOV" localSheetId="13">#REF!</definedName>
    <definedName name="NOV" localSheetId="38">#REF!</definedName>
    <definedName name="NOV">#REF!</definedName>
    <definedName name="NOX" localSheetId="3">'[8]Completion Emissions Tier0'!#REF!</definedName>
    <definedName name="NOX" localSheetId="7">'[8]Completion Emissions Tier0'!#REF!</definedName>
    <definedName name="NOX" localSheetId="9">'[8]Completion Emissions Tier0'!#REF!</definedName>
    <definedName name="NOX" localSheetId="10">'[8]Completion Emissions Tier0'!#REF!</definedName>
    <definedName name="NOX" localSheetId="15">'[8]Completion Emissions Tier0'!#REF!</definedName>
    <definedName name="NOX" localSheetId="19">'[8]Completion Emissions Tier0'!#REF!</definedName>
    <definedName name="NOX" localSheetId="20">'[8]Completion Emissions Tier0'!#REF!</definedName>
    <definedName name="NOX" localSheetId="24">'[8]Completion Emissions Tier0'!#REF!</definedName>
    <definedName name="NOX" localSheetId="104">'[8]Completion Emissions Tier0'!#REF!</definedName>
    <definedName name="NOX" localSheetId="65">'[8]Completion Emissions Tier0'!#REF!</definedName>
    <definedName name="NOX" localSheetId="64">'[8]Completion Emissions Tier0'!#REF!</definedName>
    <definedName name="NOX" localSheetId="77">'[8]Completion Emissions Tier0'!#REF!</definedName>
    <definedName name="NOX" localSheetId="49">'[8]Completion Emissions Tier0'!#REF!</definedName>
    <definedName name="NOX" localSheetId="40">'[8]Completion Emissions Tier0'!#REF!</definedName>
    <definedName name="NOX" localSheetId="43">'[8]Completion Emissions Tier0'!#REF!</definedName>
    <definedName name="NOX" localSheetId="13">'[8]Completion Emissions Tier0'!#REF!</definedName>
    <definedName name="NOX" localSheetId="38">'[8]Completion Emissions Tier0'!#REF!</definedName>
    <definedName name="NOX">'[8]Completion Emissions Tier0'!#REF!</definedName>
    <definedName name="NOx_combustion_factor" localSheetId="3">#REF!</definedName>
    <definedName name="NOx_combustion_factor" localSheetId="7">#REF!</definedName>
    <definedName name="NOx_combustion_factor" localSheetId="9">#REF!</definedName>
    <definedName name="NOx_combustion_factor" localSheetId="10">#REF!</definedName>
    <definedName name="NOx_combustion_factor" localSheetId="15">#REF!</definedName>
    <definedName name="NOx_combustion_factor" localSheetId="19">#REF!</definedName>
    <definedName name="NOx_combustion_factor" localSheetId="20">#REF!</definedName>
    <definedName name="NOx_combustion_factor" localSheetId="24">#REF!</definedName>
    <definedName name="NOx_combustion_factor" localSheetId="104">#REF!</definedName>
    <definedName name="NOx_combustion_factor" localSheetId="65">#REF!</definedName>
    <definedName name="NOx_combustion_factor" localSheetId="64">#REF!</definedName>
    <definedName name="NOx_combustion_factor" localSheetId="77">#REF!</definedName>
    <definedName name="NOx_combustion_factor" localSheetId="49">#REF!</definedName>
    <definedName name="NOx_combustion_factor" localSheetId="40">#REF!</definedName>
    <definedName name="NOx_combustion_factor" localSheetId="43">#REF!</definedName>
    <definedName name="NOx_combustion_factor" localSheetId="13">#REF!</definedName>
    <definedName name="NOx_combustion_factor" localSheetId="38">#REF!</definedName>
    <definedName name="NOx_combustion_factor">#REF!</definedName>
    <definedName name="NOx_combustion_factor_large" localSheetId="3">#REF!</definedName>
    <definedName name="NOx_combustion_factor_large" localSheetId="7">#REF!</definedName>
    <definedName name="NOx_combustion_factor_large" localSheetId="9">#REF!</definedName>
    <definedName name="NOx_combustion_factor_large" localSheetId="10">#REF!</definedName>
    <definedName name="NOx_combustion_factor_large" localSheetId="15">#REF!</definedName>
    <definedName name="NOx_combustion_factor_large" localSheetId="19">#REF!</definedName>
    <definedName name="NOx_combustion_factor_large" localSheetId="20">#REF!</definedName>
    <definedName name="NOx_combustion_factor_large" localSheetId="24">#REF!</definedName>
    <definedName name="NOx_combustion_factor_large" localSheetId="104">#REF!</definedName>
    <definedName name="NOx_combustion_factor_large" localSheetId="65">#REF!</definedName>
    <definedName name="NOx_combustion_factor_large" localSheetId="64">#REF!</definedName>
    <definedName name="NOx_combustion_factor_large" localSheetId="77">#REF!</definedName>
    <definedName name="NOx_combustion_factor_large" localSheetId="49">#REF!</definedName>
    <definedName name="NOx_combustion_factor_large" localSheetId="40">#REF!</definedName>
    <definedName name="NOx_combustion_factor_large" localSheetId="43">#REF!</definedName>
    <definedName name="NOx_combustion_factor_large" localSheetId="13">#REF!</definedName>
    <definedName name="NOx_combustion_factor_large" localSheetId="38">#REF!</definedName>
    <definedName name="NOx_combustion_factor_large">#REF!</definedName>
    <definedName name="noxce" localSheetId="3">#REF!</definedName>
    <definedName name="noxce" localSheetId="7">#REF!</definedName>
    <definedName name="noxce" localSheetId="9">#REF!</definedName>
    <definedName name="noxce" localSheetId="10">#REF!</definedName>
    <definedName name="noxce" localSheetId="15">#REF!</definedName>
    <definedName name="noxce" localSheetId="19">#REF!</definedName>
    <definedName name="noxce" localSheetId="20">#REF!</definedName>
    <definedName name="noxce" localSheetId="24">#REF!</definedName>
    <definedName name="noxce" localSheetId="104">#REF!</definedName>
    <definedName name="noxce" localSheetId="65">#REF!</definedName>
    <definedName name="noxce" localSheetId="64">#REF!</definedName>
    <definedName name="noxce" localSheetId="77">#REF!</definedName>
    <definedName name="noxce" localSheetId="49">#REF!</definedName>
    <definedName name="noxce" localSheetId="40">#REF!</definedName>
    <definedName name="noxce" localSheetId="43">#REF!</definedName>
    <definedName name="noxce" localSheetId="13">#REF!</definedName>
    <definedName name="noxce" localSheetId="38">#REF!</definedName>
    <definedName name="noxce">#REF!</definedName>
    <definedName name="NOXEF" localSheetId="3">#REF!</definedName>
    <definedName name="NOXEF" localSheetId="7">#REF!</definedName>
    <definedName name="NOXEF" localSheetId="9">#REF!</definedName>
    <definedName name="NOXEF" localSheetId="10">#REF!</definedName>
    <definedName name="NOXEF" localSheetId="15">#REF!</definedName>
    <definedName name="NOXEF" localSheetId="19">#REF!</definedName>
    <definedName name="NOXEF" localSheetId="20">#REF!</definedName>
    <definedName name="NOXEF" localSheetId="24">#REF!</definedName>
    <definedName name="NOXEF" localSheetId="104">#REF!</definedName>
    <definedName name="NOXEF" localSheetId="65">#REF!</definedName>
    <definedName name="NOXEF" localSheetId="64">#REF!</definedName>
    <definedName name="NOXEF" localSheetId="77">#REF!</definedName>
    <definedName name="NOXEF" localSheetId="49">#REF!</definedName>
    <definedName name="NOXEF" localSheetId="40">#REF!</definedName>
    <definedName name="NOXEF" localSheetId="43">#REF!</definedName>
    <definedName name="NOXEF" localSheetId="13">#REF!</definedName>
    <definedName name="NOXEF" localSheetId="38">#REF!</definedName>
    <definedName name="NOXEF">#REF!</definedName>
    <definedName name="NOxFactor" localSheetId="3">#REF!</definedName>
    <definedName name="NOxFactor" localSheetId="7">#REF!</definedName>
    <definedName name="NOxFactor" localSheetId="9">#REF!</definedName>
    <definedName name="NOxFactor" localSheetId="10">#REF!</definedName>
    <definedName name="NOxFactor" localSheetId="15">#REF!</definedName>
    <definedName name="NOxFactor" localSheetId="19">#REF!</definedName>
    <definedName name="NOxFactor" localSheetId="20">#REF!</definedName>
    <definedName name="NOxFactor" localSheetId="24">#REF!</definedName>
    <definedName name="NOxFactor" localSheetId="104">#REF!</definedName>
    <definedName name="NOxFactor" localSheetId="65">#REF!</definedName>
    <definedName name="NOxFactor" localSheetId="64">#REF!</definedName>
    <definedName name="NOxFactor" localSheetId="77">#REF!</definedName>
    <definedName name="NOxFactor" localSheetId="49">#REF!</definedName>
    <definedName name="NOxFactor" localSheetId="40">#REF!</definedName>
    <definedName name="NOxFactor" localSheetId="43">#REF!</definedName>
    <definedName name="NOxFactor" localSheetId="13">#REF!</definedName>
    <definedName name="NOxFactor" localSheetId="38">#REF!</definedName>
    <definedName name="NOxFactor">#REF!</definedName>
    <definedName name="noxrate" localSheetId="3">#REF!</definedName>
    <definedName name="noxrate" localSheetId="7">#REF!</definedName>
    <definedName name="noxrate" localSheetId="9">#REF!</definedName>
    <definedName name="noxrate" localSheetId="10">#REF!</definedName>
    <definedName name="noxrate" localSheetId="15">#REF!</definedName>
    <definedName name="noxrate" localSheetId="19">#REF!</definedName>
    <definedName name="noxrate" localSheetId="20">#REF!</definedName>
    <definedName name="noxrate" localSheetId="24">#REF!</definedName>
    <definedName name="noxrate" localSheetId="104">#REF!</definedName>
    <definedName name="noxrate" localSheetId="65">#REF!</definedName>
    <definedName name="noxrate" localSheetId="64">#REF!</definedName>
    <definedName name="noxrate" localSheetId="77">#REF!</definedName>
    <definedName name="noxrate" localSheetId="49">#REF!</definedName>
    <definedName name="noxrate" localSheetId="40">#REF!</definedName>
    <definedName name="noxrate" localSheetId="43">#REF!</definedName>
    <definedName name="noxrate" localSheetId="13">#REF!</definedName>
    <definedName name="noxrate" localSheetId="38">#REF!</definedName>
    <definedName name="noxrate">#REF!</definedName>
    <definedName name="NSRUIncin" localSheetId="3">'[7]Operational Basis'!#REF!</definedName>
    <definedName name="NSRUIncin" localSheetId="7">'[7]Operational Basis'!#REF!</definedName>
    <definedName name="NSRUIncin" localSheetId="9">'[7]Operational Basis'!#REF!</definedName>
    <definedName name="NSRUIncin" localSheetId="10">'[7]Operational Basis'!#REF!</definedName>
    <definedName name="NSRUIncin" localSheetId="15">'[7]Operational Basis'!#REF!</definedName>
    <definedName name="NSRUIncin" localSheetId="19">'[7]Operational Basis'!#REF!</definedName>
    <definedName name="NSRUIncin" localSheetId="20">'[7]Operational Basis'!#REF!</definedName>
    <definedName name="NSRUIncin" localSheetId="24">'[7]Operational Basis'!#REF!</definedName>
    <definedName name="NSRUIncin" localSheetId="104">'[7]Operational Basis'!#REF!</definedName>
    <definedName name="NSRUIncin" localSheetId="65">'[7]Operational Basis'!#REF!</definedName>
    <definedName name="NSRUIncin" localSheetId="64">'[7]Operational Basis'!#REF!</definedName>
    <definedName name="NSRUIncin" localSheetId="77">'[7]Operational Basis'!#REF!</definedName>
    <definedName name="NSRUIncin" localSheetId="49">'[7]Operational Basis'!#REF!</definedName>
    <definedName name="NSRUIncin" localSheetId="40">'[7]Operational Basis'!#REF!</definedName>
    <definedName name="NSRUIncin" localSheetId="43">'[7]Operational Basis'!#REF!</definedName>
    <definedName name="NSRUIncin" localSheetId="13">'[7]Operational Basis'!#REF!</definedName>
    <definedName name="NSRUIncin" localSheetId="38">'[7]Operational Basis'!#REF!</definedName>
    <definedName name="NSRUIncin">'[7]Operational Basis'!#REF!</definedName>
    <definedName name="NSulfur" localSheetId="3">#REF!</definedName>
    <definedName name="NSulfur" localSheetId="7">#REF!</definedName>
    <definedName name="NSulfur" localSheetId="9">#REF!</definedName>
    <definedName name="NSulfur" localSheetId="10">#REF!</definedName>
    <definedName name="NSulfur" localSheetId="15">#REF!</definedName>
    <definedName name="NSulfur" localSheetId="19">#REF!</definedName>
    <definedName name="NSulfur" localSheetId="20">#REF!</definedName>
    <definedName name="NSulfur" localSheetId="24">#REF!</definedName>
    <definedName name="NSulfur" localSheetId="104">#REF!</definedName>
    <definedName name="NSulfur" localSheetId="65">#REF!</definedName>
    <definedName name="NSulfur" localSheetId="64">#REF!</definedName>
    <definedName name="NSulfur" localSheetId="77">#REF!</definedName>
    <definedName name="NSulfur" localSheetId="49">#REF!</definedName>
    <definedName name="NSulfur" localSheetId="40">#REF!</definedName>
    <definedName name="NSulfur" localSheetId="43">#REF!</definedName>
    <definedName name="NSulfur" localSheetId="13">#REF!</definedName>
    <definedName name="NSulfur" localSheetId="38">#REF!</definedName>
    <definedName name="NSulfur">#REF!</definedName>
    <definedName name="NT" localSheetId="3">#REF!</definedName>
    <definedName name="NT" localSheetId="7">#REF!</definedName>
    <definedName name="NT" localSheetId="9">#REF!</definedName>
    <definedName name="NT" localSheetId="10">#REF!</definedName>
    <definedName name="NT" localSheetId="15">#REF!</definedName>
    <definedName name="NT" localSheetId="19">#REF!</definedName>
    <definedName name="NT" localSheetId="20">#REF!</definedName>
    <definedName name="NT" localSheetId="24">#REF!</definedName>
    <definedName name="NT" localSheetId="104">#REF!</definedName>
    <definedName name="NT" localSheetId="65">#REF!</definedName>
    <definedName name="NT" localSheetId="64">#REF!</definedName>
    <definedName name="NT" localSheetId="77">#REF!</definedName>
    <definedName name="NT" localSheetId="49">#REF!</definedName>
    <definedName name="NT" localSheetId="40">#REF!</definedName>
    <definedName name="NT" localSheetId="43">#REF!</definedName>
    <definedName name="NT" localSheetId="13">#REF!</definedName>
    <definedName name="NT" localSheetId="38">#REF!</definedName>
    <definedName name="NT">#REF!</definedName>
    <definedName name="O2conc" localSheetId="3">#REF!</definedName>
    <definedName name="O2conc" localSheetId="7">#REF!</definedName>
    <definedName name="O2conc" localSheetId="9">#REF!</definedName>
    <definedName name="O2conc" localSheetId="10">#REF!</definedName>
    <definedName name="O2conc" localSheetId="15">#REF!</definedName>
    <definedName name="O2conc" localSheetId="19">#REF!</definedName>
    <definedName name="O2conc" localSheetId="20">#REF!</definedName>
    <definedName name="O2conc" localSheetId="24">#REF!</definedName>
    <definedName name="O2conc" localSheetId="104">#REF!</definedName>
    <definedName name="O2conc" localSheetId="65">#REF!</definedName>
    <definedName name="O2conc" localSheetId="64">#REF!</definedName>
    <definedName name="O2conc" localSheetId="77">#REF!</definedName>
    <definedName name="O2conc" localSheetId="49">#REF!</definedName>
    <definedName name="O2conc" localSheetId="40">#REF!</definedName>
    <definedName name="O2conc" localSheetId="43">#REF!</definedName>
    <definedName name="O2conc" localSheetId="13">#REF!</definedName>
    <definedName name="O2conc" localSheetId="38">#REF!</definedName>
    <definedName name="O2conc">#REF!</definedName>
    <definedName name="OCT" localSheetId="3">#REF!</definedName>
    <definedName name="OCT" localSheetId="7">#REF!</definedName>
    <definedName name="OCT" localSheetId="9">#REF!</definedName>
    <definedName name="OCT" localSheetId="10">#REF!</definedName>
    <definedName name="OCT" localSheetId="15">#REF!</definedName>
    <definedName name="OCT" localSheetId="19">#REF!</definedName>
    <definedName name="OCT" localSheetId="20">#REF!</definedName>
    <definedName name="OCT" localSheetId="24">#REF!</definedName>
    <definedName name="OCT" localSheetId="104">#REF!</definedName>
    <definedName name="OCT" localSheetId="65">#REF!</definedName>
    <definedName name="OCT" localSheetId="64">#REF!</definedName>
    <definedName name="OCT" localSheetId="77">#REF!</definedName>
    <definedName name="OCT" localSheetId="49">#REF!</definedName>
    <definedName name="OCT" localSheetId="40">#REF!</definedName>
    <definedName name="OCT" localSheetId="43">#REF!</definedName>
    <definedName name="OCT" localSheetId="13">#REF!</definedName>
    <definedName name="OCT" localSheetId="38">#REF!</definedName>
    <definedName name="OCT">#REF!</definedName>
    <definedName name="ODER_" localSheetId="3">#REF!</definedName>
    <definedName name="ODER_" localSheetId="7">#REF!</definedName>
    <definedName name="ODER_" localSheetId="9">#REF!</definedName>
    <definedName name="ODER_" localSheetId="10">#REF!</definedName>
    <definedName name="ODER_" localSheetId="15">#REF!</definedName>
    <definedName name="ODER_" localSheetId="19">#REF!</definedName>
    <definedName name="ODER_" localSheetId="20">#REF!</definedName>
    <definedName name="ODER_" localSheetId="24">#REF!</definedName>
    <definedName name="ODER_" localSheetId="104">#REF!</definedName>
    <definedName name="ODER_" localSheetId="65">#REF!</definedName>
    <definedName name="ODER_" localSheetId="64">#REF!</definedName>
    <definedName name="ODER_" localSheetId="77">#REF!</definedName>
    <definedName name="ODER_" localSheetId="49">#REF!</definedName>
    <definedName name="ODER_" localSheetId="40">#REF!</definedName>
    <definedName name="ODER_" localSheetId="43">#REF!</definedName>
    <definedName name="ODER_" localSheetId="13">#REF!</definedName>
    <definedName name="ODER_" localSheetId="38">#REF!</definedName>
    <definedName name="ODER_">#REF!</definedName>
    <definedName name="Oil" localSheetId="3">#REF!</definedName>
    <definedName name="Oil" localSheetId="7">#REF!</definedName>
    <definedName name="Oil" localSheetId="9">#REF!</definedName>
    <definedName name="Oil" localSheetId="10">#REF!</definedName>
    <definedName name="Oil" localSheetId="15">#REF!</definedName>
    <definedName name="Oil" localSheetId="19">#REF!</definedName>
    <definedName name="Oil" localSheetId="20">#REF!</definedName>
    <definedName name="Oil" localSheetId="24">#REF!</definedName>
    <definedName name="Oil" localSheetId="104">#REF!</definedName>
    <definedName name="Oil" localSheetId="65">#REF!</definedName>
    <definedName name="Oil" localSheetId="64">#REF!</definedName>
    <definedName name="Oil" localSheetId="77">#REF!</definedName>
    <definedName name="Oil" localSheetId="49">#REF!</definedName>
    <definedName name="Oil" localSheetId="40">#REF!</definedName>
    <definedName name="Oil" localSheetId="43">#REF!</definedName>
    <definedName name="Oil" localSheetId="13">#REF!</definedName>
    <definedName name="Oil" localSheetId="38">#REF!</definedName>
    <definedName name="Oil">#REF!</definedName>
    <definedName name="Oil_Sales_Method">'[18]Drop Down Lists'!$A$22:$A$23</definedName>
    <definedName name="Old" localSheetId="3">#REF!</definedName>
    <definedName name="Old" localSheetId="7">#REF!</definedName>
    <definedName name="Old" localSheetId="9">#REF!</definedName>
    <definedName name="Old" localSheetId="10">#REF!</definedName>
    <definedName name="Old" localSheetId="15">#REF!</definedName>
    <definedName name="Old" localSheetId="19">#REF!</definedName>
    <definedName name="Old" localSheetId="20">#REF!</definedName>
    <definedName name="Old" localSheetId="24">#REF!</definedName>
    <definedName name="Old" localSheetId="104">#REF!</definedName>
    <definedName name="Old" localSheetId="65">#REF!</definedName>
    <definedName name="Old" localSheetId="64">#REF!</definedName>
    <definedName name="Old" localSheetId="77">#REF!</definedName>
    <definedName name="Old" localSheetId="49">#REF!</definedName>
    <definedName name="Old" localSheetId="40">#REF!</definedName>
    <definedName name="Old" localSheetId="43">#REF!</definedName>
    <definedName name="Old" localSheetId="13">#REF!</definedName>
    <definedName name="Old" localSheetId="38">#REF!</definedName>
    <definedName name="Old">#REF!</definedName>
    <definedName name="one" localSheetId="3">#REF!</definedName>
    <definedName name="one" localSheetId="7">#REF!</definedName>
    <definedName name="one" localSheetId="9">#REF!</definedName>
    <definedName name="one" localSheetId="10">#REF!</definedName>
    <definedName name="one" localSheetId="15">#REF!</definedName>
    <definedName name="one" localSheetId="19">#REF!</definedName>
    <definedName name="one" localSheetId="20">#REF!</definedName>
    <definedName name="one" localSheetId="24">#REF!</definedName>
    <definedName name="one" localSheetId="104">#REF!</definedName>
    <definedName name="one" localSheetId="65">#REF!</definedName>
    <definedName name="one" localSheetId="64">#REF!</definedName>
    <definedName name="one" localSheetId="77">#REF!</definedName>
    <definedName name="one" localSheetId="49">#REF!</definedName>
    <definedName name="one" localSheetId="40">#REF!</definedName>
    <definedName name="one" localSheetId="43">#REF!</definedName>
    <definedName name="one" localSheetId="13">#REF!</definedName>
    <definedName name="one" localSheetId="38">#REF!</definedName>
    <definedName name="one">#REF!</definedName>
    <definedName name="Operating_Days" localSheetId="3">#REF!</definedName>
    <definedName name="Operating_Days" localSheetId="7">#REF!</definedName>
    <definedName name="Operating_Days" localSheetId="9">#REF!</definedName>
    <definedName name="Operating_Days" localSheetId="10">#REF!</definedName>
    <definedName name="Operating_Days" localSheetId="15">#REF!</definedName>
    <definedName name="Operating_Days" localSheetId="19">#REF!</definedName>
    <definedName name="Operating_Days" localSheetId="20">#REF!</definedName>
    <definedName name="Operating_Days" localSheetId="24">#REF!</definedName>
    <definedName name="Operating_Days" localSheetId="104">#REF!</definedName>
    <definedName name="Operating_Days" localSheetId="65">#REF!</definedName>
    <definedName name="Operating_Days" localSheetId="64">#REF!</definedName>
    <definedName name="Operating_Days" localSheetId="77">#REF!</definedName>
    <definedName name="Operating_Days" localSheetId="49">#REF!</definedName>
    <definedName name="Operating_Days" localSheetId="40">#REF!</definedName>
    <definedName name="Operating_Days" localSheetId="43">#REF!</definedName>
    <definedName name="Operating_Days" localSheetId="13">#REF!</definedName>
    <definedName name="Operating_Days" localSheetId="38">#REF!</definedName>
    <definedName name="Operating_Days">#REF!</definedName>
    <definedName name="OperatingHrs" localSheetId="3">#REF!</definedName>
    <definedName name="OperatingHrs" localSheetId="7">#REF!</definedName>
    <definedName name="OperatingHrs" localSheetId="9">#REF!</definedName>
    <definedName name="OperatingHrs" localSheetId="10">#REF!</definedName>
    <definedName name="OperatingHrs" localSheetId="15">#REF!</definedName>
    <definedName name="OperatingHrs" localSheetId="19">#REF!</definedName>
    <definedName name="OperatingHrs" localSheetId="20">#REF!</definedName>
    <definedName name="OperatingHrs" localSheetId="24">#REF!</definedName>
    <definedName name="OperatingHrs" localSheetId="104">#REF!</definedName>
    <definedName name="OperatingHrs" localSheetId="65">#REF!</definedName>
    <definedName name="OperatingHrs" localSheetId="64">#REF!</definedName>
    <definedName name="OperatingHrs" localSheetId="77">#REF!</definedName>
    <definedName name="OperatingHrs" localSheetId="49">#REF!</definedName>
    <definedName name="OperatingHrs" localSheetId="40">#REF!</definedName>
    <definedName name="OperatingHrs" localSheetId="43">#REF!</definedName>
    <definedName name="OperatingHrs" localSheetId="13">#REF!</definedName>
    <definedName name="OperatingHrs" localSheetId="38">#REF!</definedName>
    <definedName name="OperatingHrs">#REF!</definedName>
    <definedName name="OPNM1" localSheetId="3">#REF!</definedName>
    <definedName name="OPNM1" localSheetId="7">#REF!</definedName>
    <definedName name="OPNM1" localSheetId="9">#REF!</definedName>
    <definedName name="OPNM1" localSheetId="10">#REF!</definedName>
    <definedName name="OPNM1" localSheetId="15">#REF!</definedName>
    <definedName name="OPNM1" localSheetId="19">#REF!</definedName>
    <definedName name="OPNM1" localSheetId="20">#REF!</definedName>
    <definedName name="OPNM1" localSheetId="24">#REF!</definedName>
    <definedName name="OPNM1" localSheetId="104">#REF!</definedName>
    <definedName name="OPNM1" localSheetId="65">#REF!</definedName>
    <definedName name="OPNM1" localSheetId="64">#REF!</definedName>
    <definedName name="OPNM1" localSheetId="77">#REF!</definedName>
    <definedName name="OPNM1" localSheetId="49">#REF!</definedName>
    <definedName name="OPNM1" localSheetId="40">#REF!</definedName>
    <definedName name="OPNM1" localSheetId="43">#REF!</definedName>
    <definedName name="OPNM1" localSheetId="13">#REF!</definedName>
    <definedName name="OPNM1" localSheetId="38">#REF!</definedName>
    <definedName name="OPNM1">#REF!</definedName>
    <definedName name="OPNM10" localSheetId="3">#REF!</definedName>
    <definedName name="OPNM10" localSheetId="7">#REF!</definedName>
    <definedName name="OPNM10" localSheetId="9">#REF!</definedName>
    <definedName name="OPNM10" localSheetId="10">#REF!</definedName>
    <definedName name="OPNM10" localSheetId="15">#REF!</definedName>
    <definedName name="OPNM10" localSheetId="19">#REF!</definedName>
    <definedName name="OPNM10" localSheetId="20">#REF!</definedName>
    <definedName name="OPNM10" localSheetId="24">#REF!</definedName>
    <definedName name="OPNM10" localSheetId="104">#REF!</definedName>
    <definedName name="OPNM10" localSheetId="65">#REF!</definedName>
    <definedName name="OPNM10" localSheetId="64">#REF!</definedName>
    <definedName name="OPNM10" localSheetId="77">#REF!</definedName>
    <definedName name="OPNM10" localSheetId="49">#REF!</definedName>
    <definedName name="OPNM10" localSheetId="40">#REF!</definedName>
    <definedName name="OPNM10" localSheetId="43">#REF!</definedName>
    <definedName name="OPNM10" localSheetId="13">#REF!</definedName>
    <definedName name="OPNM10" localSheetId="38">#REF!</definedName>
    <definedName name="OPNM10">#REF!</definedName>
    <definedName name="OPNM11" localSheetId="3">#REF!</definedName>
    <definedName name="OPNM11" localSheetId="7">#REF!</definedName>
    <definedName name="OPNM11" localSheetId="9">#REF!</definedName>
    <definedName name="OPNM11" localSheetId="10">#REF!</definedName>
    <definedName name="OPNM11" localSheetId="15">#REF!</definedName>
    <definedName name="OPNM11" localSheetId="19">#REF!</definedName>
    <definedName name="OPNM11" localSheetId="20">#REF!</definedName>
    <definedName name="OPNM11" localSheetId="24">#REF!</definedName>
    <definedName name="OPNM11" localSheetId="104">#REF!</definedName>
    <definedName name="OPNM11" localSheetId="65">#REF!</definedName>
    <definedName name="OPNM11" localSheetId="64">#REF!</definedName>
    <definedName name="OPNM11" localSheetId="77">#REF!</definedName>
    <definedName name="OPNM11" localSheetId="49">#REF!</definedName>
    <definedName name="OPNM11" localSheetId="40">#REF!</definedName>
    <definedName name="OPNM11" localSheetId="43">#REF!</definedName>
    <definedName name="OPNM11" localSheetId="13">#REF!</definedName>
    <definedName name="OPNM11" localSheetId="38">#REF!</definedName>
    <definedName name="OPNM11">#REF!</definedName>
    <definedName name="OPNM12" localSheetId="3">#REF!</definedName>
    <definedName name="OPNM12" localSheetId="7">#REF!</definedName>
    <definedName name="OPNM12" localSheetId="9">#REF!</definedName>
    <definedName name="OPNM12" localSheetId="10">#REF!</definedName>
    <definedName name="OPNM12" localSheetId="15">#REF!</definedName>
    <definedName name="OPNM12" localSheetId="19">#REF!</definedName>
    <definedName name="OPNM12" localSheetId="20">#REF!</definedName>
    <definedName name="OPNM12" localSheetId="24">#REF!</definedName>
    <definedName name="OPNM12" localSheetId="104">#REF!</definedName>
    <definedName name="OPNM12" localSheetId="65">#REF!</definedName>
    <definedName name="OPNM12" localSheetId="64">#REF!</definedName>
    <definedName name="OPNM12" localSheetId="77">#REF!</definedName>
    <definedName name="OPNM12" localSheetId="49">#REF!</definedName>
    <definedName name="OPNM12" localSheetId="40">#REF!</definedName>
    <definedName name="OPNM12" localSheetId="43">#REF!</definedName>
    <definedName name="OPNM12" localSheetId="13">#REF!</definedName>
    <definedName name="OPNM12" localSheetId="38">#REF!</definedName>
    <definedName name="OPNM12">#REF!</definedName>
    <definedName name="OPNM13" localSheetId="3">#REF!</definedName>
    <definedName name="OPNM13" localSheetId="7">#REF!</definedName>
    <definedName name="OPNM13" localSheetId="9">#REF!</definedName>
    <definedName name="OPNM13" localSheetId="10">#REF!</definedName>
    <definedName name="OPNM13" localSheetId="15">#REF!</definedName>
    <definedName name="OPNM13" localSheetId="19">#REF!</definedName>
    <definedName name="OPNM13" localSheetId="20">#REF!</definedName>
    <definedName name="OPNM13" localSheetId="24">#REF!</definedName>
    <definedName name="OPNM13" localSheetId="104">#REF!</definedName>
    <definedName name="OPNM13" localSheetId="65">#REF!</definedName>
    <definedName name="OPNM13" localSheetId="64">#REF!</definedName>
    <definedName name="OPNM13" localSheetId="77">#REF!</definedName>
    <definedName name="OPNM13" localSheetId="49">#REF!</definedName>
    <definedName name="OPNM13" localSheetId="40">#REF!</definedName>
    <definedName name="OPNM13" localSheetId="43">#REF!</definedName>
    <definedName name="OPNM13" localSheetId="13">#REF!</definedName>
    <definedName name="OPNM13" localSheetId="38">#REF!</definedName>
    <definedName name="OPNM13">#REF!</definedName>
    <definedName name="OPNM14" localSheetId="3">#REF!</definedName>
    <definedName name="OPNM14" localSheetId="7">#REF!</definedName>
    <definedName name="OPNM14" localSheetId="9">#REF!</definedName>
    <definedName name="OPNM14" localSheetId="10">#REF!</definedName>
    <definedName name="OPNM14" localSheetId="15">#REF!</definedName>
    <definedName name="OPNM14" localSheetId="19">#REF!</definedName>
    <definedName name="OPNM14" localSheetId="20">#REF!</definedName>
    <definedName name="OPNM14" localSheetId="24">#REF!</definedName>
    <definedName name="OPNM14" localSheetId="104">#REF!</definedName>
    <definedName name="OPNM14" localSheetId="65">#REF!</definedName>
    <definedName name="OPNM14" localSheetId="64">#REF!</definedName>
    <definedName name="OPNM14" localSheetId="77">#REF!</definedName>
    <definedName name="OPNM14" localSheetId="49">#REF!</definedName>
    <definedName name="OPNM14" localSheetId="40">#REF!</definedName>
    <definedName name="OPNM14" localSheetId="43">#REF!</definedName>
    <definedName name="OPNM14" localSheetId="13">#REF!</definedName>
    <definedName name="OPNM14" localSheetId="38">#REF!</definedName>
    <definedName name="OPNM14">#REF!</definedName>
    <definedName name="OPNM15" localSheetId="3">#REF!</definedName>
    <definedName name="OPNM15" localSheetId="7">#REF!</definedName>
    <definedName name="OPNM15" localSheetId="9">#REF!</definedName>
    <definedName name="OPNM15" localSheetId="10">#REF!</definedName>
    <definedName name="OPNM15" localSheetId="15">#REF!</definedName>
    <definedName name="OPNM15" localSheetId="19">#REF!</definedName>
    <definedName name="OPNM15" localSheetId="20">#REF!</definedName>
    <definedName name="OPNM15" localSheetId="24">#REF!</definedName>
    <definedName name="OPNM15" localSheetId="104">#REF!</definedName>
    <definedName name="OPNM15" localSheetId="65">#REF!</definedName>
    <definedName name="OPNM15" localSheetId="64">#REF!</definedName>
    <definedName name="OPNM15" localSheetId="77">#REF!</definedName>
    <definedName name="OPNM15" localSheetId="49">#REF!</definedName>
    <definedName name="OPNM15" localSheetId="40">#REF!</definedName>
    <definedName name="OPNM15" localSheetId="43">#REF!</definedName>
    <definedName name="OPNM15" localSheetId="13">#REF!</definedName>
    <definedName name="OPNM15" localSheetId="38">#REF!</definedName>
    <definedName name="OPNM15">#REF!</definedName>
    <definedName name="OPNM2" localSheetId="3">#REF!</definedName>
    <definedName name="OPNM2" localSheetId="7">#REF!</definedName>
    <definedName name="OPNM2" localSheetId="9">#REF!</definedName>
    <definedName name="OPNM2" localSheetId="10">#REF!</definedName>
    <definedName name="OPNM2" localSheetId="15">#REF!</definedName>
    <definedName name="OPNM2" localSheetId="19">#REF!</definedName>
    <definedName name="OPNM2" localSheetId="20">#REF!</definedName>
    <definedName name="OPNM2" localSheetId="24">#REF!</definedName>
    <definedName name="OPNM2" localSheetId="104">#REF!</definedName>
    <definedName name="OPNM2" localSheetId="65">#REF!</definedName>
    <definedName name="OPNM2" localSheetId="64">#REF!</definedName>
    <definedName name="OPNM2" localSheetId="77">#REF!</definedName>
    <definedName name="OPNM2" localSheetId="49">#REF!</definedName>
    <definedName name="OPNM2" localSheetId="40">#REF!</definedName>
    <definedName name="OPNM2" localSheetId="43">#REF!</definedName>
    <definedName name="OPNM2" localSheetId="13">#REF!</definedName>
    <definedName name="OPNM2" localSheetId="38">#REF!</definedName>
    <definedName name="OPNM2">#REF!</definedName>
    <definedName name="OPNM3" localSheetId="3">#REF!</definedName>
    <definedName name="OPNM3" localSheetId="7">#REF!</definedName>
    <definedName name="OPNM3" localSheetId="9">#REF!</definedName>
    <definedName name="OPNM3" localSheetId="10">#REF!</definedName>
    <definedName name="OPNM3" localSheetId="15">#REF!</definedName>
    <definedName name="OPNM3" localSheetId="19">#REF!</definedName>
    <definedName name="OPNM3" localSheetId="20">#REF!</definedName>
    <definedName name="OPNM3" localSheetId="24">#REF!</definedName>
    <definedName name="OPNM3" localSheetId="104">#REF!</definedName>
    <definedName name="OPNM3" localSheetId="65">#REF!</definedName>
    <definedName name="OPNM3" localSheetId="64">#REF!</definedName>
    <definedName name="OPNM3" localSheetId="77">#REF!</definedName>
    <definedName name="OPNM3" localSheetId="49">#REF!</definedName>
    <definedName name="OPNM3" localSheetId="40">#REF!</definedName>
    <definedName name="OPNM3" localSheetId="43">#REF!</definedName>
    <definedName name="OPNM3" localSheetId="13">#REF!</definedName>
    <definedName name="OPNM3" localSheetId="38">#REF!</definedName>
    <definedName name="OPNM3">#REF!</definedName>
    <definedName name="OPNM4" localSheetId="3">#REF!</definedName>
    <definedName name="OPNM4" localSheetId="7">#REF!</definedName>
    <definedName name="OPNM4" localSheetId="9">#REF!</definedName>
    <definedName name="OPNM4" localSheetId="10">#REF!</definedName>
    <definedName name="OPNM4" localSheetId="15">#REF!</definedName>
    <definedName name="OPNM4" localSheetId="19">#REF!</definedName>
    <definedName name="OPNM4" localSheetId="20">#REF!</definedName>
    <definedName name="OPNM4" localSheetId="24">#REF!</definedName>
    <definedName name="OPNM4" localSheetId="104">#REF!</definedName>
    <definedName name="OPNM4" localSheetId="65">#REF!</definedName>
    <definedName name="OPNM4" localSheetId="64">#REF!</definedName>
    <definedName name="OPNM4" localSheetId="77">#REF!</definedName>
    <definedName name="OPNM4" localSheetId="49">#REF!</definedName>
    <definedName name="OPNM4" localSheetId="40">#REF!</definedName>
    <definedName name="OPNM4" localSheetId="43">#REF!</definedName>
    <definedName name="OPNM4" localSheetId="13">#REF!</definedName>
    <definedName name="OPNM4" localSheetId="38">#REF!</definedName>
    <definedName name="OPNM4">#REF!</definedName>
    <definedName name="OPNM5" localSheetId="3">#REF!</definedName>
    <definedName name="OPNM5" localSheetId="7">#REF!</definedName>
    <definedName name="OPNM5" localSheetId="9">#REF!</definedName>
    <definedName name="OPNM5" localSheetId="10">#REF!</definedName>
    <definedName name="OPNM5" localSheetId="15">#REF!</definedName>
    <definedName name="OPNM5" localSheetId="19">#REF!</definedName>
    <definedName name="OPNM5" localSheetId="20">#REF!</definedName>
    <definedName name="OPNM5" localSheetId="24">#REF!</definedName>
    <definedName name="OPNM5" localSheetId="104">#REF!</definedName>
    <definedName name="OPNM5" localSheetId="65">#REF!</definedName>
    <definedName name="OPNM5" localSheetId="64">#REF!</definedName>
    <definedName name="OPNM5" localSheetId="77">#REF!</definedName>
    <definedName name="OPNM5" localSheetId="49">#REF!</definedName>
    <definedName name="OPNM5" localSheetId="40">#REF!</definedName>
    <definedName name="OPNM5" localSheetId="43">#REF!</definedName>
    <definedName name="OPNM5" localSheetId="13">#REF!</definedName>
    <definedName name="OPNM5" localSheetId="38">#REF!</definedName>
    <definedName name="OPNM5">#REF!</definedName>
    <definedName name="OPNM6" localSheetId="3">#REF!</definedName>
    <definedName name="OPNM6" localSheetId="7">#REF!</definedName>
    <definedName name="OPNM6" localSheetId="9">#REF!</definedName>
    <definedName name="OPNM6" localSheetId="10">#REF!</definedName>
    <definedName name="OPNM6" localSheetId="15">#REF!</definedName>
    <definedName name="OPNM6" localSheetId="19">#REF!</definedName>
    <definedName name="OPNM6" localSheetId="20">#REF!</definedName>
    <definedName name="OPNM6" localSheetId="24">#REF!</definedName>
    <definedName name="OPNM6" localSheetId="104">#REF!</definedName>
    <definedName name="OPNM6" localSheetId="65">#REF!</definedName>
    <definedName name="OPNM6" localSheetId="64">#REF!</definedName>
    <definedName name="OPNM6" localSheetId="77">#REF!</definedName>
    <definedName name="OPNM6" localSheetId="49">#REF!</definedName>
    <definedName name="OPNM6" localSheetId="40">#REF!</definedName>
    <definedName name="OPNM6" localSheetId="43">#REF!</definedName>
    <definedName name="OPNM6" localSheetId="13">#REF!</definedName>
    <definedName name="OPNM6" localSheetId="38">#REF!</definedName>
    <definedName name="OPNM6">#REF!</definedName>
    <definedName name="OPNM7" localSheetId="3">#REF!</definedName>
    <definedName name="OPNM7" localSheetId="7">#REF!</definedName>
    <definedName name="OPNM7" localSheetId="9">#REF!</definedName>
    <definedName name="OPNM7" localSheetId="10">#REF!</definedName>
    <definedName name="OPNM7" localSheetId="15">#REF!</definedName>
    <definedName name="OPNM7" localSheetId="19">#REF!</definedName>
    <definedName name="OPNM7" localSheetId="20">#REF!</definedName>
    <definedName name="OPNM7" localSheetId="24">#REF!</definedName>
    <definedName name="OPNM7" localSheetId="104">#REF!</definedName>
    <definedName name="OPNM7" localSheetId="65">#REF!</definedName>
    <definedName name="OPNM7" localSheetId="64">#REF!</definedName>
    <definedName name="OPNM7" localSheetId="77">#REF!</definedName>
    <definedName name="OPNM7" localSheetId="49">#REF!</definedName>
    <definedName name="OPNM7" localSheetId="40">#REF!</definedName>
    <definedName name="OPNM7" localSheetId="43">#REF!</definedName>
    <definedName name="OPNM7" localSheetId="13">#REF!</definedName>
    <definedName name="OPNM7" localSheetId="38">#REF!</definedName>
    <definedName name="OPNM7">#REF!</definedName>
    <definedName name="OPNM8" localSheetId="3">#REF!</definedName>
    <definedName name="OPNM8" localSheetId="7">#REF!</definedName>
    <definedName name="OPNM8" localSheetId="9">#REF!</definedName>
    <definedName name="OPNM8" localSheetId="10">#REF!</definedName>
    <definedName name="OPNM8" localSheetId="15">#REF!</definedName>
    <definedName name="OPNM8" localSheetId="19">#REF!</definedName>
    <definedName name="OPNM8" localSheetId="20">#REF!</definedName>
    <definedName name="OPNM8" localSheetId="24">#REF!</definedName>
    <definedName name="OPNM8" localSheetId="104">#REF!</definedName>
    <definedName name="OPNM8" localSheetId="65">#REF!</definedName>
    <definedName name="OPNM8" localSheetId="64">#REF!</definedName>
    <definedName name="OPNM8" localSheetId="77">#REF!</definedName>
    <definedName name="OPNM8" localSheetId="49">#REF!</definedName>
    <definedName name="OPNM8" localSheetId="40">#REF!</definedName>
    <definedName name="OPNM8" localSheetId="43">#REF!</definedName>
    <definedName name="OPNM8" localSheetId="13">#REF!</definedName>
    <definedName name="OPNM8" localSheetId="38">#REF!</definedName>
    <definedName name="OPNM8">#REF!</definedName>
    <definedName name="OPNM9" localSheetId="3">#REF!</definedName>
    <definedName name="OPNM9" localSheetId="7">#REF!</definedName>
    <definedName name="OPNM9" localSheetId="9">#REF!</definedName>
    <definedName name="OPNM9" localSheetId="10">#REF!</definedName>
    <definedName name="OPNM9" localSheetId="15">#REF!</definedName>
    <definedName name="OPNM9" localSheetId="19">#REF!</definedName>
    <definedName name="OPNM9" localSheetId="20">#REF!</definedName>
    <definedName name="OPNM9" localSheetId="24">#REF!</definedName>
    <definedName name="OPNM9" localSheetId="104">#REF!</definedName>
    <definedName name="OPNM9" localSheetId="65">#REF!</definedName>
    <definedName name="OPNM9" localSheetId="64">#REF!</definedName>
    <definedName name="OPNM9" localSheetId="77">#REF!</definedName>
    <definedName name="OPNM9" localSheetId="49">#REF!</definedName>
    <definedName name="OPNM9" localSheetId="40">#REF!</definedName>
    <definedName name="OPNM9" localSheetId="43">#REF!</definedName>
    <definedName name="OPNM9" localSheetId="13">#REF!</definedName>
    <definedName name="OPNM9" localSheetId="38">#REF!</definedName>
    <definedName name="OPNM9">#REF!</definedName>
    <definedName name="ORDER_NO" localSheetId="3">#REF!</definedName>
    <definedName name="ORDER_NO" localSheetId="7">#REF!</definedName>
    <definedName name="ORDER_NO" localSheetId="9">#REF!</definedName>
    <definedName name="ORDER_NO" localSheetId="10">#REF!</definedName>
    <definedName name="ORDER_NO" localSheetId="15">#REF!</definedName>
    <definedName name="ORDER_NO" localSheetId="19">#REF!</definedName>
    <definedName name="ORDER_NO" localSheetId="20">#REF!</definedName>
    <definedName name="ORDER_NO" localSheetId="24">#REF!</definedName>
    <definedName name="ORDER_NO" localSheetId="104">#REF!</definedName>
    <definedName name="ORDER_NO" localSheetId="65">#REF!</definedName>
    <definedName name="ORDER_NO" localSheetId="64">#REF!</definedName>
    <definedName name="ORDER_NO" localSheetId="77">#REF!</definedName>
    <definedName name="ORDER_NO" localSheetId="49">#REF!</definedName>
    <definedName name="ORDER_NO" localSheetId="40">#REF!</definedName>
    <definedName name="ORDER_NO" localSheetId="43">#REF!</definedName>
    <definedName name="ORDER_NO" localSheetId="13">#REF!</definedName>
    <definedName name="ORDER_NO" localSheetId="38">#REF!</definedName>
    <definedName name="ORDER_NO">#REF!</definedName>
    <definedName name="OrderTable" localSheetId="3" hidden="1">#REF!</definedName>
    <definedName name="OrderTable" localSheetId="7" hidden="1">#REF!</definedName>
    <definedName name="OrderTable" localSheetId="9" hidden="1">#REF!</definedName>
    <definedName name="OrderTable" localSheetId="10" hidden="1">#REF!</definedName>
    <definedName name="OrderTable" localSheetId="15" hidden="1">#REF!</definedName>
    <definedName name="OrderTable" localSheetId="18" hidden="1">#REF!</definedName>
    <definedName name="OrderTable" localSheetId="19" hidden="1">#REF!</definedName>
    <definedName name="OrderTable" localSheetId="20" hidden="1">#REF!</definedName>
    <definedName name="OrderTable" localSheetId="23" hidden="1">#REF!</definedName>
    <definedName name="OrderTable" localSheetId="24" hidden="1">#REF!</definedName>
    <definedName name="OrderTable" localSheetId="35" hidden="1">#REF!</definedName>
    <definedName name="OrderTable" localSheetId="58" hidden="1">#REF!</definedName>
    <definedName name="OrderTable" localSheetId="60" hidden="1">#REF!</definedName>
    <definedName name="OrderTable" localSheetId="51" hidden="1">#REF!</definedName>
    <definedName name="OrderTable" localSheetId="54" hidden="1">#REF!</definedName>
    <definedName name="OrderTable" localSheetId="47" hidden="1">#REF!</definedName>
    <definedName name="OrderTable" localSheetId="105" hidden="1">#REF!</definedName>
    <definedName name="OrderTable" localSheetId="104" hidden="1">#REF!</definedName>
    <definedName name="OrderTable" localSheetId="88" hidden="1">#REF!</definedName>
    <definedName name="OrderTable" localSheetId="89" hidden="1">#REF!</definedName>
    <definedName name="OrderTable" localSheetId="87" hidden="1">#REF!</definedName>
    <definedName name="OrderTable" localSheetId="90" hidden="1">#REF!</definedName>
    <definedName name="OrderTable" localSheetId="70" hidden="1">#REF!</definedName>
    <definedName name="OrderTable" localSheetId="63" hidden="1">#REF!</definedName>
    <definedName name="OrderTable" localSheetId="65" hidden="1">#REF!</definedName>
    <definedName name="OrderTable" localSheetId="64" hidden="1">#REF!</definedName>
    <definedName name="OrderTable" localSheetId="77" hidden="1">#REF!</definedName>
    <definedName name="OrderTable" localSheetId="49" hidden="1">#REF!</definedName>
    <definedName name="OrderTable" localSheetId="48" hidden="1">#REF!</definedName>
    <definedName name="OrderTable" localSheetId="57" hidden="1">#REF!</definedName>
    <definedName name="OrderTable" localSheetId="59" hidden="1">#REF!</definedName>
    <definedName name="OrderTable" localSheetId="52" hidden="1">#REF!</definedName>
    <definedName name="OrderTable" localSheetId="67" hidden="1">#REF!</definedName>
    <definedName name="OrderTable" localSheetId="80" hidden="1">#REF!</definedName>
    <definedName name="OrderTable" localSheetId="40" hidden="1">#REF!</definedName>
    <definedName name="OrderTable" localSheetId="43" hidden="1">#REF!</definedName>
    <definedName name="OrderTable" localSheetId="55" hidden="1">#REF!</definedName>
    <definedName name="OrderTable" localSheetId="81" hidden="1">#REF!</definedName>
    <definedName name="OrderTable" localSheetId="53" hidden="1">#REF!</definedName>
    <definedName name="OrderTable" localSheetId="13" hidden="1">#REF!</definedName>
    <definedName name="OrderTable" localSheetId="11" hidden="1">#REF!</definedName>
    <definedName name="OrderTable" localSheetId="38" hidden="1">#REF!</definedName>
    <definedName name="OrderTable" localSheetId="41" hidden="1">#REF!</definedName>
    <definedName name="OrderTable" localSheetId="101" hidden="1">#REF!</definedName>
    <definedName name="OrderTable" localSheetId="102" hidden="1">#REF!</definedName>
    <definedName name="OrderTable" localSheetId="103" hidden="1">#REF!</definedName>
    <definedName name="OrderTable" localSheetId="97" hidden="1">#REF!</definedName>
    <definedName name="OrderTable" localSheetId="42" hidden="1">#REF!</definedName>
    <definedName name="OrderTable" localSheetId="12" hidden="1">#REF!</definedName>
    <definedName name="OrderTable" localSheetId="73" hidden="1">#REF!</definedName>
    <definedName name="OrderTable" localSheetId="74" hidden="1">#REF!</definedName>
    <definedName name="OrderTable" hidden="1">#REF!</definedName>
    <definedName name="Ore" localSheetId="3">#REF!</definedName>
    <definedName name="Ore" localSheetId="7">#REF!</definedName>
    <definedName name="Ore" localSheetId="9">#REF!</definedName>
    <definedName name="Ore" localSheetId="10">#REF!</definedName>
    <definedName name="Ore" localSheetId="15">#REF!</definedName>
    <definedName name="Ore" localSheetId="19">#REF!</definedName>
    <definedName name="Ore" localSheetId="20">#REF!</definedName>
    <definedName name="Ore" localSheetId="24">#REF!</definedName>
    <definedName name="Ore" localSheetId="104">#REF!</definedName>
    <definedName name="Ore" localSheetId="65">#REF!</definedName>
    <definedName name="Ore" localSheetId="64">#REF!</definedName>
    <definedName name="Ore" localSheetId="77">#REF!</definedName>
    <definedName name="Ore" localSheetId="49">#REF!</definedName>
    <definedName name="Ore" localSheetId="40">#REF!</definedName>
    <definedName name="Ore" localSheetId="43">#REF!</definedName>
    <definedName name="Ore" localSheetId="13">#REF!</definedName>
    <definedName name="Ore" localSheetId="38">#REF!</definedName>
    <definedName name="Ore">#REF!</definedName>
    <definedName name="OUTPUT" localSheetId="3">#REF!</definedName>
    <definedName name="OUTPUT" localSheetId="7">#REF!</definedName>
    <definedName name="OUTPUT" localSheetId="9">#REF!</definedName>
    <definedName name="OUTPUT" localSheetId="10">#REF!</definedName>
    <definedName name="OUTPUT" localSheetId="15">#REF!</definedName>
    <definedName name="OUTPUT" localSheetId="19">#REF!</definedName>
    <definedName name="OUTPUT" localSheetId="20">#REF!</definedName>
    <definedName name="OUTPUT" localSheetId="24">#REF!</definedName>
    <definedName name="OUTPUT" localSheetId="104">#REF!</definedName>
    <definedName name="OUTPUT" localSheetId="65">#REF!</definedName>
    <definedName name="OUTPUT" localSheetId="64">#REF!</definedName>
    <definedName name="OUTPUT" localSheetId="77">#REF!</definedName>
    <definedName name="OUTPUT" localSheetId="49">#REF!</definedName>
    <definedName name="OUTPUT" localSheetId="40">#REF!</definedName>
    <definedName name="OUTPUT" localSheetId="43">#REF!</definedName>
    <definedName name="OUTPUT" localSheetId="13">#REF!</definedName>
    <definedName name="OUTPUT" localSheetId="38">#REF!</definedName>
    <definedName name="OUTPUT">#REF!</definedName>
    <definedName name="oz2gal" localSheetId="3">#REF!</definedName>
    <definedName name="oz2gal" localSheetId="7">#REF!</definedName>
    <definedName name="oz2gal" localSheetId="9">#REF!</definedName>
    <definedName name="oz2gal" localSheetId="10">#REF!</definedName>
    <definedName name="oz2gal" localSheetId="15">#REF!</definedName>
    <definedName name="oz2gal" localSheetId="19">#REF!</definedName>
    <definedName name="oz2gal" localSheetId="20">#REF!</definedName>
    <definedName name="oz2gal" localSheetId="24">#REF!</definedName>
    <definedName name="oz2gal" localSheetId="104">#REF!</definedName>
    <definedName name="oz2gal" localSheetId="65">#REF!</definedName>
    <definedName name="oz2gal" localSheetId="64">#REF!</definedName>
    <definedName name="oz2gal" localSheetId="77">#REF!</definedName>
    <definedName name="oz2gal" localSheetId="49">#REF!</definedName>
    <definedName name="oz2gal" localSheetId="40">#REF!</definedName>
    <definedName name="oz2gal" localSheetId="43">#REF!</definedName>
    <definedName name="oz2gal" localSheetId="13">#REF!</definedName>
    <definedName name="oz2gal" localSheetId="38">#REF!</definedName>
    <definedName name="oz2gal">#REF!</definedName>
    <definedName name="OzonefactorB" localSheetId="3">#REF!</definedName>
    <definedName name="OzonefactorB" localSheetId="7">#REF!</definedName>
    <definedName name="OzonefactorB" localSheetId="9">#REF!</definedName>
    <definedName name="OzonefactorB" localSheetId="10">#REF!</definedName>
    <definedName name="OzonefactorB" localSheetId="15">#REF!</definedName>
    <definedName name="OzonefactorB" localSheetId="19">#REF!</definedName>
    <definedName name="OzonefactorB" localSheetId="20">#REF!</definedName>
    <definedName name="OzonefactorB" localSheetId="24">#REF!</definedName>
    <definedName name="OzonefactorB" localSheetId="104">#REF!</definedName>
    <definedName name="OzonefactorB" localSheetId="65">#REF!</definedName>
    <definedName name="OzonefactorB" localSheetId="64">#REF!</definedName>
    <definedName name="OzonefactorB" localSheetId="77">#REF!</definedName>
    <definedName name="OzonefactorB" localSheetId="49">#REF!</definedName>
    <definedName name="OzonefactorB" localSheetId="40">#REF!</definedName>
    <definedName name="OzonefactorB" localSheetId="43">#REF!</definedName>
    <definedName name="OzonefactorB" localSheetId="13">#REF!</definedName>
    <definedName name="OzonefactorB" localSheetId="38">#REF!</definedName>
    <definedName name="OzonefactorB">#REF!</definedName>
    <definedName name="OzonefactorG" localSheetId="3">#REF!</definedName>
    <definedName name="OzonefactorG" localSheetId="7">#REF!</definedName>
    <definedName name="OzonefactorG" localSheetId="9">#REF!</definedName>
    <definedName name="OzonefactorG" localSheetId="10">#REF!</definedName>
    <definedName name="OzonefactorG" localSheetId="15">#REF!</definedName>
    <definedName name="OzonefactorG" localSheetId="19">#REF!</definedName>
    <definedName name="OzonefactorG" localSheetId="20">#REF!</definedName>
    <definedName name="OzonefactorG" localSheetId="24">#REF!</definedName>
    <definedName name="OzonefactorG" localSheetId="104">#REF!</definedName>
    <definedName name="OzonefactorG" localSheetId="65">#REF!</definedName>
    <definedName name="OzonefactorG" localSheetId="64">#REF!</definedName>
    <definedName name="OzonefactorG" localSheetId="77">#REF!</definedName>
    <definedName name="OzonefactorG" localSheetId="49">#REF!</definedName>
    <definedName name="OzonefactorG" localSheetId="40">#REF!</definedName>
    <definedName name="OzonefactorG" localSheetId="43">#REF!</definedName>
    <definedName name="OzonefactorG" localSheetId="13">#REF!</definedName>
    <definedName name="OzonefactorG" localSheetId="38">#REF!</definedName>
    <definedName name="OzonefactorG">#REF!</definedName>
    <definedName name="OzonefactorH" localSheetId="3">#REF!</definedName>
    <definedName name="OzonefactorH" localSheetId="7">#REF!</definedName>
    <definedName name="OzonefactorH" localSheetId="9">#REF!</definedName>
    <definedName name="OzonefactorH" localSheetId="10">#REF!</definedName>
    <definedName name="OzonefactorH" localSheetId="15">#REF!</definedName>
    <definedName name="OzonefactorH" localSheetId="19">#REF!</definedName>
    <definedName name="OzonefactorH" localSheetId="20">#REF!</definedName>
    <definedName name="OzonefactorH" localSheetId="24">#REF!</definedName>
    <definedName name="OzonefactorH" localSheetId="104">#REF!</definedName>
    <definedName name="OzonefactorH" localSheetId="65">#REF!</definedName>
    <definedName name="OzonefactorH" localSheetId="64">#REF!</definedName>
    <definedName name="OzonefactorH" localSheetId="77">#REF!</definedName>
    <definedName name="OzonefactorH" localSheetId="49">#REF!</definedName>
    <definedName name="OzonefactorH" localSheetId="40">#REF!</definedName>
    <definedName name="OzonefactorH" localSheetId="43">#REF!</definedName>
    <definedName name="OzonefactorH" localSheetId="13">#REF!</definedName>
    <definedName name="OzonefactorH" localSheetId="38">#REF!</definedName>
    <definedName name="OzonefactorH">#REF!</definedName>
    <definedName name="P">[6]Flashing!$F$13</definedName>
    <definedName name="Pa" localSheetId="3">#REF!</definedName>
    <definedName name="Pa" localSheetId="7">#REF!</definedName>
    <definedName name="Pa" localSheetId="9">#REF!</definedName>
    <definedName name="Pa" localSheetId="10">#REF!</definedName>
    <definedName name="Pa" localSheetId="15">#REF!</definedName>
    <definedName name="Pa" localSheetId="19">#REF!</definedName>
    <definedName name="Pa" localSheetId="20">#REF!</definedName>
    <definedName name="Pa" localSheetId="24">#REF!</definedName>
    <definedName name="Pa" localSheetId="104">#REF!</definedName>
    <definedName name="Pa" localSheetId="65">#REF!</definedName>
    <definedName name="Pa" localSheetId="64">#REF!</definedName>
    <definedName name="Pa" localSheetId="77">#REF!</definedName>
    <definedName name="Pa" localSheetId="49">#REF!</definedName>
    <definedName name="Pa" localSheetId="40">#REF!</definedName>
    <definedName name="Pa" localSheetId="43">#REF!</definedName>
    <definedName name="Pa" localSheetId="13">#REF!</definedName>
    <definedName name="Pa" localSheetId="38">#REF!</definedName>
    <definedName name="Pa">#REF!</definedName>
    <definedName name="pack1" localSheetId="3">#REF!</definedName>
    <definedName name="pack1" localSheetId="7">#REF!</definedName>
    <definedName name="pack1" localSheetId="9">#REF!</definedName>
    <definedName name="pack1" localSheetId="10">#REF!</definedName>
    <definedName name="pack1" localSheetId="15">#REF!</definedName>
    <definedName name="pack1" localSheetId="19">#REF!</definedName>
    <definedName name="pack1" localSheetId="20">#REF!</definedName>
    <definedName name="pack1" localSheetId="24">#REF!</definedName>
    <definedName name="pack1" localSheetId="104">#REF!</definedName>
    <definedName name="pack1" localSheetId="65">#REF!</definedName>
    <definedName name="pack1" localSheetId="64">#REF!</definedName>
    <definedName name="pack1" localSheetId="77">#REF!</definedName>
    <definedName name="pack1" localSheetId="49">#REF!</definedName>
    <definedName name="pack1" localSheetId="40">#REF!</definedName>
    <definedName name="pack1" localSheetId="43">#REF!</definedName>
    <definedName name="pack1" localSheetId="13">#REF!</definedName>
    <definedName name="pack1" localSheetId="38">#REF!</definedName>
    <definedName name="pack1">#REF!</definedName>
    <definedName name="pack2" localSheetId="3">#REF!</definedName>
    <definedName name="pack2" localSheetId="7">#REF!</definedName>
    <definedName name="pack2" localSheetId="9">#REF!</definedName>
    <definedName name="pack2" localSheetId="10">#REF!</definedName>
    <definedName name="pack2" localSheetId="15">#REF!</definedName>
    <definedName name="pack2" localSheetId="19">#REF!</definedName>
    <definedName name="pack2" localSheetId="20">#REF!</definedName>
    <definedName name="pack2" localSheetId="24">#REF!</definedName>
    <definedName name="pack2" localSheetId="104">#REF!</definedName>
    <definedName name="pack2" localSheetId="65">#REF!</definedName>
    <definedName name="pack2" localSheetId="64">#REF!</definedName>
    <definedName name="pack2" localSheetId="77">#REF!</definedName>
    <definedName name="pack2" localSheetId="49">#REF!</definedName>
    <definedName name="pack2" localSheetId="40">#REF!</definedName>
    <definedName name="pack2" localSheetId="43">#REF!</definedName>
    <definedName name="pack2" localSheetId="13">#REF!</definedName>
    <definedName name="pack2" localSheetId="38">#REF!</definedName>
    <definedName name="pack2">#REF!</definedName>
    <definedName name="pack3" localSheetId="3">#REF!</definedName>
    <definedName name="pack3" localSheetId="7">#REF!</definedName>
    <definedName name="pack3" localSheetId="9">#REF!</definedName>
    <definedName name="pack3" localSheetId="10">#REF!</definedName>
    <definedName name="pack3" localSheetId="15">#REF!</definedName>
    <definedName name="pack3" localSheetId="19">#REF!</definedName>
    <definedName name="pack3" localSheetId="20">#REF!</definedName>
    <definedName name="pack3" localSheetId="24">#REF!</definedName>
    <definedName name="pack3" localSheetId="104">#REF!</definedName>
    <definedName name="pack3" localSheetId="65">#REF!</definedName>
    <definedName name="pack3" localSheetId="64">#REF!</definedName>
    <definedName name="pack3" localSheetId="77">#REF!</definedName>
    <definedName name="pack3" localSheetId="49">#REF!</definedName>
    <definedName name="pack3" localSheetId="40">#REF!</definedName>
    <definedName name="pack3" localSheetId="43">#REF!</definedName>
    <definedName name="pack3" localSheetId="13">#REF!</definedName>
    <definedName name="pack3" localSheetId="38">#REF!</definedName>
    <definedName name="pack3">#REF!</definedName>
    <definedName name="pack4" localSheetId="3">#REF!</definedName>
    <definedName name="pack4" localSheetId="7">#REF!</definedName>
    <definedName name="pack4" localSheetId="9">#REF!</definedName>
    <definedName name="pack4" localSheetId="10">#REF!</definedName>
    <definedName name="pack4" localSheetId="15">#REF!</definedName>
    <definedName name="pack4" localSheetId="19">#REF!</definedName>
    <definedName name="pack4" localSheetId="20">#REF!</definedName>
    <definedName name="pack4" localSheetId="24">#REF!</definedName>
    <definedName name="pack4" localSheetId="104">#REF!</definedName>
    <definedName name="pack4" localSheetId="65">#REF!</definedName>
    <definedName name="pack4" localSheetId="64">#REF!</definedName>
    <definedName name="pack4" localSheetId="77">#REF!</definedName>
    <definedName name="pack4" localSheetId="49">#REF!</definedName>
    <definedName name="pack4" localSheetId="40">#REF!</definedName>
    <definedName name="pack4" localSheetId="43">#REF!</definedName>
    <definedName name="pack4" localSheetId="13">#REF!</definedName>
    <definedName name="pack4" localSheetId="38">#REF!</definedName>
    <definedName name="pack4">#REF!</definedName>
    <definedName name="packtot" localSheetId="3">#REF!</definedName>
    <definedName name="packtot" localSheetId="7">#REF!</definedName>
    <definedName name="packtot" localSheetId="9">#REF!</definedName>
    <definedName name="packtot" localSheetId="10">#REF!</definedName>
    <definedName name="packtot" localSheetId="15">#REF!</definedName>
    <definedName name="packtot" localSheetId="19">#REF!</definedName>
    <definedName name="packtot" localSheetId="20">#REF!</definedName>
    <definedName name="packtot" localSheetId="24">#REF!</definedName>
    <definedName name="packtot" localSheetId="104">#REF!</definedName>
    <definedName name="packtot" localSheetId="65">#REF!</definedName>
    <definedName name="packtot" localSheetId="64">#REF!</definedName>
    <definedName name="packtot" localSheetId="77">#REF!</definedName>
    <definedName name="packtot" localSheetId="49">#REF!</definedName>
    <definedName name="packtot" localSheetId="40">#REF!</definedName>
    <definedName name="packtot" localSheetId="43">#REF!</definedName>
    <definedName name="packtot" localSheetId="13">#REF!</definedName>
    <definedName name="packtot" localSheetId="38">#REF!</definedName>
    <definedName name="packtot">#REF!</definedName>
    <definedName name="PAGE1" localSheetId="3">#REF!</definedName>
    <definedName name="PAGE1" localSheetId="7">#REF!</definedName>
    <definedName name="PAGE1" localSheetId="9">#REF!</definedName>
    <definedName name="PAGE1" localSheetId="10">#REF!</definedName>
    <definedName name="PAGE1" localSheetId="15">#REF!</definedName>
    <definedName name="PAGE1" localSheetId="19">#REF!</definedName>
    <definedName name="PAGE1" localSheetId="20">#REF!</definedName>
    <definedName name="PAGE1" localSheetId="24">#REF!</definedName>
    <definedName name="PAGE1" localSheetId="104">#REF!</definedName>
    <definedName name="PAGE1" localSheetId="65">#REF!</definedName>
    <definedName name="PAGE1" localSheetId="64">#REF!</definedName>
    <definedName name="PAGE1" localSheetId="77">#REF!</definedName>
    <definedName name="PAGE1" localSheetId="49">#REF!</definedName>
    <definedName name="PAGE1" localSheetId="40">#REF!</definedName>
    <definedName name="PAGE1" localSheetId="43">#REF!</definedName>
    <definedName name="PAGE1" localSheetId="13">#REF!</definedName>
    <definedName name="PAGE1" localSheetId="38">#REF!</definedName>
    <definedName name="PAGE1">#REF!</definedName>
    <definedName name="PAL">'[23]PAL Baseline Emissions'!$A$4:$Z$100</definedName>
    <definedName name="panf1" localSheetId="3">#REF!</definedName>
    <definedName name="panf1" localSheetId="7">#REF!</definedName>
    <definedName name="panf1" localSheetId="9">#REF!</definedName>
    <definedName name="panf1" localSheetId="10">#REF!</definedName>
    <definedName name="panf1" localSheetId="15">#REF!</definedName>
    <definedName name="panf1" localSheetId="19">#REF!</definedName>
    <definedName name="panf1" localSheetId="20">#REF!</definedName>
    <definedName name="panf1" localSheetId="24">#REF!</definedName>
    <definedName name="panf1" localSheetId="104">#REF!</definedName>
    <definedName name="panf1" localSheetId="65">#REF!</definedName>
    <definedName name="panf1" localSheetId="64">#REF!</definedName>
    <definedName name="panf1" localSheetId="77">#REF!</definedName>
    <definedName name="panf1" localSheetId="49">#REF!</definedName>
    <definedName name="panf1" localSheetId="40">#REF!</definedName>
    <definedName name="panf1" localSheetId="43">#REF!</definedName>
    <definedName name="panf1" localSheetId="13">#REF!</definedName>
    <definedName name="panf1" localSheetId="38">#REF!</definedName>
    <definedName name="panf1">#REF!</definedName>
    <definedName name="panf2" localSheetId="3">#REF!</definedName>
    <definedName name="panf2" localSheetId="7">#REF!</definedName>
    <definedName name="panf2" localSheetId="9">#REF!</definedName>
    <definedName name="panf2" localSheetId="10">#REF!</definedName>
    <definedName name="panf2" localSheetId="15">#REF!</definedName>
    <definedName name="panf2" localSheetId="19">#REF!</definedName>
    <definedName name="panf2" localSheetId="20">#REF!</definedName>
    <definedName name="panf2" localSheetId="24">#REF!</definedName>
    <definedName name="panf2" localSheetId="104">#REF!</definedName>
    <definedName name="panf2" localSheetId="65">#REF!</definedName>
    <definedName name="panf2" localSheetId="64">#REF!</definedName>
    <definedName name="panf2" localSheetId="77">#REF!</definedName>
    <definedName name="panf2" localSheetId="49">#REF!</definedName>
    <definedName name="panf2" localSheetId="40">#REF!</definedName>
    <definedName name="panf2" localSheetId="43">#REF!</definedName>
    <definedName name="panf2" localSheetId="13">#REF!</definedName>
    <definedName name="panf2" localSheetId="38">#REF!</definedName>
    <definedName name="panf2">#REF!</definedName>
    <definedName name="panf3" localSheetId="3">#REF!</definedName>
    <definedName name="panf3" localSheetId="7">#REF!</definedName>
    <definedName name="panf3" localSheetId="9">#REF!</definedName>
    <definedName name="panf3" localSheetId="10">#REF!</definedName>
    <definedName name="panf3" localSheetId="15">#REF!</definedName>
    <definedName name="panf3" localSheetId="19">#REF!</definedName>
    <definedName name="panf3" localSheetId="20">#REF!</definedName>
    <definedName name="panf3" localSheetId="24">#REF!</definedName>
    <definedName name="panf3" localSheetId="104">#REF!</definedName>
    <definedName name="panf3" localSheetId="65">#REF!</definedName>
    <definedName name="panf3" localSheetId="64">#REF!</definedName>
    <definedName name="panf3" localSheetId="77">#REF!</definedName>
    <definedName name="panf3" localSheetId="49">#REF!</definedName>
    <definedName name="panf3" localSheetId="40">#REF!</definedName>
    <definedName name="panf3" localSheetId="43">#REF!</definedName>
    <definedName name="panf3" localSheetId="13">#REF!</definedName>
    <definedName name="panf3" localSheetId="38">#REF!</definedName>
    <definedName name="panf3">#REF!</definedName>
    <definedName name="panf4" localSheetId="3">#REF!</definedName>
    <definedName name="panf4" localSheetId="7">#REF!</definedName>
    <definedName name="panf4" localSheetId="9">#REF!</definedName>
    <definedName name="panf4" localSheetId="10">#REF!</definedName>
    <definedName name="panf4" localSheetId="15">#REF!</definedName>
    <definedName name="panf4" localSheetId="19">#REF!</definedName>
    <definedName name="panf4" localSheetId="20">#REF!</definedName>
    <definedName name="panf4" localSheetId="24">#REF!</definedName>
    <definedName name="panf4" localSheetId="104">#REF!</definedName>
    <definedName name="panf4" localSheetId="65">#REF!</definedName>
    <definedName name="panf4" localSheetId="64">#REF!</definedName>
    <definedName name="panf4" localSheetId="77">#REF!</definedName>
    <definedName name="panf4" localSheetId="49">#REF!</definedName>
    <definedName name="panf4" localSheetId="40">#REF!</definedName>
    <definedName name="panf4" localSheetId="43">#REF!</definedName>
    <definedName name="panf4" localSheetId="13">#REF!</definedName>
    <definedName name="panf4" localSheetId="38">#REF!</definedName>
    <definedName name="panf4">#REF!</definedName>
    <definedName name="panftot" localSheetId="3">#REF!</definedName>
    <definedName name="panftot" localSheetId="7">#REF!</definedName>
    <definedName name="panftot" localSheetId="9">#REF!</definedName>
    <definedName name="panftot" localSheetId="10">#REF!</definedName>
    <definedName name="panftot" localSheetId="15">#REF!</definedName>
    <definedName name="panftot" localSheetId="19">#REF!</definedName>
    <definedName name="panftot" localSheetId="20">#REF!</definedName>
    <definedName name="panftot" localSheetId="24">#REF!</definedName>
    <definedName name="panftot" localSheetId="104">#REF!</definedName>
    <definedName name="panftot" localSheetId="65">#REF!</definedName>
    <definedName name="panftot" localSheetId="64">#REF!</definedName>
    <definedName name="panftot" localSheetId="77">#REF!</definedName>
    <definedName name="panftot" localSheetId="49">#REF!</definedName>
    <definedName name="panftot" localSheetId="40">#REF!</definedName>
    <definedName name="panftot" localSheetId="43">#REF!</definedName>
    <definedName name="panftot" localSheetId="13">#REF!</definedName>
    <definedName name="panftot" localSheetId="38">#REF!</definedName>
    <definedName name="panftot">#REF!</definedName>
    <definedName name="Patm" localSheetId="3">#REF!</definedName>
    <definedName name="Patm" localSheetId="7">#REF!</definedName>
    <definedName name="Patm" localSheetId="9">#REF!</definedName>
    <definedName name="Patm" localSheetId="10">#REF!</definedName>
    <definedName name="Patm" localSheetId="15">#REF!</definedName>
    <definedName name="Patm" localSheetId="19">#REF!</definedName>
    <definedName name="Patm" localSheetId="20">#REF!</definedName>
    <definedName name="Patm" localSheetId="24">#REF!</definedName>
    <definedName name="Patm" localSheetId="104">#REF!</definedName>
    <definedName name="Patm" localSheetId="65">#REF!</definedName>
    <definedName name="Patm" localSheetId="64">#REF!</definedName>
    <definedName name="Patm" localSheetId="77">#REF!</definedName>
    <definedName name="Patm" localSheetId="49">#REF!</definedName>
    <definedName name="Patm" localSheetId="48">#REF!</definedName>
    <definedName name="Patm" localSheetId="40">#REF!</definedName>
    <definedName name="Patm" localSheetId="43">#REF!</definedName>
    <definedName name="Patm" localSheetId="13">#REF!</definedName>
    <definedName name="Patm" localSheetId="38">#REF!</definedName>
    <definedName name="Patm">#REF!</definedName>
    <definedName name="Pbp" localSheetId="3">#REF!</definedName>
    <definedName name="Pbp" localSheetId="7">#REF!</definedName>
    <definedName name="Pbp" localSheetId="9">#REF!</definedName>
    <definedName name="Pbp" localSheetId="10">#REF!</definedName>
    <definedName name="Pbp" localSheetId="15">#REF!</definedName>
    <definedName name="Pbp" localSheetId="19">#REF!</definedName>
    <definedName name="Pbp" localSheetId="20">#REF!</definedName>
    <definedName name="Pbp" localSheetId="24">#REF!</definedName>
    <definedName name="Pbp" localSheetId="104">#REF!</definedName>
    <definedName name="Pbp" localSheetId="65">#REF!</definedName>
    <definedName name="Pbp" localSheetId="64">#REF!</definedName>
    <definedName name="Pbp" localSheetId="77">#REF!</definedName>
    <definedName name="Pbp" localSheetId="49">#REF!</definedName>
    <definedName name="Pbp" localSheetId="40">#REF!</definedName>
    <definedName name="Pbp" localSheetId="43">#REF!</definedName>
    <definedName name="Pbp" localSheetId="13">#REF!</definedName>
    <definedName name="Pbp" localSheetId="38">#REF!</definedName>
    <definedName name="Pbp">#REF!</definedName>
    <definedName name="PBR" localSheetId="105"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localSheetId="96"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localSheetId="44"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v" localSheetId="3">#REF!</definedName>
    <definedName name="Pbv" localSheetId="7">#REF!</definedName>
    <definedName name="Pbv" localSheetId="9">#REF!</definedName>
    <definedName name="Pbv" localSheetId="10">#REF!</definedName>
    <definedName name="Pbv" localSheetId="15">#REF!</definedName>
    <definedName name="Pbv" localSheetId="19">#REF!</definedName>
    <definedName name="Pbv" localSheetId="20">#REF!</definedName>
    <definedName name="Pbv" localSheetId="24">#REF!</definedName>
    <definedName name="Pbv" localSheetId="104">#REF!</definedName>
    <definedName name="Pbv" localSheetId="65">#REF!</definedName>
    <definedName name="Pbv" localSheetId="64">#REF!</definedName>
    <definedName name="Pbv" localSheetId="77">#REF!</definedName>
    <definedName name="Pbv" localSheetId="49">#REF!</definedName>
    <definedName name="Pbv" localSheetId="40">#REF!</definedName>
    <definedName name="Pbv" localSheetId="43">#REF!</definedName>
    <definedName name="Pbv" localSheetId="13">#REF!</definedName>
    <definedName name="Pbv" localSheetId="38">#REF!</definedName>
    <definedName name="Pbv">#REF!</definedName>
    <definedName name="PD_25_hours" localSheetId="3">#REF!</definedName>
    <definedName name="PD_25_hours" localSheetId="7">#REF!</definedName>
    <definedName name="PD_25_hours" localSheetId="9">#REF!</definedName>
    <definedName name="PD_25_hours" localSheetId="10">#REF!</definedName>
    <definedName name="PD_25_hours" localSheetId="15">#REF!</definedName>
    <definedName name="PD_25_hours" localSheetId="19">#REF!</definedName>
    <definedName name="PD_25_hours" localSheetId="20">#REF!</definedName>
    <definedName name="PD_25_hours" localSheetId="24">#REF!</definedName>
    <definedName name="PD_25_hours" localSheetId="104">#REF!</definedName>
    <definedName name="PD_25_hours" localSheetId="65">#REF!</definedName>
    <definedName name="PD_25_hours" localSheetId="64">#REF!</definedName>
    <definedName name="PD_25_hours" localSheetId="77">#REF!</definedName>
    <definedName name="PD_25_hours" localSheetId="49">#REF!</definedName>
    <definedName name="PD_25_hours" localSheetId="40">#REF!</definedName>
    <definedName name="PD_25_hours" localSheetId="43">#REF!</definedName>
    <definedName name="PD_25_hours" localSheetId="13">#REF!</definedName>
    <definedName name="PD_25_hours" localSheetId="38">#REF!</definedName>
    <definedName name="PD_25_hours">#REF!</definedName>
    <definedName name="pell1" localSheetId="3">#REF!</definedName>
    <definedName name="pell1" localSheetId="7">#REF!</definedName>
    <definedName name="pell1" localSheetId="9">#REF!</definedName>
    <definedName name="pell1" localSheetId="10">#REF!</definedName>
    <definedName name="pell1" localSheetId="15">#REF!</definedName>
    <definedName name="pell1" localSheetId="19">#REF!</definedName>
    <definedName name="pell1" localSheetId="20">#REF!</definedName>
    <definedName name="pell1" localSheetId="24">#REF!</definedName>
    <definedName name="pell1" localSheetId="104">#REF!</definedName>
    <definedName name="pell1" localSheetId="65">#REF!</definedName>
    <definedName name="pell1" localSheetId="64">#REF!</definedName>
    <definedName name="pell1" localSheetId="77">#REF!</definedName>
    <definedName name="pell1" localSheetId="49">#REF!</definedName>
    <definedName name="pell1" localSheetId="40">#REF!</definedName>
    <definedName name="pell1" localSheetId="43">#REF!</definedName>
    <definedName name="pell1" localSheetId="13">#REF!</definedName>
    <definedName name="pell1" localSheetId="38">#REF!</definedName>
    <definedName name="pell1">#REF!</definedName>
    <definedName name="pell2" localSheetId="3">#REF!</definedName>
    <definedName name="pell2" localSheetId="7">#REF!</definedName>
    <definedName name="pell2" localSheetId="9">#REF!</definedName>
    <definedName name="pell2" localSheetId="10">#REF!</definedName>
    <definedName name="pell2" localSheetId="15">#REF!</definedName>
    <definedName name="pell2" localSheetId="19">#REF!</definedName>
    <definedName name="pell2" localSheetId="20">#REF!</definedName>
    <definedName name="pell2" localSheetId="24">#REF!</definedName>
    <definedName name="pell2" localSheetId="104">#REF!</definedName>
    <definedName name="pell2" localSheetId="65">#REF!</definedName>
    <definedName name="pell2" localSheetId="64">#REF!</definedName>
    <definedName name="pell2" localSheetId="77">#REF!</definedName>
    <definedName name="pell2" localSheetId="49">#REF!</definedName>
    <definedName name="pell2" localSheetId="40">#REF!</definedName>
    <definedName name="pell2" localSheetId="43">#REF!</definedName>
    <definedName name="pell2" localSheetId="13">#REF!</definedName>
    <definedName name="pell2" localSheetId="38">#REF!</definedName>
    <definedName name="pell2">#REF!</definedName>
    <definedName name="pell3" localSheetId="3">#REF!</definedName>
    <definedName name="pell3" localSheetId="7">#REF!</definedName>
    <definedName name="pell3" localSheetId="9">#REF!</definedName>
    <definedName name="pell3" localSheetId="10">#REF!</definedName>
    <definedName name="pell3" localSheetId="15">#REF!</definedName>
    <definedName name="pell3" localSheetId="19">#REF!</definedName>
    <definedName name="pell3" localSheetId="20">#REF!</definedName>
    <definedName name="pell3" localSheetId="24">#REF!</definedName>
    <definedName name="pell3" localSheetId="104">#REF!</definedName>
    <definedName name="pell3" localSheetId="65">#REF!</definedName>
    <definedName name="pell3" localSheetId="64">#REF!</definedName>
    <definedName name="pell3" localSheetId="77">#REF!</definedName>
    <definedName name="pell3" localSheetId="49">#REF!</definedName>
    <definedName name="pell3" localSheetId="40">#REF!</definedName>
    <definedName name="pell3" localSheetId="43">#REF!</definedName>
    <definedName name="pell3" localSheetId="13">#REF!</definedName>
    <definedName name="pell3" localSheetId="38">#REF!</definedName>
    <definedName name="pell3">#REF!</definedName>
    <definedName name="pell4" localSheetId="3">#REF!</definedName>
    <definedName name="pell4" localSheetId="7">#REF!</definedName>
    <definedName name="pell4" localSheetId="9">#REF!</definedName>
    <definedName name="pell4" localSheetId="10">#REF!</definedName>
    <definedName name="pell4" localSheetId="15">#REF!</definedName>
    <definedName name="pell4" localSheetId="19">#REF!</definedName>
    <definedName name="pell4" localSheetId="20">#REF!</definedName>
    <definedName name="pell4" localSheetId="24">#REF!</definedName>
    <definedName name="pell4" localSheetId="104">#REF!</definedName>
    <definedName name="pell4" localSheetId="65">#REF!</definedName>
    <definedName name="pell4" localSheetId="64">#REF!</definedName>
    <definedName name="pell4" localSheetId="77">#REF!</definedName>
    <definedName name="pell4" localSheetId="49">#REF!</definedName>
    <definedName name="pell4" localSheetId="40">#REF!</definedName>
    <definedName name="pell4" localSheetId="43">#REF!</definedName>
    <definedName name="pell4" localSheetId="13">#REF!</definedName>
    <definedName name="pell4" localSheetId="38">#REF!</definedName>
    <definedName name="pell4">#REF!</definedName>
    <definedName name="pelltot" localSheetId="3">#REF!</definedName>
    <definedName name="pelltot" localSheetId="7">#REF!</definedName>
    <definedName name="pelltot" localSheetId="9">#REF!</definedName>
    <definedName name="pelltot" localSheetId="10">#REF!</definedName>
    <definedName name="pelltot" localSheetId="15">#REF!</definedName>
    <definedName name="pelltot" localSheetId="19">#REF!</definedName>
    <definedName name="pelltot" localSheetId="20">#REF!</definedName>
    <definedName name="pelltot" localSheetId="24">#REF!</definedName>
    <definedName name="pelltot" localSheetId="104">#REF!</definedName>
    <definedName name="pelltot" localSheetId="65">#REF!</definedName>
    <definedName name="pelltot" localSheetId="64">#REF!</definedName>
    <definedName name="pelltot" localSheetId="77">#REF!</definedName>
    <definedName name="pelltot" localSheetId="49">#REF!</definedName>
    <definedName name="pelltot" localSheetId="40">#REF!</definedName>
    <definedName name="pelltot" localSheetId="43">#REF!</definedName>
    <definedName name="pelltot" localSheetId="13">#REF!</definedName>
    <definedName name="pelltot" localSheetId="38">#REF!</definedName>
    <definedName name="pelltot">#REF!</definedName>
    <definedName name="Pf" localSheetId="3">#REF!</definedName>
    <definedName name="Pf" localSheetId="7">#REF!</definedName>
    <definedName name="Pf" localSheetId="9">#REF!</definedName>
    <definedName name="Pf" localSheetId="10">#REF!</definedName>
    <definedName name="Pf" localSheetId="15">#REF!</definedName>
    <definedName name="Pf" localSheetId="19">#REF!</definedName>
    <definedName name="Pf" localSheetId="20">#REF!</definedName>
    <definedName name="Pf" localSheetId="24">#REF!</definedName>
    <definedName name="Pf" localSheetId="104">#REF!</definedName>
    <definedName name="Pf" localSheetId="65">#REF!</definedName>
    <definedName name="Pf" localSheetId="64">#REF!</definedName>
    <definedName name="Pf" localSheetId="77">#REF!</definedName>
    <definedName name="Pf" localSheetId="49">#REF!</definedName>
    <definedName name="Pf" localSheetId="40">#REF!</definedName>
    <definedName name="Pf" localSheetId="43">#REF!</definedName>
    <definedName name="Pf" localSheetId="13">#REF!</definedName>
    <definedName name="Pf" localSheetId="38">#REF!</definedName>
    <definedName name="Pf">#REF!</definedName>
    <definedName name="Phase" localSheetId="3">#REF!</definedName>
    <definedName name="Phase" localSheetId="7">#REF!</definedName>
    <definedName name="Phase" localSheetId="9">#REF!</definedName>
    <definedName name="Phase" localSheetId="10">#REF!</definedName>
    <definedName name="Phase" localSheetId="15">#REF!</definedName>
    <definedName name="Phase" localSheetId="19">#REF!</definedName>
    <definedName name="Phase" localSheetId="20">#REF!</definedName>
    <definedName name="Phase" localSheetId="24">#REF!</definedName>
    <definedName name="Phase" localSheetId="104">#REF!</definedName>
    <definedName name="Phase" localSheetId="65">#REF!</definedName>
    <definedName name="Phase" localSheetId="64">#REF!</definedName>
    <definedName name="Phase" localSheetId="77">#REF!</definedName>
    <definedName name="Phase" localSheetId="49">#REF!</definedName>
    <definedName name="Phase" localSheetId="40">#REF!</definedName>
    <definedName name="Phase" localSheetId="43">#REF!</definedName>
    <definedName name="Phase" localSheetId="13">#REF!</definedName>
    <definedName name="Phase" localSheetId="38">#REF!</definedName>
    <definedName name="Phase">#REF!</definedName>
    <definedName name="Phone" localSheetId="3">#REF!</definedName>
    <definedName name="Phone" localSheetId="7">#REF!</definedName>
    <definedName name="Phone" localSheetId="9">#REF!</definedName>
    <definedName name="Phone" localSheetId="10">#REF!</definedName>
    <definedName name="Phone" localSheetId="15">#REF!</definedName>
    <definedName name="Phone" localSheetId="19">#REF!</definedName>
    <definedName name="Phone" localSheetId="20">#REF!</definedName>
    <definedName name="Phone" localSheetId="24">#REF!</definedName>
    <definedName name="Phone" localSheetId="104">#REF!</definedName>
    <definedName name="Phone" localSheetId="65">#REF!</definedName>
    <definedName name="Phone" localSheetId="64">#REF!</definedName>
    <definedName name="Phone" localSheetId="77">#REF!</definedName>
    <definedName name="Phone" localSheetId="49">#REF!</definedName>
    <definedName name="Phone" localSheetId="48">#REF!</definedName>
    <definedName name="Phone" localSheetId="40">#REF!</definedName>
    <definedName name="Phone" localSheetId="43">#REF!</definedName>
    <definedName name="Phone" localSheetId="13">#REF!</definedName>
    <definedName name="Phone" localSheetId="38">#REF!</definedName>
    <definedName name="Phone">#REF!</definedName>
    <definedName name="Phosphoric" localSheetId="3">#REF!</definedName>
    <definedName name="Phosphoric" localSheetId="7">#REF!</definedName>
    <definedName name="Phosphoric" localSheetId="9">#REF!</definedName>
    <definedName name="Phosphoric" localSheetId="10">#REF!</definedName>
    <definedName name="Phosphoric" localSheetId="15">#REF!</definedName>
    <definedName name="Phosphoric" localSheetId="19">#REF!</definedName>
    <definedName name="Phosphoric" localSheetId="20">#REF!</definedName>
    <definedName name="Phosphoric" localSheetId="24">#REF!</definedName>
    <definedName name="Phosphoric" localSheetId="104">#REF!</definedName>
    <definedName name="Phosphoric" localSheetId="65">#REF!</definedName>
    <definedName name="Phosphoric" localSheetId="64">#REF!</definedName>
    <definedName name="Phosphoric" localSheetId="77">#REF!</definedName>
    <definedName name="Phosphoric" localSheetId="49">#REF!</definedName>
    <definedName name="Phosphoric" localSheetId="40">#REF!</definedName>
    <definedName name="Phosphoric" localSheetId="43">#REF!</definedName>
    <definedName name="Phosphoric" localSheetId="13">#REF!</definedName>
    <definedName name="Phosphoric" localSheetId="38">#REF!</definedName>
    <definedName name="Phosphoric">#REF!</definedName>
    <definedName name="Pi" localSheetId="3">#REF!</definedName>
    <definedName name="Pi" localSheetId="7">#REF!</definedName>
    <definedName name="Pi" localSheetId="9">#REF!</definedName>
    <definedName name="Pi" localSheetId="10">#REF!</definedName>
    <definedName name="Pi" localSheetId="15">#REF!</definedName>
    <definedName name="Pi" localSheetId="19">#REF!</definedName>
    <definedName name="Pi" localSheetId="20">#REF!</definedName>
    <definedName name="Pi" localSheetId="24">#REF!</definedName>
    <definedName name="Pi" localSheetId="104">#REF!</definedName>
    <definedName name="Pi" localSheetId="65">#REF!</definedName>
    <definedName name="Pi" localSheetId="64">#REF!</definedName>
    <definedName name="Pi" localSheetId="77">#REF!</definedName>
    <definedName name="Pi" localSheetId="49">#REF!</definedName>
    <definedName name="Pi" localSheetId="48">#REF!</definedName>
    <definedName name="Pi" localSheetId="40">#REF!</definedName>
    <definedName name="Pi" localSheetId="43">#REF!</definedName>
    <definedName name="Pi" localSheetId="13">#REF!</definedName>
    <definedName name="Pi" localSheetId="38">#REF!</definedName>
    <definedName name="Pi">#REF!</definedName>
    <definedName name="PID" localSheetId="3">#REF!</definedName>
    <definedName name="PID" localSheetId="7">#REF!</definedName>
    <definedName name="PID" localSheetId="9">#REF!</definedName>
    <definedName name="PID" localSheetId="10">#REF!</definedName>
    <definedName name="PID" localSheetId="15">#REF!</definedName>
    <definedName name="PID" localSheetId="19">#REF!</definedName>
    <definedName name="PID" localSheetId="20">#REF!</definedName>
    <definedName name="PID" localSheetId="24">#REF!</definedName>
    <definedName name="PID" localSheetId="104">#REF!</definedName>
    <definedName name="PID" localSheetId="65">#REF!</definedName>
    <definedName name="PID" localSheetId="64">#REF!</definedName>
    <definedName name="PID" localSheetId="77">#REF!</definedName>
    <definedName name="PID" localSheetId="49">#REF!</definedName>
    <definedName name="PID" localSheetId="40">#REF!</definedName>
    <definedName name="PID" localSheetId="43">#REF!</definedName>
    <definedName name="PID" localSheetId="13">#REF!</definedName>
    <definedName name="PID" localSheetId="38">#REF!</definedName>
    <definedName name="PID">#REF!</definedName>
    <definedName name="Pile" localSheetId="3">#REF!</definedName>
    <definedName name="Pile" localSheetId="7">#REF!</definedName>
    <definedName name="Pile" localSheetId="9">#REF!</definedName>
    <definedName name="Pile" localSheetId="10">#REF!</definedName>
    <definedName name="Pile" localSheetId="15">#REF!</definedName>
    <definedName name="Pile" localSheetId="19">#REF!</definedName>
    <definedName name="Pile" localSheetId="20">#REF!</definedName>
    <definedName name="Pile" localSheetId="24">#REF!</definedName>
    <definedName name="Pile" localSheetId="104">#REF!</definedName>
    <definedName name="Pile" localSheetId="65">#REF!</definedName>
    <definedName name="Pile" localSheetId="64">#REF!</definedName>
    <definedName name="Pile" localSheetId="77">#REF!</definedName>
    <definedName name="Pile" localSheetId="49">#REF!</definedName>
    <definedName name="Pile" localSheetId="40">#REF!</definedName>
    <definedName name="Pile" localSheetId="43">#REF!</definedName>
    <definedName name="Pile" localSheetId="13">#REF!</definedName>
    <definedName name="Pile" localSheetId="38">#REF!</definedName>
    <definedName name="Pile">#REF!</definedName>
    <definedName name="PLANT_NAME" localSheetId="3">#REF!</definedName>
    <definedName name="PLANT_NAME" localSheetId="7">#REF!</definedName>
    <definedName name="PLANT_NAME" localSheetId="9">#REF!</definedName>
    <definedName name="PLANT_NAME" localSheetId="10">#REF!</definedName>
    <definedName name="PLANT_NAME" localSheetId="15">#REF!</definedName>
    <definedName name="PLANT_NAME" localSheetId="19">#REF!</definedName>
    <definedName name="PLANT_NAME" localSheetId="20">#REF!</definedName>
    <definedName name="PLANT_NAME" localSheetId="24">#REF!</definedName>
    <definedName name="PLANT_NAME" localSheetId="104">#REF!</definedName>
    <definedName name="PLANT_NAME" localSheetId="65">#REF!</definedName>
    <definedName name="PLANT_NAME" localSheetId="64">#REF!</definedName>
    <definedName name="PLANT_NAME" localSheetId="77">#REF!</definedName>
    <definedName name="PLANT_NAME" localSheetId="49">#REF!</definedName>
    <definedName name="PLANT_NAME" localSheetId="40">#REF!</definedName>
    <definedName name="PLANT_NAME" localSheetId="43">#REF!</definedName>
    <definedName name="PLANT_NAME" localSheetId="13">#REF!</definedName>
    <definedName name="PLANT_NAME" localSheetId="38">#REF!</definedName>
    <definedName name="PLANT_NAME">#REF!</definedName>
    <definedName name="pm" localSheetId="3">#REF!</definedName>
    <definedName name="pm" localSheetId="7">#REF!</definedName>
    <definedName name="pm" localSheetId="9">#REF!</definedName>
    <definedName name="pm" localSheetId="10">#REF!</definedName>
    <definedName name="pm" localSheetId="15">#REF!</definedName>
    <definedName name="pm" localSheetId="19">#REF!</definedName>
    <definedName name="pm" localSheetId="20">#REF!</definedName>
    <definedName name="pm" localSheetId="24">#REF!</definedName>
    <definedName name="pm" localSheetId="104">#REF!</definedName>
    <definedName name="pm" localSheetId="65">#REF!</definedName>
    <definedName name="pm" localSheetId="64">#REF!</definedName>
    <definedName name="pm" localSheetId="77">#REF!</definedName>
    <definedName name="pm" localSheetId="49">#REF!</definedName>
    <definedName name="pm" localSheetId="40">#REF!</definedName>
    <definedName name="pm" localSheetId="43">#REF!</definedName>
    <definedName name="pm" localSheetId="13">#REF!</definedName>
    <definedName name="pm" localSheetId="38">#REF!</definedName>
    <definedName name="pm">#REF!</definedName>
    <definedName name="PM_combustion_factor" localSheetId="3">#REF!</definedName>
    <definedName name="PM_combustion_factor" localSheetId="7">#REF!</definedName>
    <definedName name="PM_combustion_factor" localSheetId="9">#REF!</definedName>
    <definedName name="PM_combustion_factor" localSheetId="10">#REF!</definedName>
    <definedName name="PM_combustion_factor" localSheetId="15">#REF!</definedName>
    <definedName name="PM_combustion_factor" localSheetId="19">#REF!</definedName>
    <definedName name="PM_combustion_factor" localSheetId="20">#REF!</definedName>
    <definedName name="PM_combustion_factor" localSheetId="24">#REF!</definedName>
    <definedName name="PM_combustion_factor" localSheetId="104">#REF!</definedName>
    <definedName name="PM_combustion_factor" localSheetId="65">#REF!</definedName>
    <definedName name="PM_combustion_factor" localSheetId="64">#REF!</definedName>
    <definedName name="PM_combustion_factor" localSheetId="77">#REF!</definedName>
    <definedName name="PM_combustion_factor" localSheetId="49">#REF!</definedName>
    <definedName name="PM_combustion_factor" localSheetId="40">#REF!</definedName>
    <definedName name="PM_combustion_factor" localSheetId="43">#REF!</definedName>
    <definedName name="PM_combustion_factor" localSheetId="13">#REF!</definedName>
    <definedName name="PM_combustion_factor" localSheetId="38">#REF!</definedName>
    <definedName name="PM_combustion_factor">#REF!</definedName>
    <definedName name="PM_CONT_EFF" localSheetId="3">#REF!</definedName>
    <definedName name="PM_CONT_EFF" localSheetId="7">#REF!</definedName>
    <definedName name="PM_CONT_EFF" localSheetId="9">#REF!</definedName>
    <definedName name="PM_CONT_EFF" localSheetId="10">#REF!</definedName>
    <definedName name="PM_CONT_EFF" localSheetId="15">#REF!</definedName>
    <definedName name="PM_CONT_EFF" localSheetId="19">#REF!</definedName>
    <definedName name="PM_CONT_EFF" localSheetId="20">#REF!</definedName>
    <definedName name="PM_CONT_EFF" localSheetId="24">#REF!</definedName>
    <definedName name="PM_CONT_EFF" localSheetId="104">#REF!</definedName>
    <definedName name="PM_CONT_EFF" localSheetId="65">#REF!</definedName>
    <definedName name="PM_CONT_EFF" localSheetId="64">#REF!</definedName>
    <definedName name="PM_CONT_EFF" localSheetId="77">#REF!</definedName>
    <definedName name="PM_CONT_EFF" localSheetId="49">#REF!</definedName>
    <definedName name="PM_CONT_EFF" localSheetId="40">#REF!</definedName>
    <definedName name="PM_CONT_EFF" localSheetId="43">#REF!</definedName>
    <definedName name="PM_CONT_EFF" localSheetId="13">#REF!</definedName>
    <definedName name="PM_CONT_EFF" localSheetId="38">#REF!</definedName>
    <definedName name="PM_CONT_EFF">#REF!</definedName>
    <definedName name="PM_EF" localSheetId="3">#REF!</definedName>
    <definedName name="PM_EF" localSheetId="7">#REF!</definedName>
    <definedName name="PM_EF" localSheetId="9">#REF!</definedName>
    <definedName name="PM_EF" localSheetId="10">#REF!</definedName>
    <definedName name="PM_EF" localSheetId="15">#REF!</definedName>
    <definedName name="PM_EF" localSheetId="19">#REF!</definedName>
    <definedName name="PM_EF" localSheetId="20">#REF!</definedName>
    <definedName name="PM_EF" localSheetId="24">#REF!</definedName>
    <definedName name="PM_EF" localSheetId="104">#REF!</definedName>
    <definedName name="PM_EF" localSheetId="65">#REF!</definedName>
    <definedName name="PM_EF" localSheetId="64">#REF!</definedName>
    <definedName name="PM_EF" localSheetId="77">#REF!</definedName>
    <definedName name="PM_EF" localSheetId="49">#REF!</definedName>
    <definedName name="PM_EF" localSheetId="40">#REF!</definedName>
    <definedName name="PM_EF" localSheetId="43">#REF!</definedName>
    <definedName name="PM_EF" localSheetId="13">#REF!</definedName>
    <definedName name="PM_EF" localSheetId="38">#REF!</definedName>
    <definedName name="PM_EF">#REF!</definedName>
    <definedName name="PM10_CONT_EFF" localSheetId="3">#REF!</definedName>
    <definedName name="PM10_CONT_EFF" localSheetId="7">#REF!</definedName>
    <definedName name="PM10_CONT_EFF" localSheetId="9">#REF!</definedName>
    <definedName name="PM10_CONT_EFF" localSheetId="10">#REF!</definedName>
    <definedName name="PM10_CONT_EFF" localSheetId="15">#REF!</definedName>
    <definedName name="PM10_CONT_EFF" localSheetId="19">#REF!</definedName>
    <definedName name="PM10_CONT_EFF" localSheetId="20">#REF!</definedName>
    <definedName name="PM10_CONT_EFF" localSheetId="24">#REF!</definedName>
    <definedName name="PM10_CONT_EFF" localSheetId="104">#REF!</definedName>
    <definedName name="PM10_CONT_EFF" localSheetId="65">#REF!</definedName>
    <definedName name="PM10_CONT_EFF" localSheetId="64">#REF!</definedName>
    <definedName name="PM10_CONT_EFF" localSheetId="77">#REF!</definedName>
    <definedName name="PM10_CONT_EFF" localSheetId="49">#REF!</definedName>
    <definedName name="PM10_CONT_EFF" localSheetId="40">#REF!</definedName>
    <definedName name="PM10_CONT_EFF" localSheetId="43">#REF!</definedName>
    <definedName name="PM10_CONT_EFF" localSheetId="13">#REF!</definedName>
    <definedName name="PM10_CONT_EFF" localSheetId="38">#REF!</definedName>
    <definedName name="PM10_CONT_EFF">#REF!</definedName>
    <definedName name="PM2.5_CONT_EFF" localSheetId="3">#REF!</definedName>
    <definedName name="PM2.5_CONT_EFF" localSheetId="7">#REF!</definedName>
    <definedName name="PM2.5_CONT_EFF" localSheetId="9">#REF!</definedName>
    <definedName name="PM2.5_CONT_EFF" localSheetId="10">#REF!</definedName>
    <definedName name="PM2.5_CONT_EFF" localSheetId="15">#REF!</definedName>
    <definedName name="PM2.5_CONT_EFF" localSheetId="19">#REF!</definedName>
    <definedName name="PM2.5_CONT_EFF" localSheetId="20">#REF!</definedName>
    <definedName name="PM2.5_CONT_EFF" localSheetId="24">#REF!</definedName>
    <definedName name="PM2.5_CONT_EFF" localSheetId="104">#REF!</definedName>
    <definedName name="PM2.5_CONT_EFF" localSheetId="65">#REF!</definedName>
    <definedName name="PM2.5_CONT_EFF" localSheetId="64">#REF!</definedName>
    <definedName name="PM2.5_CONT_EFF" localSheetId="77">#REF!</definedName>
    <definedName name="PM2.5_CONT_EFF" localSheetId="49">#REF!</definedName>
    <definedName name="PM2.5_CONT_EFF" localSheetId="40">#REF!</definedName>
    <definedName name="PM2.5_CONT_EFF" localSheetId="43">#REF!</definedName>
    <definedName name="PM2.5_CONT_EFF" localSheetId="13">#REF!</definedName>
    <definedName name="PM2.5_CONT_EFF" localSheetId="38">#REF!</definedName>
    <definedName name="PM2.5_CONT_EFF">#REF!</definedName>
    <definedName name="pmce" localSheetId="3">#REF!</definedName>
    <definedName name="pmce" localSheetId="7">#REF!</definedName>
    <definedName name="pmce" localSheetId="9">#REF!</definedName>
    <definedName name="pmce" localSheetId="10">#REF!</definedName>
    <definedName name="pmce" localSheetId="15">#REF!</definedName>
    <definedName name="pmce" localSheetId="19">#REF!</definedName>
    <definedName name="pmce" localSheetId="20">#REF!</definedName>
    <definedName name="pmce" localSheetId="24">#REF!</definedName>
    <definedName name="pmce" localSheetId="104">#REF!</definedName>
    <definedName name="pmce" localSheetId="65">#REF!</definedName>
    <definedName name="pmce" localSheetId="64">#REF!</definedName>
    <definedName name="pmce" localSheetId="77">#REF!</definedName>
    <definedName name="pmce" localSheetId="49">#REF!</definedName>
    <definedName name="pmce" localSheetId="40">#REF!</definedName>
    <definedName name="pmce" localSheetId="43">#REF!</definedName>
    <definedName name="pmce" localSheetId="13">#REF!</definedName>
    <definedName name="pmce" localSheetId="38">#REF!</definedName>
    <definedName name="pmce">#REF!</definedName>
    <definedName name="PMEF" localSheetId="3">#REF!</definedName>
    <definedName name="PMEF" localSheetId="7">#REF!</definedName>
    <definedName name="PMEF" localSheetId="9">#REF!</definedName>
    <definedName name="PMEF" localSheetId="10">#REF!</definedName>
    <definedName name="PMEF" localSheetId="15">#REF!</definedName>
    <definedName name="PMEF" localSheetId="19">#REF!</definedName>
    <definedName name="PMEF" localSheetId="20">#REF!</definedName>
    <definedName name="PMEF" localSheetId="24">#REF!</definedName>
    <definedName name="PMEF" localSheetId="104">#REF!</definedName>
    <definedName name="PMEF" localSheetId="65">#REF!</definedName>
    <definedName name="PMEF" localSheetId="64">#REF!</definedName>
    <definedName name="PMEF" localSheetId="77">#REF!</definedName>
    <definedName name="PMEF" localSheetId="49">#REF!</definedName>
    <definedName name="PMEF" localSheetId="40">#REF!</definedName>
    <definedName name="PMEF" localSheetId="43">#REF!</definedName>
    <definedName name="PMEF" localSheetId="13">#REF!</definedName>
    <definedName name="PMEF" localSheetId="38">#REF!</definedName>
    <definedName name="PMEF">#REF!</definedName>
    <definedName name="pmrate" localSheetId="3">#REF!</definedName>
    <definedName name="pmrate" localSheetId="7">#REF!</definedName>
    <definedName name="pmrate" localSheetId="9">#REF!</definedName>
    <definedName name="pmrate" localSheetId="10">#REF!</definedName>
    <definedName name="pmrate" localSheetId="15">#REF!</definedName>
    <definedName name="pmrate" localSheetId="19">#REF!</definedName>
    <definedName name="pmrate" localSheetId="20">#REF!</definedName>
    <definedName name="pmrate" localSheetId="24">#REF!</definedName>
    <definedName name="pmrate" localSheetId="104">#REF!</definedName>
    <definedName name="pmrate" localSheetId="65">#REF!</definedName>
    <definedName name="pmrate" localSheetId="64">#REF!</definedName>
    <definedName name="pmrate" localSheetId="77">#REF!</definedName>
    <definedName name="pmrate" localSheetId="49">#REF!</definedName>
    <definedName name="pmrate" localSheetId="40">#REF!</definedName>
    <definedName name="pmrate" localSheetId="43">#REF!</definedName>
    <definedName name="pmrate" localSheetId="13">#REF!</definedName>
    <definedName name="pmrate" localSheetId="38">#REF!</definedName>
    <definedName name="pmrate">#REF!</definedName>
    <definedName name="po" localSheetId="3">#REF!</definedName>
    <definedName name="po" localSheetId="7">#REF!</definedName>
    <definedName name="po" localSheetId="9">#REF!</definedName>
    <definedName name="po" localSheetId="10">#REF!</definedName>
    <definedName name="po" localSheetId="15">#REF!</definedName>
    <definedName name="po" localSheetId="19">#REF!</definedName>
    <definedName name="po" localSheetId="20">#REF!</definedName>
    <definedName name="po" localSheetId="24">#REF!</definedName>
    <definedName name="po" localSheetId="104">#REF!</definedName>
    <definedName name="po" localSheetId="65">#REF!</definedName>
    <definedName name="po" localSheetId="64">#REF!</definedName>
    <definedName name="po" localSheetId="77">#REF!</definedName>
    <definedName name="po" localSheetId="49">#REF!</definedName>
    <definedName name="po" localSheetId="40">#REF!</definedName>
    <definedName name="po" localSheetId="43">#REF!</definedName>
    <definedName name="po" localSheetId="13">#REF!</definedName>
    <definedName name="po" localSheetId="38">#REF!</definedName>
    <definedName name="po">#REF!</definedName>
    <definedName name="POA" localSheetId="105" hidden="1">{"Detailed",#N/A,FALSE,"GAS-COMB";"Summary",#N/A,FALSE,"GAS-COMB"}</definedName>
    <definedName name="POA" localSheetId="96" hidden="1">{"Detailed",#N/A,FALSE,"GAS-COMB";"Summary",#N/A,FALSE,"GAS-COMB"}</definedName>
    <definedName name="POA" localSheetId="44" hidden="1">{"Detailed",#N/A,FALSE,"GAS-COMB";"Summary",#N/A,FALSE,"GAS-COMB"}</definedName>
    <definedName name="POA" hidden="1">{"Detailed",#N/A,FALSE,"GAS-COMB";"Summary",#N/A,FALSE,"GAS-COMB"}</definedName>
    <definedName name="poll_new_test" localSheetId="3">#REF!</definedName>
    <definedName name="poll_new_test" localSheetId="7">#REF!</definedName>
    <definedName name="poll_new_test" localSheetId="9">#REF!</definedName>
    <definedName name="poll_new_test" localSheetId="10">#REF!</definedName>
    <definedName name="poll_new_test" localSheetId="15">#REF!</definedName>
    <definedName name="poll_new_test" localSheetId="19">#REF!</definedName>
    <definedName name="poll_new_test" localSheetId="20">#REF!</definedName>
    <definedName name="poll_new_test" localSheetId="24">#REF!</definedName>
    <definedName name="poll_new_test" localSheetId="104">#REF!</definedName>
    <definedName name="poll_new_test" localSheetId="65">#REF!</definedName>
    <definedName name="poll_new_test" localSheetId="64">#REF!</definedName>
    <definedName name="poll_new_test" localSheetId="77">#REF!</definedName>
    <definedName name="poll_new_test" localSheetId="49">#REF!</definedName>
    <definedName name="poll_new_test" localSheetId="40">#REF!</definedName>
    <definedName name="poll_new_test" localSheetId="43">#REF!</definedName>
    <definedName name="poll_new_test" localSheetId="13">#REF!</definedName>
    <definedName name="poll_new_test" localSheetId="38">#REF!</definedName>
    <definedName name="poll_new_test">#REF!</definedName>
    <definedName name="pph_gps" localSheetId="3">#REF!</definedName>
    <definedName name="pph_gps" localSheetId="7">#REF!</definedName>
    <definedName name="pph_gps" localSheetId="9">#REF!</definedName>
    <definedName name="pph_gps" localSheetId="10">#REF!</definedName>
    <definedName name="pph_gps" localSheetId="15">#REF!</definedName>
    <definedName name="pph_gps" localSheetId="19">#REF!</definedName>
    <definedName name="pph_gps" localSheetId="20">#REF!</definedName>
    <definedName name="pph_gps" localSheetId="24">#REF!</definedName>
    <definedName name="pph_gps" localSheetId="104">#REF!</definedName>
    <definedName name="pph_gps" localSheetId="65">#REF!</definedName>
    <definedName name="pph_gps" localSheetId="64">#REF!</definedName>
    <definedName name="pph_gps" localSheetId="77">#REF!</definedName>
    <definedName name="pph_gps" localSheetId="49">#REF!</definedName>
    <definedName name="pph_gps" localSheetId="40">#REF!</definedName>
    <definedName name="pph_gps" localSheetId="43">#REF!</definedName>
    <definedName name="pph_gps" localSheetId="13">#REF!</definedName>
    <definedName name="pph_gps" localSheetId="38">#REF!</definedName>
    <definedName name="pph_gps">#REF!</definedName>
    <definedName name="ppyCO" localSheetId="3">#REF!</definedName>
    <definedName name="ppyCO" localSheetId="7">#REF!</definedName>
    <definedName name="ppyCO" localSheetId="9">#REF!</definedName>
    <definedName name="ppyCO" localSheetId="10">#REF!</definedName>
    <definedName name="ppyCO" localSheetId="15">#REF!</definedName>
    <definedName name="ppyCO" localSheetId="19">#REF!</definedName>
    <definedName name="ppyCO" localSheetId="20">#REF!</definedName>
    <definedName name="ppyCO" localSheetId="24">#REF!</definedName>
    <definedName name="ppyCO" localSheetId="104">#REF!</definedName>
    <definedName name="ppyCO" localSheetId="65">#REF!</definedName>
    <definedName name="ppyCO" localSheetId="64">#REF!</definedName>
    <definedName name="ppyCO" localSheetId="77">#REF!</definedName>
    <definedName name="ppyCO" localSheetId="49">#REF!</definedName>
    <definedName name="ppyCO" localSheetId="40">#REF!</definedName>
    <definedName name="ppyCO" localSheetId="43">#REF!</definedName>
    <definedName name="ppyCO" localSheetId="13">#REF!</definedName>
    <definedName name="ppyCO" localSheetId="38">#REF!</definedName>
    <definedName name="ppyCO">#REF!</definedName>
    <definedName name="ppyCO2" localSheetId="3">#REF!</definedName>
    <definedName name="ppyCO2" localSheetId="7">#REF!</definedName>
    <definedName name="ppyCO2" localSheetId="9">#REF!</definedName>
    <definedName name="ppyCO2" localSheetId="10">#REF!</definedName>
    <definedName name="ppyCO2" localSheetId="15">#REF!</definedName>
    <definedName name="ppyCO2" localSheetId="19">#REF!</definedName>
    <definedName name="ppyCO2" localSheetId="20">#REF!</definedName>
    <definedName name="ppyCO2" localSheetId="24">#REF!</definedName>
    <definedName name="ppyCO2" localSheetId="104">#REF!</definedName>
    <definedName name="ppyCO2" localSheetId="65">#REF!</definedName>
    <definedName name="ppyCO2" localSheetId="64">#REF!</definedName>
    <definedName name="ppyCO2" localSheetId="77">#REF!</definedName>
    <definedName name="ppyCO2" localSheetId="49">#REF!</definedName>
    <definedName name="ppyCO2" localSheetId="40">#REF!</definedName>
    <definedName name="ppyCO2" localSheetId="43">#REF!</definedName>
    <definedName name="ppyCO2" localSheetId="13">#REF!</definedName>
    <definedName name="ppyCO2" localSheetId="38">#REF!</definedName>
    <definedName name="ppyCO2">#REF!</definedName>
    <definedName name="ppyEmit" localSheetId="3">#REF!</definedName>
    <definedName name="ppyEmit" localSheetId="7">#REF!</definedName>
    <definedName name="ppyEmit" localSheetId="9">#REF!</definedName>
    <definedName name="ppyEmit" localSheetId="10">#REF!</definedName>
    <definedName name="ppyEmit" localSheetId="15">#REF!</definedName>
    <definedName name="ppyEmit" localSheetId="19">#REF!</definedName>
    <definedName name="ppyEmit" localSheetId="20">#REF!</definedName>
    <definedName name="ppyEmit" localSheetId="24">#REF!</definedName>
    <definedName name="ppyEmit" localSheetId="104">#REF!</definedName>
    <definedName name="ppyEmit" localSheetId="65">#REF!</definedName>
    <definedName name="ppyEmit" localSheetId="64">#REF!</definedName>
    <definedName name="ppyEmit" localSheetId="77">#REF!</definedName>
    <definedName name="ppyEmit" localSheetId="49">#REF!</definedName>
    <definedName name="ppyEmit" localSheetId="40">#REF!</definedName>
    <definedName name="ppyEmit" localSheetId="43">#REF!</definedName>
    <definedName name="ppyEmit" localSheetId="13">#REF!</definedName>
    <definedName name="ppyEmit" localSheetId="38">#REF!</definedName>
    <definedName name="ppyEmit">#REF!</definedName>
    <definedName name="ppyNOx" localSheetId="3">#REF!</definedName>
    <definedName name="ppyNOx" localSheetId="7">#REF!</definedName>
    <definedName name="ppyNOx" localSheetId="9">#REF!</definedName>
    <definedName name="ppyNOx" localSheetId="10">#REF!</definedName>
    <definedName name="ppyNOx" localSheetId="15">#REF!</definedName>
    <definedName name="ppyNOx" localSheetId="19">#REF!</definedName>
    <definedName name="ppyNOx" localSheetId="20">#REF!</definedName>
    <definedName name="ppyNOx" localSheetId="24">#REF!</definedName>
    <definedName name="ppyNOx" localSheetId="104">#REF!</definedName>
    <definedName name="ppyNOx" localSheetId="65">#REF!</definedName>
    <definedName name="ppyNOx" localSheetId="64">#REF!</definedName>
    <definedName name="ppyNOx" localSheetId="77">#REF!</definedName>
    <definedName name="ppyNOx" localSheetId="49">#REF!</definedName>
    <definedName name="ppyNOx" localSheetId="40">#REF!</definedName>
    <definedName name="ppyNOx" localSheetId="43">#REF!</definedName>
    <definedName name="ppyNOx" localSheetId="13">#REF!</definedName>
    <definedName name="ppyNOx" localSheetId="38">#REF!</definedName>
    <definedName name="ppyNOx">#REF!</definedName>
    <definedName name="Prange" localSheetId="3">#REF!</definedName>
    <definedName name="Prange" localSheetId="7">#REF!</definedName>
    <definedName name="Prange" localSheetId="9">#REF!</definedName>
    <definedName name="Prange" localSheetId="10">#REF!</definedName>
    <definedName name="Prange" localSheetId="15">#REF!</definedName>
    <definedName name="Prange" localSheetId="19">#REF!</definedName>
    <definedName name="Prange" localSheetId="20">#REF!</definedName>
    <definedName name="Prange" localSheetId="24">#REF!</definedName>
    <definedName name="Prange" localSheetId="104">#REF!</definedName>
    <definedName name="Prange" localSheetId="65">#REF!</definedName>
    <definedName name="Prange" localSheetId="64">#REF!</definedName>
    <definedName name="Prange" localSheetId="77">#REF!</definedName>
    <definedName name="Prange" localSheetId="49">#REF!</definedName>
    <definedName name="Prange" localSheetId="40">#REF!</definedName>
    <definedName name="Prange" localSheetId="43">#REF!</definedName>
    <definedName name="Prange" localSheetId="13">#REF!</definedName>
    <definedName name="Prange" localSheetId="38">#REF!</definedName>
    <definedName name="Prange">#REF!</definedName>
    <definedName name="preesur" localSheetId="3">'[24]V-B Calculation'!#REF!</definedName>
    <definedName name="preesur" localSheetId="7">'[24]V-B Calculation'!#REF!</definedName>
    <definedName name="preesur" localSheetId="9">'[24]V-B Calculation'!#REF!</definedName>
    <definedName name="preesur" localSheetId="10">'[24]V-B Calculation'!#REF!</definedName>
    <definedName name="preesur" localSheetId="15">'[24]V-B Calculation'!#REF!</definedName>
    <definedName name="preesur" localSheetId="19">'[24]V-B Calculation'!#REF!</definedName>
    <definedName name="preesur" localSheetId="20">'[24]V-B Calculation'!#REF!</definedName>
    <definedName name="preesur" localSheetId="24">'[24]V-B Calculation'!#REF!</definedName>
    <definedName name="preesur" localSheetId="104">'[24]V-B Calculation'!#REF!</definedName>
    <definedName name="preesur" localSheetId="65">'[24]V-B Calculation'!#REF!</definedName>
    <definedName name="preesur" localSheetId="64">'[24]V-B Calculation'!#REF!</definedName>
    <definedName name="preesur" localSheetId="77">'[24]V-B Calculation'!#REF!</definedName>
    <definedName name="preesur" localSheetId="49">'[24]V-B Calculation'!#REF!</definedName>
    <definedName name="preesur" localSheetId="40">'[24]V-B Calculation'!#REF!</definedName>
    <definedName name="preesur" localSheetId="43">'[24]V-B Calculation'!#REF!</definedName>
    <definedName name="preesur" localSheetId="13">'[24]V-B Calculation'!#REF!</definedName>
    <definedName name="preesur" localSheetId="38">'[24]V-B Calculation'!#REF!</definedName>
    <definedName name="preesur">'[24]V-B Calculation'!#REF!</definedName>
    <definedName name="pres1" localSheetId="3">#REF!</definedName>
    <definedName name="pres1" localSheetId="7">#REF!</definedName>
    <definedName name="pres1" localSheetId="9">#REF!</definedName>
    <definedName name="pres1" localSheetId="10">#REF!</definedName>
    <definedName name="pres1" localSheetId="15">#REF!</definedName>
    <definedName name="pres1" localSheetId="19">#REF!</definedName>
    <definedName name="pres1" localSheetId="20">#REF!</definedName>
    <definedName name="pres1" localSheetId="24">#REF!</definedName>
    <definedName name="pres1" localSheetId="104">#REF!</definedName>
    <definedName name="pres1" localSheetId="65">#REF!</definedName>
    <definedName name="pres1" localSheetId="64">#REF!</definedName>
    <definedName name="pres1" localSheetId="77">#REF!</definedName>
    <definedName name="pres1" localSheetId="49">#REF!</definedName>
    <definedName name="pres1" localSheetId="40">#REF!</definedName>
    <definedName name="pres1" localSheetId="43">#REF!</definedName>
    <definedName name="pres1" localSheetId="13">#REF!</definedName>
    <definedName name="pres1" localSheetId="38">#REF!</definedName>
    <definedName name="pres1">#REF!</definedName>
    <definedName name="pres2" localSheetId="3">#REF!</definedName>
    <definedName name="pres2" localSheetId="7">#REF!</definedName>
    <definedName name="pres2" localSheetId="9">#REF!</definedName>
    <definedName name="pres2" localSheetId="10">#REF!</definedName>
    <definedName name="pres2" localSheetId="15">#REF!</definedName>
    <definedName name="pres2" localSheetId="19">#REF!</definedName>
    <definedName name="pres2" localSheetId="20">#REF!</definedName>
    <definedName name="pres2" localSheetId="24">#REF!</definedName>
    <definedName name="pres2" localSheetId="104">#REF!</definedName>
    <definedName name="pres2" localSheetId="65">#REF!</definedName>
    <definedName name="pres2" localSheetId="64">#REF!</definedName>
    <definedName name="pres2" localSheetId="77">#REF!</definedName>
    <definedName name="pres2" localSheetId="49">#REF!</definedName>
    <definedName name="pres2" localSheetId="40">#REF!</definedName>
    <definedName name="pres2" localSheetId="43">#REF!</definedName>
    <definedName name="pres2" localSheetId="13">#REF!</definedName>
    <definedName name="pres2" localSheetId="38">#REF!</definedName>
    <definedName name="pres2">#REF!</definedName>
    <definedName name="pres3" localSheetId="3">#REF!</definedName>
    <definedName name="pres3" localSheetId="7">#REF!</definedName>
    <definedName name="pres3" localSheetId="9">#REF!</definedName>
    <definedName name="pres3" localSheetId="10">#REF!</definedName>
    <definedName name="pres3" localSheetId="15">#REF!</definedName>
    <definedName name="pres3" localSheetId="19">#REF!</definedName>
    <definedName name="pres3" localSheetId="20">#REF!</definedName>
    <definedName name="pres3" localSheetId="24">#REF!</definedName>
    <definedName name="pres3" localSheetId="104">#REF!</definedName>
    <definedName name="pres3" localSheetId="65">#REF!</definedName>
    <definedName name="pres3" localSheetId="64">#REF!</definedName>
    <definedName name="pres3" localSheetId="77">#REF!</definedName>
    <definedName name="pres3" localSheetId="49">#REF!</definedName>
    <definedName name="pres3" localSheetId="40">#REF!</definedName>
    <definedName name="pres3" localSheetId="43">#REF!</definedName>
    <definedName name="pres3" localSheetId="13">#REF!</definedName>
    <definedName name="pres3" localSheetId="38">#REF!</definedName>
    <definedName name="pres3">#REF!</definedName>
    <definedName name="pres4" localSheetId="3">#REF!</definedName>
    <definedName name="pres4" localSheetId="7">#REF!</definedName>
    <definedName name="pres4" localSheetId="9">#REF!</definedName>
    <definedName name="pres4" localSheetId="10">#REF!</definedName>
    <definedName name="pres4" localSheetId="15">#REF!</definedName>
    <definedName name="pres4" localSheetId="19">#REF!</definedName>
    <definedName name="pres4" localSheetId="20">#REF!</definedName>
    <definedName name="pres4" localSheetId="24">#REF!</definedName>
    <definedName name="pres4" localSheetId="104">#REF!</definedName>
    <definedName name="pres4" localSheetId="65">#REF!</definedName>
    <definedName name="pres4" localSheetId="64">#REF!</definedName>
    <definedName name="pres4" localSheetId="77">#REF!</definedName>
    <definedName name="pres4" localSheetId="49">#REF!</definedName>
    <definedName name="pres4" localSheetId="40">#REF!</definedName>
    <definedName name="pres4" localSheetId="43">#REF!</definedName>
    <definedName name="pres4" localSheetId="13">#REF!</definedName>
    <definedName name="pres4" localSheetId="38">#REF!</definedName>
    <definedName name="pres4">#REF!</definedName>
    <definedName name="pressure" localSheetId="3">#REF!</definedName>
    <definedName name="pressure" localSheetId="7">#REF!</definedName>
    <definedName name="pressure" localSheetId="9">#REF!</definedName>
    <definedName name="pressure" localSheetId="10">#REF!</definedName>
    <definedName name="pressure" localSheetId="15">#REF!</definedName>
    <definedName name="pressure" localSheetId="19">#REF!</definedName>
    <definedName name="pressure" localSheetId="20">#REF!</definedName>
    <definedName name="pressure" localSheetId="24">#REF!</definedName>
    <definedName name="pressure" localSheetId="104">#REF!</definedName>
    <definedName name="pressure" localSheetId="65">#REF!</definedName>
    <definedName name="pressure" localSheetId="64">#REF!</definedName>
    <definedName name="pressure" localSheetId="77">#REF!</definedName>
    <definedName name="pressure" localSheetId="49">#REF!</definedName>
    <definedName name="pressure" localSheetId="48">#REF!</definedName>
    <definedName name="pressure" localSheetId="40">#REF!</definedName>
    <definedName name="pressure" localSheetId="43">#REF!</definedName>
    <definedName name="pressure" localSheetId="13">#REF!</definedName>
    <definedName name="pressure" localSheetId="38">#REF!</definedName>
    <definedName name="pressure">#REF!</definedName>
    <definedName name="Pressure2" localSheetId="3">#REF!</definedName>
    <definedName name="Pressure2" localSheetId="7">#REF!</definedName>
    <definedName name="Pressure2" localSheetId="9">#REF!</definedName>
    <definedName name="Pressure2" localSheetId="10">#REF!</definedName>
    <definedName name="Pressure2" localSheetId="15">#REF!</definedName>
    <definedName name="Pressure2" localSheetId="19">#REF!</definedName>
    <definedName name="Pressure2" localSheetId="20">#REF!</definedName>
    <definedName name="Pressure2" localSheetId="24">#REF!</definedName>
    <definedName name="Pressure2" localSheetId="104">#REF!</definedName>
    <definedName name="Pressure2" localSheetId="65">#REF!</definedName>
    <definedName name="Pressure2" localSheetId="64">#REF!</definedName>
    <definedName name="Pressure2" localSheetId="77">#REF!</definedName>
    <definedName name="Pressure2" localSheetId="49">#REF!</definedName>
    <definedName name="Pressure2" localSheetId="40">#REF!</definedName>
    <definedName name="Pressure2" localSheetId="43">#REF!</definedName>
    <definedName name="Pressure2" localSheetId="13">#REF!</definedName>
    <definedName name="Pressure2" localSheetId="38">#REF!</definedName>
    <definedName name="Pressure2">#REF!</definedName>
    <definedName name="prestot" localSheetId="3">#REF!</definedName>
    <definedName name="prestot" localSheetId="7">#REF!</definedName>
    <definedName name="prestot" localSheetId="9">#REF!</definedName>
    <definedName name="prestot" localSheetId="10">#REF!</definedName>
    <definedName name="prestot" localSheetId="15">#REF!</definedName>
    <definedName name="prestot" localSheetId="19">#REF!</definedName>
    <definedName name="prestot" localSheetId="20">#REF!</definedName>
    <definedName name="prestot" localSheetId="24">#REF!</definedName>
    <definedName name="prestot" localSheetId="104">#REF!</definedName>
    <definedName name="prestot" localSheetId="65">#REF!</definedName>
    <definedName name="prestot" localSheetId="64">#REF!</definedName>
    <definedName name="prestot" localSheetId="77">#REF!</definedName>
    <definedName name="prestot" localSheetId="49">#REF!</definedName>
    <definedName name="prestot" localSheetId="40">#REF!</definedName>
    <definedName name="prestot" localSheetId="43">#REF!</definedName>
    <definedName name="prestot" localSheetId="13">#REF!</definedName>
    <definedName name="prestot" localSheetId="38">#REF!</definedName>
    <definedName name="prestot">#REF!</definedName>
    <definedName name="PRINT" localSheetId="3">#REF!</definedName>
    <definedName name="PRINT" localSheetId="7">#REF!</definedName>
    <definedName name="PRINT" localSheetId="9">#REF!</definedName>
    <definedName name="PRINT" localSheetId="10">#REF!</definedName>
    <definedName name="PRINT" localSheetId="15">#REF!</definedName>
    <definedName name="PRINT" localSheetId="19">#REF!</definedName>
    <definedName name="PRINT" localSheetId="20">#REF!</definedName>
    <definedName name="PRINT" localSheetId="24">#REF!</definedName>
    <definedName name="PRINT" localSheetId="104">#REF!</definedName>
    <definedName name="PRINT" localSheetId="65">#REF!</definedName>
    <definedName name="PRINT" localSheetId="64">#REF!</definedName>
    <definedName name="PRINT" localSheetId="77">#REF!</definedName>
    <definedName name="PRINT" localSheetId="49">#REF!</definedName>
    <definedName name="PRINT" localSheetId="40">#REF!</definedName>
    <definedName name="PRINT" localSheetId="43">#REF!</definedName>
    <definedName name="PRINT" localSheetId="13">#REF!</definedName>
    <definedName name="PRINT" localSheetId="38">#REF!</definedName>
    <definedName name="PRINT">#REF!</definedName>
    <definedName name="_xlnm.Print_Area" localSheetId="69">' Ann (ECD1)'!$A$1:$U$53</definedName>
    <definedName name="_xlnm.Print_Area" localSheetId="3">'2-A All'!$A$1:$M$133</definedName>
    <definedName name="_xlnm.Print_Area" localSheetId="7">'2-A_1TURB'!$A$1:$M$98</definedName>
    <definedName name="_xlnm.Print_Area" localSheetId="6">'2-A_2TURB'!$A$1:$M$94</definedName>
    <definedName name="_xlnm.Print_Area" localSheetId="5">'2-A_3TURB'!$A$1:$M$90</definedName>
    <definedName name="_xlnm.Print_Area" localSheetId="4">'2-A_NoTURB'!$A$1:$M$124</definedName>
    <definedName name="_xlnm.Print_Area" localSheetId="9">'2-B'!$A$1:$H$55</definedName>
    <definedName name="_xlnm.Print_Area" localSheetId="10">#REF!</definedName>
    <definedName name="_xlnm.Print_Area" localSheetId="15">'2-D-Co'!$A$1:$S$52</definedName>
    <definedName name="_xlnm.Print_Area" localSheetId="16">'2-D-NoCo'!$A$1:$S$61</definedName>
    <definedName name="_xlnm.Print_Area" localSheetId="18">'2-E-NoCo'!$A$1:$S$62</definedName>
    <definedName name="_xlnm.Print_Area" localSheetId="19">#REF!</definedName>
    <definedName name="_xlnm.Print_Area" localSheetId="20">#REF!</definedName>
    <definedName name="_xlnm.Print_Area" localSheetId="23">'2-H'!$A$1:$K$41</definedName>
    <definedName name="_xlnm.Print_Area" localSheetId="22">'2-H-Co'!$A$1:$K$23</definedName>
    <definedName name="_xlnm.Print_Area" localSheetId="25">'2-I_NoCo'!$A$1:$V$62</definedName>
    <definedName name="_xlnm.Print_Area" localSheetId="24">'2-I-Co'!$A$1:$V$53</definedName>
    <definedName name="_xlnm.Print_Area" localSheetId="35">'2-P_Co'!$A$1:$R$47</definedName>
    <definedName name="_xlnm.Print_Area" localSheetId="100">AltHeatScenarios!$B$1:$V$20</definedName>
    <definedName name="_xlnm.Print_Area" localSheetId="62">'Ann (FL1-FL3)'!$A$1:$N$53</definedName>
    <definedName name="_xlnm.Print_Area" localSheetId="58">'Ann (FL1-FL3CRYO-MSS)'!$A$1:$L$54</definedName>
    <definedName name="_xlnm.Print_Area" localSheetId="60">'Ann (FL1-FL3OVHD-MSS)'!$A$1:$L$54</definedName>
    <definedName name="_xlnm.Print_Area" localSheetId="50">Burners!$A$1:$W$44</definedName>
    <definedName name="_xlnm.Print_Area" localSheetId="51">'Burners No Cogen'!$A$1:$W$74</definedName>
    <definedName name="_xlnm.Print_Area" localSheetId="46">'Cogen VOC, HAPs'!$A$1:$M$114</definedName>
    <definedName name="_xlnm.Print_Area" localSheetId="105">'COGEN-New'!$A$1:$J$37</definedName>
    <definedName name="_xlnm.Print_Area" localSheetId="45">'Cogen-SO2_H2SO4'!$A$1:$J$59</definedName>
    <definedName name="_xlnm.Print_Area" localSheetId="104">'Cogen-SO2_H2SO4 (2)'!$A$1:$J$63</definedName>
    <definedName name="_xlnm.Print_Area" localSheetId="94">'Components - Amine Inlet Gas'!$A$1:$K$33</definedName>
    <definedName name="_xlnm.Print_Area" localSheetId="88">'Components - DRAIN OUTLET OIL'!$A$1:$K$79</definedName>
    <definedName name="_xlnm.Print_Area" localSheetId="89">'Components - DRAIN OUTLET WATER'!$A$1:$K$79</definedName>
    <definedName name="_xlnm.Print_Area" localSheetId="87">'Components - IFR INLET'!$A$1:$K$79</definedName>
    <definedName name="_xlnm.Print_Area" localSheetId="86">'Components - INLET GAS'!$A$1:$L$79</definedName>
    <definedName name="_xlnm.Print_Area" localSheetId="90">'Components - SURGE WATER'!$A$1:$K$79</definedName>
    <definedName name="_xlnm.Print_Area" localSheetId="91">'Components -Stabilizer Overhead'!$A$1:$L$79</definedName>
    <definedName name="_xlnm.Print_Area" localSheetId="75">'Controlled Engines'!$A$1:$AD$21</definedName>
    <definedName name="_xlnm.Print_Area" localSheetId="0">'Cover Page'!$A$1:$J$48</definedName>
    <definedName name="_xlnm.Print_Area" localSheetId="65">#REF!</definedName>
    <definedName name="_xlnm.Print_Area" localSheetId="64">#REF!</definedName>
    <definedName name="_xlnm.Print_Area" localSheetId="76">Fugitive!$A$1:$K$77</definedName>
    <definedName name="_xlnm.Print_Area" localSheetId="77">'Fugitive CH4'!$A$1:$K$44</definedName>
    <definedName name="_xlnm.Print_Area" localSheetId="78">'Fugitives HAPs'!$A$1:$K$44</definedName>
    <definedName name="_xlnm.Print_Area" localSheetId="49">#REF!</definedName>
    <definedName name="_xlnm.Print_Area" localSheetId="96">'Generator Insig'!$A$1:$P$56</definedName>
    <definedName name="_xlnm.Print_Area" localSheetId="48">Generators!$A$1:$AG$24</definedName>
    <definedName name="_xlnm.Print_Area" localSheetId="68">'Hrly (ECD1)'!$A$1:$U$53</definedName>
    <definedName name="_xlnm.Print_Area" localSheetId="61">'Hrly (FL1-FL3)'!$A$1:$N$54</definedName>
    <definedName name="_xlnm.Print_Area" localSheetId="57">'Hrly (FL1-FL3CRYO-SSM)'!$A$1:$L$54</definedName>
    <definedName name="_xlnm.Print_Area" localSheetId="59">'Hrly (FL1-FL3OVHD-SSM)'!$A$1:$L$54</definedName>
    <definedName name="_xlnm.Print_Area" localSheetId="67">'IFR Tanks (IFR1-IFR4)'!$A$1:$K$47</definedName>
    <definedName name="_xlnm.Print_Area" localSheetId="80">'Load-H2O'!$A$1:$H$40</definedName>
    <definedName name="_xlnm.Print_Area" localSheetId="79">'Load-Slop Oil'!$A$1:$H$89</definedName>
    <definedName name="_xlnm.Print_Area" localSheetId="40">'PSD-Co'!$A$1:$S$14</definedName>
    <definedName name="_xlnm.Print_Area" localSheetId="43">'PSD-NoCo'!$A$1:$S$13</definedName>
    <definedName name="_xlnm.Print_Area" localSheetId="44">'Q-D '!$A$1:$O$59</definedName>
    <definedName name="_xlnm.Print_Area" localSheetId="81">Road!$A$1:$J$34</definedName>
    <definedName name="_xlnm.Print_Area" localSheetId="13">'Sum UC-Co11X17'!$A$1:$S$55</definedName>
    <definedName name="_xlnm.Print_Area" localSheetId="11">'Sum UC-NoCo11X17'!$A$1:$S$64</definedName>
    <definedName name="_xlnm.Print_Area" localSheetId="38">'Summary UC-Co'!$A$1:$S$64</definedName>
    <definedName name="_xlnm.Print_Area" localSheetId="41">'Summary UC-NoCo'!$A$1:$S$74</definedName>
    <definedName name="_xlnm.Print_Area" localSheetId="101">Summary_1TUR!$A$1:$U$70</definedName>
    <definedName name="_xlnm.Print_Area" localSheetId="102">Summary_2TUR!$A$1:$U$68</definedName>
    <definedName name="_xlnm.Print_Area" localSheetId="103">Summary_3TUR!$A$1:$U$66</definedName>
    <definedName name="_xlnm.Print_Area" localSheetId="97">'Summary-AllForAERMOd'!$A$1:$U$70</definedName>
    <definedName name="_xlnm.Print_Area" localSheetId="39">'Summary-Co'!$A$1:$U$66</definedName>
    <definedName name="_xlnm.Print_Area" localSheetId="14">'Summary-Co 11x17'!$A$1:$U$56</definedName>
    <definedName name="_xlnm.Print_Area" localSheetId="42">'Summary-NoCo'!$A$1:$U$75</definedName>
    <definedName name="_xlnm.Print_Area" localSheetId="12">'Sum-NoCo11X17'!$A$1:$U$63</definedName>
    <definedName name="_xlnm.Print_Area" localSheetId="66">'Tank Summary'!$A$1:$N$26</definedName>
    <definedName name="_xlnm.Print_Area" localSheetId="72">'TO Ann (TO1-TO3)'!$A$1:$N$44</definedName>
    <definedName name="_xlnm.Print_Area" localSheetId="73">'TO GHG-Flash '!$A$1:$O$55</definedName>
    <definedName name="_xlnm.Print_Area" localSheetId="74">'TO GHG-Still'!$A$1:$O$55</definedName>
    <definedName name="_xlnm.Print_Area" localSheetId="71">'TO Hrly (TO1-TO3)'!$A$1:$N$59</definedName>
    <definedName name="_xlnm.Print_Area" localSheetId="1">TOC!$A$1:$H$770</definedName>
    <definedName name="_xlnm.Print_Area">#REF!</definedName>
    <definedName name="Print_Area_MI" localSheetId="3">#REF!</definedName>
    <definedName name="Print_Area_MI" localSheetId="7">#REF!</definedName>
    <definedName name="Print_Area_MI" localSheetId="9">#REF!</definedName>
    <definedName name="Print_Area_MI" localSheetId="10">#REF!</definedName>
    <definedName name="Print_Area_MI" localSheetId="15">#REF!</definedName>
    <definedName name="Print_Area_MI" localSheetId="19">#REF!</definedName>
    <definedName name="Print_Area_MI" localSheetId="20">#REF!</definedName>
    <definedName name="Print_Area_MI" localSheetId="24">#REF!</definedName>
    <definedName name="Print_Area_MI" localSheetId="104">#REF!</definedName>
    <definedName name="Print_Area_MI" localSheetId="65">#REF!</definedName>
    <definedName name="Print_Area_MI" localSheetId="64">#REF!</definedName>
    <definedName name="Print_Area_MI" localSheetId="77">#REF!</definedName>
    <definedName name="Print_Area_MI" localSheetId="49">#REF!</definedName>
    <definedName name="Print_Area_MI" localSheetId="40">#REF!</definedName>
    <definedName name="Print_Area_MI" localSheetId="43">#REF!</definedName>
    <definedName name="Print_Area_MI" localSheetId="13">#REF!</definedName>
    <definedName name="Print_Area_MI" localSheetId="38">#REF!</definedName>
    <definedName name="Print_Area_MI">#REF!</definedName>
    <definedName name="Print_Asea" localSheetId="3">#REF!</definedName>
    <definedName name="Print_Asea" localSheetId="7">#REF!</definedName>
    <definedName name="Print_Asea" localSheetId="9">#REF!</definedName>
    <definedName name="Print_Asea" localSheetId="10">#REF!</definedName>
    <definedName name="Print_Asea" localSheetId="15">#REF!</definedName>
    <definedName name="Print_Asea" localSheetId="19">#REF!</definedName>
    <definedName name="Print_Asea" localSheetId="20">#REF!</definedName>
    <definedName name="Print_Asea" localSheetId="24">#REF!</definedName>
    <definedName name="Print_Asea" localSheetId="104">#REF!</definedName>
    <definedName name="Print_Asea" localSheetId="65">#REF!</definedName>
    <definedName name="Print_Asea" localSheetId="64">#REF!</definedName>
    <definedName name="Print_Asea" localSheetId="77">#REF!</definedName>
    <definedName name="Print_Asea" localSheetId="49">#REF!</definedName>
    <definedName name="Print_Asea" localSheetId="40">#REF!</definedName>
    <definedName name="Print_Asea" localSheetId="43">#REF!</definedName>
    <definedName name="Print_Asea" localSheetId="13">#REF!</definedName>
    <definedName name="Print_Asea" localSheetId="38">#REF!</definedName>
    <definedName name="Print_Asea">#REF!</definedName>
    <definedName name="_xlnm.Print_Titles" localSheetId="3">'2-A All'!$1:$6</definedName>
    <definedName name="_xlnm.Print_Titles" localSheetId="7">'2-A_1TURB'!$1:$6</definedName>
    <definedName name="_xlnm.Print_Titles" localSheetId="6">'2-A_2TURB'!$1:$6</definedName>
    <definedName name="_xlnm.Print_Titles" localSheetId="5">'2-A_3TURB'!$1:$6</definedName>
    <definedName name="_xlnm.Print_Titles" localSheetId="8">'2-A_4TURB'!$1:$6</definedName>
    <definedName name="_xlnm.Print_Titles" localSheetId="4">'2-A_NoTURB'!$1:$6</definedName>
    <definedName name="_xlnm.Print_Titles" localSheetId="9">'2-B'!$1:$6</definedName>
    <definedName name="_xlnm.Print_Titles" localSheetId="15">'2-D-Co'!$1:$4</definedName>
    <definedName name="_xlnm.Print_Titles" localSheetId="16">'2-D-NoCo'!$1:$4</definedName>
    <definedName name="_xlnm.Print_Titles" localSheetId="17">'2-E-Co'!$1:$4</definedName>
    <definedName name="_xlnm.Print_Titles" localSheetId="18">'2-E-NoCo'!$1:$4</definedName>
    <definedName name="_xlnm.Print_Titles" localSheetId="23">'2-H'!$1:$4</definedName>
    <definedName name="_xlnm.Print_Titles" localSheetId="25">'2-I_NoCo'!$1:$5</definedName>
    <definedName name="_xlnm.Print_Titles" localSheetId="24">'2-I-Co'!$1:$5</definedName>
    <definedName name="_xlnm.Print_Titles" localSheetId="35">'2-P_Co'!$1:$4</definedName>
    <definedName name="_xlnm.Print_Titles" localSheetId="36">'2-P_NoCo'!$1:$4</definedName>
    <definedName name="_xlnm.Print_Titles" localSheetId="46">'Cogen VOC, HAPs'!$1:$5</definedName>
    <definedName name="_xlnm.Print_Titles" localSheetId="79">'Load-Slop Oil'!$1:$10</definedName>
    <definedName name="_xlnm.Print_Titles" localSheetId="40">'PSD-Co'!$1:$8</definedName>
    <definedName name="_xlnm.Print_Titles" localSheetId="43">'PSD-NoCo'!$1:$7</definedName>
    <definedName name="_xlnm.Print_Titles" localSheetId="38">'Summary UC-Co'!$1:$11</definedName>
    <definedName name="_xlnm.Print_Titles" localSheetId="41">'Summary UC-NoCo'!$1:$12</definedName>
    <definedName name="_xlnm.Print_Titles" localSheetId="101">Summary_1TUR!$1:$11</definedName>
    <definedName name="_xlnm.Print_Titles" localSheetId="102">Summary_2TUR!$1:$11</definedName>
    <definedName name="_xlnm.Print_Titles" localSheetId="103">Summary_3TUR!$1:$11</definedName>
    <definedName name="_xlnm.Print_Titles" localSheetId="97">'Summary-AllForAERMOd'!$1:$12</definedName>
    <definedName name="_xlnm.Print_Titles" localSheetId="39">'Summary-Co'!$1:$12</definedName>
    <definedName name="_xlnm.Print_Titles" localSheetId="14">'Summary-Co 11x17'!$1:$12</definedName>
    <definedName name="_xlnm.Print_Titles" localSheetId="42">'Summary-NoCo'!$1:$12</definedName>
    <definedName name="_xlnm.Print_Titles" localSheetId="12">'Sum-NoCo11X17'!$8:$11</definedName>
    <definedName name="_xlnm.Print_Titles">#N/A</definedName>
    <definedName name="Print_Titles_MI" localSheetId="3">#REF!</definedName>
    <definedName name="Print_Titles_MI" localSheetId="7">#REF!</definedName>
    <definedName name="Print_Titles_MI" localSheetId="9">#REF!</definedName>
    <definedName name="Print_Titles_MI" localSheetId="10">#REF!</definedName>
    <definedName name="Print_Titles_MI" localSheetId="15">#REF!</definedName>
    <definedName name="Print_Titles_MI" localSheetId="19">#REF!</definedName>
    <definedName name="Print_Titles_MI" localSheetId="20">#REF!</definedName>
    <definedName name="Print_Titles_MI" localSheetId="24">#REF!</definedName>
    <definedName name="Print_Titles_MI" localSheetId="104">#REF!</definedName>
    <definedName name="Print_Titles_MI" localSheetId="65">#REF!</definedName>
    <definedName name="Print_Titles_MI" localSheetId="64">#REF!</definedName>
    <definedName name="Print_Titles_MI" localSheetId="77">#REF!</definedName>
    <definedName name="Print_Titles_MI" localSheetId="49">#REF!</definedName>
    <definedName name="Print_Titles_MI" localSheetId="48">#REF!</definedName>
    <definedName name="Print_Titles_MI" localSheetId="40">#REF!</definedName>
    <definedName name="Print_Titles_MI" localSheetId="43">#REF!</definedName>
    <definedName name="Print_Titles_MI" localSheetId="13">#REF!</definedName>
    <definedName name="Print_Titles_MI" localSheetId="38">#REF!</definedName>
    <definedName name="Print_Titles_MI">#REF!</definedName>
    <definedName name="PRINTAP42">[15]ENGINE.XLM!$A$1</definedName>
    <definedName name="PRINTBOTH">[15]ENGINE.XLM!$C$1</definedName>
    <definedName name="PrintedDate" localSheetId="3">#REF!</definedName>
    <definedName name="PrintedDate" localSheetId="7">#REF!</definedName>
    <definedName name="PrintedDate" localSheetId="9">#REF!</definedName>
    <definedName name="PrintedDate" localSheetId="10">#REF!</definedName>
    <definedName name="PrintedDate" localSheetId="15">#REF!</definedName>
    <definedName name="PrintedDate" localSheetId="19">#REF!</definedName>
    <definedName name="PrintedDate" localSheetId="20">#REF!</definedName>
    <definedName name="PrintedDate" localSheetId="24">#REF!</definedName>
    <definedName name="PrintedDate" localSheetId="104">#REF!</definedName>
    <definedName name="PrintedDate" localSheetId="65">#REF!</definedName>
    <definedName name="PrintedDate" localSheetId="64">#REF!</definedName>
    <definedName name="PrintedDate" localSheetId="77">#REF!</definedName>
    <definedName name="PrintedDate" localSheetId="49">#REF!</definedName>
    <definedName name="PrintedDate" localSheetId="40">#REF!</definedName>
    <definedName name="PrintedDate" localSheetId="43">#REF!</definedName>
    <definedName name="PrintedDate" localSheetId="13">#REF!</definedName>
    <definedName name="PrintedDate" localSheetId="38">#REF!</definedName>
    <definedName name="PrintedDate">#REF!</definedName>
    <definedName name="PRINTMANU">[15]ENGINE.XLM!$B$1</definedName>
    <definedName name="PRINTSUMMARY" localSheetId="3">#REF!</definedName>
    <definedName name="PRINTSUMMARY" localSheetId="7">#REF!</definedName>
    <definedName name="PRINTSUMMARY" localSheetId="9">#REF!</definedName>
    <definedName name="PRINTSUMMARY" localSheetId="10">#REF!</definedName>
    <definedName name="PRINTSUMMARY" localSheetId="15">#REF!</definedName>
    <definedName name="PRINTSUMMARY" localSheetId="19">#REF!</definedName>
    <definedName name="PRINTSUMMARY" localSheetId="20">#REF!</definedName>
    <definedName name="PRINTSUMMARY" localSheetId="24">#REF!</definedName>
    <definedName name="PRINTSUMMARY" localSheetId="104">#REF!</definedName>
    <definedName name="PRINTSUMMARY" localSheetId="65">#REF!</definedName>
    <definedName name="PRINTSUMMARY" localSheetId="64">#REF!</definedName>
    <definedName name="PRINTSUMMARY" localSheetId="77">#REF!</definedName>
    <definedName name="PRINTSUMMARY" localSheetId="49">#REF!</definedName>
    <definedName name="PRINTSUMMARY" localSheetId="40">#REF!</definedName>
    <definedName name="PRINTSUMMARY" localSheetId="43">#REF!</definedName>
    <definedName name="PRINTSUMMARY" localSheetId="13">#REF!</definedName>
    <definedName name="PRINTSUMMARY" localSheetId="38">#REF!</definedName>
    <definedName name="PRINTSUMMARY">#REF!</definedName>
    <definedName name="PrntWk1">#N/A</definedName>
    <definedName name="Prod_gpd_graph" localSheetId="3">#REF!</definedName>
    <definedName name="Prod_gpd_graph" localSheetId="7">#REF!</definedName>
    <definedName name="Prod_gpd_graph" localSheetId="9">#REF!</definedName>
    <definedName name="Prod_gpd_graph" localSheetId="10">#REF!</definedName>
    <definedName name="Prod_gpd_graph" localSheetId="15">#REF!</definedName>
    <definedName name="Prod_gpd_graph" localSheetId="19">#REF!</definedName>
    <definedName name="Prod_gpd_graph" localSheetId="20">#REF!</definedName>
    <definedName name="Prod_gpd_graph" localSheetId="24">#REF!</definedName>
    <definedName name="Prod_gpd_graph" localSheetId="104">#REF!</definedName>
    <definedName name="Prod_gpd_graph" localSheetId="65">#REF!</definedName>
    <definedName name="Prod_gpd_graph" localSheetId="64">#REF!</definedName>
    <definedName name="Prod_gpd_graph" localSheetId="77">#REF!</definedName>
    <definedName name="Prod_gpd_graph" localSheetId="49">#REF!</definedName>
    <definedName name="Prod_gpd_graph" localSheetId="40">#REF!</definedName>
    <definedName name="Prod_gpd_graph" localSheetId="43">#REF!</definedName>
    <definedName name="Prod_gpd_graph" localSheetId="13">#REF!</definedName>
    <definedName name="Prod_gpd_graph" localSheetId="38">#REF!</definedName>
    <definedName name="Prod_gpd_graph">#REF!</definedName>
    <definedName name="prod_graph" localSheetId="3">#REF!</definedName>
    <definedName name="prod_graph" localSheetId="7">#REF!</definedName>
    <definedName name="prod_graph" localSheetId="9">#REF!</definedName>
    <definedName name="prod_graph" localSheetId="10">#REF!</definedName>
    <definedName name="prod_graph" localSheetId="15">#REF!</definedName>
    <definedName name="prod_graph" localSheetId="19">#REF!</definedName>
    <definedName name="prod_graph" localSheetId="20">#REF!</definedName>
    <definedName name="prod_graph" localSheetId="24">#REF!</definedName>
    <definedName name="prod_graph" localSheetId="104">#REF!</definedName>
    <definedName name="prod_graph" localSheetId="65">#REF!</definedName>
    <definedName name="prod_graph" localSheetId="64">#REF!</definedName>
    <definedName name="prod_graph" localSheetId="77">#REF!</definedName>
    <definedName name="prod_graph" localSheetId="49">#REF!</definedName>
    <definedName name="prod_graph" localSheetId="40">#REF!</definedName>
    <definedName name="prod_graph" localSheetId="43">#REF!</definedName>
    <definedName name="prod_graph" localSheetId="13">#REF!</definedName>
    <definedName name="prod_graph" localSheetId="38">#REF!</definedName>
    <definedName name="prod_graph">#REF!</definedName>
    <definedName name="ProdForm" localSheetId="3" hidden="1">#REF!</definedName>
    <definedName name="ProdForm" localSheetId="7" hidden="1">#REF!</definedName>
    <definedName name="ProdForm" localSheetId="9" hidden="1">#REF!</definedName>
    <definedName name="ProdForm" localSheetId="10" hidden="1">#REF!</definedName>
    <definedName name="ProdForm" localSheetId="15" hidden="1">#REF!</definedName>
    <definedName name="ProdForm" localSheetId="18" hidden="1">#REF!</definedName>
    <definedName name="ProdForm" localSheetId="19" hidden="1">#REF!</definedName>
    <definedName name="ProdForm" localSheetId="20" hidden="1">#REF!</definedName>
    <definedName name="ProdForm" localSheetId="23" hidden="1">#REF!</definedName>
    <definedName name="ProdForm" localSheetId="24" hidden="1">#REF!</definedName>
    <definedName name="ProdForm" localSheetId="35" hidden="1">#REF!</definedName>
    <definedName name="ProdForm" localSheetId="58" hidden="1">#REF!</definedName>
    <definedName name="ProdForm" localSheetId="60" hidden="1">#REF!</definedName>
    <definedName name="ProdForm" localSheetId="51" hidden="1">#REF!</definedName>
    <definedName name="ProdForm" localSheetId="54" hidden="1">#REF!</definedName>
    <definedName name="ProdForm" localSheetId="47" hidden="1">#REF!</definedName>
    <definedName name="ProdForm" localSheetId="105" hidden="1">#REF!</definedName>
    <definedName name="ProdForm" localSheetId="104" hidden="1">#REF!</definedName>
    <definedName name="ProdForm" localSheetId="88" hidden="1">#REF!</definedName>
    <definedName name="ProdForm" localSheetId="89" hidden="1">#REF!</definedName>
    <definedName name="ProdForm" localSheetId="87" hidden="1">#REF!</definedName>
    <definedName name="ProdForm" localSheetId="90" hidden="1">#REF!</definedName>
    <definedName name="ProdForm" localSheetId="70" hidden="1">#REF!</definedName>
    <definedName name="ProdForm" localSheetId="63" hidden="1">#REF!</definedName>
    <definedName name="ProdForm" localSheetId="65" hidden="1">#REF!</definedName>
    <definedName name="ProdForm" localSheetId="64" hidden="1">#REF!</definedName>
    <definedName name="ProdForm" localSheetId="77" hidden="1">#REF!</definedName>
    <definedName name="ProdForm" localSheetId="49" hidden="1">#REF!</definedName>
    <definedName name="ProdForm" localSheetId="48" hidden="1">#REF!</definedName>
    <definedName name="ProdForm" localSheetId="57" hidden="1">#REF!</definedName>
    <definedName name="ProdForm" localSheetId="59" hidden="1">#REF!</definedName>
    <definedName name="ProdForm" localSheetId="52" hidden="1">#REF!</definedName>
    <definedName name="ProdForm" localSheetId="67" hidden="1">#REF!</definedName>
    <definedName name="ProdForm" localSheetId="80" hidden="1">#REF!</definedName>
    <definedName name="ProdForm" localSheetId="40" hidden="1">#REF!</definedName>
    <definedName name="ProdForm" localSheetId="43" hidden="1">#REF!</definedName>
    <definedName name="ProdForm" localSheetId="55" hidden="1">#REF!</definedName>
    <definedName name="ProdForm" localSheetId="81" hidden="1">#REF!</definedName>
    <definedName name="ProdForm" localSheetId="53" hidden="1">#REF!</definedName>
    <definedName name="ProdForm" localSheetId="13" hidden="1">#REF!</definedName>
    <definedName name="ProdForm" localSheetId="11" hidden="1">#REF!</definedName>
    <definedName name="ProdForm" localSheetId="38" hidden="1">#REF!</definedName>
    <definedName name="ProdForm" localSheetId="41" hidden="1">#REF!</definedName>
    <definedName name="ProdForm" localSheetId="101" hidden="1">#REF!</definedName>
    <definedName name="ProdForm" localSheetId="102" hidden="1">#REF!</definedName>
    <definedName name="ProdForm" localSheetId="103" hidden="1">#REF!</definedName>
    <definedName name="ProdForm" localSheetId="97" hidden="1">#REF!</definedName>
    <definedName name="ProdForm" localSheetId="42" hidden="1">#REF!</definedName>
    <definedName name="ProdForm" localSheetId="12" hidden="1">#REF!</definedName>
    <definedName name="ProdForm" localSheetId="73" hidden="1">#REF!</definedName>
    <definedName name="ProdForm" localSheetId="74" hidden="1">#REF!</definedName>
    <definedName name="ProdForm" hidden="1">#REF!</definedName>
    <definedName name="ProdTypeList" localSheetId="3">#REF!</definedName>
    <definedName name="ProdTypeList" localSheetId="7">#REF!</definedName>
    <definedName name="ProdTypeList" localSheetId="9">#REF!</definedName>
    <definedName name="ProdTypeList" localSheetId="10">#REF!</definedName>
    <definedName name="ProdTypeList" localSheetId="15">#REF!</definedName>
    <definedName name="ProdTypeList" localSheetId="19">#REF!</definedName>
    <definedName name="ProdTypeList" localSheetId="20">#REF!</definedName>
    <definedName name="ProdTypeList" localSheetId="24">#REF!</definedName>
    <definedName name="ProdTypeList" localSheetId="104">#REF!</definedName>
    <definedName name="ProdTypeList" localSheetId="65">#REF!</definedName>
    <definedName name="ProdTypeList" localSheetId="64">#REF!</definedName>
    <definedName name="ProdTypeList" localSheetId="77">#REF!</definedName>
    <definedName name="ProdTypeList" localSheetId="49">#REF!</definedName>
    <definedName name="ProdTypeList" localSheetId="40">#REF!</definedName>
    <definedName name="ProdTypeList" localSheetId="43">#REF!</definedName>
    <definedName name="ProdTypeList" localSheetId="13">#REF!</definedName>
    <definedName name="ProdTypeList" localSheetId="38">#REF!</definedName>
    <definedName name="ProdTypeList">#REF!</definedName>
    <definedName name="Product" localSheetId="3" hidden="1">#REF!</definedName>
    <definedName name="Product" localSheetId="7" hidden="1">#REF!</definedName>
    <definedName name="Product" localSheetId="9" hidden="1">#REF!</definedName>
    <definedName name="Product" localSheetId="10" hidden="1">#REF!</definedName>
    <definedName name="Product" localSheetId="15" hidden="1">#REF!</definedName>
    <definedName name="Product" localSheetId="18" hidden="1">#REF!</definedName>
    <definedName name="Product" localSheetId="19" hidden="1">#REF!</definedName>
    <definedName name="Product" localSheetId="20" hidden="1">#REF!</definedName>
    <definedName name="Product" localSheetId="23" hidden="1">#REF!</definedName>
    <definedName name="Product" localSheetId="24" hidden="1">#REF!</definedName>
    <definedName name="Product" localSheetId="35" hidden="1">#REF!</definedName>
    <definedName name="Product" localSheetId="58" hidden="1">#REF!</definedName>
    <definedName name="Product" localSheetId="60" hidden="1">#REF!</definedName>
    <definedName name="Product" localSheetId="51" hidden="1">#REF!</definedName>
    <definedName name="Product" localSheetId="54" hidden="1">#REF!</definedName>
    <definedName name="Product" localSheetId="47" hidden="1">#REF!</definedName>
    <definedName name="Product" localSheetId="105" hidden="1">#REF!</definedName>
    <definedName name="Product" localSheetId="104" hidden="1">#REF!</definedName>
    <definedName name="Product" localSheetId="88" hidden="1">#REF!</definedName>
    <definedName name="Product" localSheetId="89" hidden="1">#REF!</definedName>
    <definedName name="Product" localSheetId="87" hidden="1">#REF!</definedName>
    <definedName name="Product" localSheetId="90" hidden="1">#REF!</definedName>
    <definedName name="Product" localSheetId="70" hidden="1">#REF!</definedName>
    <definedName name="Product" localSheetId="63" hidden="1">#REF!</definedName>
    <definedName name="Product" localSheetId="65" hidden="1">#REF!</definedName>
    <definedName name="Product" localSheetId="64" hidden="1">#REF!</definedName>
    <definedName name="Product" localSheetId="77" hidden="1">#REF!</definedName>
    <definedName name="Product" localSheetId="49" hidden="1">#REF!</definedName>
    <definedName name="Product" localSheetId="48" hidden="1">#REF!</definedName>
    <definedName name="Product" localSheetId="57" hidden="1">#REF!</definedName>
    <definedName name="Product" localSheetId="59" hidden="1">#REF!</definedName>
    <definedName name="Product" localSheetId="52" hidden="1">#REF!</definedName>
    <definedName name="Product" localSheetId="67" hidden="1">#REF!</definedName>
    <definedName name="Product" localSheetId="80" hidden="1">#REF!</definedName>
    <definedName name="Product" localSheetId="40" hidden="1">#REF!</definedName>
    <definedName name="Product" localSheetId="43" hidden="1">#REF!</definedName>
    <definedName name="Product" localSheetId="55" hidden="1">#REF!</definedName>
    <definedName name="Product" localSheetId="81" hidden="1">#REF!</definedName>
    <definedName name="Product" localSheetId="53" hidden="1">#REF!</definedName>
    <definedName name="Product" localSheetId="13" hidden="1">#REF!</definedName>
    <definedName name="Product" localSheetId="11" hidden="1">#REF!</definedName>
    <definedName name="Product" localSheetId="38" hidden="1">#REF!</definedName>
    <definedName name="Product" localSheetId="41" hidden="1">#REF!</definedName>
    <definedName name="Product" localSheetId="101" hidden="1">#REF!</definedName>
    <definedName name="Product" localSheetId="102" hidden="1">#REF!</definedName>
    <definedName name="Product" localSheetId="103" hidden="1">#REF!</definedName>
    <definedName name="Product" localSheetId="97" hidden="1">#REF!</definedName>
    <definedName name="Product" localSheetId="42" hidden="1">#REF!</definedName>
    <definedName name="Product" localSheetId="12" hidden="1">#REF!</definedName>
    <definedName name="Product" localSheetId="73" hidden="1">#REF!</definedName>
    <definedName name="Product" localSheetId="74" hidden="1">#REF!</definedName>
    <definedName name="Product" hidden="1">#REF!</definedName>
    <definedName name="Propane" localSheetId="3">#REF!</definedName>
    <definedName name="Propane" localSheetId="7">#REF!</definedName>
    <definedName name="Propane" localSheetId="9">#REF!</definedName>
    <definedName name="Propane" localSheetId="10">#REF!</definedName>
    <definedName name="Propane" localSheetId="15">#REF!</definedName>
    <definedName name="Propane" localSheetId="19">#REF!</definedName>
    <definedName name="Propane" localSheetId="20">#REF!</definedName>
    <definedName name="Propane" localSheetId="24">#REF!</definedName>
    <definedName name="Propane" localSheetId="104">#REF!</definedName>
    <definedName name="Propane" localSheetId="65">#REF!</definedName>
    <definedName name="Propane" localSheetId="64">#REF!</definedName>
    <definedName name="Propane" localSheetId="77">#REF!</definedName>
    <definedName name="Propane" localSheetId="49">#REF!</definedName>
    <definedName name="Propane" localSheetId="40">#REF!</definedName>
    <definedName name="Propane" localSheetId="43">#REF!</definedName>
    <definedName name="Propane" localSheetId="13">#REF!</definedName>
    <definedName name="Propane" localSheetId="38">#REF!</definedName>
    <definedName name="Propane">#REF!</definedName>
    <definedName name="Pstar" localSheetId="3">#REF!</definedName>
    <definedName name="Pstar" localSheetId="7">#REF!</definedName>
    <definedName name="Pstar" localSheetId="9">#REF!</definedName>
    <definedName name="Pstar" localSheetId="10">#REF!</definedName>
    <definedName name="Pstar" localSheetId="15">#REF!</definedName>
    <definedName name="Pstar" localSheetId="19">#REF!</definedName>
    <definedName name="Pstar" localSheetId="20">#REF!</definedName>
    <definedName name="Pstar" localSheetId="24">#REF!</definedName>
    <definedName name="Pstar" localSheetId="104">#REF!</definedName>
    <definedName name="Pstar" localSheetId="65">#REF!</definedName>
    <definedName name="Pstar" localSheetId="64">#REF!</definedName>
    <definedName name="Pstar" localSheetId="77">#REF!</definedName>
    <definedName name="Pstar" localSheetId="49">#REF!</definedName>
    <definedName name="Pstar" localSheetId="40">#REF!</definedName>
    <definedName name="Pstar" localSheetId="43">#REF!</definedName>
    <definedName name="Pstar" localSheetId="13">#REF!</definedName>
    <definedName name="Pstar" localSheetId="38">#REF!</definedName>
    <definedName name="Pstar">#REF!</definedName>
    <definedName name="ptemax" localSheetId="50" hidden="1">{#N/A,#N/A,FALSE,"Summary";#N/A,#N/A,FALSE,"Fixed (94)";#N/A,#N/A,FALSE,"fixed (P)";#N/A,#N/A,FALSE,"ExtFloat(94)";#N/A,#N/A,FALSE,"ExtFloat(P)";#N/A,#N/A,FALSE,"IntFloat(94)";#N/A,#N/A,FALSE,"IntFloat(P)";#N/A,#N/A,FALSE,"LD(94)";#N/A,#N/A,FALSE,"LD(P)";#N/A,#N/A,FALSE,"Fugitives";#N/A,#N/A,FALSE,"Speciate (94)";#N/A,#N/A,FALSE,"Speciate (P)"}</definedName>
    <definedName name="ptemax" localSheetId="51" hidden="1">{#N/A,#N/A,FALSE,"Summary";#N/A,#N/A,FALSE,"Fixed (94)";#N/A,#N/A,FALSE,"fixed (P)";#N/A,#N/A,FALSE,"ExtFloat(94)";#N/A,#N/A,FALSE,"ExtFloat(P)";#N/A,#N/A,FALSE,"IntFloat(94)";#N/A,#N/A,FALSE,"IntFloat(P)";#N/A,#N/A,FALSE,"LD(94)";#N/A,#N/A,FALSE,"LD(P)";#N/A,#N/A,FALSE,"Fugitives";#N/A,#N/A,FALSE,"Speciate (94)";#N/A,#N/A,FALSE,"Speciate (P)"}</definedName>
    <definedName name="ptemax" localSheetId="105" hidden="1">{#N/A,#N/A,FALSE,"Summary";#N/A,#N/A,FALSE,"Fixed (94)";#N/A,#N/A,FALSE,"fixed (P)";#N/A,#N/A,FALSE,"ExtFloat(94)";#N/A,#N/A,FALSE,"ExtFloat(P)";#N/A,#N/A,FALSE,"IntFloat(94)";#N/A,#N/A,FALSE,"IntFloat(P)";#N/A,#N/A,FALSE,"LD(94)";#N/A,#N/A,FALSE,"LD(P)";#N/A,#N/A,FALSE,"Fugitives";#N/A,#N/A,FALSE,"Speciate (94)";#N/A,#N/A,FALSE,"Speciate (P)"}</definedName>
    <definedName name="ptemax" localSheetId="75" hidden="1">{#N/A,#N/A,FALSE,"Summary";#N/A,#N/A,FALSE,"Fixed (94)";#N/A,#N/A,FALSE,"fixed (P)";#N/A,#N/A,FALSE,"ExtFloat(94)";#N/A,#N/A,FALSE,"ExtFloat(P)";#N/A,#N/A,FALSE,"IntFloat(94)";#N/A,#N/A,FALSE,"IntFloat(P)";#N/A,#N/A,FALSE,"LD(94)";#N/A,#N/A,FALSE,"LD(P)";#N/A,#N/A,FALSE,"Fugitives";#N/A,#N/A,FALSE,"Speciate (94)";#N/A,#N/A,FALSE,"Speciate (P)"}</definedName>
    <definedName name="ptemax" localSheetId="70" hidden="1">{#N/A,#N/A,FALSE,"Summary";#N/A,#N/A,FALSE,"Fixed (94)";#N/A,#N/A,FALSE,"fixed (P)";#N/A,#N/A,FALSE,"ExtFloat(94)";#N/A,#N/A,FALSE,"ExtFloat(P)";#N/A,#N/A,FALSE,"IntFloat(94)";#N/A,#N/A,FALSE,"IntFloat(P)";#N/A,#N/A,FALSE,"LD(94)";#N/A,#N/A,FALSE,"LD(P)";#N/A,#N/A,FALSE,"Fugitives";#N/A,#N/A,FALSE,"Speciate (94)";#N/A,#N/A,FALSE,"Speciate (P)"}</definedName>
    <definedName name="ptemax" localSheetId="63" hidden="1">{#N/A,#N/A,FALSE,"Summary";#N/A,#N/A,FALSE,"Fixed (94)";#N/A,#N/A,FALSE,"fixed (P)";#N/A,#N/A,FALSE,"ExtFloat(94)";#N/A,#N/A,FALSE,"ExtFloat(P)";#N/A,#N/A,FALSE,"IntFloat(94)";#N/A,#N/A,FALSE,"IntFloat(P)";#N/A,#N/A,FALSE,"LD(94)";#N/A,#N/A,FALSE,"LD(P)";#N/A,#N/A,FALSE,"Fugitives";#N/A,#N/A,FALSE,"Speciate (94)";#N/A,#N/A,FALSE,"Speciate (P)"}</definedName>
    <definedName name="ptemax" localSheetId="65" hidden="1">{#N/A,#N/A,FALSE,"Summary";#N/A,#N/A,FALSE,"Fixed (94)";#N/A,#N/A,FALSE,"fixed (P)";#N/A,#N/A,FALSE,"ExtFloat(94)";#N/A,#N/A,FALSE,"ExtFloat(P)";#N/A,#N/A,FALSE,"IntFloat(94)";#N/A,#N/A,FALSE,"IntFloat(P)";#N/A,#N/A,FALSE,"LD(94)";#N/A,#N/A,FALSE,"LD(P)";#N/A,#N/A,FALSE,"Fugitives";#N/A,#N/A,FALSE,"Speciate (94)";#N/A,#N/A,FALSE,"Speciate (P)"}</definedName>
    <definedName name="ptemax" localSheetId="64" hidden="1">{#N/A,#N/A,FALSE,"Summary";#N/A,#N/A,FALSE,"Fixed (94)";#N/A,#N/A,FALSE,"fixed (P)";#N/A,#N/A,FALSE,"ExtFloat(94)";#N/A,#N/A,FALSE,"ExtFloat(P)";#N/A,#N/A,FALSE,"IntFloat(94)";#N/A,#N/A,FALSE,"IntFloat(P)";#N/A,#N/A,FALSE,"LD(94)";#N/A,#N/A,FALSE,"LD(P)";#N/A,#N/A,FALSE,"Fugitives";#N/A,#N/A,FALSE,"Speciate (94)";#N/A,#N/A,FALSE,"Speciate (P)"}</definedName>
    <definedName name="ptemax" localSheetId="96" hidden="1">{#N/A,#N/A,FALSE,"Summary";#N/A,#N/A,FALSE,"Fixed (94)";#N/A,#N/A,FALSE,"fixed (P)";#N/A,#N/A,FALSE,"ExtFloat(94)";#N/A,#N/A,FALSE,"ExtFloat(P)";#N/A,#N/A,FALSE,"IntFloat(94)";#N/A,#N/A,FALSE,"IntFloat(P)";#N/A,#N/A,FALSE,"LD(94)";#N/A,#N/A,FALSE,"LD(P)";#N/A,#N/A,FALSE,"Fugitives";#N/A,#N/A,FALSE,"Speciate (94)";#N/A,#N/A,FALSE,"Speciate (P)"}</definedName>
    <definedName name="ptemax" localSheetId="48" hidden="1">{#N/A,#N/A,FALSE,"Summary";#N/A,#N/A,FALSE,"Fixed (94)";#N/A,#N/A,FALSE,"fixed (P)";#N/A,#N/A,FALSE,"ExtFloat(94)";#N/A,#N/A,FALSE,"ExtFloat(P)";#N/A,#N/A,FALSE,"IntFloat(94)";#N/A,#N/A,FALSE,"IntFloat(P)";#N/A,#N/A,FALSE,"LD(94)";#N/A,#N/A,FALSE,"LD(P)";#N/A,#N/A,FALSE,"Fugitives";#N/A,#N/A,FALSE,"Speciate (94)";#N/A,#N/A,FALSE,"Speciate (P)"}</definedName>
    <definedName name="ptemax" localSheetId="52" hidden="1">{#N/A,#N/A,FALSE,"Summary";#N/A,#N/A,FALSE,"Fixed (94)";#N/A,#N/A,FALSE,"fixed (P)";#N/A,#N/A,FALSE,"ExtFloat(94)";#N/A,#N/A,FALSE,"ExtFloat(P)";#N/A,#N/A,FALSE,"IntFloat(94)";#N/A,#N/A,FALSE,"IntFloat(P)";#N/A,#N/A,FALSE,"LD(94)";#N/A,#N/A,FALSE,"LD(P)";#N/A,#N/A,FALSE,"Fugitives";#N/A,#N/A,FALSE,"Speciate (94)";#N/A,#N/A,FALSE,"Speciate (P)"}</definedName>
    <definedName name="ptemax" localSheetId="67" hidden="1">{#N/A,#N/A,FALSE,"Summary";#N/A,#N/A,FALSE,"Fixed (94)";#N/A,#N/A,FALSE,"fixed (P)";#N/A,#N/A,FALSE,"ExtFloat(94)";#N/A,#N/A,FALSE,"ExtFloat(P)";#N/A,#N/A,FALSE,"IntFloat(94)";#N/A,#N/A,FALSE,"IntFloat(P)";#N/A,#N/A,FALSE,"LD(94)";#N/A,#N/A,FALSE,"LD(P)";#N/A,#N/A,FALSE,"Fugitives";#N/A,#N/A,FALSE,"Speciate (94)";#N/A,#N/A,FALSE,"Speciate (P)"}</definedName>
    <definedName name="ptemax" localSheetId="44" hidden="1">{#N/A,#N/A,FALSE,"Summary";#N/A,#N/A,FALSE,"Fixed (94)";#N/A,#N/A,FALSE,"fixed (P)";#N/A,#N/A,FALSE,"ExtFloat(94)";#N/A,#N/A,FALSE,"ExtFloat(P)";#N/A,#N/A,FALSE,"IntFloat(94)";#N/A,#N/A,FALSE,"IntFloat(P)";#N/A,#N/A,FALSE,"LD(94)";#N/A,#N/A,FALSE,"LD(P)";#N/A,#N/A,FALSE,"Fugitives";#N/A,#N/A,FALSE,"Speciate (94)";#N/A,#N/A,FALSE,"Speciate (P)"}</definedName>
    <definedName name="ptemax" localSheetId="81" hidden="1">{#N/A,#N/A,FALSE,"Summary";#N/A,#N/A,FALSE,"Fixed (94)";#N/A,#N/A,FALSE,"fixed (P)";#N/A,#N/A,FALSE,"ExtFloat(94)";#N/A,#N/A,FALSE,"ExtFloat(P)";#N/A,#N/A,FALSE,"IntFloat(94)";#N/A,#N/A,FALSE,"IntFloat(P)";#N/A,#N/A,FALSE,"LD(94)";#N/A,#N/A,FALSE,"LD(P)";#N/A,#N/A,FALSE,"Fugitives";#N/A,#N/A,FALSE,"Speciate (94)";#N/A,#N/A,FALSE,"Speciate (P)"}</definedName>
    <definedName name="ptemax" localSheetId="73" hidden="1">{#N/A,#N/A,FALSE,"Summary";#N/A,#N/A,FALSE,"Fixed (94)";#N/A,#N/A,FALSE,"fixed (P)";#N/A,#N/A,FALSE,"ExtFloat(94)";#N/A,#N/A,FALSE,"ExtFloat(P)";#N/A,#N/A,FALSE,"IntFloat(94)";#N/A,#N/A,FALSE,"IntFloat(P)";#N/A,#N/A,FALSE,"LD(94)";#N/A,#N/A,FALSE,"LD(P)";#N/A,#N/A,FALSE,"Fugitives";#N/A,#N/A,FALSE,"Speciate (94)";#N/A,#N/A,FALSE,"Speciate (P)"}</definedName>
    <definedName name="ptemax" localSheetId="74" hidden="1">{#N/A,#N/A,FALSE,"Summary";#N/A,#N/A,FALSE,"Fixed (94)";#N/A,#N/A,FALSE,"fixed (P)";#N/A,#N/A,FALSE,"ExtFloat(94)";#N/A,#N/A,FALSE,"ExtFloat(P)";#N/A,#N/A,FALSE,"IntFloat(94)";#N/A,#N/A,FALSE,"IntFloat(P)";#N/A,#N/A,FALSE,"LD(94)";#N/A,#N/A,FALSE,"LD(P)";#N/A,#N/A,FALSE,"Fugitives";#N/A,#N/A,FALSE,"Speciate (94)";#N/A,#N/A,FALSE,"Speciate (P)"}</definedName>
    <definedName name="ptemax" hidden="1">{#N/A,#N/A,FALSE,"Summary";#N/A,#N/A,FALSE,"Fixed (94)";#N/A,#N/A,FALSE,"fixed (P)";#N/A,#N/A,FALSE,"ExtFloat(94)";#N/A,#N/A,FALSE,"ExtFloat(P)";#N/A,#N/A,FALSE,"IntFloat(94)";#N/A,#N/A,FALSE,"IntFloat(P)";#N/A,#N/A,FALSE,"LD(94)";#N/A,#N/A,FALSE,"LD(P)";#N/A,#N/A,FALSE,"Fugitives";#N/A,#N/A,FALSE,"Speciate (94)";#N/A,#N/A,FALSE,"Speciate (P)"}</definedName>
    <definedName name="ptemax_1" hidden="1">{#N/A,#N/A,FALSE,"Summary";#N/A,#N/A,FALSE,"Fixed (94)";#N/A,#N/A,FALSE,"fixed (P)";#N/A,#N/A,FALSE,"ExtFloat(94)";#N/A,#N/A,FALSE,"ExtFloat(P)";#N/A,#N/A,FALSE,"IntFloat(94)";#N/A,#N/A,FALSE,"IntFloat(P)";#N/A,#N/A,FALSE,"LD(94)";#N/A,#N/A,FALSE,"LD(P)";#N/A,#N/A,FALSE,"Fugitives";#N/A,#N/A,FALSE,"Speciate (94)";#N/A,#N/A,FALSE,"Speciate (P)"}</definedName>
    <definedName name="Ptitle_Fugi_1" localSheetId="3">#REF!,#REF!</definedName>
    <definedName name="Ptitle_Fugi_1" localSheetId="7">#REF!,#REF!</definedName>
    <definedName name="Ptitle_Fugi_1" localSheetId="9">#REF!,#REF!</definedName>
    <definedName name="Ptitle_Fugi_1" localSheetId="10">#REF!,#REF!</definedName>
    <definedName name="Ptitle_Fugi_1" localSheetId="15">#REF!,#REF!</definedName>
    <definedName name="Ptitle_Fugi_1" localSheetId="19">#REF!,#REF!</definedName>
    <definedName name="Ptitle_Fugi_1" localSheetId="20">#REF!,#REF!</definedName>
    <definedName name="Ptitle_Fugi_1" localSheetId="24">#REF!,#REF!</definedName>
    <definedName name="Ptitle_Fugi_1" localSheetId="104">#REF!,#REF!</definedName>
    <definedName name="Ptitle_Fugi_1" localSheetId="65">#REF!,#REF!</definedName>
    <definedName name="Ptitle_Fugi_1" localSheetId="64">#REF!,#REF!</definedName>
    <definedName name="Ptitle_Fugi_1" localSheetId="77">#REF!,#REF!</definedName>
    <definedName name="Ptitle_Fugi_1" localSheetId="49">#REF!,#REF!</definedName>
    <definedName name="Ptitle_Fugi_1" localSheetId="40">#REF!,#REF!</definedName>
    <definedName name="Ptitle_Fugi_1" localSheetId="43">#REF!,#REF!</definedName>
    <definedName name="Ptitle_Fugi_1" localSheetId="13">#REF!,#REF!</definedName>
    <definedName name="Ptitle_Fugi_1" localSheetId="38">#REF!,#REF!</definedName>
    <definedName name="Ptitle_Fugi_1">#REF!,#REF!</definedName>
    <definedName name="Ptitle_Fugi_2" localSheetId="3">#REF!,#REF!</definedName>
    <definedName name="Ptitle_Fugi_2" localSheetId="7">#REF!,#REF!</definedName>
    <definedName name="Ptitle_Fugi_2" localSheetId="9">#REF!,#REF!</definedName>
    <definedName name="Ptitle_Fugi_2" localSheetId="10">#REF!,#REF!</definedName>
    <definedName name="Ptitle_Fugi_2" localSheetId="15">#REF!,#REF!</definedName>
    <definedName name="Ptitle_Fugi_2" localSheetId="19">#REF!,#REF!</definedName>
    <definedName name="Ptitle_Fugi_2" localSheetId="20">#REF!,#REF!</definedName>
    <definedName name="Ptitle_Fugi_2" localSheetId="24">#REF!,#REF!</definedName>
    <definedName name="Ptitle_Fugi_2" localSheetId="104">#REF!,#REF!</definedName>
    <definedName name="Ptitle_Fugi_2" localSheetId="65">#REF!,#REF!</definedName>
    <definedName name="Ptitle_Fugi_2" localSheetId="64">#REF!,#REF!</definedName>
    <definedName name="Ptitle_Fugi_2" localSheetId="77">#REF!,#REF!</definedName>
    <definedName name="Ptitle_Fugi_2" localSheetId="49">#REF!,#REF!</definedName>
    <definedName name="Ptitle_Fugi_2" localSheetId="40">#REF!,#REF!</definedName>
    <definedName name="Ptitle_Fugi_2" localSheetId="43">#REF!,#REF!</definedName>
    <definedName name="Ptitle_Fugi_2" localSheetId="13">#REF!,#REF!</definedName>
    <definedName name="Ptitle_Fugi_2" localSheetId="38">#REF!,#REF!</definedName>
    <definedName name="Ptitle_Fugi_2">#REF!,#REF!</definedName>
    <definedName name="PtSrcParam" localSheetId="3">#REF!</definedName>
    <definedName name="PtSrcParam" localSheetId="7">#REF!</definedName>
    <definedName name="PtSrcParam" localSheetId="9">#REF!</definedName>
    <definedName name="PtSrcParam" localSheetId="10">#REF!</definedName>
    <definedName name="PtSrcParam" localSheetId="15">#REF!</definedName>
    <definedName name="PtSrcParam" localSheetId="19">#REF!</definedName>
    <definedName name="PtSrcParam" localSheetId="20">#REF!</definedName>
    <definedName name="PtSrcParam" localSheetId="24">#REF!</definedName>
    <definedName name="PtSrcParam" localSheetId="104">#REF!</definedName>
    <definedName name="PtSrcParam" localSheetId="65">#REF!</definedName>
    <definedName name="PtSrcParam" localSheetId="64">#REF!</definedName>
    <definedName name="PtSrcParam" localSheetId="77">#REF!</definedName>
    <definedName name="PtSrcParam" localSheetId="49">#REF!</definedName>
    <definedName name="PtSrcParam" localSheetId="40">#REF!</definedName>
    <definedName name="PtSrcParam" localSheetId="43">#REF!</definedName>
    <definedName name="PtSrcParam" localSheetId="13">#REF!</definedName>
    <definedName name="PtSrcParam" localSheetId="38">#REF!</definedName>
    <definedName name="PtSrcParam">#REF!</definedName>
    <definedName name="PtSrcParamCols" localSheetId="3">#REF!</definedName>
    <definedName name="PtSrcParamCols" localSheetId="7">#REF!</definedName>
    <definedName name="PtSrcParamCols" localSheetId="9">#REF!</definedName>
    <definedName name="PtSrcParamCols" localSheetId="10">#REF!</definedName>
    <definedName name="PtSrcParamCols" localSheetId="15">#REF!</definedName>
    <definedName name="PtSrcParamCols" localSheetId="19">#REF!</definedName>
    <definedName name="PtSrcParamCols" localSheetId="20">#REF!</definedName>
    <definedName name="PtSrcParamCols" localSheetId="24">#REF!</definedName>
    <definedName name="PtSrcParamCols" localSheetId="104">#REF!</definedName>
    <definedName name="PtSrcParamCols" localSheetId="65">#REF!</definedName>
    <definedName name="PtSrcParamCols" localSheetId="64">#REF!</definedName>
    <definedName name="PtSrcParamCols" localSheetId="77">#REF!</definedName>
    <definedName name="PtSrcParamCols" localSheetId="49">#REF!</definedName>
    <definedName name="PtSrcParamCols" localSheetId="40">#REF!</definedName>
    <definedName name="PtSrcParamCols" localSheetId="43">#REF!</definedName>
    <definedName name="PtSrcParamCols" localSheetId="13">#REF!</definedName>
    <definedName name="PtSrcParamCols" localSheetId="38">#REF!</definedName>
    <definedName name="PtSrcParamCols">#REF!</definedName>
    <definedName name="Pump">[10]Compliance_NS!$C$25:$C$26</definedName>
    <definedName name="pump1" localSheetId="3">#REF!</definedName>
    <definedName name="pump1" localSheetId="7">#REF!</definedName>
    <definedName name="pump1" localSheetId="9">#REF!</definedName>
    <definedName name="pump1" localSheetId="10">#REF!</definedName>
    <definedName name="pump1" localSheetId="15">#REF!</definedName>
    <definedName name="pump1" localSheetId="19">#REF!</definedName>
    <definedName name="pump1" localSheetId="20">#REF!</definedName>
    <definedName name="pump1" localSheetId="24">#REF!</definedName>
    <definedName name="pump1" localSheetId="104">#REF!</definedName>
    <definedName name="pump1" localSheetId="65">#REF!</definedName>
    <definedName name="pump1" localSheetId="64">#REF!</definedName>
    <definedName name="pump1" localSheetId="77">#REF!</definedName>
    <definedName name="pump1" localSheetId="49">#REF!</definedName>
    <definedName name="pump1" localSheetId="40">#REF!</definedName>
    <definedName name="pump1" localSheetId="43">#REF!</definedName>
    <definedName name="pump1" localSheetId="13">#REF!</definedName>
    <definedName name="pump1" localSheetId="38">#REF!</definedName>
    <definedName name="pump1">#REF!</definedName>
    <definedName name="pump2" localSheetId="3">#REF!</definedName>
    <definedName name="pump2" localSheetId="7">#REF!</definedName>
    <definedName name="pump2" localSheetId="9">#REF!</definedName>
    <definedName name="pump2" localSheetId="10">#REF!</definedName>
    <definedName name="pump2" localSheetId="15">#REF!</definedName>
    <definedName name="pump2" localSheetId="19">#REF!</definedName>
    <definedName name="pump2" localSheetId="20">#REF!</definedName>
    <definedName name="pump2" localSheetId="24">#REF!</definedName>
    <definedName name="pump2" localSheetId="104">#REF!</definedName>
    <definedName name="pump2" localSheetId="65">#REF!</definedName>
    <definedName name="pump2" localSheetId="64">#REF!</definedName>
    <definedName name="pump2" localSheetId="77">#REF!</definedName>
    <definedName name="pump2" localSheetId="49">#REF!</definedName>
    <definedName name="pump2" localSheetId="40">#REF!</definedName>
    <definedName name="pump2" localSheetId="43">#REF!</definedName>
    <definedName name="pump2" localSheetId="13">#REF!</definedName>
    <definedName name="pump2" localSheetId="38">#REF!</definedName>
    <definedName name="pump2">#REF!</definedName>
    <definedName name="pump3" localSheetId="3">#REF!</definedName>
    <definedName name="pump3" localSheetId="7">#REF!</definedName>
    <definedName name="pump3" localSheetId="9">#REF!</definedName>
    <definedName name="pump3" localSheetId="10">#REF!</definedName>
    <definedName name="pump3" localSheetId="15">#REF!</definedName>
    <definedName name="pump3" localSheetId="19">#REF!</definedName>
    <definedName name="pump3" localSheetId="20">#REF!</definedName>
    <definedName name="pump3" localSheetId="24">#REF!</definedName>
    <definedName name="pump3" localSheetId="104">#REF!</definedName>
    <definedName name="pump3" localSheetId="65">#REF!</definedName>
    <definedName name="pump3" localSheetId="64">#REF!</definedName>
    <definedName name="pump3" localSheetId="77">#REF!</definedName>
    <definedName name="pump3" localSheetId="49">#REF!</definedName>
    <definedName name="pump3" localSheetId="40">#REF!</definedName>
    <definedName name="pump3" localSheetId="43">#REF!</definedName>
    <definedName name="pump3" localSheetId="13">#REF!</definedName>
    <definedName name="pump3" localSheetId="38">#REF!</definedName>
    <definedName name="pump3">#REF!</definedName>
    <definedName name="pump4" localSheetId="3">#REF!</definedName>
    <definedName name="pump4" localSheetId="7">#REF!</definedName>
    <definedName name="pump4" localSheetId="9">#REF!</definedName>
    <definedName name="pump4" localSheetId="10">#REF!</definedName>
    <definedName name="pump4" localSheetId="15">#REF!</definedName>
    <definedName name="pump4" localSheetId="19">#REF!</definedName>
    <definedName name="pump4" localSheetId="20">#REF!</definedName>
    <definedName name="pump4" localSheetId="24">#REF!</definedName>
    <definedName name="pump4" localSheetId="104">#REF!</definedName>
    <definedName name="pump4" localSheetId="65">#REF!</definedName>
    <definedName name="pump4" localSheetId="64">#REF!</definedName>
    <definedName name="pump4" localSheetId="77">#REF!</definedName>
    <definedName name="pump4" localSheetId="49">#REF!</definedName>
    <definedName name="pump4" localSheetId="40">#REF!</definedName>
    <definedName name="pump4" localSheetId="43">#REF!</definedName>
    <definedName name="pump4" localSheetId="13">#REF!</definedName>
    <definedName name="pump4" localSheetId="38">#REF!</definedName>
    <definedName name="pump4">#REF!</definedName>
    <definedName name="pumptot" localSheetId="3">#REF!</definedName>
    <definedName name="pumptot" localSheetId="7">#REF!</definedName>
    <definedName name="pumptot" localSheetId="9">#REF!</definedName>
    <definedName name="pumptot" localSheetId="10">#REF!</definedName>
    <definedName name="pumptot" localSheetId="15">#REF!</definedName>
    <definedName name="pumptot" localSheetId="19">#REF!</definedName>
    <definedName name="pumptot" localSheetId="20">#REF!</definedName>
    <definedName name="pumptot" localSheetId="24">#REF!</definedName>
    <definedName name="pumptot" localSheetId="104">#REF!</definedName>
    <definedName name="pumptot" localSheetId="65">#REF!</definedName>
    <definedName name="pumptot" localSheetId="64">#REF!</definedName>
    <definedName name="pumptot" localSheetId="77">#REF!</definedName>
    <definedName name="pumptot" localSheetId="49">#REF!</definedName>
    <definedName name="pumptot" localSheetId="40">#REF!</definedName>
    <definedName name="pumptot" localSheetId="43">#REF!</definedName>
    <definedName name="pumptot" localSheetId="13">#REF!</definedName>
    <definedName name="pumptot" localSheetId="38">#REF!</definedName>
    <definedName name="pumptot">#REF!</definedName>
    <definedName name="Pva" localSheetId="3">#REF!</definedName>
    <definedName name="Pva" localSheetId="7">#REF!</definedName>
    <definedName name="Pva" localSheetId="9">#REF!</definedName>
    <definedName name="Pva" localSheetId="10">#REF!</definedName>
    <definedName name="Pva" localSheetId="15">#REF!</definedName>
    <definedName name="Pva" localSheetId="19">#REF!</definedName>
    <definedName name="Pva" localSheetId="20">#REF!</definedName>
    <definedName name="Pva" localSheetId="24">#REF!</definedName>
    <definedName name="Pva" localSheetId="104">#REF!</definedName>
    <definedName name="Pva" localSheetId="65">#REF!</definedName>
    <definedName name="Pva" localSheetId="64">#REF!</definedName>
    <definedName name="Pva" localSheetId="77">#REF!</definedName>
    <definedName name="Pva" localSheetId="49">#REF!</definedName>
    <definedName name="Pva" localSheetId="40">#REF!</definedName>
    <definedName name="Pva" localSheetId="43">#REF!</definedName>
    <definedName name="Pva" localSheetId="13">#REF!</definedName>
    <definedName name="Pva" localSheetId="38">#REF!</definedName>
    <definedName name="Pva">#REF!</definedName>
    <definedName name="Pvap" localSheetId="3">#REF!</definedName>
    <definedName name="Pvap" localSheetId="7">#REF!</definedName>
    <definedName name="Pvap" localSheetId="9">#REF!</definedName>
    <definedName name="Pvap" localSheetId="10">#REF!</definedName>
    <definedName name="Pvap" localSheetId="15">#REF!</definedName>
    <definedName name="Pvap" localSheetId="19">#REF!</definedName>
    <definedName name="Pvap" localSheetId="20">#REF!</definedName>
    <definedName name="Pvap" localSheetId="24">#REF!</definedName>
    <definedName name="Pvap" localSheetId="104">#REF!</definedName>
    <definedName name="Pvap" localSheetId="65">#REF!</definedName>
    <definedName name="Pvap" localSheetId="64">#REF!</definedName>
    <definedName name="Pvap" localSheetId="77">#REF!</definedName>
    <definedName name="Pvap" localSheetId="49">#REF!</definedName>
    <definedName name="Pvap" localSheetId="40">#REF!</definedName>
    <definedName name="Pvap" localSheetId="43">#REF!</definedName>
    <definedName name="Pvap" localSheetId="13">#REF!</definedName>
    <definedName name="Pvap" localSheetId="38">#REF!</definedName>
    <definedName name="Pvap">#REF!</definedName>
    <definedName name="Pvn" localSheetId="3">#REF!</definedName>
    <definedName name="Pvn" localSheetId="7">#REF!</definedName>
    <definedName name="Pvn" localSheetId="9">#REF!</definedName>
    <definedName name="Pvn" localSheetId="10">#REF!</definedName>
    <definedName name="Pvn" localSheetId="15">#REF!</definedName>
    <definedName name="Pvn" localSheetId="19">#REF!</definedName>
    <definedName name="Pvn" localSheetId="20">#REF!</definedName>
    <definedName name="Pvn" localSheetId="24">#REF!</definedName>
    <definedName name="Pvn" localSheetId="104">#REF!</definedName>
    <definedName name="Pvn" localSheetId="65">#REF!</definedName>
    <definedName name="Pvn" localSheetId="64">#REF!</definedName>
    <definedName name="Pvn" localSheetId="77">#REF!</definedName>
    <definedName name="Pvn" localSheetId="49">#REF!</definedName>
    <definedName name="Pvn" localSheetId="40">#REF!</definedName>
    <definedName name="Pvn" localSheetId="43">#REF!</definedName>
    <definedName name="Pvn" localSheetId="13">#REF!</definedName>
    <definedName name="Pvn" localSheetId="38">#REF!</definedName>
    <definedName name="Pvn">#REF!</definedName>
    <definedName name="Pvx" localSheetId="3">#REF!</definedName>
    <definedName name="Pvx" localSheetId="7">#REF!</definedName>
    <definedName name="Pvx" localSheetId="9">#REF!</definedName>
    <definedName name="Pvx" localSheetId="10">#REF!</definedName>
    <definedName name="Pvx" localSheetId="15">#REF!</definedName>
    <definedName name="Pvx" localSheetId="19">#REF!</definedName>
    <definedName name="Pvx" localSheetId="20">#REF!</definedName>
    <definedName name="Pvx" localSheetId="24">#REF!</definedName>
    <definedName name="Pvx" localSheetId="104">#REF!</definedName>
    <definedName name="Pvx" localSheetId="65">#REF!</definedName>
    <definedName name="Pvx" localSheetId="64">#REF!</definedName>
    <definedName name="Pvx" localSheetId="77">#REF!</definedName>
    <definedName name="Pvx" localSheetId="49">#REF!</definedName>
    <definedName name="Pvx" localSheetId="40">#REF!</definedName>
    <definedName name="Pvx" localSheetId="43">#REF!</definedName>
    <definedName name="Pvx" localSheetId="13">#REF!</definedName>
    <definedName name="Pvx" localSheetId="38">#REF!</definedName>
    <definedName name="Pvx">#REF!</definedName>
    <definedName name="Q">[6]Flashing!$F$16</definedName>
    <definedName name="Ｑ_E" localSheetId="3">#REF!</definedName>
    <definedName name="Ｑ_E" localSheetId="7">#REF!</definedName>
    <definedName name="Ｑ_E" localSheetId="9">#REF!</definedName>
    <definedName name="Ｑ_E" localSheetId="10">#REF!</definedName>
    <definedName name="Ｑ_E" localSheetId="15">#REF!</definedName>
    <definedName name="Ｑ_E" localSheetId="19">#REF!</definedName>
    <definedName name="Ｑ_E" localSheetId="20">#REF!</definedName>
    <definedName name="Ｑ_E" localSheetId="24">#REF!</definedName>
    <definedName name="Ｑ_E" localSheetId="104">#REF!</definedName>
    <definedName name="Ｑ_E" localSheetId="65">#REF!</definedName>
    <definedName name="Ｑ_E" localSheetId="64">#REF!</definedName>
    <definedName name="Ｑ_E" localSheetId="77">#REF!</definedName>
    <definedName name="Ｑ_E" localSheetId="49">#REF!</definedName>
    <definedName name="Ｑ_E" localSheetId="40">#REF!</definedName>
    <definedName name="Ｑ_E" localSheetId="43">#REF!</definedName>
    <definedName name="Ｑ_E" localSheetId="13">#REF!</definedName>
    <definedName name="Ｑ_E" localSheetId="38">#REF!</definedName>
    <definedName name="Ｑ_E">#REF!</definedName>
    <definedName name="Ｑ_W" localSheetId="3">#REF!</definedName>
    <definedName name="Ｑ_W" localSheetId="7">#REF!</definedName>
    <definedName name="Ｑ_W" localSheetId="9">#REF!</definedName>
    <definedName name="Ｑ_W" localSheetId="10">#REF!</definedName>
    <definedName name="Ｑ_W" localSheetId="15">#REF!</definedName>
    <definedName name="Ｑ_W" localSheetId="19">#REF!</definedName>
    <definedName name="Ｑ_W" localSheetId="20">#REF!</definedName>
    <definedName name="Ｑ_W" localSheetId="24">#REF!</definedName>
    <definedName name="Ｑ_W" localSheetId="104">#REF!</definedName>
    <definedName name="Ｑ_W" localSheetId="65">#REF!</definedName>
    <definedName name="Ｑ_W" localSheetId="64">#REF!</definedName>
    <definedName name="Ｑ_W" localSheetId="77">#REF!</definedName>
    <definedName name="Ｑ_W" localSheetId="49">#REF!</definedName>
    <definedName name="Ｑ_W" localSheetId="40">#REF!</definedName>
    <definedName name="Ｑ_W" localSheetId="43">#REF!</definedName>
    <definedName name="Ｑ_W" localSheetId="13">#REF!</definedName>
    <definedName name="Ｑ_W" localSheetId="38">#REF!</definedName>
    <definedName name="Ｑ_W">#REF!</definedName>
    <definedName name="Qg" localSheetId="3">#REF!</definedName>
    <definedName name="Qg" localSheetId="7">#REF!</definedName>
    <definedName name="Qg" localSheetId="9">#REF!</definedName>
    <definedName name="Qg" localSheetId="10">#REF!</definedName>
    <definedName name="Qg" localSheetId="15">#REF!</definedName>
    <definedName name="Qg" localSheetId="19">#REF!</definedName>
    <definedName name="Qg" localSheetId="20">#REF!</definedName>
    <definedName name="Qg" localSheetId="24">#REF!</definedName>
    <definedName name="Qg" localSheetId="104">#REF!</definedName>
    <definedName name="Qg" localSheetId="65">#REF!</definedName>
    <definedName name="Qg" localSheetId="64">#REF!</definedName>
    <definedName name="Qg" localSheetId="77">#REF!</definedName>
    <definedName name="Qg" localSheetId="49">#REF!</definedName>
    <definedName name="Qg" localSheetId="40">#REF!</definedName>
    <definedName name="Qg" localSheetId="43">#REF!</definedName>
    <definedName name="Qg" localSheetId="13">#REF!</definedName>
    <definedName name="Qg" localSheetId="38">#REF!</definedName>
    <definedName name="Qg">#REF!</definedName>
    <definedName name="qq" localSheetId="3">#REF!</definedName>
    <definedName name="qq" localSheetId="7">#REF!</definedName>
    <definedName name="qq" localSheetId="9">#REF!</definedName>
    <definedName name="qq" localSheetId="10">#REF!</definedName>
    <definedName name="qq" localSheetId="15">#REF!</definedName>
    <definedName name="qq" localSheetId="19">#REF!</definedName>
    <definedName name="qq" localSheetId="20">#REF!</definedName>
    <definedName name="qq" localSheetId="24">#REF!</definedName>
    <definedName name="qq" localSheetId="104">#REF!</definedName>
    <definedName name="qq" localSheetId="65">#REF!</definedName>
    <definedName name="qq" localSheetId="64">#REF!</definedName>
    <definedName name="qq" localSheetId="77">#REF!</definedName>
    <definedName name="qq" localSheetId="49">#REF!</definedName>
    <definedName name="qq" localSheetId="40">#REF!</definedName>
    <definedName name="qq" localSheetId="43">#REF!</definedName>
    <definedName name="qq" localSheetId="13">#REF!</definedName>
    <definedName name="qq" localSheetId="38">#REF!</definedName>
    <definedName name="qq">#REF!</definedName>
    <definedName name="qqq" localSheetId="3">#REF!</definedName>
    <definedName name="qqq" localSheetId="7">#REF!</definedName>
    <definedName name="qqq" localSheetId="9">#REF!</definedName>
    <definedName name="qqq" localSheetId="10">#REF!</definedName>
    <definedName name="qqq" localSheetId="15">#REF!</definedName>
    <definedName name="qqq" localSheetId="19">#REF!</definedName>
    <definedName name="qqq" localSheetId="20">#REF!</definedName>
    <definedName name="qqq" localSheetId="24">#REF!</definedName>
    <definedName name="qqq" localSheetId="104">#REF!</definedName>
    <definedName name="qqq" localSheetId="65">#REF!</definedName>
    <definedName name="qqq" localSheetId="64">#REF!</definedName>
    <definedName name="qqq" localSheetId="77">#REF!</definedName>
    <definedName name="qqq" localSheetId="49">#REF!</definedName>
    <definedName name="qqq" localSheetId="40">#REF!</definedName>
    <definedName name="qqq" localSheetId="43">#REF!</definedName>
    <definedName name="qqq" localSheetId="13">#REF!</definedName>
    <definedName name="qqq" localSheetId="38">#REF!</definedName>
    <definedName name="qqq">#REF!</definedName>
    <definedName name="qty" localSheetId="3">#REF!</definedName>
    <definedName name="qty" localSheetId="7">#REF!</definedName>
    <definedName name="qty" localSheetId="9">#REF!</definedName>
    <definedName name="qty" localSheetId="10">#REF!</definedName>
    <definedName name="qty" localSheetId="15">#REF!</definedName>
    <definedName name="qty" localSheetId="19">#REF!</definedName>
    <definedName name="qty" localSheetId="20">#REF!</definedName>
    <definedName name="qty" localSheetId="24">#REF!</definedName>
    <definedName name="qty" localSheetId="104">#REF!</definedName>
    <definedName name="qty" localSheetId="65">#REF!</definedName>
    <definedName name="qty" localSheetId="64">#REF!</definedName>
    <definedName name="qty" localSheetId="77">#REF!</definedName>
    <definedName name="qty" localSheetId="49">#REF!</definedName>
    <definedName name="qty" localSheetId="40">#REF!</definedName>
    <definedName name="qty" localSheetId="43">#REF!</definedName>
    <definedName name="qty" localSheetId="13">#REF!</definedName>
    <definedName name="qty" localSheetId="38">#REF!</definedName>
    <definedName name="qty">#REF!</definedName>
    <definedName name="Quarter" localSheetId="3">#REF!</definedName>
    <definedName name="Quarter" localSheetId="7">#REF!</definedName>
    <definedName name="Quarter" localSheetId="9">#REF!</definedName>
    <definedName name="Quarter" localSheetId="10">#REF!</definedName>
    <definedName name="Quarter" localSheetId="15">#REF!</definedName>
    <definedName name="Quarter" localSheetId="19">#REF!</definedName>
    <definedName name="Quarter" localSheetId="20">#REF!</definedName>
    <definedName name="Quarter" localSheetId="24">#REF!</definedName>
    <definedName name="Quarter" localSheetId="104">#REF!</definedName>
    <definedName name="Quarter" localSheetId="65">#REF!</definedName>
    <definedName name="Quarter" localSheetId="64">#REF!</definedName>
    <definedName name="Quarter" localSheetId="77">#REF!</definedName>
    <definedName name="Quarter" localSheetId="49">#REF!</definedName>
    <definedName name="Quarter" localSheetId="40">#REF!</definedName>
    <definedName name="Quarter" localSheetId="43">#REF!</definedName>
    <definedName name="Quarter" localSheetId="13">#REF!</definedName>
    <definedName name="Quarter" localSheetId="38">#REF!</definedName>
    <definedName name="Quarter">#REF!</definedName>
    <definedName name="Query1" localSheetId="3">#REF!</definedName>
    <definedName name="Query1" localSheetId="7">#REF!</definedName>
    <definedName name="Query1" localSheetId="9">#REF!</definedName>
    <definedName name="Query1" localSheetId="10">#REF!</definedName>
    <definedName name="Query1" localSheetId="15">#REF!</definedName>
    <definedName name="Query1" localSheetId="19">#REF!</definedName>
    <definedName name="Query1" localSheetId="20">#REF!</definedName>
    <definedName name="Query1" localSheetId="24">#REF!</definedName>
    <definedName name="Query1" localSheetId="104">#REF!</definedName>
    <definedName name="Query1" localSheetId="65">#REF!</definedName>
    <definedName name="Query1" localSheetId="64">#REF!</definedName>
    <definedName name="Query1" localSheetId="77">#REF!</definedName>
    <definedName name="Query1" localSheetId="49">#REF!</definedName>
    <definedName name="Query1" localSheetId="40">#REF!</definedName>
    <definedName name="Query1" localSheetId="43">#REF!</definedName>
    <definedName name="Query1" localSheetId="13">#REF!</definedName>
    <definedName name="Query1" localSheetId="38">#REF!</definedName>
    <definedName name="Query1">#REF!</definedName>
    <definedName name="R_" localSheetId="3">'[4]Process Tanks'!#REF!</definedName>
    <definedName name="R_" localSheetId="7">'[4]Process Tanks'!#REF!</definedName>
    <definedName name="R_" localSheetId="9">'[4]Process Tanks'!#REF!</definedName>
    <definedName name="R_" localSheetId="10">'[4]Process Tanks'!#REF!</definedName>
    <definedName name="R_" localSheetId="15">'[4]Process Tanks'!#REF!</definedName>
    <definedName name="R_" localSheetId="19">'[4]Process Tanks'!#REF!</definedName>
    <definedName name="R_" localSheetId="20">'[4]Process Tanks'!#REF!</definedName>
    <definedName name="R_" localSheetId="24">'[4]Process Tanks'!#REF!</definedName>
    <definedName name="R_" localSheetId="104">'[4]Process Tanks'!#REF!</definedName>
    <definedName name="R_" localSheetId="75">'[4]Process Tanks'!#REF!</definedName>
    <definedName name="R_" localSheetId="65">'[4]Process Tanks'!#REF!</definedName>
    <definedName name="R_" localSheetId="64">'[4]Process Tanks'!#REF!</definedName>
    <definedName name="R_" localSheetId="77">'[4]Process Tanks'!#REF!</definedName>
    <definedName name="R_" localSheetId="49">'[4]Process Tanks'!#REF!</definedName>
    <definedName name="R_" localSheetId="48">'[4]Process Tanks'!#REF!</definedName>
    <definedName name="R_" localSheetId="40">'[4]Process Tanks'!#REF!</definedName>
    <definedName name="R_" localSheetId="43">'[4]Process Tanks'!#REF!</definedName>
    <definedName name="R_" localSheetId="13">'[4]Process Tanks'!#REF!</definedName>
    <definedName name="R_" localSheetId="38">'[4]Process Tanks'!#REF!</definedName>
    <definedName name="R_">'[4]Process Tanks'!#REF!</definedName>
    <definedName name="RANGE1" localSheetId="3">#REF!</definedName>
    <definedName name="RANGE1" localSheetId="7">#REF!</definedName>
    <definedName name="RANGE1" localSheetId="9">#REF!</definedName>
    <definedName name="RANGE1" localSheetId="10">#REF!</definedName>
    <definedName name="RANGE1" localSheetId="15">#REF!</definedName>
    <definedName name="RANGE1" localSheetId="19">#REF!</definedName>
    <definedName name="RANGE1" localSheetId="20">#REF!</definedName>
    <definedName name="RANGE1" localSheetId="24">#REF!</definedName>
    <definedName name="RANGE1" localSheetId="104">#REF!</definedName>
    <definedName name="RANGE1" localSheetId="65">#REF!</definedName>
    <definedName name="RANGE1" localSheetId="64">#REF!</definedName>
    <definedName name="RANGE1" localSheetId="77">#REF!</definedName>
    <definedName name="RANGE1" localSheetId="49">#REF!</definedName>
    <definedName name="RANGE1" localSheetId="40">#REF!</definedName>
    <definedName name="RANGE1" localSheetId="43">#REF!</definedName>
    <definedName name="RANGE1" localSheetId="13">#REF!</definedName>
    <definedName name="RANGE1" localSheetId="38">#REF!</definedName>
    <definedName name="RANGE1">#REF!</definedName>
    <definedName name="RANGE3" localSheetId="3">#REF!</definedName>
    <definedName name="RANGE3" localSheetId="7">#REF!</definedName>
    <definedName name="RANGE3" localSheetId="9">#REF!</definedName>
    <definedName name="RANGE3" localSheetId="10">#REF!</definedName>
    <definedName name="RANGE3" localSheetId="15">#REF!</definedName>
    <definedName name="RANGE3" localSheetId="19">#REF!</definedName>
    <definedName name="RANGE3" localSheetId="20">#REF!</definedName>
    <definedName name="RANGE3" localSheetId="24">#REF!</definedName>
    <definedName name="RANGE3" localSheetId="104">#REF!</definedName>
    <definedName name="RANGE3" localSheetId="65">#REF!</definedName>
    <definedName name="RANGE3" localSheetId="64">#REF!</definedName>
    <definedName name="RANGE3" localSheetId="77">#REF!</definedName>
    <definedName name="RANGE3" localSheetId="49">#REF!</definedName>
    <definedName name="RANGE3" localSheetId="40">#REF!</definedName>
    <definedName name="RANGE3" localSheetId="43">#REF!</definedName>
    <definedName name="RANGE3" localSheetId="13">#REF!</definedName>
    <definedName name="RANGE3" localSheetId="38">#REF!</definedName>
    <definedName name="RANGE3">#REF!</definedName>
    <definedName name="rated" localSheetId="3">#REF!</definedName>
    <definedName name="rated" localSheetId="7">#REF!</definedName>
    <definedName name="rated" localSheetId="9">#REF!</definedName>
    <definedName name="rated" localSheetId="10">#REF!</definedName>
    <definedName name="rated" localSheetId="15">#REF!</definedName>
    <definedName name="rated" localSheetId="19">#REF!</definedName>
    <definedName name="rated" localSheetId="20">#REF!</definedName>
    <definedName name="rated" localSheetId="24">#REF!</definedName>
    <definedName name="rated" localSheetId="104">#REF!</definedName>
    <definedName name="rated" localSheetId="65">#REF!</definedName>
    <definedName name="rated" localSheetId="64">#REF!</definedName>
    <definedName name="rated" localSheetId="77">#REF!</definedName>
    <definedName name="rated" localSheetId="49">#REF!</definedName>
    <definedName name="rated" localSheetId="40">#REF!</definedName>
    <definedName name="rated" localSheetId="43">#REF!</definedName>
    <definedName name="rated" localSheetId="13">#REF!</definedName>
    <definedName name="rated" localSheetId="38">#REF!</definedName>
    <definedName name="rated">#REF!</definedName>
    <definedName name="RCArea" localSheetId="3" hidden="1">#REF!</definedName>
    <definedName name="RCArea" localSheetId="7" hidden="1">#REF!</definedName>
    <definedName name="RCArea" localSheetId="9" hidden="1">#REF!</definedName>
    <definedName name="RCArea" localSheetId="10" hidden="1">#REF!</definedName>
    <definedName name="RCArea" localSheetId="15" hidden="1">#REF!</definedName>
    <definedName name="RCArea" localSheetId="18" hidden="1">#REF!</definedName>
    <definedName name="RCArea" localSheetId="19" hidden="1">#REF!</definedName>
    <definedName name="RCArea" localSheetId="20" hidden="1">#REF!</definedName>
    <definedName name="RCArea" localSheetId="23" hidden="1">#REF!</definedName>
    <definedName name="RCArea" localSheetId="24" hidden="1">#REF!</definedName>
    <definedName name="RCArea" localSheetId="35" hidden="1">#REF!</definedName>
    <definedName name="RCArea" localSheetId="58" hidden="1">#REF!</definedName>
    <definedName name="RCArea" localSheetId="60" hidden="1">#REF!</definedName>
    <definedName name="RCArea" localSheetId="51" hidden="1">#REF!</definedName>
    <definedName name="RCArea" localSheetId="54" hidden="1">#REF!</definedName>
    <definedName name="RCArea" localSheetId="47" hidden="1">#REF!</definedName>
    <definedName name="RCArea" localSheetId="105" hidden="1">#REF!</definedName>
    <definedName name="RCArea" localSheetId="104" hidden="1">#REF!</definedName>
    <definedName name="RCArea" localSheetId="88" hidden="1">#REF!</definedName>
    <definedName name="RCArea" localSheetId="89" hidden="1">#REF!</definedName>
    <definedName name="RCArea" localSheetId="87" hidden="1">#REF!</definedName>
    <definedName name="RCArea" localSheetId="90" hidden="1">#REF!</definedName>
    <definedName name="RCArea" localSheetId="70" hidden="1">#REF!</definedName>
    <definedName name="RCArea" localSheetId="63" hidden="1">#REF!</definedName>
    <definedName name="RCArea" localSheetId="65" hidden="1">#REF!</definedName>
    <definedName name="RCArea" localSheetId="64" hidden="1">#REF!</definedName>
    <definedName name="RCArea" localSheetId="77" hidden="1">#REF!</definedName>
    <definedName name="RCArea" localSheetId="49" hidden="1">#REF!</definedName>
    <definedName name="RCArea" localSheetId="48" hidden="1">#REF!</definedName>
    <definedName name="RCArea" localSheetId="57" hidden="1">#REF!</definedName>
    <definedName name="RCArea" localSheetId="59" hidden="1">#REF!</definedName>
    <definedName name="RCArea" localSheetId="52" hidden="1">#REF!</definedName>
    <definedName name="RCArea" localSheetId="67" hidden="1">#REF!</definedName>
    <definedName name="RCArea" localSheetId="80" hidden="1">#REF!</definedName>
    <definedName name="RCArea" localSheetId="40" hidden="1">#REF!</definedName>
    <definedName name="RCArea" localSheetId="43" hidden="1">#REF!</definedName>
    <definedName name="RCArea" localSheetId="55" hidden="1">#REF!</definedName>
    <definedName name="RCArea" localSheetId="81" hidden="1">#REF!</definedName>
    <definedName name="RCArea" localSheetId="53" hidden="1">#REF!</definedName>
    <definedName name="RCArea" localSheetId="13" hidden="1">#REF!</definedName>
    <definedName name="RCArea" localSheetId="11" hidden="1">#REF!</definedName>
    <definedName name="RCArea" localSheetId="38" hidden="1">#REF!</definedName>
    <definedName name="RCArea" localSheetId="41" hidden="1">#REF!</definedName>
    <definedName name="RCArea" localSheetId="101" hidden="1">#REF!</definedName>
    <definedName name="RCArea" localSheetId="102" hidden="1">#REF!</definedName>
    <definedName name="RCArea" localSheetId="103" hidden="1">#REF!</definedName>
    <definedName name="RCArea" localSheetId="97" hidden="1">#REF!</definedName>
    <definedName name="RCArea" localSheetId="42" hidden="1">#REF!</definedName>
    <definedName name="RCArea" localSheetId="12" hidden="1">#REF!</definedName>
    <definedName name="RCArea" localSheetId="73" hidden="1">#REF!</definedName>
    <definedName name="RCArea" localSheetId="74" hidden="1">#REF!</definedName>
    <definedName name="RCArea" hidden="1">#REF!</definedName>
    <definedName name="RCO_capture">'[25]#REF'!$E$28</definedName>
    <definedName name="RCO_CO_control">'[25]#REF'!$E$22</definedName>
    <definedName name="RCO_NOx_control">'[25]#REF'!$C$22</definedName>
    <definedName name="RCO_PM_control">'[25]#REF'!$A$22</definedName>
    <definedName name="RCO_SO2_control">'[25]#REF'!$I$22</definedName>
    <definedName name="RCO_VOC_control">'[25]#REF'!$G$22</definedName>
    <definedName name="reac1" localSheetId="3">#REF!</definedName>
    <definedName name="reac1" localSheetId="7">#REF!</definedName>
    <definedName name="reac1" localSheetId="9">#REF!</definedName>
    <definedName name="reac1" localSheetId="10">#REF!</definedName>
    <definedName name="reac1" localSheetId="15">#REF!</definedName>
    <definedName name="reac1" localSheetId="19">#REF!</definedName>
    <definedName name="reac1" localSheetId="20">#REF!</definedName>
    <definedName name="reac1" localSheetId="24">#REF!</definedName>
    <definedName name="reac1" localSheetId="104">#REF!</definedName>
    <definedName name="reac1" localSheetId="65">#REF!</definedName>
    <definedName name="reac1" localSheetId="64">#REF!</definedName>
    <definedName name="reac1" localSheetId="77">#REF!</definedName>
    <definedName name="reac1" localSheetId="49">#REF!</definedName>
    <definedName name="reac1" localSheetId="40">#REF!</definedName>
    <definedName name="reac1" localSheetId="43">#REF!</definedName>
    <definedName name="reac1" localSheetId="13">#REF!</definedName>
    <definedName name="reac1" localSheetId="38">#REF!</definedName>
    <definedName name="reac1">#REF!</definedName>
    <definedName name="reac2" localSheetId="3">#REF!</definedName>
    <definedName name="reac2" localSheetId="7">#REF!</definedName>
    <definedName name="reac2" localSheetId="9">#REF!</definedName>
    <definedName name="reac2" localSheetId="10">#REF!</definedName>
    <definedName name="reac2" localSheetId="15">#REF!</definedName>
    <definedName name="reac2" localSheetId="19">#REF!</definedName>
    <definedName name="reac2" localSheetId="20">#REF!</definedName>
    <definedName name="reac2" localSheetId="24">#REF!</definedName>
    <definedName name="reac2" localSheetId="104">#REF!</definedName>
    <definedName name="reac2" localSheetId="65">#REF!</definedName>
    <definedName name="reac2" localSheetId="64">#REF!</definedName>
    <definedName name="reac2" localSheetId="77">#REF!</definedName>
    <definedName name="reac2" localSheetId="49">#REF!</definedName>
    <definedName name="reac2" localSheetId="40">#REF!</definedName>
    <definedName name="reac2" localSheetId="43">#REF!</definedName>
    <definedName name="reac2" localSheetId="13">#REF!</definedName>
    <definedName name="reac2" localSheetId="38">#REF!</definedName>
    <definedName name="reac2">#REF!</definedName>
    <definedName name="reac3" localSheetId="3">#REF!</definedName>
    <definedName name="reac3" localSheetId="7">#REF!</definedName>
    <definedName name="reac3" localSheetId="9">#REF!</definedName>
    <definedName name="reac3" localSheetId="10">#REF!</definedName>
    <definedName name="reac3" localSheetId="15">#REF!</definedName>
    <definedName name="reac3" localSheetId="19">#REF!</definedName>
    <definedName name="reac3" localSheetId="20">#REF!</definedName>
    <definedName name="reac3" localSheetId="24">#REF!</definedName>
    <definedName name="reac3" localSheetId="104">#REF!</definedName>
    <definedName name="reac3" localSheetId="65">#REF!</definedName>
    <definedName name="reac3" localSheetId="64">#REF!</definedName>
    <definedName name="reac3" localSheetId="77">#REF!</definedName>
    <definedName name="reac3" localSheetId="49">#REF!</definedName>
    <definedName name="reac3" localSheetId="40">#REF!</definedName>
    <definedName name="reac3" localSheetId="43">#REF!</definedName>
    <definedName name="reac3" localSheetId="13">#REF!</definedName>
    <definedName name="reac3" localSheetId="38">#REF!</definedName>
    <definedName name="reac3">#REF!</definedName>
    <definedName name="reac4" localSheetId="3">#REF!</definedName>
    <definedName name="reac4" localSheetId="7">#REF!</definedName>
    <definedName name="reac4" localSheetId="9">#REF!</definedName>
    <definedName name="reac4" localSheetId="10">#REF!</definedName>
    <definedName name="reac4" localSheetId="15">#REF!</definedName>
    <definedName name="reac4" localSheetId="19">#REF!</definedName>
    <definedName name="reac4" localSheetId="20">#REF!</definedName>
    <definedName name="reac4" localSheetId="24">#REF!</definedName>
    <definedName name="reac4" localSheetId="104">#REF!</definedName>
    <definedName name="reac4" localSheetId="65">#REF!</definedName>
    <definedName name="reac4" localSheetId="64">#REF!</definedName>
    <definedName name="reac4" localSheetId="77">#REF!</definedName>
    <definedName name="reac4" localSheetId="49">#REF!</definedName>
    <definedName name="reac4" localSheetId="40">#REF!</definedName>
    <definedName name="reac4" localSheetId="43">#REF!</definedName>
    <definedName name="reac4" localSheetId="13">#REF!</definedName>
    <definedName name="reac4" localSheetId="38">#REF!</definedName>
    <definedName name="reac4">#REF!</definedName>
    <definedName name="reactot" localSheetId="3">#REF!</definedName>
    <definedName name="reactot" localSheetId="7">#REF!</definedName>
    <definedName name="reactot" localSheetId="9">#REF!</definedName>
    <definedName name="reactot" localSheetId="10">#REF!</definedName>
    <definedName name="reactot" localSheetId="15">#REF!</definedName>
    <definedName name="reactot" localSheetId="19">#REF!</definedName>
    <definedName name="reactot" localSheetId="20">#REF!</definedName>
    <definedName name="reactot" localSheetId="24">#REF!</definedName>
    <definedName name="reactot" localSheetId="104">#REF!</definedName>
    <definedName name="reactot" localSheetId="65">#REF!</definedName>
    <definedName name="reactot" localSheetId="64">#REF!</definedName>
    <definedName name="reactot" localSheetId="77">#REF!</definedName>
    <definedName name="reactot" localSheetId="49">#REF!</definedName>
    <definedName name="reactot" localSheetId="40">#REF!</definedName>
    <definedName name="reactot" localSheetId="43">#REF!</definedName>
    <definedName name="reactot" localSheetId="13">#REF!</definedName>
    <definedName name="reactot" localSheetId="38">#REF!</definedName>
    <definedName name="reactot">#REF!</definedName>
    <definedName name="_xlnm.Recorder" localSheetId="3">#REF!</definedName>
    <definedName name="_xlnm.Recorder" localSheetId="7">#REF!</definedName>
    <definedName name="_xlnm.Recorder" localSheetId="9">#REF!</definedName>
    <definedName name="_xlnm.Recorder" localSheetId="10">#REF!</definedName>
    <definedName name="_xlnm.Recorder" localSheetId="15">#REF!</definedName>
    <definedName name="_xlnm.Recorder" localSheetId="19">#REF!</definedName>
    <definedName name="_xlnm.Recorder" localSheetId="20">#REF!</definedName>
    <definedName name="_xlnm.Recorder" localSheetId="24">#REF!</definedName>
    <definedName name="_xlnm.Recorder" localSheetId="104">#REF!</definedName>
    <definedName name="_xlnm.Recorder" localSheetId="65">#REF!</definedName>
    <definedName name="_xlnm.Recorder" localSheetId="64">#REF!</definedName>
    <definedName name="_xlnm.Recorder" localSheetId="77">#REF!</definedName>
    <definedName name="_xlnm.Recorder" localSheetId="49">#REF!</definedName>
    <definedName name="_xlnm.Recorder" localSheetId="40">#REF!</definedName>
    <definedName name="_xlnm.Recorder" localSheetId="43">#REF!</definedName>
    <definedName name="_xlnm.Recorder" localSheetId="13">#REF!</definedName>
    <definedName name="_xlnm.Recorder" localSheetId="38">#REF!</definedName>
    <definedName name="_xlnm.Recorder">#REF!</definedName>
    <definedName name="References" localSheetId="3">#REF!</definedName>
    <definedName name="References" localSheetId="7">#REF!</definedName>
    <definedName name="References" localSheetId="9">#REF!</definedName>
    <definedName name="References" localSheetId="10">#REF!</definedName>
    <definedName name="References" localSheetId="15">#REF!</definedName>
    <definedName name="References" localSheetId="19">#REF!</definedName>
    <definedName name="References" localSheetId="20">#REF!</definedName>
    <definedName name="References" localSheetId="24">#REF!</definedName>
    <definedName name="References" localSheetId="104">#REF!</definedName>
    <definedName name="References" localSheetId="65">#REF!</definedName>
    <definedName name="References" localSheetId="64">#REF!</definedName>
    <definedName name="References" localSheetId="77">#REF!</definedName>
    <definedName name="References" localSheetId="49">#REF!</definedName>
    <definedName name="References" localSheetId="40">#REF!</definedName>
    <definedName name="References" localSheetId="43">#REF!</definedName>
    <definedName name="References" localSheetId="13">#REF!</definedName>
    <definedName name="References" localSheetId="38">#REF!</definedName>
    <definedName name="References">#REF!</definedName>
    <definedName name="refr1" localSheetId="3">#REF!</definedName>
    <definedName name="refr1" localSheetId="7">#REF!</definedName>
    <definedName name="refr1" localSheetId="9">#REF!</definedName>
    <definedName name="refr1" localSheetId="10">#REF!</definedName>
    <definedName name="refr1" localSheetId="15">#REF!</definedName>
    <definedName name="refr1" localSheetId="19">#REF!</definedName>
    <definedName name="refr1" localSheetId="20">#REF!</definedName>
    <definedName name="refr1" localSheetId="24">#REF!</definedName>
    <definedName name="refr1" localSheetId="104">#REF!</definedName>
    <definedName name="refr1" localSheetId="65">#REF!</definedName>
    <definedName name="refr1" localSheetId="64">#REF!</definedName>
    <definedName name="refr1" localSheetId="77">#REF!</definedName>
    <definedName name="refr1" localSheetId="49">#REF!</definedName>
    <definedName name="refr1" localSheetId="40">#REF!</definedName>
    <definedName name="refr1" localSheetId="43">#REF!</definedName>
    <definedName name="refr1" localSheetId="13">#REF!</definedName>
    <definedName name="refr1" localSheetId="38">#REF!</definedName>
    <definedName name="refr1">#REF!</definedName>
    <definedName name="refr2" localSheetId="3">#REF!</definedName>
    <definedName name="refr2" localSheetId="7">#REF!</definedName>
    <definedName name="refr2" localSheetId="9">#REF!</definedName>
    <definedName name="refr2" localSheetId="10">#REF!</definedName>
    <definedName name="refr2" localSheetId="15">#REF!</definedName>
    <definedName name="refr2" localSheetId="19">#REF!</definedName>
    <definedName name="refr2" localSheetId="20">#REF!</definedName>
    <definedName name="refr2" localSheetId="24">#REF!</definedName>
    <definedName name="refr2" localSheetId="104">#REF!</definedName>
    <definedName name="refr2" localSheetId="65">#REF!</definedName>
    <definedName name="refr2" localSheetId="64">#REF!</definedName>
    <definedName name="refr2" localSheetId="77">#REF!</definedName>
    <definedName name="refr2" localSheetId="49">#REF!</definedName>
    <definedName name="refr2" localSheetId="40">#REF!</definedName>
    <definedName name="refr2" localSheetId="43">#REF!</definedName>
    <definedName name="refr2" localSheetId="13">#REF!</definedName>
    <definedName name="refr2" localSheetId="38">#REF!</definedName>
    <definedName name="refr2">#REF!</definedName>
    <definedName name="refr3" localSheetId="3">#REF!</definedName>
    <definedName name="refr3" localSheetId="7">#REF!</definedName>
    <definedName name="refr3" localSheetId="9">#REF!</definedName>
    <definedName name="refr3" localSheetId="10">#REF!</definedName>
    <definedName name="refr3" localSheetId="15">#REF!</definedName>
    <definedName name="refr3" localSheetId="19">#REF!</definedName>
    <definedName name="refr3" localSheetId="20">#REF!</definedName>
    <definedName name="refr3" localSheetId="24">#REF!</definedName>
    <definedName name="refr3" localSheetId="104">#REF!</definedName>
    <definedName name="refr3" localSheetId="65">#REF!</definedName>
    <definedName name="refr3" localSheetId="64">#REF!</definedName>
    <definedName name="refr3" localSheetId="77">#REF!</definedName>
    <definedName name="refr3" localSheetId="49">#REF!</definedName>
    <definedName name="refr3" localSheetId="40">#REF!</definedName>
    <definedName name="refr3" localSheetId="43">#REF!</definedName>
    <definedName name="refr3" localSheetId="13">#REF!</definedName>
    <definedName name="refr3" localSheetId="38">#REF!</definedName>
    <definedName name="refr3">#REF!</definedName>
    <definedName name="refr4" localSheetId="3">#REF!</definedName>
    <definedName name="refr4" localSheetId="7">#REF!</definedName>
    <definedName name="refr4" localSheetId="9">#REF!</definedName>
    <definedName name="refr4" localSheetId="10">#REF!</definedName>
    <definedName name="refr4" localSheetId="15">#REF!</definedName>
    <definedName name="refr4" localSheetId="19">#REF!</definedName>
    <definedName name="refr4" localSheetId="20">#REF!</definedName>
    <definedName name="refr4" localSheetId="24">#REF!</definedName>
    <definedName name="refr4" localSheetId="104">#REF!</definedName>
    <definedName name="refr4" localSheetId="65">#REF!</definedName>
    <definedName name="refr4" localSheetId="64">#REF!</definedName>
    <definedName name="refr4" localSheetId="77">#REF!</definedName>
    <definedName name="refr4" localSheetId="49">#REF!</definedName>
    <definedName name="refr4" localSheetId="40">#REF!</definedName>
    <definedName name="refr4" localSheetId="43">#REF!</definedName>
    <definedName name="refr4" localSheetId="13">#REF!</definedName>
    <definedName name="refr4" localSheetId="38">#REF!</definedName>
    <definedName name="refr4">#REF!</definedName>
    <definedName name="refrtot" localSheetId="3">#REF!</definedName>
    <definedName name="refrtot" localSheetId="7">#REF!</definedName>
    <definedName name="refrtot" localSheetId="9">#REF!</definedName>
    <definedName name="refrtot" localSheetId="10">#REF!</definedName>
    <definedName name="refrtot" localSheetId="15">#REF!</definedName>
    <definedName name="refrtot" localSheetId="19">#REF!</definedName>
    <definedName name="refrtot" localSheetId="20">#REF!</definedName>
    <definedName name="refrtot" localSheetId="24">#REF!</definedName>
    <definedName name="refrtot" localSheetId="104">#REF!</definedName>
    <definedName name="refrtot" localSheetId="65">#REF!</definedName>
    <definedName name="refrtot" localSheetId="64">#REF!</definedName>
    <definedName name="refrtot" localSheetId="77">#REF!</definedName>
    <definedName name="refrtot" localSheetId="49">#REF!</definedName>
    <definedName name="refrtot" localSheetId="40">#REF!</definedName>
    <definedName name="refrtot" localSheetId="43">#REF!</definedName>
    <definedName name="refrtot" localSheetId="13">#REF!</definedName>
    <definedName name="refrtot" localSheetId="38">#REF!</definedName>
    <definedName name="refrtot">#REF!</definedName>
    <definedName name="Reg_No">#N/A</definedName>
    <definedName name="regres" localSheetId="3" hidden="1">#REF!</definedName>
    <definedName name="regres" localSheetId="7" hidden="1">#REF!</definedName>
    <definedName name="regres" localSheetId="9" hidden="1">#REF!</definedName>
    <definedName name="regres" localSheetId="10" hidden="1">#REF!</definedName>
    <definedName name="regres" localSheetId="15" hidden="1">#REF!</definedName>
    <definedName name="regres" localSheetId="18" hidden="1">#REF!</definedName>
    <definedName name="regres" localSheetId="19" hidden="1">#REF!</definedName>
    <definedName name="regres" localSheetId="20" hidden="1">#REF!</definedName>
    <definedName name="regres" localSheetId="23" hidden="1">#REF!</definedName>
    <definedName name="regres" localSheetId="24" hidden="1">#REF!</definedName>
    <definedName name="regres" localSheetId="35" hidden="1">#REF!</definedName>
    <definedName name="regres" localSheetId="58" hidden="1">#REF!</definedName>
    <definedName name="regres" localSheetId="60" hidden="1">#REF!</definedName>
    <definedName name="regres" localSheetId="51" hidden="1">#REF!</definedName>
    <definedName name="regres" localSheetId="54" hidden="1">#REF!</definedName>
    <definedName name="regres" localSheetId="47" hidden="1">#REF!</definedName>
    <definedName name="regres" localSheetId="105" hidden="1">#REF!</definedName>
    <definedName name="regres" localSheetId="104" hidden="1">#REF!</definedName>
    <definedName name="regres" localSheetId="88" hidden="1">#REF!</definedName>
    <definedName name="regres" localSheetId="89" hidden="1">#REF!</definedName>
    <definedName name="regres" localSheetId="87" hidden="1">#REF!</definedName>
    <definedName name="regres" localSheetId="90" hidden="1">#REF!</definedName>
    <definedName name="regres" localSheetId="70" hidden="1">#REF!</definedName>
    <definedName name="regres" localSheetId="65" hidden="1">#REF!</definedName>
    <definedName name="regres" localSheetId="64" hidden="1">#REF!</definedName>
    <definedName name="regres" localSheetId="77" hidden="1">#REF!</definedName>
    <definedName name="regres" localSheetId="49" hidden="1">#REF!</definedName>
    <definedName name="regres" localSheetId="57" hidden="1">#REF!</definedName>
    <definedName name="regres" localSheetId="59" hidden="1">#REF!</definedName>
    <definedName name="regres" localSheetId="40" hidden="1">#REF!</definedName>
    <definedName name="regres" localSheetId="43" hidden="1">#REF!</definedName>
    <definedName name="regres" localSheetId="55" hidden="1">#REF!</definedName>
    <definedName name="regres" localSheetId="13" hidden="1">#REF!</definedName>
    <definedName name="regres" localSheetId="11" hidden="1">#REF!</definedName>
    <definedName name="regres" localSheetId="38" hidden="1">#REF!</definedName>
    <definedName name="regres" localSheetId="41" hidden="1">#REF!</definedName>
    <definedName name="regres" localSheetId="101" hidden="1">#REF!</definedName>
    <definedName name="regres" localSheetId="102" hidden="1">#REF!</definedName>
    <definedName name="regres" localSheetId="103" hidden="1">#REF!</definedName>
    <definedName name="regres" localSheetId="97" hidden="1">#REF!</definedName>
    <definedName name="regres" localSheetId="42" hidden="1">#REF!</definedName>
    <definedName name="regres" localSheetId="12" hidden="1">#REF!</definedName>
    <definedName name="regres" localSheetId="73" hidden="1">#REF!</definedName>
    <definedName name="regres" localSheetId="74" hidden="1">#REF!</definedName>
    <definedName name="regres" hidden="1">#REF!</definedName>
    <definedName name="regressout" localSheetId="3" hidden="1">#REF!</definedName>
    <definedName name="regressout" localSheetId="7" hidden="1">#REF!</definedName>
    <definedName name="regressout" localSheetId="9" hidden="1">#REF!</definedName>
    <definedName name="regressout" localSheetId="10" hidden="1">#REF!</definedName>
    <definedName name="regressout" localSheetId="15" hidden="1">#REF!</definedName>
    <definedName name="regressout" localSheetId="18" hidden="1">#REF!</definedName>
    <definedName name="regressout" localSheetId="19" hidden="1">#REF!</definedName>
    <definedName name="regressout" localSheetId="20" hidden="1">#REF!</definedName>
    <definedName name="regressout" localSheetId="23" hidden="1">#REF!</definedName>
    <definedName name="regressout" localSheetId="24" hidden="1">#REF!</definedName>
    <definedName name="regressout" localSheetId="35" hidden="1">#REF!</definedName>
    <definedName name="regressout" localSheetId="58" hidden="1">#REF!</definedName>
    <definedName name="regressout" localSheetId="60" hidden="1">#REF!</definedName>
    <definedName name="regressout" localSheetId="51" hidden="1">#REF!</definedName>
    <definedName name="regressout" localSheetId="54" hidden="1">#REF!</definedName>
    <definedName name="regressout" localSheetId="47" hidden="1">#REF!</definedName>
    <definedName name="regressout" localSheetId="105" hidden="1">#REF!</definedName>
    <definedName name="regressout" localSheetId="104" hidden="1">#REF!</definedName>
    <definedName name="regressout" localSheetId="88" hidden="1">#REF!</definedName>
    <definedName name="regressout" localSheetId="89" hidden="1">#REF!</definedName>
    <definedName name="regressout" localSheetId="87" hidden="1">#REF!</definedName>
    <definedName name="regressout" localSheetId="90" hidden="1">#REF!</definedName>
    <definedName name="regressout" localSheetId="70" hidden="1">#REF!</definedName>
    <definedName name="regressout" localSheetId="65" hidden="1">#REF!</definedName>
    <definedName name="regressout" localSheetId="64" hidden="1">#REF!</definedName>
    <definedName name="regressout" localSheetId="77" hidden="1">#REF!</definedName>
    <definedName name="regressout" localSheetId="49" hidden="1">#REF!</definedName>
    <definedName name="regressout" localSheetId="57" hidden="1">#REF!</definedName>
    <definedName name="regressout" localSheetId="59" hidden="1">#REF!</definedName>
    <definedName name="regressout" localSheetId="40" hidden="1">#REF!</definedName>
    <definedName name="regressout" localSheetId="43" hidden="1">#REF!</definedName>
    <definedName name="regressout" localSheetId="55" hidden="1">#REF!</definedName>
    <definedName name="regressout" localSheetId="13" hidden="1">#REF!</definedName>
    <definedName name="regressout" localSheetId="11" hidden="1">#REF!</definedName>
    <definedName name="regressout" localSheetId="38" hidden="1">#REF!</definedName>
    <definedName name="regressout" localSheetId="41" hidden="1">#REF!</definedName>
    <definedName name="regressout" localSheetId="101" hidden="1">#REF!</definedName>
    <definedName name="regressout" localSheetId="102" hidden="1">#REF!</definedName>
    <definedName name="regressout" localSheetId="103" hidden="1">#REF!</definedName>
    <definedName name="regressout" localSheetId="97" hidden="1">#REF!</definedName>
    <definedName name="regressout" localSheetId="42" hidden="1">#REF!</definedName>
    <definedName name="regressout" localSheetId="12" hidden="1">#REF!</definedName>
    <definedName name="regressout" localSheetId="73" hidden="1">#REF!</definedName>
    <definedName name="regressout" localSheetId="74" hidden="1">#REF!</definedName>
    <definedName name="regressout" hidden="1">#REF!</definedName>
    <definedName name="REGSTATUS" localSheetId="3">#REF!</definedName>
    <definedName name="REGSTATUS" localSheetId="7">#REF!</definedName>
    <definedName name="REGSTATUS" localSheetId="9">#REF!</definedName>
    <definedName name="REGSTATUS" localSheetId="10">#REF!</definedName>
    <definedName name="REGSTATUS" localSheetId="15">#REF!</definedName>
    <definedName name="REGSTATUS" localSheetId="19">#REF!</definedName>
    <definedName name="REGSTATUS" localSheetId="20">#REF!</definedName>
    <definedName name="REGSTATUS" localSheetId="24">#REF!</definedName>
    <definedName name="REGSTATUS" localSheetId="104">#REF!</definedName>
    <definedName name="REGSTATUS" localSheetId="65">#REF!</definedName>
    <definedName name="REGSTATUS" localSheetId="64">#REF!</definedName>
    <definedName name="REGSTATUS" localSheetId="77">#REF!</definedName>
    <definedName name="REGSTATUS" localSheetId="49">#REF!</definedName>
    <definedName name="REGSTATUS" localSheetId="40">#REF!</definedName>
    <definedName name="REGSTATUS" localSheetId="43">#REF!</definedName>
    <definedName name="REGSTATUS" localSheetId="13">#REF!</definedName>
    <definedName name="REGSTATUS" localSheetId="38">#REF!</definedName>
    <definedName name="REGSTATUS">#REF!</definedName>
    <definedName name="REGSTATUSTITLE" localSheetId="3">#REF!</definedName>
    <definedName name="REGSTATUSTITLE" localSheetId="7">#REF!</definedName>
    <definedName name="REGSTATUSTITLE" localSheetId="9">#REF!</definedName>
    <definedName name="REGSTATUSTITLE" localSheetId="10">#REF!</definedName>
    <definedName name="REGSTATUSTITLE" localSheetId="15">#REF!</definedName>
    <definedName name="REGSTATUSTITLE" localSheetId="19">#REF!</definedName>
    <definedName name="REGSTATUSTITLE" localSheetId="20">#REF!</definedName>
    <definedName name="REGSTATUSTITLE" localSheetId="24">#REF!</definedName>
    <definedName name="REGSTATUSTITLE" localSheetId="104">#REF!</definedName>
    <definedName name="REGSTATUSTITLE" localSheetId="65">#REF!</definedName>
    <definedName name="REGSTATUSTITLE" localSheetId="64">#REF!</definedName>
    <definedName name="REGSTATUSTITLE" localSheetId="77">#REF!</definedName>
    <definedName name="REGSTATUSTITLE" localSheetId="49">#REF!</definedName>
    <definedName name="REGSTATUSTITLE" localSheetId="40">#REF!</definedName>
    <definedName name="REGSTATUSTITLE" localSheetId="43">#REF!</definedName>
    <definedName name="REGSTATUSTITLE" localSheetId="13">#REF!</definedName>
    <definedName name="REGSTATUSTITLE" localSheetId="38">#REF!</definedName>
    <definedName name="REGSTATUSTITLE">#REF!</definedName>
    <definedName name="regx" localSheetId="3" hidden="1">#REF!</definedName>
    <definedName name="regx" localSheetId="7" hidden="1">#REF!</definedName>
    <definedName name="regx" localSheetId="9" hidden="1">#REF!</definedName>
    <definedName name="regx" localSheetId="10" hidden="1">#REF!</definedName>
    <definedName name="regx" localSheetId="15" hidden="1">#REF!</definedName>
    <definedName name="regx" localSheetId="18" hidden="1">#REF!</definedName>
    <definedName name="regx" localSheetId="19" hidden="1">#REF!</definedName>
    <definedName name="regx" localSheetId="20" hidden="1">#REF!</definedName>
    <definedName name="regx" localSheetId="23" hidden="1">#REF!</definedName>
    <definedName name="regx" localSheetId="24" hidden="1">#REF!</definedName>
    <definedName name="regx" localSheetId="35" hidden="1">#REF!</definedName>
    <definedName name="regx" localSheetId="58" hidden="1">#REF!</definedName>
    <definedName name="regx" localSheetId="60" hidden="1">#REF!</definedName>
    <definedName name="regx" localSheetId="51" hidden="1">#REF!</definedName>
    <definedName name="regx" localSheetId="54" hidden="1">#REF!</definedName>
    <definedName name="regx" localSheetId="47" hidden="1">#REF!</definedName>
    <definedName name="regx" localSheetId="105" hidden="1">#REF!</definedName>
    <definedName name="regx" localSheetId="104" hidden="1">#REF!</definedName>
    <definedName name="regx" localSheetId="88" hidden="1">#REF!</definedName>
    <definedName name="regx" localSheetId="89" hidden="1">#REF!</definedName>
    <definedName name="regx" localSheetId="87" hidden="1">#REF!</definedName>
    <definedName name="regx" localSheetId="90" hidden="1">#REF!</definedName>
    <definedName name="regx" localSheetId="70" hidden="1">#REF!</definedName>
    <definedName name="regx" localSheetId="65" hidden="1">#REF!</definedName>
    <definedName name="regx" localSheetId="64" hidden="1">#REF!</definedName>
    <definedName name="regx" localSheetId="77" hidden="1">#REF!</definedName>
    <definedName name="regx" localSheetId="49" hidden="1">#REF!</definedName>
    <definedName name="regx" localSheetId="57" hidden="1">#REF!</definedName>
    <definedName name="regx" localSheetId="59" hidden="1">#REF!</definedName>
    <definedName name="regx" localSheetId="40" hidden="1">#REF!</definedName>
    <definedName name="regx" localSheetId="43" hidden="1">#REF!</definedName>
    <definedName name="regx" localSheetId="55" hidden="1">#REF!</definedName>
    <definedName name="regx" localSheetId="13" hidden="1">#REF!</definedName>
    <definedName name="regx" localSheetId="11" hidden="1">#REF!</definedName>
    <definedName name="regx" localSheetId="38" hidden="1">#REF!</definedName>
    <definedName name="regx" localSheetId="41" hidden="1">#REF!</definedName>
    <definedName name="regx" localSheetId="101" hidden="1">#REF!</definedName>
    <definedName name="regx" localSheetId="102" hidden="1">#REF!</definedName>
    <definedName name="regx" localSheetId="103" hidden="1">#REF!</definedName>
    <definedName name="regx" localSheetId="97" hidden="1">#REF!</definedName>
    <definedName name="regx" localSheetId="42" hidden="1">#REF!</definedName>
    <definedName name="regx" localSheetId="12" hidden="1">#REF!</definedName>
    <definedName name="regx" localSheetId="73" hidden="1">#REF!</definedName>
    <definedName name="regx" localSheetId="74" hidden="1">#REF!</definedName>
    <definedName name="regx" hidden="1">#REF!</definedName>
    <definedName name="regy" localSheetId="3" hidden="1">#REF!</definedName>
    <definedName name="regy" localSheetId="7" hidden="1">#REF!</definedName>
    <definedName name="regy" localSheetId="9" hidden="1">#REF!</definedName>
    <definedName name="regy" localSheetId="10" hidden="1">#REF!</definedName>
    <definedName name="regy" localSheetId="15" hidden="1">#REF!</definedName>
    <definedName name="regy" localSheetId="18" hidden="1">#REF!</definedName>
    <definedName name="regy" localSheetId="19" hidden="1">#REF!</definedName>
    <definedName name="regy" localSheetId="20" hidden="1">#REF!</definedName>
    <definedName name="regy" localSheetId="23" hidden="1">#REF!</definedName>
    <definedName name="regy" localSheetId="24" hidden="1">#REF!</definedName>
    <definedName name="regy" localSheetId="35" hidden="1">#REF!</definedName>
    <definedName name="regy" localSheetId="58" hidden="1">#REF!</definedName>
    <definedName name="regy" localSheetId="60" hidden="1">#REF!</definedName>
    <definedName name="regy" localSheetId="51" hidden="1">#REF!</definedName>
    <definedName name="regy" localSheetId="54" hidden="1">#REF!</definedName>
    <definedName name="regy" localSheetId="47" hidden="1">#REF!</definedName>
    <definedName name="regy" localSheetId="105" hidden="1">#REF!</definedName>
    <definedName name="regy" localSheetId="104" hidden="1">#REF!</definedName>
    <definedName name="regy" localSheetId="88" hidden="1">#REF!</definedName>
    <definedName name="regy" localSheetId="89" hidden="1">#REF!</definedName>
    <definedName name="regy" localSheetId="87" hidden="1">#REF!</definedName>
    <definedName name="regy" localSheetId="90" hidden="1">#REF!</definedName>
    <definedName name="regy" localSheetId="70" hidden="1">#REF!</definedName>
    <definedName name="regy" localSheetId="65" hidden="1">#REF!</definedName>
    <definedName name="regy" localSheetId="64" hidden="1">#REF!</definedName>
    <definedName name="regy" localSheetId="77" hidden="1">#REF!</definedName>
    <definedName name="regy" localSheetId="49" hidden="1">#REF!</definedName>
    <definedName name="regy" localSheetId="57" hidden="1">#REF!</definedName>
    <definedName name="regy" localSheetId="59" hidden="1">#REF!</definedName>
    <definedName name="regy" localSheetId="40" hidden="1">#REF!</definedName>
    <definedName name="regy" localSheetId="43" hidden="1">#REF!</definedName>
    <definedName name="regy" localSheetId="55" hidden="1">#REF!</definedName>
    <definedName name="regy" localSheetId="13" hidden="1">#REF!</definedName>
    <definedName name="regy" localSheetId="11" hidden="1">#REF!</definedName>
    <definedName name="regy" localSheetId="38" hidden="1">#REF!</definedName>
    <definedName name="regy" localSheetId="41" hidden="1">#REF!</definedName>
    <definedName name="regy" localSheetId="101" hidden="1">#REF!</definedName>
    <definedName name="regy" localSheetId="102" hidden="1">#REF!</definedName>
    <definedName name="regy" localSheetId="103" hidden="1">#REF!</definedName>
    <definedName name="regy" localSheetId="97" hidden="1">#REF!</definedName>
    <definedName name="regy" localSheetId="42" hidden="1">#REF!</definedName>
    <definedName name="regy" localSheetId="12" hidden="1">#REF!</definedName>
    <definedName name="regy" localSheetId="73" hidden="1">#REF!</definedName>
    <definedName name="regy" localSheetId="74" hidden="1">#REF!</definedName>
    <definedName name="regy" hidden="1">#REF!</definedName>
    <definedName name="report" localSheetId="105" hidden="1">{"Detailed",#N/A,FALSE,"GAS-COMB";"Summary",#N/A,FALSE,"GAS-COMB"}</definedName>
    <definedName name="report" localSheetId="96" hidden="1">{"Detailed",#N/A,FALSE,"GAS-COMB";"Summary",#N/A,FALSE,"GAS-COMB"}</definedName>
    <definedName name="report" localSheetId="44" hidden="1">{"Detailed",#N/A,FALSE,"GAS-COMB";"Summary",#N/A,FALSE,"GAS-COMB"}</definedName>
    <definedName name="report" hidden="1">{"Detailed",#N/A,FALSE,"GAS-COMB";"Summary",#N/A,FALSE,"GAS-COMB"}</definedName>
    <definedName name="report2" localSheetId="105" hidden="1">{"Detailed",#N/A,FALSE,"GAS-COMB"}</definedName>
    <definedName name="report2" localSheetId="96" hidden="1">{"Detailed",#N/A,FALSE,"GAS-COMB"}</definedName>
    <definedName name="report2" localSheetId="44" hidden="1">{"Detailed",#N/A,FALSE,"GAS-COMB"}</definedName>
    <definedName name="report2" hidden="1">{"Detailed",#N/A,FALSE,"GAS-COMB"}</definedName>
    <definedName name="ReportingYear" localSheetId="3">#REF!</definedName>
    <definedName name="ReportingYear" localSheetId="7">#REF!</definedName>
    <definedName name="ReportingYear" localSheetId="9">#REF!</definedName>
    <definedName name="ReportingYear" localSheetId="10">#REF!</definedName>
    <definedName name="ReportingYear" localSheetId="15">#REF!</definedName>
    <definedName name="ReportingYear" localSheetId="19">#REF!</definedName>
    <definedName name="ReportingYear" localSheetId="20">#REF!</definedName>
    <definedName name="ReportingYear" localSheetId="24">#REF!</definedName>
    <definedName name="ReportingYear" localSheetId="104">#REF!</definedName>
    <definedName name="ReportingYear" localSheetId="65">#REF!</definedName>
    <definedName name="ReportingYear" localSheetId="64">#REF!</definedName>
    <definedName name="ReportingYear" localSheetId="77">#REF!</definedName>
    <definedName name="ReportingYear" localSheetId="49">#REF!</definedName>
    <definedName name="ReportingYear" localSheetId="40">#REF!</definedName>
    <definedName name="ReportingYear" localSheetId="43">#REF!</definedName>
    <definedName name="ReportingYear" localSheetId="13">#REF!</definedName>
    <definedName name="ReportingYear" localSheetId="38">#REF!</definedName>
    <definedName name="ReportingYear">#REF!</definedName>
    <definedName name="RESIDUAL" localSheetId="3">#REF!</definedName>
    <definedName name="RESIDUAL" localSheetId="7">#REF!</definedName>
    <definedName name="RESIDUAL" localSheetId="9">#REF!</definedName>
    <definedName name="RESIDUAL" localSheetId="10">#REF!</definedName>
    <definedName name="RESIDUAL" localSheetId="15">#REF!</definedName>
    <definedName name="RESIDUAL" localSheetId="19">#REF!</definedName>
    <definedName name="RESIDUAL" localSheetId="20">#REF!</definedName>
    <definedName name="RESIDUAL" localSheetId="24">#REF!</definedName>
    <definedName name="RESIDUAL" localSheetId="104">#REF!</definedName>
    <definedName name="RESIDUAL" localSheetId="65">#REF!</definedName>
    <definedName name="RESIDUAL" localSheetId="64">#REF!</definedName>
    <definedName name="RESIDUAL" localSheetId="77">#REF!</definedName>
    <definedName name="RESIDUAL" localSheetId="49">#REF!</definedName>
    <definedName name="RESIDUAL" localSheetId="40">#REF!</definedName>
    <definedName name="RESIDUAL" localSheetId="43">#REF!</definedName>
    <definedName name="RESIDUAL" localSheetId="13">#REF!</definedName>
    <definedName name="RESIDUAL" localSheetId="38">#REF!</definedName>
    <definedName name="RESIDUAL">#REF!</definedName>
    <definedName name="Resp" localSheetId="3">#REF!</definedName>
    <definedName name="Resp" localSheetId="7">#REF!</definedName>
    <definedName name="Resp" localSheetId="9">#REF!</definedName>
    <definedName name="Resp" localSheetId="10">#REF!</definedName>
    <definedName name="Resp" localSheetId="15">#REF!</definedName>
    <definedName name="Resp" localSheetId="19">#REF!</definedName>
    <definedName name="Resp" localSheetId="20">#REF!</definedName>
    <definedName name="Resp" localSheetId="24">#REF!</definedName>
    <definedName name="Resp" localSheetId="104">#REF!</definedName>
    <definedName name="Resp" localSheetId="65">#REF!</definedName>
    <definedName name="Resp" localSheetId="64">#REF!</definedName>
    <definedName name="Resp" localSheetId="77">#REF!</definedName>
    <definedName name="Resp" localSheetId="49">#REF!</definedName>
    <definedName name="Resp" localSheetId="40">#REF!</definedName>
    <definedName name="Resp" localSheetId="43">#REF!</definedName>
    <definedName name="Resp" localSheetId="13">#REF!</definedName>
    <definedName name="Resp" localSheetId="38">#REF!</definedName>
    <definedName name="Resp">#REF!</definedName>
    <definedName name="ResultsSummary" localSheetId="3">#REF!</definedName>
    <definedName name="ResultsSummary" localSheetId="7">#REF!</definedName>
    <definedName name="ResultsSummary" localSheetId="9">#REF!</definedName>
    <definedName name="ResultsSummary" localSheetId="10">#REF!</definedName>
    <definedName name="ResultsSummary" localSheetId="15">#REF!</definedName>
    <definedName name="ResultsSummary" localSheetId="19">#REF!</definedName>
    <definedName name="ResultsSummary" localSheetId="20">#REF!</definedName>
    <definedName name="ResultsSummary" localSheetId="24">#REF!</definedName>
    <definedName name="ResultsSummary" localSheetId="104">#REF!</definedName>
    <definedName name="ResultsSummary" localSheetId="65">#REF!</definedName>
    <definedName name="ResultsSummary" localSheetId="64">#REF!</definedName>
    <definedName name="ResultsSummary" localSheetId="77">#REF!</definedName>
    <definedName name="ResultsSummary" localSheetId="49">#REF!</definedName>
    <definedName name="ResultsSummary" localSheetId="40">#REF!</definedName>
    <definedName name="ResultsSummary" localSheetId="43">#REF!</definedName>
    <definedName name="ResultsSummary" localSheetId="13">#REF!</definedName>
    <definedName name="ResultsSummary" localSheetId="38">#REF!</definedName>
    <definedName name="ResultsSummary">#REF!</definedName>
    <definedName name="REVISED" localSheetId="3">#REF!</definedName>
    <definedName name="REVISED" localSheetId="7">#REF!</definedName>
    <definedName name="REVISED" localSheetId="9">#REF!</definedName>
    <definedName name="REVISED" localSheetId="10">#REF!</definedName>
    <definedName name="REVISED" localSheetId="15">#REF!</definedName>
    <definedName name="REVISED" localSheetId="19">#REF!</definedName>
    <definedName name="REVISED" localSheetId="20">#REF!</definedName>
    <definedName name="REVISED" localSheetId="24">#REF!</definedName>
    <definedName name="REVISED" localSheetId="104">#REF!</definedName>
    <definedName name="REVISED" localSheetId="65">#REF!</definedName>
    <definedName name="REVISED" localSheetId="64">#REF!</definedName>
    <definedName name="REVISED" localSheetId="77">#REF!</definedName>
    <definedName name="REVISED" localSheetId="49">#REF!</definedName>
    <definedName name="REVISED" localSheetId="40">#REF!</definedName>
    <definedName name="REVISED" localSheetId="43">#REF!</definedName>
    <definedName name="REVISED" localSheetId="13">#REF!</definedName>
    <definedName name="REVISED" localSheetId="38">#REF!</definedName>
    <definedName name="REVISED">#REF!</definedName>
    <definedName name="rhoasphalt" localSheetId="3">#REF!</definedName>
    <definedName name="rhoasphalt" localSheetId="7">#REF!</definedName>
    <definedName name="rhoasphalt" localSheetId="9">#REF!</definedName>
    <definedName name="rhoasphalt" localSheetId="10">#REF!</definedName>
    <definedName name="rhoasphalt" localSheetId="15">#REF!</definedName>
    <definedName name="rhoasphalt" localSheetId="19">#REF!</definedName>
    <definedName name="rhoasphalt" localSheetId="20">#REF!</definedName>
    <definedName name="rhoasphalt" localSheetId="24">#REF!</definedName>
    <definedName name="rhoasphalt" localSheetId="104">#REF!</definedName>
    <definedName name="rhoasphalt" localSheetId="65">#REF!</definedName>
    <definedName name="rhoasphalt" localSheetId="64">#REF!</definedName>
    <definedName name="rhoasphalt" localSheetId="77">#REF!</definedName>
    <definedName name="rhoasphalt" localSheetId="49">#REF!</definedName>
    <definedName name="rhoasphalt" localSheetId="40">#REF!</definedName>
    <definedName name="rhoasphalt" localSheetId="43">#REF!</definedName>
    <definedName name="rhoasphalt" localSheetId="13">#REF!</definedName>
    <definedName name="rhoasphalt" localSheetId="38">#REF!</definedName>
    <definedName name="rhoasphalt">#REF!</definedName>
    <definedName name="ROADPM10" localSheetId="3">#REF!</definedName>
    <definedName name="ROADPM10" localSheetId="7">#REF!</definedName>
    <definedName name="ROADPM10" localSheetId="9">#REF!</definedName>
    <definedName name="ROADPM10" localSheetId="10">#REF!</definedName>
    <definedName name="ROADPM10" localSheetId="15">#REF!</definedName>
    <definedName name="ROADPM10" localSheetId="19">#REF!</definedName>
    <definedName name="ROADPM10" localSheetId="20">#REF!</definedName>
    <definedName name="ROADPM10" localSheetId="24">#REF!</definedName>
    <definedName name="ROADPM10" localSheetId="104">#REF!</definedName>
    <definedName name="ROADPM10" localSheetId="65">#REF!</definedName>
    <definedName name="ROADPM10" localSheetId="64">#REF!</definedName>
    <definedName name="ROADPM10" localSheetId="77">#REF!</definedName>
    <definedName name="ROADPM10" localSheetId="49">#REF!</definedName>
    <definedName name="ROADPM10" localSheetId="40">#REF!</definedName>
    <definedName name="ROADPM10" localSheetId="43">#REF!</definedName>
    <definedName name="ROADPM10" localSheetId="13">#REF!</definedName>
    <definedName name="ROADPM10" localSheetId="38">#REF!</definedName>
    <definedName name="ROADPM10">#REF!</definedName>
    <definedName name="ROADSPM10" localSheetId="3">#REF!</definedName>
    <definedName name="ROADSPM10" localSheetId="7">#REF!</definedName>
    <definedName name="ROADSPM10" localSheetId="9">#REF!</definedName>
    <definedName name="ROADSPM10" localSheetId="10">#REF!</definedName>
    <definedName name="ROADSPM10" localSheetId="15">#REF!</definedName>
    <definedName name="ROADSPM10" localSheetId="19">#REF!</definedName>
    <definedName name="ROADSPM10" localSheetId="20">#REF!</definedName>
    <definedName name="ROADSPM10" localSheetId="24">#REF!</definedName>
    <definedName name="ROADSPM10" localSheetId="104">#REF!</definedName>
    <definedName name="ROADSPM10" localSheetId="65">#REF!</definedName>
    <definedName name="ROADSPM10" localSheetId="64">#REF!</definedName>
    <definedName name="ROADSPM10" localSheetId="77">#REF!</definedName>
    <definedName name="ROADSPM10" localSheetId="49">#REF!</definedName>
    <definedName name="ROADSPM10" localSheetId="40">#REF!</definedName>
    <definedName name="ROADSPM10" localSheetId="43">#REF!</definedName>
    <definedName name="ROADSPM10" localSheetId="13">#REF!</definedName>
    <definedName name="ROADSPM10" localSheetId="38">#REF!</definedName>
    <definedName name="ROADSPM10">#REF!</definedName>
    <definedName name="ROADSTSP" localSheetId="3">#REF!</definedName>
    <definedName name="ROADSTSP" localSheetId="7">#REF!</definedName>
    <definedName name="ROADSTSP" localSheetId="9">#REF!</definedName>
    <definedName name="ROADSTSP" localSheetId="10">#REF!</definedName>
    <definedName name="ROADSTSP" localSheetId="15">#REF!</definedName>
    <definedName name="ROADSTSP" localSheetId="19">#REF!</definedName>
    <definedName name="ROADSTSP" localSheetId="20">#REF!</definedName>
    <definedName name="ROADSTSP" localSheetId="24">#REF!</definedName>
    <definedName name="ROADSTSP" localSheetId="104">#REF!</definedName>
    <definedName name="ROADSTSP" localSheetId="65">#REF!</definedName>
    <definedName name="ROADSTSP" localSheetId="64">#REF!</definedName>
    <definedName name="ROADSTSP" localSheetId="77">#REF!</definedName>
    <definedName name="ROADSTSP" localSheetId="49">#REF!</definedName>
    <definedName name="ROADSTSP" localSheetId="40">#REF!</definedName>
    <definedName name="ROADSTSP" localSheetId="43">#REF!</definedName>
    <definedName name="ROADSTSP" localSheetId="13">#REF!</definedName>
    <definedName name="ROADSTSP" localSheetId="38">#REF!</definedName>
    <definedName name="ROADSTSP">#REF!</definedName>
    <definedName name="ROADTSP" localSheetId="3">#REF!</definedName>
    <definedName name="ROADTSP" localSheetId="7">#REF!</definedName>
    <definedName name="ROADTSP" localSheetId="9">#REF!</definedName>
    <definedName name="ROADTSP" localSheetId="10">#REF!</definedName>
    <definedName name="ROADTSP" localSheetId="15">#REF!</definedName>
    <definedName name="ROADTSP" localSheetId="19">#REF!</definedName>
    <definedName name="ROADTSP" localSheetId="20">#REF!</definedName>
    <definedName name="ROADTSP" localSheetId="24">#REF!</definedName>
    <definedName name="ROADTSP" localSheetId="104">#REF!</definedName>
    <definedName name="ROADTSP" localSheetId="65">#REF!</definedName>
    <definedName name="ROADTSP" localSheetId="64">#REF!</definedName>
    <definedName name="ROADTSP" localSheetId="77">#REF!</definedName>
    <definedName name="ROADTSP" localSheetId="49">#REF!</definedName>
    <definedName name="ROADTSP" localSheetId="40">#REF!</definedName>
    <definedName name="ROADTSP" localSheetId="43">#REF!</definedName>
    <definedName name="ROADTSP" localSheetId="13">#REF!</definedName>
    <definedName name="ROADTSP" localSheetId="38">#REF!</definedName>
    <definedName name="ROADTSP">#REF!</definedName>
    <definedName name="rota1" localSheetId="3">#REF!</definedName>
    <definedName name="rota1" localSheetId="7">#REF!</definedName>
    <definedName name="rota1" localSheetId="9">#REF!</definedName>
    <definedName name="rota1" localSheetId="10">#REF!</definedName>
    <definedName name="rota1" localSheetId="15">#REF!</definedName>
    <definedName name="rota1" localSheetId="19">#REF!</definedName>
    <definedName name="rota1" localSheetId="20">#REF!</definedName>
    <definedName name="rota1" localSheetId="24">#REF!</definedName>
    <definedName name="rota1" localSheetId="104">#REF!</definedName>
    <definedName name="rota1" localSheetId="65">#REF!</definedName>
    <definedName name="rota1" localSheetId="64">#REF!</definedName>
    <definedName name="rota1" localSheetId="77">#REF!</definedName>
    <definedName name="rota1" localSheetId="49">#REF!</definedName>
    <definedName name="rota1" localSheetId="40">#REF!</definedName>
    <definedName name="rota1" localSheetId="43">#REF!</definedName>
    <definedName name="rota1" localSheetId="13">#REF!</definedName>
    <definedName name="rota1" localSheetId="38">#REF!</definedName>
    <definedName name="rota1">#REF!</definedName>
    <definedName name="rota2" localSheetId="3">#REF!</definedName>
    <definedName name="rota2" localSheetId="7">#REF!</definedName>
    <definedName name="rota2" localSheetId="9">#REF!</definedName>
    <definedName name="rota2" localSheetId="10">#REF!</definedName>
    <definedName name="rota2" localSheetId="15">#REF!</definedName>
    <definedName name="rota2" localSheetId="19">#REF!</definedName>
    <definedName name="rota2" localSheetId="20">#REF!</definedName>
    <definedName name="rota2" localSheetId="24">#REF!</definedName>
    <definedName name="rota2" localSheetId="104">#REF!</definedName>
    <definedName name="rota2" localSheetId="65">#REF!</definedName>
    <definedName name="rota2" localSheetId="64">#REF!</definedName>
    <definedName name="rota2" localSheetId="77">#REF!</definedName>
    <definedName name="rota2" localSheetId="49">#REF!</definedName>
    <definedName name="rota2" localSheetId="40">#REF!</definedName>
    <definedName name="rota2" localSheetId="43">#REF!</definedName>
    <definedName name="rota2" localSheetId="13">#REF!</definedName>
    <definedName name="rota2" localSheetId="38">#REF!</definedName>
    <definedName name="rota2">#REF!</definedName>
    <definedName name="rota3" localSheetId="3">#REF!</definedName>
    <definedName name="rota3" localSheetId="7">#REF!</definedName>
    <definedName name="rota3" localSheetId="9">#REF!</definedName>
    <definedName name="rota3" localSheetId="10">#REF!</definedName>
    <definedName name="rota3" localSheetId="15">#REF!</definedName>
    <definedName name="rota3" localSheetId="19">#REF!</definedName>
    <definedName name="rota3" localSheetId="20">#REF!</definedName>
    <definedName name="rota3" localSheetId="24">#REF!</definedName>
    <definedName name="rota3" localSheetId="104">#REF!</definedName>
    <definedName name="rota3" localSheetId="65">#REF!</definedName>
    <definedName name="rota3" localSheetId="64">#REF!</definedName>
    <definedName name="rota3" localSheetId="77">#REF!</definedName>
    <definedName name="rota3" localSheetId="49">#REF!</definedName>
    <definedName name="rota3" localSheetId="40">#REF!</definedName>
    <definedName name="rota3" localSheetId="43">#REF!</definedName>
    <definedName name="rota3" localSheetId="13">#REF!</definedName>
    <definedName name="rota3" localSheetId="38">#REF!</definedName>
    <definedName name="rota3">#REF!</definedName>
    <definedName name="rota4" localSheetId="3">#REF!</definedName>
    <definedName name="rota4" localSheetId="7">#REF!</definedName>
    <definedName name="rota4" localSheetId="9">#REF!</definedName>
    <definedName name="rota4" localSheetId="10">#REF!</definedName>
    <definedName name="rota4" localSheetId="15">#REF!</definedName>
    <definedName name="rota4" localSheetId="19">#REF!</definedName>
    <definedName name="rota4" localSheetId="20">#REF!</definedName>
    <definedName name="rota4" localSheetId="24">#REF!</definedName>
    <definedName name="rota4" localSheetId="104">#REF!</definedName>
    <definedName name="rota4" localSheetId="65">#REF!</definedName>
    <definedName name="rota4" localSheetId="64">#REF!</definedName>
    <definedName name="rota4" localSheetId="77">#REF!</definedName>
    <definedName name="rota4" localSheetId="49">#REF!</definedName>
    <definedName name="rota4" localSheetId="40">#REF!</definedName>
    <definedName name="rota4" localSheetId="43">#REF!</definedName>
    <definedName name="rota4" localSheetId="13">#REF!</definedName>
    <definedName name="rota4" localSheetId="38">#REF!</definedName>
    <definedName name="rota4">#REF!</definedName>
    <definedName name="rotatot" localSheetId="3">#REF!</definedName>
    <definedName name="rotatot" localSheetId="7">#REF!</definedName>
    <definedName name="rotatot" localSheetId="9">#REF!</definedName>
    <definedName name="rotatot" localSheetId="10">#REF!</definedName>
    <definedName name="rotatot" localSheetId="15">#REF!</definedName>
    <definedName name="rotatot" localSheetId="19">#REF!</definedName>
    <definedName name="rotatot" localSheetId="20">#REF!</definedName>
    <definedName name="rotatot" localSheetId="24">#REF!</definedName>
    <definedName name="rotatot" localSheetId="104">#REF!</definedName>
    <definedName name="rotatot" localSheetId="65">#REF!</definedName>
    <definedName name="rotatot" localSheetId="64">#REF!</definedName>
    <definedName name="rotatot" localSheetId="77">#REF!</definedName>
    <definedName name="rotatot" localSheetId="49">#REF!</definedName>
    <definedName name="rotatot" localSheetId="40">#REF!</definedName>
    <definedName name="rotatot" localSheetId="43">#REF!</definedName>
    <definedName name="rotatot" localSheetId="13">#REF!</definedName>
    <definedName name="rotatot" localSheetId="38">#REF!</definedName>
    <definedName name="rotatot">#REF!</definedName>
    <definedName name="RoutineFlaringAvg" localSheetId="3">#REF!</definedName>
    <definedName name="RoutineFlaringAvg" localSheetId="7">#REF!</definedName>
    <definedName name="RoutineFlaringAvg" localSheetId="9">#REF!</definedName>
    <definedName name="RoutineFlaringAvg" localSheetId="10">#REF!</definedName>
    <definedName name="RoutineFlaringAvg" localSheetId="15">#REF!</definedName>
    <definedName name="RoutineFlaringAvg" localSheetId="19">#REF!</definedName>
    <definedName name="RoutineFlaringAvg" localSheetId="20">#REF!</definedName>
    <definedName name="RoutineFlaringAvg" localSheetId="24">#REF!</definedName>
    <definedName name="RoutineFlaringAvg" localSheetId="104">#REF!</definedName>
    <definedName name="RoutineFlaringAvg" localSheetId="65">#REF!</definedName>
    <definedName name="RoutineFlaringAvg" localSheetId="64">#REF!</definedName>
    <definedName name="RoutineFlaringAvg" localSheetId="77">#REF!</definedName>
    <definedName name="RoutineFlaringAvg" localSheetId="49">#REF!</definedName>
    <definedName name="RoutineFlaringAvg" localSheetId="40">#REF!</definedName>
    <definedName name="RoutineFlaringAvg" localSheetId="43">#REF!</definedName>
    <definedName name="RoutineFlaringAvg" localSheetId="13">#REF!</definedName>
    <definedName name="RoutineFlaringAvg" localSheetId="38">#REF!</definedName>
    <definedName name="RoutineFlaringAvg">#REF!</definedName>
    <definedName name="RoutineFlaringMax" localSheetId="3">#REF!</definedName>
    <definedName name="RoutineFlaringMax" localSheetId="7">#REF!</definedName>
    <definedName name="RoutineFlaringMax" localSheetId="9">#REF!</definedName>
    <definedName name="RoutineFlaringMax" localSheetId="10">#REF!</definedName>
    <definedName name="RoutineFlaringMax" localSheetId="15">#REF!</definedName>
    <definedName name="RoutineFlaringMax" localSheetId="19">#REF!</definedName>
    <definedName name="RoutineFlaringMax" localSheetId="20">#REF!</definedName>
    <definedName name="RoutineFlaringMax" localSheetId="24">#REF!</definedName>
    <definedName name="RoutineFlaringMax" localSheetId="104">#REF!</definedName>
    <definedName name="RoutineFlaringMax" localSheetId="65">#REF!</definedName>
    <definedName name="RoutineFlaringMax" localSheetId="64">#REF!</definedName>
    <definedName name="RoutineFlaringMax" localSheetId="77">#REF!</definedName>
    <definedName name="RoutineFlaringMax" localSheetId="49">#REF!</definedName>
    <definedName name="RoutineFlaringMax" localSheetId="40">#REF!</definedName>
    <definedName name="RoutineFlaringMax" localSheetId="43">#REF!</definedName>
    <definedName name="RoutineFlaringMax" localSheetId="13">#REF!</definedName>
    <definedName name="RoutineFlaringMax" localSheetId="38">#REF!</definedName>
    <definedName name="RoutineFlaringMax">#REF!</definedName>
    <definedName name="RoutineFlaringPCNT" localSheetId="3">#REF!</definedName>
    <definedName name="RoutineFlaringPCNT" localSheetId="7">#REF!</definedName>
    <definedName name="RoutineFlaringPCNT" localSheetId="9">#REF!</definedName>
    <definedName name="RoutineFlaringPCNT" localSheetId="10">#REF!</definedName>
    <definedName name="RoutineFlaringPCNT" localSheetId="15">#REF!</definedName>
    <definedName name="RoutineFlaringPCNT" localSheetId="19">#REF!</definedName>
    <definedName name="RoutineFlaringPCNT" localSheetId="20">#REF!</definedName>
    <definedName name="RoutineFlaringPCNT" localSheetId="24">#REF!</definedName>
    <definedName name="RoutineFlaringPCNT" localSheetId="104">#REF!</definedName>
    <definedName name="RoutineFlaringPCNT" localSheetId="65">#REF!</definedName>
    <definedName name="RoutineFlaringPCNT" localSheetId="64">#REF!</definedName>
    <definedName name="RoutineFlaringPCNT" localSheetId="77">#REF!</definedName>
    <definedName name="RoutineFlaringPCNT" localSheetId="49">#REF!</definedName>
    <definedName name="RoutineFlaringPCNT" localSheetId="40">#REF!</definedName>
    <definedName name="RoutineFlaringPCNT" localSheetId="43">#REF!</definedName>
    <definedName name="RoutineFlaringPCNT" localSheetId="13">#REF!</definedName>
    <definedName name="RoutineFlaringPCNT" localSheetId="38">#REF!</definedName>
    <definedName name="RoutineFlaringPCNT">#REF!</definedName>
    <definedName name="Rr" localSheetId="3">#REF!</definedName>
    <definedName name="Rr" localSheetId="7">#REF!</definedName>
    <definedName name="Rr" localSheetId="9">#REF!</definedName>
    <definedName name="Rr" localSheetId="10">#REF!</definedName>
    <definedName name="Rr" localSheetId="15">#REF!</definedName>
    <definedName name="Rr" localSheetId="19">#REF!</definedName>
    <definedName name="Rr" localSheetId="20">#REF!</definedName>
    <definedName name="Rr" localSheetId="24">#REF!</definedName>
    <definedName name="Rr" localSheetId="104">#REF!</definedName>
    <definedName name="Rr" localSheetId="65">#REF!</definedName>
    <definedName name="Rr" localSheetId="64">#REF!</definedName>
    <definedName name="Rr" localSheetId="77">#REF!</definedName>
    <definedName name="Rr" localSheetId="49">#REF!</definedName>
    <definedName name="Rr" localSheetId="40">#REF!</definedName>
    <definedName name="Rr" localSheetId="43">#REF!</definedName>
    <definedName name="Rr" localSheetId="13">#REF!</definedName>
    <definedName name="Rr" localSheetId="38">#REF!</definedName>
    <definedName name="Rr">#REF!</definedName>
    <definedName name="Rs" localSheetId="3">#REF!</definedName>
    <definedName name="Rs" localSheetId="7">#REF!</definedName>
    <definedName name="Rs" localSheetId="9">#REF!</definedName>
    <definedName name="Rs" localSheetId="10">#REF!</definedName>
    <definedName name="Rs" localSheetId="15">#REF!</definedName>
    <definedName name="Rs" localSheetId="19">#REF!</definedName>
    <definedName name="Rs" localSheetId="20">#REF!</definedName>
    <definedName name="Rs" localSheetId="24">#REF!</definedName>
    <definedName name="Rs" localSheetId="104">#REF!</definedName>
    <definedName name="Rs" localSheetId="65">#REF!</definedName>
    <definedName name="Rs" localSheetId="64">#REF!</definedName>
    <definedName name="Rs" localSheetId="77">#REF!</definedName>
    <definedName name="Rs" localSheetId="49">#REF!</definedName>
    <definedName name="Rs" localSheetId="48">#REF!</definedName>
    <definedName name="Rs" localSheetId="40">#REF!</definedName>
    <definedName name="Rs" localSheetId="43">#REF!</definedName>
    <definedName name="Rs" localSheetId="13">#REF!</definedName>
    <definedName name="Rs" localSheetId="38">#REF!</definedName>
    <definedName name="Rs">#REF!</definedName>
    <definedName name="Run1Input" localSheetId="3">#REF!</definedName>
    <definedName name="Run1Input" localSheetId="7">#REF!</definedName>
    <definedName name="Run1Input" localSheetId="9">#REF!</definedName>
    <definedName name="Run1Input" localSheetId="10">#REF!</definedName>
    <definedName name="Run1Input" localSheetId="15">#REF!</definedName>
    <definedName name="Run1Input" localSheetId="19">#REF!</definedName>
    <definedName name="Run1Input" localSheetId="20">#REF!</definedName>
    <definedName name="Run1Input" localSheetId="24">#REF!</definedName>
    <definedName name="Run1Input" localSheetId="104">#REF!</definedName>
    <definedName name="Run1Input" localSheetId="65">#REF!</definedName>
    <definedName name="Run1Input" localSheetId="64">#REF!</definedName>
    <definedName name="Run1Input" localSheetId="77">#REF!</definedName>
    <definedName name="Run1Input" localSheetId="49">#REF!</definedName>
    <definedName name="Run1Input" localSheetId="40">#REF!</definedName>
    <definedName name="Run1Input" localSheetId="43">#REF!</definedName>
    <definedName name="Run1Input" localSheetId="13">#REF!</definedName>
    <definedName name="Run1Input" localSheetId="38">#REF!</definedName>
    <definedName name="Run1Input">#REF!</definedName>
    <definedName name="Run2Input" localSheetId="3">#REF!</definedName>
    <definedName name="Run2Input" localSheetId="7">#REF!</definedName>
    <definedName name="Run2Input" localSheetId="9">#REF!</definedName>
    <definedName name="Run2Input" localSheetId="10">#REF!</definedName>
    <definedName name="Run2Input" localSheetId="15">#REF!</definedName>
    <definedName name="Run2Input" localSheetId="19">#REF!</definedName>
    <definedName name="Run2Input" localSheetId="20">#REF!</definedName>
    <definedName name="Run2Input" localSheetId="24">#REF!</definedName>
    <definedName name="Run2Input" localSheetId="104">#REF!</definedName>
    <definedName name="Run2Input" localSheetId="65">#REF!</definedName>
    <definedName name="Run2Input" localSheetId="64">#REF!</definedName>
    <definedName name="Run2Input" localSheetId="77">#REF!</definedName>
    <definedName name="Run2Input" localSheetId="49">#REF!</definedName>
    <definedName name="Run2Input" localSheetId="40">#REF!</definedName>
    <definedName name="Run2Input" localSheetId="43">#REF!</definedName>
    <definedName name="Run2Input" localSheetId="13">#REF!</definedName>
    <definedName name="Run2Input" localSheetId="38">#REF!</definedName>
    <definedName name="Run2Input">#REF!</definedName>
    <definedName name="Run3Input" localSheetId="3">#REF!</definedName>
    <definedName name="Run3Input" localSheetId="7">#REF!</definedName>
    <definedName name="Run3Input" localSheetId="9">#REF!</definedName>
    <definedName name="Run3Input" localSheetId="10">#REF!</definedName>
    <definedName name="Run3Input" localSheetId="15">#REF!</definedName>
    <definedName name="Run3Input" localSheetId="19">#REF!</definedName>
    <definedName name="Run3Input" localSheetId="20">#REF!</definedName>
    <definedName name="Run3Input" localSheetId="24">#REF!</definedName>
    <definedName name="Run3Input" localSheetId="104">#REF!</definedName>
    <definedName name="Run3Input" localSheetId="65">#REF!</definedName>
    <definedName name="Run3Input" localSheetId="64">#REF!</definedName>
    <definedName name="Run3Input" localSheetId="77">#REF!</definedName>
    <definedName name="Run3Input" localSheetId="49">#REF!</definedName>
    <definedName name="Run3Input" localSheetId="40">#REF!</definedName>
    <definedName name="Run3Input" localSheetId="43">#REF!</definedName>
    <definedName name="Run3Input" localSheetId="13">#REF!</definedName>
    <definedName name="Run3Input" localSheetId="38">#REF!</definedName>
    <definedName name="Run3Input">#REF!</definedName>
    <definedName name="RunTime_days" localSheetId="3">#REF!</definedName>
    <definedName name="RunTime_days" localSheetId="7">#REF!</definedName>
    <definedName name="RunTime_days" localSheetId="9">#REF!</definedName>
    <definedName name="RunTime_days" localSheetId="10">#REF!</definedName>
    <definedName name="RunTime_days" localSheetId="15">#REF!</definedName>
    <definedName name="RunTime_days" localSheetId="19">#REF!</definedName>
    <definedName name="RunTime_days" localSheetId="20">#REF!</definedName>
    <definedName name="RunTime_days" localSheetId="24">#REF!</definedName>
    <definedName name="RunTime_days" localSheetId="104">#REF!</definedName>
    <definedName name="RunTime_days" localSheetId="65">#REF!</definedName>
    <definedName name="RunTime_days" localSheetId="64">#REF!</definedName>
    <definedName name="RunTime_days" localSheetId="77">#REF!</definedName>
    <definedName name="RunTime_days" localSheetId="49">#REF!</definedName>
    <definedName name="RunTime_days" localSheetId="40">#REF!</definedName>
    <definedName name="RunTime_days" localSheetId="43">#REF!</definedName>
    <definedName name="RunTime_days" localSheetId="13">#REF!</definedName>
    <definedName name="RunTime_days" localSheetId="38">#REF!</definedName>
    <definedName name="RunTime_days">#REF!</definedName>
    <definedName name="s" localSheetId="3" hidden="1">[1]LOAD!#REF!</definedName>
    <definedName name="s" localSheetId="7" hidden="1">[1]LOAD!#REF!</definedName>
    <definedName name="s" localSheetId="9" hidden="1">[1]LOAD!#REF!</definedName>
    <definedName name="s" localSheetId="10" hidden="1">[1]LOAD!#REF!</definedName>
    <definedName name="s" localSheetId="15" hidden="1">[1]LOAD!#REF!</definedName>
    <definedName name="s" localSheetId="18" hidden="1">[1]LOAD!#REF!</definedName>
    <definedName name="s" localSheetId="19" hidden="1">[1]LOAD!#REF!</definedName>
    <definedName name="s" localSheetId="20" hidden="1">[1]LOAD!#REF!</definedName>
    <definedName name="s" localSheetId="23" hidden="1">[1]LOAD!#REF!</definedName>
    <definedName name="s" localSheetId="24" hidden="1">[1]LOAD!#REF!</definedName>
    <definedName name="s" localSheetId="35" hidden="1">[1]LOAD!#REF!</definedName>
    <definedName name="s" localSheetId="58" hidden="1">[1]LOAD!#REF!</definedName>
    <definedName name="s" localSheetId="60" hidden="1">[1]LOAD!#REF!</definedName>
    <definedName name="s" localSheetId="51" hidden="1">[1]LOAD!#REF!</definedName>
    <definedName name="s" localSheetId="54" hidden="1">[1]LOAD!#REF!</definedName>
    <definedName name="s" localSheetId="47" hidden="1">[1]LOAD!#REF!</definedName>
    <definedName name="s" localSheetId="104" hidden="1">[1]LOAD!#REF!</definedName>
    <definedName name="s" localSheetId="88" hidden="1">[1]LOAD!#REF!</definedName>
    <definedName name="s" localSheetId="89" hidden="1">[1]LOAD!#REF!</definedName>
    <definedName name="s" localSheetId="87" hidden="1">[1]LOAD!#REF!</definedName>
    <definedName name="s" localSheetId="90" hidden="1">[1]LOAD!#REF!</definedName>
    <definedName name="s" localSheetId="70" hidden="1">[1]LOAD!#REF!</definedName>
    <definedName name="s" localSheetId="65" hidden="1">[1]LOAD!#REF!</definedName>
    <definedName name="s" localSheetId="64" hidden="1">[1]LOAD!#REF!</definedName>
    <definedName name="s" localSheetId="77" hidden="1">[1]LOAD!#REF!</definedName>
    <definedName name="s" localSheetId="49" hidden="1">[1]LOAD!#REF!</definedName>
    <definedName name="s" localSheetId="48" hidden="1">[1]LOAD!#REF!</definedName>
    <definedName name="s" localSheetId="57" hidden="1">[1]LOAD!#REF!</definedName>
    <definedName name="s" localSheetId="59" hidden="1">[1]LOAD!#REF!</definedName>
    <definedName name="s" localSheetId="52" hidden="1">[1]LOAD!#REF!</definedName>
    <definedName name="s" localSheetId="80" hidden="1">[1]LOAD!#REF!</definedName>
    <definedName name="s" localSheetId="40" hidden="1">[1]LOAD!#REF!</definedName>
    <definedName name="s" localSheetId="43" hidden="1">[1]LOAD!#REF!</definedName>
    <definedName name="s" localSheetId="55" hidden="1">[1]LOAD!#REF!</definedName>
    <definedName name="s" localSheetId="81" hidden="1">[1]LOAD!#REF!</definedName>
    <definedName name="s" localSheetId="13" hidden="1">[1]LOAD!#REF!</definedName>
    <definedName name="s" localSheetId="11" hidden="1">[1]LOAD!#REF!</definedName>
    <definedName name="s" localSheetId="38" hidden="1">[1]LOAD!#REF!</definedName>
    <definedName name="s" localSheetId="41" hidden="1">[1]LOAD!#REF!</definedName>
    <definedName name="s" localSheetId="101" hidden="1">[1]LOAD!#REF!</definedName>
    <definedName name="s" localSheetId="102" hidden="1">[1]LOAD!#REF!</definedName>
    <definedName name="s" localSheetId="103" hidden="1">[1]LOAD!#REF!</definedName>
    <definedName name="s" localSheetId="97" hidden="1">[1]LOAD!#REF!</definedName>
    <definedName name="s" localSheetId="42" hidden="1">[1]LOAD!#REF!</definedName>
    <definedName name="s" localSheetId="12" hidden="1">[1]LOAD!#REF!</definedName>
    <definedName name="s" localSheetId="73" hidden="1">[1]LOAD!#REF!</definedName>
    <definedName name="s" localSheetId="74" hidden="1">[1]LOAD!#REF!</definedName>
    <definedName name="s" hidden="1">[1]LOAD!#REF!</definedName>
    <definedName name="S7_" localSheetId="3" hidden="1">[1]LOAD!#REF!</definedName>
    <definedName name="S7_" localSheetId="7" hidden="1">[1]LOAD!#REF!</definedName>
    <definedName name="S7_" localSheetId="9" hidden="1">[1]LOAD!#REF!</definedName>
    <definedName name="S7_" localSheetId="10" hidden="1">[1]LOAD!#REF!</definedName>
    <definedName name="S7_" localSheetId="15" hidden="1">[1]LOAD!#REF!</definedName>
    <definedName name="S7_" localSheetId="18" hidden="1">[1]LOAD!#REF!</definedName>
    <definedName name="S7_" localSheetId="19" hidden="1">[1]LOAD!#REF!</definedName>
    <definedName name="S7_" localSheetId="20" hidden="1">[1]LOAD!#REF!</definedName>
    <definedName name="S7_" localSheetId="23" hidden="1">[1]LOAD!#REF!</definedName>
    <definedName name="S7_" localSheetId="24" hidden="1">[1]LOAD!#REF!</definedName>
    <definedName name="S7_" localSheetId="35" hidden="1">[1]LOAD!#REF!</definedName>
    <definedName name="S7_" localSheetId="58" hidden="1">[1]LOAD!#REF!</definedName>
    <definedName name="S7_" localSheetId="60" hidden="1">[1]LOAD!#REF!</definedName>
    <definedName name="S7_" localSheetId="51" hidden="1">[1]LOAD!#REF!</definedName>
    <definedName name="S7_" localSheetId="54" hidden="1">[1]LOAD!#REF!</definedName>
    <definedName name="S7_" localSheetId="47" hidden="1">[1]LOAD!#REF!</definedName>
    <definedName name="S7_" localSheetId="104" hidden="1">[1]LOAD!#REF!</definedName>
    <definedName name="S7_" localSheetId="88" hidden="1">[1]LOAD!#REF!</definedName>
    <definedName name="S7_" localSheetId="89" hidden="1">[1]LOAD!#REF!</definedName>
    <definedName name="S7_" localSheetId="87" hidden="1">[1]LOAD!#REF!</definedName>
    <definedName name="S7_" localSheetId="90" hidden="1">[1]LOAD!#REF!</definedName>
    <definedName name="S7_" localSheetId="70" hidden="1">[1]LOAD!#REF!</definedName>
    <definedName name="S7_" localSheetId="65" hidden="1">[1]LOAD!#REF!</definedName>
    <definedName name="S7_" localSheetId="64" hidden="1">[1]LOAD!#REF!</definedName>
    <definedName name="S7_" localSheetId="77" hidden="1">[1]LOAD!#REF!</definedName>
    <definedName name="S7_" localSheetId="49" hidden="1">[1]LOAD!#REF!</definedName>
    <definedName name="S7_" localSheetId="48" hidden="1">[1]LOAD!#REF!</definedName>
    <definedName name="S7_" localSheetId="57" hidden="1">[1]LOAD!#REF!</definedName>
    <definedName name="S7_" localSheetId="59" hidden="1">[1]LOAD!#REF!</definedName>
    <definedName name="S7_" localSheetId="80" hidden="1">[1]LOAD!#REF!</definedName>
    <definedName name="S7_" localSheetId="40" hidden="1">[1]LOAD!#REF!</definedName>
    <definedName name="S7_" localSheetId="43" hidden="1">[1]LOAD!#REF!</definedName>
    <definedName name="S7_" localSheetId="55" hidden="1">[1]LOAD!#REF!</definedName>
    <definedName name="S7_" localSheetId="81" hidden="1">[1]LOAD!#REF!</definedName>
    <definedName name="S7_" localSheetId="13" hidden="1">[1]LOAD!#REF!</definedName>
    <definedName name="S7_" localSheetId="11" hidden="1">[1]LOAD!#REF!</definedName>
    <definedName name="S7_" localSheetId="38" hidden="1">[1]LOAD!#REF!</definedName>
    <definedName name="S7_" localSheetId="41" hidden="1">[1]LOAD!#REF!</definedName>
    <definedName name="S7_" localSheetId="101" hidden="1">[1]LOAD!#REF!</definedName>
    <definedName name="S7_" localSheetId="102" hidden="1">[1]LOAD!#REF!</definedName>
    <definedName name="S7_" localSheetId="103" hidden="1">[1]LOAD!#REF!</definedName>
    <definedName name="S7_" localSheetId="97" hidden="1">[1]LOAD!#REF!</definedName>
    <definedName name="S7_" localSheetId="42" hidden="1">[1]LOAD!#REF!</definedName>
    <definedName name="S7_" localSheetId="12" hidden="1">[1]LOAD!#REF!</definedName>
    <definedName name="S7_" localSheetId="73" hidden="1">[1]LOAD!#REF!</definedName>
    <definedName name="S7_" localSheetId="74" hidden="1">[1]LOAD!#REF!</definedName>
    <definedName name="S7_" hidden="1">[1]LOAD!#REF!</definedName>
    <definedName name="SAPBEXrevision" hidden="1">10</definedName>
    <definedName name="SAPBEXsysID" hidden="1">"BWP"</definedName>
    <definedName name="SAPBEXwbID" hidden="1">"6BE1CVLWKVY9BYDN5RVHT5N3P"</definedName>
    <definedName name="saturation" localSheetId="3">#REF!</definedName>
    <definedName name="saturation" localSheetId="7">#REF!</definedName>
    <definedName name="saturation" localSheetId="9">#REF!</definedName>
    <definedName name="saturation" localSheetId="10">#REF!</definedName>
    <definedName name="saturation" localSheetId="15">#REF!</definedName>
    <definedName name="saturation" localSheetId="19">#REF!</definedName>
    <definedName name="saturation" localSheetId="20">#REF!</definedName>
    <definedName name="saturation" localSheetId="24">#REF!</definedName>
    <definedName name="saturation" localSheetId="104">#REF!</definedName>
    <definedName name="saturation" localSheetId="65">#REF!</definedName>
    <definedName name="saturation" localSheetId="64">#REF!</definedName>
    <definedName name="saturation" localSheetId="77">#REF!</definedName>
    <definedName name="saturation" localSheetId="49">#REF!</definedName>
    <definedName name="saturation" localSheetId="40">#REF!</definedName>
    <definedName name="saturation" localSheetId="43">#REF!</definedName>
    <definedName name="saturation" localSheetId="13">#REF!</definedName>
    <definedName name="saturation" localSheetId="38">#REF!</definedName>
    <definedName name="saturation">#REF!</definedName>
    <definedName name="SBCO" localSheetId="3">'[26]natural gas'!#REF!</definedName>
    <definedName name="SBCO" localSheetId="7">'[26]natural gas'!#REF!</definedName>
    <definedName name="SBCO" localSheetId="9">'[26]natural gas'!#REF!</definedName>
    <definedName name="SBCO" localSheetId="10">'[26]natural gas'!#REF!</definedName>
    <definedName name="SBCO" localSheetId="15">'[26]natural gas'!#REF!</definedName>
    <definedName name="SBCO" localSheetId="19">'[26]natural gas'!#REF!</definedName>
    <definedName name="SBCO" localSheetId="20">'[26]natural gas'!#REF!</definedName>
    <definedName name="SBCO" localSheetId="24">'[26]natural gas'!#REF!</definedName>
    <definedName name="SBCO" localSheetId="104">'[26]natural gas'!#REF!</definedName>
    <definedName name="SBCO" localSheetId="65">'[26]natural gas'!#REF!</definedName>
    <definedName name="SBCO" localSheetId="64">'[26]natural gas'!#REF!</definedName>
    <definedName name="SBCO" localSheetId="77">'[26]natural gas'!#REF!</definedName>
    <definedName name="SBCO" localSheetId="49">'[26]natural gas'!#REF!</definedName>
    <definedName name="SBCO" localSheetId="40">'[26]natural gas'!#REF!</definedName>
    <definedName name="SBCO" localSheetId="43">'[26]natural gas'!#REF!</definedName>
    <definedName name="SBCO" localSheetId="13">'[26]natural gas'!#REF!</definedName>
    <definedName name="SBCO" localSheetId="38">'[26]natural gas'!#REF!</definedName>
    <definedName name="SBCO">'[26]natural gas'!#REF!</definedName>
    <definedName name="SBCPART" localSheetId="3">'[26]natural gas'!#REF!</definedName>
    <definedName name="SBCPART" localSheetId="7">'[26]natural gas'!#REF!</definedName>
    <definedName name="SBCPART" localSheetId="9">'[26]natural gas'!#REF!</definedName>
    <definedName name="SBCPART" localSheetId="10">'[26]natural gas'!#REF!</definedName>
    <definedName name="SBCPART" localSheetId="15">'[26]natural gas'!#REF!</definedName>
    <definedName name="SBCPART" localSheetId="19">'[26]natural gas'!#REF!</definedName>
    <definedName name="SBCPART" localSheetId="20">'[26]natural gas'!#REF!</definedName>
    <definedName name="SBCPART" localSheetId="24">'[26]natural gas'!#REF!</definedName>
    <definedName name="SBCPART" localSheetId="104">'[26]natural gas'!#REF!</definedName>
    <definedName name="SBCPART" localSheetId="65">'[26]natural gas'!#REF!</definedName>
    <definedName name="SBCPART" localSheetId="64">'[26]natural gas'!#REF!</definedName>
    <definedName name="SBCPART" localSheetId="77">'[26]natural gas'!#REF!</definedName>
    <definedName name="SBCPART" localSheetId="49">'[26]natural gas'!#REF!</definedName>
    <definedName name="SBCPART" localSheetId="40">'[26]natural gas'!#REF!</definedName>
    <definedName name="SBCPART" localSheetId="43">'[26]natural gas'!#REF!</definedName>
    <definedName name="SBCPART" localSheetId="13">'[26]natural gas'!#REF!</definedName>
    <definedName name="SBCPART" localSheetId="38">'[26]natural gas'!#REF!</definedName>
    <definedName name="SBCPART">'[26]natural gas'!#REF!</definedName>
    <definedName name="SBFPART" localSheetId="3">'[26]natural gas'!#REF!</definedName>
    <definedName name="SBFPART" localSheetId="7">'[26]natural gas'!#REF!</definedName>
    <definedName name="SBFPART" localSheetId="9">'[26]natural gas'!#REF!</definedName>
    <definedName name="SBFPART" localSheetId="10">'[26]natural gas'!#REF!</definedName>
    <definedName name="SBFPART" localSheetId="15">'[26]natural gas'!#REF!</definedName>
    <definedName name="SBFPART" localSheetId="19">'[26]natural gas'!#REF!</definedName>
    <definedName name="SBFPART" localSheetId="20">'[26]natural gas'!#REF!</definedName>
    <definedName name="SBFPART" localSheetId="24">'[26]natural gas'!#REF!</definedName>
    <definedName name="SBFPART" localSheetId="104">'[26]natural gas'!#REF!</definedName>
    <definedName name="SBFPART" localSheetId="65">'[26]natural gas'!#REF!</definedName>
    <definedName name="SBFPART" localSheetId="64">'[26]natural gas'!#REF!</definedName>
    <definedName name="SBFPART" localSheetId="77">'[26]natural gas'!#REF!</definedName>
    <definedName name="SBFPART" localSheetId="49">'[26]natural gas'!#REF!</definedName>
    <definedName name="SBFPART" localSheetId="40">'[26]natural gas'!#REF!</definedName>
    <definedName name="SBFPART" localSheetId="43">'[26]natural gas'!#REF!</definedName>
    <definedName name="SBFPART" localSheetId="13">'[26]natural gas'!#REF!</definedName>
    <definedName name="SBFPART" localSheetId="38">'[26]natural gas'!#REF!</definedName>
    <definedName name="SBFPART">'[26]natural gas'!#REF!</definedName>
    <definedName name="SBNOX" localSheetId="3">'[26]natural gas'!#REF!</definedName>
    <definedName name="SBNOX" localSheetId="7">'[26]natural gas'!#REF!</definedName>
    <definedName name="SBNOX" localSheetId="9">'[26]natural gas'!#REF!</definedName>
    <definedName name="SBNOX" localSheetId="10">'[26]natural gas'!#REF!</definedName>
    <definedName name="SBNOX" localSheetId="15">'[26]natural gas'!#REF!</definedName>
    <definedName name="SBNOX" localSheetId="19">'[26]natural gas'!#REF!</definedName>
    <definedName name="SBNOX" localSheetId="20">'[26]natural gas'!#REF!</definedName>
    <definedName name="SBNOX" localSheetId="24">'[26]natural gas'!#REF!</definedName>
    <definedName name="SBNOX" localSheetId="104">'[26]natural gas'!#REF!</definedName>
    <definedName name="SBNOX" localSheetId="65">'[26]natural gas'!#REF!</definedName>
    <definedName name="SBNOX" localSheetId="64">'[26]natural gas'!#REF!</definedName>
    <definedName name="SBNOX" localSheetId="77">'[26]natural gas'!#REF!</definedName>
    <definedName name="SBNOX" localSheetId="49">'[26]natural gas'!#REF!</definedName>
    <definedName name="SBNOX" localSheetId="40">'[26]natural gas'!#REF!</definedName>
    <definedName name="SBNOX" localSheetId="43">'[26]natural gas'!#REF!</definedName>
    <definedName name="SBNOX" localSheetId="13">'[26]natural gas'!#REF!</definedName>
    <definedName name="SBNOX" localSheetId="38">'[26]natural gas'!#REF!</definedName>
    <definedName name="SBNOX">'[26]natural gas'!#REF!</definedName>
    <definedName name="SBSO2" localSheetId="3">'[26]natural gas'!#REF!</definedName>
    <definedName name="SBSO2" localSheetId="7">'[26]natural gas'!#REF!</definedName>
    <definedName name="SBSO2" localSheetId="9">'[26]natural gas'!#REF!</definedName>
    <definedName name="SBSO2" localSheetId="10">'[26]natural gas'!#REF!</definedName>
    <definedName name="SBSO2" localSheetId="15">'[26]natural gas'!#REF!</definedName>
    <definedName name="SBSO2" localSheetId="19">'[26]natural gas'!#REF!</definedName>
    <definedName name="SBSO2" localSheetId="20">'[26]natural gas'!#REF!</definedName>
    <definedName name="SBSO2" localSheetId="24">'[26]natural gas'!#REF!</definedName>
    <definedName name="SBSO2" localSheetId="104">'[26]natural gas'!#REF!</definedName>
    <definedName name="SBSO2" localSheetId="65">'[26]natural gas'!#REF!</definedName>
    <definedName name="SBSO2" localSheetId="64">'[26]natural gas'!#REF!</definedName>
    <definedName name="SBSO2" localSheetId="77">'[26]natural gas'!#REF!</definedName>
    <definedName name="SBSO2" localSheetId="49">'[26]natural gas'!#REF!</definedName>
    <definedName name="SBSO2" localSheetId="40">'[26]natural gas'!#REF!</definedName>
    <definedName name="SBSO2" localSheetId="43">'[26]natural gas'!#REF!</definedName>
    <definedName name="SBSO2" localSheetId="13">'[26]natural gas'!#REF!</definedName>
    <definedName name="SBSO2" localSheetId="38">'[26]natural gas'!#REF!</definedName>
    <definedName name="SBSO2">'[26]natural gas'!#REF!</definedName>
    <definedName name="SBVOC" localSheetId="3">'[26]natural gas'!#REF!</definedName>
    <definedName name="SBVOC" localSheetId="7">'[26]natural gas'!#REF!</definedName>
    <definedName name="SBVOC" localSheetId="9">'[26]natural gas'!#REF!</definedName>
    <definedName name="SBVOC" localSheetId="10">'[26]natural gas'!#REF!</definedName>
    <definedName name="SBVOC" localSheetId="15">'[26]natural gas'!#REF!</definedName>
    <definedName name="SBVOC" localSheetId="19">'[26]natural gas'!#REF!</definedName>
    <definedName name="SBVOC" localSheetId="20">'[26]natural gas'!#REF!</definedName>
    <definedName name="SBVOC" localSheetId="24">'[26]natural gas'!#REF!</definedName>
    <definedName name="SBVOC" localSheetId="104">'[26]natural gas'!#REF!</definedName>
    <definedName name="SBVOC" localSheetId="65">'[26]natural gas'!#REF!</definedName>
    <definedName name="SBVOC" localSheetId="64">'[26]natural gas'!#REF!</definedName>
    <definedName name="SBVOC" localSheetId="77">'[26]natural gas'!#REF!</definedName>
    <definedName name="SBVOC" localSheetId="49">'[26]natural gas'!#REF!</definedName>
    <definedName name="SBVOC" localSheetId="40">'[26]natural gas'!#REF!</definedName>
    <definedName name="SBVOC" localSheetId="43">'[26]natural gas'!#REF!</definedName>
    <definedName name="SBVOC" localSheetId="13">'[26]natural gas'!#REF!</definedName>
    <definedName name="SBVOC" localSheetId="38">'[26]natural gas'!#REF!</definedName>
    <definedName name="SBVOC">'[26]natural gas'!#REF!</definedName>
    <definedName name="scal1" localSheetId="3">#REF!</definedName>
    <definedName name="scal1" localSheetId="7">#REF!</definedName>
    <definedName name="scal1" localSheetId="9">#REF!</definedName>
    <definedName name="scal1" localSheetId="10">#REF!</definedName>
    <definedName name="scal1" localSheetId="15">#REF!</definedName>
    <definedName name="scal1" localSheetId="19">#REF!</definedName>
    <definedName name="scal1" localSheetId="20">#REF!</definedName>
    <definedName name="scal1" localSheetId="24">#REF!</definedName>
    <definedName name="scal1" localSheetId="104">#REF!</definedName>
    <definedName name="scal1" localSheetId="65">#REF!</definedName>
    <definedName name="scal1" localSheetId="64">#REF!</definedName>
    <definedName name="scal1" localSheetId="77">#REF!</definedName>
    <definedName name="scal1" localSheetId="49">#REF!</definedName>
    <definedName name="scal1" localSheetId="40">#REF!</definedName>
    <definedName name="scal1" localSheetId="43">#REF!</definedName>
    <definedName name="scal1" localSheetId="13">#REF!</definedName>
    <definedName name="scal1" localSheetId="38">#REF!</definedName>
    <definedName name="scal1">#REF!</definedName>
    <definedName name="scal2" localSheetId="3">#REF!</definedName>
    <definedName name="scal2" localSheetId="7">#REF!</definedName>
    <definedName name="scal2" localSheetId="9">#REF!</definedName>
    <definedName name="scal2" localSheetId="10">#REF!</definedName>
    <definedName name="scal2" localSheetId="15">#REF!</definedName>
    <definedName name="scal2" localSheetId="19">#REF!</definedName>
    <definedName name="scal2" localSheetId="20">#REF!</definedName>
    <definedName name="scal2" localSheetId="24">#REF!</definedName>
    <definedName name="scal2" localSheetId="104">#REF!</definedName>
    <definedName name="scal2" localSheetId="65">#REF!</definedName>
    <definedName name="scal2" localSheetId="64">#REF!</definedName>
    <definedName name="scal2" localSheetId="77">#REF!</definedName>
    <definedName name="scal2" localSheetId="49">#REF!</definedName>
    <definedName name="scal2" localSheetId="40">#REF!</definedName>
    <definedName name="scal2" localSheetId="43">#REF!</definedName>
    <definedName name="scal2" localSheetId="13">#REF!</definedName>
    <definedName name="scal2" localSheetId="38">#REF!</definedName>
    <definedName name="scal2">#REF!</definedName>
    <definedName name="scal3" localSheetId="3">#REF!</definedName>
    <definedName name="scal3" localSheetId="7">#REF!</definedName>
    <definedName name="scal3" localSheetId="9">#REF!</definedName>
    <definedName name="scal3" localSheetId="10">#REF!</definedName>
    <definedName name="scal3" localSheetId="15">#REF!</definedName>
    <definedName name="scal3" localSheetId="19">#REF!</definedName>
    <definedName name="scal3" localSheetId="20">#REF!</definedName>
    <definedName name="scal3" localSheetId="24">#REF!</definedName>
    <definedName name="scal3" localSheetId="104">#REF!</definedName>
    <definedName name="scal3" localSheetId="65">#REF!</definedName>
    <definedName name="scal3" localSheetId="64">#REF!</definedName>
    <definedName name="scal3" localSheetId="77">#REF!</definedName>
    <definedName name="scal3" localSheetId="49">#REF!</definedName>
    <definedName name="scal3" localSheetId="40">#REF!</definedName>
    <definedName name="scal3" localSheetId="43">#REF!</definedName>
    <definedName name="scal3" localSheetId="13">#REF!</definedName>
    <definedName name="scal3" localSheetId="38">#REF!</definedName>
    <definedName name="scal3">#REF!</definedName>
    <definedName name="scal4" localSheetId="3">#REF!</definedName>
    <definedName name="scal4" localSheetId="7">#REF!</definedName>
    <definedName name="scal4" localSheetId="9">#REF!</definedName>
    <definedName name="scal4" localSheetId="10">#REF!</definedName>
    <definedName name="scal4" localSheetId="15">#REF!</definedName>
    <definedName name="scal4" localSheetId="19">#REF!</definedName>
    <definedName name="scal4" localSheetId="20">#REF!</definedName>
    <definedName name="scal4" localSheetId="24">#REF!</definedName>
    <definedName name="scal4" localSheetId="104">#REF!</definedName>
    <definedName name="scal4" localSheetId="65">#REF!</definedName>
    <definedName name="scal4" localSheetId="64">#REF!</definedName>
    <definedName name="scal4" localSheetId="77">#REF!</definedName>
    <definedName name="scal4" localSheetId="49">#REF!</definedName>
    <definedName name="scal4" localSheetId="40">#REF!</definedName>
    <definedName name="scal4" localSheetId="43">#REF!</definedName>
    <definedName name="scal4" localSheetId="13">#REF!</definedName>
    <definedName name="scal4" localSheetId="38">#REF!</definedName>
    <definedName name="scal4">#REF!</definedName>
    <definedName name="scaltot" localSheetId="3">#REF!</definedName>
    <definedName name="scaltot" localSheetId="7">#REF!</definedName>
    <definedName name="scaltot" localSheetId="9">#REF!</definedName>
    <definedName name="scaltot" localSheetId="10">#REF!</definedName>
    <definedName name="scaltot" localSheetId="15">#REF!</definedName>
    <definedName name="scaltot" localSheetId="19">#REF!</definedName>
    <definedName name="scaltot" localSheetId="20">#REF!</definedName>
    <definedName name="scaltot" localSheetId="24">#REF!</definedName>
    <definedName name="scaltot" localSheetId="104">#REF!</definedName>
    <definedName name="scaltot" localSheetId="65">#REF!</definedName>
    <definedName name="scaltot" localSheetId="64">#REF!</definedName>
    <definedName name="scaltot" localSheetId="77">#REF!</definedName>
    <definedName name="scaltot" localSheetId="49">#REF!</definedName>
    <definedName name="scaltot" localSheetId="40">#REF!</definedName>
    <definedName name="scaltot" localSheetId="43">#REF!</definedName>
    <definedName name="scaltot" localSheetId="13">#REF!</definedName>
    <definedName name="scaltot" localSheetId="38">#REF!</definedName>
    <definedName name="scaltot">#REF!</definedName>
    <definedName name="scanhtrbtu" localSheetId="3">'[7]Operational Basis'!#REF!</definedName>
    <definedName name="scanhtrbtu" localSheetId="7">'[7]Operational Basis'!#REF!</definedName>
    <definedName name="scanhtrbtu" localSheetId="9">'[7]Operational Basis'!#REF!</definedName>
    <definedName name="scanhtrbtu" localSheetId="10">'[7]Operational Basis'!#REF!</definedName>
    <definedName name="scanhtrbtu" localSheetId="15">'[7]Operational Basis'!#REF!</definedName>
    <definedName name="scanhtrbtu" localSheetId="19">'[7]Operational Basis'!#REF!</definedName>
    <definedName name="scanhtrbtu" localSheetId="20">'[7]Operational Basis'!#REF!</definedName>
    <definedName name="scanhtrbtu" localSheetId="24">'[7]Operational Basis'!#REF!</definedName>
    <definedName name="scanhtrbtu" localSheetId="104">'[7]Operational Basis'!#REF!</definedName>
    <definedName name="scanhtrbtu" localSheetId="65">'[7]Operational Basis'!#REF!</definedName>
    <definedName name="scanhtrbtu" localSheetId="64">'[7]Operational Basis'!#REF!</definedName>
    <definedName name="scanhtrbtu" localSheetId="77">'[7]Operational Basis'!#REF!</definedName>
    <definedName name="scanhtrbtu" localSheetId="49">'[7]Operational Basis'!#REF!</definedName>
    <definedName name="scanhtrbtu" localSheetId="40">'[7]Operational Basis'!#REF!</definedName>
    <definedName name="scanhtrbtu" localSheetId="43">'[7]Operational Basis'!#REF!</definedName>
    <definedName name="scanhtrbtu" localSheetId="13">'[7]Operational Basis'!#REF!</definedName>
    <definedName name="scanhtrbtu" localSheetId="38">'[7]Operational Basis'!#REF!</definedName>
    <definedName name="scanhtrbtu">'[7]Operational Basis'!#REF!</definedName>
    <definedName name="scc" localSheetId="3">#REF!</definedName>
    <definedName name="scc" localSheetId="7">#REF!</definedName>
    <definedName name="scc" localSheetId="9">#REF!</definedName>
    <definedName name="scc" localSheetId="10">#REF!</definedName>
    <definedName name="scc" localSheetId="15">#REF!</definedName>
    <definedName name="scc" localSheetId="19">#REF!</definedName>
    <definedName name="scc" localSheetId="20">#REF!</definedName>
    <definedName name="scc" localSheetId="24">#REF!</definedName>
    <definedName name="scc" localSheetId="104">#REF!</definedName>
    <definedName name="scc" localSheetId="65">#REF!</definedName>
    <definedName name="scc" localSheetId="64">#REF!</definedName>
    <definedName name="scc" localSheetId="77">#REF!</definedName>
    <definedName name="scc" localSheetId="49">#REF!</definedName>
    <definedName name="scc" localSheetId="40">#REF!</definedName>
    <definedName name="scc" localSheetId="43">#REF!</definedName>
    <definedName name="scc" localSheetId="13">#REF!</definedName>
    <definedName name="scc" localSheetId="38">#REF!</definedName>
    <definedName name="scc">#REF!</definedName>
    <definedName name="scre1" localSheetId="3">#REF!</definedName>
    <definedName name="scre1" localSheetId="7">#REF!</definedName>
    <definedName name="scre1" localSheetId="9">#REF!</definedName>
    <definedName name="scre1" localSheetId="10">#REF!</definedName>
    <definedName name="scre1" localSheetId="15">#REF!</definedName>
    <definedName name="scre1" localSheetId="19">#REF!</definedName>
    <definedName name="scre1" localSheetId="20">#REF!</definedName>
    <definedName name="scre1" localSheetId="24">#REF!</definedName>
    <definedName name="scre1" localSheetId="104">#REF!</definedName>
    <definedName name="scre1" localSheetId="65">#REF!</definedName>
    <definedName name="scre1" localSheetId="64">#REF!</definedName>
    <definedName name="scre1" localSheetId="77">#REF!</definedName>
    <definedName name="scre1" localSheetId="49">#REF!</definedName>
    <definedName name="scre1" localSheetId="40">#REF!</definedName>
    <definedName name="scre1" localSheetId="43">#REF!</definedName>
    <definedName name="scre1" localSheetId="13">#REF!</definedName>
    <definedName name="scre1" localSheetId="38">#REF!</definedName>
    <definedName name="scre1">#REF!</definedName>
    <definedName name="scre2" localSheetId="3">#REF!</definedName>
    <definedName name="scre2" localSheetId="7">#REF!</definedName>
    <definedName name="scre2" localSheetId="9">#REF!</definedName>
    <definedName name="scre2" localSheetId="10">#REF!</definedName>
    <definedName name="scre2" localSheetId="15">#REF!</definedName>
    <definedName name="scre2" localSheetId="19">#REF!</definedName>
    <definedName name="scre2" localSheetId="20">#REF!</definedName>
    <definedName name="scre2" localSheetId="24">#REF!</definedName>
    <definedName name="scre2" localSheetId="104">#REF!</definedName>
    <definedName name="scre2" localSheetId="65">#REF!</definedName>
    <definedName name="scre2" localSheetId="64">#REF!</definedName>
    <definedName name="scre2" localSheetId="77">#REF!</definedName>
    <definedName name="scre2" localSheetId="49">#REF!</definedName>
    <definedName name="scre2" localSheetId="40">#REF!</definedName>
    <definedName name="scre2" localSheetId="43">#REF!</definedName>
    <definedName name="scre2" localSheetId="13">#REF!</definedName>
    <definedName name="scre2" localSheetId="38">#REF!</definedName>
    <definedName name="scre2">#REF!</definedName>
    <definedName name="scre3" localSheetId="3">#REF!</definedName>
    <definedName name="scre3" localSheetId="7">#REF!</definedName>
    <definedName name="scre3" localSheetId="9">#REF!</definedName>
    <definedName name="scre3" localSheetId="10">#REF!</definedName>
    <definedName name="scre3" localSheetId="15">#REF!</definedName>
    <definedName name="scre3" localSheetId="19">#REF!</definedName>
    <definedName name="scre3" localSheetId="20">#REF!</definedName>
    <definedName name="scre3" localSheetId="24">#REF!</definedName>
    <definedName name="scre3" localSheetId="104">#REF!</definedName>
    <definedName name="scre3" localSheetId="65">#REF!</definedName>
    <definedName name="scre3" localSheetId="64">#REF!</definedName>
    <definedName name="scre3" localSheetId="77">#REF!</definedName>
    <definedName name="scre3" localSheetId="49">#REF!</definedName>
    <definedName name="scre3" localSheetId="40">#REF!</definedName>
    <definedName name="scre3" localSheetId="43">#REF!</definedName>
    <definedName name="scre3" localSheetId="13">#REF!</definedName>
    <definedName name="scre3" localSheetId="38">#REF!</definedName>
    <definedName name="scre3">#REF!</definedName>
    <definedName name="scre4" localSheetId="3">#REF!</definedName>
    <definedName name="scre4" localSheetId="7">#REF!</definedName>
    <definedName name="scre4" localSheetId="9">#REF!</definedName>
    <definedName name="scre4" localSheetId="10">#REF!</definedName>
    <definedName name="scre4" localSheetId="15">#REF!</definedName>
    <definedName name="scre4" localSheetId="19">#REF!</definedName>
    <definedName name="scre4" localSheetId="20">#REF!</definedName>
    <definedName name="scre4" localSheetId="24">#REF!</definedName>
    <definedName name="scre4" localSheetId="104">#REF!</definedName>
    <definedName name="scre4" localSheetId="65">#REF!</definedName>
    <definedName name="scre4" localSheetId="64">#REF!</definedName>
    <definedName name="scre4" localSheetId="77">#REF!</definedName>
    <definedName name="scre4" localSheetId="49">#REF!</definedName>
    <definedName name="scre4" localSheetId="40">#REF!</definedName>
    <definedName name="scre4" localSheetId="43">#REF!</definedName>
    <definedName name="scre4" localSheetId="13">#REF!</definedName>
    <definedName name="scre4" localSheetId="38">#REF!</definedName>
    <definedName name="scre4">#REF!</definedName>
    <definedName name="scretot" localSheetId="3">#REF!</definedName>
    <definedName name="scretot" localSheetId="7">#REF!</definedName>
    <definedName name="scretot" localSheetId="9">#REF!</definedName>
    <definedName name="scretot" localSheetId="10">#REF!</definedName>
    <definedName name="scretot" localSheetId="15">#REF!</definedName>
    <definedName name="scretot" localSheetId="19">#REF!</definedName>
    <definedName name="scretot" localSheetId="20">#REF!</definedName>
    <definedName name="scretot" localSheetId="24">#REF!</definedName>
    <definedName name="scretot" localSheetId="104">#REF!</definedName>
    <definedName name="scretot" localSheetId="65">#REF!</definedName>
    <definedName name="scretot" localSheetId="64">#REF!</definedName>
    <definedName name="scretot" localSheetId="77">#REF!</definedName>
    <definedName name="scretot" localSheetId="49">#REF!</definedName>
    <definedName name="scretot" localSheetId="40">#REF!</definedName>
    <definedName name="scretot" localSheetId="43">#REF!</definedName>
    <definedName name="scretot" localSheetId="13">#REF!</definedName>
    <definedName name="scretot" localSheetId="38">#REF!</definedName>
    <definedName name="scretot">#REF!</definedName>
    <definedName name="Select1" localSheetId="3">#REF!</definedName>
    <definedName name="Select1" localSheetId="7">#REF!</definedName>
    <definedName name="Select1" localSheetId="9">#REF!</definedName>
    <definedName name="Select1" localSheetId="10">#REF!</definedName>
    <definedName name="Select1" localSheetId="15">#REF!</definedName>
    <definedName name="Select1" localSheetId="19">#REF!</definedName>
    <definedName name="Select1" localSheetId="20">#REF!</definedName>
    <definedName name="Select1" localSheetId="24">#REF!</definedName>
    <definedName name="Select1" localSheetId="104">#REF!</definedName>
    <definedName name="Select1" localSheetId="65">#REF!</definedName>
    <definedName name="Select1" localSheetId="64">#REF!</definedName>
    <definedName name="Select1" localSheetId="77">#REF!</definedName>
    <definedName name="Select1" localSheetId="49">#REF!</definedName>
    <definedName name="Select1" localSheetId="40">#REF!</definedName>
    <definedName name="Select1" localSheetId="43">#REF!</definedName>
    <definedName name="Select1" localSheetId="13">#REF!</definedName>
    <definedName name="Select1" localSheetId="38">#REF!</definedName>
    <definedName name="Select1">#REF!</definedName>
    <definedName name="sencount" hidden="1">2</definedName>
    <definedName name="Sep_pressure" localSheetId="3">[27]Input!#REF!</definedName>
    <definedName name="Sep_pressure" localSheetId="7">[27]Input!#REF!</definedName>
    <definedName name="Sep_pressure" localSheetId="9">[27]Input!#REF!</definedName>
    <definedName name="Sep_pressure" localSheetId="10">[27]Input!#REF!</definedName>
    <definedName name="Sep_pressure" localSheetId="15">[27]Input!#REF!</definedName>
    <definedName name="Sep_pressure" localSheetId="19">[27]Input!#REF!</definedName>
    <definedName name="Sep_pressure" localSheetId="20">[27]Input!#REF!</definedName>
    <definedName name="Sep_pressure" localSheetId="24">[27]Input!#REF!</definedName>
    <definedName name="Sep_pressure" localSheetId="104">[27]Input!#REF!</definedName>
    <definedName name="Sep_pressure" localSheetId="65">[27]Input!#REF!</definedName>
    <definedName name="Sep_pressure" localSheetId="64">[27]Input!#REF!</definedName>
    <definedName name="Sep_pressure" localSheetId="77">[27]Input!#REF!</definedName>
    <definedName name="Sep_pressure" localSheetId="49">[27]Input!#REF!</definedName>
    <definedName name="Sep_pressure" localSheetId="40">[27]Input!#REF!</definedName>
    <definedName name="Sep_pressure" localSheetId="43">[27]Input!#REF!</definedName>
    <definedName name="Sep_pressure" localSheetId="13">[27]Input!#REF!</definedName>
    <definedName name="Sep_pressure" localSheetId="38">[27]Input!#REF!</definedName>
    <definedName name="Sep_pressure">[27]Input!#REF!</definedName>
    <definedName name="SEPT" localSheetId="3">#REF!</definedName>
    <definedName name="SEPT" localSheetId="7">#REF!</definedName>
    <definedName name="SEPT" localSheetId="9">#REF!</definedName>
    <definedName name="SEPT" localSheetId="10">#REF!</definedName>
    <definedName name="SEPT" localSheetId="15">#REF!</definedName>
    <definedName name="SEPT" localSheetId="19">#REF!</definedName>
    <definedName name="SEPT" localSheetId="20">#REF!</definedName>
    <definedName name="SEPT" localSheetId="24">#REF!</definedName>
    <definedName name="SEPT" localSheetId="104">#REF!</definedName>
    <definedName name="SEPT" localSheetId="65">#REF!</definedName>
    <definedName name="SEPT" localSheetId="64">#REF!</definedName>
    <definedName name="SEPT" localSheetId="77">#REF!</definedName>
    <definedName name="SEPT" localSheetId="49">#REF!</definedName>
    <definedName name="SEPT" localSheetId="40">#REF!</definedName>
    <definedName name="SEPT" localSheetId="43">#REF!</definedName>
    <definedName name="SEPT" localSheetId="13">#REF!</definedName>
    <definedName name="SEPT" localSheetId="38">#REF!</definedName>
    <definedName name="SEPT">#REF!</definedName>
    <definedName name="Service">[17]Compliance_NS!$A$78:$A$79</definedName>
    <definedName name="SGi">[6]Flashing!$F$15</definedName>
    <definedName name="sgi_" localSheetId="3">#REF!</definedName>
    <definedName name="sgi_" localSheetId="7">#REF!</definedName>
    <definedName name="sgi_" localSheetId="9">#REF!</definedName>
    <definedName name="sgi_" localSheetId="10">#REF!</definedName>
    <definedName name="sgi_" localSheetId="15">#REF!</definedName>
    <definedName name="sgi_" localSheetId="19">#REF!</definedName>
    <definedName name="sgi_" localSheetId="20">#REF!</definedName>
    <definedName name="sgi_" localSheetId="24">#REF!</definedName>
    <definedName name="sgi_" localSheetId="104">#REF!</definedName>
    <definedName name="sgi_" localSheetId="65">#REF!</definedName>
    <definedName name="sgi_" localSheetId="64">#REF!</definedName>
    <definedName name="sgi_" localSheetId="77">#REF!</definedName>
    <definedName name="sgi_" localSheetId="49">#REF!</definedName>
    <definedName name="sgi_" localSheetId="40">#REF!</definedName>
    <definedName name="sgi_" localSheetId="43">#REF!</definedName>
    <definedName name="sgi_" localSheetId="13">#REF!</definedName>
    <definedName name="sgi_" localSheetId="38">#REF!</definedName>
    <definedName name="sgi_">#REF!</definedName>
    <definedName name="SGx">[6]Flashing!$C$26</definedName>
    <definedName name="SHEET" localSheetId="3">#REF!</definedName>
    <definedName name="SHEET" localSheetId="7">#REF!</definedName>
    <definedName name="SHEET" localSheetId="9">#REF!</definedName>
    <definedName name="SHEET" localSheetId="10">#REF!</definedName>
    <definedName name="SHEET" localSheetId="15">#REF!</definedName>
    <definedName name="SHEET" localSheetId="19">#REF!</definedName>
    <definedName name="SHEET" localSheetId="20">#REF!</definedName>
    <definedName name="SHEET" localSheetId="24">#REF!</definedName>
    <definedName name="SHEET" localSheetId="104">#REF!</definedName>
    <definedName name="SHEET" localSheetId="65">#REF!</definedName>
    <definedName name="SHEET" localSheetId="64">#REF!</definedName>
    <definedName name="SHEET" localSheetId="77">#REF!</definedName>
    <definedName name="SHEET" localSheetId="49">#REF!</definedName>
    <definedName name="SHEET" localSheetId="40">#REF!</definedName>
    <definedName name="SHEET" localSheetId="43">#REF!</definedName>
    <definedName name="SHEET" localSheetId="13">#REF!</definedName>
    <definedName name="SHEET" localSheetId="38">#REF!</definedName>
    <definedName name="SHEET">#REF!</definedName>
    <definedName name="shel1" localSheetId="3">#REF!</definedName>
    <definedName name="shel1" localSheetId="7">#REF!</definedName>
    <definedName name="shel1" localSheetId="9">#REF!</definedName>
    <definedName name="shel1" localSheetId="10">#REF!</definedName>
    <definedName name="shel1" localSheetId="15">#REF!</definedName>
    <definedName name="shel1" localSheetId="19">#REF!</definedName>
    <definedName name="shel1" localSheetId="20">#REF!</definedName>
    <definedName name="shel1" localSheetId="24">#REF!</definedName>
    <definedName name="shel1" localSheetId="104">#REF!</definedName>
    <definedName name="shel1" localSheetId="65">#REF!</definedName>
    <definedName name="shel1" localSheetId="64">#REF!</definedName>
    <definedName name="shel1" localSheetId="77">#REF!</definedName>
    <definedName name="shel1" localSheetId="49">#REF!</definedName>
    <definedName name="shel1" localSheetId="40">#REF!</definedName>
    <definedName name="shel1" localSheetId="43">#REF!</definedName>
    <definedName name="shel1" localSheetId="13">#REF!</definedName>
    <definedName name="shel1" localSheetId="38">#REF!</definedName>
    <definedName name="shel1">#REF!</definedName>
    <definedName name="shel2" localSheetId="3">#REF!</definedName>
    <definedName name="shel2" localSheetId="7">#REF!</definedName>
    <definedName name="shel2" localSheetId="9">#REF!</definedName>
    <definedName name="shel2" localSheetId="10">#REF!</definedName>
    <definedName name="shel2" localSheetId="15">#REF!</definedName>
    <definedName name="shel2" localSheetId="19">#REF!</definedName>
    <definedName name="shel2" localSheetId="20">#REF!</definedName>
    <definedName name="shel2" localSheetId="24">#REF!</definedName>
    <definedName name="shel2" localSheetId="104">#REF!</definedName>
    <definedName name="shel2" localSheetId="65">#REF!</definedName>
    <definedName name="shel2" localSheetId="64">#REF!</definedName>
    <definedName name="shel2" localSheetId="77">#REF!</definedName>
    <definedName name="shel2" localSheetId="49">#REF!</definedName>
    <definedName name="shel2" localSheetId="40">#REF!</definedName>
    <definedName name="shel2" localSheetId="43">#REF!</definedName>
    <definedName name="shel2" localSheetId="13">#REF!</definedName>
    <definedName name="shel2" localSheetId="38">#REF!</definedName>
    <definedName name="shel2">#REF!</definedName>
    <definedName name="shel3" localSheetId="3">#REF!</definedName>
    <definedName name="shel3" localSheetId="7">#REF!</definedName>
    <definedName name="shel3" localSheetId="9">#REF!</definedName>
    <definedName name="shel3" localSheetId="10">#REF!</definedName>
    <definedName name="shel3" localSheetId="15">#REF!</definedName>
    <definedName name="shel3" localSheetId="19">#REF!</definedName>
    <definedName name="shel3" localSheetId="20">#REF!</definedName>
    <definedName name="shel3" localSheetId="24">#REF!</definedName>
    <definedName name="shel3" localSheetId="104">#REF!</definedName>
    <definedName name="shel3" localSheetId="65">#REF!</definedName>
    <definedName name="shel3" localSheetId="64">#REF!</definedName>
    <definedName name="shel3" localSheetId="77">#REF!</definedName>
    <definedName name="shel3" localSheetId="49">#REF!</definedName>
    <definedName name="shel3" localSheetId="40">#REF!</definedName>
    <definedName name="shel3" localSheetId="43">#REF!</definedName>
    <definedName name="shel3" localSheetId="13">#REF!</definedName>
    <definedName name="shel3" localSheetId="38">#REF!</definedName>
    <definedName name="shel3">#REF!</definedName>
    <definedName name="shel4" localSheetId="3">#REF!</definedName>
    <definedName name="shel4" localSheetId="7">#REF!</definedName>
    <definedName name="shel4" localSheetId="9">#REF!</definedName>
    <definedName name="shel4" localSheetId="10">#REF!</definedName>
    <definedName name="shel4" localSheetId="15">#REF!</definedName>
    <definedName name="shel4" localSheetId="19">#REF!</definedName>
    <definedName name="shel4" localSheetId="20">#REF!</definedName>
    <definedName name="shel4" localSheetId="24">#REF!</definedName>
    <definedName name="shel4" localSheetId="104">#REF!</definedName>
    <definedName name="shel4" localSheetId="65">#REF!</definedName>
    <definedName name="shel4" localSheetId="64">#REF!</definedName>
    <definedName name="shel4" localSheetId="77">#REF!</definedName>
    <definedName name="shel4" localSheetId="49">#REF!</definedName>
    <definedName name="shel4" localSheetId="40">#REF!</definedName>
    <definedName name="shel4" localSheetId="43">#REF!</definedName>
    <definedName name="shel4" localSheetId="13">#REF!</definedName>
    <definedName name="shel4" localSheetId="38">#REF!</definedName>
    <definedName name="shel4">#REF!</definedName>
    <definedName name="sheltot" localSheetId="3">#REF!</definedName>
    <definedName name="sheltot" localSheetId="7">#REF!</definedName>
    <definedName name="sheltot" localSheetId="9">#REF!</definedName>
    <definedName name="sheltot" localSheetId="10">#REF!</definedName>
    <definedName name="sheltot" localSheetId="15">#REF!</definedName>
    <definedName name="sheltot" localSheetId="19">#REF!</definedName>
    <definedName name="sheltot" localSheetId="20">#REF!</definedName>
    <definedName name="sheltot" localSheetId="24">#REF!</definedName>
    <definedName name="sheltot" localSheetId="104">#REF!</definedName>
    <definedName name="sheltot" localSheetId="65">#REF!</definedName>
    <definedName name="sheltot" localSheetId="64">#REF!</definedName>
    <definedName name="sheltot" localSheetId="77">#REF!</definedName>
    <definedName name="sheltot" localSheetId="49">#REF!</definedName>
    <definedName name="sheltot" localSheetId="40">#REF!</definedName>
    <definedName name="sheltot" localSheetId="43">#REF!</definedName>
    <definedName name="sheltot" localSheetId="13">#REF!</definedName>
    <definedName name="sheltot" localSheetId="38">#REF!</definedName>
    <definedName name="sheltot">#REF!</definedName>
    <definedName name="silo1" localSheetId="3">#REF!</definedName>
    <definedName name="silo1" localSheetId="7">#REF!</definedName>
    <definedName name="silo1" localSheetId="9">#REF!</definedName>
    <definedName name="silo1" localSheetId="10">#REF!</definedName>
    <definedName name="silo1" localSheetId="15">#REF!</definedName>
    <definedName name="silo1" localSheetId="19">#REF!</definedName>
    <definedName name="silo1" localSheetId="20">#REF!</definedName>
    <definedName name="silo1" localSheetId="24">#REF!</definedName>
    <definedName name="silo1" localSheetId="104">#REF!</definedName>
    <definedName name="silo1" localSheetId="65">#REF!</definedName>
    <definedName name="silo1" localSheetId="64">#REF!</definedName>
    <definedName name="silo1" localSheetId="77">#REF!</definedName>
    <definedName name="silo1" localSheetId="49">#REF!</definedName>
    <definedName name="silo1" localSheetId="40">#REF!</definedName>
    <definedName name="silo1" localSheetId="43">#REF!</definedName>
    <definedName name="silo1" localSheetId="13">#REF!</definedName>
    <definedName name="silo1" localSheetId="38">#REF!</definedName>
    <definedName name="silo1">#REF!</definedName>
    <definedName name="silo2" localSheetId="3">#REF!</definedName>
    <definedName name="silo2" localSheetId="7">#REF!</definedName>
    <definedName name="silo2" localSheetId="9">#REF!</definedName>
    <definedName name="silo2" localSheetId="10">#REF!</definedName>
    <definedName name="silo2" localSheetId="15">#REF!</definedName>
    <definedName name="silo2" localSheetId="19">#REF!</definedName>
    <definedName name="silo2" localSheetId="20">#REF!</definedName>
    <definedName name="silo2" localSheetId="24">#REF!</definedName>
    <definedName name="silo2" localSheetId="104">#REF!</definedName>
    <definedName name="silo2" localSheetId="65">#REF!</definedName>
    <definedName name="silo2" localSheetId="64">#REF!</definedName>
    <definedName name="silo2" localSheetId="77">#REF!</definedName>
    <definedName name="silo2" localSheetId="49">#REF!</definedName>
    <definedName name="silo2" localSheetId="40">#REF!</definedName>
    <definedName name="silo2" localSheetId="43">#REF!</definedName>
    <definedName name="silo2" localSheetId="13">#REF!</definedName>
    <definedName name="silo2" localSheetId="38">#REF!</definedName>
    <definedName name="silo2">#REF!</definedName>
    <definedName name="silo3" localSheetId="3">#REF!</definedName>
    <definedName name="silo3" localSheetId="7">#REF!</definedName>
    <definedName name="silo3" localSheetId="9">#REF!</definedName>
    <definedName name="silo3" localSheetId="10">#REF!</definedName>
    <definedName name="silo3" localSheetId="15">#REF!</definedName>
    <definedName name="silo3" localSheetId="19">#REF!</definedName>
    <definedName name="silo3" localSheetId="20">#REF!</definedName>
    <definedName name="silo3" localSheetId="24">#REF!</definedName>
    <definedName name="silo3" localSheetId="104">#REF!</definedName>
    <definedName name="silo3" localSheetId="65">#REF!</definedName>
    <definedName name="silo3" localSheetId="64">#REF!</definedName>
    <definedName name="silo3" localSheetId="77">#REF!</definedName>
    <definedName name="silo3" localSheetId="49">#REF!</definedName>
    <definedName name="silo3" localSheetId="40">#REF!</definedName>
    <definedName name="silo3" localSheetId="43">#REF!</definedName>
    <definedName name="silo3" localSheetId="13">#REF!</definedName>
    <definedName name="silo3" localSheetId="38">#REF!</definedName>
    <definedName name="silo3">#REF!</definedName>
    <definedName name="silo4" localSheetId="3">#REF!</definedName>
    <definedName name="silo4" localSheetId="7">#REF!</definedName>
    <definedName name="silo4" localSheetId="9">#REF!</definedName>
    <definedName name="silo4" localSheetId="10">#REF!</definedName>
    <definedName name="silo4" localSheetId="15">#REF!</definedName>
    <definedName name="silo4" localSheetId="19">#REF!</definedName>
    <definedName name="silo4" localSheetId="20">#REF!</definedName>
    <definedName name="silo4" localSheetId="24">#REF!</definedName>
    <definedName name="silo4" localSheetId="104">#REF!</definedName>
    <definedName name="silo4" localSheetId="65">#REF!</definedName>
    <definedName name="silo4" localSheetId="64">#REF!</definedName>
    <definedName name="silo4" localSheetId="77">#REF!</definedName>
    <definedName name="silo4" localSheetId="49">#REF!</definedName>
    <definedName name="silo4" localSheetId="40">#REF!</definedName>
    <definedName name="silo4" localSheetId="43">#REF!</definedName>
    <definedName name="silo4" localSheetId="13">#REF!</definedName>
    <definedName name="silo4" localSheetId="38">#REF!</definedName>
    <definedName name="silo4">#REF!</definedName>
    <definedName name="silotot" localSheetId="3">#REF!</definedName>
    <definedName name="silotot" localSheetId="7">#REF!</definedName>
    <definedName name="silotot" localSheetId="9">#REF!</definedName>
    <definedName name="silotot" localSheetId="10">#REF!</definedName>
    <definedName name="silotot" localSheetId="15">#REF!</definedName>
    <definedName name="silotot" localSheetId="19">#REF!</definedName>
    <definedName name="silotot" localSheetId="20">#REF!</definedName>
    <definedName name="silotot" localSheetId="24">#REF!</definedName>
    <definedName name="silotot" localSheetId="104">#REF!</definedName>
    <definedName name="silotot" localSheetId="65">#REF!</definedName>
    <definedName name="silotot" localSheetId="64">#REF!</definedName>
    <definedName name="silotot" localSheetId="77">#REF!</definedName>
    <definedName name="silotot" localSheetId="49">#REF!</definedName>
    <definedName name="silotot" localSheetId="40">#REF!</definedName>
    <definedName name="silotot" localSheetId="43">#REF!</definedName>
    <definedName name="silotot" localSheetId="13">#REF!</definedName>
    <definedName name="silotot" localSheetId="38">#REF!</definedName>
    <definedName name="silotot">#REF!</definedName>
    <definedName name="silt" localSheetId="3">'[28]Storage Piles - Curr'!#REF!</definedName>
    <definedName name="silt" localSheetId="7">'[28]Storage Piles - Curr'!#REF!</definedName>
    <definedName name="silt" localSheetId="9">'[28]Storage Piles - Curr'!#REF!</definedName>
    <definedName name="silt" localSheetId="10">'[28]Storage Piles - Curr'!#REF!</definedName>
    <definedName name="silt" localSheetId="15">'[28]Storage Piles - Curr'!#REF!</definedName>
    <definedName name="silt" localSheetId="19">'[28]Storage Piles - Curr'!#REF!</definedName>
    <definedName name="silt" localSheetId="20">'[28]Storage Piles - Curr'!#REF!</definedName>
    <definedName name="silt" localSheetId="24">'[28]Storage Piles - Curr'!#REF!</definedName>
    <definedName name="silt" localSheetId="104">'[28]Storage Piles - Curr'!#REF!</definedName>
    <definedName name="silt" localSheetId="65">'[28]Storage Piles - Curr'!#REF!</definedName>
    <definedName name="silt" localSheetId="64">'[28]Storage Piles - Curr'!#REF!</definedName>
    <definedName name="silt" localSheetId="77">'[28]Storage Piles - Curr'!#REF!</definedName>
    <definedName name="silt" localSheetId="49">'[28]Storage Piles - Curr'!#REF!</definedName>
    <definedName name="silt" localSheetId="40">'[28]Storage Piles - Curr'!#REF!</definedName>
    <definedName name="silt" localSheetId="43">'[28]Storage Piles - Curr'!#REF!</definedName>
    <definedName name="silt" localSheetId="13">'[28]Storage Piles - Curr'!#REF!</definedName>
    <definedName name="silt" localSheetId="38">'[28]Storage Piles - Curr'!#REF!</definedName>
    <definedName name="silt">'[28]Storage Piles - Curr'!#REF!</definedName>
    <definedName name="Site_Type" localSheetId="3">#REF!</definedName>
    <definedName name="Site_Type" localSheetId="7">#REF!</definedName>
    <definedName name="Site_Type" localSheetId="9">#REF!</definedName>
    <definedName name="Site_Type" localSheetId="10">#REF!</definedName>
    <definedName name="Site_Type" localSheetId="15">#REF!</definedName>
    <definedName name="Site_Type" localSheetId="19">#REF!</definedName>
    <definedName name="Site_Type" localSheetId="20">#REF!</definedName>
    <definedName name="Site_Type" localSheetId="24">#REF!</definedName>
    <definedName name="Site_Type" localSheetId="104">#REF!</definedName>
    <definedName name="Site_Type" localSheetId="65">#REF!</definedName>
    <definedName name="Site_Type" localSheetId="64">#REF!</definedName>
    <definedName name="Site_Type" localSheetId="77">#REF!</definedName>
    <definedName name="Site_Type" localSheetId="49">#REF!</definedName>
    <definedName name="Site_Type" localSheetId="40">#REF!</definedName>
    <definedName name="Site_Type" localSheetId="43">#REF!</definedName>
    <definedName name="Site_Type" localSheetId="13">#REF!</definedName>
    <definedName name="Site_Type" localSheetId="38">#REF!</definedName>
    <definedName name="Site_Type">#REF!</definedName>
    <definedName name="size" localSheetId="3">#REF!</definedName>
    <definedName name="size" localSheetId="7">#REF!</definedName>
    <definedName name="size" localSheetId="9">#REF!</definedName>
    <definedName name="size" localSheetId="10">#REF!</definedName>
    <definedName name="size" localSheetId="15">#REF!</definedName>
    <definedName name="size" localSheetId="19">#REF!</definedName>
    <definedName name="size" localSheetId="20">#REF!</definedName>
    <definedName name="size" localSheetId="24">#REF!</definedName>
    <definedName name="size" localSheetId="104">#REF!</definedName>
    <definedName name="size" localSheetId="65">#REF!</definedName>
    <definedName name="size" localSheetId="64">#REF!</definedName>
    <definedName name="size" localSheetId="77">#REF!</definedName>
    <definedName name="size" localSheetId="49">#REF!</definedName>
    <definedName name="size" localSheetId="40">#REF!</definedName>
    <definedName name="size" localSheetId="43">#REF!</definedName>
    <definedName name="size" localSheetId="13">#REF!</definedName>
    <definedName name="size" localSheetId="38">#REF!</definedName>
    <definedName name="size">#REF!</definedName>
    <definedName name="sldf" localSheetId="3">#REF!</definedName>
    <definedName name="sldf" localSheetId="7">#REF!</definedName>
    <definedName name="sldf" localSheetId="9">#REF!</definedName>
    <definedName name="sldf" localSheetId="10">#REF!</definedName>
    <definedName name="sldf" localSheetId="15">#REF!</definedName>
    <definedName name="sldf" localSheetId="19">#REF!</definedName>
    <definedName name="sldf" localSheetId="20">#REF!</definedName>
    <definedName name="sldf" localSheetId="24">#REF!</definedName>
    <definedName name="sldf" localSheetId="104">#REF!</definedName>
    <definedName name="sldf" localSheetId="65">#REF!</definedName>
    <definedName name="sldf" localSheetId="64">#REF!</definedName>
    <definedName name="sldf" localSheetId="77">#REF!</definedName>
    <definedName name="sldf" localSheetId="49">#REF!</definedName>
    <definedName name="sldf" localSheetId="40">#REF!</definedName>
    <definedName name="sldf" localSheetId="43">#REF!</definedName>
    <definedName name="sldf" localSheetId="13">#REF!</definedName>
    <definedName name="sldf" localSheetId="38">#REF!</definedName>
    <definedName name="sldf">#REF!</definedName>
    <definedName name="slid1" localSheetId="3">#REF!</definedName>
    <definedName name="slid1" localSheetId="7">#REF!</definedName>
    <definedName name="slid1" localSheetId="9">#REF!</definedName>
    <definedName name="slid1" localSheetId="10">#REF!</definedName>
    <definedName name="slid1" localSheetId="15">#REF!</definedName>
    <definedName name="slid1" localSheetId="19">#REF!</definedName>
    <definedName name="slid1" localSheetId="20">#REF!</definedName>
    <definedName name="slid1" localSheetId="24">#REF!</definedName>
    <definedName name="slid1" localSheetId="104">#REF!</definedName>
    <definedName name="slid1" localSheetId="65">#REF!</definedName>
    <definedName name="slid1" localSheetId="64">#REF!</definedName>
    <definedName name="slid1" localSheetId="77">#REF!</definedName>
    <definedName name="slid1" localSheetId="49">#REF!</definedName>
    <definedName name="slid1" localSheetId="40">#REF!</definedName>
    <definedName name="slid1" localSheetId="43">#REF!</definedName>
    <definedName name="slid1" localSheetId="13">#REF!</definedName>
    <definedName name="slid1" localSheetId="38">#REF!</definedName>
    <definedName name="slid1">#REF!</definedName>
    <definedName name="slid2" localSheetId="3">#REF!</definedName>
    <definedName name="slid2" localSheetId="7">#REF!</definedName>
    <definedName name="slid2" localSheetId="9">#REF!</definedName>
    <definedName name="slid2" localSheetId="10">#REF!</definedName>
    <definedName name="slid2" localSheetId="15">#REF!</definedName>
    <definedName name="slid2" localSheetId="19">#REF!</definedName>
    <definedName name="slid2" localSheetId="20">#REF!</definedName>
    <definedName name="slid2" localSheetId="24">#REF!</definedName>
    <definedName name="slid2" localSheetId="104">#REF!</definedName>
    <definedName name="slid2" localSheetId="65">#REF!</definedName>
    <definedName name="slid2" localSheetId="64">#REF!</definedName>
    <definedName name="slid2" localSheetId="77">#REF!</definedName>
    <definedName name="slid2" localSheetId="49">#REF!</definedName>
    <definedName name="slid2" localSheetId="40">#REF!</definedName>
    <definedName name="slid2" localSheetId="43">#REF!</definedName>
    <definedName name="slid2" localSheetId="13">#REF!</definedName>
    <definedName name="slid2" localSheetId="38">#REF!</definedName>
    <definedName name="slid2">#REF!</definedName>
    <definedName name="slid3" localSheetId="3">#REF!</definedName>
    <definedName name="slid3" localSheetId="7">#REF!</definedName>
    <definedName name="slid3" localSheetId="9">#REF!</definedName>
    <definedName name="slid3" localSheetId="10">#REF!</definedName>
    <definedName name="slid3" localSheetId="15">#REF!</definedName>
    <definedName name="slid3" localSheetId="19">#REF!</definedName>
    <definedName name="slid3" localSheetId="20">#REF!</definedName>
    <definedName name="slid3" localSheetId="24">#REF!</definedName>
    <definedName name="slid3" localSheetId="104">#REF!</definedName>
    <definedName name="slid3" localSheetId="65">#REF!</definedName>
    <definedName name="slid3" localSheetId="64">#REF!</definedName>
    <definedName name="slid3" localSheetId="77">#REF!</definedName>
    <definedName name="slid3" localSheetId="49">#REF!</definedName>
    <definedName name="slid3" localSheetId="40">#REF!</definedName>
    <definedName name="slid3" localSheetId="43">#REF!</definedName>
    <definedName name="slid3" localSheetId="13">#REF!</definedName>
    <definedName name="slid3" localSheetId="38">#REF!</definedName>
    <definedName name="slid3">#REF!</definedName>
    <definedName name="slid4" localSheetId="3">#REF!</definedName>
    <definedName name="slid4" localSheetId="7">#REF!</definedName>
    <definedName name="slid4" localSheetId="9">#REF!</definedName>
    <definedName name="slid4" localSheetId="10">#REF!</definedName>
    <definedName name="slid4" localSheetId="15">#REF!</definedName>
    <definedName name="slid4" localSheetId="19">#REF!</definedName>
    <definedName name="slid4" localSheetId="20">#REF!</definedName>
    <definedName name="slid4" localSheetId="24">#REF!</definedName>
    <definedName name="slid4" localSheetId="104">#REF!</definedName>
    <definedName name="slid4" localSheetId="65">#REF!</definedName>
    <definedName name="slid4" localSheetId="64">#REF!</definedName>
    <definedName name="slid4" localSheetId="77">#REF!</definedName>
    <definedName name="slid4" localSheetId="49">#REF!</definedName>
    <definedName name="slid4" localSheetId="40">#REF!</definedName>
    <definedName name="slid4" localSheetId="43">#REF!</definedName>
    <definedName name="slid4" localSheetId="13">#REF!</definedName>
    <definedName name="slid4" localSheetId="38">#REF!</definedName>
    <definedName name="slid4">#REF!</definedName>
    <definedName name="slidtot" localSheetId="3">#REF!</definedName>
    <definedName name="slidtot" localSheetId="7">#REF!</definedName>
    <definedName name="slidtot" localSheetId="9">#REF!</definedName>
    <definedName name="slidtot" localSheetId="10">#REF!</definedName>
    <definedName name="slidtot" localSheetId="15">#REF!</definedName>
    <definedName name="slidtot" localSheetId="19">#REF!</definedName>
    <definedName name="slidtot" localSheetId="20">#REF!</definedName>
    <definedName name="slidtot" localSheetId="24">#REF!</definedName>
    <definedName name="slidtot" localSheetId="104">#REF!</definedName>
    <definedName name="slidtot" localSheetId="65">#REF!</definedName>
    <definedName name="slidtot" localSheetId="64">#REF!</definedName>
    <definedName name="slidtot" localSheetId="77">#REF!</definedName>
    <definedName name="slidtot" localSheetId="49">#REF!</definedName>
    <definedName name="slidtot" localSheetId="40">#REF!</definedName>
    <definedName name="slidtot" localSheetId="43">#REF!</definedName>
    <definedName name="slidtot" localSheetId="13">#REF!</definedName>
    <definedName name="slidtot" localSheetId="38">#REF!</definedName>
    <definedName name="slidtot">#REF!</definedName>
    <definedName name="SLOP" localSheetId="3">#REF!</definedName>
    <definedName name="SLOP" localSheetId="7">#REF!</definedName>
    <definedName name="SLOP" localSheetId="9">#REF!</definedName>
    <definedName name="SLOP" localSheetId="10">#REF!</definedName>
    <definedName name="SLOP" localSheetId="15">#REF!</definedName>
    <definedName name="SLOP" localSheetId="19">#REF!</definedName>
    <definedName name="SLOP" localSheetId="20">#REF!</definedName>
    <definedName name="SLOP" localSheetId="24">#REF!</definedName>
    <definedName name="SLOP" localSheetId="104">#REF!</definedName>
    <definedName name="SLOP" localSheetId="65">#REF!</definedName>
    <definedName name="SLOP" localSheetId="64">#REF!</definedName>
    <definedName name="SLOP" localSheetId="77">#REF!</definedName>
    <definedName name="SLOP" localSheetId="49">#REF!</definedName>
    <definedName name="SLOP" localSheetId="40">#REF!</definedName>
    <definedName name="SLOP" localSheetId="43">#REF!</definedName>
    <definedName name="SLOP" localSheetId="13">#REF!</definedName>
    <definedName name="SLOP" localSheetId="38">#REF!</definedName>
    <definedName name="SLOP">#REF!</definedName>
    <definedName name="SNG_LHV" localSheetId="3">#REF!</definedName>
    <definedName name="SNG_LHV" localSheetId="7">#REF!</definedName>
    <definedName name="SNG_LHV" localSheetId="9">#REF!</definedName>
    <definedName name="SNG_LHV" localSheetId="10">#REF!</definedName>
    <definedName name="SNG_LHV" localSheetId="15">#REF!</definedName>
    <definedName name="SNG_LHV" localSheetId="19">#REF!</definedName>
    <definedName name="SNG_LHV" localSheetId="20">#REF!</definedName>
    <definedName name="SNG_LHV" localSheetId="24">#REF!</definedName>
    <definedName name="SNG_LHV" localSheetId="104">#REF!</definedName>
    <definedName name="SNG_LHV" localSheetId="65">#REF!</definedName>
    <definedName name="SNG_LHV" localSheetId="64">#REF!</definedName>
    <definedName name="SNG_LHV" localSheetId="77">#REF!</definedName>
    <definedName name="SNG_LHV" localSheetId="49">#REF!</definedName>
    <definedName name="SNG_LHV" localSheetId="40">#REF!</definedName>
    <definedName name="SNG_LHV" localSheetId="43">#REF!</definedName>
    <definedName name="SNG_LHV" localSheetId="13">#REF!</definedName>
    <definedName name="SNG_LHV" localSheetId="38">#REF!</definedName>
    <definedName name="SNG_LHV">#REF!</definedName>
    <definedName name="SO2_combustion_factor" localSheetId="3">#REF!</definedName>
    <definedName name="SO2_combustion_factor" localSheetId="7">#REF!</definedName>
    <definedName name="SO2_combustion_factor" localSheetId="9">#REF!</definedName>
    <definedName name="SO2_combustion_factor" localSheetId="10">#REF!</definedName>
    <definedName name="SO2_combustion_factor" localSheetId="15">#REF!</definedName>
    <definedName name="SO2_combustion_factor" localSheetId="19">#REF!</definedName>
    <definedName name="SO2_combustion_factor" localSheetId="20">#REF!</definedName>
    <definedName name="SO2_combustion_factor" localSheetId="24">#REF!</definedName>
    <definedName name="SO2_combustion_factor" localSheetId="104">#REF!</definedName>
    <definedName name="SO2_combustion_factor" localSheetId="65">#REF!</definedName>
    <definedName name="SO2_combustion_factor" localSheetId="64">#REF!</definedName>
    <definedName name="SO2_combustion_factor" localSheetId="77">#REF!</definedName>
    <definedName name="SO2_combustion_factor" localSheetId="49">#REF!</definedName>
    <definedName name="SO2_combustion_factor" localSheetId="40">#REF!</definedName>
    <definedName name="SO2_combustion_factor" localSheetId="43">#REF!</definedName>
    <definedName name="SO2_combustion_factor" localSheetId="13">#REF!</definedName>
    <definedName name="SO2_combustion_factor" localSheetId="38">#REF!</definedName>
    <definedName name="SO2_combustion_factor">#REF!</definedName>
    <definedName name="so2ce" localSheetId="3">#REF!</definedName>
    <definedName name="so2ce" localSheetId="7">#REF!</definedName>
    <definedName name="so2ce" localSheetId="9">#REF!</definedName>
    <definedName name="so2ce" localSheetId="10">#REF!</definedName>
    <definedName name="so2ce" localSheetId="15">#REF!</definedName>
    <definedName name="so2ce" localSheetId="19">#REF!</definedName>
    <definedName name="so2ce" localSheetId="20">#REF!</definedName>
    <definedName name="so2ce" localSheetId="24">#REF!</definedName>
    <definedName name="so2ce" localSheetId="104">#REF!</definedName>
    <definedName name="so2ce" localSheetId="65">#REF!</definedName>
    <definedName name="so2ce" localSheetId="64">#REF!</definedName>
    <definedName name="so2ce" localSheetId="77">#REF!</definedName>
    <definedName name="so2ce" localSheetId="49">#REF!</definedName>
    <definedName name="so2ce" localSheetId="40">#REF!</definedName>
    <definedName name="so2ce" localSheetId="43">#REF!</definedName>
    <definedName name="so2ce" localSheetId="13">#REF!</definedName>
    <definedName name="so2ce" localSheetId="38">#REF!</definedName>
    <definedName name="so2ce">#REF!</definedName>
    <definedName name="SO2EF" localSheetId="3">#REF!</definedName>
    <definedName name="SO2EF" localSheetId="7">#REF!</definedName>
    <definedName name="SO2EF" localSheetId="9">#REF!</definedName>
    <definedName name="SO2EF" localSheetId="10">#REF!</definedName>
    <definedName name="SO2EF" localSheetId="15">#REF!</definedName>
    <definedName name="SO2EF" localSheetId="19">#REF!</definedName>
    <definedName name="SO2EF" localSheetId="20">#REF!</definedName>
    <definedName name="SO2EF" localSheetId="24">#REF!</definedName>
    <definedName name="SO2EF" localSheetId="104">#REF!</definedName>
    <definedName name="SO2EF" localSheetId="65">#REF!</definedName>
    <definedName name="SO2EF" localSheetId="64">#REF!</definedName>
    <definedName name="SO2EF" localSheetId="77">#REF!</definedName>
    <definedName name="SO2EF" localSheetId="49">#REF!</definedName>
    <definedName name="SO2EF" localSheetId="40">#REF!</definedName>
    <definedName name="SO2EF" localSheetId="43">#REF!</definedName>
    <definedName name="SO2EF" localSheetId="13">#REF!</definedName>
    <definedName name="SO2EF" localSheetId="38">#REF!</definedName>
    <definedName name="SO2EF">#REF!</definedName>
    <definedName name="SO2eff" localSheetId="3">'[7]Combustion Normal'!#REF!</definedName>
    <definedName name="SO2eff" localSheetId="7">'[7]Combustion Normal'!#REF!</definedName>
    <definedName name="SO2eff" localSheetId="9">'[7]Combustion Normal'!#REF!</definedName>
    <definedName name="SO2eff" localSheetId="10">'[7]Combustion Normal'!#REF!</definedName>
    <definedName name="SO2eff" localSheetId="15">'[7]Combustion Normal'!#REF!</definedName>
    <definedName name="SO2eff" localSheetId="19">'[7]Combustion Normal'!#REF!</definedName>
    <definedName name="SO2eff" localSheetId="20">'[7]Combustion Normal'!#REF!</definedName>
    <definedName name="SO2eff" localSheetId="24">'[7]Combustion Normal'!#REF!</definedName>
    <definedName name="SO2eff" localSheetId="104">'[7]Combustion Normal'!#REF!</definedName>
    <definedName name="SO2eff" localSheetId="65">'[7]Combustion Normal'!#REF!</definedName>
    <definedName name="SO2eff" localSheetId="64">'[7]Combustion Normal'!#REF!</definedName>
    <definedName name="SO2eff" localSheetId="77">'[7]Combustion Normal'!#REF!</definedName>
    <definedName name="SO2eff" localSheetId="49">'[7]Combustion Normal'!#REF!</definedName>
    <definedName name="SO2eff" localSheetId="40">'[7]Combustion Normal'!#REF!</definedName>
    <definedName name="SO2eff" localSheetId="43">'[7]Combustion Normal'!#REF!</definedName>
    <definedName name="SO2eff" localSheetId="13">'[7]Combustion Normal'!#REF!</definedName>
    <definedName name="SO2eff" localSheetId="38">'[7]Combustion Normal'!#REF!</definedName>
    <definedName name="SO2eff">'[7]Combustion Normal'!#REF!</definedName>
    <definedName name="so2rate" localSheetId="3">#REF!</definedName>
    <definedName name="so2rate" localSheetId="7">#REF!</definedName>
    <definedName name="so2rate" localSheetId="9">#REF!</definedName>
    <definedName name="so2rate" localSheetId="10">#REF!</definedName>
    <definedName name="so2rate" localSheetId="15">#REF!</definedName>
    <definedName name="so2rate" localSheetId="19">#REF!</definedName>
    <definedName name="so2rate" localSheetId="20">#REF!</definedName>
    <definedName name="so2rate" localSheetId="24">#REF!</definedName>
    <definedName name="so2rate" localSheetId="104">#REF!</definedName>
    <definedName name="so2rate" localSheetId="65">#REF!</definedName>
    <definedName name="so2rate" localSheetId="64">#REF!</definedName>
    <definedName name="so2rate" localSheetId="77">#REF!</definedName>
    <definedName name="so2rate" localSheetId="49">#REF!</definedName>
    <definedName name="so2rate" localSheetId="40">#REF!</definedName>
    <definedName name="so2rate" localSheetId="43">#REF!</definedName>
    <definedName name="so2rate" localSheetId="13">#REF!</definedName>
    <definedName name="so2rate" localSheetId="38">#REF!</definedName>
    <definedName name="so2rate">#REF!</definedName>
    <definedName name="SORT" localSheetId="3">#REF!</definedName>
    <definedName name="SORT" localSheetId="7">#REF!</definedName>
    <definedName name="SORT" localSheetId="9">#REF!</definedName>
    <definedName name="SORT" localSheetId="10">#REF!</definedName>
    <definedName name="SORT" localSheetId="15">#REF!</definedName>
    <definedName name="SORT" localSheetId="19">#REF!</definedName>
    <definedName name="SORT" localSheetId="20">#REF!</definedName>
    <definedName name="SORT" localSheetId="24">#REF!</definedName>
    <definedName name="SORT" localSheetId="104">#REF!</definedName>
    <definedName name="SORT" localSheetId="65">#REF!</definedName>
    <definedName name="SORT" localSheetId="64">#REF!</definedName>
    <definedName name="SORT" localSheetId="77">#REF!</definedName>
    <definedName name="SORT" localSheetId="49">#REF!</definedName>
    <definedName name="SORT" localSheetId="40">#REF!</definedName>
    <definedName name="SORT" localSheetId="43">#REF!</definedName>
    <definedName name="SORT" localSheetId="13">#REF!</definedName>
    <definedName name="SORT" localSheetId="38">#REF!</definedName>
    <definedName name="SORT">#REF!</definedName>
    <definedName name="SpecialPrice" localSheetId="3" hidden="1">#REF!</definedName>
    <definedName name="SpecialPrice" localSheetId="7" hidden="1">#REF!</definedName>
    <definedName name="SpecialPrice" localSheetId="9" hidden="1">#REF!</definedName>
    <definedName name="SpecialPrice" localSheetId="10" hidden="1">#REF!</definedName>
    <definedName name="SpecialPrice" localSheetId="15" hidden="1">#REF!</definedName>
    <definedName name="SpecialPrice" localSheetId="18" hidden="1">#REF!</definedName>
    <definedName name="SpecialPrice" localSheetId="19" hidden="1">#REF!</definedName>
    <definedName name="SpecialPrice" localSheetId="20" hidden="1">#REF!</definedName>
    <definedName name="SpecialPrice" localSheetId="23" hidden="1">#REF!</definedName>
    <definedName name="SpecialPrice" localSheetId="24" hidden="1">#REF!</definedName>
    <definedName name="SpecialPrice" localSheetId="35" hidden="1">#REF!</definedName>
    <definedName name="SpecialPrice" localSheetId="58" hidden="1">#REF!</definedName>
    <definedName name="SpecialPrice" localSheetId="60" hidden="1">#REF!</definedName>
    <definedName name="SpecialPrice" localSheetId="51" hidden="1">#REF!</definedName>
    <definedName name="SpecialPrice" localSheetId="54" hidden="1">#REF!</definedName>
    <definedName name="SpecialPrice" localSheetId="47" hidden="1">#REF!</definedName>
    <definedName name="SpecialPrice" localSheetId="105" hidden="1">#REF!</definedName>
    <definedName name="SpecialPrice" localSheetId="104" hidden="1">#REF!</definedName>
    <definedName name="SpecialPrice" localSheetId="88" hidden="1">#REF!</definedName>
    <definedName name="SpecialPrice" localSheetId="89" hidden="1">#REF!</definedName>
    <definedName name="SpecialPrice" localSheetId="87" hidden="1">#REF!</definedName>
    <definedName name="SpecialPrice" localSheetId="90" hidden="1">#REF!</definedName>
    <definedName name="SpecialPrice" localSheetId="70" hidden="1">#REF!</definedName>
    <definedName name="SpecialPrice" localSheetId="63" hidden="1">#REF!</definedName>
    <definedName name="SpecialPrice" localSheetId="65" hidden="1">#REF!</definedName>
    <definedName name="SpecialPrice" localSheetId="64" hidden="1">#REF!</definedName>
    <definedName name="SpecialPrice" localSheetId="77" hidden="1">#REF!</definedName>
    <definedName name="SpecialPrice" localSheetId="49" hidden="1">#REF!</definedName>
    <definedName name="SpecialPrice" localSheetId="48" hidden="1">#REF!</definedName>
    <definedName name="SpecialPrice" localSheetId="57" hidden="1">#REF!</definedName>
    <definedName name="SpecialPrice" localSheetId="59" hidden="1">#REF!</definedName>
    <definedName name="SpecialPrice" localSheetId="52" hidden="1">#REF!</definedName>
    <definedName name="SpecialPrice" localSheetId="67" hidden="1">#REF!</definedName>
    <definedName name="SpecialPrice" localSheetId="80" hidden="1">#REF!</definedName>
    <definedName name="SpecialPrice" localSheetId="40" hidden="1">#REF!</definedName>
    <definedName name="SpecialPrice" localSheetId="43" hidden="1">#REF!</definedName>
    <definedName name="SpecialPrice" localSheetId="55" hidden="1">#REF!</definedName>
    <definedName name="SpecialPrice" localSheetId="81" hidden="1">#REF!</definedName>
    <definedName name="SpecialPrice" localSheetId="53" hidden="1">#REF!</definedName>
    <definedName name="SpecialPrice" localSheetId="13" hidden="1">#REF!</definedName>
    <definedName name="SpecialPrice" localSheetId="11" hidden="1">#REF!</definedName>
    <definedName name="SpecialPrice" localSheetId="38" hidden="1">#REF!</definedName>
    <definedName name="SpecialPrice" localSheetId="41" hidden="1">#REF!</definedName>
    <definedName name="SpecialPrice" localSheetId="101" hidden="1">#REF!</definedName>
    <definedName name="SpecialPrice" localSheetId="102" hidden="1">#REF!</definedName>
    <definedName name="SpecialPrice" localSheetId="103" hidden="1">#REF!</definedName>
    <definedName name="SpecialPrice" localSheetId="97" hidden="1">#REF!</definedName>
    <definedName name="SpecialPrice" localSheetId="42" hidden="1">#REF!</definedName>
    <definedName name="SpecialPrice" localSheetId="12" hidden="1">#REF!</definedName>
    <definedName name="SpecialPrice" localSheetId="73" hidden="1">#REF!</definedName>
    <definedName name="SpecialPrice" localSheetId="74" hidden="1">#REF!</definedName>
    <definedName name="SpecialPrice" hidden="1">#REF!</definedName>
    <definedName name="spgr" localSheetId="3">#REF!</definedName>
    <definedName name="spgr" localSheetId="7">#REF!</definedName>
    <definedName name="spgr" localSheetId="9">#REF!</definedName>
    <definedName name="spgr" localSheetId="10">#REF!</definedName>
    <definedName name="spgr" localSheetId="15">#REF!</definedName>
    <definedName name="spgr" localSheetId="19">#REF!</definedName>
    <definedName name="spgr" localSheetId="20">#REF!</definedName>
    <definedName name="spgr" localSheetId="24">#REF!</definedName>
    <definedName name="spgr" localSheetId="104">#REF!</definedName>
    <definedName name="spgr" localSheetId="65">#REF!</definedName>
    <definedName name="spgr" localSheetId="64">#REF!</definedName>
    <definedName name="spgr" localSheetId="77">#REF!</definedName>
    <definedName name="spgr" localSheetId="49">#REF!</definedName>
    <definedName name="spgr" localSheetId="40">#REF!</definedName>
    <definedName name="spgr" localSheetId="43">#REF!</definedName>
    <definedName name="spgr" localSheetId="13">#REF!</definedName>
    <definedName name="spgr" localSheetId="38">#REF!</definedName>
    <definedName name="spgr">#REF!</definedName>
    <definedName name="SPLASHC" localSheetId="3">#REF!</definedName>
    <definedName name="SPLASHC" localSheetId="7">#REF!</definedName>
    <definedName name="SPLASHC" localSheetId="9">#REF!</definedName>
    <definedName name="SPLASHC" localSheetId="10">#REF!</definedName>
    <definedName name="SPLASHC" localSheetId="15">#REF!</definedName>
    <definedName name="SPLASHC" localSheetId="19">#REF!</definedName>
    <definedName name="SPLASHC" localSheetId="20">#REF!</definedName>
    <definedName name="SPLASHC" localSheetId="24">#REF!</definedName>
    <definedName name="SPLASHC" localSheetId="104">#REF!</definedName>
    <definedName name="SPLASHC" localSheetId="65">#REF!</definedName>
    <definedName name="SPLASHC" localSheetId="64">#REF!</definedName>
    <definedName name="SPLASHC" localSheetId="77">#REF!</definedName>
    <definedName name="SPLASHC" localSheetId="49">#REF!</definedName>
    <definedName name="SPLASHC" localSheetId="40">#REF!</definedName>
    <definedName name="SPLASHC" localSheetId="43">#REF!</definedName>
    <definedName name="SPLASHC" localSheetId="13">#REF!</definedName>
    <definedName name="SPLASHC" localSheetId="38">#REF!</definedName>
    <definedName name="SPLASHC">#REF!</definedName>
    <definedName name="SPLASHD" localSheetId="3">#REF!</definedName>
    <definedName name="SPLASHD" localSheetId="7">#REF!</definedName>
    <definedName name="SPLASHD" localSheetId="9">#REF!</definedName>
    <definedName name="SPLASHD" localSheetId="10">#REF!</definedName>
    <definedName name="SPLASHD" localSheetId="15">#REF!</definedName>
    <definedName name="SPLASHD" localSheetId="19">#REF!</definedName>
    <definedName name="SPLASHD" localSheetId="20">#REF!</definedName>
    <definedName name="SPLASHD" localSheetId="24">#REF!</definedName>
    <definedName name="SPLASHD" localSheetId="104">#REF!</definedName>
    <definedName name="SPLASHD" localSheetId="65">#REF!</definedName>
    <definedName name="SPLASHD" localSheetId="64">#REF!</definedName>
    <definedName name="SPLASHD" localSheetId="77">#REF!</definedName>
    <definedName name="SPLASHD" localSheetId="49">#REF!</definedName>
    <definedName name="SPLASHD" localSheetId="40">#REF!</definedName>
    <definedName name="SPLASHD" localSheetId="43">#REF!</definedName>
    <definedName name="SPLASHD" localSheetId="13">#REF!</definedName>
    <definedName name="SPLASHD" localSheetId="38">#REF!</definedName>
    <definedName name="SPLASHD">#REF!</definedName>
    <definedName name="SprayFuse_hrs_yr" localSheetId="3">#REF!</definedName>
    <definedName name="SprayFuse_hrs_yr" localSheetId="7">#REF!</definedName>
    <definedName name="SprayFuse_hrs_yr" localSheetId="9">#REF!</definedName>
    <definedName name="SprayFuse_hrs_yr" localSheetId="10">#REF!</definedName>
    <definedName name="SprayFuse_hrs_yr" localSheetId="15">#REF!</definedName>
    <definedName name="SprayFuse_hrs_yr" localSheetId="19">#REF!</definedName>
    <definedName name="SprayFuse_hrs_yr" localSheetId="20">#REF!</definedName>
    <definedName name="SprayFuse_hrs_yr" localSheetId="24">#REF!</definedName>
    <definedName name="SprayFuse_hrs_yr" localSheetId="104">#REF!</definedName>
    <definedName name="SprayFuse_hrs_yr" localSheetId="65">#REF!</definedName>
    <definedName name="SprayFuse_hrs_yr" localSheetId="64">#REF!</definedName>
    <definedName name="SprayFuse_hrs_yr" localSheetId="77">#REF!</definedName>
    <definedName name="SprayFuse_hrs_yr" localSheetId="49">#REF!</definedName>
    <definedName name="SprayFuse_hrs_yr" localSheetId="40">#REF!</definedName>
    <definedName name="SprayFuse_hrs_yr" localSheetId="43">#REF!</definedName>
    <definedName name="SprayFuse_hrs_yr" localSheetId="13">#REF!</definedName>
    <definedName name="SprayFuse_hrs_yr" localSheetId="38">#REF!</definedName>
    <definedName name="SprayFuse_hrs_yr">#REF!</definedName>
    <definedName name="Sr" localSheetId="3">#REF!</definedName>
    <definedName name="Sr" localSheetId="7">#REF!</definedName>
    <definedName name="Sr" localSheetId="9">#REF!</definedName>
    <definedName name="Sr" localSheetId="10">#REF!</definedName>
    <definedName name="Sr" localSheetId="15">#REF!</definedName>
    <definedName name="Sr" localSheetId="19">#REF!</definedName>
    <definedName name="Sr" localSheetId="20">#REF!</definedName>
    <definedName name="Sr" localSheetId="24">#REF!</definedName>
    <definedName name="Sr" localSheetId="104">#REF!</definedName>
    <definedName name="Sr" localSheetId="65">#REF!</definedName>
    <definedName name="Sr" localSheetId="64">#REF!</definedName>
    <definedName name="Sr" localSheetId="77">#REF!</definedName>
    <definedName name="Sr" localSheetId="49">#REF!</definedName>
    <definedName name="Sr" localSheetId="40">#REF!</definedName>
    <definedName name="Sr" localSheetId="43">#REF!</definedName>
    <definedName name="Sr" localSheetId="13">#REF!</definedName>
    <definedName name="Sr" localSheetId="38">#REF!</definedName>
    <definedName name="Sr">#REF!</definedName>
    <definedName name="SRUIbtu" localSheetId="3">'[7]Operational Basis'!#REF!</definedName>
    <definedName name="SRUIbtu" localSheetId="7">'[7]Operational Basis'!#REF!</definedName>
    <definedName name="SRUIbtu" localSheetId="9">'[7]Operational Basis'!#REF!</definedName>
    <definedName name="SRUIbtu" localSheetId="10">'[7]Operational Basis'!#REF!</definedName>
    <definedName name="SRUIbtu" localSheetId="15">'[7]Operational Basis'!#REF!</definedName>
    <definedName name="SRUIbtu" localSheetId="19">'[7]Operational Basis'!#REF!</definedName>
    <definedName name="SRUIbtu" localSheetId="20">'[7]Operational Basis'!#REF!</definedName>
    <definedName name="SRUIbtu" localSheetId="24">'[7]Operational Basis'!#REF!</definedName>
    <definedName name="SRUIbtu" localSheetId="104">'[7]Operational Basis'!#REF!</definedName>
    <definedName name="SRUIbtu" localSheetId="65">'[7]Operational Basis'!#REF!</definedName>
    <definedName name="SRUIbtu" localSheetId="64">'[7]Operational Basis'!#REF!</definedName>
    <definedName name="SRUIbtu" localSheetId="77">'[7]Operational Basis'!#REF!</definedName>
    <definedName name="SRUIbtu" localSheetId="49">'[7]Operational Basis'!#REF!</definedName>
    <definedName name="SRUIbtu" localSheetId="40">'[7]Operational Basis'!#REF!</definedName>
    <definedName name="SRUIbtu" localSheetId="43">'[7]Operational Basis'!#REF!</definedName>
    <definedName name="SRUIbtu" localSheetId="13">'[7]Operational Basis'!#REF!</definedName>
    <definedName name="SRUIbtu" localSheetId="38">'[7]Operational Basis'!#REF!</definedName>
    <definedName name="SRUIbtu">'[7]Operational Basis'!#REF!</definedName>
    <definedName name="sss">#N/A</definedName>
    <definedName name="SSulfur" localSheetId="3">#REF!</definedName>
    <definedName name="SSulfur" localSheetId="7">#REF!</definedName>
    <definedName name="SSulfur" localSheetId="9">#REF!</definedName>
    <definedName name="SSulfur" localSheetId="10">#REF!</definedName>
    <definedName name="SSulfur" localSheetId="15">#REF!</definedName>
    <definedName name="SSulfur" localSheetId="19">#REF!</definedName>
    <definedName name="SSulfur" localSheetId="20">#REF!</definedName>
    <definedName name="SSulfur" localSheetId="24">#REF!</definedName>
    <definedName name="SSulfur" localSheetId="104">#REF!</definedName>
    <definedName name="SSulfur" localSheetId="65">#REF!</definedName>
    <definedName name="SSulfur" localSheetId="64">#REF!</definedName>
    <definedName name="SSulfur" localSheetId="77">#REF!</definedName>
    <definedName name="SSulfur" localSheetId="49">#REF!</definedName>
    <definedName name="SSulfur" localSheetId="40">#REF!</definedName>
    <definedName name="SSulfur" localSheetId="43">#REF!</definedName>
    <definedName name="SSulfur" localSheetId="13">#REF!</definedName>
    <definedName name="SSulfur" localSheetId="38">#REF!</definedName>
    <definedName name="SSulfur">#REF!</definedName>
    <definedName name="St" localSheetId="3">#REF!</definedName>
    <definedName name="St" localSheetId="7">#REF!</definedName>
    <definedName name="St" localSheetId="9">#REF!</definedName>
    <definedName name="St" localSheetId="10">#REF!</definedName>
    <definedName name="St" localSheetId="15">#REF!</definedName>
    <definedName name="St" localSheetId="19">#REF!</definedName>
    <definedName name="St" localSheetId="20">#REF!</definedName>
    <definedName name="St" localSheetId="24">#REF!</definedName>
    <definedName name="St" localSheetId="104">#REF!</definedName>
    <definedName name="St" localSheetId="65">#REF!</definedName>
    <definedName name="St" localSheetId="64">#REF!</definedName>
    <definedName name="St" localSheetId="77">#REF!</definedName>
    <definedName name="St" localSheetId="49">#REF!</definedName>
    <definedName name="St" localSheetId="40">#REF!</definedName>
    <definedName name="St" localSheetId="43">#REF!</definedName>
    <definedName name="St" localSheetId="13">#REF!</definedName>
    <definedName name="St" localSheetId="38">#REF!</definedName>
    <definedName name="St">#REF!</definedName>
    <definedName name="Start10" localSheetId="3">#REF!</definedName>
    <definedName name="Start10" localSheetId="7">#REF!</definedName>
    <definedName name="Start10" localSheetId="9">#REF!</definedName>
    <definedName name="Start10" localSheetId="10">#REF!</definedName>
    <definedName name="Start10" localSheetId="15">#REF!</definedName>
    <definedName name="Start10" localSheetId="19">#REF!</definedName>
    <definedName name="Start10" localSheetId="20">#REF!</definedName>
    <definedName name="Start10" localSheetId="24">#REF!</definedName>
    <definedName name="Start10" localSheetId="104">#REF!</definedName>
    <definedName name="Start10" localSheetId="65">#REF!</definedName>
    <definedName name="Start10" localSheetId="64">#REF!</definedName>
    <definedName name="Start10" localSheetId="77">#REF!</definedName>
    <definedName name="Start10" localSheetId="49">#REF!</definedName>
    <definedName name="Start10" localSheetId="40">#REF!</definedName>
    <definedName name="Start10" localSheetId="43">#REF!</definedName>
    <definedName name="Start10" localSheetId="13">#REF!</definedName>
    <definedName name="Start10" localSheetId="38">#REF!</definedName>
    <definedName name="Start10">#REF!</definedName>
    <definedName name="Start100" localSheetId="3">#REF!</definedName>
    <definedName name="Start100" localSheetId="7">#REF!</definedName>
    <definedName name="Start100" localSheetId="9">#REF!</definedName>
    <definedName name="Start100" localSheetId="10">#REF!</definedName>
    <definedName name="Start100" localSheetId="15">#REF!</definedName>
    <definedName name="Start100" localSheetId="19">#REF!</definedName>
    <definedName name="Start100" localSheetId="20">#REF!</definedName>
    <definedName name="Start100" localSheetId="24">#REF!</definedName>
    <definedName name="Start100" localSheetId="104">#REF!</definedName>
    <definedName name="Start100" localSheetId="65">#REF!</definedName>
    <definedName name="Start100" localSheetId="64">#REF!</definedName>
    <definedName name="Start100" localSheetId="77">#REF!</definedName>
    <definedName name="Start100" localSheetId="49">#REF!</definedName>
    <definedName name="Start100" localSheetId="40">#REF!</definedName>
    <definedName name="Start100" localSheetId="43">#REF!</definedName>
    <definedName name="Start100" localSheetId="13">#REF!</definedName>
    <definedName name="Start100" localSheetId="38">#REF!</definedName>
    <definedName name="Start100">#REF!</definedName>
    <definedName name="Start101" localSheetId="3">#REF!</definedName>
    <definedName name="Start101" localSheetId="7">#REF!</definedName>
    <definedName name="Start101" localSheetId="9">#REF!</definedName>
    <definedName name="Start101" localSheetId="10">#REF!</definedName>
    <definedName name="Start101" localSheetId="15">#REF!</definedName>
    <definedName name="Start101" localSheetId="19">#REF!</definedName>
    <definedName name="Start101" localSheetId="20">#REF!</definedName>
    <definedName name="Start101" localSheetId="24">#REF!</definedName>
    <definedName name="Start101" localSheetId="104">#REF!</definedName>
    <definedName name="Start101" localSheetId="65">#REF!</definedName>
    <definedName name="Start101" localSheetId="64">#REF!</definedName>
    <definedName name="Start101" localSheetId="77">#REF!</definedName>
    <definedName name="Start101" localSheetId="49">#REF!</definedName>
    <definedName name="Start101" localSheetId="40">#REF!</definedName>
    <definedName name="Start101" localSheetId="43">#REF!</definedName>
    <definedName name="Start101" localSheetId="13">#REF!</definedName>
    <definedName name="Start101" localSheetId="38">#REF!</definedName>
    <definedName name="Start101">#REF!</definedName>
    <definedName name="Start102" localSheetId="3">#REF!</definedName>
    <definedName name="Start102" localSheetId="7">#REF!</definedName>
    <definedName name="Start102" localSheetId="9">#REF!</definedName>
    <definedName name="Start102" localSheetId="10">#REF!</definedName>
    <definedName name="Start102" localSheetId="15">#REF!</definedName>
    <definedName name="Start102" localSheetId="19">#REF!</definedName>
    <definedName name="Start102" localSheetId="20">#REF!</definedName>
    <definedName name="Start102" localSheetId="24">#REF!</definedName>
    <definedName name="Start102" localSheetId="104">#REF!</definedName>
    <definedName name="Start102" localSheetId="65">#REF!</definedName>
    <definedName name="Start102" localSheetId="64">#REF!</definedName>
    <definedName name="Start102" localSheetId="77">#REF!</definedName>
    <definedName name="Start102" localSheetId="49">#REF!</definedName>
    <definedName name="Start102" localSheetId="40">#REF!</definedName>
    <definedName name="Start102" localSheetId="43">#REF!</definedName>
    <definedName name="Start102" localSheetId="13">#REF!</definedName>
    <definedName name="Start102" localSheetId="38">#REF!</definedName>
    <definedName name="Start102">#REF!</definedName>
    <definedName name="Start103" localSheetId="3">#REF!</definedName>
    <definedName name="Start103" localSheetId="7">#REF!</definedName>
    <definedName name="Start103" localSheetId="9">#REF!</definedName>
    <definedName name="Start103" localSheetId="10">#REF!</definedName>
    <definedName name="Start103" localSheetId="15">#REF!</definedName>
    <definedName name="Start103" localSheetId="19">#REF!</definedName>
    <definedName name="Start103" localSheetId="20">#REF!</definedName>
    <definedName name="Start103" localSheetId="24">#REF!</definedName>
    <definedName name="Start103" localSheetId="104">#REF!</definedName>
    <definedName name="Start103" localSheetId="65">#REF!</definedName>
    <definedName name="Start103" localSheetId="64">#REF!</definedName>
    <definedName name="Start103" localSheetId="77">#REF!</definedName>
    <definedName name="Start103" localSheetId="49">#REF!</definedName>
    <definedName name="Start103" localSheetId="40">#REF!</definedName>
    <definedName name="Start103" localSheetId="43">#REF!</definedName>
    <definedName name="Start103" localSheetId="13">#REF!</definedName>
    <definedName name="Start103" localSheetId="38">#REF!</definedName>
    <definedName name="Start103">#REF!</definedName>
    <definedName name="Start104" localSheetId="3">#REF!</definedName>
    <definedName name="Start104" localSheetId="7">#REF!</definedName>
    <definedName name="Start104" localSheetId="9">#REF!</definedName>
    <definedName name="Start104" localSheetId="10">#REF!</definedName>
    <definedName name="Start104" localSheetId="15">#REF!</definedName>
    <definedName name="Start104" localSheetId="19">#REF!</definedName>
    <definedName name="Start104" localSheetId="20">#REF!</definedName>
    <definedName name="Start104" localSheetId="24">#REF!</definedName>
    <definedName name="Start104" localSheetId="104">#REF!</definedName>
    <definedName name="Start104" localSheetId="65">#REF!</definedName>
    <definedName name="Start104" localSheetId="64">#REF!</definedName>
    <definedName name="Start104" localSheetId="77">#REF!</definedName>
    <definedName name="Start104" localSheetId="49">#REF!</definedName>
    <definedName name="Start104" localSheetId="40">#REF!</definedName>
    <definedName name="Start104" localSheetId="43">#REF!</definedName>
    <definedName name="Start104" localSheetId="13">#REF!</definedName>
    <definedName name="Start104" localSheetId="38">#REF!</definedName>
    <definedName name="Start104">#REF!</definedName>
    <definedName name="Start105" localSheetId="3">#REF!</definedName>
    <definedName name="Start105" localSheetId="7">#REF!</definedName>
    <definedName name="Start105" localSheetId="9">#REF!</definedName>
    <definedName name="Start105" localSheetId="10">#REF!</definedName>
    <definedName name="Start105" localSheetId="15">#REF!</definedName>
    <definedName name="Start105" localSheetId="19">#REF!</definedName>
    <definedName name="Start105" localSheetId="20">#REF!</definedName>
    <definedName name="Start105" localSheetId="24">#REF!</definedName>
    <definedName name="Start105" localSheetId="104">#REF!</definedName>
    <definedName name="Start105" localSheetId="65">#REF!</definedName>
    <definedName name="Start105" localSheetId="64">#REF!</definedName>
    <definedName name="Start105" localSheetId="77">#REF!</definedName>
    <definedName name="Start105" localSheetId="49">#REF!</definedName>
    <definedName name="Start105" localSheetId="40">#REF!</definedName>
    <definedName name="Start105" localSheetId="43">#REF!</definedName>
    <definedName name="Start105" localSheetId="13">#REF!</definedName>
    <definedName name="Start105" localSheetId="38">#REF!</definedName>
    <definedName name="Start105">#REF!</definedName>
    <definedName name="Start106" localSheetId="3">#REF!</definedName>
    <definedName name="Start106" localSheetId="7">#REF!</definedName>
    <definedName name="Start106" localSheetId="9">#REF!</definedName>
    <definedName name="Start106" localSheetId="10">#REF!</definedName>
    <definedName name="Start106" localSheetId="15">#REF!</definedName>
    <definedName name="Start106" localSheetId="19">#REF!</definedName>
    <definedName name="Start106" localSheetId="20">#REF!</definedName>
    <definedName name="Start106" localSheetId="24">#REF!</definedName>
    <definedName name="Start106" localSheetId="104">#REF!</definedName>
    <definedName name="Start106" localSheetId="65">#REF!</definedName>
    <definedName name="Start106" localSheetId="64">#REF!</definedName>
    <definedName name="Start106" localSheetId="77">#REF!</definedName>
    <definedName name="Start106" localSheetId="49">#REF!</definedName>
    <definedName name="Start106" localSheetId="40">#REF!</definedName>
    <definedName name="Start106" localSheetId="43">#REF!</definedName>
    <definedName name="Start106" localSheetId="13">#REF!</definedName>
    <definedName name="Start106" localSheetId="38">#REF!</definedName>
    <definedName name="Start106">#REF!</definedName>
    <definedName name="Start107" localSheetId="3">#REF!</definedName>
    <definedName name="Start107" localSheetId="7">#REF!</definedName>
    <definedName name="Start107" localSheetId="9">#REF!</definedName>
    <definedName name="Start107" localSheetId="10">#REF!</definedName>
    <definedName name="Start107" localSheetId="15">#REF!</definedName>
    <definedName name="Start107" localSheetId="19">#REF!</definedName>
    <definedName name="Start107" localSheetId="20">#REF!</definedName>
    <definedName name="Start107" localSheetId="24">#REF!</definedName>
    <definedName name="Start107" localSheetId="104">#REF!</definedName>
    <definedName name="Start107" localSheetId="65">#REF!</definedName>
    <definedName name="Start107" localSheetId="64">#REF!</definedName>
    <definedName name="Start107" localSheetId="77">#REF!</definedName>
    <definedName name="Start107" localSheetId="49">#REF!</definedName>
    <definedName name="Start107" localSheetId="40">#REF!</definedName>
    <definedName name="Start107" localSheetId="43">#REF!</definedName>
    <definedName name="Start107" localSheetId="13">#REF!</definedName>
    <definedName name="Start107" localSheetId="38">#REF!</definedName>
    <definedName name="Start107">#REF!</definedName>
    <definedName name="Start108" localSheetId="3">#REF!</definedName>
    <definedName name="Start108" localSheetId="7">#REF!</definedName>
    <definedName name="Start108" localSheetId="9">#REF!</definedName>
    <definedName name="Start108" localSheetId="10">#REF!</definedName>
    <definedName name="Start108" localSheetId="15">#REF!</definedName>
    <definedName name="Start108" localSheetId="19">#REF!</definedName>
    <definedName name="Start108" localSheetId="20">#REF!</definedName>
    <definedName name="Start108" localSheetId="24">#REF!</definedName>
    <definedName name="Start108" localSheetId="104">#REF!</definedName>
    <definedName name="Start108" localSheetId="65">#REF!</definedName>
    <definedName name="Start108" localSheetId="64">#REF!</definedName>
    <definedName name="Start108" localSheetId="77">#REF!</definedName>
    <definedName name="Start108" localSheetId="49">#REF!</definedName>
    <definedName name="Start108" localSheetId="40">#REF!</definedName>
    <definedName name="Start108" localSheetId="43">#REF!</definedName>
    <definedName name="Start108" localSheetId="13">#REF!</definedName>
    <definedName name="Start108" localSheetId="38">#REF!</definedName>
    <definedName name="Start108">#REF!</definedName>
    <definedName name="Start109" localSheetId="3">#REF!</definedName>
    <definedName name="Start109" localSheetId="7">#REF!</definedName>
    <definedName name="Start109" localSheetId="9">#REF!</definedName>
    <definedName name="Start109" localSheetId="10">#REF!</definedName>
    <definedName name="Start109" localSheetId="15">#REF!</definedName>
    <definedName name="Start109" localSheetId="19">#REF!</definedName>
    <definedName name="Start109" localSheetId="20">#REF!</definedName>
    <definedName name="Start109" localSheetId="24">#REF!</definedName>
    <definedName name="Start109" localSheetId="104">#REF!</definedName>
    <definedName name="Start109" localSheetId="65">#REF!</definedName>
    <definedName name="Start109" localSheetId="64">#REF!</definedName>
    <definedName name="Start109" localSheetId="77">#REF!</definedName>
    <definedName name="Start109" localSheetId="49">#REF!</definedName>
    <definedName name="Start109" localSheetId="40">#REF!</definedName>
    <definedName name="Start109" localSheetId="43">#REF!</definedName>
    <definedName name="Start109" localSheetId="13">#REF!</definedName>
    <definedName name="Start109" localSheetId="38">#REF!</definedName>
    <definedName name="Start109">#REF!</definedName>
    <definedName name="Start11" localSheetId="3">#REF!</definedName>
    <definedName name="Start11" localSheetId="7">#REF!</definedName>
    <definedName name="Start11" localSheetId="9">#REF!</definedName>
    <definedName name="Start11" localSheetId="10">#REF!</definedName>
    <definedName name="Start11" localSheetId="15">#REF!</definedName>
    <definedName name="Start11" localSheetId="19">#REF!</definedName>
    <definedName name="Start11" localSheetId="20">#REF!</definedName>
    <definedName name="Start11" localSheetId="24">#REF!</definedName>
    <definedName name="Start11" localSheetId="104">#REF!</definedName>
    <definedName name="Start11" localSheetId="65">#REF!</definedName>
    <definedName name="Start11" localSheetId="64">#REF!</definedName>
    <definedName name="Start11" localSheetId="77">#REF!</definedName>
    <definedName name="Start11" localSheetId="49">#REF!</definedName>
    <definedName name="Start11" localSheetId="40">#REF!</definedName>
    <definedName name="Start11" localSheetId="43">#REF!</definedName>
    <definedName name="Start11" localSheetId="13">#REF!</definedName>
    <definedName name="Start11" localSheetId="38">#REF!</definedName>
    <definedName name="Start11">#REF!</definedName>
    <definedName name="Start110" localSheetId="3">#REF!</definedName>
    <definedName name="Start110" localSheetId="7">#REF!</definedName>
    <definedName name="Start110" localSheetId="9">#REF!</definedName>
    <definedName name="Start110" localSheetId="10">#REF!</definedName>
    <definedName name="Start110" localSheetId="15">#REF!</definedName>
    <definedName name="Start110" localSheetId="19">#REF!</definedName>
    <definedName name="Start110" localSheetId="20">#REF!</definedName>
    <definedName name="Start110" localSheetId="24">#REF!</definedName>
    <definedName name="Start110" localSheetId="104">#REF!</definedName>
    <definedName name="Start110" localSheetId="65">#REF!</definedName>
    <definedName name="Start110" localSheetId="64">#REF!</definedName>
    <definedName name="Start110" localSheetId="77">#REF!</definedName>
    <definedName name="Start110" localSheetId="49">#REF!</definedName>
    <definedName name="Start110" localSheetId="40">#REF!</definedName>
    <definedName name="Start110" localSheetId="43">#REF!</definedName>
    <definedName name="Start110" localSheetId="13">#REF!</definedName>
    <definedName name="Start110" localSheetId="38">#REF!</definedName>
    <definedName name="Start110">#REF!</definedName>
    <definedName name="Start111" localSheetId="3">#REF!</definedName>
    <definedName name="Start111" localSheetId="7">#REF!</definedName>
    <definedName name="Start111" localSheetId="9">#REF!</definedName>
    <definedName name="Start111" localSheetId="10">#REF!</definedName>
    <definedName name="Start111" localSheetId="15">#REF!</definedName>
    <definedName name="Start111" localSheetId="19">#REF!</definedName>
    <definedName name="Start111" localSheetId="20">#REF!</definedName>
    <definedName name="Start111" localSheetId="24">#REF!</definedName>
    <definedName name="Start111" localSheetId="104">#REF!</definedName>
    <definedName name="Start111" localSheetId="65">#REF!</definedName>
    <definedName name="Start111" localSheetId="64">#REF!</definedName>
    <definedName name="Start111" localSheetId="77">#REF!</definedName>
    <definedName name="Start111" localSheetId="49">#REF!</definedName>
    <definedName name="Start111" localSheetId="40">#REF!</definedName>
    <definedName name="Start111" localSheetId="43">#REF!</definedName>
    <definedName name="Start111" localSheetId="13">#REF!</definedName>
    <definedName name="Start111" localSheetId="38">#REF!</definedName>
    <definedName name="Start111">#REF!</definedName>
    <definedName name="Start112" localSheetId="3">#REF!</definedName>
    <definedName name="Start112" localSheetId="7">#REF!</definedName>
    <definedName name="Start112" localSheetId="9">#REF!</definedName>
    <definedName name="Start112" localSheetId="10">#REF!</definedName>
    <definedName name="Start112" localSheetId="15">#REF!</definedName>
    <definedName name="Start112" localSheetId="19">#REF!</definedName>
    <definedName name="Start112" localSheetId="20">#REF!</definedName>
    <definedName name="Start112" localSheetId="24">#REF!</definedName>
    <definedName name="Start112" localSheetId="104">#REF!</definedName>
    <definedName name="Start112" localSheetId="65">#REF!</definedName>
    <definedName name="Start112" localSheetId="64">#REF!</definedName>
    <definedName name="Start112" localSheetId="77">#REF!</definedName>
    <definedName name="Start112" localSheetId="49">#REF!</definedName>
    <definedName name="Start112" localSheetId="40">#REF!</definedName>
    <definedName name="Start112" localSheetId="43">#REF!</definedName>
    <definedName name="Start112" localSheetId="13">#REF!</definedName>
    <definedName name="Start112" localSheetId="38">#REF!</definedName>
    <definedName name="Start112">#REF!</definedName>
    <definedName name="Start113" localSheetId="3">#REF!</definedName>
    <definedName name="Start113" localSheetId="7">#REF!</definedName>
    <definedName name="Start113" localSheetId="9">#REF!</definedName>
    <definedName name="Start113" localSheetId="10">#REF!</definedName>
    <definedName name="Start113" localSheetId="15">#REF!</definedName>
    <definedName name="Start113" localSheetId="19">#REF!</definedName>
    <definedName name="Start113" localSheetId="20">#REF!</definedName>
    <definedName name="Start113" localSheetId="24">#REF!</definedName>
    <definedName name="Start113" localSheetId="104">#REF!</definedName>
    <definedName name="Start113" localSheetId="65">#REF!</definedName>
    <definedName name="Start113" localSheetId="64">#REF!</definedName>
    <definedName name="Start113" localSheetId="77">#REF!</definedName>
    <definedName name="Start113" localSheetId="49">#REF!</definedName>
    <definedName name="Start113" localSheetId="40">#REF!</definedName>
    <definedName name="Start113" localSheetId="43">#REF!</definedName>
    <definedName name="Start113" localSheetId="13">#REF!</definedName>
    <definedName name="Start113" localSheetId="38">#REF!</definedName>
    <definedName name="Start113">#REF!</definedName>
    <definedName name="Start114" localSheetId="3">#REF!</definedName>
    <definedName name="Start114" localSheetId="7">#REF!</definedName>
    <definedName name="Start114" localSheetId="9">#REF!</definedName>
    <definedName name="Start114" localSheetId="10">#REF!</definedName>
    <definedName name="Start114" localSheetId="15">#REF!</definedName>
    <definedName name="Start114" localSheetId="19">#REF!</definedName>
    <definedName name="Start114" localSheetId="20">#REF!</definedName>
    <definedName name="Start114" localSheetId="24">#REF!</definedName>
    <definedName name="Start114" localSheetId="104">#REF!</definedName>
    <definedName name="Start114" localSheetId="65">#REF!</definedName>
    <definedName name="Start114" localSheetId="64">#REF!</definedName>
    <definedName name="Start114" localSheetId="77">#REF!</definedName>
    <definedName name="Start114" localSheetId="49">#REF!</definedName>
    <definedName name="Start114" localSheetId="40">#REF!</definedName>
    <definedName name="Start114" localSheetId="43">#REF!</definedName>
    <definedName name="Start114" localSheetId="13">#REF!</definedName>
    <definedName name="Start114" localSheetId="38">#REF!</definedName>
    <definedName name="Start114">#REF!</definedName>
    <definedName name="Start115" localSheetId="3">#REF!</definedName>
    <definedName name="Start115" localSheetId="7">#REF!</definedName>
    <definedName name="Start115" localSheetId="9">#REF!</definedName>
    <definedName name="Start115" localSheetId="10">#REF!</definedName>
    <definedName name="Start115" localSheetId="15">#REF!</definedName>
    <definedName name="Start115" localSheetId="19">#REF!</definedName>
    <definedName name="Start115" localSheetId="20">#REF!</definedName>
    <definedName name="Start115" localSheetId="24">#REF!</definedName>
    <definedName name="Start115" localSheetId="104">#REF!</definedName>
    <definedName name="Start115" localSheetId="65">#REF!</definedName>
    <definedName name="Start115" localSheetId="64">#REF!</definedName>
    <definedName name="Start115" localSheetId="77">#REF!</definedName>
    <definedName name="Start115" localSheetId="49">#REF!</definedName>
    <definedName name="Start115" localSheetId="40">#REF!</definedName>
    <definedName name="Start115" localSheetId="43">#REF!</definedName>
    <definedName name="Start115" localSheetId="13">#REF!</definedName>
    <definedName name="Start115" localSheetId="38">#REF!</definedName>
    <definedName name="Start115">#REF!</definedName>
    <definedName name="Start116" localSheetId="3">#REF!</definedName>
    <definedName name="Start116" localSheetId="7">#REF!</definedName>
    <definedName name="Start116" localSheetId="9">#REF!</definedName>
    <definedName name="Start116" localSheetId="10">#REF!</definedName>
    <definedName name="Start116" localSheetId="15">#REF!</definedName>
    <definedName name="Start116" localSheetId="19">#REF!</definedName>
    <definedName name="Start116" localSheetId="20">#REF!</definedName>
    <definedName name="Start116" localSheetId="24">#REF!</definedName>
    <definedName name="Start116" localSheetId="104">#REF!</definedName>
    <definedName name="Start116" localSheetId="65">#REF!</definedName>
    <definedName name="Start116" localSheetId="64">#REF!</definedName>
    <definedName name="Start116" localSheetId="77">#REF!</definedName>
    <definedName name="Start116" localSheetId="49">#REF!</definedName>
    <definedName name="Start116" localSheetId="40">#REF!</definedName>
    <definedName name="Start116" localSheetId="43">#REF!</definedName>
    <definedName name="Start116" localSheetId="13">#REF!</definedName>
    <definedName name="Start116" localSheetId="38">#REF!</definedName>
    <definedName name="Start116">#REF!</definedName>
    <definedName name="Start117" localSheetId="3">#REF!</definedName>
    <definedName name="Start117" localSheetId="7">#REF!</definedName>
    <definedName name="Start117" localSheetId="9">#REF!</definedName>
    <definedName name="Start117" localSheetId="10">#REF!</definedName>
    <definedName name="Start117" localSheetId="15">#REF!</definedName>
    <definedName name="Start117" localSheetId="19">#REF!</definedName>
    <definedName name="Start117" localSheetId="20">#REF!</definedName>
    <definedName name="Start117" localSheetId="24">#REF!</definedName>
    <definedName name="Start117" localSheetId="104">#REF!</definedName>
    <definedName name="Start117" localSheetId="65">#REF!</definedName>
    <definedName name="Start117" localSheetId="64">#REF!</definedName>
    <definedName name="Start117" localSheetId="77">#REF!</definedName>
    <definedName name="Start117" localSheetId="49">#REF!</definedName>
    <definedName name="Start117" localSheetId="40">#REF!</definedName>
    <definedName name="Start117" localSheetId="43">#REF!</definedName>
    <definedName name="Start117" localSheetId="13">#REF!</definedName>
    <definedName name="Start117" localSheetId="38">#REF!</definedName>
    <definedName name="Start117">#REF!</definedName>
    <definedName name="Start118" localSheetId="3">#REF!</definedName>
    <definedName name="Start118" localSheetId="7">#REF!</definedName>
    <definedName name="Start118" localSheetId="9">#REF!</definedName>
    <definedName name="Start118" localSheetId="10">#REF!</definedName>
    <definedName name="Start118" localSheetId="15">#REF!</definedName>
    <definedName name="Start118" localSheetId="19">#REF!</definedName>
    <definedName name="Start118" localSheetId="20">#REF!</definedName>
    <definedName name="Start118" localSheetId="24">#REF!</definedName>
    <definedName name="Start118" localSheetId="104">#REF!</definedName>
    <definedName name="Start118" localSheetId="65">#REF!</definedName>
    <definedName name="Start118" localSheetId="64">#REF!</definedName>
    <definedName name="Start118" localSheetId="77">#REF!</definedName>
    <definedName name="Start118" localSheetId="49">#REF!</definedName>
    <definedName name="Start118" localSheetId="40">#REF!</definedName>
    <definedName name="Start118" localSheetId="43">#REF!</definedName>
    <definedName name="Start118" localSheetId="13">#REF!</definedName>
    <definedName name="Start118" localSheetId="38">#REF!</definedName>
    <definedName name="Start118">#REF!</definedName>
    <definedName name="Start119" localSheetId="3">#REF!</definedName>
    <definedName name="Start119" localSheetId="7">#REF!</definedName>
    <definedName name="Start119" localSheetId="9">#REF!</definedName>
    <definedName name="Start119" localSheetId="10">#REF!</definedName>
    <definedName name="Start119" localSheetId="15">#REF!</definedName>
    <definedName name="Start119" localSheetId="19">#REF!</definedName>
    <definedName name="Start119" localSheetId="20">#REF!</definedName>
    <definedName name="Start119" localSheetId="24">#REF!</definedName>
    <definedName name="Start119" localSheetId="104">#REF!</definedName>
    <definedName name="Start119" localSheetId="65">#REF!</definedName>
    <definedName name="Start119" localSheetId="64">#REF!</definedName>
    <definedName name="Start119" localSheetId="77">#REF!</definedName>
    <definedName name="Start119" localSheetId="49">#REF!</definedName>
    <definedName name="Start119" localSheetId="40">#REF!</definedName>
    <definedName name="Start119" localSheetId="43">#REF!</definedName>
    <definedName name="Start119" localSheetId="13">#REF!</definedName>
    <definedName name="Start119" localSheetId="38">#REF!</definedName>
    <definedName name="Start119">#REF!</definedName>
    <definedName name="Start12" localSheetId="3">#REF!</definedName>
    <definedName name="Start12" localSheetId="7">#REF!</definedName>
    <definedName name="Start12" localSheetId="9">#REF!</definedName>
    <definedName name="Start12" localSheetId="10">#REF!</definedName>
    <definedName name="Start12" localSheetId="15">#REF!</definedName>
    <definedName name="Start12" localSheetId="19">#REF!</definedName>
    <definedName name="Start12" localSheetId="20">#REF!</definedName>
    <definedName name="Start12" localSheetId="24">#REF!</definedName>
    <definedName name="Start12" localSheetId="104">#REF!</definedName>
    <definedName name="Start12" localSheetId="65">#REF!</definedName>
    <definedName name="Start12" localSheetId="64">#REF!</definedName>
    <definedName name="Start12" localSheetId="77">#REF!</definedName>
    <definedName name="Start12" localSheetId="49">#REF!</definedName>
    <definedName name="Start12" localSheetId="40">#REF!</definedName>
    <definedName name="Start12" localSheetId="43">#REF!</definedName>
    <definedName name="Start12" localSheetId="13">#REF!</definedName>
    <definedName name="Start12" localSheetId="38">#REF!</definedName>
    <definedName name="Start12">#REF!</definedName>
    <definedName name="Start120" localSheetId="3">#REF!</definedName>
    <definedName name="Start120" localSheetId="7">#REF!</definedName>
    <definedName name="Start120" localSheetId="9">#REF!</definedName>
    <definedName name="Start120" localSheetId="10">#REF!</definedName>
    <definedName name="Start120" localSheetId="15">#REF!</definedName>
    <definedName name="Start120" localSheetId="19">#REF!</definedName>
    <definedName name="Start120" localSheetId="20">#REF!</definedName>
    <definedName name="Start120" localSheetId="24">#REF!</definedName>
    <definedName name="Start120" localSheetId="104">#REF!</definedName>
    <definedName name="Start120" localSheetId="65">#REF!</definedName>
    <definedName name="Start120" localSheetId="64">#REF!</definedName>
    <definedName name="Start120" localSheetId="77">#REF!</definedName>
    <definedName name="Start120" localSheetId="49">#REF!</definedName>
    <definedName name="Start120" localSheetId="40">#REF!</definedName>
    <definedName name="Start120" localSheetId="43">#REF!</definedName>
    <definedName name="Start120" localSheetId="13">#REF!</definedName>
    <definedName name="Start120" localSheetId="38">#REF!</definedName>
    <definedName name="Start120">#REF!</definedName>
    <definedName name="Start121" localSheetId="3">#REF!</definedName>
    <definedName name="Start121" localSheetId="7">#REF!</definedName>
    <definedName name="Start121" localSheetId="9">#REF!</definedName>
    <definedName name="Start121" localSheetId="10">#REF!</definedName>
    <definedName name="Start121" localSheetId="15">#REF!</definedName>
    <definedName name="Start121" localSheetId="19">#REF!</definedName>
    <definedName name="Start121" localSheetId="20">#REF!</definedName>
    <definedName name="Start121" localSheetId="24">#REF!</definedName>
    <definedName name="Start121" localSheetId="104">#REF!</definedName>
    <definedName name="Start121" localSheetId="65">#REF!</definedName>
    <definedName name="Start121" localSheetId="64">#REF!</definedName>
    <definedName name="Start121" localSheetId="77">#REF!</definedName>
    <definedName name="Start121" localSheetId="49">#REF!</definedName>
    <definedName name="Start121" localSheetId="40">#REF!</definedName>
    <definedName name="Start121" localSheetId="43">#REF!</definedName>
    <definedName name="Start121" localSheetId="13">#REF!</definedName>
    <definedName name="Start121" localSheetId="38">#REF!</definedName>
    <definedName name="Start121">#REF!</definedName>
    <definedName name="Start122" localSheetId="3">#REF!</definedName>
    <definedName name="Start122" localSheetId="7">#REF!</definedName>
    <definedName name="Start122" localSheetId="9">#REF!</definedName>
    <definedName name="Start122" localSheetId="10">#REF!</definedName>
    <definedName name="Start122" localSheetId="15">#REF!</definedName>
    <definedName name="Start122" localSheetId="19">#REF!</definedName>
    <definedName name="Start122" localSheetId="20">#REF!</definedName>
    <definedName name="Start122" localSheetId="24">#REF!</definedName>
    <definedName name="Start122" localSheetId="104">#REF!</definedName>
    <definedName name="Start122" localSheetId="65">#REF!</definedName>
    <definedName name="Start122" localSheetId="64">#REF!</definedName>
    <definedName name="Start122" localSheetId="77">#REF!</definedName>
    <definedName name="Start122" localSheetId="49">#REF!</definedName>
    <definedName name="Start122" localSheetId="40">#REF!</definedName>
    <definedName name="Start122" localSheetId="43">#REF!</definedName>
    <definedName name="Start122" localSheetId="13">#REF!</definedName>
    <definedName name="Start122" localSheetId="38">#REF!</definedName>
    <definedName name="Start122">#REF!</definedName>
    <definedName name="Start123" localSheetId="3">#REF!</definedName>
    <definedName name="Start123" localSheetId="7">#REF!</definedName>
    <definedName name="Start123" localSheetId="9">#REF!</definedName>
    <definedName name="Start123" localSheetId="10">#REF!</definedName>
    <definedName name="Start123" localSheetId="15">#REF!</definedName>
    <definedName name="Start123" localSheetId="19">#REF!</definedName>
    <definedName name="Start123" localSheetId="20">#REF!</definedName>
    <definedName name="Start123" localSheetId="24">#REF!</definedName>
    <definedName name="Start123" localSheetId="104">#REF!</definedName>
    <definedName name="Start123" localSheetId="65">#REF!</definedName>
    <definedName name="Start123" localSheetId="64">#REF!</definedName>
    <definedName name="Start123" localSheetId="77">#REF!</definedName>
    <definedName name="Start123" localSheetId="49">#REF!</definedName>
    <definedName name="Start123" localSheetId="40">#REF!</definedName>
    <definedName name="Start123" localSheetId="43">#REF!</definedName>
    <definedName name="Start123" localSheetId="13">#REF!</definedName>
    <definedName name="Start123" localSheetId="38">#REF!</definedName>
    <definedName name="Start123">#REF!</definedName>
    <definedName name="Start124" localSheetId="3">#REF!</definedName>
    <definedName name="Start124" localSheetId="7">#REF!</definedName>
    <definedName name="Start124" localSheetId="9">#REF!</definedName>
    <definedName name="Start124" localSheetId="10">#REF!</definedName>
    <definedName name="Start124" localSheetId="15">#REF!</definedName>
    <definedName name="Start124" localSheetId="19">#REF!</definedName>
    <definedName name="Start124" localSheetId="20">#REF!</definedName>
    <definedName name="Start124" localSheetId="24">#REF!</definedName>
    <definedName name="Start124" localSheetId="104">#REF!</definedName>
    <definedName name="Start124" localSheetId="65">#REF!</definedName>
    <definedName name="Start124" localSheetId="64">#REF!</definedName>
    <definedName name="Start124" localSheetId="77">#REF!</definedName>
    <definedName name="Start124" localSheetId="49">#REF!</definedName>
    <definedName name="Start124" localSheetId="40">#REF!</definedName>
    <definedName name="Start124" localSheetId="43">#REF!</definedName>
    <definedName name="Start124" localSheetId="13">#REF!</definedName>
    <definedName name="Start124" localSheetId="38">#REF!</definedName>
    <definedName name="Start124">#REF!</definedName>
    <definedName name="Start125" localSheetId="3">#REF!</definedName>
    <definedName name="Start125" localSheetId="7">#REF!</definedName>
    <definedName name="Start125" localSheetId="9">#REF!</definedName>
    <definedName name="Start125" localSheetId="10">#REF!</definedName>
    <definedName name="Start125" localSheetId="15">#REF!</definedName>
    <definedName name="Start125" localSheetId="19">#REF!</definedName>
    <definedName name="Start125" localSheetId="20">#REF!</definedName>
    <definedName name="Start125" localSheetId="24">#REF!</definedName>
    <definedName name="Start125" localSheetId="104">#REF!</definedName>
    <definedName name="Start125" localSheetId="65">#REF!</definedName>
    <definedName name="Start125" localSheetId="64">#REF!</definedName>
    <definedName name="Start125" localSheetId="77">#REF!</definedName>
    <definedName name="Start125" localSheetId="49">#REF!</definedName>
    <definedName name="Start125" localSheetId="40">#REF!</definedName>
    <definedName name="Start125" localSheetId="43">#REF!</definedName>
    <definedName name="Start125" localSheetId="13">#REF!</definedName>
    <definedName name="Start125" localSheetId="38">#REF!</definedName>
    <definedName name="Start125">#REF!</definedName>
    <definedName name="Start126" localSheetId="3">#REF!</definedName>
    <definedName name="Start126" localSheetId="7">#REF!</definedName>
    <definedName name="Start126" localSheetId="9">#REF!</definedName>
    <definedName name="Start126" localSheetId="10">#REF!</definedName>
    <definedName name="Start126" localSheetId="15">#REF!</definedName>
    <definedName name="Start126" localSheetId="19">#REF!</definedName>
    <definedName name="Start126" localSheetId="20">#REF!</definedName>
    <definedName name="Start126" localSheetId="24">#REF!</definedName>
    <definedName name="Start126" localSheetId="104">#REF!</definedName>
    <definedName name="Start126" localSheetId="65">#REF!</definedName>
    <definedName name="Start126" localSheetId="64">#REF!</definedName>
    <definedName name="Start126" localSheetId="77">#REF!</definedName>
    <definedName name="Start126" localSheetId="49">#REF!</definedName>
    <definedName name="Start126" localSheetId="40">#REF!</definedName>
    <definedName name="Start126" localSheetId="43">#REF!</definedName>
    <definedName name="Start126" localSheetId="13">#REF!</definedName>
    <definedName name="Start126" localSheetId="38">#REF!</definedName>
    <definedName name="Start126">#REF!</definedName>
    <definedName name="Start127" localSheetId="3">#REF!</definedName>
    <definedName name="Start127" localSheetId="7">#REF!</definedName>
    <definedName name="Start127" localSheetId="9">#REF!</definedName>
    <definedName name="Start127" localSheetId="10">#REF!</definedName>
    <definedName name="Start127" localSheetId="15">#REF!</definedName>
    <definedName name="Start127" localSheetId="19">#REF!</definedName>
    <definedName name="Start127" localSheetId="20">#REF!</definedName>
    <definedName name="Start127" localSheetId="24">#REF!</definedName>
    <definedName name="Start127" localSheetId="104">#REF!</definedName>
    <definedName name="Start127" localSheetId="65">#REF!</definedName>
    <definedName name="Start127" localSheetId="64">#REF!</definedName>
    <definedName name="Start127" localSheetId="77">#REF!</definedName>
    <definedName name="Start127" localSheetId="49">#REF!</definedName>
    <definedName name="Start127" localSheetId="40">#REF!</definedName>
    <definedName name="Start127" localSheetId="43">#REF!</definedName>
    <definedName name="Start127" localSheetId="13">#REF!</definedName>
    <definedName name="Start127" localSheetId="38">#REF!</definedName>
    <definedName name="Start127">#REF!</definedName>
    <definedName name="Start128" localSheetId="3">#REF!</definedName>
    <definedName name="Start128" localSheetId="7">#REF!</definedName>
    <definedName name="Start128" localSheetId="9">#REF!</definedName>
    <definedName name="Start128" localSheetId="10">#REF!</definedName>
    <definedName name="Start128" localSheetId="15">#REF!</definedName>
    <definedName name="Start128" localSheetId="19">#REF!</definedName>
    <definedName name="Start128" localSheetId="20">#REF!</definedName>
    <definedName name="Start128" localSheetId="24">#REF!</definedName>
    <definedName name="Start128" localSheetId="104">#REF!</definedName>
    <definedName name="Start128" localSheetId="65">#REF!</definedName>
    <definedName name="Start128" localSheetId="64">#REF!</definedName>
    <definedName name="Start128" localSheetId="77">#REF!</definedName>
    <definedName name="Start128" localSheetId="49">#REF!</definedName>
    <definedName name="Start128" localSheetId="40">#REF!</definedName>
    <definedName name="Start128" localSheetId="43">#REF!</definedName>
    <definedName name="Start128" localSheetId="13">#REF!</definedName>
    <definedName name="Start128" localSheetId="38">#REF!</definedName>
    <definedName name="Start128">#REF!</definedName>
    <definedName name="Start129" localSheetId="3">#REF!</definedName>
    <definedName name="Start129" localSheetId="7">#REF!</definedName>
    <definedName name="Start129" localSheetId="9">#REF!</definedName>
    <definedName name="Start129" localSheetId="10">#REF!</definedName>
    <definedName name="Start129" localSheetId="15">#REF!</definedName>
    <definedName name="Start129" localSheetId="19">#REF!</definedName>
    <definedName name="Start129" localSheetId="20">#REF!</definedName>
    <definedName name="Start129" localSheetId="24">#REF!</definedName>
    <definedName name="Start129" localSheetId="104">#REF!</definedName>
    <definedName name="Start129" localSheetId="65">#REF!</definedName>
    <definedName name="Start129" localSheetId="64">#REF!</definedName>
    <definedName name="Start129" localSheetId="77">#REF!</definedName>
    <definedName name="Start129" localSheetId="49">#REF!</definedName>
    <definedName name="Start129" localSheetId="40">#REF!</definedName>
    <definedName name="Start129" localSheetId="43">#REF!</definedName>
    <definedName name="Start129" localSheetId="13">#REF!</definedName>
    <definedName name="Start129" localSheetId="38">#REF!</definedName>
    <definedName name="Start129">#REF!</definedName>
    <definedName name="Start13" localSheetId="3">#REF!</definedName>
    <definedName name="Start13" localSheetId="7">#REF!</definedName>
    <definedName name="Start13" localSheetId="9">#REF!</definedName>
    <definedName name="Start13" localSheetId="10">#REF!</definedName>
    <definedName name="Start13" localSheetId="15">#REF!</definedName>
    <definedName name="Start13" localSheetId="19">#REF!</definedName>
    <definedName name="Start13" localSheetId="20">#REF!</definedName>
    <definedName name="Start13" localSheetId="24">#REF!</definedName>
    <definedName name="Start13" localSheetId="104">#REF!</definedName>
    <definedName name="Start13" localSheetId="65">#REF!</definedName>
    <definedName name="Start13" localSheetId="64">#REF!</definedName>
    <definedName name="Start13" localSheetId="77">#REF!</definedName>
    <definedName name="Start13" localSheetId="49">#REF!</definedName>
    <definedName name="Start13" localSheetId="40">#REF!</definedName>
    <definedName name="Start13" localSheetId="43">#REF!</definedName>
    <definedName name="Start13" localSheetId="13">#REF!</definedName>
    <definedName name="Start13" localSheetId="38">#REF!</definedName>
    <definedName name="Start13">#REF!</definedName>
    <definedName name="Start130" localSheetId="3">#REF!</definedName>
    <definedName name="Start130" localSheetId="7">#REF!</definedName>
    <definedName name="Start130" localSheetId="9">#REF!</definedName>
    <definedName name="Start130" localSheetId="10">#REF!</definedName>
    <definedName name="Start130" localSheetId="15">#REF!</definedName>
    <definedName name="Start130" localSheetId="19">#REF!</definedName>
    <definedName name="Start130" localSheetId="20">#REF!</definedName>
    <definedName name="Start130" localSheetId="24">#REF!</definedName>
    <definedName name="Start130" localSheetId="104">#REF!</definedName>
    <definedName name="Start130" localSheetId="65">#REF!</definedName>
    <definedName name="Start130" localSheetId="64">#REF!</definedName>
    <definedName name="Start130" localSheetId="77">#REF!</definedName>
    <definedName name="Start130" localSheetId="49">#REF!</definedName>
    <definedName name="Start130" localSheetId="40">#REF!</definedName>
    <definedName name="Start130" localSheetId="43">#REF!</definedName>
    <definedName name="Start130" localSheetId="13">#REF!</definedName>
    <definedName name="Start130" localSheetId="38">#REF!</definedName>
    <definedName name="Start130">#REF!</definedName>
    <definedName name="Start131" localSheetId="3">#REF!</definedName>
    <definedName name="Start131" localSheetId="7">#REF!</definedName>
    <definedName name="Start131" localSheetId="9">#REF!</definedName>
    <definedName name="Start131" localSheetId="10">#REF!</definedName>
    <definedName name="Start131" localSheetId="15">#REF!</definedName>
    <definedName name="Start131" localSheetId="19">#REF!</definedName>
    <definedName name="Start131" localSheetId="20">#REF!</definedName>
    <definedName name="Start131" localSheetId="24">#REF!</definedName>
    <definedName name="Start131" localSheetId="104">#REF!</definedName>
    <definedName name="Start131" localSheetId="65">#REF!</definedName>
    <definedName name="Start131" localSheetId="64">#REF!</definedName>
    <definedName name="Start131" localSheetId="77">#REF!</definedName>
    <definedName name="Start131" localSheetId="49">#REF!</definedName>
    <definedName name="Start131" localSheetId="40">#REF!</definedName>
    <definedName name="Start131" localSheetId="43">#REF!</definedName>
    <definedName name="Start131" localSheetId="13">#REF!</definedName>
    <definedName name="Start131" localSheetId="38">#REF!</definedName>
    <definedName name="Start131">#REF!</definedName>
    <definedName name="Start135" localSheetId="3">#REF!</definedName>
    <definedName name="Start135" localSheetId="7">#REF!</definedName>
    <definedName name="Start135" localSheetId="9">#REF!</definedName>
    <definedName name="Start135" localSheetId="10">#REF!</definedName>
    <definedName name="Start135" localSheetId="15">#REF!</definedName>
    <definedName name="Start135" localSheetId="19">#REF!</definedName>
    <definedName name="Start135" localSheetId="20">#REF!</definedName>
    <definedName name="Start135" localSheetId="24">#REF!</definedName>
    <definedName name="Start135" localSheetId="104">#REF!</definedName>
    <definedName name="Start135" localSheetId="65">#REF!</definedName>
    <definedName name="Start135" localSheetId="64">#REF!</definedName>
    <definedName name="Start135" localSheetId="77">#REF!</definedName>
    <definedName name="Start135" localSheetId="49">#REF!</definedName>
    <definedName name="Start135" localSheetId="40">#REF!</definedName>
    <definedName name="Start135" localSheetId="43">#REF!</definedName>
    <definedName name="Start135" localSheetId="13">#REF!</definedName>
    <definedName name="Start135" localSheetId="38">#REF!</definedName>
    <definedName name="Start135">#REF!</definedName>
    <definedName name="Start136" localSheetId="3">#REF!</definedName>
    <definedName name="Start136" localSheetId="7">#REF!</definedName>
    <definedName name="Start136" localSheetId="9">#REF!</definedName>
    <definedName name="Start136" localSheetId="10">#REF!</definedName>
    <definedName name="Start136" localSheetId="15">#REF!</definedName>
    <definedName name="Start136" localSheetId="19">#REF!</definedName>
    <definedName name="Start136" localSheetId="20">#REF!</definedName>
    <definedName name="Start136" localSheetId="24">#REF!</definedName>
    <definedName name="Start136" localSheetId="104">#REF!</definedName>
    <definedName name="Start136" localSheetId="65">#REF!</definedName>
    <definedName name="Start136" localSheetId="64">#REF!</definedName>
    <definedName name="Start136" localSheetId="77">#REF!</definedName>
    <definedName name="Start136" localSheetId="49">#REF!</definedName>
    <definedName name="Start136" localSheetId="40">#REF!</definedName>
    <definedName name="Start136" localSheetId="43">#REF!</definedName>
    <definedName name="Start136" localSheetId="13">#REF!</definedName>
    <definedName name="Start136" localSheetId="38">#REF!</definedName>
    <definedName name="Start136">#REF!</definedName>
    <definedName name="Start137" localSheetId="3">#REF!</definedName>
    <definedName name="Start137" localSheetId="7">#REF!</definedName>
    <definedName name="Start137" localSheetId="9">#REF!</definedName>
    <definedName name="Start137" localSheetId="10">#REF!</definedName>
    <definedName name="Start137" localSheetId="15">#REF!</definedName>
    <definedName name="Start137" localSheetId="19">#REF!</definedName>
    <definedName name="Start137" localSheetId="20">#REF!</definedName>
    <definedName name="Start137" localSheetId="24">#REF!</definedName>
    <definedName name="Start137" localSheetId="104">#REF!</definedName>
    <definedName name="Start137" localSheetId="65">#REF!</definedName>
    <definedName name="Start137" localSheetId="64">#REF!</definedName>
    <definedName name="Start137" localSheetId="77">#REF!</definedName>
    <definedName name="Start137" localSheetId="49">#REF!</definedName>
    <definedName name="Start137" localSheetId="40">#REF!</definedName>
    <definedName name="Start137" localSheetId="43">#REF!</definedName>
    <definedName name="Start137" localSheetId="13">#REF!</definedName>
    <definedName name="Start137" localSheetId="38">#REF!</definedName>
    <definedName name="Start137">#REF!</definedName>
    <definedName name="Start138" localSheetId="3">#REF!</definedName>
    <definedName name="Start138" localSheetId="7">#REF!</definedName>
    <definedName name="Start138" localSheetId="9">#REF!</definedName>
    <definedName name="Start138" localSheetId="10">#REF!</definedName>
    <definedName name="Start138" localSheetId="15">#REF!</definedName>
    <definedName name="Start138" localSheetId="19">#REF!</definedName>
    <definedName name="Start138" localSheetId="20">#REF!</definedName>
    <definedName name="Start138" localSheetId="24">#REF!</definedName>
    <definedName name="Start138" localSheetId="104">#REF!</definedName>
    <definedName name="Start138" localSheetId="65">#REF!</definedName>
    <definedName name="Start138" localSheetId="64">#REF!</definedName>
    <definedName name="Start138" localSheetId="77">#REF!</definedName>
    <definedName name="Start138" localSheetId="49">#REF!</definedName>
    <definedName name="Start138" localSheetId="40">#REF!</definedName>
    <definedName name="Start138" localSheetId="43">#REF!</definedName>
    <definedName name="Start138" localSheetId="13">#REF!</definedName>
    <definedName name="Start138" localSheetId="38">#REF!</definedName>
    <definedName name="Start138">#REF!</definedName>
    <definedName name="Start139" localSheetId="3">#REF!</definedName>
    <definedName name="Start139" localSheetId="7">#REF!</definedName>
    <definedName name="Start139" localSheetId="9">#REF!</definedName>
    <definedName name="Start139" localSheetId="10">#REF!</definedName>
    <definedName name="Start139" localSheetId="15">#REF!</definedName>
    <definedName name="Start139" localSheetId="19">#REF!</definedName>
    <definedName name="Start139" localSheetId="20">#REF!</definedName>
    <definedName name="Start139" localSheetId="24">#REF!</definedName>
    <definedName name="Start139" localSheetId="104">#REF!</definedName>
    <definedName name="Start139" localSheetId="65">#REF!</definedName>
    <definedName name="Start139" localSheetId="64">#REF!</definedName>
    <definedName name="Start139" localSheetId="77">#REF!</definedName>
    <definedName name="Start139" localSheetId="49">#REF!</definedName>
    <definedName name="Start139" localSheetId="40">#REF!</definedName>
    <definedName name="Start139" localSheetId="43">#REF!</definedName>
    <definedName name="Start139" localSheetId="13">#REF!</definedName>
    <definedName name="Start139" localSheetId="38">#REF!</definedName>
    <definedName name="Start139">#REF!</definedName>
    <definedName name="Start14" localSheetId="3">#REF!</definedName>
    <definedName name="Start14" localSheetId="7">#REF!</definedName>
    <definedName name="Start14" localSheetId="9">#REF!</definedName>
    <definedName name="Start14" localSheetId="10">#REF!</definedName>
    <definedName name="Start14" localSheetId="15">#REF!</definedName>
    <definedName name="Start14" localSheetId="19">#REF!</definedName>
    <definedName name="Start14" localSheetId="20">#REF!</definedName>
    <definedName name="Start14" localSheetId="24">#REF!</definedName>
    <definedName name="Start14" localSheetId="104">#REF!</definedName>
    <definedName name="Start14" localSheetId="65">#REF!</definedName>
    <definedName name="Start14" localSheetId="64">#REF!</definedName>
    <definedName name="Start14" localSheetId="77">#REF!</definedName>
    <definedName name="Start14" localSheetId="49">#REF!</definedName>
    <definedName name="Start14" localSheetId="40">#REF!</definedName>
    <definedName name="Start14" localSheetId="43">#REF!</definedName>
    <definedName name="Start14" localSheetId="13">#REF!</definedName>
    <definedName name="Start14" localSheetId="38">#REF!</definedName>
    <definedName name="Start14">#REF!</definedName>
    <definedName name="Start15" localSheetId="3">#REF!</definedName>
    <definedName name="Start15" localSheetId="7">#REF!</definedName>
    <definedName name="Start15" localSheetId="9">#REF!</definedName>
    <definedName name="Start15" localSheetId="10">#REF!</definedName>
    <definedName name="Start15" localSheetId="15">#REF!</definedName>
    <definedName name="Start15" localSheetId="19">#REF!</definedName>
    <definedName name="Start15" localSheetId="20">#REF!</definedName>
    <definedName name="Start15" localSheetId="24">#REF!</definedName>
    <definedName name="Start15" localSheetId="104">#REF!</definedName>
    <definedName name="Start15" localSheetId="65">#REF!</definedName>
    <definedName name="Start15" localSheetId="64">#REF!</definedName>
    <definedName name="Start15" localSheetId="77">#REF!</definedName>
    <definedName name="Start15" localSheetId="49">#REF!</definedName>
    <definedName name="Start15" localSheetId="40">#REF!</definedName>
    <definedName name="Start15" localSheetId="43">#REF!</definedName>
    <definedName name="Start15" localSheetId="13">#REF!</definedName>
    <definedName name="Start15" localSheetId="38">#REF!</definedName>
    <definedName name="Start15">#REF!</definedName>
    <definedName name="Start16" localSheetId="3">#REF!</definedName>
    <definedName name="Start16" localSheetId="7">#REF!</definedName>
    <definedName name="Start16" localSheetId="9">#REF!</definedName>
    <definedName name="Start16" localSheetId="10">#REF!</definedName>
    <definedName name="Start16" localSheetId="15">#REF!</definedName>
    <definedName name="Start16" localSheetId="19">#REF!</definedName>
    <definedName name="Start16" localSheetId="20">#REF!</definedName>
    <definedName name="Start16" localSheetId="24">#REF!</definedName>
    <definedName name="Start16" localSheetId="104">#REF!</definedName>
    <definedName name="Start16" localSheetId="65">#REF!</definedName>
    <definedName name="Start16" localSheetId="64">#REF!</definedName>
    <definedName name="Start16" localSheetId="77">#REF!</definedName>
    <definedName name="Start16" localSheetId="49">#REF!</definedName>
    <definedName name="Start16" localSheetId="40">#REF!</definedName>
    <definedName name="Start16" localSheetId="43">#REF!</definedName>
    <definedName name="Start16" localSheetId="13">#REF!</definedName>
    <definedName name="Start16" localSheetId="38">#REF!</definedName>
    <definedName name="Start16">#REF!</definedName>
    <definedName name="Start17" localSheetId="3">#REF!</definedName>
    <definedName name="Start17" localSheetId="7">#REF!</definedName>
    <definedName name="Start17" localSheetId="9">#REF!</definedName>
    <definedName name="Start17" localSheetId="10">#REF!</definedName>
    <definedName name="Start17" localSheetId="15">#REF!</definedName>
    <definedName name="Start17" localSheetId="19">#REF!</definedName>
    <definedName name="Start17" localSheetId="20">#REF!</definedName>
    <definedName name="Start17" localSheetId="24">#REF!</definedName>
    <definedName name="Start17" localSheetId="104">#REF!</definedName>
    <definedName name="Start17" localSheetId="65">#REF!</definedName>
    <definedName name="Start17" localSheetId="64">#REF!</definedName>
    <definedName name="Start17" localSheetId="77">#REF!</definedName>
    <definedName name="Start17" localSheetId="49">#REF!</definedName>
    <definedName name="Start17" localSheetId="40">#REF!</definedName>
    <definedName name="Start17" localSheetId="43">#REF!</definedName>
    <definedName name="Start17" localSheetId="13">#REF!</definedName>
    <definedName name="Start17" localSheetId="38">#REF!</definedName>
    <definedName name="Start17">#REF!</definedName>
    <definedName name="Start18" localSheetId="3">#REF!</definedName>
    <definedName name="Start18" localSheetId="7">#REF!</definedName>
    <definedName name="Start18" localSheetId="9">#REF!</definedName>
    <definedName name="Start18" localSheetId="10">#REF!</definedName>
    <definedName name="Start18" localSheetId="15">#REF!</definedName>
    <definedName name="Start18" localSheetId="19">#REF!</definedName>
    <definedName name="Start18" localSheetId="20">#REF!</definedName>
    <definedName name="Start18" localSheetId="24">#REF!</definedName>
    <definedName name="Start18" localSheetId="104">#REF!</definedName>
    <definedName name="Start18" localSheetId="65">#REF!</definedName>
    <definedName name="Start18" localSheetId="64">#REF!</definedName>
    <definedName name="Start18" localSheetId="77">#REF!</definedName>
    <definedName name="Start18" localSheetId="49">#REF!</definedName>
    <definedName name="Start18" localSheetId="40">#REF!</definedName>
    <definedName name="Start18" localSheetId="43">#REF!</definedName>
    <definedName name="Start18" localSheetId="13">#REF!</definedName>
    <definedName name="Start18" localSheetId="38">#REF!</definedName>
    <definedName name="Start18">#REF!</definedName>
    <definedName name="Start19" localSheetId="3">#REF!</definedName>
    <definedName name="Start19" localSheetId="7">#REF!</definedName>
    <definedName name="Start19" localSheetId="9">#REF!</definedName>
    <definedName name="Start19" localSheetId="10">#REF!</definedName>
    <definedName name="Start19" localSheetId="15">#REF!</definedName>
    <definedName name="Start19" localSheetId="19">#REF!</definedName>
    <definedName name="Start19" localSheetId="20">#REF!</definedName>
    <definedName name="Start19" localSheetId="24">#REF!</definedName>
    <definedName name="Start19" localSheetId="104">#REF!</definedName>
    <definedName name="Start19" localSheetId="65">#REF!</definedName>
    <definedName name="Start19" localSheetId="64">#REF!</definedName>
    <definedName name="Start19" localSheetId="77">#REF!</definedName>
    <definedName name="Start19" localSheetId="49">#REF!</definedName>
    <definedName name="Start19" localSheetId="40">#REF!</definedName>
    <definedName name="Start19" localSheetId="43">#REF!</definedName>
    <definedName name="Start19" localSheetId="13">#REF!</definedName>
    <definedName name="Start19" localSheetId="38">#REF!</definedName>
    <definedName name="Start19">#REF!</definedName>
    <definedName name="Start2" localSheetId="3">#REF!</definedName>
    <definedName name="Start2" localSheetId="7">#REF!</definedName>
    <definedName name="Start2" localSheetId="9">#REF!</definedName>
    <definedName name="Start2" localSheetId="10">#REF!</definedName>
    <definedName name="Start2" localSheetId="15">#REF!</definedName>
    <definedName name="Start2" localSheetId="19">#REF!</definedName>
    <definedName name="Start2" localSheetId="20">#REF!</definedName>
    <definedName name="Start2" localSheetId="24">#REF!</definedName>
    <definedName name="Start2" localSheetId="104">#REF!</definedName>
    <definedName name="Start2" localSheetId="65">#REF!</definedName>
    <definedName name="Start2" localSheetId="64">#REF!</definedName>
    <definedName name="Start2" localSheetId="77">#REF!</definedName>
    <definedName name="Start2" localSheetId="49">#REF!</definedName>
    <definedName name="Start2" localSheetId="40">#REF!</definedName>
    <definedName name="Start2" localSheetId="43">#REF!</definedName>
    <definedName name="Start2" localSheetId="13">#REF!</definedName>
    <definedName name="Start2" localSheetId="38">#REF!</definedName>
    <definedName name="Start2">#REF!</definedName>
    <definedName name="Start20" localSheetId="3">#REF!</definedName>
    <definedName name="Start20" localSheetId="7">#REF!</definedName>
    <definedName name="Start20" localSheetId="9">#REF!</definedName>
    <definedName name="Start20" localSheetId="10">#REF!</definedName>
    <definedName name="Start20" localSheetId="15">#REF!</definedName>
    <definedName name="Start20" localSheetId="19">#REF!</definedName>
    <definedName name="Start20" localSheetId="20">#REF!</definedName>
    <definedName name="Start20" localSheetId="24">#REF!</definedName>
    <definedName name="Start20" localSheetId="104">#REF!</definedName>
    <definedName name="Start20" localSheetId="65">#REF!</definedName>
    <definedName name="Start20" localSheetId="64">#REF!</definedName>
    <definedName name="Start20" localSheetId="77">#REF!</definedName>
    <definedName name="Start20" localSheetId="49">#REF!</definedName>
    <definedName name="Start20" localSheetId="40">#REF!</definedName>
    <definedName name="Start20" localSheetId="43">#REF!</definedName>
    <definedName name="Start20" localSheetId="13">#REF!</definedName>
    <definedName name="Start20" localSheetId="38">#REF!</definedName>
    <definedName name="Start20">#REF!</definedName>
    <definedName name="Start21" localSheetId="3">#REF!</definedName>
    <definedName name="Start21" localSheetId="7">#REF!</definedName>
    <definedName name="Start21" localSheetId="9">#REF!</definedName>
    <definedName name="Start21" localSheetId="10">#REF!</definedName>
    <definedName name="Start21" localSheetId="15">#REF!</definedName>
    <definedName name="Start21" localSheetId="19">#REF!</definedName>
    <definedName name="Start21" localSheetId="20">#REF!</definedName>
    <definedName name="Start21" localSheetId="24">#REF!</definedName>
    <definedName name="Start21" localSheetId="104">#REF!</definedName>
    <definedName name="Start21" localSheetId="65">#REF!</definedName>
    <definedName name="Start21" localSheetId="64">#REF!</definedName>
    <definedName name="Start21" localSheetId="77">#REF!</definedName>
    <definedName name="Start21" localSheetId="49">#REF!</definedName>
    <definedName name="Start21" localSheetId="40">#REF!</definedName>
    <definedName name="Start21" localSheetId="43">#REF!</definedName>
    <definedName name="Start21" localSheetId="13">#REF!</definedName>
    <definedName name="Start21" localSheetId="38">#REF!</definedName>
    <definedName name="Start21">#REF!</definedName>
    <definedName name="Start22" localSheetId="3">#REF!</definedName>
    <definedName name="Start22" localSheetId="7">#REF!</definedName>
    <definedName name="Start22" localSheetId="9">#REF!</definedName>
    <definedName name="Start22" localSheetId="10">#REF!</definedName>
    <definedName name="Start22" localSheetId="15">#REF!</definedName>
    <definedName name="Start22" localSheetId="19">#REF!</definedName>
    <definedName name="Start22" localSheetId="20">#REF!</definedName>
    <definedName name="Start22" localSheetId="24">#REF!</definedName>
    <definedName name="Start22" localSheetId="104">#REF!</definedName>
    <definedName name="Start22" localSheetId="65">#REF!</definedName>
    <definedName name="Start22" localSheetId="64">#REF!</definedName>
    <definedName name="Start22" localSheetId="77">#REF!</definedName>
    <definedName name="Start22" localSheetId="49">#REF!</definedName>
    <definedName name="Start22" localSheetId="40">#REF!</definedName>
    <definedName name="Start22" localSheetId="43">#REF!</definedName>
    <definedName name="Start22" localSheetId="13">#REF!</definedName>
    <definedName name="Start22" localSheetId="38">#REF!</definedName>
    <definedName name="Start22">#REF!</definedName>
    <definedName name="Start23" localSheetId="3">#REF!</definedName>
    <definedName name="Start23" localSheetId="7">#REF!</definedName>
    <definedName name="Start23" localSheetId="9">#REF!</definedName>
    <definedName name="Start23" localSheetId="10">#REF!</definedName>
    <definedName name="Start23" localSheetId="15">#REF!</definedName>
    <definedName name="Start23" localSheetId="19">#REF!</definedName>
    <definedName name="Start23" localSheetId="20">#REF!</definedName>
    <definedName name="Start23" localSheetId="24">#REF!</definedName>
    <definedName name="Start23" localSheetId="104">#REF!</definedName>
    <definedName name="Start23" localSheetId="65">#REF!</definedName>
    <definedName name="Start23" localSheetId="64">#REF!</definedName>
    <definedName name="Start23" localSheetId="77">#REF!</definedName>
    <definedName name="Start23" localSheetId="49">#REF!</definedName>
    <definedName name="Start23" localSheetId="40">#REF!</definedName>
    <definedName name="Start23" localSheetId="43">#REF!</definedName>
    <definedName name="Start23" localSheetId="13">#REF!</definedName>
    <definedName name="Start23" localSheetId="38">#REF!</definedName>
    <definedName name="Start23">#REF!</definedName>
    <definedName name="Start24" localSheetId="3">#REF!</definedName>
    <definedName name="Start24" localSheetId="7">#REF!</definedName>
    <definedName name="Start24" localSheetId="9">#REF!</definedName>
    <definedName name="Start24" localSheetId="10">#REF!</definedName>
    <definedName name="Start24" localSheetId="15">#REF!</definedName>
    <definedName name="Start24" localSheetId="19">#REF!</definedName>
    <definedName name="Start24" localSheetId="20">#REF!</definedName>
    <definedName name="Start24" localSheetId="24">#REF!</definedName>
    <definedName name="Start24" localSheetId="104">#REF!</definedName>
    <definedName name="Start24" localSheetId="65">#REF!</definedName>
    <definedName name="Start24" localSheetId="64">#REF!</definedName>
    <definedName name="Start24" localSheetId="77">#REF!</definedName>
    <definedName name="Start24" localSheetId="49">#REF!</definedName>
    <definedName name="Start24" localSheetId="40">#REF!</definedName>
    <definedName name="Start24" localSheetId="43">#REF!</definedName>
    <definedName name="Start24" localSheetId="13">#REF!</definedName>
    <definedName name="Start24" localSheetId="38">#REF!</definedName>
    <definedName name="Start24">#REF!</definedName>
    <definedName name="Start25" localSheetId="3">#REF!</definedName>
    <definedName name="Start25" localSheetId="7">#REF!</definedName>
    <definedName name="Start25" localSheetId="9">#REF!</definedName>
    <definedName name="Start25" localSheetId="10">#REF!</definedName>
    <definedName name="Start25" localSheetId="15">#REF!</definedName>
    <definedName name="Start25" localSheetId="19">#REF!</definedName>
    <definedName name="Start25" localSheetId="20">#REF!</definedName>
    <definedName name="Start25" localSheetId="24">#REF!</definedName>
    <definedName name="Start25" localSheetId="104">#REF!</definedName>
    <definedName name="Start25" localSheetId="65">#REF!</definedName>
    <definedName name="Start25" localSheetId="64">#REF!</definedName>
    <definedName name="Start25" localSheetId="77">#REF!</definedName>
    <definedName name="Start25" localSheetId="49">#REF!</definedName>
    <definedName name="Start25" localSheetId="40">#REF!</definedName>
    <definedName name="Start25" localSheetId="43">#REF!</definedName>
    <definedName name="Start25" localSheetId="13">#REF!</definedName>
    <definedName name="Start25" localSheetId="38">#REF!</definedName>
    <definedName name="Start25">#REF!</definedName>
    <definedName name="Start26" localSheetId="3">#REF!</definedName>
    <definedName name="Start26" localSheetId="7">#REF!</definedName>
    <definedName name="Start26" localSheetId="9">#REF!</definedName>
    <definedName name="Start26" localSheetId="10">#REF!</definedName>
    <definedName name="Start26" localSheetId="15">#REF!</definedName>
    <definedName name="Start26" localSheetId="19">#REF!</definedName>
    <definedName name="Start26" localSheetId="20">#REF!</definedName>
    <definedName name="Start26" localSheetId="24">#REF!</definedName>
    <definedName name="Start26" localSheetId="104">#REF!</definedName>
    <definedName name="Start26" localSheetId="65">#REF!</definedName>
    <definedName name="Start26" localSheetId="64">#REF!</definedName>
    <definedName name="Start26" localSheetId="77">#REF!</definedName>
    <definedName name="Start26" localSheetId="49">#REF!</definedName>
    <definedName name="Start26" localSheetId="40">#REF!</definedName>
    <definedName name="Start26" localSheetId="43">#REF!</definedName>
    <definedName name="Start26" localSheetId="13">#REF!</definedName>
    <definedName name="Start26" localSheetId="38">#REF!</definedName>
    <definedName name="Start26">#REF!</definedName>
    <definedName name="Start27" localSheetId="3">#REF!</definedName>
    <definedName name="Start27" localSheetId="7">#REF!</definedName>
    <definedName name="Start27" localSheetId="9">#REF!</definedName>
    <definedName name="Start27" localSheetId="10">#REF!</definedName>
    <definedName name="Start27" localSheetId="15">#REF!</definedName>
    <definedName name="Start27" localSheetId="19">#REF!</definedName>
    <definedName name="Start27" localSheetId="20">#REF!</definedName>
    <definedName name="Start27" localSheetId="24">#REF!</definedName>
    <definedName name="Start27" localSheetId="104">#REF!</definedName>
    <definedName name="Start27" localSheetId="65">#REF!</definedName>
    <definedName name="Start27" localSheetId="64">#REF!</definedName>
    <definedName name="Start27" localSheetId="77">#REF!</definedName>
    <definedName name="Start27" localSheetId="49">#REF!</definedName>
    <definedName name="Start27" localSheetId="40">#REF!</definedName>
    <definedName name="Start27" localSheetId="43">#REF!</definedName>
    <definedName name="Start27" localSheetId="13">#REF!</definedName>
    <definedName name="Start27" localSheetId="38">#REF!</definedName>
    <definedName name="Start27">#REF!</definedName>
    <definedName name="Start28" localSheetId="3">#REF!</definedName>
    <definedName name="Start28" localSheetId="7">#REF!</definedName>
    <definedName name="Start28" localSheetId="9">#REF!</definedName>
    <definedName name="Start28" localSheetId="10">#REF!</definedName>
    <definedName name="Start28" localSheetId="15">#REF!</definedName>
    <definedName name="Start28" localSheetId="19">#REF!</definedName>
    <definedName name="Start28" localSheetId="20">#REF!</definedName>
    <definedName name="Start28" localSheetId="24">#REF!</definedName>
    <definedName name="Start28" localSheetId="104">#REF!</definedName>
    <definedName name="Start28" localSheetId="65">#REF!</definedName>
    <definedName name="Start28" localSheetId="64">#REF!</definedName>
    <definedName name="Start28" localSheetId="77">#REF!</definedName>
    <definedName name="Start28" localSheetId="49">#REF!</definedName>
    <definedName name="Start28" localSheetId="40">#REF!</definedName>
    <definedName name="Start28" localSheetId="43">#REF!</definedName>
    <definedName name="Start28" localSheetId="13">#REF!</definedName>
    <definedName name="Start28" localSheetId="38">#REF!</definedName>
    <definedName name="Start28">#REF!</definedName>
    <definedName name="Start29" localSheetId="3">#REF!</definedName>
    <definedName name="Start29" localSheetId="7">#REF!</definedName>
    <definedName name="Start29" localSheetId="9">#REF!</definedName>
    <definedName name="Start29" localSheetId="10">#REF!</definedName>
    <definedName name="Start29" localSheetId="15">#REF!</definedName>
    <definedName name="Start29" localSheetId="19">#REF!</definedName>
    <definedName name="Start29" localSheetId="20">#REF!</definedName>
    <definedName name="Start29" localSheetId="24">#REF!</definedName>
    <definedName name="Start29" localSheetId="104">#REF!</definedName>
    <definedName name="Start29" localSheetId="65">#REF!</definedName>
    <definedName name="Start29" localSheetId="64">#REF!</definedName>
    <definedName name="Start29" localSheetId="77">#REF!</definedName>
    <definedName name="Start29" localSheetId="49">#REF!</definedName>
    <definedName name="Start29" localSheetId="40">#REF!</definedName>
    <definedName name="Start29" localSheetId="43">#REF!</definedName>
    <definedName name="Start29" localSheetId="13">#REF!</definedName>
    <definedName name="Start29" localSheetId="38">#REF!</definedName>
    <definedName name="Start29">#REF!</definedName>
    <definedName name="Start3" localSheetId="3">#REF!</definedName>
    <definedName name="Start3" localSheetId="7">#REF!</definedName>
    <definedName name="Start3" localSheetId="9">#REF!</definedName>
    <definedName name="Start3" localSheetId="10">#REF!</definedName>
    <definedName name="Start3" localSheetId="15">#REF!</definedName>
    <definedName name="Start3" localSheetId="19">#REF!</definedName>
    <definedName name="Start3" localSheetId="20">#REF!</definedName>
    <definedName name="Start3" localSheetId="24">#REF!</definedName>
    <definedName name="Start3" localSheetId="104">#REF!</definedName>
    <definedName name="Start3" localSheetId="65">#REF!</definedName>
    <definedName name="Start3" localSheetId="64">#REF!</definedName>
    <definedName name="Start3" localSheetId="77">#REF!</definedName>
    <definedName name="Start3" localSheetId="49">#REF!</definedName>
    <definedName name="Start3" localSheetId="40">#REF!</definedName>
    <definedName name="Start3" localSheetId="43">#REF!</definedName>
    <definedName name="Start3" localSheetId="13">#REF!</definedName>
    <definedName name="Start3" localSheetId="38">#REF!</definedName>
    <definedName name="Start3">#REF!</definedName>
    <definedName name="Start30" localSheetId="3">#REF!</definedName>
    <definedName name="Start30" localSheetId="7">#REF!</definedName>
    <definedName name="Start30" localSheetId="9">#REF!</definedName>
    <definedName name="Start30" localSheetId="10">#REF!</definedName>
    <definedName name="Start30" localSheetId="15">#REF!</definedName>
    <definedName name="Start30" localSheetId="19">#REF!</definedName>
    <definedName name="Start30" localSheetId="20">#REF!</definedName>
    <definedName name="Start30" localSheetId="24">#REF!</definedName>
    <definedName name="Start30" localSheetId="104">#REF!</definedName>
    <definedName name="Start30" localSheetId="65">#REF!</definedName>
    <definedName name="Start30" localSheetId="64">#REF!</definedName>
    <definedName name="Start30" localSheetId="77">#REF!</definedName>
    <definedName name="Start30" localSheetId="49">#REF!</definedName>
    <definedName name="Start30" localSheetId="40">#REF!</definedName>
    <definedName name="Start30" localSheetId="43">#REF!</definedName>
    <definedName name="Start30" localSheetId="13">#REF!</definedName>
    <definedName name="Start30" localSheetId="38">#REF!</definedName>
    <definedName name="Start30">#REF!</definedName>
    <definedName name="Start31" localSheetId="3">#REF!</definedName>
    <definedName name="Start31" localSheetId="7">#REF!</definedName>
    <definedName name="Start31" localSheetId="9">#REF!</definedName>
    <definedName name="Start31" localSheetId="10">#REF!</definedName>
    <definedName name="Start31" localSheetId="15">#REF!</definedName>
    <definedName name="Start31" localSheetId="19">#REF!</definedName>
    <definedName name="Start31" localSheetId="20">#REF!</definedName>
    <definedName name="Start31" localSheetId="24">#REF!</definedName>
    <definedName name="Start31" localSheetId="104">#REF!</definedName>
    <definedName name="Start31" localSheetId="65">#REF!</definedName>
    <definedName name="Start31" localSheetId="64">#REF!</definedName>
    <definedName name="Start31" localSheetId="77">#REF!</definedName>
    <definedName name="Start31" localSheetId="49">#REF!</definedName>
    <definedName name="Start31" localSheetId="40">#REF!</definedName>
    <definedName name="Start31" localSheetId="43">#REF!</definedName>
    <definedName name="Start31" localSheetId="13">#REF!</definedName>
    <definedName name="Start31" localSheetId="38">#REF!</definedName>
    <definedName name="Start31">#REF!</definedName>
    <definedName name="Start32" localSheetId="3">#REF!</definedName>
    <definedName name="Start32" localSheetId="7">#REF!</definedName>
    <definedName name="Start32" localSheetId="9">#REF!</definedName>
    <definedName name="Start32" localSheetId="10">#REF!</definedName>
    <definedName name="Start32" localSheetId="15">#REF!</definedName>
    <definedName name="Start32" localSheetId="19">#REF!</definedName>
    <definedName name="Start32" localSheetId="20">#REF!</definedName>
    <definedName name="Start32" localSheetId="24">#REF!</definedName>
    <definedName name="Start32" localSheetId="104">#REF!</definedName>
    <definedName name="Start32" localSheetId="65">#REF!</definedName>
    <definedName name="Start32" localSheetId="64">#REF!</definedName>
    <definedName name="Start32" localSheetId="77">#REF!</definedName>
    <definedName name="Start32" localSheetId="49">#REF!</definedName>
    <definedName name="Start32" localSheetId="40">#REF!</definedName>
    <definedName name="Start32" localSheetId="43">#REF!</definedName>
    <definedName name="Start32" localSheetId="13">#REF!</definedName>
    <definedName name="Start32" localSheetId="38">#REF!</definedName>
    <definedName name="Start32">#REF!</definedName>
    <definedName name="Start33" localSheetId="3">#REF!</definedName>
    <definedName name="Start33" localSheetId="7">#REF!</definedName>
    <definedName name="Start33" localSheetId="9">#REF!</definedName>
    <definedName name="Start33" localSheetId="10">#REF!</definedName>
    <definedName name="Start33" localSheetId="15">#REF!</definedName>
    <definedName name="Start33" localSheetId="19">#REF!</definedName>
    <definedName name="Start33" localSheetId="20">#REF!</definedName>
    <definedName name="Start33" localSheetId="24">#REF!</definedName>
    <definedName name="Start33" localSheetId="104">#REF!</definedName>
    <definedName name="Start33" localSheetId="65">#REF!</definedName>
    <definedName name="Start33" localSheetId="64">#REF!</definedName>
    <definedName name="Start33" localSheetId="77">#REF!</definedName>
    <definedName name="Start33" localSheetId="49">#REF!</definedName>
    <definedName name="Start33" localSheetId="40">#REF!</definedName>
    <definedName name="Start33" localSheetId="43">#REF!</definedName>
    <definedName name="Start33" localSheetId="13">#REF!</definedName>
    <definedName name="Start33" localSheetId="38">#REF!</definedName>
    <definedName name="Start33">#REF!</definedName>
    <definedName name="Start34" localSheetId="3">#REF!</definedName>
    <definedName name="Start34" localSheetId="7">#REF!</definedName>
    <definedName name="Start34" localSheetId="9">#REF!</definedName>
    <definedName name="Start34" localSheetId="10">#REF!</definedName>
    <definedName name="Start34" localSheetId="15">#REF!</definedName>
    <definedName name="Start34" localSheetId="19">#REF!</definedName>
    <definedName name="Start34" localSheetId="20">#REF!</definedName>
    <definedName name="Start34" localSheetId="24">#REF!</definedName>
    <definedName name="Start34" localSheetId="104">#REF!</definedName>
    <definedName name="Start34" localSheetId="65">#REF!</definedName>
    <definedName name="Start34" localSheetId="64">#REF!</definedName>
    <definedName name="Start34" localSheetId="77">#REF!</definedName>
    <definedName name="Start34" localSheetId="49">#REF!</definedName>
    <definedName name="Start34" localSheetId="40">#REF!</definedName>
    <definedName name="Start34" localSheetId="43">#REF!</definedName>
    <definedName name="Start34" localSheetId="13">#REF!</definedName>
    <definedName name="Start34" localSheetId="38">#REF!</definedName>
    <definedName name="Start34">#REF!</definedName>
    <definedName name="Start35" localSheetId="3">#REF!</definedName>
    <definedName name="Start35" localSheetId="7">#REF!</definedName>
    <definedName name="Start35" localSheetId="9">#REF!</definedName>
    <definedName name="Start35" localSheetId="10">#REF!</definedName>
    <definedName name="Start35" localSheetId="15">#REF!</definedName>
    <definedName name="Start35" localSheetId="19">#REF!</definedName>
    <definedName name="Start35" localSheetId="20">#REF!</definedName>
    <definedName name="Start35" localSheetId="24">#REF!</definedName>
    <definedName name="Start35" localSheetId="104">#REF!</definedName>
    <definedName name="Start35" localSheetId="65">#REF!</definedName>
    <definedName name="Start35" localSheetId="64">#REF!</definedName>
    <definedName name="Start35" localSheetId="77">#REF!</definedName>
    <definedName name="Start35" localSheetId="49">#REF!</definedName>
    <definedName name="Start35" localSheetId="40">#REF!</definedName>
    <definedName name="Start35" localSheetId="43">#REF!</definedName>
    <definedName name="Start35" localSheetId="13">#REF!</definedName>
    <definedName name="Start35" localSheetId="38">#REF!</definedName>
    <definedName name="Start35">#REF!</definedName>
    <definedName name="Start36" localSheetId="3">#REF!</definedName>
    <definedName name="Start36" localSheetId="7">#REF!</definedName>
    <definedName name="Start36" localSheetId="9">#REF!</definedName>
    <definedName name="Start36" localSheetId="10">#REF!</definedName>
    <definedName name="Start36" localSheetId="15">#REF!</definedName>
    <definedName name="Start36" localSheetId="19">#REF!</definedName>
    <definedName name="Start36" localSheetId="20">#REF!</definedName>
    <definedName name="Start36" localSheetId="24">#REF!</definedName>
    <definedName name="Start36" localSheetId="104">#REF!</definedName>
    <definedName name="Start36" localSheetId="65">#REF!</definedName>
    <definedName name="Start36" localSheetId="64">#REF!</definedName>
    <definedName name="Start36" localSheetId="77">#REF!</definedName>
    <definedName name="Start36" localSheetId="49">#REF!</definedName>
    <definedName name="Start36" localSheetId="40">#REF!</definedName>
    <definedName name="Start36" localSheetId="43">#REF!</definedName>
    <definedName name="Start36" localSheetId="13">#REF!</definedName>
    <definedName name="Start36" localSheetId="38">#REF!</definedName>
    <definedName name="Start36">#REF!</definedName>
    <definedName name="Start37" localSheetId="3">#REF!</definedName>
    <definedName name="Start37" localSheetId="7">#REF!</definedName>
    <definedName name="Start37" localSheetId="9">#REF!</definedName>
    <definedName name="Start37" localSheetId="10">#REF!</definedName>
    <definedName name="Start37" localSheetId="15">#REF!</definedName>
    <definedName name="Start37" localSheetId="19">#REF!</definedName>
    <definedName name="Start37" localSheetId="20">#REF!</definedName>
    <definedName name="Start37" localSheetId="24">#REF!</definedName>
    <definedName name="Start37" localSheetId="104">#REF!</definedName>
    <definedName name="Start37" localSheetId="65">#REF!</definedName>
    <definedName name="Start37" localSheetId="64">#REF!</definedName>
    <definedName name="Start37" localSheetId="77">#REF!</definedName>
    <definedName name="Start37" localSheetId="49">#REF!</definedName>
    <definedName name="Start37" localSheetId="40">#REF!</definedName>
    <definedName name="Start37" localSheetId="43">#REF!</definedName>
    <definedName name="Start37" localSheetId="13">#REF!</definedName>
    <definedName name="Start37" localSheetId="38">#REF!</definedName>
    <definedName name="Start37">#REF!</definedName>
    <definedName name="Start38" localSheetId="3">#REF!</definedName>
    <definedName name="Start38" localSheetId="7">#REF!</definedName>
    <definedName name="Start38" localSheetId="9">#REF!</definedName>
    <definedName name="Start38" localSheetId="10">#REF!</definedName>
    <definedName name="Start38" localSheetId="15">#REF!</definedName>
    <definedName name="Start38" localSheetId="19">#REF!</definedName>
    <definedName name="Start38" localSheetId="20">#REF!</definedName>
    <definedName name="Start38" localSheetId="24">#REF!</definedName>
    <definedName name="Start38" localSheetId="104">#REF!</definedName>
    <definedName name="Start38" localSheetId="65">#REF!</definedName>
    <definedName name="Start38" localSheetId="64">#REF!</definedName>
    <definedName name="Start38" localSheetId="77">#REF!</definedName>
    <definedName name="Start38" localSheetId="49">#REF!</definedName>
    <definedName name="Start38" localSheetId="40">#REF!</definedName>
    <definedName name="Start38" localSheetId="43">#REF!</definedName>
    <definedName name="Start38" localSheetId="13">#REF!</definedName>
    <definedName name="Start38" localSheetId="38">#REF!</definedName>
    <definedName name="Start38">#REF!</definedName>
    <definedName name="Start39" localSheetId="3">#REF!</definedName>
    <definedName name="Start39" localSheetId="7">#REF!</definedName>
    <definedName name="Start39" localSheetId="9">#REF!</definedName>
    <definedName name="Start39" localSheetId="10">#REF!</definedName>
    <definedName name="Start39" localSheetId="15">#REF!</definedName>
    <definedName name="Start39" localSheetId="19">#REF!</definedName>
    <definedName name="Start39" localSheetId="20">#REF!</definedName>
    <definedName name="Start39" localSheetId="24">#REF!</definedName>
    <definedName name="Start39" localSheetId="104">#REF!</definedName>
    <definedName name="Start39" localSheetId="65">#REF!</definedName>
    <definedName name="Start39" localSheetId="64">#REF!</definedName>
    <definedName name="Start39" localSheetId="77">#REF!</definedName>
    <definedName name="Start39" localSheetId="49">#REF!</definedName>
    <definedName name="Start39" localSheetId="40">#REF!</definedName>
    <definedName name="Start39" localSheetId="43">#REF!</definedName>
    <definedName name="Start39" localSheetId="13">#REF!</definedName>
    <definedName name="Start39" localSheetId="38">#REF!</definedName>
    <definedName name="Start39">#REF!</definedName>
    <definedName name="Start4" localSheetId="3">[29]MailMerge!#REF!</definedName>
    <definedName name="Start4" localSheetId="7">[29]MailMerge!#REF!</definedName>
    <definedName name="Start4" localSheetId="9">[29]MailMerge!#REF!</definedName>
    <definedName name="Start4" localSheetId="10">[29]MailMerge!#REF!</definedName>
    <definedName name="Start4" localSheetId="15">[29]MailMerge!#REF!</definedName>
    <definedName name="Start4" localSheetId="19">[29]MailMerge!#REF!</definedName>
    <definedName name="Start4" localSheetId="20">[29]MailMerge!#REF!</definedName>
    <definedName name="Start4" localSheetId="24">[29]MailMerge!#REF!</definedName>
    <definedName name="Start4" localSheetId="104">[29]MailMerge!#REF!</definedName>
    <definedName name="Start4" localSheetId="65">[29]MailMerge!#REF!</definedName>
    <definedName name="Start4" localSheetId="64">[29]MailMerge!#REF!</definedName>
    <definedName name="Start4" localSheetId="77">[29]MailMerge!#REF!</definedName>
    <definedName name="Start4" localSheetId="49">[29]MailMerge!#REF!</definedName>
    <definedName name="Start4" localSheetId="40">[29]MailMerge!#REF!</definedName>
    <definedName name="Start4" localSheetId="43">[29]MailMerge!#REF!</definedName>
    <definedName name="Start4" localSheetId="13">[29]MailMerge!#REF!</definedName>
    <definedName name="Start4" localSheetId="38">[29]MailMerge!#REF!</definedName>
    <definedName name="Start4">[29]MailMerge!#REF!</definedName>
    <definedName name="Start40" localSheetId="3">#REF!</definedName>
    <definedName name="Start40" localSheetId="7">#REF!</definedName>
    <definedName name="Start40" localSheetId="9">#REF!</definedName>
    <definedName name="Start40" localSheetId="10">#REF!</definedName>
    <definedName name="Start40" localSheetId="15">#REF!</definedName>
    <definedName name="Start40" localSheetId="19">#REF!</definedName>
    <definedName name="Start40" localSheetId="20">#REF!</definedName>
    <definedName name="Start40" localSheetId="24">#REF!</definedName>
    <definedName name="Start40" localSheetId="104">#REF!</definedName>
    <definedName name="Start40" localSheetId="65">#REF!</definedName>
    <definedName name="Start40" localSheetId="64">#REF!</definedName>
    <definedName name="Start40" localSheetId="77">#REF!</definedName>
    <definedName name="Start40" localSheetId="49">#REF!</definedName>
    <definedName name="Start40" localSheetId="40">#REF!</definedName>
    <definedName name="Start40" localSheetId="43">#REF!</definedName>
    <definedName name="Start40" localSheetId="13">#REF!</definedName>
    <definedName name="Start40" localSheetId="38">#REF!</definedName>
    <definedName name="Start40">#REF!</definedName>
    <definedName name="Start41" localSheetId="3">#REF!</definedName>
    <definedName name="Start41" localSheetId="7">#REF!</definedName>
    <definedName name="Start41" localSheetId="9">#REF!</definedName>
    <definedName name="Start41" localSheetId="10">#REF!</definedName>
    <definedName name="Start41" localSheetId="15">#REF!</definedName>
    <definedName name="Start41" localSheetId="19">#REF!</definedName>
    <definedName name="Start41" localSheetId="20">#REF!</definedName>
    <definedName name="Start41" localSheetId="24">#REF!</definedName>
    <definedName name="Start41" localSheetId="104">#REF!</definedName>
    <definedName name="Start41" localSheetId="65">#REF!</definedName>
    <definedName name="Start41" localSheetId="64">#REF!</definedName>
    <definedName name="Start41" localSheetId="77">#REF!</definedName>
    <definedName name="Start41" localSheetId="49">#REF!</definedName>
    <definedName name="Start41" localSheetId="40">#REF!</definedName>
    <definedName name="Start41" localSheetId="43">#REF!</definedName>
    <definedName name="Start41" localSheetId="13">#REF!</definedName>
    <definedName name="Start41" localSheetId="38">#REF!</definedName>
    <definedName name="Start41">#REF!</definedName>
    <definedName name="Start42" localSheetId="3">#REF!</definedName>
    <definedName name="Start42" localSheetId="7">#REF!</definedName>
    <definedName name="Start42" localSheetId="9">#REF!</definedName>
    <definedName name="Start42" localSheetId="10">#REF!</definedName>
    <definedName name="Start42" localSheetId="15">#REF!</definedName>
    <definedName name="Start42" localSheetId="19">#REF!</definedName>
    <definedName name="Start42" localSheetId="20">#REF!</definedName>
    <definedName name="Start42" localSheetId="24">#REF!</definedName>
    <definedName name="Start42" localSheetId="104">#REF!</definedName>
    <definedName name="Start42" localSheetId="65">#REF!</definedName>
    <definedName name="Start42" localSheetId="64">#REF!</definedName>
    <definedName name="Start42" localSheetId="77">#REF!</definedName>
    <definedName name="Start42" localSheetId="49">#REF!</definedName>
    <definedName name="Start42" localSheetId="40">#REF!</definedName>
    <definedName name="Start42" localSheetId="43">#REF!</definedName>
    <definedName name="Start42" localSheetId="13">#REF!</definedName>
    <definedName name="Start42" localSheetId="38">#REF!</definedName>
    <definedName name="Start42">#REF!</definedName>
    <definedName name="Start43" localSheetId="3">#REF!</definedName>
    <definedName name="Start43" localSheetId="7">#REF!</definedName>
    <definedName name="Start43" localSheetId="9">#REF!</definedName>
    <definedName name="Start43" localSheetId="10">#REF!</definedName>
    <definedName name="Start43" localSheetId="15">#REF!</definedName>
    <definedName name="Start43" localSheetId="19">#REF!</definedName>
    <definedName name="Start43" localSheetId="20">#REF!</definedName>
    <definedName name="Start43" localSheetId="24">#REF!</definedName>
    <definedName name="Start43" localSheetId="104">#REF!</definedName>
    <definedName name="Start43" localSheetId="65">#REF!</definedName>
    <definedName name="Start43" localSheetId="64">#REF!</definedName>
    <definedName name="Start43" localSheetId="77">#REF!</definedName>
    <definedName name="Start43" localSheetId="49">#REF!</definedName>
    <definedName name="Start43" localSheetId="40">#REF!</definedName>
    <definedName name="Start43" localSheetId="43">#REF!</definedName>
    <definedName name="Start43" localSheetId="13">#REF!</definedName>
    <definedName name="Start43" localSheetId="38">#REF!</definedName>
    <definedName name="Start43">#REF!</definedName>
    <definedName name="Start44" localSheetId="3">#REF!</definedName>
    <definedName name="Start44" localSheetId="7">#REF!</definedName>
    <definedName name="Start44" localSheetId="9">#REF!</definedName>
    <definedName name="Start44" localSheetId="10">#REF!</definedName>
    <definedName name="Start44" localSheetId="15">#REF!</definedName>
    <definedName name="Start44" localSheetId="19">#REF!</definedName>
    <definedName name="Start44" localSheetId="20">#REF!</definedName>
    <definedName name="Start44" localSheetId="24">#REF!</definedName>
    <definedName name="Start44" localSheetId="104">#REF!</definedName>
    <definedName name="Start44" localSheetId="65">#REF!</definedName>
    <definedName name="Start44" localSheetId="64">#REF!</definedName>
    <definedName name="Start44" localSheetId="77">#REF!</definedName>
    <definedName name="Start44" localSheetId="49">#REF!</definedName>
    <definedName name="Start44" localSheetId="40">#REF!</definedName>
    <definedName name="Start44" localSheetId="43">#REF!</definedName>
    <definedName name="Start44" localSheetId="13">#REF!</definedName>
    <definedName name="Start44" localSheetId="38">#REF!</definedName>
    <definedName name="Start44">#REF!</definedName>
    <definedName name="Start45" localSheetId="3">#REF!</definedName>
    <definedName name="Start45" localSheetId="7">#REF!</definedName>
    <definedName name="Start45" localSheetId="9">#REF!</definedName>
    <definedName name="Start45" localSheetId="10">#REF!</definedName>
    <definedName name="Start45" localSheetId="15">#REF!</definedName>
    <definedName name="Start45" localSheetId="19">#REF!</definedName>
    <definedName name="Start45" localSheetId="20">#REF!</definedName>
    <definedName name="Start45" localSheetId="24">#REF!</definedName>
    <definedName name="Start45" localSheetId="104">#REF!</definedName>
    <definedName name="Start45" localSheetId="65">#REF!</definedName>
    <definedName name="Start45" localSheetId="64">#REF!</definedName>
    <definedName name="Start45" localSheetId="77">#REF!</definedName>
    <definedName name="Start45" localSheetId="49">#REF!</definedName>
    <definedName name="Start45" localSheetId="40">#REF!</definedName>
    <definedName name="Start45" localSheetId="43">#REF!</definedName>
    <definedName name="Start45" localSheetId="13">#REF!</definedName>
    <definedName name="Start45" localSheetId="38">#REF!</definedName>
    <definedName name="Start45">#REF!</definedName>
    <definedName name="Start46" localSheetId="3">#REF!</definedName>
    <definedName name="Start46" localSheetId="7">#REF!</definedName>
    <definedName name="Start46" localSheetId="9">#REF!</definedName>
    <definedName name="Start46" localSheetId="10">#REF!</definedName>
    <definedName name="Start46" localSheetId="15">#REF!</definedName>
    <definedName name="Start46" localSheetId="19">#REF!</definedName>
    <definedName name="Start46" localSheetId="20">#REF!</definedName>
    <definedName name="Start46" localSheetId="24">#REF!</definedName>
    <definedName name="Start46" localSheetId="104">#REF!</definedName>
    <definedName name="Start46" localSheetId="65">#REF!</definedName>
    <definedName name="Start46" localSheetId="64">#REF!</definedName>
    <definedName name="Start46" localSheetId="77">#REF!</definedName>
    <definedName name="Start46" localSheetId="49">#REF!</definedName>
    <definedName name="Start46" localSheetId="40">#REF!</definedName>
    <definedName name="Start46" localSheetId="43">#REF!</definedName>
    <definedName name="Start46" localSheetId="13">#REF!</definedName>
    <definedName name="Start46" localSheetId="38">#REF!</definedName>
    <definedName name="Start46">#REF!</definedName>
    <definedName name="Start47" localSheetId="3">#REF!</definedName>
    <definedName name="Start47" localSheetId="7">#REF!</definedName>
    <definedName name="Start47" localSheetId="9">#REF!</definedName>
    <definedName name="Start47" localSheetId="10">#REF!</definedName>
    <definedName name="Start47" localSheetId="15">#REF!</definedName>
    <definedName name="Start47" localSheetId="19">#REF!</definedName>
    <definedName name="Start47" localSheetId="20">#REF!</definedName>
    <definedName name="Start47" localSheetId="24">#REF!</definedName>
    <definedName name="Start47" localSheetId="104">#REF!</definedName>
    <definedName name="Start47" localSheetId="65">#REF!</definedName>
    <definedName name="Start47" localSheetId="64">#REF!</definedName>
    <definedName name="Start47" localSheetId="77">#REF!</definedName>
    <definedName name="Start47" localSheetId="49">#REF!</definedName>
    <definedName name="Start47" localSheetId="40">#REF!</definedName>
    <definedName name="Start47" localSheetId="43">#REF!</definedName>
    <definedName name="Start47" localSheetId="13">#REF!</definedName>
    <definedName name="Start47" localSheetId="38">#REF!</definedName>
    <definedName name="Start47">#REF!</definedName>
    <definedName name="Start48" localSheetId="3">#REF!</definedName>
    <definedName name="Start48" localSheetId="7">#REF!</definedName>
    <definedName name="Start48" localSheetId="9">#REF!</definedName>
    <definedName name="Start48" localSheetId="10">#REF!</definedName>
    <definedName name="Start48" localSheetId="15">#REF!</definedName>
    <definedName name="Start48" localSheetId="19">#REF!</definedName>
    <definedName name="Start48" localSheetId="20">#REF!</definedName>
    <definedName name="Start48" localSheetId="24">#REF!</definedName>
    <definedName name="Start48" localSheetId="104">#REF!</definedName>
    <definedName name="Start48" localSheetId="65">#REF!</definedName>
    <definedName name="Start48" localSheetId="64">#REF!</definedName>
    <definedName name="Start48" localSheetId="77">#REF!</definedName>
    <definedName name="Start48" localSheetId="49">#REF!</definedName>
    <definedName name="Start48" localSheetId="40">#REF!</definedName>
    <definedName name="Start48" localSheetId="43">#REF!</definedName>
    <definedName name="Start48" localSheetId="13">#REF!</definedName>
    <definedName name="Start48" localSheetId="38">#REF!</definedName>
    <definedName name="Start48">#REF!</definedName>
    <definedName name="Start49" localSheetId="3">#REF!</definedName>
    <definedName name="Start49" localSheetId="7">#REF!</definedName>
    <definedName name="Start49" localSheetId="9">#REF!</definedName>
    <definedName name="Start49" localSheetId="10">#REF!</definedName>
    <definedName name="Start49" localSheetId="15">#REF!</definedName>
    <definedName name="Start49" localSheetId="19">#REF!</definedName>
    <definedName name="Start49" localSheetId="20">#REF!</definedName>
    <definedName name="Start49" localSheetId="24">#REF!</definedName>
    <definedName name="Start49" localSheetId="104">#REF!</definedName>
    <definedName name="Start49" localSheetId="65">#REF!</definedName>
    <definedName name="Start49" localSheetId="64">#REF!</definedName>
    <definedName name="Start49" localSheetId="77">#REF!</definedName>
    <definedName name="Start49" localSheetId="49">#REF!</definedName>
    <definedName name="Start49" localSheetId="40">#REF!</definedName>
    <definedName name="Start49" localSheetId="43">#REF!</definedName>
    <definedName name="Start49" localSheetId="13">#REF!</definedName>
    <definedName name="Start49" localSheetId="38">#REF!</definedName>
    <definedName name="Start49">#REF!</definedName>
    <definedName name="Start5" localSheetId="3">#REF!</definedName>
    <definedName name="Start5" localSheetId="7">#REF!</definedName>
    <definedName name="Start5" localSheetId="9">#REF!</definedName>
    <definedName name="Start5" localSheetId="10">#REF!</definedName>
    <definedName name="Start5" localSheetId="15">#REF!</definedName>
    <definedName name="Start5" localSheetId="19">#REF!</definedName>
    <definedName name="Start5" localSheetId="20">#REF!</definedName>
    <definedName name="Start5" localSheetId="24">#REF!</definedName>
    <definedName name="Start5" localSheetId="104">#REF!</definedName>
    <definedName name="Start5" localSheetId="65">#REF!</definedName>
    <definedName name="Start5" localSheetId="64">#REF!</definedName>
    <definedName name="Start5" localSheetId="77">#REF!</definedName>
    <definedName name="Start5" localSheetId="49">#REF!</definedName>
    <definedName name="Start5" localSheetId="40">#REF!</definedName>
    <definedName name="Start5" localSheetId="43">#REF!</definedName>
    <definedName name="Start5" localSheetId="13">#REF!</definedName>
    <definedName name="Start5" localSheetId="38">#REF!</definedName>
    <definedName name="Start5">#REF!</definedName>
    <definedName name="Start50" localSheetId="3">#REF!</definedName>
    <definedName name="Start50" localSheetId="7">#REF!</definedName>
    <definedName name="Start50" localSheetId="9">#REF!</definedName>
    <definedName name="Start50" localSheetId="10">#REF!</definedName>
    <definedName name="Start50" localSheetId="15">#REF!</definedName>
    <definedName name="Start50" localSheetId="19">#REF!</definedName>
    <definedName name="Start50" localSheetId="20">#REF!</definedName>
    <definedName name="Start50" localSheetId="24">#REF!</definedName>
    <definedName name="Start50" localSheetId="104">#REF!</definedName>
    <definedName name="Start50" localSheetId="65">#REF!</definedName>
    <definedName name="Start50" localSheetId="64">#REF!</definedName>
    <definedName name="Start50" localSheetId="77">#REF!</definedName>
    <definedName name="Start50" localSheetId="49">#REF!</definedName>
    <definedName name="Start50" localSheetId="40">#REF!</definedName>
    <definedName name="Start50" localSheetId="43">#REF!</definedName>
    <definedName name="Start50" localSheetId="13">#REF!</definedName>
    <definedName name="Start50" localSheetId="38">#REF!</definedName>
    <definedName name="Start50">#REF!</definedName>
    <definedName name="Start51" localSheetId="3">#REF!</definedName>
    <definedName name="Start51" localSheetId="7">#REF!</definedName>
    <definedName name="Start51" localSheetId="9">#REF!</definedName>
    <definedName name="Start51" localSheetId="10">#REF!</definedName>
    <definedName name="Start51" localSheetId="15">#REF!</definedName>
    <definedName name="Start51" localSheetId="19">#REF!</definedName>
    <definedName name="Start51" localSheetId="20">#REF!</definedName>
    <definedName name="Start51" localSheetId="24">#REF!</definedName>
    <definedName name="Start51" localSheetId="104">#REF!</definedName>
    <definedName name="Start51" localSheetId="65">#REF!</definedName>
    <definedName name="Start51" localSheetId="64">#REF!</definedName>
    <definedName name="Start51" localSheetId="77">#REF!</definedName>
    <definedName name="Start51" localSheetId="49">#REF!</definedName>
    <definedName name="Start51" localSheetId="40">#REF!</definedName>
    <definedName name="Start51" localSheetId="43">#REF!</definedName>
    <definedName name="Start51" localSheetId="13">#REF!</definedName>
    <definedName name="Start51" localSheetId="38">#REF!</definedName>
    <definedName name="Start51">#REF!</definedName>
    <definedName name="Start52" localSheetId="3">#REF!</definedName>
    <definedName name="Start52" localSheetId="7">#REF!</definedName>
    <definedName name="Start52" localSheetId="9">#REF!</definedName>
    <definedName name="Start52" localSheetId="10">#REF!</definedName>
    <definedName name="Start52" localSheetId="15">#REF!</definedName>
    <definedName name="Start52" localSheetId="19">#REF!</definedName>
    <definedName name="Start52" localSheetId="20">#REF!</definedName>
    <definedName name="Start52" localSheetId="24">#REF!</definedName>
    <definedName name="Start52" localSheetId="104">#REF!</definedName>
    <definedName name="Start52" localSheetId="65">#REF!</definedName>
    <definedName name="Start52" localSheetId="64">#REF!</definedName>
    <definedName name="Start52" localSheetId="77">#REF!</definedName>
    <definedName name="Start52" localSheetId="49">#REF!</definedName>
    <definedName name="Start52" localSheetId="40">#REF!</definedName>
    <definedName name="Start52" localSheetId="43">#REF!</definedName>
    <definedName name="Start52" localSheetId="13">#REF!</definedName>
    <definedName name="Start52" localSheetId="38">#REF!</definedName>
    <definedName name="Start52">#REF!</definedName>
    <definedName name="Start53" localSheetId="3">#REF!</definedName>
    <definedName name="Start53" localSheetId="7">#REF!</definedName>
    <definedName name="Start53" localSheetId="9">#REF!</definedName>
    <definedName name="Start53" localSheetId="10">#REF!</definedName>
    <definedName name="Start53" localSheetId="15">#REF!</definedName>
    <definedName name="Start53" localSheetId="19">#REF!</definedName>
    <definedName name="Start53" localSheetId="20">#REF!</definedName>
    <definedName name="Start53" localSheetId="24">#REF!</definedName>
    <definedName name="Start53" localSheetId="104">#REF!</definedName>
    <definedName name="Start53" localSheetId="65">#REF!</definedName>
    <definedName name="Start53" localSheetId="64">#REF!</definedName>
    <definedName name="Start53" localSheetId="77">#REF!</definedName>
    <definedName name="Start53" localSheetId="49">#REF!</definedName>
    <definedName name="Start53" localSheetId="40">#REF!</definedName>
    <definedName name="Start53" localSheetId="43">#REF!</definedName>
    <definedName name="Start53" localSheetId="13">#REF!</definedName>
    <definedName name="Start53" localSheetId="38">#REF!</definedName>
    <definedName name="Start53">#REF!</definedName>
    <definedName name="Start54" localSheetId="3">#REF!</definedName>
    <definedName name="Start54" localSheetId="7">#REF!</definedName>
    <definedName name="Start54" localSheetId="9">#REF!</definedName>
    <definedName name="Start54" localSheetId="10">#REF!</definedName>
    <definedName name="Start54" localSheetId="15">#REF!</definedName>
    <definedName name="Start54" localSheetId="19">#REF!</definedName>
    <definedName name="Start54" localSheetId="20">#REF!</definedName>
    <definedName name="Start54" localSheetId="24">#REF!</definedName>
    <definedName name="Start54" localSheetId="104">#REF!</definedName>
    <definedName name="Start54" localSheetId="65">#REF!</definedName>
    <definedName name="Start54" localSheetId="64">#REF!</definedName>
    <definedName name="Start54" localSheetId="77">#REF!</definedName>
    <definedName name="Start54" localSheetId="49">#REF!</definedName>
    <definedName name="Start54" localSheetId="40">#REF!</definedName>
    <definedName name="Start54" localSheetId="43">#REF!</definedName>
    <definedName name="Start54" localSheetId="13">#REF!</definedName>
    <definedName name="Start54" localSheetId="38">#REF!</definedName>
    <definedName name="Start54">#REF!</definedName>
    <definedName name="Start55" localSheetId="3">#REF!</definedName>
    <definedName name="Start55" localSheetId="7">#REF!</definedName>
    <definedName name="Start55" localSheetId="9">#REF!</definedName>
    <definedName name="Start55" localSheetId="10">#REF!</definedName>
    <definedName name="Start55" localSheetId="15">#REF!</definedName>
    <definedName name="Start55" localSheetId="19">#REF!</definedName>
    <definedName name="Start55" localSheetId="20">#REF!</definedName>
    <definedName name="Start55" localSheetId="24">#REF!</definedName>
    <definedName name="Start55" localSheetId="104">#REF!</definedName>
    <definedName name="Start55" localSheetId="65">#REF!</definedName>
    <definedName name="Start55" localSheetId="64">#REF!</definedName>
    <definedName name="Start55" localSheetId="77">#REF!</definedName>
    <definedName name="Start55" localSheetId="49">#REF!</definedName>
    <definedName name="Start55" localSheetId="40">#REF!</definedName>
    <definedName name="Start55" localSheetId="43">#REF!</definedName>
    <definedName name="Start55" localSheetId="13">#REF!</definedName>
    <definedName name="Start55" localSheetId="38">#REF!</definedName>
    <definedName name="Start55">#REF!</definedName>
    <definedName name="Start56" localSheetId="3">#REF!</definedName>
    <definedName name="Start56" localSheetId="7">#REF!</definedName>
    <definedName name="Start56" localSheetId="9">#REF!</definedName>
    <definedName name="Start56" localSheetId="10">#REF!</definedName>
    <definedName name="Start56" localSheetId="15">#REF!</definedName>
    <definedName name="Start56" localSheetId="19">#REF!</definedName>
    <definedName name="Start56" localSheetId="20">#REF!</definedName>
    <definedName name="Start56" localSheetId="24">#REF!</definedName>
    <definedName name="Start56" localSheetId="104">#REF!</definedName>
    <definedName name="Start56" localSheetId="65">#REF!</definedName>
    <definedName name="Start56" localSheetId="64">#REF!</definedName>
    <definedName name="Start56" localSheetId="77">#REF!</definedName>
    <definedName name="Start56" localSheetId="49">#REF!</definedName>
    <definedName name="Start56" localSheetId="40">#REF!</definedName>
    <definedName name="Start56" localSheetId="43">#REF!</definedName>
    <definedName name="Start56" localSheetId="13">#REF!</definedName>
    <definedName name="Start56" localSheetId="38">#REF!</definedName>
    <definedName name="Start56">#REF!</definedName>
    <definedName name="Start57" localSheetId="3">#REF!</definedName>
    <definedName name="Start57" localSheetId="7">#REF!</definedName>
    <definedName name="Start57" localSheetId="9">#REF!</definedName>
    <definedName name="Start57" localSheetId="10">#REF!</definedName>
    <definedName name="Start57" localSheetId="15">#REF!</definedName>
    <definedName name="Start57" localSheetId="19">#REF!</definedName>
    <definedName name="Start57" localSheetId="20">#REF!</definedName>
    <definedName name="Start57" localSheetId="24">#REF!</definedName>
    <definedName name="Start57" localSheetId="104">#REF!</definedName>
    <definedName name="Start57" localSheetId="65">#REF!</definedName>
    <definedName name="Start57" localSheetId="64">#REF!</definedName>
    <definedName name="Start57" localSheetId="77">#REF!</definedName>
    <definedName name="Start57" localSheetId="49">#REF!</definedName>
    <definedName name="Start57" localSheetId="40">#REF!</definedName>
    <definedName name="Start57" localSheetId="43">#REF!</definedName>
    <definedName name="Start57" localSheetId="13">#REF!</definedName>
    <definedName name="Start57" localSheetId="38">#REF!</definedName>
    <definedName name="Start57">#REF!</definedName>
    <definedName name="Start58" localSheetId="3">#REF!</definedName>
    <definedName name="Start58" localSheetId="7">#REF!</definedName>
    <definedName name="Start58" localSheetId="9">#REF!</definedName>
    <definedName name="Start58" localSheetId="10">#REF!</definedName>
    <definedName name="Start58" localSheetId="15">#REF!</definedName>
    <definedName name="Start58" localSheetId="19">#REF!</definedName>
    <definedName name="Start58" localSheetId="20">#REF!</definedName>
    <definedName name="Start58" localSheetId="24">#REF!</definedName>
    <definedName name="Start58" localSheetId="104">#REF!</definedName>
    <definedName name="Start58" localSheetId="65">#REF!</definedName>
    <definedName name="Start58" localSheetId="64">#REF!</definedName>
    <definedName name="Start58" localSheetId="77">#REF!</definedName>
    <definedName name="Start58" localSheetId="49">#REF!</definedName>
    <definedName name="Start58" localSheetId="40">#REF!</definedName>
    <definedName name="Start58" localSheetId="43">#REF!</definedName>
    <definedName name="Start58" localSheetId="13">#REF!</definedName>
    <definedName name="Start58" localSheetId="38">#REF!</definedName>
    <definedName name="Start58">#REF!</definedName>
    <definedName name="Start59" localSheetId="3">#REF!</definedName>
    <definedName name="Start59" localSheetId="7">#REF!</definedName>
    <definedName name="Start59" localSheetId="9">#REF!</definedName>
    <definedName name="Start59" localSheetId="10">#REF!</definedName>
    <definedName name="Start59" localSheetId="15">#REF!</definedName>
    <definedName name="Start59" localSheetId="19">#REF!</definedName>
    <definedName name="Start59" localSheetId="20">#REF!</definedName>
    <definedName name="Start59" localSheetId="24">#REF!</definedName>
    <definedName name="Start59" localSheetId="104">#REF!</definedName>
    <definedName name="Start59" localSheetId="65">#REF!</definedName>
    <definedName name="Start59" localSheetId="64">#REF!</definedName>
    <definedName name="Start59" localSheetId="77">#REF!</definedName>
    <definedName name="Start59" localSheetId="49">#REF!</definedName>
    <definedName name="Start59" localSheetId="40">#REF!</definedName>
    <definedName name="Start59" localSheetId="43">#REF!</definedName>
    <definedName name="Start59" localSheetId="13">#REF!</definedName>
    <definedName name="Start59" localSheetId="38">#REF!</definedName>
    <definedName name="Start59">#REF!</definedName>
    <definedName name="Start6" localSheetId="3">#REF!</definedName>
    <definedName name="Start6" localSheetId="7">#REF!</definedName>
    <definedName name="Start6" localSheetId="9">#REF!</definedName>
    <definedName name="Start6" localSheetId="10">#REF!</definedName>
    <definedName name="Start6" localSheetId="15">#REF!</definedName>
    <definedName name="Start6" localSheetId="19">#REF!</definedName>
    <definedName name="Start6" localSheetId="20">#REF!</definedName>
    <definedName name="Start6" localSheetId="24">#REF!</definedName>
    <definedName name="Start6" localSheetId="104">#REF!</definedName>
    <definedName name="Start6" localSheetId="65">#REF!</definedName>
    <definedName name="Start6" localSheetId="64">#REF!</definedName>
    <definedName name="Start6" localSheetId="77">#REF!</definedName>
    <definedName name="Start6" localSheetId="49">#REF!</definedName>
    <definedName name="Start6" localSheetId="40">#REF!</definedName>
    <definedName name="Start6" localSheetId="43">#REF!</definedName>
    <definedName name="Start6" localSheetId="13">#REF!</definedName>
    <definedName name="Start6" localSheetId="38">#REF!</definedName>
    <definedName name="Start6">#REF!</definedName>
    <definedName name="Start60" localSheetId="3">#REF!</definedName>
    <definedName name="Start60" localSheetId="7">#REF!</definedName>
    <definedName name="Start60" localSheetId="9">#REF!</definedName>
    <definedName name="Start60" localSheetId="10">#REF!</definedName>
    <definedName name="Start60" localSheetId="15">#REF!</definedName>
    <definedName name="Start60" localSheetId="19">#REF!</definedName>
    <definedName name="Start60" localSheetId="20">#REF!</definedName>
    <definedName name="Start60" localSheetId="24">#REF!</definedName>
    <definedName name="Start60" localSheetId="104">#REF!</definedName>
    <definedName name="Start60" localSheetId="65">#REF!</definedName>
    <definedName name="Start60" localSheetId="64">#REF!</definedName>
    <definedName name="Start60" localSheetId="77">#REF!</definedName>
    <definedName name="Start60" localSheetId="49">#REF!</definedName>
    <definedName name="Start60" localSheetId="40">#REF!</definedName>
    <definedName name="Start60" localSheetId="43">#REF!</definedName>
    <definedName name="Start60" localSheetId="13">#REF!</definedName>
    <definedName name="Start60" localSheetId="38">#REF!</definedName>
    <definedName name="Start60">#REF!</definedName>
    <definedName name="Start61" localSheetId="3">#REF!</definedName>
    <definedName name="Start61" localSheetId="7">#REF!</definedName>
    <definedName name="Start61" localSheetId="9">#REF!</definedName>
    <definedName name="Start61" localSheetId="10">#REF!</definedName>
    <definedName name="Start61" localSheetId="15">#REF!</definedName>
    <definedName name="Start61" localSheetId="19">#REF!</definedName>
    <definedName name="Start61" localSheetId="20">#REF!</definedName>
    <definedName name="Start61" localSheetId="24">#REF!</definedName>
    <definedName name="Start61" localSheetId="104">#REF!</definedName>
    <definedName name="Start61" localSheetId="65">#REF!</definedName>
    <definedName name="Start61" localSheetId="64">#REF!</definedName>
    <definedName name="Start61" localSheetId="77">#REF!</definedName>
    <definedName name="Start61" localSheetId="49">#REF!</definedName>
    <definedName name="Start61" localSheetId="40">#REF!</definedName>
    <definedName name="Start61" localSheetId="43">#REF!</definedName>
    <definedName name="Start61" localSheetId="13">#REF!</definedName>
    <definedName name="Start61" localSheetId="38">#REF!</definedName>
    <definedName name="Start61">#REF!</definedName>
    <definedName name="Start62" localSheetId="3">#REF!</definedName>
    <definedName name="Start62" localSheetId="7">#REF!</definedName>
    <definedName name="Start62" localSheetId="9">#REF!</definedName>
    <definedName name="Start62" localSheetId="10">#REF!</definedName>
    <definedName name="Start62" localSheetId="15">#REF!</definedName>
    <definedName name="Start62" localSheetId="19">#REF!</definedName>
    <definedName name="Start62" localSheetId="20">#REF!</definedName>
    <definedName name="Start62" localSheetId="24">#REF!</definedName>
    <definedName name="Start62" localSheetId="104">#REF!</definedName>
    <definedName name="Start62" localSheetId="65">#REF!</definedName>
    <definedName name="Start62" localSheetId="64">#REF!</definedName>
    <definedName name="Start62" localSheetId="77">#REF!</definedName>
    <definedName name="Start62" localSheetId="49">#REF!</definedName>
    <definedName name="Start62" localSheetId="40">#REF!</definedName>
    <definedName name="Start62" localSheetId="43">#REF!</definedName>
    <definedName name="Start62" localSheetId="13">#REF!</definedName>
    <definedName name="Start62" localSheetId="38">#REF!</definedName>
    <definedName name="Start62">#REF!</definedName>
    <definedName name="Start63" localSheetId="3">#REF!</definedName>
    <definedName name="Start63" localSheetId="7">#REF!</definedName>
    <definedName name="Start63" localSheetId="9">#REF!</definedName>
    <definedName name="Start63" localSheetId="10">#REF!</definedName>
    <definedName name="Start63" localSheetId="15">#REF!</definedName>
    <definedName name="Start63" localSheetId="19">#REF!</definedName>
    <definedName name="Start63" localSheetId="20">#REF!</definedName>
    <definedName name="Start63" localSheetId="24">#REF!</definedName>
    <definedName name="Start63" localSheetId="104">#REF!</definedName>
    <definedName name="Start63" localSheetId="65">#REF!</definedName>
    <definedName name="Start63" localSheetId="64">#REF!</definedName>
    <definedName name="Start63" localSheetId="77">#REF!</definedName>
    <definedName name="Start63" localSheetId="49">#REF!</definedName>
    <definedName name="Start63" localSheetId="40">#REF!</definedName>
    <definedName name="Start63" localSheetId="43">#REF!</definedName>
    <definedName name="Start63" localSheetId="13">#REF!</definedName>
    <definedName name="Start63" localSheetId="38">#REF!</definedName>
    <definedName name="Start63">#REF!</definedName>
    <definedName name="Start64" localSheetId="3">#REF!</definedName>
    <definedName name="Start64" localSheetId="7">#REF!</definedName>
    <definedName name="Start64" localSheetId="9">#REF!</definedName>
    <definedName name="Start64" localSheetId="10">#REF!</definedName>
    <definedName name="Start64" localSheetId="15">#REF!</definedName>
    <definedName name="Start64" localSheetId="19">#REF!</definedName>
    <definedName name="Start64" localSheetId="20">#REF!</definedName>
    <definedName name="Start64" localSheetId="24">#REF!</definedName>
    <definedName name="Start64" localSheetId="104">#REF!</definedName>
    <definedName name="Start64" localSheetId="65">#REF!</definedName>
    <definedName name="Start64" localSheetId="64">#REF!</definedName>
    <definedName name="Start64" localSheetId="77">#REF!</definedName>
    <definedName name="Start64" localSheetId="49">#REF!</definedName>
    <definedName name="Start64" localSheetId="40">#REF!</definedName>
    <definedName name="Start64" localSheetId="43">#REF!</definedName>
    <definedName name="Start64" localSheetId="13">#REF!</definedName>
    <definedName name="Start64" localSheetId="38">#REF!</definedName>
    <definedName name="Start64">#REF!</definedName>
    <definedName name="Start65" localSheetId="3">#REF!</definedName>
    <definedName name="Start65" localSheetId="7">#REF!</definedName>
    <definedName name="Start65" localSheetId="9">#REF!</definedName>
    <definedName name="Start65" localSheetId="10">#REF!</definedName>
    <definedName name="Start65" localSheetId="15">#REF!</definedName>
    <definedName name="Start65" localSheetId="19">#REF!</definedName>
    <definedName name="Start65" localSheetId="20">#REF!</definedName>
    <definedName name="Start65" localSheetId="24">#REF!</definedName>
    <definedName name="Start65" localSheetId="104">#REF!</definedName>
    <definedName name="Start65" localSheetId="65">#REF!</definedName>
    <definedName name="Start65" localSheetId="64">#REF!</definedName>
    <definedName name="Start65" localSheetId="77">#REF!</definedName>
    <definedName name="Start65" localSheetId="49">#REF!</definedName>
    <definedName name="Start65" localSheetId="40">#REF!</definedName>
    <definedName name="Start65" localSheetId="43">#REF!</definedName>
    <definedName name="Start65" localSheetId="13">#REF!</definedName>
    <definedName name="Start65" localSheetId="38">#REF!</definedName>
    <definedName name="Start65">#REF!</definedName>
    <definedName name="Start66" localSheetId="3">#REF!</definedName>
    <definedName name="Start66" localSheetId="7">#REF!</definedName>
    <definedName name="Start66" localSheetId="9">#REF!</definedName>
    <definedName name="Start66" localSheetId="10">#REF!</definedName>
    <definedName name="Start66" localSheetId="15">#REF!</definedName>
    <definedName name="Start66" localSheetId="19">#REF!</definedName>
    <definedName name="Start66" localSheetId="20">#REF!</definedName>
    <definedName name="Start66" localSheetId="24">#REF!</definedName>
    <definedName name="Start66" localSheetId="104">#REF!</definedName>
    <definedName name="Start66" localSheetId="65">#REF!</definedName>
    <definedName name="Start66" localSheetId="64">#REF!</definedName>
    <definedName name="Start66" localSheetId="77">#REF!</definedName>
    <definedName name="Start66" localSheetId="49">#REF!</definedName>
    <definedName name="Start66" localSheetId="40">#REF!</definedName>
    <definedName name="Start66" localSheetId="43">#REF!</definedName>
    <definedName name="Start66" localSheetId="13">#REF!</definedName>
    <definedName name="Start66" localSheetId="38">#REF!</definedName>
    <definedName name="Start66">#REF!</definedName>
    <definedName name="Start67" localSheetId="3">#REF!</definedName>
    <definedName name="Start67" localSheetId="7">#REF!</definedName>
    <definedName name="Start67" localSheetId="9">#REF!</definedName>
    <definedName name="Start67" localSheetId="10">#REF!</definedName>
    <definedName name="Start67" localSheetId="15">#REF!</definedName>
    <definedName name="Start67" localSheetId="19">#REF!</definedName>
    <definedName name="Start67" localSheetId="20">#REF!</definedName>
    <definedName name="Start67" localSheetId="24">#REF!</definedName>
    <definedName name="Start67" localSheetId="104">#REF!</definedName>
    <definedName name="Start67" localSheetId="65">#REF!</definedName>
    <definedName name="Start67" localSheetId="64">#REF!</definedName>
    <definedName name="Start67" localSheetId="77">#REF!</definedName>
    <definedName name="Start67" localSheetId="49">#REF!</definedName>
    <definedName name="Start67" localSheetId="40">#REF!</definedName>
    <definedName name="Start67" localSheetId="43">#REF!</definedName>
    <definedName name="Start67" localSheetId="13">#REF!</definedName>
    <definedName name="Start67" localSheetId="38">#REF!</definedName>
    <definedName name="Start67">#REF!</definedName>
    <definedName name="Start68" localSheetId="3">#REF!</definedName>
    <definedName name="Start68" localSheetId="7">#REF!</definedName>
    <definedName name="Start68" localSheetId="9">#REF!</definedName>
    <definedName name="Start68" localSheetId="10">#REF!</definedName>
    <definedName name="Start68" localSheetId="15">#REF!</definedName>
    <definedName name="Start68" localSheetId="19">#REF!</definedName>
    <definedName name="Start68" localSheetId="20">#REF!</definedName>
    <definedName name="Start68" localSheetId="24">#REF!</definedName>
    <definedName name="Start68" localSheetId="104">#REF!</definedName>
    <definedName name="Start68" localSheetId="65">#REF!</definedName>
    <definedName name="Start68" localSheetId="64">#REF!</definedName>
    <definedName name="Start68" localSheetId="77">#REF!</definedName>
    <definedName name="Start68" localSheetId="49">#REF!</definedName>
    <definedName name="Start68" localSheetId="40">#REF!</definedName>
    <definedName name="Start68" localSheetId="43">#REF!</definedName>
    <definedName name="Start68" localSheetId="13">#REF!</definedName>
    <definedName name="Start68" localSheetId="38">#REF!</definedName>
    <definedName name="Start68">#REF!</definedName>
    <definedName name="Start69" localSheetId="3">#REF!</definedName>
    <definedName name="Start69" localSheetId="7">#REF!</definedName>
    <definedName name="Start69" localSheetId="9">#REF!</definedName>
    <definedName name="Start69" localSheetId="10">#REF!</definedName>
    <definedName name="Start69" localSheetId="15">#REF!</definedName>
    <definedName name="Start69" localSheetId="19">#REF!</definedName>
    <definedName name="Start69" localSheetId="20">#REF!</definedName>
    <definedName name="Start69" localSheetId="24">#REF!</definedName>
    <definedName name="Start69" localSheetId="104">#REF!</definedName>
    <definedName name="Start69" localSheetId="65">#REF!</definedName>
    <definedName name="Start69" localSheetId="64">#REF!</definedName>
    <definedName name="Start69" localSheetId="77">#REF!</definedName>
    <definedName name="Start69" localSheetId="49">#REF!</definedName>
    <definedName name="Start69" localSheetId="40">#REF!</definedName>
    <definedName name="Start69" localSheetId="43">#REF!</definedName>
    <definedName name="Start69" localSheetId="13">#REF!</definedName>
    <definedName name="Start69" localSheetId="38">#REF!</definedName>
    <definedName name="Start69">#REF!</definedName>
    <definedName name="Start7" localSheetId="3">#REF!</definedName>
    <definedName name="Start7" localSheetId="7">#REF!</definedName>
    <definedName name="Start7" localSheetId="9">#REF!</definedName>
    <definedName name="Start7" localSheetId="10">#REF!</definedName>
    <definedName name="Start7" localSheetId="15">#REF!</definedName>
    <definedName name="Start7" localSheetId="19">#REF!</definedName>
    <definedName name="Start7" localSheetId="20">#REF!</definedName>
    <definedName name="Start7" localSheetId="24">#REF!</definedName>
    <definedName name="Start7" localSheetId="104">#REF!</definedName>
    <definedName name="Start7" localSheetId="65">#REF!</definedName>
    <definedName name="Start7" localSheetId="64">#REF!</definedName>
    <definedName name="Start7" localSheetId="77">#REF!</definedName>
    <definedName name="Start7" localSheetId="49">#REF!</definedName>
    <definedName name="Start7" localSheetId="40">#REF!</definedName>
    <definedName name="Start7" localSheetId="43">#REF!</definedName>
    <definedName name="Start7" localSheetId="13">#REF!</definedName>
    <definedName name="Start7" localSheetId="38">#REF!</definedName>
    <definedName name="Start7">#REF!</definedName>
    <definedName name="Start70" localSheetId="3">#REF!</definedName>
    <definedName name="Start70" localSheetId="7">#REF!</definedName>
    <definedName name="Start70" localSheetId="9">#REF!</definedName>
    <definedName name="Start70" localSheetId="10">#REF!</definedName>
    <definedName name="Start70" localSheetId="15">#REF!</definedName>
    <definedName name="Start70" localSheetId="19">#REF!</definedName>
    <definedName name="Start70" localSheetId="20">#REF!</definedName>
    <definedName name="Start70" localSheetId="24">#REF!</definedName>
    <definedName name="Start70" localSheetId="104">#REF!</definedName>
    <definedName name="Start70" localSheetId="65">#REF!</definedName>
    <definedName name="Start70" localSheetId="64">#REF!</definedName>
    <definedName name="Start70" localSheetId="77">#REF!</definedName>
    <definedName name="Start70" localSheetId="49">#REF!</definedName>
    <definedName name="Start70" localSheetId="40">#REF!</definedName>
    <definedName name="Start70" localSheetId="43">#REF!</definedName>
    <definedName name="Start70" localSheetId="13">#REF!</definedName>
    <definedName name="Start70" localSheetId="38">#REF!</definedName>
    <definedName name="Start70">#REF!</definedName>
    <definedName name="Start77" localSheetId="3">#REF!</definedName>
    <definedName name="Start77" localSheetId="7">#REF!</definedName>
    <definedName name="Start77" localSheetId="9">#REF!</definedName>
    <definedName name="Start77" localSheetId="10">#REF!</definedName>
    <definedName name="Start77" localSheetId="15">#REF!</definedName>
    <definedName name="Start77" localSheetId="19">#REF!</definedName>
    <definedName name="Start77" localSheetId="20">#REF!</definedName>
    <definedName name="Start77" localSheetId="24">#REF!</definedName>
    <definedName name="Start77" localSheetId="104">#REF!</definedName>
    <definedName name="Start77" localSheetId="65">#REF!</definedName>
    <definedName name="Start77" localSheetId="64">#REF!</definedName>
    <definedName name="Start77" localSheetId="77">#REF!</definedName>
    <definedName name="Start77" localSheetId="49">#REF!</definedName>
    <definedName name="Start77" localSheetId="40">#REF!</definedName>
    <definedName name="Start77" localSheetId="43">#REF!</definedName>
    <definedName name="Start77" localSheetId="13">#REF!</definedName>
    <definedName name="Start77" localSheetId="38">#REF!</definedName>
    <definedName name="Start77">#REF!</definedName>
    <definedName name="Start78" localSheetId="3">#REF!</definedName>
    <definedName name="Start78" localSheetId="7">#REF!</definedName>
    <definedName name="Start78" localSheetId="9">#REF!</definedName>
    <definedName name="Start78" localSheetId="10">#REF!</definedName>
    <definedName name="Start78" localSheetId="15">#REF!</definedName>
    <definedName name="Start78" localSheetId="19">#REF!</definedName>
    <definedName name="Start78" localSheetId="20">#REF!</definedName>
    <definedName name="Start78" localSheetId="24">#REF!</definedName>
    <definedName name="Start78" localSheetId="104">#REF!</definedName>
    <definedName name="Start78" localSheetId="65">#REF!</definedName>
    <definedName name="Start78" localSheetId="64">#REF!</definedName>
    <definedName name="Start78" localSheetId="77">#REF!</definedName>
    <definedName name="Start78" localSheetId="49">#REF!</definedName>
    <definedName name="Start78" localSheetId="40">#REF!</definedName>
    <definedName name="Start78" localSheetId="43">#REF!</definedName>
    <definedName name="Start78" localSheetId="13">#REF!</definedName>
    <definedName name="Start78" localSheetId="38">#REF!</definedName>
    <definedName name="Start78">#REF!</definedName>
    <definedName name="Start79" localSheetId="3">#REF!</definedName>
    <definedName name="Start79" localSheetId="7">#REF!</definedName>
    <definedName name="Start79" localSheetId="9">#REF!</definedName>
    <definedName name="Start79" localSheetId="10">#REF!</definedName>
    <definedName name="Start79" localSheetId="15">#REF!</definedName>
    <definedName name="Start79" localSheetId="19">#REF!</definedName>
    <definedName name="Start79" localSheetId="20">#REF!</definedName>
    <definedName name="Start79" localSheetId="24">#REF!</definedName>
    <definedName name="Start79" localSheetId="104">#REF!</definedName>
    <definedName name="Start79" localSheetId="65">#REF!</definedName>
    <definedName name="Start79" localSheetId="64">#REF!</definedName>
    <definedName name="Start79" localSheetId="77">#REF!</definedName>
    <definedName name="Start79" localSheetId="49">#REF!</definedName>
    <definedName name="Start79" localSheetId="40">#REF!</definedName>
    <definedName name="Start79" localSheetId="43">#REF!</definedName>
    <definedName name="Start79" localSheetId="13">#REF!</definedName>
    <definedName name="Start79" localSheetId="38">#REF!</definedName>
    <definedName name="Start79">#REF!</definedName>
    <definedName name="Start8" localSheetId="3">#REF!</definedName>
    <definedName name="Start8" localSheetId="7">#REF!</definedName>
    <definedName name="Start8" localSheetId="9">#REF!</definedName>
    <definedName name="Start8" localSheetId="10">#REF!</definedName>
    <definedName name="Start8" localSheetId="15">#REF!</definedName>
    <definedName name="Start8" localSheetId="19">#REF!</definedName>
    <definedName name="Start8" localSheetId="20">#REF!</definedName>
    <definedName name="Start8" localSheetId="24">#REF!</definedName>
    <definedName name="Start8" localSheetId="104">#REF!</definedName>
    <definedName name="Start8" localSheetId="65">#REF!</definedName>
    <definedName name="Start8" localSheetId="64">#REF!</definedName>
    <definedName name="Start8" localSheetId="77">#REF!</definedName>
    <definedName name="Start8" localSheetId="49">#REF!</definedName>
    <definedName name="Start8" localSheetId="40">#REF!</definedName>
    <definedName name="Start8" localSheetId="43">#REF!</definedName>
    <definedName name="Start8" localSheetId="13">#REF!</definedName>
    <definedName name="Start8" localSheetId="38">#REF!</definedName>
    <definedName name="Start8">#REF!</definedName>
    <definedName name="Start81" localSheetId="3">#REF!</definedName>
    <definedName name="Start81" localSheetId="7">#REF!</definedName>
    <definedName name="Start81" localSheetId="9">#REF!</definedName>
    <definedName name="Start81" localSheetId="10">#REF!</definedName>
    <definedName name="Start81" localSheetId="15">#REF!</definedName>
    <definedName name="Start81" localSheetId="19">#REF!</definedName>
    <definedName name="Start81" localSheetId="20">#REF!</definedName>
    <definedName name="Start81" localSheetId="24">#REF!</definedName>
    <definedName name="Start81" localSheetId="104">#REF!</definedName>
    <definedName name="Start81" localSheetId="65">#REF!</definedName>
    <definedName name="Start81" localSheetId="64">#REF!</definedName>
    <definedName name="Start81" localSheetId="77">#REF!</definedName>
    <definedName name="Start81" localSheetId="49">#REF!</definedName>
    <definedName name="Start81" localSheetId="40">#REF!</definedName>
    <definedName name="Start81" localSheetId="43">#REF!</definedName>
    <definedName name="Start81" localSheetId="13">#REF!</definedName>
    <definedName name="Start81" localSheetId="38">#REF!</definedName>
    <definedName name="Start81">#REF!</definedName>
    <definedName name="Start82" localSheetId="3">#REF!</definedName>
    <definedName name="Start82" localSheetId="7">#REF!</definedName>
    <definedName name="Start82" localSheetId="9">#REF!</definedName>
    <definedName name="Start82" localSheetId="10">#REF!</definedName>
    <definedName name="Start82" localSheetId="15">#REF!</definedName>
    <definedName name="Start82" localSheetId="19">#REF!</definedName>
    <definedName name="Start82" localSheetId="20">#REF!</definedName>
    <definedName name="Start82" localSheetId="24">#REF!</definedName>
    <definedName name="Start82" localSheetId="104">#REF!</definedName>
    <definedName name="Start82" localSheetId="65">#REF!</definedName>
    <definedName name="Start82" localSheetId="64">#REF!</definedName>
    <definedName name="Start82" localSheetId="77">#REF!</definedName>
    <definedName name="Start82" localSheetId="49">#REF!</definedName>
    <definedName name="Start82" localSheetId="40">#REF!</definedName>
    <definedName name="Start82" localSheetId="43">#REF!</definedName>
    <definedName name="Start82" localSheetId="13">#REF!</definedName>
    <definedName name="Start82" localSheetId="38">#REF!</definedName>
    <definedName name="Start82">#REF!</definedName>
    <definedName name="Start83" localSheetId="3">#REF!</definedName>
    <definedName name="Start83" localSheetId="7">#REF!</definedName>
    <definedName name="Start83" localSheetId="9">#REF!</definedName>
    <definedName name="Start83" localSheetId="10">#REF!</definedName>
    <definedName name="Start83" localSheetId="15">#REF!</definedName>
    <definedName name="Start83" localSheetId="19">#REF!</definedName>
    <definedName name="Start83" localSheetId="20">#REF!</definedName>
    <definedName name="Start83" localSheetId="24">#REF!</definedName>
    <definedName name="Start83" localSheetId="104">#REF!</definedName>
    <definedName name="Start83" localSheetId="65">#REF!</definedName>
    <definedName name="Start83" localSheetId="64">#REF!</definedName>
    <definedName name="Start83" localSheetId="77">#REF!</definedName>
    <definedName name="Start83" localSheetId="49">#REF!</definedName>
    <definedName name="Start83" localSheetId="40">#REF!</definedName>
    <definedName name="Start83" localSheetId="43">#REF!</definedName>
    <definedName name="Start83" localSheetId="13">#REF!</definedName>
    <definedName name="Start83" localSheetId="38">#REF!</definedName>
    <definedName name="Start83">#REF!</definedName>
    <definedName name="Start84" localSheetId="3">#REF!</definedName>
    <definedName name="Start84" localSheetId="7">#REF!</definedName>
    <definedName name="Start84" localSheetId="9">#REF!</definedName>
    <definedName name="Start84" localSheetId="10">#REF!</definedName>
    <definedName name="Start84" localSheetId="15">#REF!</definedName>
    <definedName name="Start84" localSheetId="19">#REF!</definedName>
    <definedName name="Start84" localSheetId="20">#REF!</definedName>
    <definedName name="Start84" localSheetId="24">#REF!</definedName>
    <definedName name="Start84" localSheetId="104">#REF!</definedName>
    <definedName name="Start84" localSheetId="65">#REF!</definedName>
    <definedName name="Start84" localSheetId="64">#REF!</definedName>
    <definedName name="Start84" localSheetId="77">#REF!</definedName>
    <definedName name="Start84" localSheetId="49">#REF!</definedName>
    <definedName name="Start84" localSheetId="40">#REF!</definedName>
    <definedName name="Start84" localSheetId="43">#REF!</definedName>
    <definedName name="Start84" localSheetId="13">#REF!</definedName>
    <definedName name="Start84" localSheetId="38">#REF!</definedName>
    <definedName name="Start84">#REF!</definedName>
    <definedName name="Start85" localSheetId="3">#REF!</definedName>
    <definedName name="Start85" localSheetId="7">#REF!</definedName>
    <definedName name="Start85" localSheetId="9">#REF!</definedName>
    <definedName name="Start85" localSheetId="10">#REF!</definedName>
    <definedName name="Start85" localSheetId="15">#REF!</definedName>
    <definedName name="Start85" localSheetId="19">#REF!</definedName>
    <definedName name="Start85" localSheetId="20">#REF!</definedName>
    <definedName name="Start85" localSheetId="24">#REF!</definedName>
    <definedName name="Start85" localSheetId="104">#REF!</definedName>
    <definedName name="Start85" localSheetId="65">#REF!</definedName>
    <definedName name="Start85" localSheetId="64">#REF!</definedName>
    <definedName name="Start85" localSheetId="77">#REF!</definedName>
    <definedName name="Start85" localSheetId="49">#REF!</definedName>
    <definedName name="Start85" localSheetId="40">#REF!</definedName>
    <definedName name="Start85" localSheetId="43">#REF!</definedName>
    <definedName name="Start85" localSheetId="13">#REF!</definedName>
    <definedName name="Start85" localSheetId="38">#REF!</definedName>
    <definedName name="Start85">#REF!</definedName>
    <definedName name="Start86" localSheetId="3">#REF!</definedName>
    <definedName name="Start86" localSheetId="7">#REF!</definedName>
    <definedName name="Start86" localSheetId="9">#REF!</definedName>
    <definedName name="Start86" localSheetId="10">#REF!</definedName>
    <definedName name="Start86" localSheetId="15">#REF!</definedName>
    <definedName name="Start86" localSheetId="19">#REF!</definedName>
    <definedName name="Start86" localSheetId="20">#REF!</definedName>
    <definedName name="Start86" localSheetId="24">#REF!</definedName>
    <definedName name="Start86" localSheetId="104">#REF!</definedName>
    <definedName name="Start86" localSheetId="65">#REF!</definedName>
    <definedName name="Start86" localSheetId="64">#REF!</definedName>
    <definedName name="Start86" localSheetId="77">#REF!</definedName>
    <definedName name="Start86" localSheetId="49">#REF!</definedName>
    <definedName name="Start86" localSheetId="40">#REF!</definedName>
    <definedName name="Start86" localSheetId="43">#REF!</definedName>
    <definedName name="Start86" localSheetId="13">#REF!</definedName>
    <definedName name="Start86" localSheetId="38">#REF!</definedName>
    <definedName name="Start86">#REF!</definedName>
    <definedName name="Start87" localSheetId="3">#REF!</definedName>
    <definedName name="Start87" localSheetId="7">#REF!</definedName>
    <definedName name="Start87" localSheetId="9">#REF!</definedName>
    <definedName name="Start87" localSheetId="10">#REF!</definedName>
    <definedName name="Start87" localSheetId="15">#REF!</definedName>
    <definedName name="Start87" localSheetId="19">#REF!</definedName>
    <definedName name="Start87" localSheetId="20">#REF!</definedName>
    <definedName name="Start87" localSheetId="24">#REF!</definedName>
    <definedName name="Start87" localSheetId="104">#REF!</definedName>
    <definedName name="Start87" localSheetId="65">#REF!</definedName>
    <definedName name="Start87" localSheetId="64">#REF!</definedName>
    <definedName name="Start87" localSheetId="77">#REF!</definedName>
    <definedName name="Start87" localSheetId="49">#REF!</definedName>
    <definedName name="Start87" localSheetId="40">#REF!</definedName>
    <definedName name="Start87" localSheetId="43">#REF!</definedName>
    <definedName name="Start87" localSheetId="13">#REF!</definedName>
    <definedName name="Start87" localSheetId="38">#REF!</definedName>
    <definedName name="Start87">#REF!</definedName>
    <definedName name="Start88" localSheetId="3">#REF!</definedName>
    <definedName name="Start88" localSheetId="7">#REF!</definedName>
    <definedName name="Start88" localSheetId="9">#REF!</definedName>
    <definedName name="Start88" localSheetId="10">#REF!</definedName>
    <definedName name="Start88" localSheetId="15">#REF!</definedName>
    <definedName name="Start88" localSheetId="19">#REF!</definedName>
    <definedName name="Start88" localSheetId="20">#REF!</definedName>
    <definedName name="Start88" localSheetId="24">#REF!</definedName>
    <definedName name="Start88" localSheetId="104">#REF!</definedName>
    <definedName name="Start88" localSheetId="65">#REF!</definedName>
    <definedName name="Start88" localSheetId="64">#REF!</definedName>
    <definedName name="Start88" localSheetId="77">#REF!</definedName>
    <definedName name="Start88" localSheetId="49">#REF!</definedName>
    <definedName name="Start88" localSheetId="40">#REF!</definedName>
    <definedName name="Start88" localSheetId="43">#REF!</definedName>
    <definedName name="Start88" localSheetId="13">#REF!</definedName>
    <definedName name="Start88" localSheetId="38">#REF!</definedName>
    <definedName name="Start88">#REF!</definedName>
    <definedName name="Start89" localSheetId="3">#REF!</definedName>
    <definedName name="Start89" localSheetId="7">#REF!</definedName>
    <definedName name="Start89" localSheetId="9">#REF!</definedName>
    <definedName name="Start89" localSheetId="10">#REF!</definedName>
    <definedName name="Start89" localSheetId="15">#REF!</definedName>
    <definedName name="Start89" localSheetId="19">#REF!</definedName>
    <definedName name="Start89" localSheetId="20">#REF!</definedName>
    <definedName name="Start89" localSheetId="24">#REF!</definedName>
    <definedName name="Start89" localSheetId="104">#REF!</definedName>
    <definedName name="Start89" localSheetId="65">#REF!</definedName>
    <definedName name="Start89" localSheetId="64">#REF!</definedName>
    <definedName name="Start89" localSheetId="77">#REF!</definedName>
    <definedName name="Start89" localSheetId="49">#REF!</definedName>
    <definedName name="Start89" localSheetId="40">#REF!</definedName>
    <definedName name="Start89" localSheetId="43">#REF!</definedName>
    <definedName name="Start89" localSheetId="13">#REF!</definedName>
    <definedName name="Start89" localSheetId="38">#REF!</definedName>
    <definedName name="Start89">#REF!</definedName>
    <definedName name="Start9" localSheetId="3">#REF!</definedName>
    <definedName name="Start9" localSheetId="7">#REF!</definedName>
    <definedName name="Start9" localSheetId="9">#REF!</definedName>
    <definedName name="Start9" localSheetId="10">#REF!</definedName>
    <definedName name="Start9" localSheetId="15">#REF!</definedName>
    <definedName name="Start9" localSheetId="19">#REF!</definedName>
    <definedName name="Start9" localSheetId="20">#REF!</definedName>
    <definedName name="Start9" localSheetId="24">#REF!</definedName>
    <definedName name="Start9" localSheetId="104">#REF!</definedName>
    <definedName name="Start9" localSheetId="65">#REF!</definedName>
    <definedName name="Start9" localSheetId="64">#REF!</definedName>
    <definedName name="Start9" localSheetId="77">#REF!</definedName>
    <definedName name="Start9" localSheetId="49">#REF!</definedName>
    <definedName name="Start9" localSheetId="40">#REF!</definedName>
    <definedName name="Start9" localSheetId="43">#REF!</definedName>
    <definedName name="Start9" localSheetId="13">#REF!</definedName>
    <definedName name="Start9" localSheetId="38">#REF!</definedName>
    <definedName name="Start9">#REF!</definedName>
    <definedName name="Start90" localSheetId="3">#REF!</definedName>
    <definedName name="Start90" localSheetId="7">#REF!</definedName>
    <definedName name="Start90" localSheetId="9">#REF!</definedName>
    <definedName name="Start90" localSheetId="10">#REF!</definedName>
    <definedName name="Start90" localSheetId="15">#REF!</definedName>
    <definedName name="Start90" localSheetId="19">#REF!</definedName>
    <definedName name="Start90" localSheetId="20">#REF!</definedName>
    <definedName name="Start90" localSheetId="24">#REF!</definedName>
    <definedName name="Start90" localSheetId="104">#REF!</definedName>
    <definedName name="Start90" localSheetId="65">#REF!</definedName>
    <definedName name="Start90" localSheetId="64">#REF!</definedName>
    <definedName name="Start90" localSheetId="77">#REF!</definedName>
    <definedName name="Start90" localSheetId="49">#REF!</definedName>
    <definedName name="Start90" localSheetId="40">#REF!</definedName>
    <definedName name="Start90" localSheetId="43">#REF!</definedName>
    <definedName name="Start90" localSheetId="13">#REF!</definedName>
    <definedName name="Start90" localSheetId="38">#REF!</definedName>
    <definedName name="Start90">#REF!</definedName>
    <definedName name="Start91" localSheetId="3">#REF!</definedName>
    <definedName name="Start91" localSheetId="7">#REF!</definedName>
    <definedName name="Start91" localSheetId="9">#REF!</definedName>
    <definedName name="Start91" localSheetId="10">#REF!</definedName>
    <definedName name="Start91" localSheetId="15">#REF!</definedName>
    <definedName name="Start91" localSheetId="19">#REF!</definedName>
    <definedName name="Start91" localSheetId="20">#REF!</definedName>
    <definedName name="Start91" localSheetId="24">#REF!</definedName>
    <definedName name="Start91" localSheetId="104">#REF!</definedName>
    <definedName name="Start91" localSheetId="65">#REF!</definedName>
    <definedName name="Start91" localSheetId="64">#REF!</definedName>
    <definedName name="Start91" localSheetId="77">#REF!</definedName>
    <definedName name="Start91" localSheetId="49">#REF!</definedName>
    <definedName name="Start91" localSheetId="40">#REF!</definedName>
    <definedName name="Start91" localSheetId="43">#REF!</definedName>
    <definedName name="Start91" localSheetId="13">#REF!</definedName>
    <definedName name="Start91" localSheetId="38">#REF!</definedName>
    <definedName name="Start91">#REF!</definedName>
    <definedName name="Start92" localSheetId="3">#REF!</definedName>
    <definedName name="Start92" localSheetId="7">#REF!</definedName>
    <definedName name="Start92" localSheetId="9">#REF!</definedName>
    <definedName name="Start92" localSheetId="10">#REF!</definedName>
    <definedName name="Start92" localSheetId="15">#REF!</definedName>
    <definedName name="Start92" localSheetId="19">#REF!</definedName>
    <definedName name="Start92" localSheetId="20">#REF!</definedName>
    <definedName name="Start92" localSheetId="24">#REF!</definedName>
    <definedName name="Start92" localSheetId="104">#REF!</definedName>
    <definedName name="Start92" localSheetId="65">#REF!</definedName>
    <definedName name="Start92" localSheetId="64">#REF!</definedName>
    <definedName name="Start92" localSheetId="77">#REF!</definedName>
    <definedName name="Start92" localSheetId="49">#REF!</definedName>
    <definedName name="Start92" localSheetId="40">#REF!</definedName>
    <definedName name="Start92" localSheetId="43">#REF!</definedName>
    <definedName name="Start92" localSheetId="13">#REF!</definedName>
    <definedName name="Start92" localSheetId="38">#REF!</definedName>
    <definedName name="Start92">#REF!</definedName>
    <definedName name="Start93" localSheetId="3">#REF!</definedName>
    <definedName name="Start93" localSheetId="7">#REF!</definedName>
    <definedName name="Start93" localSheetId="9">#REF!</definedName>
    <definedName name="Start93" localSheetId="10">#REF!</definedName>
    <definedName name="Start93" localSheetId="15">#REF!</definedName>
    <definedName name="Start93" localSheetId="19">#REF!</definedName>
    <definedName name="Start93" localSheetId="20">#REF!</definedName>
    <definedName name="Start93" localSheetId="24">#REF!</definedName>
    <definedName name="Start93" localSheetId="104">#REF!</definedName>
    <definedName name="Start93" localSheetId="65">#REF!</definedName>
    <definedName name="Start93" localSheetId="64">#REF!</definedName>
    <definedName name="Start93" localSheetId="77">#REF!</definedName>
    <definedName name="Start93" localSheetId="49">#REF!</definedName>
    <definedName name="Start93" localSheetId="40">#REF!</definedName>
    <definedName name="Start93" localSheetId="43">#REF!</definedName>
    <definedName name="Start93" localSheetId="13">#REF!</definedName>
    <definedName name="Start93" localSheetId="38">#REF!</definedName>
    <definedName name="Start93">#REF!</definedName>
    <definedName name="Start94" localSheetId="3">#REF!</definedName>
    <definedName name="Start94" localSheetId="7">#REF!</definedName>
    <definedName name="Start94" localSheetId="9">#REF!</definedName>
    <definedName name="Start94" localSheetId="10">#REF!</definedName>
    <definedName name="Start94" localSheetId="15">#REF!</definedName>
    <definedName name="Start94" localSheetId="19">#REF!</definedName>
    <definedName name="Start94" localSheetId="20">#REF!</definedName>
    <definedName name="Start94" localSheetId="24">#REF!</definedName>
    <definedName name="Start94" localSheetId="104">#REF!</definedName>
    <definedName name="Start94" localSheetId="65">#REF!</definedName>
    <definedName name="Start94" localSheetId="64">#REF!</definedName>
    <definedName name="Start94" localSheetId="77">#REF!</definedName>
    <definedName name="Start94" localSheetId="49">#REF!</definedName>
    <definedName name="Start94" localSheetId="40">#REF!</definedName>
    <definedName name="Start94" localSheetId="43">#REF!</definedName>
    <definedName name="Start94" localSheetId="13">#REF!</definedName>
    <definedName name="Start94" localSheetId="38">#REF!</definedName>
    <definedName name="Start94">#REF!</definedName>
    <definedName name="Start95" localSheetId="3">#REF!</definedName>
    <definedName name="Start95" localSheetId="7">#REF!</definedName>
    <definedName name="Start95" localSheetId="9">#REF!</definedName>
    <definedName name="Start95" localSheetId="10">#REF!</definedName>
    <definedName name="Start95" localSheetId="15">#REF!</definedName>
    <definedName name="Start95" localSheetId="19">#REF!</definedName>
    <definedName name="Start95" localSheetId="20">#REF!</definedName>
    <definedName name="Start95" localSheetId="24">#REF!</definedName>
    <definedName name="Start95" localSheetId="104">#REF!</definedName>
    <definedName name="Start95" localSheetId="65">#REF!</definedName>
    <definedName name="Start95" localSheetId="64">#REF!</definedName>
    <definedName name="Start95" localSheetId="77">#REF!</definedName>
    <definedName name="Start95" localSheetId="49">#REF!</definedName>
    <definedName name="Start95" localSheetId="40">#REF!</definedName>
    <definedName name="Start95" localSheetId="43">#REF!</definedName>
    <definedName name="Start95" localSheetId="13">#REF!</definedName>
    <definedName name="Start95" localSheetId="38">#REF!</definedName>
    <definedName name="Start95">#REF!</definedName>
    <definedName name="Start96" localSheetId="3">#REF!</definedName>
    <definedName name="Start96" localSheetId="7">#REF!</definedName>
    <definedName name="Start96" localSheetId="9">#REF!</definedName>
    <definedName name="Start96" localSheetId="10">#REF!</definedName>
    <definedName name="Start96" localSheetId="15">#REF!</definedName>
    <definedName name="Start96" localSheetId="19">#REF!</definedName>
    <definedName name="Start96" localSheetId="20">#REF!</definedName>
    <definedName name="Start96" localSheetId="24">#REF!</definedName>
    <definedName name="Start96" localSheetId="104">#REF!</definedName>
    <definedName name="Start96" localSheetId="65">#REF!</definedName>
    <definedName name="Start96" localSheetId="64">#REF!</definedName>
    <definedName name="Start96" localSheetId="77">#REF!</definedName>
    <definedName name="Start96" localSheetId="49">#REF!</definedName>
    <definedName name="Start96" localSheetId="40">#REF!</definedName>
    <definedName name="Start96" localSheetId="43">#REF!</definedName>
    <definedName name="Start96" localSheetId="13">#REF!</definedName>
    <definedName name="Start96" localSheetId="38">#REF!</definedName>
    <definedName name="Start96">#REF!</definedName>
    <definedName name="Start97" localSheetId="3">#REF!</definedName>
    <definedName name="Start97" localSheetId="7">#REF!</definedName>
    <definedName name="Start97" localSheetId="9">#REF!</definedName>
    <definedName name="Start97" localSheetId="10">#REF!</definedName>
    <definedName name="Start97" localSheetId="15">#REF!</definedName>
    <definedName name="Start97" localSheetId="19">#REF!</definedName>
    <definedName name="Start97" localSheetId="20">#REF!</definedName>
    <definedName name="Start97" localSheetId="24">#REF!</definedName>
    <definedName name="Start97" localSheetId="104">#REF!</definedName>
    <definedName name="Start97" localSheetId="65">#REF!</definedName>
    <definedName name="Start97" localSheetId="64">#REF!</definedName>
    <definedName name="Start97" localSheetId="77">#REF!</definedName>
    <definedName name="Start97" localSheetId="49">#REF!</definedName>
    <definedName name="Start97" localSheetId="40">#REF!</definedName>
    <definedName name="Start97" localSheetId="43">#REF!</definedName>
    <definedName name="Start97" localSheetId="13">#REF!</definedName>
    <definedName name="Start97" localSheetId="38">#REF!</definedName>
    <definedName name="Start97">#REF!</definedName>
    <definedName name="Start98" localSheetId="3">#REF!</definedName>
    <definedName name="Start98" localSheetId="7">#REF!</definedName>
    <definedName name="Start98" localSheetId="9">#REF!</definedName>
    <definedName name="Start98" localSheetId="10">#REF!</definedName>
    <definedName name="Start98" localSheetId="15">#REF!</definedName>
    <definedName name="Start98" localSheetId="19">#REF!</definedName>
    <definedName name="Start98" localSheetId="20">#REF!</definedName>
    <definedName name="Start98" localSheetId="24">#REF!</definedName>
    <definedName name="Start98" localSheetId="104">#REF!</definedName>
    <definedName name="Start98" localSheetId="65">#REF!</definedName>
    <definedName name="Start98" localSheetId="64">#REF!</definedName>
    <definedName name="Start98" localSheetId="77">#REF!</definedName>
    <definedName name="Start98" localSheetId="49">#REF!</definedName>
    <definedName name="Start98" localSheetId="40">#REF!</definedName>
    <definedName name="Start98" localSheetId="43">#REF!</definedName>
    <definedName name="Start98" localSheetId="13">#REF!</definedName>
    <definedName name="Start98" localSheetId="38">#REF!</definedName>
    <definedName name="Start98">#REF!</definedName>
    <definedName name="Start99" localSheetId="3">#REF!</definedName>
    <definedName name="Start99" localSheetId="7">#REF!</definedName>
    <definedName name="Start99" localSheetId="9">#REF!</definedName>
    <definedName name="Start99" localSheetId="10">#REF!</definedName>
    <definedName name="Start99" localSheetId="15">#REF!</definedName>
    <definedName name="Start99" localSheetId="19">#REF!</definedName>
    <definedName name="Start99" localSheetId="20">#REF!</definedName>
    <definedName name="Start99" localSheetId="24">#REF!</definedName>
    <definedName name="Start99" localSheetId="104">#REF!</definedName>
    <definedName name="Start99" localSheetId="65">#REF!</definedName>
    <definedName name="Start99" localSheetId="64">#REF!</definedName>
    <definedName name="Start99" localSheetId="77">#REF!</definedName>
    <definedName name="Start99" localSheetId="49">#REF!</definedName>
    <definedName name="Start99" localSheetId="40">#REF!</definedName>
    <definedName name="Start99" localSheetId="43">#REF!</definedName>
    <definedName name="Start99" localSheetId="13">#REF!</definedName>
    <definedName name="Start99" localSheetId="38">#REF!</definedName>
    <definedName name="Start99">#REF!</definedName>
    <definedName name="State" localSheetId="3">#REF!</definedName>
    <definedName name="State" localSheetId="7">#REF!</definedName>
    <definedName name="State" localSheetId="9">#REF!</definedName>
    <definedName name="State" localSheetId="10">#REF!</definedName>
    <definedName name="State" localSheetId="15">#REF!</definedName>
    <definedName name="State" localSheetId="19">#REF!</definedName>
    <definedName name="State" localSheetId="20">#REF!</definedName>
    <definedName name="State" localSheetId="24">#REF!</definedName>
    <definedName name="State" localSheetId="104">#REF!</definedName>
    <definedName name="State" localSheetId="65">#REF!</definedName>
    <definedName name="State" localSheetId="64">#REF!</definedName>
    <definedName name="State" localSheetId="77">#REF!</definedName>
    <definedName name="State" localSheetId="49">#REF!</definedName>
    <definedName name="State" localSheetId="48">#REF!</definedName>
    <definedName name="State" localSheetId="40">#REF!</definedName>
    <definedName name="State" localSheetId="43">#REF!</definedName>
    <definedName name="State" localSheetId="13">#REF!</definedName>
    <definedName name="State" localSheetId="38">#REF!</definedName>
    <definedName name="State">#REF!</definedName>
    <definedName name="Step" localSheetId="3">#REF!</definedName>
    <definedName name="Step" localSheetId="7">#REF!</definedName>
    <definedName name="Step" localSheetId="9">#REF!</definedName>
    <definedName name="Step" localSheetId="10">#REF!</definedName>
    <definedName name="Step" localSheetId="15">#REF!</definedName>
    <definedName name="Step" localSheetId="19">#REF!</definedName>
    <definedName name="Step" localSheetId="20">#REF!</definedName>
    <definedName name="Step" localSheetId="24">#REF!</definedName>
    <definedName name="Step" localSheetId="104">#REF!</definedName>
    <definedName name="Step" localSheetId="65">#REF!</definedName>
    <definedName name="Step" localSheetId="64">#REF!</definedName>
    <definedName name="Step" localSheetId="77">#REF!</definedName>
    <definedName name="Step" localSheetId="49">#REF!</definedName>
    <definedName name="Step" localSheetId="40">#REF!</definedName>
    <definedName name="Step" localSheetId="43">#REF!</definedName>
    <definedName name="Step" localSheetId="13">#REF!</definedName>
    <definedName name="Step" localSheetId="38">#REF!</definedName>
    <definedName name="Step">#REF!</definedName>
    <definedName name="StreamSummary" localSheetId="3">#REF!</definedName>
    <definedName name="StreamSummary" localSheetId="7">#REF!</definedName>
    <definedName name="StreamSummary" localSheetId="9">#REF!</definedName>
    <definedName name="StreamSummary" localSheetId="10">#REF!</definedName>
    <definedName name="StreamSummary" localSheetId="15">#REF!</definedName>
    <definedName name="StreamSummary" localSheetId="19">#REF!</definedName>
    <definedName name="StreamSummary" localSheetId="20">#REF!</definedName>
    <definedName name="StreamSummary" localSheetId="24">#REF!</definedName>
    <definedName name="StreamSummary" localSheetId="104">#REF!</definedName>
    <definedName name="StreamSummary" localSheetId="65">#REF!</definedName>
    <definedName name="StreamSummary" localSheetId="64">#REF!</definedName>
    <definedName name="StreamSummary" localSheetId="77">#REF!</definedName>
    <definedName name="StreamSummary" localSheetId="49">#REF!</definedName>
    <definedName name="StreamSummary" localSheetId="40">#REF!</definedName>
    <definedName name="StreamSummary" localSheetId="43">#REF!</definedName>
    <definedName name="StreamSummary" localSheetId="13">#REF!</definedName>
    <definedName name="StreamSummary" localSheetId="38">#REF!</definedName>
    <definedName name="StreamSummary">#REF!</definedName>
    <definedName name="stuff" localSheetId="3">#REF!</definedName>
    <definedName name="stuff" localSheetId="7">#REF!</definedName>
    <definedName name="stuff" localSheetId="9">#REF!</definedName>
    <definedName name="stuff" localSheetId="10">#REF!</definedName>
    <definedName name="stuff" localSheetId="15">#REF!</definedName>
    <definedName name="stuff" localSheetId="19">#REF!</definedName>
    <definedName name="stuff" localSheetId="20">#REF!</definedName>
    <definedName name="stuff" localSheetId="24">#REF!</definedName>
    <definedName name="stuff" localSheetId="104">#REF!</definedName>
    <definedName name="stuff" localSheetId="65">#REF!</definedName>
    <definedName name="stuff" localSheetId="64">#REF!</definedName>
    <definedName name="stuff" localSheetId="77">#REF!</definedName>
    <definedName name="stuff" localSheetId="49">#REF!</definedName>
    <definedName name="stuff" localSheetId="40">#REF!</definedName>
    <definedName name="stuff" localSheetId="43">#REF!</definedName>
    <definedName name="stuff" localSheetId="13">#REF!</definedName>
    <definedName name="stuff" localSheetId="38">#REF!</definedName>
    <definedName name="stuff">#REF!</definedName>
    <definedName name="SUBC" localSheetId="3">#REF!</definedName>
    <definedName name="SUBC" localSheetId="7">#REF!</definedName>
    <definedName name="SUBC" localSheetId="9">#REF!</definedName>
    <definedName name="SUBC" localSheetId="10">#REF!</definedName>
    <definedName name="SUBC" localSheetId="15">#REF!</definedName>
    <definedName name="SUBC" localSheetId="19">#REF!</definedName>
    <definedName name="SUBC" localSheetId="20">#REF!</definedName>
    <definedName name="SUBC" localSheetId="24">#REF!</definedName>
    <definedName name="SUBC" localSheetId="104">#REF!</definedName>
    <definedName name="SUBC" localSheetId="65">#REF!</definedName>
    <definedName name="SUBC" localSheetId="64">#REF!</definedName>
    <definedName name="SUBC" localSheetId="77">#REF!</definedName>
    <definedName name="SUBC" localSheetId="49">#REF!</definedName>
    <definedName name="SUBC" localSheetId="40">#REF!</definedName>
    <definedName name="SUBC" localSheetId="43">#REF!</definedName>
    <definedName name="SUBC" localSheetId="13">#REF!</definedName>
    <definedName name="SUBC" localSheetId="38">#REF!</definedName>
    <definedName name="SUBC">#REF!</definedName>
    <definedName name="SUBD" localSheetId="3">#REF!</definedName>
    <definedName name="SUBD" localSheetId="7">#REF!</definedName>
    <definedName name="SUBD" localSheetId="9">#REF!</definedName>
    <definedName name="SUBD" localSheetId="10">#REF!</definedName>
    <definedName name="SUBD" localSheetId="15">#REF!</definedName>
    <definedName name="SUBD" localSheetId="19">#REF!</definedName>
    <definedName name="SUBD" localSheetId="20">#REF!</definedName>
    <definedName name="SUBD" localSheetId="24">#REF!</definedName>
    <definedName name="SUBD" localSheetId="104">#REF!</definedName>
    <definedName name="SUBD" localSheetId="65">#REF!</definedName>
    <definedName name="SUBD" localSheetId="64">#REF!</definedName>
    <definedName name="SUBD" localSheetId="77">#REF!</definedName>
    <definedName name="SUBD" localSheetId="49">#REF!</definedName>
    <definedName name="SUBD" localSheetId="40">#REF!</definedName>
    <definedName name="SUBD" localSheetId="43">#REF!</definedName>
    <definedName name="SUBD" localSheetId="13">#REF!</definedName>
    <definedName name="SUBD" localSheetId="38">#REF!</definedName>
    <definedName name="SUBD">#REF!</definedName>
    <definedName name="SULFUR_CONTENT" localSheetId="3">#REF!</definedName>
    <definedName name="SULFUR_CONTENT" localSheetId="7">#REF!</definedName>
    <definedName name="SULFUR_CONTENT" localSheetId="9">#REF!</definedName>
    <definedName name="SULFUR_CONTENT" localSheetId="10">#REF!</definedName>
    <definedName name="SULFUR_CONTENT" localSheetId="15">#REF!</definedName>
    <definedName name="SULFUR_CONTENT" localSheetId="19">#REF!</definedName>
    <definedName name="SULFUR_CONTENT" localSheetId="20">#REF!</definedName>
    <definedName name="SULFUR_CONTENT" localSheetId="24">#REF!</definedName>
    <definedName name="SULFUR_CONTENT" localSheetId="104">#REF!</definedName>
    <definedName name="SULFUR_CONTENT" localSheetId="65">#REF!</definedName>
    <definedName name="SULFUR_CONTENT" localSheetId="64">#REF!</definedName>
    <definedName name="SULFUR_CONTENT" localSheetId="77">#REF!</definedName>
    <definedName name="SULFUR_CONTENT" localSheetId="49">#REF!</definedName>
    <definedName name="SULFUR_CONTENT" localSheetId="40">#REF!</definedName>
    <definedName name="SULFUR_CONTENT" localSheetId="43">#REF!</definedName>
    <definedName name="SULFUR_CONTENT" localSheetId="13">#REF!</definedName>
    <definedName name="SULFUR_CONTENT" localSheetId="38">#REF!</definedName>
    <definedName name="SULFUR_CONTENT">#REF!</definedName>
    <definedName name="sum_chg_rpt_test1" localSheetId="3">#REF!</definedName>
    <definedName name="sum_chg_rpt_test1" localSheetId="7">#REF!</definedName>
    <definedName name="sum_chg_rpt_test1" localSheetId="9">#REF!</definedName>
    <definedName name="sum_chg_rpt_test1" localSheetId="10">#REF!</definedName>
    <definedName name="sum_chg_rpt_test1" localSheetId="15">#REF!</definedName>
    <definedName name="sum_chg_rpt_test1" localSheetId="19">#REF!</definedName>
    <definedName name="sum_chg_rpt_test1" localSheetId="20">#REF!</definedName>
    <definedName name="sum_chg_rpt_test1" localSheetId="24">#REF!</definedName>
    <definedName name="sum_chg_rpt_test1" localSheetId="104">#REF!</definedName>
    <definedName name="sum_chg_rpt_test1" localSheetId="65">#REF!</definedName>
    <definedName name="sum_chg_rpt_test1" localSheetId="64">#REF!</definedName>
    <definedName name="sum_chg_rpt_test1" localSheetId="77">#REF!</definedName>
    <definedName name="sum_chg_rpt_test1" localSheetId="49">#REF!</definedName>
    <definedName name="sum_chg_rpt_test1" localSheetId="40">#REF!</definedName>
    <definedName name="sum_chg_rpt_test1" localSheetId="43">#REF!</definedName>
    <definedName name="sum_chg_rpt_test1" localSheetId="13">#REF!</definedName>
    <definedName name="sum_chg_rpt_test1" localSheetId="38">#REF!</definedName>
    <definedName name="sum_chg_rpt_test1">#REF!</definedName>
    <definedName name="sum_current_test1" localSheetId="3">#REF!</definedName>
    <definedName name="sum_current_test1" localSheetId="7">#REF!</definedName>
    <definedName name="sum_current_test1" localSheetId="9">#REF!</definedName>
    <definedName name="sum_current_test1" localSheetId="10">#REF!</definedName>
    <definedName name="sum_current_test1" localSheetId="15">#REF!</definedName>
    <definedName name="sum_current_test1" localSheetId="19">#REF!</definedName>
    <definedName name="sum_current_test1" localSheetId="20">#REF!</definedName>
    <definedName name="sum_current_test1" localSheetId="24">#REF!</definedName>
    <definedName name="sum_current_test1" localSheetId="104">#REF!</definedName>
    <definedName name="sum_current_test1" localSheetId="65">#REF!</definedName>
    <definedName name="sum_current_test1" localSheetId="64">#REF!</definedName>
    <definedName name="sum_current_test1" localSheetId="77">#REF!</definedName>
    <definedName name="sum_current_test1" localSheetId="49">#REF!</definedName>
    <definedName name="sum_current_test1" localSheetId="40">#REF!</definedName>
    <definedName name="sum_current_test1" localSheetId="43">#REF!</definedName>
    <definedName name="sum_current_test1" localSheetId="13">#REF!</definedName>
    <definedName name="sum_current_test1" localSheetId="38">#REF!</definedName>
    <definedName name="sum_current_test1">#REF!</definedName>
    <definedName name="sum_new_test1" localSheetId="3">#REF!</definedName>
    <definedName name="sum_new_test1" localSheetId="7">#REF!</definedName>
    <definedName name="sum_new_test1" localSheetId="9">#REF!</definedName>
    <definedName name="sum_new_test1" localSheetId="10">#REF!</definedName>
    <definedName name="sum_new_test1" localSheetId="15">#REF!</definedName>
    <definedName name="sum_new_test1" localSheetId="19">#REF!</definedName>
    <definedName name="sum_new_test1" localSheetId="20">#REF!</definedName>
    <definedName name="sum_new_test1" localSheetId="24">#REF!</definedName>
    <definedName name="sum_new_test1" localSheetId="104">#REF!</definedName>
    <definedName name="sum_new_test1" localSheetId="65">#REF!</definedName>
    <definedName name="sum_new_test1" localSheetId="64">#REF!</definedName>
    <definedName name="sum_new_test1" localSheetId="77">#REF!</definedName>
    <definedName name="sum_new_test1" localSheetId="49">#REF!</definedName>
    <definedName name="sum_new_test1" localSheetId="40">#REF!</definedName>
    <definedName name="sum_new_test1" localSheetId="43">#REF!</definedName>
    <definedName name="sum_new_test1" localSheetId="13">#REF!</definedName>
    <definedName name="sum_new_test1" localSheetId="38">#REF!</definedName>
    <definedName name="sum_new_test1">#REF!</definedName>
    <definedName name="Summary" localSheetId="3">#REF!</definedName>
    <definedName name="Summary" localSheetId="7">#REF!</definedName>
    <definedName name="Summary" localSheetId="9">#REF!</definedName>
    <definedName name="Summary" localSheetId="10">#REF!</definedName>
    <definedName name="Summary" localSheetId="15">#REF!</definedName>
    <definedName name="Summary" localSheetId="19">#REF!</definedName>
    <definedName name="Summary" localSheetId="20">#REF!</definedName>
    <definedName name="Summary" localSheetId="24">#REF!</definedName>
    <definedName name="Summary" localSheetId="104">#REF!</definedName>
    <definedName name="Summary" localSheetId="65">#REF!</definedName>
    <definedName name="Summary" localSheetId="64">#REF!</definedName>
    <definedName name="Summary" localSheetId="77">#REF!</definedName>
    <definedName name="Summary" localSheetId="49">#REF!</definedName>
    <definedName name="Summary" localSheetId="40">#REF!</definedName>
    <definedName name="Summary" localSheetId="43">#REF!</definedName>
    <definedName name="Summary" localSheetId="13">#REF!</definedName>
    <definedName name="Summary" localSheetId="38">#REF!</definedName>
    <definedName name="Summary">#REF!</definedName>
    <definedName name="SUMMARY2" localSheetId="3">#REF!</definedName>
    <definedName name="SUMMARY2" localSheetId="7">#REF!</definedName>
    <definedName name="SUMMARY2" localSheetId="9">#REF!</definedName>
    <definedName name="SUMMARY2" localSheetId="10">#REF!</definedName>
    <definedName name="SUMMARY2" localSheetId="15">#REF!</definedName>
    <definedName name="SUMMARY2" localSheetId="19">#REF!</definedName>
    <definedName name="SUMMARY2" localSheetId="20">#REF!</definedName>
    <definedName name="SUMMARY2" localSheetId="24">#REF!</definedName>
    <definedName name="SUMMARY2" localSheetId="104">#REF!</definedName>
    <definedName name="SUMMARY2" localSheetId="65">#REF!</definedName>
    <definedName name="SUMMARY2" localSheetId="64">#REF!</definedName>
    <definedName name="SUMMARY2" localSheetId="77">#REF!</definedName>
    <definedName name="SUMMARY2" localSheetId="49">#REF!</definedName>
    <definedName name="SUMMARY2" localSheetId="40">#REF!</definedName>
    <definedName name="SUMMARY2" localSheetId="43">#REF!</definedName>
    <definedName name="SUMMARY2" localSheetId="13">#REF!</definedName>
    <definedName name="SUMMARY2" localSheetId="38">#REF!</definedName>
    <definedName name="SUMMARY2">#REF!</definedName>
    <definedName name="SummRoutine" localSheetId="3">#REF!</definedName>
    <definedName name="SummRoutine" localSheetId="7">#REF!</definedName>
    <definedName name="SummRoutine" localSheetId="9">#REF!</definedName>
    <definedName name="SummRoutine" localSheetId="10">#REF!</definedName>
    <definedName name="SummRoutine" localSheetId="15">#REF!</definedName>
    <definedName name="SummRoutine" localSheetId="19">#REF!</definedName>
    <definedName name="SummRoutine" localSheetId="20">#REF!</definedName>
    <definedName name="SummRoutine" localSheetId="24">#REF!</definedName>
    <definedName name="SummRoutine" localSheetId="104">#REF!</definedName>
    <definedName name="SummRoutine" localSheetId="65">#REF!</definedName>
    <definedName name="SummRoutine" localSheetId="64">#REF!</definedName>
    <definedName name="SummRoutine" localSheetId="77">#REF!</definedName>
    <definedName name="SummRoutine" localSheetId="49">#REF!</definedName>
    <definedName name="SummRoutine" localSheetId="40">#REF!</definedName>
    <definedName name="SummRoutine" localSheetId="43">#REF!</definedName>
    <definedName name="SummRoutine" localSheetId="13">#REF!</definedName>
    <definedName name="SummRoutine" localSheetId="38">#REF!</definedName>
    <definedName name="SummRoutine">#REF!</definedName>
    <definedName name="SUMPTOT" localSheetId="3">#REF!</definedName>
    <definedName name="SUMPTOT" localSheetId="7">#REF!</definedName>
    <definedName name="SUMPTOT" localSheetId="9">#REF!</definedName>
    <definedName name="SUMPTOT" localSheetId="10">#REF!</definedName>
    <definedName name="SUMPTOT" localSheetId="15">#REF!</definedName>
    <definedName name="SUMPTOT" localSheetId="19">#REF!</definedName>
    <definedName name="SUMPTOT" localSheetId="20">#REF!</definedName>
    <definedName name="SUMPTOT" localSheetId="24">#REF!</definedName>
    <definedName name="SUMPTOT" localSheetId="104">#REF!</definedName>
    <definedName name="SUMPTOT" localSheetId="65">#REF!</definedName>
    <definedName name="SUMPTOT" localSheetId="64">#REF!</definedName>
    <definedName name="SUMPTOT" localSheetId="77">#REF!</definedName>
    <definedName name="SUMPTOT" localSheetId="49">#REF!</definedName>
    <definedName name="SUMPTOT" localSheetId="40">#REF!</definedName>
    <definedName name="SUMPTOT" localSheetId="43">#REF!</definedName>
    <definedName name="SUMPTOT" localSheetId="13">#REF!</definedName>
    <definedName name="SUMPTOT" localSheetId="38">#REF!</definedName>
    <definedName name="SUMPTOT">#REF!</definedName>
    <definedName name="SVGCp" localSheetId="3">#REF!</definedName>
    <definedName name="SVGCp" localSheetId="7">#REF!</definedName>
    <definedName name="SVGCp" localSheetId="9">#REF!</definedName>
    <definedName name="SVGCp" localSheetId="10">#REF!</definedName>
    <definedName name="SVGCp" localSheetId="15">#REF!</definedName>
    <definedName name="SVGCp" localSheetId="19">#REF!</definedName>
    <definedName name="SVGCp" localSheetId="20">#REF!</definedName>
    <definedName name="SVGCp" localSheetId="24">#REF!</definedName>
    <definedName name="SVGCp" localSheetId="104">#REF!</definedName>
    <definedName name="SVGCp" localSheetId="65">#REF!</definedName>
    <definedName name="SVGCp" localSheetId="64">#REF!</definedName>
    <definedName name="SVGCp" localSheetId="77">#REF!</definedName>
    <definedName name="SVGCp" localSheetId="49">#REF!</definedName>
    <definedName name="SVGCp" localSheetId="40">#REF!</definedName>
    <definedName name="SVGCp" localSheetId="43">#REF!</definedName>
    <definedName name="SVGCp" localSheetId="13">#REF!</definedName>
    <definedName name="SVGCp" localSheetId="38">#REF!</definedName>
    <definedName name="SVGCp">#REF!</definedName>
    <definedName name="Syngas_HHV" localSheetId="3">#REF!</definedName>
    <definedName name="Syngas_HHV" localSheetId="7">#REF!</definedName>
    <definedName name="Syngas_HHV" localSheetId="9">#REF!</definedName>
    <definedName name="Syngas_HHV" localSheetId="10">#REF!</definedName>
    <definedName name="Syngas_HHV" localSheetId="15">#REF!</definedName>
    <definedName name="Syngas_HHV" localSheetId="19">#REF!</definedName>
    <definedName name="Syngas_HHV" localSheetId="20">#REF!</definedName>
    <definedName name="Syngas_HHV" localSheetId="24">#REF!</definedName>
    <definedName name="Syngas_HHV" localSheetId="104">#REF!</definedName>
    <definedName name="Syngas_HHV" localSheetId="65">#REF!</definedName>
    <definedName name="Syngas_HHV" localSheetId="64">#REF!</definedName>
    <definedName name="Syngas_HHV" localSheetId="77">#REF!</definedName>
    <definedName name="Syngas_HHV" localSheetId="49">#REF!</definedName>
    <definedName name="Syngas_HHV" localSheetId="40">#REF!</definedName>
    <definedName name="Syngas_HHV" localSheetId="43">#REF!</definedName>
    <definedName name="Syngas_HHV" localSheetId="13">#REF!</definedName>
    <definedName name="Syngas_HHV" localSheetId="38">#REF!</definedName>
    <definedName name="Syngas_HHV">#REF!</definedName>
    <definedName name="Syngas_LHV" localSheetId="3">#REF!</definedName>
    <definedName name="Syngas_LHV" localSheetId="7">#REF!</definedName>
    <definedName name="Syngas_LHV" localSheetId="9">#REF!</definedName>
    <definedName name="Syngas_LHV" localSheetId="10">#REF!</definedName>
    <definedName name="Syngas_LHV" localSheetId="15">#REF!</definedName>
    <definedName name="Syngas_LHV" localSheetId="19">#REF!</definedName>
    <definedName name="Syngas_LHV" localSheetId="20">#REF!</definedName>
    <definedName name="Syngas_LHV" localSheetId="24">#REF!</definedName>
    <definedName name="Syngas_LHV" localSheetId="104">#REF!</definedName>
    <definedName name="Syngas_LHV" localSheetId="65">#REF!</definedName>
    <definedName name="Syngas_LHV" localSheetId="64">#REF!</definedName>
    <definedName name="Syngas_LHV" localSheetId="77">#REF!</definedName>
    <definedName name="Syngas_LHV" localSheetId="49">#REF!</definedName>
    <definedName name="Syngas_LHV" localSheetId="40">#REF!</definedName>
    <definedName name="Syngas_LHV" localSheetId="43">#REF!</definedName>
    <definedName name="Syngas_LHV" localSheetId="13">#REF!</definedName>
    <definedName name="Syngas_LHV" localSheetId="38">#REF!</definedName>
    <definedName name="Syngas_LHV">#REF!</definedName>
    <definedName name="T" localSheetId="3">#REF!</definedName>
    <definedName name="T" localSheetId="7">#REF!</definedName>
    <definedName name="T" localSheetId="9">#REF!</definedName>
    <definedName name="T" localSheetId="10">#REF!</definedName>
    <definedName name="T" localSheetId="15">#REF!</definedName>
    <definedName name="T" localSheetId="19">#REF!</definedName>
    <definedName name="T" localSheetId="20">#REF!</definedName>
    <definedName name="T" localSheetId="24">#REF!</definedName>
    <definedName name="T" localSheetId="104">#REF!</definedName>
    <definedName name="T" localSheetId="65">#REF!</definedName>
    <definedName name="T" localSheetId="64">#REF!</definedName>
    <definedName name="T" localSheetId="77">#REF!</definedName>
    <definedName name="T" localSheetId="49">#REF!</definedName>
    <definedName name="T" localSheetId="40">#REF!</definedName>
    <definedName name="T" localSheetId="43">#REF!</definedName>
    <definedName name="T" localSheetId="13">#REF!</definedName>
    <definedName name="T" localSheetId="38">#REF!</definedName>
    <definedName name="T">#REF!</definedName>
    <definedName name="T_oC" localSheetId="3">'[4]Process Tanks'!#REF!</definedName>
    <definedName name="T_oC" localSheetId="7">'[4]Process Tanks'!#REF!</definedName>
    <definedName name="T_oC" localSheetId="9">'[4]Process Tanks'!#REF!</definedName>
    <definedName name="T_oC" localSheetId="10">'[4]Process Tanks'!#REF!</definedName>
    <definedName name="T_oC" localSheetId="15">'[4]Process Tanks'!#REF!</definedName>
    <definedName name="T_oC" localSheetId="19">'[4]Process Tanks'!#REF!</definedName>
    <definedName name="T_oC" localSheetId="20">'[4]Process Tanks'!#REF!</definedName>
    <definedName name="T_oC" localSheetId="24">'[4]Process Tanks'!#REF!</definedName>
    <definedName name="T_oC" localSheetId="104">'[4]Process Tanks'!#REF!</definedName>
    <definedName name="T_oC" localSheetId="75">'[4]Process Tanks'!#REF!</definedName>
    <definedName name="T_oC" localSheetId="65">'[4]Process Tanks'!#REF!</definedName>
    <definedName name="T_oC" localSheetId="64">'[4]Process Tanks'!#REF!</definedName>
    <definedName name="T_oC" localSheetId="77">'[4]Process Tanks'!#REF!</definedName>
    <definedName name="T_oC" localSheetId="49">'[4]Process Tanks'!#REF!</definedName>
    <definedName name="T_oC" localSheetId="48">'[4]Process Tanks'!#REF!</definedName>
    <definedName name="T_oC" localSheetId="40">'[4]Process Tanks'!#REF!</definedName>
    <definedName name="T_oC" localSheetId="43">'[4]Process Tanks'!#REF!</definedName>
    <definedName name="T_oC" localSheetId="13">'[4]Process Tanks'!#REF!</definedName>
    <definedName name="T_oC" localSheetId="38">'[4]Process Tanks'!#REF!</definedName>
    <definedName name="T_oC">'[4]Process Tanks'!#REF!</definedName>
    <definedName name="T10H2545Max" localSheetId="3">#REF!</definedName>
    <definedName name="T10H2545Max" localSheetId="7">#REF!</definedName>
    <definedName name="T10H2545Max" localSheetId="9">#REF!</definedName>
    <definedName name="T10H2545Max" localSheetId="10">#REF!</definedName>
    <definedName name="T10H2545Max" localSheetId="15">#REF!</definedName>
    <definedName name="T10H2545Max" localSheetId="19">#REF!</definedName>
    <definedName name="T10H2545Max" localSheetId="20">#REF!</definedName>
    <definedName name="T10H2545Max" localSheetId="24">#REF!</definedName>
    <definedName name="T10H2545Max" localSheetId="104">#REF!</definedName>
    <definedName name="T10H2545Max" localSheetId="65">#REF!</definedName>
    <definedName name="T10H2545Max" localSheetId="64">#REF!</definedName>
    <definedName name="T10H2545Max" localSheetId="77">#REF!</definedName>
    <definedName name="T10H2545Max" localSheetId="49">#REF!</definedName>
    <definedName name="T10H2545Max" localSheetId="40">#REF!</definedName>
    <definedName name="T10H2545Max" localSheetId="43">#REF!</definedName>
    <definedName name="T10H2545Max" localSheetId="13">#REF!</definedName>
    <definedName name="T10H2545Max" localSheetId="38">#REF!</definedName>
    <definedName name="T10H2545Max">#REF!</definedName>
    <definedName name="T8A" localSheetId="3">'[30]Table 8 Att'!#REF!</definedName>
    <definedName name="T8A" localSheetId="7">'[30]Table 8 Att'!#REF!</definedName>
    <definedName name="T8A" localSheetId="9">'[30]Table 8 Att'!#REF!</definedName>
    <definedName name="T8A" localSheetId="10">'[30]Table 8 Att'!#REF!</definedName>
    <definedName name="T8A" localSheetId="15">'[30]Table 8 Att'!#REF!</definedName>
    <definedName name="T8A" localSheetId="19">'[30]Table 8 Att'!#REF!</definedName>
    <definedName name="T8A" localSheetId="20">'[30]Table 8 Att'!#REF!</definedName>
    <definedName name="T8A" localSheetId="24">'[30]Table 8 Att'!#REF!</definedName>
    <definedName name="T8A" localSheetId="104">'[30]Table 8 Att'!#REF!</definedName>
    <definedName name="T8A" localSheetId="65">'[30]Table 8 Att'!#REF!</definedName>
    <definedName name="T8A" localSheetId="64">'[30]Table 8 Att'!#REF!</definedName>
    <definedName name="T8A" localSheetId="77">'[30]Table 8 Att'!#REF!</definedName>
    <definedName name="T8A" localSheetId="49">'[30]Table 8 Att'!#REF!</definedName>
    <definedName name="T8A" localSheetId="40">'[30]Table 8 Att'!#REF!</definedName>
    <definedName name="T8A" localSheetId="43">'[30]Table 8 Att'!#REF!</definedName>
    <definedName name="T8A" localSheetId="13">'[30]Table 8 Att'!#REF!</definedName>
    <definedName name="T8A" localSheetId="38">'[30]Table 8 Att'!#REF!</definedName>
    <definedName name="T8A">'[30]Table 8 Att'!#REF!</definedName>
    <definedName name="Taa" localSheetId="3">#REF!</definedName>
    <definedName name="Taa" localSheetId="7">#REF!</definedName>
    <definedName name="Taa" localSheetId="9">#REF!</definedName>
    <definedName name="Taa" localSheetId="10">#REF!</definedName>
    <definedName name="Taa" localSheetId="15">#REF!</definedName>
    <definedName name="Taa" localSheetId="19">#REF!</definedName>
    <definedName name="Taa" localSheetId="20">#REF!</definedName>
    <definedName name="Taa" localSheetId="24">#REF!</definedName>
    <definedName name="Taa" localSheetId="104">#REF!</definedName>
    <definedName name="Taa" localSheetId="65">#REF!</definedName>
    <definedName name="Taa" localSheetId="64">#REF!</definedName>
    <definedName name="Taa" localSheetId="77">#REF!</definedName>
    <definedName name="Taa" localSheetId="49">#REF!</definedName>
    <definedName name="Taa" localSheetId="40">#REF!</definedName>
    <definedName name="Taa" localSheetId="43">#REF!</definedName>
    <definedName name="Taa" localSheetId="13">#REF!</definedName>
    <definedName name="Taa" localSheetId="38">#REF!</definedName>
    <definedName name="Taa">#REF!</definedName>
    <definedName name="Table_1_a" localSheetId="3">#REF!</definedName>
    <definedName name="Table_1_a" localSheetId="7">#REF!</definedName>
    <definedName name="Table_1_a" localSheetId="9">#REF!</definedName>
    <definedName name="Table_1_a" localSheetId="10">#REF!</definedName>
    <definedName name="Table_1_a" localSheetId="15">#REF!</definedName>
    <definedName name="Table_1_a" localSheetId="19">#REF!</definedName>
    <definedName name="Table_1_a" localSheetId="20">#REF!</definedName>
    <definedName name="Table_1_a" localSheetId="24">#REF!</definedName>
    <definedName name="Table_1_a" localSheetId="104">#REF!</definedName>
    <definedName name="Table_1_a" localSheetId="65">#REF!</definedName>
    <definedName name="Table_1_a" localSheetId="64">#REF!</definedName>
    <definedName name="Table_1_a" localSheetId="77">#REF!</definedName>
    <definedName name="Table_1_a" localSheetId="49">#REF!</definedName>
    <definedName name="Table_1_a" localSheetId="40">#REF!</definedName>
    <definedName name="Table_1_a" localSheetId="43">#REF!</definedName>
    <definedName name="Table_1_a" localSheetId="13">#REF!</definedName>
    <definedName name="Table_1_a" localSheetId="38">#REF!</definedName>
    <definedName name="Table_1_a">#REF!</definedName>
    <definedName name="Table1aold">#N/A</definedName>
    <definedName name="TailFactor" localSheetId="3">#REF!</definedName>
    <definedName name="TailFactor" localSheetId="7">#REF!</definedName>
    <definedName name="TailFactor" localSheetId="9">#REF!</definedName>
    <definedName name="TailFactor" localSheetId="10">#REF!</definedName>
    <definedName name="TailFactor" localSheetId="15">#REF!</definedName>
    <definedName name="TailFactor" localSheetId="19">#REF!</definedName>
    <definedName name="TailFactor" localSheetId="20">#REF!</definedName>
    <definedName name="TailFactor" localSheetId="24">#REF!</definedName>
    <definedName name="TailFactor" localSheetId="104">#REF!</definedName>
    <definedName name="TailFactor" localSheetId="65">#REF!</definedName>
    <definedName name="TailFactor" localSheetId="64">#REF!</definedName>
    <definedName name="TailFactor" localSheetId="77">#REF!</definedName>
    <definedName name="TailFactor" localSheetId="49">#REF!</definedName>
    <definedName name="TailFactor" localSheetId="40">#REF!</definedName>
    <definedName name="TailFactor" localSheetId="43">#REF!</definedName>
    <definedName name="TailFactor" localSheetId="13">#REF!</definedName>
    <definedName name="TailFactor" localSheetId="38">#REF!</definedName>
    <definedName name="TailFactor">#REF!</definedName>
    <definedName name="Tan" localSheetId="3">#REF!</definedName>
    <definedName name="Tan" localSheetId="7">#REF!</definedName>
    <definedName name="Tan" localSheetId="9">#REF!</definedName>
    <definedName name="Tan" localSheetId="10">#REF!</definedName>
    <definedName name="Tan" localSheetId="15">#REF!</definedName>
    <definedName name="Tan" localSheetId="19">#REF!</definedName>
    <definedName name="Tan" localSheetId="20">#REF!</definedName>
    <definedName name="Tan" localSheetId="24">#REF!</definedName>
    <definedName name="Tan" localSheetId="104">#REF!</definedName>
    <definedName name="Tan" localSheetId="65">#REF!</definedName>
    <definedName name="Tan" localSheetId="64">#REF!</definedName>
    <definedName name="Tan" localSheetId="77">#REF!</definedName>
    <definedName name="Tan" localSheetId="49">#REF!</definedName>
    <definedName name="Tan" localSheetId="40">#REF!</definedName>
    <definedName name="Tan" localSheetId="43">#REF!</definedName>
    <definedName name="Tan" localSheetId="13">#REF!</definedName>
    <definedName name="Tan" localSheetId="38">#REF!</definedName>
    <definedName name="Tan">#REF!</definedName>
    <definedName name="Tank" localSheetId="3">#REF!</definedName>
    <definedName name="Tank" localSheetId="7">#REF!</definedName>
    <definedName name="Tank" localSheetId="9">#REF!</definedName>
    <definedName name="Tank" localSheetId="10">#REF!</definedName>
    <definedName name="Tank" localSheetId="15">#REF!</definedName>
    <definedName name="Tank" localSheetId="19">#REF!</definedName>
    <definedName name="Tank" localSheetId="20">#REF!</definedName>
    <definedName name="Tank" localSheetId="24">#REF!</definedName>
    <definedName name="Tank" localSheetId="104">#REF!</definedName>
    <definedName name="Tank" localSheetId="65">#REF!</definedName>
    <definedName name="Tank" localSheetId="64">#REF!</definedName>
    <definedName name="Tank" localSheetId="77">#REF!</definedName>
    <definedName name="Tank" localSheetId="49">#REF!</definedName>
    <definedName name="Tank" localSheetId="40">#REF!</definedName>
    <definedName name="Tank" localSheetId="43">#REF!</definedName>
    <definedName name="Tank" localSheetId="13">#REF!</definedName>
    <definedName name="Tank" localSheetId="38">#REF!</definedName>
    <definedName name="Tank">#REF!</definedName>
    <definedName name="tank.cap.ann" localSheetId="3">#REF!</definedName>
    <definedName name="tank.cap.ann" localSheetId="7">#REF!</definedName>
    <definedName name="tank.cap.ann" localSheetId="9">#REF!</definedName>
    <definedName name="tank.cap.ann" localSheetId="10">#REF!</definedName>
    <definedName name="tank.cap.ann" localSheetId="15">#REF!</definedName>
    <definedName name="tank.cap.ann" localSheetId="19">#REF!</definedName>
    <definedName name="tank.cap.ann" localSheetId="20">#REF!</definedName>
    <definedName name="tank.cap.ann" localSheetId="24">#REF!</definedName>
    <definedName name="tank.cap.ann" localSheetId="104">#REF!</definedName>
    <definedName name="tank.cap.ann" localSheetId="65">#REF!</definedName>
    <definedName name="tank.cap.ann" localSheetId="64">#REF!</definedName>
    <definedName name="tank.cap.ann" localSheetId="77">#REF!</definedName>
    <definedName name="tank.cap.ann" localSheetId="49">#REF!</definedName>
    <definedName name="tank.cap.ann" localSheetId="40">#REF!</definedName>
    <definedName name="tank.cap.ann" localSheetId="43">#REF!</definedName>
    <definedName name="tank.cap.ann" localSheetId="13">#REF!</definedName>
    <definedName name="tank.cap.ann" localSheetId="38">#REF!</definedName>
    <definedName name="tank.cap.ann">#REF!</definedName>
    <definedName name="tank.cap.hr" localSheetId="3">#REF!</definedName>
    <definedName name="tank.cap.hr" localSheetId="7">#REF!</definedName>
    <definedName name="tank.cap.hr" localSheetId="9">#REF!</definedName>
    <definedName name="tank.cap.hr" localSheetId="10">#REF!</definedName>
    <definedName name="tank.cap.hr" localSheetId="15">#REF!</definedName>
    <definedName name="tank.cap.hr" localSheetId="19">#REF!</definedName>
    <definedName name="tank.cap.hr" localSheetId="20">#REF!</definedName>
    <definedName name="tank.cap.hr" localSheetId="24">#REF!</definedName>
    <definedName name="tank.cap.hr" localSheetId="104">#REF!</definedName>
    <definedName name="tank.cap.hr" localSheetId="65">#REF!</definedName>
    <definedName name="tank.cap.hr" localSheetId="64">#REF!</definedName>
    <definedName name="tank.cap.hr" localSheetId="77">#REF!</definedName>
    <definedName name="tank.cap.hr" localSheetId="49">#REF!</definedName>
    <definedName name="tank.cap.hr" localSheetId="40">#REF!</definedName>
    <definedName name="tank.cap.hr" localSheetId="43">#REF!</definedName>
    <definedName name="tank.cap.hr" localSheetId="13">#REF!</definedName>
    <definedName name="tank.cap.hr" localSheetId="38">#REF!</definedName>
    <definedName name="tank.cap.hr">#REF!</definedName>
    <definedName name="Tank_Emission" localSheetId="3">#REF!</definedName>
    <definedName name="Tank_Emission" localSheetId="7">#REF!</definedName>
    <definedName name="Tank_Emission" localSheetId="9">#REF!</definedName>
    <definedName name="Tank_Emission" localSheetId="10">#REF!</definedName>
    <definedName name="Tank_Emission" localSheetId="15">#REF!</definedName>
    <definedName name="Tank_Emission" localSheetId="19">#REF!</definedName>
    <definedName name="Tank_Emission" localSheetId="20">#REF!</definedName>
    <definedName name="Tank_Emission" localSheetId="24">#REF!</definedName>
    <definedName name="Tank_Emission" localSheetId="104">#REF!</definedName>
    <definedName name="Tank_Emission" localSheetId="65">#REF!</definedName>
    <definedName name="Tank_Emission" localSheetId="64">#REF!</definedName>
    <definedName name="Tank_Emission" localSheetId="77">#REF!</definedName>
    <definedName name="Tank_Emission" localSheetId="49">#REF!</definedName>
    <definedName name="Tank_Emission" localSheetId="40">#REF!</definedName>
    <definedName name="Tank_Emission" localSheetId="43">#REF!</definedName>
    <definedName name="Tank_Emission" localSheetId="13">#REF!</definedName>
    <definedName name="Tank_Emission" localSheetId="38">#REF!</definedName>
    <definedName name="Tank_Emission">#REF!</definedName>
    <definedName name="Tank_Vapor_Control">'[18]Drop Down Lists'!$A$8:$A$11</definedName>
    <definedName name="Tankcalc" localSheetId="3">#REF!</definedName>
    <definedName name="Tankcalc" localSheetId="7">#REF!</definedName>
    <definedName name="Tankcalc" localSheetId="9">#REF!</definedName>
    <definedName name="Tankcalc" localSheetId="10">#REF!</definedName>
    <definedName name="Tankcalc" localSheetId="15">#REF!</definedName>
    <definedName name="Tankcalc" localSheetId="19">#REF!</definedName>
    <definedName name="Tankcalc" localSheetId="20">#REF!</definedName>
    <definedName name="Tankcalc" localSheetId="24">#REF!</definedName>
    <definedName name="Tankcalc" localSheetId="104">#REF!</definedName>
    <definedName name="Tankcalc" localSheetId="65">#REF!</definedName>
    <definedName name="Tankcalc" localSheetId="64">#REF!</definedName>
    <definedName name="Tankcalc" localSheetId="77">#REF!</definedName>
    <definedName name="Tankcalc" localSheetId="49">#REF!</definedName>
    <definedName name="Tankcalc" localSheetId="40">#REF!</definedName>
    <definedName name="Tankcalc" localSheetId="43">#REF!</definedName>
    <definedName name="Tankcalc" localSheetId="13">#REF!</definedName>
    <definedName name="Tankcalc" localSheetId="38">#REF!</definedName>
    <definedName name="Tankcalc">#REF!</definedName>
    <definedName name="Tanklookup" localSheetId="3">#REF!</definedName>
    <definedName name="Tanklookup" localSheetId="7">#REF!</definedName>
    <definedName name="Tanklookup" localSheetId="9">#REF!</definedName>
    <definedName name="Tanklookup" localSheetId="10">#REF!</definedName>
    <definedName name="Tanklookup" localSheetId="15">#REF!</definedName>
    <definedName name="Tanklookup" localSheetId="19">#REF!</definedName>
    <definedName name="Tanklookup" localSheetId="20">#REF!</definedName>
    <definedName name="Tanklookup" localSheetId="24">#REF!</definedName>
    <definedName name="Tanklookup" localSheetId="104">#REF!</definedName>
    <definedName name="Tanklookup" localSheetId="65">#REF!</definedName>
    <definedName name="Tanklookup" localSheetId="64">#REF!</definedName>
    <definedName name="Tanklookup" localSheetId="77">#REF!</definedName>
    <definedName name="Tanklookup" localSheetId="49">#REF!</definedName>
    <definedName name="Tanklookup" localSheetId="40">#REF!</definedName>
    <definedName name="Tanklookup" localSheetId="43">#REF!</definedName>
    <definedName name="Tanklookup" localSheetId="13">#REF!</definedName>
    <definedName name="Tanklookup" localSheetId="38">#REF!</definedName>
    <definedName name="Tanklookup">#REF!</definedName>
    <definedName name="TankName" localSheetId="3">#REF!</definedName>
    <definedName name="TankName" localSheetId="7">#REF!</definedName>
    <definedName name="TankName" localSheetId="9">#REF!</definedName>
    <definedName name="TankName" localSheetId="10">#REF!</definedName>
    <definedName name="TankName" localSheetId="15">#REF!</definedName>
    <definedName name="TankName" localSheetId="19">#REF!</definedName>
    <definedName name="TankName" localSheetId="20">#REF!</definedName>
    <definedName name="TankName" localSheetId="24">#REF!</definedName>
    <definedName name="TankName" localSheetId="104">#REF!</definedName>
    <definedName name="TankName" localSheetId="65">#REF!</definedName>
    <definedName name="TankName" localSheetId="64">#REF!</definedName>
    <definedName name="TankName" localSheetId="77">#REF!</definedName>
    <definedName name="TankName" localSheetId="49">#REF!</definedName>
    <definedName name="TankName" localSheetId="40">#REF!</definedName>
    <definedName name="TankName" localSheetId="43">#REF!</definedName>
    <definedName name="TankName" localSheetId="13">#REF!</definedName>
    <definedName name="TankName" localSheetId="38">#REF!</definedName>
    <definedName name="TankName">#REF!</definedName>
    <definedName name="tankP" localSheetId="3">#REF!</definedName>
    <definedName name="tankP" localSheetId="7">#REF!</definedName>
    <definedName name="tankP" localSheetId="9">#REF!</definedName>
    <definedName name="tankP" localSheetId="10">#REF!</definedName>
    <definedName name="tankP" localSheetId="15">#REF!</definedName>
    <definedName name="tankP" localSheetId="19">#REF!</definedName>
    <definedName name="tankP" localSheetId="20">#REF!</definedName>
    <definedName name="tankP" localSheetId="24">#REF!</definedName>
    <definedName name="tankP" localSheetId="104">#REF!</definedName>
    <definedName name="tankP" localSheetId="65">#REF!</definedName>
    <definedName name="tankP" localSheetId="64">#REF!</definedName>
    <definedName name="tankP" localSheetId="77">#REF!</definedName>
    <definedName name="tankP" localSheetId="49">#REF!</definedName>
    <definedName name="tankP" localSheetId="40">#REF!</definedName>
    <definedName name="tankP" localSheetId="43">#REF!</definedName>
    <definedName name="tankP" localSheetId="13">#REF!</definedName>
    <definedName name="tankP" localSheetId="38">#REF!</definedName>
    <definedName name="tankP">#REF!</definedName>
    <definedName name="Tanks" localSheetId="3">'[19]Tanks 4.0'!#REF!</definedName>
    <definedName name="Tanks" localSheetId="7">'[19]Tanks 4.0'!#REF!</definedName>
    <definedName name="Tanks" localSheetId="9">'[19]Tanks 4.0'!#REF!</definedName>
    <definedName name="Tanks" localSheetId="10">'[19]Tanks 4.0'!#REF!</definedName>
    <definedName name="Tanks" localSheetId="15">'[19]Tanks 4.0'!#REF!</definedName>
    <definedName name="Tanks" localSheetId="19">'[19]Tanks 4.0'!#REF!</definedName>
    <definedName name="Tanks" localSheetId="20">'[19]Tanks 4.0'!#REF!</definedName>
    <definedName name="Tanks" localSheetId="24">'[19]Tanks 4.0'!#REF!</definedName>
    <definedName name="Tanks" localSheetId="104">'[19]Tanks 4.0'!#REF!</definedName>
    <definedName name="Tanks" localSheetId="65">'[19]Tanks 4.0'!#REF!</definedName>
    <definedName name="Tanks" localSheetId="64">'[19]Tanks 4.0'!#REF!</definedName>
    <definedName name="Tanks" localSheetId="77">'[19]Tanks 4.0'!#REF!</definedName>
    <definedName name="Tanks" localSheetId="49">'[19]Tanks 4.0'!#REF!</definedName>
    <definedName name="Tanks" localSheetId="40">'[19]Tanks 4.0'!#REF!</definedName>
    <definedName name="Tanks" localSheetId="43">'[19]Tanks 4.0'!#REF!</definedName>
    <definedName name="Tanks" localSheetId="13">'[19]Tanks 4.0'!#REF!</definedName>
    <definedName name="Tanks" localSheetId="38">'[19]Tanks 4.0'!#REF!</definedName>
    <definedName name="Tanks">'[19]Tanks 4.0'!#REF!</definedName>
    <definedName name="tanksIFR" localSheetId="3">#REF!</definedName>
    <definedName name="tanksIFR" localSheetId="7">#REF!</definedName>
    <definedName name="tanksIFR" localSheetId="9">#REF!</definedName>
    <definedName name="tanksIFR" localSheetId="10">#REF!</definedName>
    <definedName name="tanksIFR" localSheetId="15">#REF!</definedName>
    <definedName name="tanksIFR" localSheetId="19">#REF!</definedName>
    <definedName name="tanksIFR" localSheetId="20">#REF!</definedName>
    <definedName name="tanksIFR" localSheetId="24">#REF!</definedName>
    <definedName name="tanksIFR" localSheetId="104">#REF!</definedName>
    <definedName name="tanksIFR" localSheetId="65">#REF!</definedName>
    <definedName name="tanksIFR" localSheetId="64">#REF!</definedName>
    <definedName name="tanksIFR" localSheetId="77">#REF!</definedName>
    <definedName name="tanksIFR" localSheetId="49">#REF!</definedName>
    <definedName name="tanksIFR" localSheetId="40">#REF!</definedName>
    <definedName name="tanksIFR" localSheetId="43">#REF!</definedName>
    <definedName name="tanksIFR" localSheetId="13">#REF!</definedName>
    <definedName name="tanksIFR" localSheetId="38">#REF!</definedName>
    <definedName name="tanksIFR">#REF!</definedName>
    <definedName name="tanktot" localSheetId="3">#REF!</definedName>
    <definedName name="tanktot" localSheetId="7">#REF!</definedName>
    <definedName name="tanktot" localSheetId="9">#REF!</definedName>
    <definedName name="tanktot" localSheetId="10">#REF!</definedName>
    <definedName name="tanktot" localSheetId="15">#REF!</definedName>
    <definedName name="tanktot" localSheetId="19">#REF!</definedName>
    <definedName name="tanktot" localSheetId="20">#REF!</definedName>
    <definedName name="tanktot" localSheetId="24">#REF!</definedName>
    <definedName name="tanktot" localSheetId="104">#REF!</definedName>
    <definedName name="tanktot" localSheetId="65">#REF!</definedName>
    <definedName name="tanktot" localSheetId="64">#REF!</definedName>
    <definedName name="tanktot" localSheetId="77">#REF!</definedName>
    <definedName name="tanktot" localSheetId="49">#REF!</definedName>
    <definedName name="tanktot" localSheetId="40">#REF!</definedName>
    <definedName name="tanktot" localSheetId="43">#REF!</definedName>
    <definedName name="tanktot" localSheetId="13">#REF!</definedName>
    <definedName name="tanktot" localSheetId="38">#REF!</definedName>
    <definedName name="tanktot">#REF!</definedName>
    <definedName name="Tanktype" localSheetId="3">'[31]MSS FLR Tank Landing Loss'!#REF!</definedName>
    <definedName name="Tanktype" localSheetId="7">'[31]MSS FLR Tank Landing Loss'!#REF!</definedName>
    <definedName name="Tanktype" localSheetId="9">'[31]MSS FLR Tank Landing Loss'!#REF!</definedName>
    <definedName name="Tanktype" localSheetId="10">'[31]MSS FLR Tank Landing Loss'!#REF!</definedName>
    <definedName name="Tanktype" localSheetId="15">'[31]MSS FLR Tank Landing Loss'!#REF!</definedName>
    <definedName name="Tanktype" localSheetId="19">'[31]MSS FLR Tank Landing Loss'!#REF!</definedName>
    <definedName name="Tanktype" localSheetId="20">'[31]MSS FLR Tank Landing Loss'!#REF!</definedName>
    <definedName name="Tanktype" localSheetId="24">'[31]MSS FLR Tank Landing Loss'!#REF!</definedName>
    <definedName name="Tanktype" localSheetId="104">'[31]MSS FLR Tank Landing Loss'!#REF!</definedName>
    <definedName name="Tanktype" localSheetId="65">'[31]MSS FLR Tank Landing Loss'!#REF!</definedName>
    <definedName name="Tanktype" localSheetId="64">'[31]MSS FLR Tank Landing Loss'!#REF!</definedName>
    <definedName name="Tanktype" localSheetId="77">'[31]MSS FLR Tank Landing Loss'!#REF!</definedName>
    <definedName name="Tanktype" localSheetId="49">'[31]MSS FLR Tank Landing Loss'!#REF!</definedName>
    <definedName name="Tanktype" localSheetId="40">'[31]MSS FLR Tank Landing Loss'!#REF!</definedName>
    <definedName name="Tanktype" localSheetId="43">'[31]MSS FLR Tank Landing Loss'!#REF!</definedName>
    <definedName name="Tanktype" localSheetId="13">'[31]MSS FLR Tank Landing Loss'!#REF!</definedName>
    <definedName name="Tanktype" localSheetId="38">'[31]MSS FLR Tank Landing Loss'!#REF!</definedName>
    <definedName name="Tanktype">'[31]MSS FLR Tank Landing Loss'!#REF!</definedName>
    <definedName name="Tax" localSheetId="3">#REF!</definedName>
    <definedName name="Tax" localSheetId="7">#REF!</definedName>
    <definedName name="Tax" localSheetId="9">#REF!</definedName>
    <definedName name="Tax" localSheetId="10">#REF!</definedName>
    <definedName name="Tax" localSheetId="15">#REF!</definedName>
    <definedName name="Tax" localSheetId="19">#REF!</definedName>
    <definedName name="Tax" localSheetId="20">#REF!</definedName>
    <definedName name="Tax" localSheetId="24">#REF!</definedName>
    <definedName name="Tax" localSheetId="104">#REF!</definedName>
    <definedName name="Tax" localSheetId="65">#REF!</definedName>
    <definedName name="Tax" localSheetId="64">#REF!</definedName>
    <definedName name="Tax" localSheetId="77">#REF!</definedName>
    <definedName name="Tax" localSheetId="49">#REF!</definedName>
    <definedName name="Tax" localSheetId="40">#REF!</definedName>
    <definedName name="Tax" localSheetId="43">#REF!</definedName>
    <definedName name="Tax" localSheetId="13">#REF!</definedName>
    <definedName name="Tax" localSheetId="38">#REF!</definedName>
    <definedName name="Tax">#REF!</definedName>
    <definedName name="Tb" localSheetId="3">#REF!</definedName>
    <definedName name="Tb" localSheetId="7">#REF!</definedName>
    <definedName name="Tb" localSheetId="9">#REF!</definedName>
    <definedName name="Tb" localSheetId="10">#REF!</definedName>
    <definedName name="Tb" localSheetId="15">#REF!</definedName>
    <definedName name="Tb" localSheetId="19">#REF!</definedName>
    <definedName name="Tb" localSheetId="20">#REF!</definedName>
    <definedName name="Tb" localSheetId="24">#REF!</definedName>
    <definedName name="Tb" localSheetId="104">#REF!</definedName>
    <definedName name="Tb" localSheetId="65">#REF!</definedName>
    <definedName name="Tb" localSheetId="64">#REF!</definedName>
    <definedName name="Tb" localSheetId="77">#REF!</definedName>
    <definedName name="Tb" localSheetId="49">#REF!</definedName>
    <definedName name="Tb" localSheetId="40">#REF!</definedName>
    <definedName name="Tb" localSheetId="43">#REF!</definedName>
    <definedName name="Tb" localSheetId="13">#REF!</definedName>
    <definedName name="Tb" localSheetId="38">#REF!</definedName>
    <definedName name="Tb">#REF!</definedName>
    <definedName name="tbl_ProdInfo" localSheetId="3" hidden="1">#REF!</definedName>
    <definedName name="tbl_ProdInfo" localSheetId="7" hidden="1">#REF!</definedName>
    <definedName name="tbl_ProdInfo" localSheetId="9" hidden="1">#REF!</definedName>
    <definedName name="tbl_ProdInfo" localSheetId="10" hidden="1">#REF!</definedName>
    <definedName name="tbl_ProdInfo" localSheetId="15" hidden="1">#REF!</definedName>
    <definedName name="tbl_ProdInfo" localSheetId="18" hidden="1">#REF!</definedName>
    <definedName name="tbl_ProdInfo" localSheetId="19" hidden="1">#REF!</definedName>
    <definedName name="tbl_ProdInfo" localSheetId="20" hidden="1">#REF!</definedName>
    <definedName name="tbl_ProdInfo" localSheetId="23" hidden="1">#REF!</definedName>
    <definedName name="tbl_ProdInfo" localSheetId="24" hidden="1">#REF!</definedName>
    <definedName name="tbl_ProdInfo" localSheetId="35" hidden="1">#REF!</definedName>
    <definedName name="tbl_ProdInfo" localSheetId="58" hidden="1">#REF!</definedName>
    <definedName name="tbl_ProdInfo" localSheetId="60" hidden="1">#REF!</definedName>
    <definedName name="tbl_ProdInfo" localSheetId="51" hidden="1">#REF!</definedName>
    <definedName name="tbl_ProdInfo" localSheetId="54" hidden="1">#REF!</definedName>
    <definedName name="tbl_ProdInfo" localSheetId="47" hidden="1">#REF!</definedName>
    <definedName name="tbl_ProdInfo" localSheetId="105" hidden="1">#REF!</definedName>
    <definedName name="tbl_ProdInfo" localSheetId="104" hidden="1">#REF!</definedName>
    <definedName name="tbl_ProdInfo" localSheetId="88" hidden="1">#REF!</definedName>
    <definedName name="tbl_ProdInfo" localSheetId="89" hidden="1">#REF!</definedName>
    <definedName name="tbl_ProdInfo" localSheetId="87" hidden="1">#REF!</definedName>
    <definedName name="tbl_ProdInfo" localSheetId="90" hidden="1">#REF!</definedName>
    <definedName name="tbl_ProdInfo" localSheetId="70" hidden="1">#REF!</definedName>
    <definedName name="tbl_ProdInfo" localSheetId="63" hidden="1">#REF!</definedName>
    <definedName name="tbl_ProdInfo" localSheetId="65" hidden="1">#REF!</definedName>
    <definedName name="tbl_ProdInfo" localSheetId="64" hidden="1">#REF!</definedName>
    <definedName name="tbl_ProdInfo" localSheetId="77" hidden="1">#REF!</definedName>
    <definedName name="tbl_ProdInfo" localSheetId="49" hidden="1">#REF!</definedName>
    <definedName name="tbl_ProdInfo" localSheetId="48" hidden="1">#REF!</definedName>
    <definedName name="tbl_ProdInfo" localSheetId="57" hidden="1">#REF!</definedName>
    <definedName name="tbl_ProdInfo" localSheetId="59" hidden="1">#REF!</definedName>
    <definedName name="tbl_ProdInfo" localSheetId="52" hidden="1">#REF!</definedName>
    <definedName name="tbl_ProdInfo" localSheetId="67" hidden="1">#REF!</definedName>
    <definedName name="tbl_ProdInfo" localSheetId="80" hidden="1">#REF!</definedName>
    <definedName name="tbl_ProdInfo" localSheetId="40" hidden="1">#REF!</definedName>
    <definedName name="tbl_ProdInfo" localSheetId="43" hidden="1">#REF!</definedName>
    <definedName name="tbl_ProdInfo" localSheetId="55" hidden="1">#REF!</definedName>
    <definedName name="tbl_ProdInfo" localSheetId="81" hidden="1">#REF!</definedName>
    <definedName name="tbl_ProdInfo" localSheetId="53" hidden="1">#REF!</definedName>
    <definedName name="tbl_ProdInfo" localSheetId="13" hidden="1">#REF!</definedName>
    <definedName name="tbl_ProdInfo" localSheetId="11" hidden="1">#REF!</definedName>
    <definedName name="tbl_ProdInfo" localSheetId="38" hidden="1">#REF!</definedName>
    <definedName name="tbl_ProdInfo" localSheetId="41" hidden="1">#REF!</definedName>
    <definedName name="tbl_ProdInfo" localSheetId="101" hidden="1">#REF!</definedName>
    <definedName name="tbl_ProdInfo" localSheetId="102" hidden="1">#REF!</definedName>
    <definedName name="tbl_ProdInfo" localSheetId="103" hidden="1">#REF!</definedName>
    <definedName name="tbl_ProdInfo" localSheetId="97" hidden="1">#REF!</definedName>
    <definedName name="tbl_ProdInfo" localSheetId="42" hidden="1">#REF!</definedName>
    <definedName name="tbl_ProdInfo" localSheetId="12" hidden="1">#REF!</definedName>
    <definedName name="tbl_ProdInfo" localSheetId="73" hidden="1">#REF!</definedName>
    <definedName name="tbl_ProdInfo" localSheetId="74" hidden="1">#REF!</definedName>
    <definedName name="tbl_ProdInfo" hidden="1">#REF!</definedName>
    <definedName name="TEMP" localSheetId="3">#REF!</definedName>
    <definedName name="TEMP" localSheetId="7">#REF!</definedName>
    <definedName name="TEMP" localSheetId="9">#REF!</definedName>
    <definedName name="TEMP" localSheetId="10">#REF!</definedName>
    <definedName name="TEMP" localSheetId="15">#REF!</definedName>
    <definedName name="TEMP" localSheetId="19">#REF!</definedName>
    <definedName name="TEMP" localSheetId="20">#REF!</definedName>
    <definedName name="TEMP" localSheetId="24">#REF!</definedName>
    <definedName name="TEMP" localSheetId="104">#REF!</definedName>
    <definedName name="TEMP" localSheetId="65">#REF!</definedName>
    <definedName name="TEMP" localSheetId="64">#REF!</definedName>
    <definedName name="TEMP" localSheetId="77">#REF!</definedName>
    <definedName name="TEMP" localSheetId="49">#REF!</definedName>
    <definedName name="TEMP" localSheetId="40">#REF!</definedName>
    <definedName name="TEMP" localSheetId="43">#REF!</definedName>
    <definedName name="TEMP" localSheetId="13">#REF!</definedName>
    <definedName name="TEMP" localSheetId="38">#REF!</definedName>
    <definedName name="TEMP">#REF!</definedName>
    <definedName name="TEMP_67" localSheetId="3">#REF!</definedName>
    <definedName name="TEMP_67" localSheetId="7">#REF!</definedName>
    <definedName name="TEMP_67" localSheetId="9">#REF!</definedName>
    <definedName name="TEMP_67" localSheetId="10">#REF!</definedName>
    <definedName name="TEMP_67" localSheetId="15">#REF!</definedName>
    <definedName name="TEMP_67" localSheetId="19">#REF!</definedName>
    <definedName name="TEMP_67" localSheetId="20">#REF!</definedName>
    <definedName name="TEMP_67" localSheetId="24">#REF!</definedName>
    <definedName name="TEMP_67" localSheetId="104">#REF!</definedName>
    <definedName name="TEMP_67" localSheetId="65">#REF!</definedName>
    <definedName name="TEMP_67" localSheetId="64">#REF!</definedName>
    <definedName name="TEMP_67" localSheetId="77">#REF!</definedName>
    <definedName name="TEMP_67" localSheetId="49">#REF!</definedName>
    <definedName name="TEMP_67" localSheetId="40">#REF!</definedName>
    <definedName name="TEMP_67" localSheetId="43">#REF!</definedName>
    <definedName name="TEMP_67" localSheetId="13">#REF!</definedName>
    <definedName name="TEMP_67" localSheetId="38">#REF!</definedName>
    <definedName name="TEMP_67">#REF!</definedName>
    <definedName name="test" localSheetId="105" hidden="1">{"Detailed",#N/A,FALSE,"GAS-COMB";"Summary",#N/A,FALSE,"GAS-COMB"}</definedName>
    <definedName name="test" localSheetId="96" hidden="1">{"Detailed",#N/A,FALSE,"GAS-COMB";"Summary",#N/A,FALSE,"GAS-COMB"}</definedName>
    <definedName name="test" localSheetId="44" hidden="1">{"Detailed",#N/A,FALSE,"GAS-COMB";"Summary",#N/A,FALSE,"GAS-COMB"}</definedName>
    <definedName name="test" hidden="1">{"Detailed",#N/A,FALSE,"GAS-COMB";"Summary",#N/A,FALSE,"GAS-COMB"}</definedName>
    <definedName name="test1" localSheetId="50"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5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10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7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70"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63"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6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6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48"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5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6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4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8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73"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7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_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Averages" localSheetId="3">#REF!</definedName>
    <definedName name="TestAverages" localSheetId="7">#REF!</definedName>
    <definedName name="TestAverages" localSheetId="9">#REF!</definedName>
    <definedName name="TestAverages" localSheetId="10">#REF!</definedName>
    <definedName name="TestAverages" localSheetId="15">#REF!</definedName>
    <definedName name="TestAverages" localSheetId="19">#REF!</definedName>
    <definedName name="TestAverages" localSheetId="20">#REF!</definedName>
    <definedName name="TestAverages" localSheetId="24">#REF!</definedName>
    <definedName name="TestAverages" localSheetId="104">#REF!</definedName>
    <definedName name="TestAverages" localSheetId="65">#REF!</definedName>
    <definedName name="TestAverages" localSheetId="64">#REF!</definedName>
    <definedName name="TestAverages" localSheetId="77">#REF!</definedName>
    <definedName name="TestAverages" localSheetId="49">#REF!</definedName>
    <definedName name="TestAverages" localSheetId="40">#REF!</definedName>
    <definedName name="TestAverages" localSheetId="43">#REF!</definedName>
    <definedName name="TestAverages" localSheetId="13">#REF!</definedName>
    <definedName name="TestAverages" localSheetId="38">#REF!</definedName>
    <definedName name="TestAverages">#REF!</definedName>
    <definedName name="testing" localSheetId="105" hidden="1">{"Detailed",#N/A,FALSE,"GAS-COMB";"Summary",#N/A,FALSE,"GAS-COMB"}</definedName>
    <definedName name="testing" localSheetId="96" hidden="1">{"Detailed",#N/A,FALSE,"GAS-COMB";"Summary",#N/A,FALSE,"GAS-COMB"}</definedName>
    <definedName name="testing" localSheetId="44" hidden="1">{"Detailed",#N/A,FALSE,"GAS-COMB";"Summary",#N/A,FALSE,"GAS-COMB"}</definedName>
    <definedName name="testing" hidden="1">{"Detailed",#N/A,FALSE,"GAS-COMB";"Summary",#N/A,FALSE,"GAS-COMB"}</definedName>
    <definedName name="tests2" localSheetId="3" hidden="1">#REF!</definedName>
    <definedName name="tests2" localSheetId="7" hidden="1">#REF!</definedName>
    <definedName name="tests2" localSheetId="9" hidden="1">#REF!</definedName>
    <definedName name="tests2" localSheetId="10" hidden="1">#REF!</definedName>
    <definedName name="tests2" localSheetId="15" hidden="1">#REF!</definedName>
    <definedName name="tests2" localSheetId="18" hidden="1">#REF!</definedName>
    <definedName name="tests2" localSheetId="19" hidden="1">#REF!</definedName>
    <definedName name="tests2" localSheetId="20" hidden="1">#REF!</definedName>
    <definedName name="tests2" localSheetId="23" hidden="1">#REF!</definedName>
    <definedName name="tests2" localSheetId="24" hidden="1">#REF!</definedName>
    <definedName name="tests2" localSheetId="35" hidden="1">#REF!</definedName>
    <definedName name="tests2" localSheetId="58" hidden="1">#REF!</definedName>
    <definedName name="tests2" localSheetId="60" hidden="1">#REF!</definedName>
    <definedName name="tests2" localSheetId="51" hidden="1">#REF!</definedName>
    <definedName name="tests2" localSheetId="54" hidden="1">#REF!</definedName>
    <definedName name="tests2" localSheetId="47" hidden="1">#REF!</definedName>
    <definedName name="tests2" localSheetId="105" hidden="1">#REF!</definedName>
    <definedName name="tests2" localSheetId="104" hidden="1">#REF!</definedName>
    <definedName name="tests2" localSheetId="88" hidden="1">#REF!</definedName>
    <definedName name="tests2" localSheetId="89" hidden="1">#REF!</definedName>
    <definedName name="tests2" localSheetId="87" hidden="1">#REF!</definedName>
    <definedName name="tests2" localSheetId="90" hidden="1">#REF!</definedName>
    <definedName name="tests2" localSheetId="70" hidden="1">#REF!</definedName>
    <definedName name="tests2" localSheetId="65" hidden="1">#REF!</definedName>
    <definedName name="tests2" localSheetId="64" hidden="1">#REF!</definedName>
    <definedName name="tests2" localSheetId="77" hidden="1">#REF!</definedName>
    <definedName name="tests2" localSheetId="49" hidden="1">#REF!</definedName>
    <definedName name="tests2" localSheetId="57" hidden="1">#REF!</definedName>
    <definedName name="tests2" localSheetId="59" hidden="1">#REF!</definedName>
    <definedName name="tests2" localSheetId="40" hidden="1">#REF!</definedName>
    <definedName name="tests2" localSheetId="43" hidden="1">#REF!</definedName>
    <definedName name="tests2" localSheetId="55" hidden="1">#REF!</definedName>
    <definedName name="tests2" localSheetId="13" hidden="1">#REF!</definedName>
    <definedName name="tests2" localSheetId="11" hidden="1">#REF!</definedName>
    <definedName name="tests2" localSheetId="38" hidden="1">#REF!</definedName>
    <definedName name="tests2" localSheetId="41" hidden="1">#REF!</definedName>
    <definedName name="tests2" localSheetId="101" hidden="1">#REF!</definedName>
    <definedName name="tests2" localSheetId="102" hidden="1">#REF!</definedName>
    <definedName name="tests2" localSheetId="103" hidden="1">#REF!</definedName>
    <definedName name="tests2" localSheetId="97" hidden="1">#REF!</definedName>
    <definedName name="tests2" localSheetId="42" hidden="1">#REF!</definedName>
    <definedName name="tests2" localSheetId="12" hidden="1">#REF!</definedName>
    <definedName name="tests2" localSheetId="73" hidden="1">#REF!</definedName>
    <definedName name="tests2" localSheetId="74" hidden="1">#REF!</definedName>
    <definedName name="tests2" hidden="1">#REF!</definedName>
    <definedName name="Tf" localSheetId="3">#REF!</definedName>
    <definedName name="Tf" localSheetId="7">#REF!</definedName>
    <definedName name="Tf" localSheetId="9">#REF!</definedName>
    <definedName name="Tf" localSheetId="10">#REF!</definedName>
    <definedName name="Tf" localSheetId="15">#REF!</definedName>
    <definedName name="Tf" localSheetId="19">#REF!</definedName>
    <definedName name="Tf" localSheetId="20">#REF!</definedName>
    <definedName name="Tf" localSheetId="24">#REF!</definedName>
    <definedName name="Tf" localSheetId="104">#REF!</definedName>
    <definedName name="Tf" localSheetId="65">#REF!</definedName>
    <definedName name="Tf" localSheetId="64">#REF!</definedName>
    <definedName name="Tf" localSheetId="77">#REF!</definedName>
    <definedName name="Tf" localSheetId="49">#REF!</definedName>
    <definedName name="Tf" localSheetId="40">#REF!</definedName>
    <definedName name="Tf" localSheetId="43">#REF!</definedName>
    <definedName name="Tf" localSheetId="13">#REF!</definedName>
    <definedName name="Tf" localSheetId="38">#REF!</definedName>
    <definedName name="Tf">#REF!</definedName>
    <definedName name="THC">[6]Flashing!$C$57</definedName>
    <definedName name="three" localSheetId="3">#REF!</definedName>
    <definedName name="three" localSheetId="7">#REF!</definedName>
    <definedName name="three" localSheetId="9">#REF!</definedName>
    <definedName name="three" localSheetId="10">#REF!</definedName>
    <definedName name="three" localSheetId="15">#REF!</definedName>
    <definedName name="three" localSheetId="19">#REF!</definedName>
    <definedName name="three" localSheetId="20">#REF!</definedName>
    <definedName name="three" localSheetId="24">#REF!</definedName>
    <definedName name="three" localSheetId="104">#REF!</definedName>
    <definedName name="three" localSheetId="65">#REF!</definedName>
    <definedName name="three" localSheetId="64">#REF!</definedName>
    <definedName name="three" localSheetId="77">#REF!</definedName>
    <definedName name="three" localSheetId="49">#REF!</definedName>
    <definedName name="three" localSheetId="40">#REF!</definedName>
    <definedName name="three" localSheetId="43">#REF!</definedName>
    <definedName name="three" localSheetId="13">#REF!</definedName>
    <definedName name="three" localSheetId="38">#REF!</definedName>
    <definedName name="three">#REF!</definedName>
    <definedName name="Ti">[6]Flashing!$F$14</definedName>
    <definedName name="Title" localSheetId="3">#REF!</definedName>
    <definedName name="Title" localSheetId="7">#REF!</definedName>
    <definedName name="Title" localSheetId="9">#REF!</definedName>
    <definedName name="Title" localSheetId="10">#REF!</definedName>
    <definedName name="Title" localSheetId="15">#REF!</definedName>
    <definedName name="Title" localSheetId="19">#REF!</definedName>
    <definedName name="Title" localSheetId="20">#REF!</definedName>
    <definedName name="Title" localSheetId="24">#REF!</definedName>
    <definedName name="Title" localSheetId="104">#REF!</definedName>
    <definedName name="Title" localSheetId="65">#REF!</definedName>
    <definedName name="Title" localSheetId="64">#REF!</definedName>
    <definedName name="Title" localSheetId="77">#REF!</definedName>
    <definedName name="Title" localSheetId="49">#REF!</definedName>
    <definedName name="Title" localSheetId="40">#REF!</definedName>
    <definedName name="Title" localSheetId="43">#REF!</definedName>
    <definedName name="Title" localSheetId="13">#REF!</definedName>
    <definedName name="Title" localSheetId="38">#REF!</definedName>
    <definedName name="Title">#REF!</definedName>
    <definedName name="TITLE1" localSheetId="3">#REF!</definedName>
    <definedName name="TITLE1" localSheetId="7">#REF!</definedName>
    <definedName name="TITLE1" localSheetId="9">#REF!</definedName>
    <definedName name="TITLE1" localSheetId="10">#REF!</definedName>
    <definedName name="TITLE1" localSheetId="15">#REF!</definedName>
    <definedName name="TITLE1" localSheetId="19">#REF!</definedName>
    <definedName name="TITLE1" localSheetId="20">#REF!</definedName>
    <definedName name="TITLE1" localSheetId="24">#REF!</definedName>
    <definedName name="TITLE1" localSheetId="104">#REF!</definedName>
    <definedName name="TITLE1" localSheetId="65">#REF!</definedName>
    <definedName name="TITLE1" localSheetId="64">#REF!</definedName>
    <definedName name="TITLE1" localSheetId="77">#REF!</definedName>
    <definedName name="TITLE1" localSheetId="49">#REF!</definedName>
    <definedName name="TITLE1" localSheetId="40">#REF!</definedName>
    <definedName name="TITLE1" localSheetId="43">#REF!</definedName>
    <definedName name="TITLE1" localSheetId="13">#REF!</definedName>
    <definedName name="TITLE1" localSheetId="38">#REF!</definedName>
    <definedName name="TITLE1">#REF!</definedName>
    <definedName name="TITLE2" localSheetId="3">#REF!</definedName>
    <definedName name="TITLE2" localSheetId="7">#REF!</definedName>
    <definedName name="TITLE2" localSheetId="9">#REF!</definedName>
    <definedName name="TITLE2" localSheetId="10">#REF!</definedName>
    <definedName name="TITLE2" localSheetId="15">#REF!</definedName>
    <definedName name="TITLE2" localSheetId="19">#REF!</definedName>
    <definedName name="TITLE2" localSheetId="20">#REF!</definedName>
    <definedName name="TITLE2" localSheetId="24">#REF!</definedName>
    <definedName name="TITLE2" localSheetId="104">#REF!</definedName>
    <definedName name="TITLE2" localSheetId="65">#REF!</definedName>
    <definedName name="TITLE2" localSheetId="64">#REF!</definedName>
    <definedName name="TITLE2" localSheetId="77">#REF!</definedName>
    <definedName name="TITLE2" localSheetId="49">#REF!</definedName>
    <definedName name="TITLE2" localSheetId="40">#REF!</definedName>
    <definedName name="TITLE2" localSheetId="43">#REF!</definedName>
    <definedName name="TITLE2" localSheetId="13">#REF!</definedName>
    <definedName name="TITLE2" localSheetId="38">#REF!</definedName>
    <definedName name="TITLE2">#REF!</definedName>
    <definedName name="Tla" localSheetId="3">#REF!</definedName>
    <definedName name="Tla" localSheetId="7">#REF!</definedName>
    <definedName name="Tla" localSheetId="9">#REF!</definedName>
    <definedName name="Tla" localSheetId="10">#REF!</definedName>
    <definedName name="Tla" localSheetId="15">#REF!</definedName>
    <definedName name="Tla" localSheetId="19">#REF!</definedName>
    <definedName name="Tla" localSheetId="20">#REF!</definedName>
    <definedName name="Tla" localSheetId="24">#REF!</definedName>
    <definedName name="Tla" localSheetId="104">#REF!</definedName>
    <definedName name="Tla" localSheetId="65">#REF!</definedName>
    <definedName name="Tla" localSheetId="64">#REF!</definedName>
    <definedName name="Tla" localSheetId="77">#REF!</definedName>
    <definedName name="Tla" localSheetId="49">#REF!</definedName>
    <definedName name="Tla" localSheetId="40">#REF!</definedName>
    <definedName name="Tla" localSheetId="43">#REF!</definedName>
    <definedName name="Tla" localSheetId="13">#REF!</definedName>
    <definedName name="Tla" localSheetId="38">#REF!</definedName>
    <definedName name="Tla">#REF!</definedName>
    <definedName name="Tln" localSheetId="3">#REF!</definedName>
    <definedName name="Tln" localSheetId="7">#REF!</definedName>
    <definedName name="Tln" localSheetId="9">#REF!</definedName>
    <definedName name="Tln" localSheetId="10">#REF!</definedName>
    <definedName name="Tln" localSheetId="15">#REF!</definedName>
    <definedName name="Tln" localSheetId="19">#REF!</definedName>
    <definedName name="Tln" localSheetId="20">#REF!</definedName>
    <definedName name="Tln" localSheetId="24">#REF!</definedName>
    <definedName name="Tln" localSheetId="104">#REF!</definedName>
    <definedName name="Tln" localSheetId="65">#REF!</definedName>
    <definedName name="Tln" localSheetId="64">#REF!</definedName>
    <definedName name="Tln" localSheetId="77">#REF!</definedName>
    <definedName name="Tln" localSheetId="49">#REF!</definedName>
    <definedName name="Tln" localSheetId="40">#REF!</definedName>
    <definedName name="Tln" localSheetId="43">#REF!</definedName>
    <definedName name="Tln" localSheetId="13">#REF!</definedName>
    <definedName name="Tln" localSheetId="38">#REF!</definedName>
    <definedName name="Tln">#REF!</definedName>
    <definedName name="tlremkfdwf" localSheetId="105" hidden="1">{#N/A,#N/A,FALSE,"F1-Currrent";#N/A,#N/A,FALSE,"F2-Current";#N/A,#N/A,FALSE,"F2-Proposed";#N/A,#N/A,FALSE,"F3-Current";#N/A,#N/A,FALSE,"F4-Current";#N/A,#N/A,FALSE,"F4-Proposed";#N/A,#N/A,FALSE,"Controls"}</definedName>
    <definedName name="tlremkfdwf" localSheetId="96" hidden="1">{#N/A,#N/A,FALSE,"F1-Currrent";#N/A,#N/A,FALSE,"F2-Current";#N/A,#N/A,FALSE,"F2-Proposed";#N/A,#N/A,FALSE,"F3-Current";#N/A,#N/A,FALSE,"F4-Current";#N/A,#N/A,FALSE,"F4-Proposed";#N/A,#N/A,FALSE,"Controls"}</definedName>
    <definedName name="tlremkfdwf" localSheetId="44" hidden="1">{#N/A,#N/A,FALSE,"F1-Currrent";#N/A,#N/A,FALSE,"F2-Current";#N/A,#N/A,FALSE,"F2-Proposed";#N/A,#N/A,FALSE,"F3-Current";#N/A,#N/A,FALSE,"F4-Current";#N/A,#N/A,FALSE,"F4-Proposed";#N/A,#N/A,FALSE,"Controls"}</definedName>
    <definedName name="tlremkfdwf" hidden="1">{#N/A,#N/A,FALSE,"F1-Currrent";#N/A,#N/A,FALSE,"F2-Current";#N/A,#N/A,FALSE,"F2-Proposed";#N/A,#N/A,FALSE,"F3-Current";#N/A,#N/A,FALSE,"F4-Current";#N/A,#N/A,FALSE,"F4-Proposed";#N/A,#N/A,FALSE,"Controls"}</definedName>
    <definedName name="Tlx" localSheetId="3">#REF!</definedName>
    <definedName name="Tlx" localSheetId="7">#REF!</definedName>
    <definedName name="Tlx" localSheetId="9">#REF!</definedName>
    <definedName name="Tlx" localSheetId="10">#REF!</definedName>
    <definedName name="Tlx" localSheetId="15">#REF!</definedName>
    <definedName name="Tlx" localSheetId="19">#REF!</definedName>
    <definedName name="Tlx" localSheetId="20">#REF!</definedName>
    <definedName name="Tlx" localSheetId="24">#REF!</definedName>
    <definedName name="Tlx" localSheetId="104">#REF!</definedName>
    <definedName name="Tlx" localSheetId="65">#REF!</definedName>
    <definedName name="Tlx" localSheetId="64">#REF!</definedName>
    <definedName name="Tlx" localSheetId="77">#REF!</definedName>
    <definedName name="Tlx" localSheetId="49">#REF!</definedName>
    <definedName name="Tlx" localSheetId="40">#REF!</definedName>
    <definedName name="Tlx" localSheetId="43">#REF!</definedName>
    <definedName name="Tlx" localSheetId="13">#REF!</definedName>
    <definedName name="Tlx" localSheetId="38">#REF!</definedName>
    <definedName name="Tlx">#REF!</definedName>
    <definedName name="TMP_Gas" localSheetId="3">#REF!</definedName>
    <definedName name="TMP_Gas" localSheetId="7">#REF!</definedName>
    <definedName name="TMP_Gas" localSheetId="9">#REF!</definedName>
    <definedName name="TMP_Gas" localSheetId="10">#REF!</definedName>
    <definedName name="TMP_Gas" localSheetId="15">#REF!</definedName>
    <definedName name="TMP_Gas" localSheetId="19">#REF!</definedName>
    <definedName name="TMP_Gas" localSheetId="20">#REF!</definedName>
    <definedName name="TMP_Gas" localSheetId="24">#REF!</definedName>
    <definedName name="TMP_Gas" localSheetId="104">#REF!</definedName>
    <definedName name="TMP_Gas" localSheetId="65">#REF!</definedName>
    <definedName name="TMP_Gas" localSheetId="64">#REF!</definedName>
    <definedName name="TMP_Gas" localSheetId="77">#REF!</definedName>
    <definedName name="TMP_Gas" localSheetId="49">#REF!</definedName>
    <definedName name="TMP_Gas" localSheetId="40">#REF!</definedName>
    <definedName name="TMP_Gas" localSheetId="43">#REF!</definedName>
    <definedName name="TMP_Gas" localSheetId="13">#REF!</definedName>
    <definedName name="TMP_Gas" localSheetId="38">#REF!</definedName>
    <definedName name="TMP_Gas">#REF!</definedName>
    <definedName name="TMP_Liq" localSheetId="3">#REF!</definedName>
    <definedName name="TMP_Liq" localSheetId="7">#REF!</definedName>
    <definedName name="TMP_Liq" localSheetId="9">#REF!</definedName>
    <definedName name="TMP_Liq" localSheetId="10">#REF!</definedName>
    <definedName name="TMP_Liq" localSheetId="15">#REF!</definedName>
    <definedName name="TMP_Liq" localSheetId="19">#REF!</definedName>
    <definedName name="TMP_Liq" localSheetId="20">#REF!</definedName>
    <definedName name="TMP_Liq" localSheetId="24">#REF!</definedName>
    <definedName name="TMP_Liq" localSheetId="104">#REF!</definedName>
    <definedName name="TMP_Liq" localSheetId="65">#REF!</definedName>
    <definedName name="TMP_Liq" localSheetId="64">#REF!</definedName>
    <definedName name="TMP_Liq" localSheetId="77">#REF!</definedName>
    <definedName name="TMP_Liq" localSheetId="49">#REF!</definedName>
    <definedName name="TMP_Liq" localSheetId="40">#REF!</definedName>
    <definedName name="TMP_Liq" localSheetId="43">#REF!</definedName>
    <definedName name="TMP_Liq" localSheetId="13">#REF!</definedName>
    <definedName name="TMP_Liq" localSheetId="38">#REF!</definedName>
    <definedName name="TMP_Liq">#REF!</definedName>
    <definedName name="TO" localSheetId="3">#REF!</definedName>
    <definedName name="TO" localSheetId="7">#REF!</definedName>
    <definedName name="TO" localSheetId="9">#REF!</definedName>
    <definedName name="TO" localSheetId="10">#REF!</definedName>
    <definedName name="TO" localSheetId="15">#REF!</definedName>
    <definedName name="TO" localSheetId="19">#REF!</definedName>
    <definedName name="TO" localSheetId="20">#REF!</definedName>
    <definedName name="TO" localSheetId="24">#REF!</definedName>
    <definedName name="TO" localSheetId="104">#REF!</definedName>
    <definedName name="TO" localSheetId="65">#REF!</definedName>
    <definedName name="TO" localSheetId="64">#REF!</definedName>
    <definedName name="TO" localSheetId="77">#REF!</definedName>
    <definedName name="TO" localSheetId="49">#REF!</definedName>
    <definedName name="TO" localSheetId="40">#REF!</definedName>
    <definedName name="TO" localSheetId="43">#REF!</definedName>
    <definedName name="TO" localSheetId="13">#REF!</definedName>
    <definedName name="TO" localSheetId="38">#REF!</definedName>
    <definedName name="TO">#REF!</definedName>
    <definedName name="TOLU_Gas" localSheetId="3">#REF!</definedName>
    <definedName name="TOLU_Gas" localSheetId="7">#REF!</definedName>
    <definedName name="TOLU_Gas" localSheetId="9">#REF!</definedName>
    <definedName name="TOLU_Gas" localSheetId="10">#REF!</definedName>
    <definedName name="TOLU_Gas" localSheetId="15">#REF!</definedName>
    <definedName name="TOLU_Gas" localSheetId="19">#REF!</definedName>
    <definedName name="TOLU_Gas" localSheetId="20">#REF!</definedName>
    <definedName name="TOLU_Gas" localSheetId="24">#REF!</definedName>
    <definedName name="TOLU_Gas" localSheetId="104">#REF!</definedName>
    <definedName name="TOLU_Gas" localSheetId="65">#REF!</definedName>
    <definedName name="TOLU_Gas" localSheetId="64">#REF!</definedName>
    <definedName name="TOLU_Gas" localSheetId="77">#REF!</definedName>
    <definedName name="TOLU_Gas" localSheetId="49">#REF!</definedName>
    <definedName name="TOLU_Gas" localSheetId="40">#REF!</definedName>
    <definedName name="TOLU_Gas" localSheetId="43">#REF!</definedName>
    <definedName name="TOLU_Gas" localSheetId="13">#REF!</definedName>
    <definedName name="TOLU_Gas" localSheetId="38">#REF!</definedName>
    <definedName name="TOLU_Gas">#REF!</definedName>
    <definedName name="TOLU_Liq" localSheetId="3">#REF!</definedName>
    <definedName name="TOLU_Liq" localSheetId="7">#REF!</definedName>
    <definedName name="TOLU_Liq" localSheetId="9">#REF!</definedName>
    <definedName name="TOLU_Liq" localSheetId="10">#REF!</definedName>
    <definedName name="TOLU_Liq" localSheetId="15">#REF!</definedName>
    <definedName name="TOLU_Liq" localSheetId="19">#REF!</definedName>
    <definedName name="TOLU_Liq" localSheetId="20">#REF!</definedName>
    <definedName name="TOLU_Liq" localSheetId="24">#REF!</definedName>
    <definedName name="TOLU_Liq" localSheetId="104">#REF!</definedName>
    <definedName name="TOLU_Liq" localSheetId="65">#REF!</definedName>
    <definedName name="TOLU_Liq" localSheetId="64">#REF!</definedName>
    <definedName name="TOLU_Liq" localSheetId="77">#REF!</definedName>
    <definedName name="TOLU_Liq" localSheetId="49">#REF!</definedName>
    <definedName name="TOLU_Liq" localSheetId="40">#REF!</definedName>
    <definedName name="TOLU_Liq" localSheetId="43">#REF!</definedName>
    <definedName name="TOLU_Liq" localSheetId="13">#REF!</definedName>
    <definedName name="TOLU_Liq" localSheetId="38">#REF!</definedName>
    <definedName name="TOLU_Liq">#REF!</definedName>
    <definedName name="Tot_Annual" localSheetId="3">#REF!</definedName>
    <definedName name="Tot_Annual" localSheetId="7">#REF!</definedName>
    <definedName name="Tot_Annual" localSheetId="9">#REF!</definedName>
    <definedName name="Tot_Annual" localSheetId="10">#REF!</definedName>
    <definedName name="Tot_Annual" localSheetId="15">#REF!</definedName>
    <definedName name="Tot_Annual" localSheetId="19">#REF!</definedName>
    <definedName name="Tot_Annual" localSheetId="20">#REF!</definedName>
    <definedName name="Tot_Annual" localSheetId="24">#REF!</definedName>
    <definedName name="Tot_Annual" localSheetId="104">#REF!</definedName>
    <definedName name="Tot_Annual" localSheetId="65">#REF!</definedName>
    <definedName name="Tot_Annual" localSheetId="64">#REF!</definedName>
    <definedName name="Tot_Annual" localSheetId="77">#REF!</definedName>
    <definedName name="Tot_Annual" localSheetId="49">#REF!</definedName>
    <definedName name="Tot_Annual" localSheetId="40">#REF!</definedName>
    <definedName name="Tot_Annual" localSheetId="43">#REF!</definedName>
    <definedName name="Tot_Annual" localSheetId="13">#REF!</definedName>
    <definedName name="Tot_Annual" localSheetId="38">#REF!</definedName>
    <definedName name="Tot_Annual">#REF!</definedName>
    <definedName name="Tot_Hourly" localSheetId="3">#REF!</definedName>
    <definedName name="Tot_Hourly" localSheetId="7">#REF!</definedName>
    <definedName name="Tot_Hourly" localSheetId="9">#REF!</definedName>
    <definedName name="Tot_Hourly" localSheetId="10">#REF!</definedName>
    <definedName name="Tot_Hourly" localSheetId="15">#REF!</definedName>
    <definedName name="Tot_Hourly" localSheetId="19">#REF!</definedName>
    <definedName name="Tot_Hourly" localSheetId="20">#REF!</definedName>
    <definedName name="Tot_Hourly" localSheetId="24">#REF!</definedName>
    <definedName name="Tot_Hourly" localSheetId="104">#REF!</definedName>
    <definedName name="Tot_Hourly" localSheetId="65">#REF!</definedName>
    <definedName name="Tot_Hourly" localSheetId="64">#REF!</definedName>
    <definedName name="Tot_Hourly" localSheetId="77">#REF!</definedName>
    <definedName name="Tot_Hourly" localSheetId="49">#REF!</definedName>
    <definedName name="Tot_Hourly" localSheetId="40">#REF!</definedName>
    <definedName name="Tot_Hourly" localSheetId="43">#REF!</definedName>
    <definedName name="Tot_Hourly" localSheetId="13">#REF!</definedName>
    <definedName name="Tot_Hourly" localSheetId="38">#REF!</definedName>
    <definedName name="Tot_Hourly">#REF!</definedName>
    <definedName name="TOT_P_67" localSheetId="3">#REF!</definedName>
    <definedName name="TOT_P_67" localSheetId="7">#REF!</definedName>
    <definedName name="TOT_P_67" localSheetId="9">#REF!</definedName>
    <definedName name="TOT_P_67" localSheetId="10">#REF!</definedName>
    <definedName name="TOT_P_67" localSheetId="15">#REF!</definedName>
    <definedName name="TOT_P_67" localSheetId="19">#REF!</definedName>
    <definedName name="TOT_P_67" localSheetId="20">#REF!</definedName>
    <definedName name="TOT_P_67" localSheetId="24">#REF!</definedName>
    <definedName name="TOT_P_67" localSheetId="104">#REF!</definedName>
    <definedName name="TOT_P_67" localSheetId="65">#REF!</definedName>
    <definedName name="TOT_P_67" localSheetId="64">#REF!</definedName>
    <definedName name="TOT_P_67" localSheetId="77">#REF!</definedName>
    <definedName name="TOT_P_67" localSheetId="49">#REF!</definedName>
    <definedName name="TOT_P_67" localSheetId="40">#REF!</definedName>
    <definedName name="TOT_P_67" localSheetId="43">#REF!</definedName>
    <definedName name="TOT_P_67" localSheetId="13">#REF!</definedName>
    <definedName name="TOT_P_67" localSheetId="38">#REF!</definedName>
    <definedName name="TOT_P_67">#REF!</definedName>
    <definedName name="TOT_P2_" localSheetId="3">#REF!</definedName>
    <definedName name="TOT_P2_" localSheetId="7">#REF!</definedName>
    <definedName name="TOT_P2_" localSheetId="9">#REF!</definedName>
    <definedName name="TOT_P2_" localSheetId="10">#REF!</definedName>
    <definedName name="TOT_P2_" localSheetId="15">#REF!</definedName>
    <definedName name="TOT_P2_" localSheetId="19">#REF!</definedName>
    <definedName name="TOT_P2_" localSheetId="20">#REF!</definedName>
    <definedName name="TOT_P2_" localSheetId="24">#REF!</definedName>
    <definedName name="TOT_P2_" localSheetId="104">#REF!</definedName>
    <definedName name="TOT_P2_" localSheetId="65">#REF!</definedName>
    <definedName name="TOT_P2_" localSheetId="64">#REF!</definedName>
    <definedName name="TOT_P2_" localSheetId="77">#REF!</definedName>
    <definedName name="TOT_P2_" localSheetId="49">#REF!</definedName>
    <definedName name="TOT_P2_" localSheetId="40">#REF!</definedName>
    <definedName name="TOT_P2_" localSheetId="43">#REF!</definedName>
    <definedName name="TOT_P2_" localSheetId="13">#REF!</definedName>
    <definedName name="TOT_P2_" localSheetId="38">#REF!</definedName>
    <definedName name="TOT_P2_">#REF!</definedName>
    <definedName name="TOTAL" localSheetId="3">#REF!</definedName>
    <definedName name="TOTAL" localSheetId="7">#REF!</definedName>
    <definedName name="TOTAL" localSheetId="9">#REF!</definedName>
    <definedName name="TOTAL" localSheetId="10">#REF!</definedName>
    <definedName name="TOTAL" localSheetId="15">#REF!</definedName>
    <definedName name="TOTAL" localSheetId="19">#REF!</definedName>
    <definedName name="TOTAL" localSheetId="20">#REF!</definedName>
    <definedName name="TOTAL" localSheetId="24">#REF!</definedName>
    <definedName name="TOTAL" localSheetId="104">#REF!</definedName>
    <definedName name="TOTAL" localSheetId="65">#REF!</definedName>
    <definedName name="TOTAL" localSheetId="64">#REF!</definedName>
    <definedName name="TOTAL" localSheetId="77">#REF!</definedName>
    <definedName name="TOTAL" localSheetId="49">#REF!</definedName>
    <definedName name="TOTAL" localSheetId="48">#REF!</definedName>
    <definedName name="TOTAL" localSheetId="40">#REF!</definedName>
    <definedName name="TOTAL" localSheetId="43">#REF!</definedName>
    <definedName name="TOTAL" localSheetId="13">#REF!</definedName>
    <definedName name="TOTAL" localSheetId="38">#REF!</definedName>
    <definedName name="TOTAL">#REF!</definedName>
    <definedName name="toxicsE.F." localSheetId="3">#REF!</definedName>
    <definedName name="toxicsE.F." localSheetId="7">#REF!</definedName>
    <definedName name="toxicsE.F." localSheetId="9">#REF!</definedName>
    <definedName name="toxicsE.F." localSheetId="10">#REF!</definedName>
    <definedName name="toxicsE.F." localSheetId="15">#REF!</definedName>
    <definedName name="toxicsE.F." localSheetId="19">#REF!</definedName>
    <definedName name="toxicsE.F." localSheetId="20">#REF!</definedName>
    <definedName name="toxicsE.F." localSheetId="24">#REF!</definedName>
    <definedName name="toxicsE.F." localSheetId="104">#REF!</definedName>
    <definedName name="toxicsE.F." localSheetId="65">#REF!</definedName>
    <definedName name="toxicsE.F." localSheetId="64">#REF!</definedName>
    <definedName name="toxicsE.F." localSheetId="77">#REF!</definedName>
    <definedName name="toxicsE.F." localSheetId="49">#REF!</definedName>
    <definedName name="toxicsE.F." localSheetId="40">#REF!</definedName>
    <definedName name="toxicsE.F." localSheetId="43">#REF!</definedName>
    <definedName name="toxicsE.F." localSheetId="13">#REF!</definedName>
    <definedName name="toxicsE.F." localSheetId="38">#REF!</definedName>
    <definedName name="toxicsE.F.">#REF!</definedName>
    <definedName name="Tputs" localSheetId="3">#REF!</definedName>
    <definedName name="Tputs" localSheetId="7">#REF!</definedName>
    <definedName name="Tputs" localSheetId="9">#REF!</definedName>
    <definedName name="Tputs" localSheetId="10">#REF!</definedName>
    <definedName name="Tputs" localSheetId="15">#REF!</definedName>
    <definedName name="Tputs" localSheetId="19">#REF!</definedName>
    <definedName name="Tputs" localSheetId="20">#REF!</definedName>
    <definedName name="Tputs" localSheetId="24">#REF!</definedName>
    <definedName name="Tputs" localSheetId="104">#REF!</definedName>
    <definedName name="Tputs" localSheetId="65">#REF!</definedName>
    <definedName name="Tputs" localSheetId="64">#REF!</definedName>
    <definedName name="Tputs" localSheetId="77">#REF!</definedName>
    <definedName name="Tputs" localSheetId="49">#REF!</definedName>
    <definedName name="Tputs" localSheetId="40">#REF!</definedName>
    <definedName name="Tputs" localSheetId="43">#REF!</definedName>
    <definedName name="Tputs" localSheetId="13">#REF!</definedName>
    <definedName name="Tputs" localSheetId="38">#REF!</definedName>
    <definedName name="Tputs">#REF!</definedName>
    <definedName name="TPYFeed" localSheetId="3">#REF!</definedName>
    <definedName name="TPYFeed" localSheetId="7">#REF!</definedName>
    <definedName name="TPYFeed" localSheetId="9">#REF!</definedName>
    <definedName name="TPYFeed" localSheetId="10">#REF!</definedName>
    <definedName name="TPYFeed" localSheetId="15">#REF!</definedName>
    <definedName name="TPYFeed" localSheetId="19">#REF!</definedName>
    <definedName name="TPYFeed" localSheetId="20">#REF!</definedName>
    <definedName name="TPYFeed" localSheetId="24">#REF!</definedName>
    <definedName name="TPYFeed" localSheetId="104">#REF!</definedName>
    <definedName name="TPYFeed" localSheetId="65">#REF!</definedName>
    <definedName name="TPYFeed" localSheetId="64">#REF!</definedName>
    <definedName name="TPYFeed" localSheetId="77">#REF!</definedName>
    <definedName name="TPYFeed" localSheetId="49">#REF!</definedName>
    <definedName name="TPYFeed" localSheetId="40">#REF!</definedName>
    <definedName name="TPYFeed" localSheetId="43">#REF!</definedName>
    <definedName name="TPYFeed" localSheetId="13">#REF!</definedName>
    <definedName name="TPYFeed" localSheetId="38">#REF!</definedName>
    <definedName name="TPYFeed">#REF!</definedName>
    <definedName name="Tr" localSheetId="3">#REF!</definedName>
    <definedName name="Tr" localSheetId="7">#REF!</definedName>
    <definedName name="Tr" localSheetId="9">#REF!</definedName>
    <definedName name="Tr" localSheetId="10">#REF!</definedName>
    <definedName name="Tr" localSheetId="15">#REF!</definedName>
    <definedName name="Tr" localSheetId="19">#REF!</definedName>
    <definedName name="Tr" localSheetId="20">#REF!</definedName>
    <definedName name="Tr" localSheetId="24">#REF!</definedName>
    <definedName name="Tr" localSheetId="104">#REF!</definedName>
    <definedName name="Tr" localSheetId="65">#REF!</definedName>
    <definedName name="Tr" localSheetId="64">#REF!</definedName>
    <definedName name="Tr" localSheetId="77">#REF!</definedName>
    <definedName name="Tr" localSheetId="49">#REF!</definedName>
    <definedName name="Tr" localSheetId="40">#REF!</definedName>
    <definedName name="Tr" localSheetId="43">#REF!</definedName>
    <definedName name="Tr" localSheetId="13">#REF!</definedName>
    <definedName name="Tr" localSheetId="38">#REF!</definedName>
    <definedName name="Tr">#REF!</definedName>
    <definedName name="Trace_Pump_Emission_Control">'[18]Drop Down Lists'!$A$13:$A$14</definedName>
    <definedName name="Trange" localSheetId="3">#REF!</definedName>
    <definedName name="Trange" localSheetId="7">#REF!</definedName>
    <definedName name="Trange" localSheetId="9">#REF!</definedName>
    <definedName name="Trange" localSheetId="10">#REF!</definedName>
    <definedName name="Trange" localSheetId="15">#REF!</definedName>
    <definedName name="Trange" localSheetId="19">#REF!</definedName>
    <definedName name="Trange" localSheetId="20">#REF!</definedName>
    <definedName name="Trange" localSheetId="24">#REF!</definedName>
    <definedName name="Trange" localSheetId="104">#REF!</definedName>
    <definedName name="Trange" localSheetId="65">#REF!</definedName>
    <definedName name="Trange" localSheetId="64">#REF!</definedName>
    <definedName name="Trange" localSheetId="77">#REF!</definedName>
    <definedName name="Trange" localSheetId="49">#REF!</definedName>
    <definedName name="Trange" localSheetId="40">#REF!</definedName>
    <definedName name="Trange" localSheetId="43">#REF!</definedName>
    <definedName name="Trange" localSheetId="13">#REF!</definedName>
    <definedName name="Trange" localSheetId="38">#REF!</definedName>
    <definedName name="Trange">#REF!</definedName>
    <definedName name="Treater_Gas_Controls">'[18]Drop Down Lists'!$A$17:$A$20</definedName>
    <definedName name="Ts" localSheetId="3">#REF!</definedName>
    <definedName name="Ts" localSheetId="7">#REF!</definedName>
    <definedName name="Ts" localSheetId="9">#REF!</definedName>
    <definedName name="Ts" localSheetId="10">#REF!</definedName>
    <definedName name="Ts" localSheetId="15">#REF!</definedName>
    <definedName name="Ts" localSheetId="19">#REF!</definedName>
    <definedName name="Ts" localSheetId="20">#REF!</definedName>
    <definedName name="Ts" localSheetId="24">#REF!</definedName>
    <definedName name="Ts" localSheetId="104">#REF!</definedName>
    <definedName name="Ts" localSheetId="65">#REF!</definedName>
    <definedName name="Ts" localSheetId="64">#REF!</definedName>
    <definedName name="Ts" localSheetId="77">#REF!</definedName>
    <definedName name="Ts" localSheetId="49">#REF!</definedName>
    <definedName name="Ts" localSheetId="40">#REF!</definedName>
    <definedName name="Ts" localSheetId="43">#REF!</definedName>
    <definedName name="Ts" localSheetId="13">#REF!</definedName>
    <definedName name="Ts" localSheetId="38">#REF!</definedName>
    <definedName name="Ts">#REF!</definedName>
    <definedName name="Tsteam" localSheetId="3">#REF!</definedName>
    <definedName name="Tsteam" localSheetId="7">#REF!</definedName>
    <definedName name="Tsteam" localSheetId="9">#REF!</definedName>
    <definedName name="Tsteam" localSheetId="10">#REF!</definedName>
    <definedName name="Tsteam" localSheetId="15">#REF!</definedName>
    <definedName name="Tsteam" localSheetId="19">#REF!</definedName>
    <definedName name="Tsteam" localSheetId="20">#REF!</definedName>
    <definedName name="Tsteam" localSheetId="24">#REF!</definedName>
    <definedName name="Tsteam" localSheetId="104">#REF!</definedName>
    <definedName name="Tsteam" localSheetId="65">#REF!</definedName>
    <definedName name="Tsteam" localSheetId="64">#REF!</definedName>
    <definedName name="Tsteam" localSheetId="77">#REF!</definedName>
    <definedName name="Tsteam" localSheetId="49">#REF!</definedName>
    <definedName name="Tsteam" localSheetId="40">#REF!</definedName>
    <definedName name="Tsteam" localSheetId="43">#REF!</definedName>
    <definedName name="Tsteam" localSheetId="13">#REF!</definedName>
    <definedName name="Tsteam" localSheetId="38">#REF!</definedName>
    <definedName name="Tsteam">#REF!</definedName>
    <definedName name="Tsvg" localSheetId="3">#REF!</definedName>
    <definedName name="Tsvg" localSheetId="7">#REF!</definedName>
    <definedName name="Tsvg" localSheetId="9">#REF!</definedName>
    <definedName name="Tsvg" localSheetId="10">#REF!</definedName>
    <definedName name="Tsvg" localSheetId="15">#REF!</definedName>
    <definedName name="Tsvg" localSheetId="19">#REF!</definedName>
    <definedName name="Tsvg" localSheetId="20">#REF!</definedName>
    <definedName name="Tsvg" localSheetId="24">#REF!</definedName>
    <definedName name="Tsvg" localSheetId="104">#REF!</definedName>
    <definedName name="Tsvg" localSheetId="65">#REF!</definedName>
    <definedName name="Tsvg" localSheetId="64">#REF!</definedName>
    <definedName name="Tsvg" localSheetId="77">#REF!</definedName>
    <definedName name="Tsvg" localSheetId="49">#REF!</definedName>
    <definedName name="Tsvg" localSheetId="40">#REF!</definedName>
    <definedName name="Tsvg" localSheetId="43">#REF!</definedName>
    <definedName name="Tsvg" localSheetId="13">#REF!</definedName>
    <definedName name="Tsvg" localSheetId="38">#REF!</definedName>
    <definedName name="Tsvg">#REF!</definedName>
    <definedName name="TTT" localSheetId="3">#REF!</definedName>
    <definedName name="TTT" localSheetId="7">#REF!</definedName>
    <definedName name="TTT" localSheetId="9">#REF!</definedName>
    <definedName name="TTT" localSheetId="10">#REF!</definedName>
    <definedName name="TTT" localSheetId="15">#REF!</definedName>
    <definedName name="TTT" localSheetId="19">#REF!</definedName>
    <definedName name="TTT" localSheetId="20">#REF!</definedName>
    <definedName name="TTT" localSheetId="24">#REF!</definedName>
    <definedName name="TTT" localSheetId="104">#REF!</definedName>
    <definedName name="TTT" localSheetId="65">#REF!</definedName>
    <definedName name="TTT" localSheetId="64">#REF!</definedName>
    <definedName name="TTT" localSheetId="77">#REF!</definedName>
    <definedName name="TTT" localSheetId="49">#REF!</definedName>
    <definedName name="TTT" localSheetId="40">#REF!</definedName>
    <definedName name="TTT" localSheetId="43">#REF!</definedName>
    <definedName name="TTT" localSheetId="13">#REF!</definedName>
    <definedName name="TTT" localSheetId="38">#REF!</definedName>
    <definedName name="TTT">#REF!</definedName>
    <definedName name="ttttt">#N/A</definedName>
    <definedName name="Turbine" localSheetId="3">#REF!</definedName>
    <definedName name="Turbine" localSheetId="7">#REF!</definedName>
    <definedName name="Turbine" localSheetId="9">#REF!</definedName>
    <definedName name="Turbine" localSheetId="10">#REF!</definedName>
    <definedName name="Turbine" localSheetId="15">#REF!</definedName>
    <definedName name="Turbine" localSheetId="19">#REF!</definedName>
    <definedName name="Turbine" localSheetId="20">#REF!</definedName>
    <definedName name="Turbine" localSheetId="24">#REF!</definedName>
    <definedName name="Turbine" localSheetId="104">#REF!</definedName>
    <definedName name="Turbine" localSheetId="65">#REF!</definedName>
    <definedName name="Turbine" localSheetId="64">#REF!</definedName>
    <definedName name="Turbine" localSheetId="77">#REF!</definedName>
    <definedName name="Turbine" localSheetId="49">#REF!</definedName>
    <definedName name="Turbine" localSheetId="40">#REF!</definedName>
    <definedName name="Turbine" localSheetId="43">#REF!</definedName>
    <definedName name="Turbine" localSheetId="13">#REF!</definedName>
    <definedName name="Turbine" localSheetId="38">#REF!</definedName>
    <definedName name="Turbine">#REF!</definedName>
    <definedName name="Turbine2" localSheetId="105" hidden="1">{"Detailed",#N/A,FALSE,"GAS-COMB";"Summary",#N/A,FALSE,"GAS-COMB"}</definedName>
    <definedName name="Turbine2" localSheetId="96" hidden="1">{"Detailed",#N/A,FALSE,"GAS-COMB";"Summary",#N/A,FALSE,"GAS-COMB"}</definedName>
    <definedName name="Turbine2" localSheetId="44" hidden="1">{"Detailed",#N/A,FALSE,"GAS-COMB";"Summary",#N/A,FALSE,"GAS-COMB"}</definedName>
    <definedName name="Turbine2" hidden="1">{"Detailed",#N/A,FALSE,"GAS-COMB";"Summary",#N/A,FALSE,"GAS-COMB"}</definedName>
    <definedName name="two" localSheetId="3">#REF!</definedName>
    <definedName name="two" localSheetId="7">#REF!</definedName>
    <definedName name="two" localSheetId="9">#REF!</definedName>
    <definedName name="two" localSheetId="10">#REF!</definedName>
    <definedName name="two" localSheetId="15">#REF!</definedName>
    <definedName name="two" localSheetId="19">#REF!</definedName>
    <definedName name="two" localSheetId="20">#REF!</definedName>
    <definedName name="two" localSheetId="24">#REF!</definedName>
    <definedName name="two" localSheetId="104">#REF!</definedName>
    <definedName name="two" localSheetId="65">#REF!</definedName>
    <definedName name="two" localSheetId="64">#REF!</definedName>
    <definedName name="two" localSheetId="77">#REF!</definedName>
    <definedName name="two" localSheetId="49">#REF!</definedName>
    <definedName name="two" localSheetId="40">#REF!</definedName>
    <definedName name="two" localSheetId="43">#REF!</definedName>
    <definedName name="two" localSheetId="13">#REF!</definedName>
    <definedName name="two" localSheetId="38">#REF!</definedName>
    <definedName name="two">#REF!</definedName>
    <definedName name="TwoCLB" localSheetId="3">#REF!</definedName>
    <definedName name="TwoCLB" localSheetId="7">#REF!</definedName>
    <definedName name="TwoCLB" localSheetId="9">#REF!</definedName>
    <definedName name="TwoCLB" localSheetId="10">#REF!</definedName>
    <definedName name="TwoCLB" localSheetId="15">#REF!</definedName>
    <definedName name="TwoCLB" localSheetId="19">#REF!</definedName>
    <definedName name="TwoCLB" localSheetId="20">#REF!</definedName>
    <definedName name="TwoCLB" localSheetId="24">#REF!</definedName>
    <definedName name="TwoCLB" localSheetId="104">#REF!</definedName>
    <definedName name="TwoCLB" localSheetId="65">#REF!</definedName>
    <definedName name="TwoCLB" localSheetId="64">#REF!</definedName>
    <definedName name="TwoCLB" localSheetId="77">#REF!</definedName>
    <definedName name="TwoCLB" localSheetId="49">#REF!</definedName>
    <definedName name="TwoCLB" localSheetId="40">#REF!</definedName>
    <definedName name="TwoCLB" localSheetId="43">#REF!</definedName>
    <definedName name="TwoCLB" localSheetId="13">#REF!</definedName>
    <definedName name="TwoCLB" localSheetId="38">#REF!</definedName>
    <definedName name="TwoCLB">#REF!</definedName>
    <definedName name="Type" localSheetId="3">#REF!</definedName>
    <definedName name="Type" localSheetId="7">#REF!</definedName>
    <definedName name="Type" localSheetId="9">#REF!</definedName>
    <definedName name="Type" localSheetId="10">#REF!</definedName>
    <definedName name="Type" localSheetId="15">#REF!</definedName>
    <definedName name="Type" localSheetId="19">#REF!</definedName>
    <definedName name="Type" localSheetId="20">#REF!</definedName>
    <definedName name="Type" localSheetId="24">#REF!</definedName>
    <definedName name="Type" localSheetId="104">#REF!</definedName>
    <definedName name="Type" localSheetId="65">#REF!</definedName>
    <definedName name="Type" localSheetId="64">#REF!</definedName>
    <definedName name="Type" localSheetId="77">#REF!</definedName>
    <definedName name="Type" localSheetId="49">#REF!</definedName>
    <definedName name="Type" localSheetId="40">#REF!</definedName>
    <definedName name="Type" localSheetId="43">#REF!</definedName>
    <definedName name="Type" localSheetId="13">#REF!</definedName>
    <definedName name="Type" localSheetId="38">#REF!</definedName>
    <definedName name="Type">#REF!</definedName>
    <definedName name="U" localSheetId="3">#REF!</definedName>
    <definedName name="U" localSheetId="7">#REF!</definedName>
    <definedName name="U" localSheetId="9">#REF!</definedName>
    <definedName name="U" localSheetId="10">#REF!</definedName>
    <definedName name="U" localSheetId="15">#REF!</definedName>
    <definedName name="U" localSheetId="19">#REF!</definedName>
    <definedName name="U" localSheetId="20">#REF!</definedName>
    <definedName name="U" localSheetId="24">#REF!</definedName>
    <definedName name="U" localSheetId="104">#REF!</definedName>
    <definedName name="U" localSheetId="65">#REF!</definedName>
    <definedName name="U" localSheetId="64">#REF!</definedName>
    <definedName name="U" localSheetId="77">#REF!</definedName>
    <definedName name="U" localSheetId="49">#REF!</definedName>
    <definedName name="U" localSheetId="48">#REF!</definedName>
    <definedName name="U" localSheetId="40">#REF!</definedName>
    <definedName name="U" localSheetId="43">#REF!</definedName>
    <definedName name="U" localSheetId="13">#REF!</definedName>
    <definedName name="U" localSheetId="38">#REF!</definedName>
    <definedName name="U">#REF!</definedName>
    <definedName name="U10H1" localSheetId="3">#REF!</definedName>
    <definedName name="U10H1" localSheetId="7">#REF!</definedName>
    <definedName name="U10H1" localSheetId="9">#REF!</definedName>
    <definedName name="U10H1" localSheetId="10">#REF!</definedName>
    <definedName name="U10H1" localSheetId="15">#REF!</definedName>
    <definedName name="U10H1" localSheetId="19">#REF!</definedName>
    <definedName name="U10H1" localSheetId="20">#REF!</definedName>
    <definedName name="U10H1" localSheetId="24">#REF!</definedName>
    <definedName name="U10H1" localSheetId="104">#REF!</definedName>
    <definedName name="U10H1" localSheetId="65">#REF!</definedName>
    <definedName name="U10H1" localSheetId="64">#REF!</definedName>
    <definedName name="U10H1" localSheetId="77">#REF!</definedName>
    <definedName name="U10H1" localSheetId="49">#REF!</definedName>
    <definedName name="U10H1" localSheetId="40">#REF!</definedName>
    <definedName name="U10H1" localSheetId="43">#REF!</definedName>
    <definedName name="U10H1" localSheetId="13">#REF!</definedName>
    <definedName name="U10H1" localSheetId="38">#REF!</definedName>
    <definedName name="U10H1">#REF!</definedName>
    <definedName name="U10H10" localSheetId="3">#REF!</definedName>
    <definedName name="U10H10" localSheetId="7">#REF!</definedName>
    <definedName name="U10H10" localSheetId="9">#REF!</definedName>
    <definedName name="U10H10" localSheetId="10">#REF!</definedName>
    <definedName name="U10H10" localSheetId="15">#REF!</definedName>
    <definedName name="U10H10" localSheetId="19">#REF!</definedName>
    <definedName name="U10H10" localSheetId="20">#REF!</definedName>
    <definedName name="U10H10" localSheetId="24">#REF!</definedName>
    <definedName name="U10H10" localSheetId="104">#REF!</definedName>
    <definedName name="U10H10" localSheetId="65">#REF!</definedName>
    <definedName name="U10H10" localSheetId="64">#REF!</definedName>
    <definedName name="U10H10" localSheetId="77">#REF!</definedName>
    <definedName name="U10H10" localSheetId="49">#REF!</definedName>
    <definedName name="U10H10" localSheetId="40">#REF!</definedName>
    <definedName name="U10H10" localSheetId="43">#REF!</definedName>
    <definedName name="U10H10" localSheetId="13">#REF!</definedName>
    <definedName name="U10H10" localSheetId="38">#REF!</definedName>
    <definedName name="U10H10">#REF!</definedName>
    <definedName name="U10H11" localSheetId="3">#REF!</definedName>
    <definedName name="U10H11" localSheetId="7">#REF!</definedName>
    <definedName name="U10H11" localSheetId="9">#REF!</definedName>
    <definedName name="U10H11" localSheetId="10">#REF!</definedName>
    <definedName name="U10H11" localSheetId="15">#REF!</definedName>
    <definedName name="U10H11" localSheetId="19">#REF!</definedName>
    <definedName name="U10H11" localSheetId="20">#REF!</definedName>
    <definedName name="U10H11" localSheetId="24">#REF!</definedName>
    <definedName name="U10H11" localSheetId="104">#REF!</definedName>
    <definedName name="U10H11" localSheetId="65">#REF!</definedName>
    <definedName name="U10H11" localSheetId="64">#REF!</definedName>
    <definedName name="U10H11" localSheetId="77">#REF!</definedName>
    <definedName name="U10H11" localSheetId="49">#REF!</definedName>
    <definedName name="U10H11" localSheetId="40">#REF!</definedName>
    <definedName name="U10H11" localSheetId="43">#REF!</definedName>
    <definedName name="U10H11" localSheetId="13">#REF!</definedName>
    <definedName name="U10H11" localSheetId="38">#REF!</definedName>
    <definedName name="U10H11">#REF!</definedName>
    <definedName name="U10H12" localSheetId="3">#REF!</definedName>
    <definedName name="U10H12" localSheetId="7">#REF!</definedName>
    <definedName name="U10H12" localSheetId="9">#REF!</definedName>
    <definedName name="U10H12" localSheetId="10">#REF!</definedName>
    <definedName name="U10H12" localSheetId="15">#REF!</definedName>
    <definedName name="U10H12" localSheetId="19">#REF!</definedName>
    <definedName name="U10H12" localSheetId="20">#REF!</definedName>
    <definedName name="U10H12" localSheetId="24">#REF!</definedName>
    <definedName name="U10H12" localSheetId="104">#REF!</definedName>
    <definedName name="U10H12" localSheetId="65">#REF!</definedName>
    <definedName name="U10H12" localSheetId="64">#REF!</definedName>
    <definedName name="U10H12" localSheetId="77">#REF!</definedName>
    <definedName name="U10H12" localSheetId="49">#REF!</definedName>
    <definedName name="U10H12" localSheetId="40">#REF!</definedName>
    <definedName name="U10H12" localSheetId="43">#REF!</definedName>
    <definedName name="U10H12" localSheetId="13">#REF!</definedName>
    <definedName name="U10H12" localSheetId="38">#REF!</definedName>
    <definedName name="U10H12">#REF!</definedName>
    <definedName name="U10H13" localSheetId="3">#REF!</definedName>
    <definedName name="U10H13" localSheetId="7">#REF!</definedName>
    <definedName name="U10H13" localSheetId="9">#REF!</definedName>
    <definedName name="U10H13" localSheetId="10">#REF!</definedName>
    <definedName name="U10H13" localSheetId="15">#REF!</definedName>
    <definedName name="U10H13" localSheetId="19">#REF!</definedName>
    <definedName name="U10H13" localSheetId="20">#REF!</definedName>
    <definedName name="U10H13" localSheetId="24">#REF!</definedName>
    <definedName name="U10H13" localSheetId="104">#REF!</definedName>
    <definedName name="U10H13" localSheetId="65">#REF!</definedName>
    <definedName name="U10H13" localSheetId="64">#REF!</definedName>
    <definedName name="U10H13" localSheetId="77">#REF!</definedName>
    <definedName name="U10H13" localSheetId="49">#REF!</definedName>
    <definedName name="U10H13" localSheetId="40">#REF!</definedName>
    <definedName name="U10H13" localSheetId="43">#REF!</definedName>
    <definedName name="U10H13" localSheetId="13">#REF!</definedName>
    <definedName name="U10H13" localSheetId="38">#REF!</definedName>
    <definedName name="U10H13">#REF!</definedName>
    <definedName name="U10H14" localSheetId="3">#REF!</definedName>
    <definedName name="U10H14" localSheetId="7">#REF!</definedName>
    <definedName name="U10H14" localSheetId="9">#REF!</definedName>
    <definedName name="U10H14" localSheetId="10">#REF!</definedName>
    <definedName name="U10H14" localSheetId="15">#REF!</definedName>
    <definedName name="U10H14" localSheetId="19">#REF!</definedName>
    <definedName name="U10H14" localSheetId="20">#REF!</definedName>
    <definedName name="U10H14" localSheetId="24">#REF!</definedName>
    <definedName name="U10H14" localSheetId="104">#REF!</definedName>
    <definedName name="U10H14" localSheetId="65">#REF!</definedName>
    <definedName name="U10H14" localSheetId="64">#REF!</definedName>
    <definedName name="U10H14" localSheetId="77">#REF!</definedName>
    <definedName name="U10H14" localSheetId="49">#REF!</definedName>
    <definedName name="U10H14" localSheetId="40">#REF!</definedName>
    <definedName name="U10H14" localSheetId="43">#REF!</definedName>
    <definedName name="U10H14" localSheetId="13">#REF!</definedName>
    <definedName name="U10H14" localSheetId="38">#REF!</definedName>
    <definedName name="U10H14">#REF!</definedName>
    <definedName name="U10H15" localSheetId="3">#REF!</definedName>
    <definedName name="U10H15" localSheetId="7">#REF!</definedName>
    <definedName name="U10H15" localSheetId="9">#REF!</definedName>
    <definedName name="U10H15" localSheetId="10">#REF!</definedName>
    <definedName name="U10H15" localSheetId="15">#REF!</definedName>
    <definedName name="U10H15" localSheetId="19">#REF!</definedName>
    <definedName name="U10H15" localSheetId="20">#REF!</definedName>
    <definedName name="U10H15" localSheetId="24">#REF!</definedName>
    <definedName name="U10H15" localSheetId="104">#REF!</definedName>
    <definedName name="U10H15" localSheetId="65">#REF!</definedName>
    <definedName name="U10H15" localSheetId="64">#REF!</definedName>
    <definedName name="U10H15" localSheetId="77">#REF!</definedName>
    <definedName name="U10H15" localSheetId="49">#REF!</definedName>
    <definedName name="U10H15" localSheetId="40">#REF!</definedName>
    <definedName name="U10H15" localSheetId="43">#REF!</definedName>
    <definedName name="U10H15" localSheetId="13">#REF!</definedName>
    <definedName name="U10H15" localSheetId="38">#REF!</definedName>
    <definedName name="U10H15">#REF!</definedName>
    <definedName name="U10H2" localSheetId="3">#REF!</definedName>
    <definedName name="U10H2" localSheetId="7">#REF!</definedName>
    <definedName name="U10H2" localSheetId="9">#REF!</definedName>
    <definedName name="U10H2" localSheetId="10">#REF!</definedName>
    <definedName name="U10H2" localSheetId="15">#REF!</definedName>
    <definedName name="U10H2" localSheetId="19">#REF!</definedName>
    <definedName name="U10H2" localSheetId="20">#REF!</definedName>
    <definedName name="U10H2" localSheetId="24">#REF!</definedName>
    <definedName name="U10H2" localSheetId="104">#REF!</definedName>
    <definedName name="U10H2" localSheetId="65">#REF!</definedName>
    <definedName name="U10H2" localSheetId="64">#REF!</definedName>
    <definedName name="U10H2" localSheetId="77">#REF!</definedName>
    <definedName name="U10H2" localSheetId="49">#REF!</definedName>
    <definedName name="U10H2" localSheetId="40">#REF!</definedName>
    <definedName name="U10H2" localSheetId="43">#REF!</definedName>
    <definedName name="U10H2" localSheetId="13">#REF!</definedName>
    <definedName name="U10H2" localSheetId="38">#REF!</definedName>
    <definedName name="U10H2">#REF!</definedName>
    <definedName name="U10H3" localSheetId="3">#REF!</definedName>
    <definedName name="U10H3" localSheetId="7">#REF!</definedName>
    <definedName name="U10H3" localSheetId="9">#REF!</definedName>
    <definedName name="U10H3" localSheetId="10">#REF!</definedName>
    <definedName name="U10H3" localSheetId="15">#REF!</definedName>
    <definedName name="U10H3" localSheetId="19">#REF!</definedName>
    <definedName name="U10H3" localSheetId="20">#REF!</definedName>
    <definedName name="U10H3" localSheetId="24">#REF!</definedName>
    <definedName name="U10H3" localSheetId="104">#REF!</definedName>
    <definedName name="U10H3" localSheetId="65">#REF!</definedName>
    <definedName name="U10H3" localSheetId="64">#REF!</definedName>
    <definedName name="U10H3" localSheetId="77">#REF!</definedName>
    <definedName name="U10H3" localSheetId="49">#REF!</definedName>
    <definedName name="U10H3" localSheetId="40">#REF!</definedName>
    <definedName name="U10H3" localSheetId="43">#REF!</definedName>
    <definedName name="U10H3" localSheetId="13">#REF!</definedName>
    <definedName name="U10H3" localSheetId="38">#REF!</definedName>
    <definedName name="U10H3">#REF!</definedName>
    <definedName name="U10H4" localSheetId="3">#REF!</definedName>
    <definedName name="U10H4" localSheetId="7">#REF!</definedName>
    <definedName name="U10H4" localSheetId="9">#REF!</definedName>
    <definedName name="U10H4" localSheetId="10">#REF!</definedName>
    <definedName name="U10H4" localSheetId="15">#REF!</definedName>
    <definedName name="U10H4" localSheetId="19">#REF!</definedName>
    <definedName name="U10H4" localSheetId="20">#REF!</definedName>
    <definedName name="U10H4" localSheetId="24">#REF!</definedName>
    <definedName name="U10H4" localSheetId="104">#REF!</definedName>
    <definedName name="U10H4" localSheetId="65">#REF!</definedName>
    <definedName name="U10H4" localSheetId="64">#REF!</definedName>
    <definedName name="U10H4" localSheetId="77">#REF!</definedName>
    <definedName name="U10H4" localSheetId="49">#REF!</definedName>
    <definedName name="U10H4" localSheetId="40">#REF!</definedName>
    <definedName name="U10H4" localSheetId="43">#REF!</definedName>
    <definedName name="U10H4" localSheetId="13">#REF!</definedName>
    <definedName name="U10H4" localSheetId="38">#REF!</definedName>
    <definedName name="U10H4">#REF!</definedName>
    <definedName name="U10H5" localSheetId="3">#REF!</definedName>
    <definedName name="U10H5" localSheetId="7">#REF!</definedName>
    <definedName name="U10H5" localSheetId="9">#REF!</definedName>
    <definedName name="U10H5" localSheetId="10">#REF!</definedName>
    <definedName name="U10H5" localSheetId="15">#REF!</definedName>
    <definedName name="U10H5" localSheetId="19">#REF!</definedName>
    <definedName name="U10H5" localSheetId="20">#REF!</definedName>
    <definedName name="U10H5" localSheetId="24">#REF!</definedName>
    <definedName name="U10H5" localSheetId="104">#REF!</definedName>
    <definedName name="U10H5" localSheetId="65">#REF!</definedName>
    <definedName name="U10H5" localSheetId="64">#REF!</definedName>
    <definedName name="U10H5" localSheetId="77">#REF!</definedName>
    <definedName name="U10H5" localSheetId="49">#REF!</definedName>
    <definedName name="U10H5" localSheetId="40">#REF!</definedName>
    <definedName name="U10H5" localSheetId="43">#REF!</definedName>
    <definedName name="U10H5" localSheetId="13">#REF!</definedName>
    <definedName name="U10H5" localSheetId="38">#REF!</definedName>
    <definedName name="U10H5">#REF!</definedName>
    <definedName name="U10H6" localSheetId="3">#REF!</definedName>
    <definedName name="U10H6" localSheetId="7">#REF!</definedName>
    <definedName name="U10H6" localSheetId="9">#REF!</definedName>
    <definedName name="U10H6" localSheetId="10">#REF!</definedName>
    <definedName name="U10H6" localSheetId="15">#REF!</definedName>
    <definedName name="U10H6" localSheetId="19">#REF!</definedName>
    <definedName name="U10H6" localSheetId="20">#REF!</definedName>
    <definedName name="U10H6" localSheetId="24">#REF!</definedName>
    <definedName name="U10H6" localSheetId="104">#REF!</definedName>
    <definedName name="U10H6" localSheetId="65">#REF!</definedName>
    <definedName name="U10H6" localSheetId="64">#REF!</definedName>
    <definedName name="U10H6" localSheetId="77">#REF!</definedName>
    <definedName name="U10H6" localSheetId="49">#REF!</definedName>
    <definedName name="U10H6" localSheetId="40">#REF!</definedName>
    <definedName name="U10H6" localSheetId="43">#REF!</definedName>
    <definedName name="U10H6" localSheetId="13">#REF!</definedName>
    <definedName name="U10H6" localSheetId="38">#REF!</definedName>
    <definedName name="U10H6">#REF!</definedName>
    <definedName name="U10H7" localSheetId="3">#REF!</definedName>
    <definedName name="U10H7" localSheetId="7">#REF!</definedName>
    <definedName name="U10H7" localSheetId="9">#REF!</definedName>
    <definedName name="U10H7" localSheetId="10">#REF!</definedName>
    <definedName name="U10H7" localSheetId="15">#REF!</definedName>
    <definedName name="U10H7" localSheetId="19">#REF!</definedName>
    <definedName name="U10H7" localSheetId="20">#REF!</definedName>
    <definedName name="U10H7" localSheetId="24">#REF!</definedName>
    <definedName name="U10H7" localSheetId="104">#REF!</definedName>
    <definedName name="U10H7" localSheetId="65">#REF!</definedName>
    <definedName name="U10H7" localSheetId="64">#REF!</definedName>
    <definedName name="U10H7" localSheetId="77">#REF!</definedName>
    <definedName name="U10H7" localSheetId="49">#REF!</definedName>
    <definedName name="U10H7" localSheetId="40">#REF!</definedName>
    <definedName name="U10H7" localSheetId="43">#REF!</definedName>
    <definedName name="U10H7" localSheetId="13">#REF!</definedName>
    <definedName name="U10H7" localSheetId="38">#REF!</definedName>
    <definedName name="U10H7">#REF!</definedName>
    <definedName name="U10H8" localSheetId="3">#REF!</definedName>
    <definedName name="U10H8" localSheetId="7">#REF!</definedName>
    <definedName name="U10H8" localSheetId="9">#REF!</definedName>
    <definedName name="U10H8" localSheetId="10">#REF!</definedName>
    <definedName name="U10H8" localSheetId="15">#REF!</definedName>
    <definedName name="U10H8" localSheetId="19">#REF!</definedName>
    <definedName name="U10H8" localSheetId="20">#REF!</definedName>
    <definedName name="U10H8" localSheetId="24">#REF!</definedName>
    <definedName name="U10H8" localSheetId="104">#REF!</definedName>
    <definedName name="U10H8" localSheetId="65">#REF!</definedName>
    <definedName name="U10H8" localSheetId="64">#REF!</definedName>
    <definedName name="U10H8" localSheetId="77">#REF!</definedName>
    <definedName name="U10H8" localSheetId="49">#REF!</definedName>
    <definedName name="U10H8" localSheetId="40">#REF!</definedName>
    <definedName name="U10H8" localSheetId="43">#REF!</definedName>
    <definedName name="U10H8" localSheetId="13">#REF!</definedName>
    <definedName name="U10H8" localSheetId="38">#REF!</definedName>
    <definedName name="U10H8">#REF!</definedName>
    <definedName name="U10H9" localSheetId="3">#REF!</definedName>
    <definedName name="U10H9" localSheetId="7">#REF!</definedName>
    <definedName name="U10H9" localSheetId="9">#REF!</definedName>
    <definedName name="U10H9" localSheetId="10">#REF!</definedName>
    <definedName name="U10H9" localSheetId="15">#REF!</definedName>
    <definedName name="U10H9" localSheetId="19">#REF!</definedName>
    <definedName name="U10H9" localSheetId="20">#REF!</definedName>
    <definedName name="U10H9" localSheetId="24">#REF!</definedName>
    <definedName name="U10H9" localSheetId="104">#REF!</definedName>
    <definedName name="U10H9" localSheetId="65">#REF!</definedName>
    <definedName name="U10H9" localSheetId="64">#REF!</definedName>
    <definedName name="U10H9" localSheetId="77">#REF!</definedName>
    <definedName name="U10H9" localSheetId="49">#REF!</definedName>
    <definedName name="U10H9" localSheetId="40">#REF!</definedName>
    <definedName name="U10H9" localSheetId="43">#REF!</definedName>
    <definedName name="U10H9" localSheetId="13">#REF!</definedName>
    <definedName name="U10H9" localSheetId="38">#REF!</definedName>
    <definedName name="U10H9">#REF!</definedName>
    <definedName name="U10IH1" localSheetId="3">#REF!</definedName>
    <definedName name="U10IH1" localSheetId="7">#REF!</definedName>
    <definedName name="U10IH1" localSheetId="9">#REF!</definedName>
    <definedName name="U10IH1" localSheetId="10">#REF!</definedName>
    <definedName name="U10IH1" localSheetId="15">#REF!</definedName>
    <definedName name="U10IH1" localSheetId="19">#REF!</definedName>
    <definedName name="U10IH1" localSheetId="20">#REF!</definedName>
    <definedName name="U10IH1" localSheetId="24">#REF!</definedName>
    <definedName name="U10IH1" localSheetId="104">#REF!</definedName>
    <definedName name="U10IH1" localSheetId="65">#REF!</definedName>
    <definedName name="U10IH1" localSheetId="64">#REF!</definedName>
    <definedName name="U10IH1" localSheetId="77">#REF!</definedName>
    <definedName name="U10IH1" localSheetId="49">#REF!</definedName>
    <definedName name="U10IH1" localSheetId="40">#REF!</definedName>
    <definedName name="U10IH1" localSheetId="43">#REF!</definedName>
    <definedName name="U10IH1" localSheetId="13">#REF!</definedName>
    <definedName name="U10IH1" localSheetId="38">#REF!</definedName>
    <definedName name="U10IH1">#REF!</definedName>
    <definedName name="U10IH2" localSheetId="3">#REF!</definedName>
    <definedName name="U10IH2" localSheetId="7">#REF!</definedName>
    <definedName name="U10IH2" localSheetId="9">#REF!</definedName>
    <definedName name="U10IH2" localSheetId="10">#REF!</definedName>
    <definedName name="U10IH2" localSheetId="15">#REF!</definedName>
    <definedName name="U10IH2" localSheetId="19">#REF!</definedName>
    <definedName name="U10IH2" localSheetId="20">#REF!</definedName>
    <definedName name="U10IH2" localSheetId="24">#REF!</definedName>
    <definedName name="U10IH2" localSheetId="104">#REF!</definedName>
    <definedName name="U10IH2" localSheetId="65">#REF!</definedName>
    <definedName name="U10IH2" localSheetId="64">#REF!</definedName>
    <definedName name="U10IH2" localSheetId="77">#REF!</definedName>
    <definedName name="U10IH2" localSheetId="49">#REF!</definedName>
    <definedName name="U10IH2" localSheetId="40">#REF!</definedName>
    <definedName name="U10IH2" localSheetId="43">#REF!</definedName>
    <definedName name="U10IH2" localSheetId="13">#REF!</definedName>
    <definedName name="U10IH2" localSheetId="38">#REF!</definedName>
    <definedName name="U10IH2">#REF!</definedName>
    <definedName name="U10IH3" localSheetId="3">#REF!</definedName>
    <definedName name="U10IH3" localSheetId="7">#REF!</definedName>
    <definedName name="U10IH3" localSheetId="9">#REF!</definedName>
    <definedName name="U10IH3" localSheetId="10">#REF!</definedName>
    <definedName name="U10IH3" localSheetId="15">#REF!</definedName>
    <definedName name="U10IH3" localSheetId="19">#REF!</definedName>
    <definedName name="U10IH3" localSheetId="20">#REF!</definedName>
    <definedName name="U10IH3" localSheetId="24">#REF!</definedName>
    <definedName name="U10IH3" localSheetId="104">#REF!</definedName>
    <definedName name="U10IH3" localSheetId="65">#REF!</definedName>
    <definedName name="U10IH3" localSheetId="64">#REF!</definedName>
    <definedName name="U10IH3" localSheetId="77">#REF!</definedName>
    <definedName name="U10IH3" localSheetId="49">#REF!</definedName>
    <definedName name="U10IH3" localSheetId="40">#REF!</definedName>
    <definedName name="U10IH3" localSheetId="43">#REF!</definedName>
    <definedName name="U10IH3" localSheetId="13">#REF!</definedName>
    <definedName name="U10IH3" localSheetId="38">#REF!</definedName>
    <definedName name="U10IH3">#REF!</definedName>
    <definedName name="U10IH4" localSheetId="3">#REF!</definedName>
    <definedName name="U10IH4" localSheetId="7">#REF!</definedName>
    <definedName name="U10IH4" localSheetId="9">#REF!</definedName>
    <definedName name="U10IH4" localSheetId="10">#REF!</definedName>
    <definedName name="U10IH4" localSheetId="15">#REF!</definedName>
    <definedName name="U10IH4" localSheetId="19">#REF!</definedName>
    <definedName name="U10IH4" localSheetId="20">#REF!</definedName>
    <definedName name="U10IH4" localSheetId="24">#REF!</definedName>
    <definedName name="U10IH4" localSheetId="104">#REF!</definedName>
    <definedName name="U10IH4" localSheetId="65">#REF!</definedName>
    <definedName name="U10IH4" localSheetId="64">#REF!</definedName>
    <definedName name="U10IH4" localSheetId="77">#REF!</definedName>
    <definedName name="U10IH4" localSheetId="49">#REF!</definedName>
    <definedName name="U10IH4" localSheetId="40">#REF!</definedName>
    <definedName name="U10IH4" localSheetId="43">#REF!</definedName>
    <definedName name="U10IH4" localSheetId="13">#REF!</definedName>
    <definedName name="U10IH4" localSheetId="38">#REF!</definedName>
    <definedName name="U10IH4">#REF!</definedName>
    <definedName name="U10IH5" localSheetId="3">#REF!</definedName>
    <definedName name="U10IH5" localSheetId="7">#REF!</definedName>
    <definedName name="U10IH5" localSheetId="9">#REF!</definedName>
    <definedName name="U10IH5" localSheetId="10">#REF!</definedName>
    <definedName name="U10IH5" localSheetId="15">#REF!</definedName>
    <definedName name="U10IH5" localSheetId="19">#REF!</definedName>
    <definedName name="U10IH5" localSheetId="20">#REF!</definedName>
    <definedName name="U10IH5" localSheetId="24">#REF!</definedName>
    <definedName name="U10IH5" localSheetId="104">#REF!</definedName>
    <definedName name="U10IH5" localSheetId="65">#REF!</definedName>
    <definedName name="U10IH5" localSheetId="64">#REF!</definedName>
    <definedName name="U10IH5" localSheetId="77">#REF!</definedName>
    <definedName name="U10IH5" localSheetId="49">#REF!</definedName>
    <definedName name="U10IH5" localSheetId="40">#REF!</definedName>
    <definedName name="U10IH5" localSheetId="43">#REF!</definedName>
    <definedName name="U10IH5" localSheetId="13">#REF!</definedName>
    <definedName name="U10IH5" localSheetId="38">#REF!</definedName>
    <definedName name="U10IH5">#REF!</definedName>
    <definedName name="U11H1" localSheetId="3">#REF!</definedName>
    <definedName name="U11H1" localSheetId="7">#REF!</definedName>
    <definedName name="U11H1" localSheetId="9">#REF!</definedName>
    <definedName name="U11H1" localSheetId="10">#REF!</definedName>
    <definedName name="U11H1" localSheetId="15">#REF!</definedName>
    <definedName name="U11H1" localSheetId="19">#REF!</definedName>
    <definedName name="U11H1" localSheetId="20">#REF!</definedName>
    <definedName name="U11H1" localSheetId="24">#REF!</definedName>
    <definedName name="U11H1" localSheetId="104">#REF!</definedName>
    <definedName name="U11H1" localSheetId="65">#REF!</definedName>
    <definedName name="U11H1" localSheetId="64">#REF!</definedName>
    <definedName name="U11H1" localSheetId="77">#REF!</definedName>
    <definedName name="U11H1" localSheetId="49">#REF!</definedName>
    <definedName name="U11H1" localSheetId="40">#REF!</definedName>
    <definedName name="U11H1" localSheetId="43">#REF!</definedName>
    <definedName name="U11H1" localSheetId="13">#REF!</definedName>
    <definedName name="U11H1" localSheetId="38">#REF!</definedName>
    <definedName name="U11H1">#REF!</definedName>
    <definedName name="U11H10" localSheetId="3">#REF!</definedName>
    <definedName name="U11H10" localSheetId="7">#REF!</definedName>
    <definedName name="U11H10" localSheetId="9">#REF!</definedName>
    <definedName name="U11H10" localSheetId="10">#REF!</definedName>
    <definedName name="U11H10" localSheetId="15">#REF!</definedName>
    <definedName name="U11H10" localSheetId="19">#REF!</definedName>
    <definedName name="U11H10" localSheetId="20">#REF!</definedName>
    <definedName name="U11H10" localSheetId="24">#REF!</definedName>
    <definedName name="U11H10" localSheetId="104">#REF!</definedName>
    <definedName name="U11H10" localSheetId="65">#REF!</definedName>
    <definedName name="U11H10" localSheetId="64">#REF!</definedName>
    <definedName name="U11H10" localSheetId="77">#REF!</definedName>
    <definedName name="U11H10" localSheetId="49">#REF!</definedName>
    <definedName name="U11H10" localSheetId="40">#REF!</definedName>
    <definedName name="U11H10" localSheetId="43">#REF!</definedName>
    <definedName name="U11H10" localSheetId="13">#REF!</definedName>
    <definedName name="U11H10" localSheetId="38">#REF!</definedName>
    <definedName name="U11H10">#REF!</definedName>
    <definedName name="U11H11" localSheetId="3">#REF!</definedName>
    <definedName name="U11H11" localSheetId="7">#REF!</definedName>
    <definedName name="U11H11" localSheetId="9">#REF!</definedName>
    <definedName name="U11H11" localSheetId="10">#REF!</definedName>
    <definedName name="U11H11" localSheetId="15">#REF!</definedName>
    <definedName name="U11H11" localSheetId="19">#REF!</definedName>
    <definedName name="U11H11" localSheetId="20">#REF!</definedName>
    <definedName name="U11H11" localSheetId="24">#REF!</definedName>
    <definedName name="U11H11" localSheetId="104">#REF!</definedName>
    <definedName name="U11H11" localSheetId="65">#REF!</definedName>
    <definedName name="U11H11" localSheetId="64">#REF!</definedName>
    <definedName name="U11H11" localSheetId="77">#REF!</definedName>
    <definedName name="U11H11" localSheetId="49">#REF!</definedName>
    <definedName name="U11H11" localSheetId="40">#REF!</definedName>
    <definedName name="U11H11" localSheetId="43">#REF!</definedName>
    <definedName name="U11H11" localSheetId="13">#REF!</definedName>
    <definedName name="U11H11" localSheetId="38">#REF!</definedName>
    <definedName name="U11H11">#REF!</definedName>
    <definedName name="U11H12" localSheetId="3">#REF!</definedName>
    <definedName name="U11H12" localSheetId="7">#REF!</definedName>
    <definedName name="U11H12" localSheetId="9">#REF!</definedName>
    <definedName name="U11H12" localSheetId="10">#REF!</definedName>
    <definedName name="U11H12" localSheetId="15">#REF!</definedName>
    <definedName name="U11H12" localSheetId="19">#REF!</definedName>
    <definedName name="U11H12" localSheetId="20">#REF!</definedName>
    <definedName name="U11H12" localSheetId="24">#REF!</definedName>
    <definedName name="U11H12" localSheetId="104">#REF!</definedName>
    <definedName name="U11H12" localSheetId="65">#REF!</definedName>
    <definedName name="U11H12" localSheetId="64">#REF!</definedName>
    <definedName name="U11H12" localSheetId="77">#REF!</definedName>
    <definedName name="U11H12" localSheetId="49">#REF!</definedName>
    <definedName name="U11H12" localSheetId="40">#REF!</definedName>
    <definedName name="U11H12" localSheetId="43">#REF!</definedName>
    <definedName name="U11H12" localSheetId="13">#REF!</definedName>
    <definedName name="U11H12" localSheetId="38">#REF!</definedName>
    <definedName name="U11H12">#REF!</definedName>
    <definedName name="U11H13" localSheetId="3">#REF!</definedName>
    <definedName name="U11H13" localSheetId="7">#REF!</definedName>
    <definedName name="U11H13" localSheetId="9">#REF!</definedName>
    <definedName name="U11H13" localSheetId="10">#REF!</definedName>
    <definedName name="U11H13" localSheetId="15">#REF!</definedName>
    <definedName name="U11H13" localSheetId="19">#REF!</definedName>
    <definedName name="U11H13" localSheetId="20">#REF!</definedName>
    <definedName name="U11H13" localSheetId="24">#REF!</definedName>
    <definedName name="U11H13" localSheetId="104">#REF!</definedName>
    <definedName name="U11H13" localSheetId="65">#REF!</definedName>
    <definedName name="U11H13" localSheetId="64">#REF!</definedName>
    <definedName name="U11H13" localSheetId="77">#REF!</definedName>
    <definedName name="U11H13" localSheetId="49">#REF!</definedName>
    <definedName name="U11H13" localSheetId="40">#REF!</definedName>
    <definedName name="U11H13" localSheetId="43">#REF!</definedName>
    <definedName name="U11H13" localSheetId="13">#REF!</definedName>
    <definedName name="U11H13" localSheetId="38">#REF!</definedName>
    <definedName name="U11H13">#REF!</definedName>
    <definedName name="U11H14" localSheetId="3">#REF!</definedName>
    <definedName name="U11H14" localSheetId="7">#REF!</definedName>
    <definedName name="U11H14" localSheetId="9">#REF!</definedName>
    <definedName name="U11H14" localSheetId="10">#REF!</definedName>
    <definedName name="U11H14" localSheetId="15">#REF!</definedName>
    <definedName name="U11H14" localSheetId="19">#REF!</definedName>
    <definedName name="U11H14" localSheetId="20">#REF!</definedName>
    <definedName name="U11H14" localSheetId="24">#REF!</definedName>
    <definedName name="U11H14" localSheetId="104">#REF!</definedName>
    <definedName name="U11H14" localSheetId="65">#REF!</definedName>
    <definedName name="U11H14" localSheetId="64">#REF!</definedName>
    <definedName name="U11H14" localSheetId="77">#REF!</definedName>
    <definedName name="U11H14" localSheetId="49">#REF!</definedName>
    <definedName name="U11H14" localSheetId="40">#REF!</definedName>
    <definedName name="U11H14" localSheetId="43">#REF!</definedName>
    <definedName name="U11H14" localSheetId="13">#REF!</definedName>
    <definedName name="U11H14" localSheetId="38">#REF!</definedName>
    <definedName name="U11H14">#REF!</definedName>
    <definedName name="U11H15" localSheetId="3">#REF!</definedName>
    <definedName name="U11H15" localSheetId="7">#REF!</definedName>
    <definedName name="U11H15" localSheetId="9">#REF!</definedName>
    <definedName name="U11H15" localSheetId="10">#REF!</definedName>
    <definedName name="U11H15" localSheetId="15">#REF!</definedName>
    <definedName name="U11H15" localSheetId="19">#REF!</definedName>
    <definedName name="U11H15" localSheetId="20">#REF!</definedName>
    <definedName name="U11H15" localSheetId="24">#REF!</definedName>
    <definedName name="U11H15" localSheetId="104">#REF!</definedName>
    <definedName name="U11H15" localSheetId="65">#REF!</definedName>
    <definedName name="U11H15" localSheetId="64">#REF!</definedName>
    <definedName name="U11H15" localSheetId="77">#REF!</definedName>
    <definedName name="U11H15" localSheetId="49">#REF!</definedName>
    <definedName name="U11H15" localSheetId="40">#REF!</definedName>
    <definedName name="U11H15" localSheetId="43">#REF!</definedName>
    <definedName name="U11H15" localSheetId="13">#REF!</definedName>
    <definedName name="U11H15" localSheetId="38">#REF!</definedName>
    <definedName name="U11H15">#REF!</definedName>
    <definedName name="U11H2" localSheetId="3">#REF!</definedName>
    <definedName name="U11H2" localSheetId="7">#REF!</definedName>
    <definedName name="U11H2" localSheetId="9">#REF!</definedName>
    <definedName name="U11H2" localSheetId="10">#REF!</definedName>
    <definedName name="U11H2" localSheetId="15">#REF!</definedName>
    <definedName name="U11H2" localSheetId="19">#REF!</definedName>
    <definedName name="U11H2" localSheetId="20">#REF!</definedName>
    <definedName name="U11H2" localSheetId="24">#REF!</definedName>
    <definedName name="U11H2" localSheetId="104">#REF!</definedName>
    <definedName name="U11H2" localSheetId="65">#REF!</definedName>
    <definedName name="U11H2" localSheetId="64">#REF!</definedName>
    <definedName name="U11H2" localSheetId="77">#REF!</definedName>
    <definedName name="U11H2" localSheetId="49">#REF!</definedName>
    <definedName name="U11H2" localSheetId="40">#REF!</definedName>
    <definedName name="U11H2" localSheetId="43">#REF!</definedName>
    <definedName name="U11H2" localSheetId="13">#REF!</definedName>
    <definedName name="U11H2" localSheetId="38">#REF!</definedName>
    <definedName name="U11H2">#REF!</definedName>
    <definedName name="U11H3" localSheetId="3">#REF!</definedName>
    <definedName name="U11H3" localSheetId="7">#REF!</definedName>
    <definedName name="U11H3" localSheetId="9">#REF!</definedName>
    <definedName name="U11H3" localSheetId="10">#REF!</definedName>
    <definedName name="U11H3" localSheetId="15">#REF!</definedName>
    <definedName name="U11H3" localSheetId="19">#REF!</definedName>
    <definedName name="U11H3" localSheetId="20">#REF!</definedName>
    <definedName name="U11H3" localSheetId="24">#REF!</definedName>
    <definedName name="U11H3" localSheetId="104">#REF!</definedName>
    <definedName name="U11H3" localSheetId="65">#REF!</definedName>
    <definedName name="U11H3" localSheetId="64">#REF!</definedName>
    <definedName name="U11H3" localSheetId="77">#REF!</definedName>
    <definedName name="U11H3" localSheetId="49">#REF!</definedName>
    <definedName name="U11H3" localSheetId="40">#REF!</definedName>
    <definedName name="U11H3" localSheetId="43">#REF!</definedName>
    <definedName name="U11H3" localSheetId="13">#REF!</definedName>
    <definedName name="U11H3" localSheetId="38">#REF!</definedName>
    <definedName name="U11H3">#REF!</definedName>
    <definedName name="U11H4" localSheetId="3">#REF!</definedName>
    <definedName name="U11H4" localSheetId="7">#REF!</definedName>
    <definedName name="U11H4" localSheetId="9">#REF!</definedName>
    <definedName name="U11H4" localSheetId="10">#REF!</definedName>
    <definedName name="U11H4" localSheetId="15">#REF!</definedName>
    <definedName name="U11H4" localSheetId="19">#REF!</definedName>
    <definedName name="U11H4" localSheetId="20">#REF!</definedName>
    <definedName name="U11H4" localSheetId="24">#REF!</definedName>
    <definedName name="U11H4" localSheetId="104">#REF!</definedName>
    <definedName name="U11H4" localSheetId="65">#REF!</definedName>
    <definedName name="U11H4" localSheetId="64">#REF!</definedName>
    <definedName name="U11H4" localSheetId="77">#REF!</definedName>
    <definedName name="U11H4" localSheetId="49">#REF!</definedName>
    <definedName name="U11H4" localSheetId="40">#REF!</definedName>
    <definedName name="U11H4" localSheetId="43">#REF!</definedName>
    <definedName name="U11H4" localSheetId="13">#REF!</definedName>
    <definedName name="U11H4" localSheetId="38">#REF!</definedName>
    <definedName name="U11H4">#REF!</definedName>
    <definedName name="U11H5" localSheetId="3">#REF!</definedName>
    <definedName name="U11H5" localSheetId="7">#REF!</definedName>
    <definedName name="U11H5" localSheetId="9">#REF!</definedName>
    <definedName name="U11H5" localSheetId="10">#REF!</definedName>
    <definedName name="U11H5" localSheetId="15">#REF!</definedName>
    <definedName name="U11H5" localSheetId="19">#REF!</definedName>
    <definedName name="U11H5" localSheetId="20">#REF!</definedName>
    <definedName name="U11H5" localSheetId="24">#REF!</definedName>
    <definedName name="U11H5" localSheetId="104">#REF!</definedName>
    <definedName name="U11H5" localSheetId="65">#REF!</definedName>
    <definedName name="U11H5" localSheetId="64">#REF!</definedName>
    <definedName name="U11H5" localSheetId="77">#REF!</definedName>
    <definedName name="U11H5" localSheetId="49">#REF!</definedName>
    <definedName name="U11H5" localSheetId="40">#REF!</definedName>
    <definedName name="U11H5" localSheetId="43">#REF!</definedName>
    <definedName name="U11H5" localSheetId="13">#REF!</definedName>
    <definedName name="U11H5" localSheetId="38">#REF!</definedName>
    <definedName name="U11H5">#REF!</definedName>
    <definedName name="U11H6" localSheetId="3">#REF!</definedName>
    <definedName name="U11H6" localSheetId="7">#REF!</definedName>
    <definedName name="U11H6" localSheetId="9">#REF!</definedName>
    <definedName name="U11H6" localSheetId="10">#REF!</definedName>
    <definedName name="U11H6" localSheetId="15">#REF!</definedName>
    <definedName name="U11H6" localSheetId="19">#REF!</definedName>
    <definedName name="U11H6" localSheetId="20">#REF!</definedName>
    <definedName name="U11H6" localSheetId="24">#REF!</definedName>
    <definedName name="U11H6" localSheetId="104">#REF!</definedName>
    <definedName name="U11H6" localSheetId="65">#REF!</definedName>
    <definedName name="U11H6" localSheetId="64">#REF!</definedName>
    <definedName name="U11H6" localSheetId="77">#REF!</definedName>
    <definedName name="U11H6" localSheetId="49">#REF!</definedName>
    <definedName name="U11H6" localSheetId="40">#REF!</definedName>
    <definedName name="U11H6" localSheetId="43">#REF!</definedName>
    <definedName name="U11H6" localSheetId="13">#REF!</definedName>
    <definedName name="U11H6" localSheetId="38">#REF!</definedName>
    <definedName name="U11H6">#REF!</definedName>
    <definedName name="U11H7" localSheetId="3">#REF!</definedName>
    <definedName name="U11H7" localSheetId="7">#REF!</definedName>
    <definedName name="U11H7" localSheetId="9">#REF!</definedName>
    <definedName name="U11H7" localSheetId="10">#REF!</definedName>
    <definedName name="U11H7" localSheetId="15">#REF!</definedName>
    <definedName name="U11H7" localSheetId="19">#REF!</definedName>
    <definedName name="U11H7" localSheetId="20">#REF!</definedName>
    <definedName name="U11H7" localSheetId="24">#REF!</definedName>
    <definedName name="U11H7" localSheetId="104">#REF!</definedName>
    <definedName name="U11H7" localSheetId="65">#REF!</definedName>
    <definedName name="U11H7" localSheetId="64">#REF!</definedName>
    <definedName name="U11H7" localSheetId="77">#REF!</definedName>
    <definedName name="U11H7" localSheetId="49">#REF!</definedName>
    <definedName name="U11H7" localSheetId="40">#REF!</definedName>
    <definedName name="U11H7" localSheetId="43">#REF!</definedName>
    <definedName name="U11H7" localSheetId="13">#REF!</definedName>
    <definedName name="U11H7" localSheetId="38">#REF!</definedName>
    <definedName name="U11H7">#REF!</definedName>
    <definedName name="U11H8" localSheetId="3">#REF!</definedName>
    <definedName name="U11H8" localSheetId="7">#REF!</definedName>
    <definedName name="U11H8" localSheetId="9">#REF!</definedName>
    <definedName name="U11H8" localSheetId="10">#REF!</definedName>
    <definedName name="U11H8" localSheetId="15">#REF!</definedName>
    <definedName name="U11H8" localSheetId="19">#REF!</definedName>
    <definedName name="U11H8" localSheetId="20">#REF!</definedName>
    <definedName name="U11H8" localSheetId="24">#REF!</definedName>
    <definedName name="U11H8" localSheetId="104">#REF!</definedName>
    <definedName name="U11H8" localSheetId="65">#REF!</definedName>
    <definedName name="U11H8" localSheetId="64">#REF!</definedName>
    <definedName name="U11H8" localSheetId="77">#REF!</definedName>
    <definedName name="U11H8" localSheetId="49">#REF!</definedName>
    <definedName name="U11H8" localSheetId="40">#REF!</definedName>
    <definedName name="U11H8" localSheetId="43">#REF!</definedName>
    <definedName name="U11H8" localSheetId="13">#REF!</definedName>
    <definedName name="U11H8" localSheetId="38">#REF!</definedName>
    <definedName name="U11H8">#REF!</definedName>
    <definedName name="U11H9" localSheetId="3">#REF!</definedName>
    <definedName name="U11H9" localSheetId="7">#REF!</definedName>
    <definedName name="U11H9" localSheetId="9">#REF!</definedName>
    <definedName name="U11H9" localSheetId="10">#REF!</definedName>
    <definedName name="U11H9" localSheetId="15">#REF!</definedName>
    <definedName name="U11H9" localSheetId="19">#REF!</definedName>
    <definedName name="U11H9" localSheetId="20">#REF!</definedName>
    <definedName name="U11H9" localSheetId="24">#REF!</definedName>
    <definedName name="U11H9" localSheetId="104">#REF!</definedName>
    <definedName name="U11H9" localSheetId="65">#REF!</definedName>
    <definedName name="U11H9" localSheetId="64">#REF!</definedName>
    <definedName name="U11H9" localSheetId="77">#REF!</definedName>
    <definedName name="U11H9" localSheetId="49">#REF!</definedName>
    <definedName name="U11H9" localSheetId="40">#REF!</definedName>
    <definedName name="U11H9" localSheetId="43">#REF!</definedName>
    <definedName name="U11H9" localSheetId="13">#REF!</definedName>
    <definedName name="U11H9" localSheetId="38">#REF!</definedName>
    <definedName name="U11H9">#REF!</definedName>
    <definedName name="U11IH1" localSheetId="3">#REF!</definedName>
    <definedName name="U11IH1" localSheetId="7">#REF!</definedName>
    <definedName name="U11IH1" localSheetId="9">#REF!</definedName>
    <definedName name="U11IH1" localSheetId="10">#REF!</definedName>
    <definedName name="U11IH1" localSheetId="15">#REF!</definedName>
    <definedName name="U11IH1" localSheetId="19">#REF!</definedName>
    <definedName name="U11IH1" localSheetId="20">#REF!</definedName>
    <definedName name="U11IH1" localSheetId="24">#REF!</definedName>
    <definedName name="U11IH1" localSheetId="104">#REF!</definedName>
    <definedName name="U11IH1" localSheetId="65">#REF!</definedName>
    <definedName name="U11IH1" localSheetId="64">#REF!</definedName>
    <definedName name="U11IH1" localSheetId="77">#REF!</definedName>
    <definedName name="U11IH1" localSheetId="49">#REF!</definedName>
    <definedName name="U11IH1" localSheetId="40">#REF!</definedName>
    <definedName name="U11IH1" localSheetId="43">#REF!</definedName>
    <definedName name="U11IH1" localSheetId="13">#REF!</definedName>
    <definedName name="U11IH1" localSheetId="38">#REF!</definedName>
    <definedName name="U11IH1">#REF!</definedName>
    <definedName name="U11IH2" localSheetId="3">#REF!</definedName>
    <definedName name="U11IH2" localSheetId="7">#REF!</definedName>
    <definedName name="U11IH2" localSheetId="9">#REF!</definedName>
    <definedName name="U11IH2" localSheetId="10">#REF!</definedName>
    <definedName name="U11IH2" localSheetId="15">#REF!</definedName>
    <definedName name="U11IH2" localSheetId="19">#REF!</definedName>
    <definedName name="U11IH2" localSheetId="20">#REF!</definedName>
    <definedName name="U11IH2" localSheetId="24">#REF!</definedName>
    <definedName name="U11IH2" localSheetId="104">#REF!</definedName>
    <definedName name="U11IH2" localSheetId="65">#REF!</definedName>
    <definedName name="U11IH2" localSheetId="64">#REF!</definedName>
    <definedName name="U11IH2" localSheetId="77">#REF!</definedName>
    <definedName name="U11IH2" localSheetId="49">#REF!</definedName>
    <definedName name="U11IH2" localSheetId="40">#REF!</definedName>
    <definedName name="U11IH2" localSheetId="43">#REF!</definedName>
    <definedName name="U11IH2" localSheetId="13">#REF!</definedName>
    <definedName name="U11IH2" localSheetId="38">#REF!</definedName>
    <definedName name="U11IH2">#REF!</definedName>
    <definedName name="U11IH3" localSheetId="3">#REF!</definedName>
    <definedName name="U11IH3" localSheetId="7">#REF!</definedName>
    <definedName name="U11IH3" localSheetId="9">#REF!</definedName>
    <definedName name="U11IH3" localSheetId="10">#REF!</definedName>
    <definedName name="U11IH3" localSheetId="15">#REF!</definedName>
    <definedName name="U11IH3" localSheetId="19">#REF!</definedName>
    <definedName name="U11IH3" localSheetId="20">#REF!</definedName>
    <definedName name="U11IH3" localSheetId="24">#REF!</definedName>
    <definedName name="U11IH3" localSheetId="104">#REF!</definedName>
    <definedName name="U11IH3" localSheetId="65">#REF!</definedName>
    <definedName name="U11IH3" localSheetId="64">#REF!</definedName>
    <definedName name="U11IH3" localSheetId="77">#REF!</definedName>
    <definedName name="U11IH3" localSheetId="49">#REF!</definedName>
    <definedName name="U11IH3" localSheetId="40">#REF!</definedName>
    <definedName name="U11IH3" localSheetId="43">#REF!</definedName>
    <definedName name="U11IH3" localSheetId="13">#REF!</definedName>
    <definedName name="U11IH3" localSheetId="38">#REF!</definedName>
    <definedName name="U11IH3">#REF!</definedName>
    <definedName name="U11IH4" localSheetId="3">#REF!</definedName>
    <definedName name="U11IH4" localSheetId="7">#REF!</definedName>
    <definedName name="U11IH4" localSheetId="9">#REF!</definedName>
    <definedName name="U11IH4" localSheetId="10">#REF!</definedName>
    <definedName name="U11IH4" localSheetId="15">#REF!</definedName>
    <definedName name="U11IH4" localSheetId="19">#REF!</definedName>
    <definedName name="U11IH4" localSheetId="20">#REF!</definedName>
    <definedName name="U11IH4" localSheetId="24">#REF!</definedName>
    <definedName name="U11IH4" localSheetId="104">#REF!</definedName>
    <definedName name="U11IH4" localSheetId="65">#REF!</definedName>
    <definedName name="U11IH4" localSheetId="64">#REF!</definedName>
    <definedName name="U11IH4" localSheetId="77">#REF!</definedName>
    <definedName name="U11IH4" localSheetId="49">#REF!</definedName>
    <definedName name="U11IH4" localSheetId="40">#REF!</definedName>
    <definedName name="U11IH4" localSheetId="43">#REF!</definedName>
    <definedName name="U11IH4" localSheetId="13">#REF!</definedName>
    <definedName name="U11IH4" localSheetId="38">#REF!</definedName>
    <definedName name="U11IH4">#REF!</definedName>
    <definedName name="U11IH5" localSheetId="3">#REF!</definedName>
    <definedName name="U11IH5" localSheetId="7">#REF!</definedName>
    <definedName name="U11IH5" localSheetId="9">#REF!</definedName>
    <definedName name="U11IH5" localSheetId="10">#REF!</definedName>
    <definedName name="U11IH5" localSheetId="15">#REF!</definedName>
    <definedName name="U11IH5" localSheetId="19">#REF!</definedName>
    <definedName name="U11IH5" localSheetId="20">#REF!</definedName>
    <definedName name="U11IH5" localSheetId="24">#REF!</definedName>
    <definedName name="U11IH5" localSheetId="104">#REF!</definedName>
    <definedName name="U11IH5" localSheetId="65">#REF!</definedName>
    <definedName name="U11IH5" localSheetId="64">#REF!</definedName>
    <definedName name="U11IH5" localSheetId="77">#REF!</definedName>
    <definedName name="U11IH5" localSheetId="49">#REF!</definedName>
    <definedName name="U11IH5" localSheetId="40">#REF!</definedName>
    <definedName name="U11IH5" localSheetId="43">#REF!</definedName>
    <definedName name="U11IH5" localSheetId="13">#REF!</definedName>
    <definedName name="U11IH5" localSheetId="38">#REF!</definedName>
    <definedName name="U11IH5">#REF!</definedName>
    <definedName name="U12H1" localSheetId="3">#REF!</definedName>
    <definedName name="U12H1" localSheetId="7">#REF!</definedName>
    <definedName name="U12H1" localSheetId="9">#REF!</definedName>
    <definedName name="U12H1" localSheetId="10">#REF!</definedName>
    <definedName name="U12H1" localSheetId="15">#REF!</definedName>
    <definedName name="U12H1" localSheetId="19">#REF!</definedName>
    <definedName name="U12H1" localSheetId="20">#REF!</definedName>
    <definedName name="U12H1" localSheetId="24">#REF!</definedName>
    <definedName name="U12H1" localSheetId="104">#REF!</definedName>
    <definedName name="U12H1" localSheetId="65">#REF!</definedName>
    <definedName name="U12H1" localSheetId="64">#REF!</definedName>
    <definedName name="U12H1" localSheetId="77">#REF!</definedName>
    <definedName name="U12H1" localSheetId="49">#REF!</definedName>
    <definedName name="U12H1" localSheetId="40">#REF!</definedName>
    <definedName name="U12H1" localSheetId="43">#REF!</definedName>
    <definedName name="U12H1" localSheetId="13">#REF!</definedName>
    <definedName name="U12H1" localSheetId="38">#REF!</definedName>
    <definedName name="U12H1">#REF!</definedName>
    <definedName name="U12H10" localSheetId="3">#REF!</definedName>
    <definedName name="U12H10" localSheetId="7">#REF!</definedName>
    <definedName name="U12H10" localSheetId="9">#REF!</definedName>
    <definedName name="U12H10" localSheetId="10">#REF!</definedName>
    <definedName name="U12H10" localSheetId="15">#REF!</definedName>
    <definedName name="U12H10" localSheetId="19">#REF!</definedName>
    <definedName name="U12H10" localSheetId="20">#REF!</definedName>
    <definedName name="U12H10" localSheetId="24">#REF!</definedName>
    <definedName name="U12H10" localSheetId="104">#REF!</definedName>
    <definedName name="U12H10" localSheetId="65">#REF!</definedName>
    <definedName name="U12H10" localSheetId="64">#REF!</definedName>
    <definedName name="U12H10" localSheetId="77">#REF!</definedName>
    <definedName name="U12H10" localSheetId="49">#REF!</definedName>
    <definedName name="U12H10" localSheetId="40">#REF!</definedName>
    <definedName name="U12H10" localSheetId="43">#REF!</definedName>
    <definedName name="U12H10" localSheetId="13">#REF!</definedName>
    <definedName name="U12H10" localSheetId="38">#REF!</definedName>
    <definedName name="U12H10">#REF!</definedName>
    <definedName name="U12H11" localSheetId="3">#REF!</definedName>
    <definedName name="U12H11" localSheetId="7">#REF!</definedName>
    <definedName name="U12H11" localSheetId="9">#REF!</definedName>
    <definedName name="U12H11" localSheetId="10">#REF!</definedName>
    <definedName name="U12H11" localSheetId="15">#REF!</definedName>
    <definedName name="U12H11" localSheetId="19">#REF!</definedName>
    <definedName name="U12H11" localSheetId="20">#REF!</definedName>
    <definedName name="U12H11" localSheetId="24">#REF!</definedName>
    <definedName name="U12H11" localSheetId="104">#REF!</definedName>
    <definedName name="U12H11" localSheetId="65">#REF!</definedName>
    <definedName name="U12H11" localSheetId="64">#REF!</definedName>
    <definedName name="U12H11" localSheetId="77">#REF!</definedName>
    <definedName name="U12H11" localSheetId="49">#REF!</definedName>
    <definedName name="U12H11" localSheetId="40">#REF!</definedName>
    <definedName name="U12H11" localSheetId="43">#REF!</definedName>
    <definedName name="U12H11" localSheetId="13">#REF!</definedName>
    <definedName name="U12H11" localSheetId="38">#REF!</definedName>
    <definedName name="U12H11">#REF!</definedName>
    <definedName name="U12H12" localSheetId="3">#REF!</definedName>
    <definedName name="U12H12" localSheetId="7">#REF!</definedName>
    <definedName name="U12H12" localSheetId="9">#REF!</definedName>
    <definedName name="U12H12" localSheetId="10">#REF!</definedName>
    <definedName name="U12H12" localSheetId="15">#REF!</definedName>
    <definedName name="U12H12" localSheetId="19">#REF!</definedName>
    <definedName name="U12H12" localSheetId="20">#REF!</definedName>
    <definedName name="U12H12" localSheetId="24">#REF!</definedName>
    <definedName name="U12H12" localSheetId="104">#REF!</definedName>
    <definedName name="U12H12" localSheetId="65">#REF!</definedName>
    <definedName name="U12H12" localSheetId="64">#REF!</definedName>
    <definedName name="U12H12" localSheetId="77">#REF!</definedName>
    <definedName name="U12H12" localSheetId="49">#REF!</definedName>
    <definedName name="U12H12" localSheetId="40">#REF!</definedName>
    <definedName name="U12H12" localSheetId="43">#REF!</definedName>
    <definedName name="U12H12" localSheetId="13">#REF!</definedName>
    <definedName name="U12H12" localSheetId="38">#REF!</definedName>
    <definedName name="U12H12">#REF!</definedName>
    <definedName name="U12H13" localSheetId="3">#REF!</definedName>
    <definedName name="U12H13" localSheetId="7">#REF!</definedName>
    <definedName name="U12H13" localSheetId="9">#REF!</definedName>
    <definedName name="U12H13" localSheetId="10">#REF!</definedName>
    <definedName name="U12H13" localSheetId="15">#REF!</definedName>
    <definedName name="U12H13" localSheetId="19">#REF!</definedName>
    <definedName name="U12H13" localSheetId="20">#REF!</definedName>
    <definedName name="U12H13" localSheetId="24">#REF!</definedName>
    <definedName name="U12H13" localSheetId="104">#REF!</definedName>
    <definedName name="U12H13" localSheetId="65">#REF!</definedName>
    <definedName name="U12H13" localSheetId="64">#REF!</definedName>
    <definedName name="U12H13" localSheetId="77">#REF!</definedName>
    <definedName name="U12H13" localSheetId="49">#REF!</definedName>
    <definedName name="U12H13" localSheetId="40">#REF!</definedName>
    <definedName name="U12H13" localSheetId="43">#REF!</definedName>
    <definedName name="U12H13" localSheetId="13">#REF!</definedName>
    <definedName name="U12H13" localSheetId="38">#REF!</definedName>
    <definedName name="U12H13">#REF!</definedName>
    <definedName name="U12H14" localSheetId="3">#REF!</definedName>
    <definedName name="U12H14" localSheetId="7">#REF!</definedName>
    <definedName name="U12H14" localSheetId="9">#REF!</definedName>
    <definedName name="U12H14" localSheetId="10">#REF!</definedName>
    <definedName name="U12H14" localSheetId="15">#REF!</definedName>
    <definedName name="U12H14" localSheetId="19">#REF!</definedName>
    <definedName name="U12H14" localSheetId="20">#REF!</definedName>
    <definedName name="U12H14" localSheetId="24">#REF!</definedName>
    <definedName name="U12H14" localSheetId="104">#REF!</definedName>
    <definedName name="U12H14" localSheetId="65">#REF!</definedName>
    <definedName name="U12H14" localSheetId="64">#REF!</definedName>
    <definedName name="U12H14" localSheetId="77">#REF!</definedName>
    <definedName name="U12H14" localSheetId="49">#REF!</definedName>
    <definedName name="U12H14" localSheetId="40">#REF!</definedName>
    <definedName name="U12H14" localSheetId="43">#REF!</definedName>
    <definedName name="U12H14" localSheetId="13">#REF!</definedName>
    <definedName name="U12H14" localSheetId="38">#REF!</definedName>
    <definedName name="U12H14">#REF!</definedName>
    <definedName name="U12H15" localSheetId="3">#REF!</definedName>
    <definedName name="U12H15" localSheetId="7">#REF!</definedName>
    <definedName name="U12H15" localSheetId="9">#REF!</definedName>
    <definedName name="U12H15" localSheetId="10">#REF!</definedName>
    <definedName name="U12H15" localSheetId="15">#REF!</definedName>
    <definedName name="U12H15" localSheetId="19">#REF!</definedName>
    <definedName name="U12H15" localSheetId="20">#REF!</definedName>
    <definedName name="U12H15" localSheetId="24">#REF!</definedName>
    <definedName name="U12H15" localSheetId="104">#REF!</definedName>
    <definedName name="U12H15" localSheetId="65">#REF!</definedName>
    <definedName name="U12H15" localSheetId="64">#REF!</definedName>
    <definedName name="U12H15" localSheetId="77">#REF!</definedName>
    <definedName name="U12H15" localSheetId="49">#REF!</definedName>
    <definedName name="U12H15" localSheetId="40">#REF!</definedName>
    <definedName name="U12H15" localSheetId="43">#REF!</definedName>
    <definedName name="U12H15" localSheetId="13">#REF!</definedName>
    <definedName name="U12H15" localSheetId="38">#REF!</definedName>
    <definedName name="U12H15">#REF!</definedName>
    <definedName name="U12H2" localSheetId="3">#REF!</definedName>
    <definedName name="U12H2" localSheetId="7">#REF!</definedName>
    <definedName name="U12H2" localSheetId="9">#REF!</definedName>
    <definedName name="U12H2" localSheetId="10">#REF!</definedName>
    <definedName name="U12H2" localSheetId="15">#REF!</definedName>
    <definedName name="U12H2" localSheetId="19">#REF!</definedName>
    <definedName name="U12H2" localSheetId="20">#REF!</definedName>
    <definedName name="U12H2" localSheetId="24">#REF!</definedName>
    <definedName name="U12H2" localSheetId="104">#REF!</definedName>
    <definedName name="U12H2" localSheetId="65">#REF!</definedName>
    <definedName name="U12H2" localSheetId="64">#REF!</definedName>
    <definedName name="U12H2" localSheetId="77">#REF!</definedName>
    <definedName name="U12H2" localSheetId="49">#REF!</definedName>
    <definedName name="U12H2" localSheetId="40">#REF!</definedName>
    <definedName name="U12H2" localSheetId="43">#REF!</definedName>
    <definedName name="U12H2" localSheetId="13">#REF!</definedName>
    <definedName name="U12H2" localSheetId="38">#REF!</definedName>
    <definedName name="U12H2">#REF!</definedName>
    <definedName name="U12H3" localSheetId="3">#REF!</definedName>
    <definedName name="U12H3" localSheetId="7">#REF!</definedName>
    <definedName name="U12H3" localSheetId="9">#REF!</definedName>
    <definedName name="U12H3" localSheetId="10">#REF!</definedName>
    <definedName name="U12H3" localSheetId="15">#REF!</definedName>
    <definedName name="U12H3" localSheetId="19">#REF!</definedName>
    <definedName name="U12H3" localSheetId="20">#REF!</definedName>
    <definedName name="U12H3" localSheetId="24">#REF!</definedName>
    <definedName name="U12H3" localSheetId="104">#REF!</definedName>
    <definedName name="U12H3" localSheetId="65">#REF!</definedName>
    <definedName name="U12H3" localSheetId="64">#REF!</definedName>
    <definedName name="U12H3" localSheetId="77">#REF!</definedName>
    <definedName name="U12H3" localSheetId="49">#REF!</definedName>
    <definedName name="U12H3" localSheetId="40">#REF!</definedName>
    <definedName name="U12H3" localSheetId="43">#REF!</definedName>
    <definedName name="U12H3" localSheetId="13">#REF!</definedName>
    <definedName name="U12H3" localSheetId="38">#REF!</definedName>
    <definedName name="U12H3">#REF!</definedName>
    <definedName name="U12H4" localSheetId="3">#REF!</definedName>
    <definedName name="U12H4" localSheetId="7">#REF!</definedName>
    <definedName name="U12H4" localSheetId="9">#REF!</definedName>
    <definedName name="U12H4" localSheetId="10">#REF!</definedName>
    <definedName name="U12H4" localSheetId="15">#REF!</definedName>
    <definedName name="U12H4" localSheetId="19">#REF!</definedName>
    <definedName name="U12H4" localSheetId="20">#REF!</definedName>
    <definedName name="U12H4" localSheetId="24">#REF!</definedName>
    <definedName name="U12H4" localSheetId="104">#REF!</definedName>
    <definedName name="U12H4" localSheetId="65">#REF!</definedName>
    <definedName name="U12H4" localSheetId="64">#REF!</definedName>
    <definedName name="U12H4" localSheetId="77">#REF!</definedName>
    <definedName name="U12H4" localSheetId="49">#REF!</definedName>
    <definedName name="U12H4" localSheetId="40">#REF!</definedName>
    <definedName name="U12H4" localSheetId="43">#REF!</definedName>
    <definedName name="U12H4" localSheetId="13">#REF!</definedName>
    <definedName name="U12H4" localSheetId="38">#REF!</definedName>
    <definedName name="U12H4">#REF!</definedName>
    <definedName name="U12H5" localSheetId="3">#REF!</definedName>
    <definedName name="U12H5" localSheetId="7">#REF!</definedName>
    <definedName name="U12H5" localSheetId="9">#REF!</definedName>
    <definedName name="U12H5" localSheetId="10">#REF!</definedName>
    <definedName name="U12H5" localSheetId="15">#REF!</definedName>
    <definedName name="U12H5" localSheetId="19">#REF!</definedName>
    <definedName name="U12H5" localSheetId="20">#REF!</definedName>
    <definedName name="U12H5" localSheetId="24">#REF!</definedName>
    <definedName name="U12H5" localSheetId="104">#REF!</definedName>
    <definedName name="U12H5" localSheetId="65">#REF!</definedName>
    <definedName name="U12H5" localSheetId="64">#REF!</definedName>
    <definedName name="U12H5" localSheetId="77">#REF!</definedName>
    <definedName name="U12H5" localSheetId="49">#REF!</definedName>
    <definedName name="U12H5" localSheetId="40">#REF!</definedName>
    <definedName name="U12H5" localSheetId="43">#REF!</definedName>
    <definedName name="U12H5" localSheetId="13">#REF!</definedName>
    <definedName name="U12H5" localSheetId="38">#REF!</definedName>
    <definedName name="U12H5">#REF!</definedName>
    <definedName name="U12H6" localSheetId="3">#REF!</definedName>
    <definedName name="U12H6" localSheetId="7">#REF!</definedName>
    <definedName name="U12H6" localSheetId="9">#REF!</definedName>
    <definedName name="U12H6" localSheetId="10">#REF!</definedName>
    <definedName name="U12H6" localSheetId="15">#REF!</definedName>
    <definedName name="U12H6" localSheetId="19">#REF!</definedName>
    <definedName name="U12H6" localSheetId="20">#REF!</definedName>
    <definedName name="U12H6" localSheetId="24">#REF!</definedName>
    <definedName name="U12H6" localSheetId="104">#REF!</definedName>
    <definedName name="U12H6" localSheetId="65">#REF!</definedName>
    <definedName name="U12H6" localSheetId="64">#REF!</definedName>
    <definedName name="U12H6" localSheetId="77">#REF!</definedName>
    <definedName name="U12H6" localSheetId="49">#REF!</definedName>
    <definedName name="U12H6" localSheetId="40">#REF!</definedName>
    <definedName name="U12H6" localSheetId="43">#REF!</definedName>
    <definedName name="U12H6" localSheetId="13">#REF!</definedName>
    <definedName name="U12H6" localSheetId="38">#REF!</definedName>
    <definedName name="U12H6">#REF!</definedName>
    <definedName name="U12H7" localSheetId="3">#REF!</definedName>
    <definedName name="U12H7" localSheetId="7">#REF!</definedName>
    <definedName name="U12H7" localSheetId="9">#REF!</definedName>
    <definedName name="U12H7" localSheetId="10">#REF!</definedName>
    <definedName name="U12H7" localSheetId="15">#REF!</definedName>
    <definedName name="U12H7" localSheetId="19">#REF!</definedName>
    <definedName name="U12H7" localSheetId="20">#REF!</definedName>
    <definedName name="U12H7" localSheetId="24">#REF!</definedName>
    <definedName name="U12H7" localSheetId="104">#REF!</definedName>
    <definedName name="U12H7" localSheetId="65">#REF!</definedName>
    <definedName name="U12H7" localSheetId="64">#REF!</definedName>
    <definedName name="U12H7" localSheetId="77">#REF!</definedName>
    <definedName name="U12H7" localSheetId="49">#REF!</definedName>
    <definedName name="U12H7" localSheetId="40">#REF!</definedName>
    <definedName name="U12H7" localSheetId="43">#REF!</definedName>
    <definedName name="U12H7" localSheetId="13">#REF!</definedName>
    <definedName name="U12H7" localSheetId="38">#REF!</definedName>
    <definedName name="U12H7">#REF!</definedName>
    <definedName name="U12H8" localSheetId="3">#REF!</definedName>
    <definedName name="U12H8" localSheetId="7">#REF!</definedName>
    <definedName name="U12H8" localSheetId="9">#REF!</definedName>
    <definedName name="U12H8" localSheetId="10">#REF!</definedName>
    <definedName name="U12H8" localSheetId="15">#REF!</definedName>
    <definedName name="U12H8" localSheetId="19">#REF!</definedName>
    <definedName name="U12H8" localSheetId="20">#REF!</definedName>
    <definedName name="U12H8" localSheetId="24">#REF!</definedName>
    <definedName name="U12H8" localSheetId="104">#REF!</definedName>
    <definedName name="U12H8" localSheetId="65">#REF!</definedName>
    <definedName name="U12H8" localSheetId="64">#REF!</definedName>
    <definedName name="U12H8" localSheetId="77">#REF!</definedName>
    <definedName name="U12H8" localSheetId="49">#REF!</definedName>
    <definedName name="U12H8" localSheetId="40">#REF!</definedName>
    <definedName name="U12H8" localSheetId="43">#REF!</definedName>
    <definedName name="U12H8" localSheetId="13">#REF!</definedName>
    <definedName name="U12H8" localSheetId="38">#REF!</definedName>
    <definedName name="U12H8">#REF!</definedName>
    <definedName name="U12H9" localSheetId="3">#REF!</definedName>
    <definedName name="U12H9" localSheetId="7">#REF!</definedName>
    <definedName name="U12H9" localSheetId="9">#REF!</definedName>
    <definedName name="U12H9" localSheetId="10">#REF!</definedName>
    <definedName name="U12H9" localSheetId="15">#REF!</definedName>
    <definedName name="U12H9" localSheetId="19">#REF!</definedName>
    <definedName name="U12H9" localSheetId="20">#REF!</definedName>
    <definedName name="U12H9" localSheetId="24">#REF!</definedName>
    <definedName name="U12H9" localSheetId="104">#REF!</definedName>
    <definedName name="U12H9" localSheetId="65">#REF!</definedName>
    <definedName name="U12H9" localSheetId="64">#REF!</definedName>
    <definedName name="U12H9" localSheetId="77">#REF!</definedName>
    <definedName name="U12H9" localSheetId="49">#REF!</definedName>
    <definedName name="U12H9" localSheetId="40">#REF!</definedName>
    <definedName name="U12H9" localSheetId="43">#REF!</definedName>
    <definedName name="U12H9" localSheetId="13">#REF!</definedName>
    <definedName name="U12H9" localSheetId="38">#REF!</definedName>
    <definedName name="U12H9">#REF!</definedName>
    <definedName name="U12IH1" localSheetId="3">#REF!</definedName>
    <definedName name="U12IH1" localSheetId="7">#REF!</definedName>
    <definedName name="U12IH1" localSheetId="9">#REF!</definedName>
    <definedName name="U12IH1" localSheetId="10">#REF!</definedName>
    <definedName name="U12IH1" localSheetId="15">#REF!</definedName>
    <definedName name="U12IH1" localSheetId="19">#REF!</definedName>
    <definedName name="U12IH1" localSheetId="20">#REF!</definedName>
    <definedName name="U12IH1" localSheetId="24">#REF!</definedName>
    <definedName name="U12IH1" localSheetId="104">#REF!</definedName>
    <definedName name="U12IH1" localSheetId="65">#REF!</definedName>
    <definedName name="U12IH1" localSheetId="64">#REF!</definedName>
    <definedName name="U12IH1" localSheetId="77">#REF!</definedName>
    <definedName name="U12IH1" localSheetId="49">#REF!</definedName>
    <definedName name="U12IH1" localSheetId="40">#REF!</definedName>
    <definedName name="U12IH1" localSheetId="43">#REF!</definedName>
    <definedName name="U12IH1" localSheetId="13">#REF!</definedName>
    <definedName name="U12IH1" localSheetId="38">#REF!</definedName>
    <definedName name="U12IH1">#REF!</definedName>
    <definedName name="U12IH2" localSheetId="3">#REF!</definedName>
    <definedName name="U12IH2" localSheetId="7">#REF!</definedName>
    <definedName name="U12IH2" localSheetId="9">#REF!</definedName>
    <definedName name="U12IH2" localSheetId="10">#REF!</definedName>
    <definedName name="U12IH2" localSheetId="15">#REF!</definedName>
    <definedName name="U12IH2" localSheetId="19">#REF!</definedName>
    <definedName name="U12IH2" localSheetId="20">#REF!</definedName>
    <definedName name="U12IH2" localSheetId="24">#REF!</definedName>
    <definedName name="U12IH2" localSheetId="104">#REF!</definedName>
    <definedName name="U12IH2" localSheetId="65">#REF!</definedName>
    <definedName name="U12IH2" localSheetId="64">#REF!</definedName>
    <definedName name="U12IH2" localSheetId="77">#REF!</definedName>
    <definedName name="U12IH2" localSheetId="49">#REF!</definedName>
    <definedName name="U12IH2" localSheetId="40">#REF!</definedName>
    <definedName name="U12IH2" localSheetId="43">#REF!</definedName>
    <definedName name="U12IH2" localSheetId="13">#REF!</definedName>
    <definedName name="U12IH2" localSheetId="38">#REF!</definedName>
    <definedName name="U12IH2">#REF!</definedName>
    <definedName name="U12IH3" localSheetId="3">#REF!</definedName>
    <definedName name="U12IH3" localSheetId="7">#REF!</definedName>
    <definedName name="U12IH3" localSheetId="9">#REF!</definedName>
    <definedName name="U12IH3" localSheetId="10">#REF!</definedName>
    <definedName name="U12IH3" localSheetId="15">#REF!</definedName>
    <definedName name="U12IH3" localSheetId="19">#REF!</definedName>
    <definedName name="U12IH3" localSheetId="20">#REF!</definedName>
    <definedName name="U12IH3" localSheetId="24">#REF!</definedName>
    <definedName name="U12IH3" localSheetId="104">#REF!</definedName>
    <definedName name="U12IH3" localSheetId="65">#REF!</definedName>
    <definedName name="U12IH3" localSheetId="64">#REF!</definedName>
    <definedName name="U12IH3" localSheetId="77">#REF!</definedName>
    <definedName name="U12IH3" localSheetId="49">#REF!</definedName>
    <definedName name="U12IH3" localSheetId="40">#REF!</definedName>
    <definedName name="U12IH3" localSheetId="43">#REF!</definedName>
    <definedName name="U12IH3" localSheetId="13">#REF!</definedName>
    <definedName name="U12IH3" localSheetId="38">#REF!</definedName>
    <definedName name="U12IH3">#REF!</definedName>
    <definedName name="U12IH4" localSheetId="3">#REF!</definedName>
    <definedName name="U12IH4" localSheetId="7">#REF!</definedName>
    <definedName name="U12IH4" localSheetId="9">#REF!</definedName>
    <definedName name="U12IH4" localSheetId="10">#REF!</definedName>
    <definedName name="U12IH4" localSheetId="15">#REF!</definedName>
    <definedName name="U12IH4" localSheetId="19">#REF!</definedName>
    <definedName name="U12IH4" localSheetId="20">#REF!</definedName>
    <definedName name="U12IH4" localSheetId="24">#REF!</definedName>
    <definedName name="U12IH4" localSheetId="104">#REF!</definedName>
    <definedName name="U12IH4" localSheetId="65">#REF!</definedName>
    <definedName name="U12IH4" localSheetId="64">#REF!</definedName>
    <definedName name="U12IH4" localSheetId="77">#REF!</definedName>
    <definedName name="U12IH4" localSheetId="49">#REF!</definedName>
    <definedName name="U12IH4" localSheetId="40">#REF!</definedName>
    <definedName name="U12IH4" localSheetId="43">#REF!</definedName>
    <definedName name="U12IH4" localSheetId="13">#REF!</definedName>
    <definedName name="U12IH4" localSheetId="38">#REF!</definedName>
    <definedName name="U12IH4">#REF!</definedName>
    <definedName name="U12IH5" localSheetId="3">#REF!</definedName>
    <definedName name="U12IH5" localSheetId="7">#REF!</definedName>
    <definedName name="U12IH5" localSheetId="9">#REF!</definedName>
    <definedName name="U12IH5" localSheetId="10">#REF!</definedName>
    <definedName name="U12IH5" localSheetId="15">#REF!</definedName>
    <definedName name="U12IH5" localSheetId="19">#REF!</definedName>
    <definedName name="U12IH5" localSheetId="20">#REF!</definedName>
    <definedName name="U12IH5" localSheetId="24">#REF!</definedName>
    <definedName name="U12IH5" localSheetId="104">#REF!</definedName>
    <definedName name="U12IH5" localSheetId="65">#REF!</definedName>
    <definedName name="U12IH5" localSheetId="64">#REF!</definedName>
    <definedName name="U12IH5" localSheetId="77">#REF!</definedName>
    <definedName name="U12IH5" localSheetId="49">#REF!</definedName>
    <definedName name="U12IH5" localSheetId="40">#REF!</definedName>
    <definedName name="U12IH5" localSheetId="43">#REF!</definedName>
    <definedName name="U12IH5" localSheetId="13">#REF!</definedName>
    <definedName name="U12IH5" localSheetId="38">#REF!</definedName>
    <definedName name="U12IH5">#REF!</definedName>
    <definedName name="U13H1" localSheetId="3">#REF!</definedName>
    <definedName name="U13H1" localSheetId="7">#REF!</definedName>
    <definedName name="U13H1" localSheetId="9">#REF!</definedName>
    <definedName name="U13H1" localSheetId="10">#REF!</definedName>
    <definedName name="U13H1" localSheetId="15">#REF!</definedName>
    <definedName name="U13H1" localSheetId="19">#REF!</definedName>
    <definedName name="U13H1" localSheetId="20">#REF!</definedName>
    <definedName name="U13H1" localSheetId="24">#REF!</definedName>
    <definedName name="U13H1" localSheetId="104">#REF!</definedName>
    <definedName name="U13H1" localSheetId="65">#REF!</definedName>
    <definedName name="U13H1" localSheetId="64">#REF!</definedName>
    <definedName name="U13H1" localSheetId="77">#REF!</definedName>
    <definedName name="U13H1" localSheetId="49">#REF!</definedName>
    <definedName name="U13H1" localSheetId="40">#REF!</definedName>
    <definedName name="U13H1" localSheetId="43">#REF!</definedName>
    <definedName name="U13H1" localSheetId="13">#REF!</definedName>
    <definedName name="U13H1" localSheetId="38">#REF!</definedName>
    <definedName name="U13H1">#REF!</definedName>
    <definedName name="U13H10" localSheetId="3">#REF!</definedName>
    <definedName name="U13H10" localSheetId="7">#REF!</definedName>
    <definedName name="U13H10" localSheetId="9">#REF!</definedName>
    <definedName name="U13H10" localSheetId="10">#REF!</definedName>
    <definedName name="U13H10" localSheetId="15">#REF!</definedName>
    <definedName name="U13H10" localSheetId="19">#REF!</definedName>
    <definedName name="U13H10" localSheetId="20">#REF!</definedName>
    <definedName name="U13H10" localSheetId="24">#REF!</definedName>
    <definedName name="U13H10" localSheetId="104">#REF!</definedName>
    <definedName name="U13H10" localSheetId="65">#REF!</definedName>
    <definedName name="U13H10" localSheetId="64">#REF!</definedName>
    <definedName name="U13H10" localSheetId="77">#REF!</definedName>
    <definedName name="U13H10" localSheetId="49">#REF!</definedName>
    <definedName name="U13H10" localSheetId="40">#REF!</definedName>
    <definedName name="U13H10" localSheetId="43">#REF!</definedName>
    <definedName name="U13H10" localSheetId="13">#REF!</definedName>
    <definedName name="U13H10" localSheetId="38">#REF!</definedName>
    <definedName name="U13H10">#REF!</definedName>
    <definedName name="U13H11" localSheetId="3">#REF!</definedName>
    <definedName name="U13H11" localSheetId="7">#REF!</definedName>
    <definedName name="U13H11" localSheetId="9">#REF!</definedName>
    <definedName name="U13H11" localSheetId="10">#REF!</definedName>
    <definedName name="U13H11" localSheetId="15">#REF!</definedName>
    <definedName name="U13H11" localSheetId="19">#REF!</definedName>
    <definedName name="U13H11" localSheetId="20">#REF!</definedName>
    <definedName name="U13H11" localSheetId="24">#REF!</definedName>
    <definedName name="U13H11" localSheetId="104">#REF!</definedName>
    <definedName name="U13H11" localSheetId="65">#REF!</definedName>
    <definedName name="U13H11" localSheetId="64">#REF!</definedName>
    <definedName name="U13H11" localSheetId="77">#REF!</definedName>
    <definedName name="U13H11" localSheetId="49">#REF!</definedName>
    <definedName name="U13H11" localSheetId="40">#REF!</definedName>
    <definedName name="U13H11" localSheetId="43">#REF!</definedName>
    <definedName name="U13H11" localSheetId="13">#REF!</definedName>
    <definedName name="U13H11" localSheetId="38">#REF!</definedName>
    <definedName name="U13H11">#REF!</definedName>
    <definedName name="U13H12" localSheetId="3">#REF!</definedName>
    <definedName name="U13H12" localSheetId="7">#REF!</definedName>
    <definedName name="U13H12" localSheetId="9">#REF!</definedName>
    <definedName name="U13H12" localSheetId="10">#REF!</definedName>
    <definedName name="U13H12" localSheetId="15">#REF!</definedName>
    <definedName name="U13H12" localSheetId="19">#REF!</definedName>
    <definedName name="U13H12" localSheetId="20">#REF!</definedName>
    <definedName name="U13H12" localSheetId="24">#REF!</definedName>
    <definedName name="U13H12" localSheetId="104">#REF!</definedName>
    <definedName name="U13H12" localSheetId="65">#REF!</definedName>
    <definedName name="U13H12" localSheetId="64">#REF!</definedName>
    <definedName name="U13H12" localSheetId="77">#REF!</definedName>
    <definedName name="U13H12" localSheetId="49">#REF!</definedName>
    <definedName name="U13H12" localSheetId="40">#REF!</definedName>
    <definedName name="U13H12" localSheetId="43">#REF!</definedName>
    <definedName name="U13H12" localSheetId="13">#REF!</definedName>
    <definedName name="U13H12" localSheetId="38">#REF!</definedName>
    <definedName name="U13H12">#REF!</definedName>
    <definedName name="U13H13" localSheetId="3">#REF!</definedName>
    <definedName name="U13H13" localSheetId="7">#REF!</definedName>
    <definedName name="U13H13" localSheetId="9">#REF!</definedName>
    <definedName name="U13H13" localSheetId="10">#REF!</definedName>
    <definedName name="U13H13" localSheetId="15">#REF!</definedName>
    <definedName name="U13H13" localSheetId="19">#REF!</definedName>
    <definedName name="U13H13" localSheetId="20">#REF!</definedName>
    <definedName name="U13H13" localSheetId="24">#REF!</definedName>
    <definedName name="U13H13" localSheetId="104">#REF!</definedName>
    <definedName name="U13H13" localSheetId="65">#REF!</definedName>
    <definedName name="U13H13" localSheetId="64">#REF!</definedName>
    <definedName name="U13H13" localSheetId="77">#REF!</definedName>
    <definedName name="U13H13" localSheetId="49">#REF!</definedName>
    <definedName name="U13H13" localSheetId="40">#REF!</definedName>
    <definedName name="U13H13" localSheetId="43">#REF!</definedName>
    <definedName name="U13H13" localSheetId="13">#REF!</definedName>
    <definedName name="U13H13" localSheetId="38">#REF!</definedName>
    <definedName name="U13H13">#REF!</definedName>
    <definedName name="U13H14" localSheetId="3">#REF!</definedName>
    <definedName name="U13H14" localSheetId="7">#REF!</definedName>
    <definedName name="U13H14" localSheetId="9">#REF!</definedName>
    <definedName name="U13H14" localSheetId="10">#REF!</definedName>
    <definedName name="U13H14" localSheetId="15">#REF!</definedName>
    <definedName name="U13H14" localSheetId="19">#REF!</definedName>
    <definedName name="U13H14" localSheetId="20">#REF!</definedName>
    <definedName name="U13H14" localSheetId="24">#REF!</definedName>
    <definedName name="U13H14" localSheetId="104">#REF!</definedName>
    <definedName name="U13H14" localSheetId="65">#REF!</definedName>
    <definedName name="U13H14" localSheetId="64">#REF!</definedName>
    <definedName name="U13H14" localSheetId="77">#REF!</definedName>
    <definedName name="U13H14" localSheetId="49">#REF!</definedName>
    <definedName name="U13H14" localSheetId="40">#REF!</definedName>
    <definedName name="U13H14" localSheetId="43">#REF!</definedName>
    <definedName name="U13H14" localSheetId="13">#REF!</definedName>
    <definedName name="U13H14" localSheetId="38">#REF!</definedName>
    <definedName name="U13H14">#REF!</definedName>
    <definedName name="U13H15" localSheetId="3">#REF!</definedName>
    <definedName name="U13H15" localSheetId="7">#REF!</definedName>
    <definedName name="U13H15" localSheetId="9">#REF!</definedName>
    <definedName name="U13H15" localSheetId="10">#REF!</definedName>
    <definedName name="U13H15" localSheetId="15">#REF!</definedName>
    <definedName name="U13H15" localSheetId="19">#REF!</definedName>
    <definedName name="U13H15" localSheetId="20">#REF!</definedName>
    <definedName name="U13H15" localSheetId="24">#REF!</definedName>
    <definedName name="U13H15" localSheetId="104">#REF!</definedName>
    <definedName name="U13H15" localSheetId="65">#REF!</definedName>
    <definedName name="U13H15" localSheetId="64">#REF!</definedName>
    <definedName name="U13H15" localSheetId="77">#REF!</definedName>
    <definedName name="U13H15" localSheetId="49">#REF!</definedName>
    <definedName name="U13H15" localSheetId="40">#REF!</definedName>
    <definedName name="U13H15" localSheetId="43">#REF!</definedName>
    <definedName name="U13H15" localSheetId="13">#REF!</definedName>
    <definedName name="U13H15" localSheetId="38">#REF!</definedName>
    <definedName name="U13H15">#REF!</definedName>
    <definedName name="U13H2" localSheetId="3">#REF!</definedName>
    <definedName name="U13H2" localSheetId="7">#REF!</definedName>
    <definedName name="U13H2" localSheetId="9">#REF!</definedName>
    <definedName name="U13H2" localSheetId="10">#REF!</definedName>
    <definedName name="U13H2" localSheetId="15">#REF!</definedName>
    <definedName name="U13H2" localSheetId="19">#REF!</definedName>
    <definedName name="U13H2" localSheetId="20">#REF!</definedName>
    <definedName name="U13H2" localSheetId="24">#REF!</definedName>
    <definedName name="U13H2" localSheetId="104">#REF!</definedName>
    <definedName name="U13H2" localSheetId="65">#REF!</definedName>
    <definedName name="U13H2" localSheetId="64">#REF!</definedName>
    <definedName name="U13H2" localSheetId="77">#REF!</definedName>
    <definedName name="U13H2" localSheetId="49">#REF!</definedName>
    <definedName name="U13H2" localSheetId="40">#REF!</definedName>
    <definedName name="U13H2" localSheetId="43">#REF!</definedName>
    <definedName name="U13H2" localSheetId="13">#REF!</definedName>
    <definedName name="U13H2" localSheetId="38">#REF!</definedName>
    <definedName name="U13H2">#REF!</definedName>
    <definedName name="U13H3" localSheetId="3">#REF!</definedName>
    <definedName name="U13H3" localSheetId="7">#REF!</definedName>
    <definedName name="U13H3" localSheetId="9">#REF!</definedName>
    <definedName name="U13H3" localSheetId="10">#REF!</definedName>
    <definedName name="U13H3" localSheetId="15">#REF!</definedName>
    <definedName name="U13H3" localSheetId="19">#REF!</definedName>
    <definedName name="U13H3" localSheetId="20">#REF!</definedName>
    <definedName name="U13H3" localSheetId="24">#REF!</definedName>
    <definedName name="U13H3" localSheetId="104">#REF!</definedName>
    <definedName name="U13H3" localSheetId="65">#REF!</definedName>
    <definedName name="U13H3" localSheetId="64">#REF!</definedName>
    <definedName name="U13H3" localSheetId="77">#REF!</definedName>
    <definedName name="U13H3" localSheetId="49">#REF!</definedName>
    <definedName name="U13H3" localSheetId="40">#REF!</definedName>
    <definedName name="U13H3" localSheetId="43">#REF!</definedName>
    <definedName name="U13H3" localSheetId="13">#REF!</definedName>
    <definedName name="U13H3" localSheetId="38">#REF!</definedName>
    <definedName name="U13H3">#REF!</definedName>
    <definedName name="U13H4" localSheetId="3">#REF!</definedName>
    <definedName name="U13H4" localSheetId="7">#REF!</definedName>
    <definedName name="U13H4" localSheetId="9">#REF!</definedName>
    <definedName name="U13H4" localSheetId="10">#REF!</definedName>
    <definedName name="U13H4" localSheetId="15">#REF!</definedName>
    <definedName name="U13H4" localSheetId="19">#REF!</definedName>
    <definedName name="U13H4" localSheetId="20">#REF!</definedName>
    <definedName name="U13H4" localSheetId="24">#REF!</definedName>
    <definedName name="U13H4" localSheetId="104">#REF!</definedName>
    <definedName name="U13H4" localSheetId="65">#REF!</definedName>
    <definedName name="U13H4" localSheetId="64">#REF!</definedName>
    <definedName name="U13H4" localSheetId="77">#REF!</definedName>
    <definedName name="U13H4" localSheetId="49">#REF!</definedName>
    <definedName name="U13H4" localSheetId="40">#REF!</definedName>
    <definedName name="U13H4" localSheetId="43">#REF!</definedName>
    <definedName name="U13H4" localSheetId="13">#REF!</definedName>
    <definedName name="U13H4" localSheetId="38">#REF!</definedName>
    <definedName name="U13H4">#REF!</definedName>
    <definedName name="U13H5" localSheetId="3">#REF!</definedName>
    <definedName name="U13H5" localSheetId="7">#REF!</definedName>
    <definedName name="U13H5" localSheetId="9">#REF!</definedName>
    <definedName name="U13H5" localSheetId="10">#REF!</definedName>
    <definedName name="U13H5" localSheetId="15">#REF!</definedName>
    <definedName name="U13H5" localSheetId="19">#REF!</definedName>
    <definedName name="U13H5" localSheetId="20">#REF!</definedName>
    <definedName name="U13H5" localSheetId="24">#REF!</definedName>
    <definedName name="U13H5" localSheetId="104">#REF!</definedName>
    <definedName name="U13H5" localSheetId="65">#REF!</definedName>
    <definedName name="U13H5" localSheetId="64">#REF!</definedName>
    <definedName name="U13H5" localSheetId="77">#REF!</definedName>
    <definedName name="U13H5" localSheetId="49">#REF!</definedName>
    <definedName name="U13H5" localSheetId="40">#REF!</definedName>
    <definedName name="U13H5" localSheetId="43">#REF!</definedName>
    <definedName name="U13H5" localSheetId="13">#REF!</definedName>
    <definedName name="U13H5" localSheetId="38">#REF!</definedName>
    <definedName name="U13H5">#REF!</definedName>
    <definedName name="U13H6" localSheetId="3">#REF!</definedName>
    <definedName name="U13H6" localSheetId="7">#REF!</definedName>
    <definedName name="U13H6" localSheetId="9">#REF!</definedName>
    <definedName name="U13H6" localSheetId="10">#REF!</definedName>
    <definedName name="U13H6" localSheetId="15">#REF!</definedName>
    <definedName name="U13H6" localSheetId="19">#REF!</definedName>
    <definedName name="U13H6" localSheetId="20">#REF!</definedName>
    <definedName name="U13H6" localSheetId="24">#REF!</definedName>
    <definedName name="U13H6" localSheetId="104">#REF!</definedName>
    <definedName name="U13H6" localSheetId="65">#REF!</definedName>
    <definedName name="U13H6" localSheetId="64">#REF!</definedName>
    <definedName name="U13H6" localSheetId="77">#REF!</definedName>
    <definedName name="U13H6" localSheetId="49">#REF!</definedName>
    <definedName name="U13H6" localSheetId="40">#REF!</definedName>
    <definedName name="U13H6" localSheetId="43">#REF!</definedName>
    <definedName name="U13H6" localSheetId="13">#REF!</definedName>
    <definedName name="U13H6" localSheetId="38">#REF!</definedName>
    <definedName name="U13H6">#REF!</definedName>
    <definedName name="U13H7" localSheetId="3">#REF!</definedName>
    <definedName name="U13H7" localSheetId="7">#REF!</definedName>
    <definedName name="U13H7" localSheetId="9">#REF!</definedName>
    <definedName name="U13H7" localSheetId="10">#REF!</definedName>
    <definedName name="U13H7" localSheetId="15">#REF!</definedName>
    <definedName name="U13H7" localSheetId="19">#REF!</definedName>
    <definedName name="U13H7" localSheetId="20">#REF!</definedName>
    <definedName name="U13H7" localSheetId="24">#REF!</definedName>
    <definedName name="U13H7" localSheetId="104">#REF!</definedName>
    <definedName name="U13H7" localSheetId="65">#REF!</definedName>
    <definedName name="U13H7" localSheetId="64">#REF!</definedName>
    <definedName name="U13H7" localSheetId="77">#REF!</definedName>
    <definedName name="U13H7" localSheetId="49">#REF!</definedName>
    <definedName name="U13H7" localSheetId="40">#REF!</definedName>
    <definedName name="U13H7" localSheetId="43">#REF!</definedName>
    <definedName name="U13H7" localSheetId="13">#REF!</definedName>
    <definedName name="U13H7" localSheetId="38">#REF!</definedName>
    <definedName name="U13H7">#REF!</definedName>
    <definedName name="U13H8" localSheetId="3">#REF!</definedName>
    <definedName name="U13H8" localSheetId="7">#REF!</definedName>
    <definedName name="U13H8" localSheetId="9">#REF!</definedName>
    <definedName name="U13H8" localSheetId="10">#REF!</definedName>
    <definedName name="U13H8" localSheetId="15">#REF!</definedName>
    <definedName name="U13H8" localSheetId="19">#REF!</definedName>
    <definedName name="U13H8" localSheetId="20">#REF!</definedName>
    <definedName name="U13H8" localSheetId="24">#REF!</definedName>
    <definedName name="U13H8" localSheetId="104">#REF!</definedName>
    <definedName name="U13H8" localSheetId="65">#REF!</definedName>
    <definedName name="U13H8" localSheetId="64">#REF!</definedName>
    <definedName name="U13H8" localSheetId="77">#REF!</definedName>
    <definedName name="U13H8" localSheetId="49">#REF!</definedName>
    <definedName name="U13H8" localSheetId="40">#REF!</definedName>
    <definedName name="U13H8" localSheetId="43">#REF!</definedName>
    <definedName name="U13H8" localSheetId="13">#REF!</definedName>
    <definedName name="U13H8" localSheetId="38">#REF!</definedName>
    <definedName name="U13H8">#REF!</definedName>
    <definedName name="U13H9" localSheetId="3">#REF!</definedName>
    <definedName name="U13H9" localSheetId="7">#REF!</definedName>
    <definedName name="U13H9" localSheetId="9">#REF!</definedName>
    <definedName name="U13H9" localSheetId="10">#REF!</definedName>
    <definedName name="U13H9" localSheetId="15">#REF!</definedName>
    <definedName name="U13H9" localSheetId="19">#REF!</definedName>
    <definedName name="U13H9" localSheetId="20">#REF!</definedName>
    <definedName name="U13H9" localSheetId="24">#REF!</definedName>
    <definedName name="U13H9" localSheetId="104">#REF!</definedName>
    <definedName name="U13H9" localSheetId="65">#REF!</definedName>
    <definedName name="U13H9" localSheetId="64">#REF!</definedName>
    <definedName name="U13H9" localSheetId="77">#REF!</definedName>
    <definedName name="U13H9" localSheetId="49">#REF!</definedName>
    <definedName name="U13H9" localSheetId="40">#REF!</definedName>
    <definedName name="U13H9" localSheetId="43">#REF!</definedName>
    <definedName name="U13H9" localSheetId="13">#REF!</definedName>
    <definedName name="U13H9" localSheetId="38">#REF!</definedName>
    <definedName name="U13H9">#REF!</definedName>
    <definedName name="U13IH1" localSheetId="3">#REF!</definedName>
    <definedName name="U13IH1" localSheetId="7">#REF!</definedName>
    <definedName name="U13IH1" localSheetId="9">#REF!</definedName>
    <definedName name="U13IH1" localSheetId="10">#REF!</definedName>
    <definedName name="U13IH1" localSheetId="15">#REF!</definedName>
    <definedName name="U13IH1" localSheetId="19">#REF!</definedName>
    <definedName name="U13IH1" localSheetId="20">#REF!</definedName>
    <definedName name="U13IH1" localSheetId="24">#REF!</definedName>
    <definedName name="U13IH1" localSheetId="104">#REF!</definedName>
    <definedName name="U13IH1" localSheetId="65">#REF!</definedName>
    <definedName name="U13IH1" localSheetId="64">#REF!</definedName>
    <definedName name="U13IH1" localSheetId="77">#REF!</definedName>
    <definedName name="U13IH1" localSheetId="49">#REF!</definedName>
    <definedName name="U13IH1" localSheetId="40">#REF!</definedName>
    <definedName name="U13IH1" localSheetId="43">#REF!</definedName>
    <definedName name="U13IH1" localSheetId="13">#REF!</definedName>
    <definedName name="U13IH1" localSheetId="38">#REF!</definedName>
    <definedName name="U13IH1">#REF!</definedName>
    <definedName name="U13IH2" localSheetId="3">#REF!</definedName>
    <definedName name="U13IH2" localSheetId="7">#REF!</definedName>
    <definedName name="U13IH2" localSheetId="9">#REF!</definedName>
    <definedName name="U13IH2" localSheetId="10">#REF!</definedName>
    <definedName name="U13IH2" localSheetId="15">#REF!</definedName>
    <definedName name="U13IH2" localSheetId="19">#REF!</definedName>
    <definedName name="U13IH2" localSheetId="20">#REF!</definedName>
    <definedName name="U13IH2" localSheetId="24">#REF!</definedName>
    <definedName name="U13IH2" localSheetId="104">#REF!</definedName>
    <definedName name="U13IH2" localSheetId="65">#REF!</definedName>
    <definedName name="U13IH2" localSheetId="64">#REF!</definedName>
    <definedName name="U13IH2" localSheetId="77">#REF!</definedName>
    <definedName name="U13IH2" localSheetId="49">#REF!</definedName>
    <definedName name="U13IH2" localSheetId="40">#REF!</definedName>
    <definedName name="U13IH2" localSheetId="43">#REF!</definedName>
    <definedName name="U13IH2" localSheetId="13">#REF!</definedName>
    <definedName name="U13IH2" localSheetId="38">#REF!</definedName>
    <definedName name="U13IH2">#REF!</definedName>
    <definedName name="U13IH3" localSheetId="3">#REF!</definedName>
    <definedName name="U13IH3" localSheetId="7">#REF!</definedName>
    <definedName name="U13IH3" localSheetId="9">#REF!</definedName>
    <definedName name="U13IH3" localSheetId="10">#REF!</definedName>
    <definedName name="U13IH3" localSheetId="15">#REF!</definedName>
    <definedName name="U13IH3" localSheetId="19">#REF!</definedName>
    <definedName name="U13IH3" localSheetId="20">#REF!</definedName>
    <definedName name="U13IH3" localSheetId="24">#REF!</definedName>
    <definedName name="U13IH3" localSheetId="104">#REF!</definedName>
    <definedName name="U13IH3" localSheetId="65">#REF!</definedName>
    <definedName name="U13IH3" localSheetId="64">#REF!</definedName>
    <definedName name="U13IH3" localSheetId="77">#REF!</definedName>
    <definedName name="U13IH3" localSheetId="49">#REF!</definedName>
    <definedName name="U13IH3" localSheetId="40">#REF!</definedName>
    <definedName name="U13IH3" localSheetId="43">#REF!</definedName>
    <definedName name="U13IH3" localSheetId="13">#REF!</definedName>
    <definedName name="U13IH3" localSheetId="38">#REF!</definedName>
    <definedName name="U13IH3">#REF!</definedName>
    <definedName name="U13IH4" localSheetId="3">#REF!</definedName>
    <definedName name="U13IH4" localSheetId="7">#REF!</definedName>
    <definedName name="U13IH4" localSheetId="9">#REF!</definedName>
    <definedName name="U13IH4" localSheetId="10">#REF!</definedName>
    <definedName name="U13IH4" localSheetId="15">#REF!</definedName>
    <definedName name="U13IH4" localSheetId="19">#REF!</definedName>
    <definedName name="U13IH4" localSheetId="20">#REF!</definedName>
    <definedName name="U13IH4" localSheetId="24">#REF!</definedName>
    <definedName name="U13IH4" localSheetId="104">#REF!</definedName>
    <definedName name="U13IH4" localSheetId="65">#REF!</definedName>
    <definedName name="U13IH4" localSheetId="64">#REF!</definedName>
    <definedName name="U13IH4" localSheetId="77">#REF!</definedName>
    <definedName name="U13IH4" localSheetId="49">#REF!</definedName>
    <definedName name="U13IH4" localSheetId="40">#REF!</definedName>
    <definedName name="U13IH4" localSheetId="43">#REF!</definedName>
    <definedName name="U13IH4" localSheetId="13">#REF!</definedName>
    <definedName name="U13IH4" localSheetId="38">#REF!</definedName>
    <definedName name="U13IH4">#REF!</definedName>
    <definedName name="U13IH5" localSheetId="3">#REF!</definedName>
    <definedName name="U13IH5" localSheetId="7">#REF!</definedName>
    <definedName name="U13IH5" localSheetId="9">#REF!</definedName>
    <definedName name="U13IH5" localSheetId="10">#REF!</definedName>
    <definedName name="U13IH5" localSheetId="15">#REF!</definedName>
    <definedName name="U13IH5" localSheetId="19">#REF!</definedName>
    <definedName name="U13IH5" localSheetId="20">#REF!</definedName>
    <definedName name="U13IH5" localSheetId="24">#REF!</definedName>
    <definedName name="U13IH5" localSheetId="104">#REF!</definedName>
    <definedName name="U13IH5" localSheetId="65">#REF!</definedName>
    <definedName name="U13IH5" localSheetId="64">#REF!</definedName>
    <definedName name="U13IH5" localSheetId="77">#REF!</definedName>
    <definedName name="U13IH5" localSheetId="49">#REF!</definedName>
    <definedName name="U13IH5" localSheetId="40">#REF!</definedName>
    <definedName name="U13IH5" localSheetId="43">#REF!</definedName>
    <definedName name="U13IH5" localSheetId="13">#REF!</definedName>
    <definedName name="U13IH5" localSheetId="38">#REF!</definedName>
    <definedName name="U13IH5">#REF!</definedName>
    <definedName name="U14H1" localSheetId="3">#REF!</definedName>
    <definedName name="U14H1" localSheetId="7">#REF!</definedName>
    <definedName name="U14H1" localSheetId="9">#REF!</definedName>
    <definedName name="U14H1" localSheetId="10">#REF!</definedName>
    <definedName name="U14H1" localSheetId="15">#REF!</definedName>
    <definedName name="U14H1" localSheetId="19">#REF!</definedName>
    <definedName name="U14H1" localSheetId="20">#REF!</definedName>
    <definedName name="U14H1" localSheetId="24">#REF!</definedName>
    <definedName name="U14H1" localSheetId="104">#REF!</definedName>
    <definedName name="U14H1" localSheetId="65">#REF!</definedName>
    <definedName name="U14H1" localSheetId="64">#REF!</definedName>
    <definedName name="U14H1" localSheetId="77">#REF!</definedName>
    <definedName name="U14H1" localSheetId="49">#REF!</definedName>
    <definedName name="U14H1" localSheetId="40">#REF!</definedName>
    <definedName name="U14H1" localSheetId="43">#REF!</definedName>
    <definedName name="U14H1" localSheetId="13">#REF!</definedName>
    <definedName name="U14H1" localSheetId="38">#REF!</definedName>
    <definedName name="U14H1">#REF!</definedName>
    <definedName name="U14H10" localSheetId="3">#REF!</definedName>
    <definedName name="U14H10" localSheetId="7">#REF!</definedName>
    <definedName name="U14H10" localSheetId="9">#REF!</definedName>
    <definedName name="U14H10" localSheetId="10">#REF!</definedName>
    <definedName name="U14H10" localSheetId="15">#REF!</definedName>
    <definedName name="U14H10" localSheetId="19">#REF!</definedName>
    <definedName name="U14H10" localSheetId="20">#REF!</definedName>
    <definedName name="U14H10" localSheetId="24">#REF!</definedName>
    <definedName name="U14H10" localSheetId="104">#REF!</definedName>
    <definedName name="U14H10" localSheetId="65">#REF!</definedName>
    <definedName name="U14H10" localSheetId="64">#REF!</definedName>
    <definedName name="U14H10" localSheetId="77">#REF!</definedName>
    <definedName name="U14H10" localSheetId="49">#REF!</definedName>
    <definedName name="U14H10" localSheetId="40">#REF!</definedName>
    <definedName name="U14H10" localSheetId="43">#REF!</definedName>
    <definedName name="U14H10" localSheetId="13">#REF!</definedName>
    <definedName name="U14H10" localSheetId="38">#REF!</definedName>
    <definedName name="U14H10">#REF!</definedName>
    <definedName name="U14H11" localSheetId="3">#REF!</definedName>
    <definedName name="U14H11" localSheetId="7">#REF!</definedName>
    <definedName name="U14H11" localSheetId="9">#REF!</definedName>
    <definedName name="U14H11" localSheetId="10">#REF!</definedName>
    <definedName name="U14H11" localSheetId="15">#REF!</definedName>
    <definedName name="U14H11" localSheetId="19">#REF!</definedName>
    <definedName name="U14H11" localSheetId="20">#REF!</definedName>
    <definedName name="U14H11" localSheetId="24">#REF!</definedName>
    <definedName name="U14H11" localSheetId="104">#REF!</definedName>
    <definedName name="U14H11" localSheetId="65">#REF!</definedName>
    <definedName name="U14H11" localSheetId="64">#REF!</definedName>
    <definedName name="U14H11" localSheetId="77">#REF!</definedName>
    <definedName name="U14H11" localSheetId="49">#REF!</definedName>
    <definedName name="U14H11" localSheetId="40">#REF!</definedName>
    <definedName name="U14H11" localSheetId="43">#REF!</definedName>
    <definedName name="U14H11" localSheetId="13">#REF!</definedName>
    <definedName name="U14H11" localSheetId="38">#REF!</definedName>
    <definedName name="U14H11">#REF!</definedName>
    <definedName name="U14H12" localSheetId="3">#REF!</definedName>
    <definedName name="U14H12" localSheetId="7">#REF!</definedName>
    <definedName name="U14H12" localSheetId="9">#REF!</definedName>
    <definedName name="U14H12" localSheetId="10">#REF!</definedName>
    <definedName name="U14H12" localSheetId="15">#REF!</definedName>
    <definedName name="U14H12" localSheetId="19">#REF!</definedName>
    <definedName name="U14H12" localSheetId="20">#REF!</definedName>
    <definedName name="U14H12" localSheetId="24">#REF!</definedName>
    <definedName name="U14H12" localSheetId="104">#REF!</definedName>
    <definedName name="U14H12" localSheetId="65">#REF!</definedName>
    <definedName name="U14H12" localSheetId="64">#REF!</definedName>
    <definedName name="U14H12" localSheetId="77">#REF!</definedName>
    <definedName name="U14H12" localSheetId="49">#REF!</definedName>
    <definedName name="U14H12" localSheetId="40">#REF!</definedName>
    <definedName name="U14H12" localSheetId="43">#REF!</definedName>
    <definedName name="U14H12" localSheetId="13">#REF!</definedName>
    <definedName name="U14H12" localSheetId="38">#REF!</definedName>
    <definedName name="U14H12">#REF!</definedName>
    <definedName name="U14H13" localSheetId="3">#REF!</definedName>
    <definedName name="U14H13" localSheetId="7">#REF!</definedName>
    <definedName name="U14H13" localSheetId="9">#REF!</definedName>
    <definedName name="U14H13" localSheetId="10">#REF!</definedName>
    <definedName name="U14H13" localSheetId="15">#REF!</definedName>
    <definedName name="U14H13" localSheetId="19">#REF!</definedName>
    <definedName name="U14H13" localSheetId="20">#REF!</definedName>
    <definedName name="U14H13" localSheetId="24">#REF!</definedName>
    <definedName name="U14H13" localSheetId="104">#REF!</definedName>
    <definedName name="U14H13" localSheetId="65">#REF!</definedName>
    <definedName name="U14H13" localSheetId="64">#REF!</definedName>
    <definedName name="U14H13" localSheetId="77">#REF!</definedName>
    <definedName name="U14H13" localSheetId="49">#REF!</definedName>
    <definedName name="U14H13" localSheetId="40">#REF!</definedName>
    <definedName name="U14H13" localSheetId="43">#REF!</definedName>
    <definedName name="U14H13" localSheetId="13">#REF!</definedName>
    <definedName name="U14H13" localSheetId="38">#REF!</definedName>
    <definedName name="U14H13">#REF!</definedName>
    <definedName name="U14H14" localSheetId="3">#REF!</definedName>
    <definedName name="U14H14" localSheetId="7">#REF!</definedName>
    <definedName name="U14H14" localSheetId="9">#REF!</definedName>
    <definedName name="U14H14" localSheetId="10">#REF!</definedName>
    <definedName name="U14H14" localSheetId="15">#REF!</definedName>
    <definedName name="U14H14" localSheetId="19">#REF!</definedName>
    <definedName name="U14H14" localSheetId="20">#REF!</definedName>
    <definedName name="U14H14" localSheetId="24">#REF!</definedName>
    <definedName name="U14H14" localSheetId="104">#REF!</definedName>
    <definedName name="U14H14" localSheetId="65">#REF!</definedName>
    <definedName name="U14H14" localSheetId="64">#REF!</definedName>
    <definedName name="U14H14" localSheetId="77">#REF!</definedName>
    <definedName name="U14H14" localSheetId="49">#REF!</definedName>
    <definedName name="U14H14" localSheetId="40">#REF!</definedName>
    <definedName name="U14H14" localSheetId="43">#REF!</definedName>
    <definedName name="U14H14" localSheetId="13">#REF!</definedName>
    <definedName name="U14H14" localSheetId="38">#REF!</definedName>
    <definedName name="U14H14">#REF!</definedName>
    <definedName name="U14H15" localSheetId="3">#REF!</definedName>
    <definedName name="U14H15" localSheetId="7">#REF!</definedName>
    <definedName name="U14H15" localSheetId="9">#REF!</definedName>
    <definedName name="U14H15" localSheetId="10">#REF!</definedName>
    <definedName name="U14H15" localSheetId="15">#REF!</definedName>
    <definedName name="U14H15" localSheetId="19">#REF!</definedName>
    <definedName name="U14H15" localSheetId="20">#REF!</definedName>
    <definedName name="U14H15" localSheetId="24">#REF!</definedName>
    <definedName name="U14H15" localSheetId="104">#REF!</definedName>
    <definedName name="U14H15" localSheetId="65">#REF!</definedName>
    <definedName name="U14H15" localSheetId="64">#REF!</definedName>
    <definedName name="U14H15" localSheetId="77">#REF!</definedName>
    <definedName name="U14H15" localSheetId="49">#REF!</definedName>
    <definedName name="U14H15" localSheetId="40">#REF!</definedName>
    <definedName name="U14H15" localSheetId="43">#REF!</definedName>
    <definedName name="U14H15" localSheetId="13">#REF!</definedName>
    <definedName name="U14H15" localSheetId="38">#REF!</definedName>
    <definedName name="U14H15">#REF!</definedName>
    <definedName name="U14H2" localSheetId="3">#REF!</definedName>
    <definedName name="U14H2" localSheetId="7">#REF!</definedName>
    <definedName name="U14H2" localSheetId="9">#REF!</definedName>
    <definedName name="U14H2" localSheetId="10">#REF!</definedName>
    <definedName name="U14H2" localSheetId="15">#REF!</definedName>
    <definedName name="U14H2" localSheetId="19">#REF!</definedName>
    <definedName name="U14H2" localSheetId="20">#REF!</definedName>
    <definedName name="U14H2" localSheetId="24">#REF!</definedName>
    <definedName name="U14H2" localSheetId="104">#REF!</definedName>
    <definedName name="U14H2" localSheetId="65">#REF!</definedName>
    <definedName name="U14H2" localSheetId="64">#REF!</definedName>
    <definedName name="U14H2" localSheetId="77">#REF!</definedName>
    <definedName name="U14H2" localSheetId="49">#REF!</definedName>
    <definedName name="U14H2" localSheetId="40">#REF!</definedName>
    <definedName name="U14H2" localSheetId="43">#REF!</definedName>
    <definedName name="U14H2" localSheetId="13">#REF!</definedName>
    <definedName name="U14H2" localSheetId="38">#REF!</definedName>
    <definedName name="U14H2">#REF!</definedName>
    <definedName name="U14H3" localSheetId="3">#REF!</definedName>
    <definedName name="U14H3" localSheetId="7">#REF!</definedName>
    <definedName name="U14H3" localSheetId="9">#REF!</definedName>
    <definedName name="U14H3" localSheetId="10">#REF!</definedName>
    <definedName name="U14H3" localSheetId="15">#REF!</definedName>
    <definedName name="U14H3" localSheetId="19">#REF!</definedName>
    <definedName name="U14H3" localSheetId="20">#REF!</definedName>
    <definedName name="U14H3" localSheetId="24">#REF!</definedName>
    <definedName name="U14H3" localSheetId="104">#REF!</definedName>
    <definedName name="U14H3" localSheetId="65">#REF!</definedName>
    <definedName name="U14H3" localSheetId="64">#REF!</definedName>
    <definedName name="U14H3" localSheetId="77">#REF!</definedName>
    <definedName name="U14H3" localSheetId="49">#REF!</definedName>
    <definedName name="U14H3" localSheetId="40">#REF!</definedName>
    <definedName name="U14H3" localSheetId="43">#REF!</definedName>
    <definedName name="U14H3" localSheetId="13">#REF!</definedName>
    <definedName name="U14H3" localSheetId="38">#REF!</definedName>
    <definedName name="U14H3">#REF!</definedName>
    <definedName name="U14H4" localSheetId="3">#REF!</definedName>
    <definedName name="U14H4" localSheetId="7">#REF!</definedName>
    <definedName name="U14H4" localSheetId="9">#REF!</definedName>
    <definedName name="U14H4" localSheetId="10">#REF!</definedName>
    <definedName name="U14H4" localSheetId="15">#REF!</definedName>
    <definedName name="U14H4" localSheetId="19">#REF!</definedName>
    <definedName name="U14H4" localSheetId="20">#REF!</definedName>
    <definedName name="U14H4" localSheetId="24">#REF!</definedName>
    <definedName name="U14H4" localSheetId="104">#REF!</definedName>
    <definedName name="U14H4" localSheetId="65">#REF!</definedName>
    <definedName name="U14H4" localSheetId="64">#REF!</definedName>
    <definedName name="U14H4" localSheetId="77">#REF!</definedName>
    <definedName name="U14H4" localSheetId="49">#REF!</definedName>
    <definedName name="U14H4" localSheetId="40">#REF!</definedName>
    <definedName name="U14H4" localSheetId="43">#REF!</definedName>
    <definedName name="U14H4" localSheetId="13">#REF!</definedName>
    <definedName name="U14H4" localSheetId="38">#REF!</definedName>
    <definedName name="U14H4">#REF!</definedName>
    <definedName name="U14H5" localSheetId="3">#REF!</definedName>
    <definedName name="U14H5" localSheetId="7">#REF!</definedName>
    <definedName name="U14H5" localSheetId="9">#REF!</definedName>
    <definedName name="U14H5" localSheetId="10">#REF!</definedName>
    <definedName name="U14H5" localSheetId="15">#REF!</definedName>
    <definedName name="U14H5" localSheetId="19">#REF!</definedName>
    <definedName name="U14H5" localSheetId="20">#REF!</definedName>
    <definedName name="U14H5" localSheetId="24">#REF!</definedName>
    <definedName name="U14H5" localSheetId="104">#REF!</definedName>
    <definedName name="U14H5" localSheetId="65">#REF!</definedName>
    <definedName name="U14H5" localSheetId="64">#REF!</definedName>
    <definedName name="U14H5" localSheetId="77">#REF!</definedName>
    <definedName name="U14H5" localSheetId="49">#REF!</definedName>
    <definedName name="U14H5" localSheetId="40">#REF!</definedName>
    <definedName name="U14H5" localSheetId="43">#REF!</definedName>
    <definedName name="U14H5" localSheetId="13">#REF!</definedName>
    <definedName name="U14H5" localSheetId="38">#REF!</definedName>
    <definedName name="U14H5">#REF!</definedName>
    <definedName name="U14H6" localSheetId="3">#REF!</definedName>
    <definedName name="U14H6" localSheetId="7">#REF!</definedName>
    <definedName name="U14H6" localSheetId="9">#REF!</definedName>
    <definedName name="U14H6" localSheetId="10">#REF!</definedName>
    <definedName name="U14H6" localSheetId="15">#REF!</definedName>
    <definedName name="U14H6" localSheetId="19">#REF!</definedName>
    <definedName name="U14H6" localSheetId="20">#REF!</definedName>
    <definedName name="U14H6" localSheetId="24">#REF!</definedName>
    <definedName name="U14H6" localSheetId="104">#REF!</definedName>
    <definedName name="U14H6" localSheetId="65">#REF!</definedName>
    <definedName name="U14H6" localSheetId="64">#REF!</definedName>
    <definedName name="U14H6" localSheetId="77">#REF!</definedName>
    <definedName name="U14H6" localSheetId="49">#REF!</definedName>
    <definedName name="U14H6" localSheetId="40">#REF!</definedName>
    <definedName name="U14H6" localSheetId="43">#REF!</definedName>
    <definedName name="U14H6" localSheetId="13">#REF!</definedName>
    <definedName name="U14H6" localSheetId="38">#REF!</definedName>
    <definedName name="U14H6">#REF!</definedName>
    <definedName name="U14H7" localSheetId="3">#REF!</definedName>
    <definedName name="U14H7" localSheetId="7">#REF!</definedName>
    <definedName name="U14H7" localSheetId="9">#REF!</definedName>
    <definedName name="U14H7" localSheetId="10">#REF!</definedName>
    <definedName name="U14H7" localSheetId="15">#REF!</definedName>
    <definedName name="U14H7" localSheetId="19">#REF!</definedName>
    <definedName name="U14H7" localSheetId="20">#REF!</definedName>
    <definedName name="U14H7" localSheetId="24">#REF!</definedName>
    <definedName name="U14H7" localSheetId="104">#REF!</definedName>
    <definedName name="U14H7" localSheetId="65">#REF!</definedName>
    <definedName name="U14H7" localSheetId="64">#REF!</definedName>
    <definedName name="U14H7" localSheetId="77">#REF!</definedName>
    <definedName name="U14H7" localSheetId="49">#REF!</definedName>
    <definedName name="U14H7" localSheetId="40">#REF!</definedName>
    <definedName name="U14H7" localSheetId="43">#REF!</definedName>
    <definedName name="U14H7" localSheetId="13">#REF!</definedName>
    <definedName name="U14H7" localSheetId="38">#REF!</definedName>
    <definedName name="U14H7">#REF!</definedName>
    <definedName name="U14H8" localSheetId="3">#REF!</definedName>
    <definedName name="U14H8" localSheetId="7">#REF!</definedName>
    <definedName name="U14H8" localSheetId="9">#REF!</definedName>
    <definedName name="U14H8" localSheetId="10">#REF!</definedName>
    <definedName name="U14H8" localSheetId="15">#REF!</definedName>
    <definedName name="U14H8" localSheetId="19">#REF!</definedName>
    <definedName name="U14H8" localSheetId="20">#REF!</definedName>
    <definedName name="U14H8" localSheetId="24">#REF!</definedName>
    <definedName name="U14H8" localSheetId="104">#REF!</definedName>
    <definedName name="U14H8" localSheetId="65">#REF!</definedName>
    <definedName name="U14H8" localSheetId="64">#REF!</definedName>
    <definedName name="U14H8" localSheetId="77">#REF!</definedName>
    <definedName name="U14H8" localSheetId="49">#REF!</definedName>
    <definedName name="U14H8" localSheetId="40">#REF!</definedName>
    <definedName name="U14H8" localSheetId="43">#REF!</definedName>
    <definedName name="U14H8" localSheetId="13">#REF!</definedName>
    <definedName name="U14H8" localSheetId="38">#REF!</definedName>
    <definedName name="U14H8">#REF!</definedName>
    <definedName name="U14H9" localSheetId="3">#REF!</definedName>
    <definedName name="U14H9" localSheetId="7">#REF!</definedName>
    <definedName name="U14H9" localSheetId="9">#REF!</definedName>
    <definedName name="U14H9" localSheetId="10">#REF!</definedName>
    <definedName name="U14H9" localSheetId="15">#REF!</definedName>
    <definedName name="U14H9" localSheetId="19">#REF!</definedName>
    <definedName name="U14H9" localSheetId="20">#REF!</definedName>
    <definedName name="U14H9" localSheetId="24">#REF!</definedName>
    <definedName name="U14H9" localSheetId="104">#REF!</definedName>
    <definedName name="U14H9" localSheetId="65">#REF!</definedName>
    <definedName name="U14H9" localSheetId="64">#REF!</definedName>
    <definedName name="U14H9" localSheetId="77">#REF!</definedName>
    <definedName name="U14H9" localSheetId="49">#REF!</definedName>
    <definedName name="U14H9" localSheetId="40">#REF!</definedName>
    <definedName name="U14H9" localSheetId="43">#REF!</definedName>
    <definedName name="U14H9" localSheetId="13">#REF!</definedName>
    <definedName name="U14H9" localSheetId="38">#REF!</definedName>
    <definedName name="U14H9">#REF!</definedName>
    <definedName name="U14IH1" localSheetId="3">#REF!</definedName>
    <definedName name="U14IH1" localSheetId="7">#REF!</definedName>
    <definedName name="U14IH1" localSheetId="9">#REF!</definedName>
    <definedName name="U14IH1" localSheetId="10">#REF!</definedName>
    <definedName name="U14IH1" localSheetId="15">#REF!</definedName>
    <definedName name="U14IH1" localSheetId="19">#REF!</definedName>
    <definedName name="U14IH1" localSheetId="20">#REF!</definedName>
    <definedName name="U14IH1" localSheetId="24">#REF!</definedName>
    <definedName name="U14IH1" localSheetId="104">#REF!</definedName>
    <definedName name="U14IH1" localSheetId="65">#REF!</definedName>
    <definedName name="U14IH1" localSheetId="64">#REF!</definedName>
    <definedName name="U14IH1" localSheetId="77">#REF!</definedName>
    <definedName name="U14IH1" localSheetId="49">#REF!</definedName>
    <definedName name="U14IH1" localSheetId="40">#REF!</definedName>
    <definedName name="U14IH1" localSheetId="43">#REF!</definedName>
    <definedName name="U14IH1" localSheetId="13">#REF!</definedName>
    <definedName name="U14IH1" localSheetId="38">#REF!</definedName>
    <definedName name="U14IH1">#REF!</definedName>
    <definedName name="U14IH2" localSheetId="3">#REF!</definedName>
    <definedName name="U14IH2" localSheetId="7">#REF!</definedName>
    <definedName name="U14IH2" localSheetId="9">#REF!</definedName>
    <definedName name="U14IH2" localSheetId="10">#REF!</definedName>
    <definedName name="U14IH2" localSheetId="15">#REF!</definedName>
    <definedName name="U14IH2" localSheetId="19">#REF!</definedName>
    <definedName name="U14IH2" localSheetId="20">#REF!</definedName>
    <definedName name="U14IH2" localSheetId="24">#REF!</definedName>
    <definedName name="U14IH2" localSheetId="104">#REF!</definedName>
    <definedName name="U14IH2" localSheetId="65">#REF!</definedName>
    <definedName name="U14IH2" localSheetId="64">#REF!</definedName>
    <definedName name="U14IH2" localSheetId="77">#REF!</definedName>
    <definedName name="U14IH2" localSheetId="49">#REF!</definedName>
    <definedName name="U14IH2" localSheetId="40">#REF!</definedName>
    <definedName name="U14IH2" localSheetId="43">#REF!</definedName>
    <definedName name="U14IH2" localSheetId="13">#REF!</definedName>
    <definedName name="U14IH2" localSheetId="38">#REF!</definedName>
    <definedName name="U14IH2">#REF!</definedName>
    <definedName name="U14IH3" localSheetId="3">#REF!</definedName>
    <definedName name="U14IH3" localSheetId="7">#REF!</definedName>
    <definedName name="U14IH3" localSheetId="9">#REF!</definedName>
    <definedName name="U14IH3" localSheetId="10">#REF!</definedName>
    <definedName name="U14IH3" localSheetId="15">#REF!</definedName>
    <definedName name="U14IH3" localSheetId="19">#REF!</definedName>
    <definedName name="U14IH3" localSheetId="20">#REF!</definedName>
    <definedName name="U14IH3" localSheetId="24">#REF!</definedName>
    <definedName name="U14IH3" localSheetId="104">#REF!</definedName>
    <definedName name="U14IH3" localSheetId="65">#REF!</definedName>
    <definedName name="U14IH3" localSheetId="64">#REF!</definedName>
    <definedName name="U14IH3" localSheetId="77">#REF!</definedName>
    <definedName name="U14IH3" localSheetId="49">#REF!</definedName>
    <definedName name="U14IH3" localSheetId="40">#REF!</definedName>
    <definedName name="U14IH3" localSheetId="43">#REF!</definedName>
    <definedName name="U14IH3" localSheetId="13">#REF!</definedName>
    <definedName name="U14IH3" localSheetId="38">#REF!</definedName>
    <definedName name="U14IH3">#REF!</definedName>
    <definedName name="U14IH4" localSheetId="3">#REF!</definedName>
    <definedName name="U14IH4" localSheetId="7">#REF!</definedName>
    <definedName name="U14IH4" localSheetId="9">#REF!</definedName>
    <definedName name="U14IH4" localSheetId="10">#REF!</definedName>
    <definedName name="U14IH4" localSheetId="15">#REF!</definedName>
    <definedName name="U14IH4" localSheetId="19">#REF!</definedName>
    <definedName name="U14IH4" localSheetId="20">#REF!</definedName>
    <definedName name="U14IH4" localSheetId="24">#REF!</definedName>
    <definedName name="U14IH4" localSheetId="104">#REF!</definedName>
    <definedName name="U14IH4" localSheetId="65">#REF!</definedName>
    <definedName name="U14IH4" localSheetId="64">#REF!</definedName>
    <definedName name="U14IH4" localSheetId="77">#REF!</definedName>
    <definedName name="U14IH4" localSheetId="49">#REF!</definedName>
    <definedName name="U14IH4" localSheetId="40">#REF!</definedName>
    <definedName name="U14IH4" localSheetId="43">#REF!</definedName>
    <definedName name="U14IH4" localSheetId="13">#REF!</definedName>
    <definedName name="U14IH4" localSheetId="38">#REF!</definedName>
    <definedName name="U14IH4">#REF!</definedName>
    <definedName name="U14IH5" localSheetId="3">#REF!</definedName>
    <definedName name="U14IH5" localSheetId="7">#REF!</definedName>
    <definedName name="U14IH5" localSheetId="9">#REF!</definedName>
    <definedName name="U14IH5" localSheetId="10">#REF!</definedName>
    <definedName name="U14IH5" localSheetId="15">#REF!</definedName>
    <definedName name="U14IH5" localSheetId="19">#REF!</definedName>
    <definedName name="U14IH5" localSheetId="20">#REF!</definedName>
    <definedName name="U14IH5" localSheetId="24">#REF!</definedName>
    <definedName name="U14IH5" localSheetId="104">#REF!</definedName>
    <definedName name="U14IH5" localSheetId="65">#REF!</definedName>
    <definedName name="U14IH5" localSheetId="64">#REF!</definedName>
    <definedName name="U14IH5" localSheetId="77">#REF!</definedName>
    <definedName name="U14IH5" localSheetId="49">#REF!</definedName>
    <definedName name="U14IH5" localSheetId="40">#REF!</definedName>
    <definedName name="U14IH5" localSheetId="43">#REF!</definedName>
    <definedName name="U14IH5" localSheetId="13">#REF!</definedName>
    <definedName name="U14IH5" localSheetId="38">#REF!</definedName>
    <definedName name="U14IH5">#REF!</definedName>
    <definedName name="U15H1" localSheetId="3">#REF!</definedName>
    <definedName name="U15H1" localSheetId="7">#REF!</definedName>
    <definedName name="U15H1" localSheetId="9">#REF!</definedName>
    <definedName name="U15H1" localSheetId="10">#REF!</definedName>
    <definedName name="U15H1" localSheetId="15">#REF!</definedName>
    <definedName name="U15H1" localSheetId="19">#REF!</definedName>
    <definedName name="U15H1" localSheetId="20">#REF!</definedName>
    <definedName name="U15H1" localSheetId="24">#REF!</definedName>
    <definedName name="U15H1" localSheetId="104">#REF!</definedName>
    <definedName name="U15H1" localSheetId="65">#REF!</definedName>
    <definedName name="U15H1" localSheetId="64">#REF!</definedName>
    <definedName name="U15H1" localSheetId="77">#REF!</definedName>
    <definedName name="U15H1" localSheetId="49">#REF!</definedName>
    <definedName name="U15H1" localSheetId="40">#REF!</definedName>
    <definedName name="U15H1" localSheetId="43">#REF!</definedName>
    <definedName name="U15H1" localSheetId="13">#REF!</definedName>
    <definedName name="U15H1" localSheetId="38">#REF!</definedName>
    <definedName name="U15H1">#REF!</definedName>
    <definedName name="U15H10" localSheetId="3">#REF!</definedName>
    <definedName name="U15H10" localSheetId="7">#REF!</definedName>
    <definedName name="U15H10" localSheetId="9">#REF!</definedName>
    <definedName name="U15H10" localSheetId="10">#REF!</definedName>
    <definedName name="U15H10" localSheetId="15">#REF!</definedName>
    <definedName name="U15H10" localSheetId="19">#REF!</definedName>
    <definedName name="U15H10" localSheetId="20">#REF!</definedName>
    <definedName name="U15H10" localSheetId="24">#REF!</definedName>
    <definedName name="U15H10" localSheetId="104">#REF!</definedName>
    <definedName name="U15H10" localSheetId="65">#REF!</definedName>
    <definedName name="U15H10" localSheetId="64">#REF!</definedName>
    <definedName name="U15H10" localSheetId="77">#REF!</definedName>
    <definedName name="U15H10" localSheetId="49">#REF!</definedName>
    <definedName name="U15H10" localSheetId="40">#REF!</definedName>
    <definedName name="U15H10" localSheetId="43">#REF!</definedName>
    <definedName name="U15H10" localSheetId="13">#REF!</definedName>
    <definedName name="U15H10" localSheetId="38">#REF!</definedName>
    <definedName name="U15H10">#REF!</definedName>
    <definedName name="U15H11" localSheetId="3">#REF!</definedName>
    <definedName name="U15H11" localSheetId="7">#REF!</definedName>
    <definedName name="U15H11" localSheetId="9">#REF!</definedName>
    <definedName name="U15H11" localSheetId="10">#REF!</definedName>
    <definedName name="U15H11" localSheetId="15">#REF!</definedName>
    <definedName name="U15H11" localSheetId="19">#REF!</definedName>
    <definedName name="U15H11" localSheetId="20">#REF!</definedName>
    <definedName name="U15H11" localSheetId="24">#REF!</definedName>
    <definedName name="U15H11" localSheetId="104">#REF!</definedName>
    <definedName name="U15H11" localSheetId="65">#REF!</definedName>
    <definedName name="U15H11" localSheetId="64">#REF!</definedName>
    <definedName name="U15H11" localSheetId="77">#REF!</definedName>
    <definedName name="U15H11" localSheetId="49">#REF!</definedName>
    <definedName name="U15H11" localSheetId="40">#REF!</definedName>
    <definedName name="U15H11" localSheetId="43">#REF!</definedName>
    <definedName name="U15H11" localSheetId="13">#REF!</definedName>
    <definedName name="U15H11" localSheetId="38">#REF!</definedName>
    <definedName name="U15H11">#REF!</definedName>
    <definedName name="U15H12" localSheetId="3">#REF!</definedName>
    <definedName name="U15H12" localSheetId="7">#REF!</definedName>
    <definedName name="U15H12" localSheetId="9">#REF!</definedName>
    <definedName name="U15H12" localSheetId="10">#REF!</definedName>
    <definedName name="U15H12" localSheetId="15">#REF!</definedName>
    <definedName name="U15H12" localSheetId="19">#REF!</definedName>
    <definedName name="U15H12" localSheetId="20">#REF!</definedName>
    <definedName name="U15H12" localSheetId="24">#REF!</definedName>
    <definedName name="U15H12" localSheetId="104">#REF!</definedName>
    <definedName name="U15H12" localSheetId="65">#REF!</definedName>
    <definedName name="U15H12" localSheetId="64">#REF!</definedName>
    <definedName name="U15H12" localSheetId="77">#REF!</definedName>
    <definedName name="U15H12" localSheetId="49">#REF!</definedName>
    <definedName name="U15H12" localSheetId="40">#REF!</definedName>
    <definedName name="U15H12" localSheetId="43">#REF!</definedName>
    <definedName name="U15H12" localSheetId="13">#REF!</definedName>
    <definedName name="U15H12" localSheetId="38">#REF!</definedName>
    <definedName name="U15H12">#REF!</definedName>
    <definedName name="U15H13" localSheetId="3">#REF!</definedName>
    <definedName name="U15H13" localSheetId="7">#REF!</definedName>
    <definedName name="U15H13" localSheetId="9">#REF!</definedName>
    <definedName name="U15H13" localSheetId="10">#REF!</definedName>
    <definedName name="U15H13" localSheetId="15">#REF!</definedName>
    <definedName name="U15H13" localSheetId="19">#REF!</definedName>
    <definedName name="U15H13" localSheetId="20">#REF!</definedName>
    <definedName name="U15H13" localSheetId="24">#REF!</definedName>
    <definedName name="U15H13" localSheetId="104">#REF!</definedName>
    <definedName name="U15H13" localSheetId="65">#REF!</definedName>
    <definedName name="U15H13" localSheetId="64">#REF!</definedName>
    <definedName name="U15H13" localSheetId="77">#REF!</definedName>
    <definedName name="U15H13" localSheetId="49">#REF!</definedName>
    <definedName name="U15H13" localSheetId="40">#REF!</definedName>
    <definedName name="U15H13" localSheetId="43">#REF!</definedName>
    <definedName name="U15H13" localSheetId="13">#REF!</definedName>
    <definedName name="U15H13" localSheetId="38">#REF!</definedName>
    <definedName name="U15H13">#REF!</definedName>
    <definedName name="U15H14" localSheetId="3">#REF!</definedName>
    <definedName name="U15H14" localSheetId="7">#REF!</definedName>
    <definedName name="U15H14" localSheetId="9">#REF!</definedName>
    <definedName name="U15H14" localSheetId="10">#REF!</definedName>
    <definedName name="U15H14" localSheetId="15">#REF!</definedName>
    <definedName name="U15H14" localSheetId="19">#REF!</definedName>
    <definedName name="U15H14" localSheetId="20">#REF!</definedName>
    <definedName name="U15H14" localSheetId="24">#REF!</definedName>
    <definedName name="U15H14" localSheetId="104">#REF!</definedName>
    <definedName name="U15H14" localSheetId="65">#REF!</definedName>
    <definedName name="U15H14" localSheetId="64">#REF!</definedName>
    <definedName name="U15H14" localSheetId="77">#REF!</definedName>
    <definedName name="U15H14" localSheetId="49">#REF!</definedName>
    <definedName name="U15H14" localSheetId="40">#REF!</definedName>
    <definedName name="U15H14" localSheetId="43">#REF!</definedName>
    <definedName name="U15H14" localSheetId="13">#REF!</definedName>
    <definedName name="U15H14" localSheetId="38">#REF!</definedName>
    <definedName name="U15H14">#REF!</definedName>
    <definedName name="U15H15" localSheetId="3">#REF!</definedName>
    <definedName name="U15H15" localSheetId="7">#REF!</definedName>
    <definedName name="U15H15" localSheetId="9">#REF!</definedName>
    <definedName name="U15H15" localSheetId="10">#REF!</definedName>
    <definedName name="U15H15" localSheetId="15">#REF!</definedName>
    <definedName name="U15H15" localSheetId="19">#REF!</definedName>
    <definedName name="U15H15" localSheetId="20">#REF!</definedName>
    <definedName name="U15H15" localSheetId="24">#REF!</definedName>
    <definedName name="U15H15" localSheetId="104">#REF!</definedName>
    <definedName name="U15H15" localSheetId="65">#REF!</definedName>
    <definedName name="U15H15" localSheetId="64">#REF!</definedName>
    <definedName name="U15H15" localSheetId="77">#REF!</definedName>
    <definedName name="U15H15" localSheetId="49">#REF!</definedName>
    <definedName name="U15H15" localSheetId="40">#REF!</definedName>
    <definedName name="U15H15" localSheetId="43">#REF!</definedName>
    <definedName name="U15H15" localSheetId="13">#REF!</definedName>
    <definedName name="U15H15" localSheetId="38">#REF!</definedName>
    <definedName name="U15H15">#REF!</definedName>
    <definedName name="U15H2" localSheetId="3">#REF!</definedName>
    <definedName name="U15H2" localSheetId="7">#REF!</definedName>
    <definedName name="U15H2" localSheetId="9">#REF!</definedName>
    <definedName name="U15H2" localSheetId="10">#REF!</definedName>
    <definedName name="U15H2" localSheetId="15">#REF!</definedName>
    <definedName name="U15H2" localSheetId="19">#REF!</definedName>
    <definedName name="U15H2" localSheetId="20">#REF!</definedName>
    <definedName name="U15H2" localSheetId="24">#REF!</definedName>
    <definedName name="U15H2" localSheetId="104">#REF!</definedName>
    <definedName name="U15H2" localSheetId="65">#REF!</definedName>
    <definedName name="U15H2" localSheetId="64">#REF!</definedName>
    <definedName name="U15H2" localSheetId="77">#REF!</definedName>
    <definedName name="U15H2" localSheetId="49">#REF!</definedName>
    <definedName name="U15H2" localSheetId="40">#REF!</definedName>
    <definedName name="U15H2" localSheetId="43">#REF!</definedName>
    <definedName name="U15H2" localSheetId="13">#REF!</definedName>
    <definedName name="U15H2" localSheetId="38">#REF!</definedName>
    <definedName name="U15H2">#REF!</definedName>
    <definedName name="U15H3" localSheetId="3">#REF!</definedName>
    <definedName name="U15H3" localSheetId="7">#REF!</definedName>
    <definedName name="U15H3" localSheetId="9">#REF!</definedName>
    <definedName name="U15H3" localSheetId="10">#REF!</definedName>
    <definedName name="U15H3" localSheetId="15">#REF!</definedName>
    <definedName name="U15H3" localSheetId="19">#REF!</definedName>
    <definedName name="U15H3" localSheetId="20">#REF!</definedName>
    <definedName name="U15H3" localSheetId="24">#REF!</definedName>
    <definedName name="U15H3" localSheetId="104">#REF!</definedName>
    <definedName name="U15H3" localSheetId="65">#REF!</definedName>
    <definedName name="U15H3" localSheetId="64">#REF!</definedName>
    <definedName name="U15H3" localSheetId="77">#REF!</definedName>
    <definedName name="U15H3" localSheetId="49">#REF!</definedName>
    <definedName name="U15H3" localSheetId="40">#REF!</definedName>
    <definedName name="U15H3" localSheetId="43">#REF!</definedName>
    <definedName name="U15H3" localSheetId="13">#REF!</definedName>
    <definedName name="U15H3" localSheetId="38">#REF!</definedName>
    <definedName name="U15H3">#REF!</definedName>
    <definedName name="U15H4" localSheetId="3">#REF!</definedName>
    <definedName name="U15H4" localSheetId="7">#REF!</definedName>
    <definedName name="U15H4" localSheetId="9">#REF!</definedName>
    <definedName name="U15H4" localSheetId="10">#REF!</definedName>
    <definedName name="U15H4" localSheetId="15">#REF!</definedName>
    <definedName name="U15H4" localSheetId="19">#REF!</definedName>
    <definedName name="U15H4" localSheetId="20">#REF!</definedName>
    <definedName name="U15H4" localSheetId="24">#REF!</definedName>
    <definedName name="U15H4" localSheetId="104">#REF!</definedName>
    <definedName name="U15H4" localSheetId="65">#REF!</definedName>
    <definedName name="U15H4" localSheetId="64">#REF!</definedName>
    <definedName name="U15H4" localSheetId="77">#REF!</definedName>
    <definedName name="U15H4" localSheetId="49">#REF!</definedName>
    <definedName name="U15H4" localSheetId="40">#REF!</definedName>
    <definedName name="U15H4" localSheetId="43">#REF!</definedName>
    <definedName name="U15H4" localSheetId="13">#REF!</definedName>
    <definedName name="U15H4" localSheetId="38">#REF!</definedName>
    <definedName name="U15H4">#REF!</definedName>
    <definedName name="U15H5" localSheetId="3">#REF!</definedName>
    <definedName name="U15H5" localSheetId="7">#REF!</definedName>
    <definedName name="U15H5" localSheetId="9">#REF!</definedName>
    <definedName name="U15H5" localSheetId="10">#REF!</definedName>
    <definedName name="U15H5" localSheetId="15">#REF!</definedName>
    <definedName name="U15H5" localSheetId="19">#REF!</definedName>
    <definedName name="U15H5" localSheetId="20">#REF!</definedName>
    <definedName name="U15H5" localSheetId="24">#REF!</definedName>
    <definedName name="U15H5" localSheetId="104">#REF!</definedName>
    <definedName name="U15H5" localSheetId="65">#REF!</definedName>
    <definedName name="U15H5" localSheetId="64">#REF!</definedName>
    <definedName name="U15H5" localSheetId="77">#REF!</definedName>
    <definedName name="U15H5" localSheetId="49">#REF!</definedName>
    <definedName name="U15H5" localSheetId="40">#REF!</definedName>
    <definedName name="U15H5" localSheetId="43">#REF!</definedName>
    <definedName name="U15H5" localSheetId="13">#REF!</definedName>
    <definedName name="U15H5" localSheetId="38">#REF!</definedName>
    <definedName name="U15H5">#REF!</definedName>
    <definedName name="U15H6" localSheetId="3">#REF!</definedName>
    <definedName name="U15H6" localSheetId="7">#REF!</definedName>
    <definedName name="U15H6" localSheetId="9">#REF!</definedName>
    <definedName name="U15H6" localSheetId="10">#REF!</definedName>
    <definedName name="U15H6" localSheetId="15">#REF!</definedName>
    <definedName name="U15H6" localSheetId="19">#REF!</definedName>
    <definedName name="U15H6" localSheetId="20">#REF!</definedName>
    <definedName name="U15H6" localSheetId="24">#REF!</definedName>
    <definedName name="U15H6" localSheetId="104">#REF!</definedName>
    <definedName name="U15H6" localSheetId="65">#REF!</definedName>
    <definedName name="U15H6" localSheetId="64">#REF!</definedName>
    <definedName name="U15H6" localSheetId="77">#REF!</definedName>
    <definedName name="U15H6" localSheetId="49">#REF!</definedName>
    <definedName name="U15H6" localSheetId="40">#REF!</definedName>
    <definedName name="U15H6" localSheetId="43">#REF!</definedName>
    <definedName name="U15H6" localSheetId="13">#REF!</definedName>
    <definedName name="U15H6" localSheetId="38">#REF!</definedName>
    <definedName name="U15H6">#REF!</definedName>
    <definedName name="U15H7" localSheetId="3">#REF!</definedName>
    <definedName name="U15H7" localSheetId="7">#REF!</definedName>
    <definedName name="U15H7" localSheetId="9">#REF!</definedName>
    <definedName name="U15H7" localSheetId="10">#REF!</definedName>
    <definedName name="U15H7" localSheetId="15">#REF!</definedName>
    <definedName name="U15H7" localSheetId="19">#REF!</definedName>
    <definedName name="U15H7" localSheetId="20">#REF!</definedName>
    <definedName name="U15H7" localSheetId="24">#REF!</definedName>
    <definedName name="U15H7" localSheetId="104">#REF!</definedName>
    <definedName name="U15H7" localSheetId="65">#REF!</definedName>
    <definedName name="U15H7" localSheetId="64">#REF!</definedName>
    <definedName name="U15H7" localSheetId="77">#REF!</definedName>
    <definedName name="U15H7" localSheetId="49">#REF!</definedName>
    <definedName name="U15H7" localSheetId="40">#REF!</definedName>
    <definedName name="U15H7" localSheetId="43">#REF!</definedName>
    <definedName name="U15H7" localSheetId="13">#REF!</definedName>
    <definedName name="U15H7" localSheetId="38">#REF!</definedName>
    <definedName name="U15H7">#REF!</definedName>
    <definedName name="U15H8" localSheetId="3">#REF!</definedName>
    <definedName name="U15H8" localSheetId="7">#REF!</definedName>
    <definedName name="U15H8" localSheetId="9">#REF!</definedName>
    <definedName name="U15H8" localSheetId="10">#REF!</definedName>
    <definedName name="U15H8" localSheetId="15">#REF!</definedName>
    <definedName name="U15H8" localSheetId="19">#REF!</definedName>
    <definedName name="U15H8" localSheetId="20">#REF!</definedName>
    <definedName name="U15H8" localSheetId="24">#REF!</definedName>
    <definedName name="U15H8" localSheetId="104">#REF!</definedName>
    <definedName name="U15H8" localSheetId="65">#REF!</definedName>
    <definedName name="U15H8" localSheetId="64">#REF!</definedName>
    <definedName name="U15H8" localSheetId="77">#REF!</definedName>
    <definedName name="U15H8" localSheetId="49">#REF!</definedName>
    <definedName name="U15H8" localSheetId="40">#REF!</definedName>
    <definedName name="U15H8" localSheetId="43">#REF!</definedName>
    <definedName name="U15H8" localSheetId="13">#REF!</definedName>
    <definedName name="U15H8" localSheetId="38">#REF!</definedName>
    <definedName name="U15H8">#REF!</definedName>
    <definedName name="U15H9" localSheetId="3">#REF!</definedName>
    <definedName name="U15H9" localSheetId="7">#REF!</definedName>
    <definedName name="U15H9" localSheetId="9">#REF!</definedName>
    <definedName name="U15H9" localSheetId="10">#REF!</definedName>
    <definedName name="U15H9" localSheetId="15">#REF!</definedName>
    <definedName name="U15H9" localSheetId="19">#REF!</definedName>
    <definedName name="U15H9" localSheetId="20">#REF!</definedName>
    <definedName name="U15H9" localSheetId="24">#REF!</definedName>
    <definedName name="U15H9" localSheetId="104">#REF!</definedName>
    <definedName name="U15H9" localSheetId="65">#REF!</definedName>
    <definedName name="U15H9" localSheetId="64">#REF!</definedName>
    <definedName name="U15H9" localSheetId="77">#REF!</definedName>
    <definedName name="U15H9" localSheetId="49">#REF!</definedName>
    <definedName name="U15H9" localSheetId="40">#REF!</definedName>
    <definedName name="U15H9" localSheetId="43">#REF!</definedName>
    <definedName name="U15H9" localSheetId="13">#REF!</definedName>
    <definedName name="U15H9" localSheetId="38">#REF!</definedName>
    <definedName name="U15H9">#REF!</definedName>
    <definedName name="U15IH1" localSheetId="3">#REF!</definedName>
    <definedName name="U15IH1" localSheetId="7">#REF!</definedName>
    <definedName name="U15IH1" localSheetId="9">#REF!</definedName>
    <definedName name="U15IH1" localSheetId="10">#REF!</definedName>
    <definedName name="U15IH1" localSheetId="15">#REF!</definedName>
    <definedName name="U15IH1" localSheetId="19">#REF!</definedName>
    <definedName name="U15IH1" localSheetId="20">#REF!</definedName>
    <definedName name="U15IH1" localSheetId="24">#REF!</definedName>
    <definedName name="U15IH1" localSheetId="104">#REF!</definedName>
    <definedName name="U15IH1" localSheetId="65">#REF!</definedName>
    <definedName name="U15IH1" localSheetId="64">#REF!</definedName>
    <definedName name="U15IH1" localSheetId="77">#REF!</definedName>
    <definedName name="U15IH1" localSheetId="49">#REF!</definedName>
    <definedName name="U15IH1" localSheetId="40">#REF!</definedName>
    <definedName name="U15IH1" localSheetId="43">#REF!</definedName>
    <definedName name="U15IH1" localSheetId="13">#REF!</definedName>
    <definedName name="U15IH1" localSheetId="38">#REF!</definedName>
    <definedName name="U15IH1">#REF!</definedName>
    <definedName name="U15IH2" localSheetId="3">#REF!</definedName>
    <definedName name="U15IH2" localSheetId="7">#REF!</definedName>
    <definedName name="U15IH2" localSheetId="9">#REF!</definedName>
    <definedName name="U15IH2" localSheetId="10">#REF!</definedName>
    <definedName name="U15IH2" localSheetId="15">#REF!</definedName>
    <definedName name="U15IH2" localSheetId="19">#REF!</definedName>
    <definedName name="U15IH2" localSheetId="20">#REF!</definedName>
    <definedName name="U15IH2" localSheetId="24">#REF!</definedName>
    <definedName name="U15IH2" localSheetId="104">#REF!</definedName>
    <definedName name="U15IH2" localSheetId="65">#REF!</definedName>
    <definedName name="U15IH2" localSheetId="64">#REF!</definedName>
    <definedName name="U15IH2" localSheetId="77">#REF!</definedName>
    <definedName name="U15IH2" localSheetId="49">#REF!</definedName>
    <definedName name="U15IH2" localSheetId="40">#REF!</definedName>
    <definedName name="U15IH2" localSheetId="43">#REF!</definedName>
    <definedName name="U15IH2" localSheetId="13">#REF!</definedName>
    <definedName name="U15IH2" localSheetId="38">#REF!</definedName>
    <definedName name="U15IH2">#REF!</definedName>
    <definedName name="U15IH3" localSheetId="3">#REF!</definedName>
    <definedName name="U15IH3" localSheetId="7">#REF!</definedName>
    <definedName name="U15IH3" localSheetId="9">#REF!</definedName>
    <definedName name="U15IH3" localSheetId="10">#REF!</definedName>
    <definedName name="U15IH3" localSheetId="15">#REF!</definedName>
    <definedName name="U15IH3" localSheetId="19">#REF!</definedName>
    <definedName name="U15IH3" localSheetId="20">#REF!</definedName>
    <definedName name="U15IH3" localSheetId="24">#REF!</definedName>
    <definedName name="U15IH3" localSheetId="104">#REF!</definedName>
    <definedName name="U15IH3" localSheetId="65">#REF!</definedName>
    <definedName name="U15IH3" localSheetId="64">#REF!</definedName>
    <definedName name="U15IH3" localSheetId="77">#REF!</definedName>
    <definedName name="U15IH3" localSheetId="49">#REF!</definedName>
    <definedName name="U15IH3" localSheetId="40">#REF!</definedName>
    <definedName name="U15IH3" localSheetId="43">#REF!</definedName>
    <definedName name="U15IH3" localSheetId="13">#REF!</definedName>
    <definedName name="U15IH3" localSheetId="38">#REF!</definedName>
    <definedName name="U15IH3">#REF!</definedName>
    <definedName name="U15IH4" localSheetId="3">#REF!</definedName>
    <definedName name="U15IH4" localSheetId="7">#REF!</definedName>
    <definedName name="U15IH4" localSheetId="9">#REF!</definedName>
    <definedName name="U15IH4" localSheetId="10">#REF!</definedName>
    <definedName name="U15IH4" localSheetId="15">#REF!</definedName>
    <definedName name="U15IH4" localSheetId="19">#REF!</definedName>
    <definedName name="U15IH4" localSheetId="20">#REF!</definedName>
    <definedName name="U15IH4" localSheetId="24">#REF!</definedName>
    <definedName name="U15IH4" localSheetId="104">#REF!</definedName>
    <definedName name="U15IH4" localSheetId="65">#REF!</definedName>
    <definedName name="U15IH4" localSheetId="64">#REF!</definedName>
    <definedName name="U15IH4" localSheetId="77">#REF!</definedName>
    <definedName name="U15IH4" localSheetId="49">#REF!</definedName>
    <definedName name="U15IH4" localSheetId="40">#REF!</definedName>
    <definedName name="U15IH4" localSheetId="43">#REF!</definedName>
    <definedName name="U15IH4" localSheetId="13">#REF!</definedName>
    <definedName name="U15IH4" localSheetId="38">#REF!</definedName>
    <definedName name="U15IH4">#REF!</definedName>
    <definedName name="U15IH5" localSheetId="3">#REF!</definedName>
    <definedName name="U15IH5" localSheetId="7">#REF!</definedName>
    <definedName name="U15IH5" localSheetId="9">#REF!</definedName>
    <definedName name="U15IH5" localSheetId="10">#REF!</definedName>
    <definedName name="U15IH5" localSheetId="15">#REF!</definedName>
    <definedName name="U15IH5" localSheetId="19">#REF!</definedName>
    <definedName name="U15IH5" localSheetId="20">#REF!</definedName>
    <definedName name="U15IH5" localSheetId="24">#REF!</definedName>
    <definedName name="U15IH5" localSheetId="104">#REF!</definedName>
    <definedName name="U15IH5" localSheetId="65">#REF!</definedName>
    <definedName name="U15IH5" localSheetId="64">#REF!</definedName>
    <definedName name="U15IH5" localSheetId="77">#REF!</definedName>
    <definedName name="U15IH5" localSheetId="49">#REF!</definedName>
    <definedName name="U15IH5" localSheetId="40">#REF!</definedName>
    <definedName name="U15IH5" localSheetId="43">#REF!</definedName>
    <definedName name="U15IH5" localSheetId="13">#REF!</definedName>
    <definedName name="U15IH5" localSheetId="38">#REF!</definedName>
    <definedName name="U15IH5">#REF!</definedName>
    <definedName name="U1H1" localSheetId="3">#REF!</definedName>
    <definedName name="U1H1" localSheetId="7">#REF!</definedName>
    <definedName name="U1H1" localSheetId="9">#REF!</definedName>
    <definedName name="U1H1" localSheetId="10">#REF!</definedName>
    <definedName name="U1H1" localSheetId="15">#REF!</definedName>
    <definedName name="U1H1" localSheetId="19">#REF!</definedName>
    <definedName name="U1H1" localSheetId="20">#REF!</definedName>
    <definedName name="U1H1" localSheetId="24">#REF!</definedName>
    <definedName name="U1H1" localSheetId="104">#REF!</definedName>
    <definedName name="U1H1" localSheetId="65">#REF!</definedName>
    <definedName name="U1H1" localSheetId="64">#REF!</definedName>
    <definedName name="U1H1" localSheetId="77">#REF!</definedName>
    <definedName name="U1H1" localSheetId="49">#REF!</definedName>
    <definedName name="U1H1" localSheetId="40">#REF!</definedName>
    <definedName name="U1H1" localSheetId="43">#REF!</definedName>
    <definedName name="U1H1" localSheetId="13">#REF!</definedName>
    <definedName name="U1H1" localSheetId="38">#REF!</definedName>
    <definedName name="U1H1">#REF!</definedName>
    <definedName name="U1H10" localSheetId="3">#REF!</definedName>
    <definedName name="U1H10" localSheetId="7">#REF!</definedName>
    <definedName name="U1H10" localSheetId="9">#REF!</definedName>
    <definedName name="U1H10" localSheetId="10">#REF!</definedName>
    <definedName name="U1H10" localSheetId="15">#REF!</definedName>
    <definedName name="U1H10" localSheetId="19">#REF!</definedName>
    <definedName name="U1H10" localSheetId="20">#REF!</definedName>
    <definedName name="U1H10" localSheetId="24">#REF!</definedName>
    <definedName name="U1H10" localSheetId="104">#REF!</definedName>
    <definedName name="U1H10" localSheetId="65">#REF!</definedName>
    <definedName name="U1H10" localSheetId="64">#REF!</definedName>
    <definedName name="U1H10" localSheetId="77">#REF!</definedName>
    <definedName name="U1H10" localSheetId="49">#REF!</definedName>
    <definedName name="U1H10" localSheetId="40">#REF!</definedName>
    <definedName name="U1H10" localSheetId="43">#REF!</definedName>
    <definedName name="U1H10" localSheetId="13">#REF!</definedName>
    <definedName name="U1H10" localSheetId="38">#REF!</definedName>
    <definedName name="U1H10">#REF!</definedName>
    <definedName name="U1H11" localSheetId="3">#REF!</definedName>
    <definedName name="U1H11" localSheetId="7">#REF!</definedName>
    <definedName name="U1H11" localSheetId="9">#REF!</definedName>
    <definedName name="U1H11" localSheetId="10">#REF!</definedName>
    <definedName name="U1H11" localSheetId="15">#REF!</definedName>
    <definedName name="U1H11" localSheetId="19">#REF!</definedName>
    <definedName name="U1H11" localSheetId="20">#REF!</definedName>
    <definedName name="U1H11" localSheetId="24">#REF!</definedName>
    <definedName name="U1H11" localSheetId="104">#REF!</definedName>
    <definedName name="U1H11" localSheetId="65">#REF!</definedName>
    <definedName name="U1H11" localSheetId="64">#REF!</definedName>
    <definedName name="U1H11" localSheetId="77">#REF!</definedName>
    <definedName name="U1H11" localSheetId="49">#REF!</definedName>
    <definedName name="U1H11" localSheetId="40">#REF!</definedName>
    <definedName name="U1H11" localSheetId="43">#REF!</definedName>
    <definedName name="U1H11" localSheetId="13">#REF!</definedName>
    <definedName name="U1H11" localSheetId="38">#REF!</definedName>
    <definedName name="U1H11">#REF!</definedName>
    <definedName name="U1H12" localSheetId="3">#REF!</definedName>
    <definedName name="U1H12" localSheetId="7">#REF!</definedName>
    <definedName name="U1H12" localSheetId="9">#REF!</definedName>
    <definedName name="U1H12" localSheetId="10">#REF!</definedName>
    <definedName name="U1H12" localSheetId="15">#REF!</definedName>
    <definedName name="U1H12" localSheetId="19">#REF!</definedName>
    <definedName name="U1H12" localSheetId="20">#REF!</definedName>
    <definedName name="U1H12" localSheetId="24">#REF!</definedName>
    <definedName name="U1H12" localSheetId="104">#REF!</definedName>
    <definedName name="U1H12" localSheetId="65">#REF!</definedName>
    <definedName name="U1H12" localSheetId="64">#REF!</definedName>
    <definedName name="U1H12" localSheetId="77">#REF!</definedName>
    <definedName name="U1H12" localSheetId="49">#REF!</definedName>
    <definedName name="U1H12" localSheetId="40">#REF!</definedName>
    <definedName name="U1H12" localSheetId="43">#REF!</definedName>
    <definedName name="U1H12" localSheetId="13">#REF!</definedName>
    <definedName name="U1H12" localSheetId="38">#REF!</definedName>
    <definedName name="U1H12">#REF!</definedName>
    <definedName name="U1H13" localSheetId="3">#REF!</definedName>
    <definedName name="U1H13" localSheetId="7">#REF!</definedName>
    <definedName name="U1H13" localSheetId="9">#REF!</definedName>
    <definedName name="U1H13" localSheetId="10">#REF!</definedName>
    <definedName name="U1H13" localSheetId="15">#REF!</definedName>
    <definedName name="U1H13" localSheetId="19">#REF!</definedName>
    <definedName name="U1H13" localSheetId="20">#REF!</definedName>
    <definedName name="U1H13" localSheetId="24">#REF!</definedName>
    <definedName name="U1H13" localSheetId="104">#REF!</definedName>
    <definedName name="U1H13" localSheetId="65">#REF!</definedName>
    <definedName name="U1H13" localSheetId="64">#REF!</definedName>
    <definedName name="U1H13" localSheetId="77">#REF!</definedName>
    <definedName name="U1H13" localSheetId="49">#REF!</definedName>
    <definedName name="U1H13" localSheetId="40">#REF!</definedName>
    <definedName name="U1H13" localSheetId="43">#REF!</definedName>
    <definedName name="U1H13" localSheetId="13">#REF!</definedName>
    <definedName name="U1H13" localSheetId="38">#REF!</definedName>
    <definedName name="U1H13">#REF!</definedName>
    <definedName name="U1H14" localSheetId="3">#REF!</definedName>
    <definedName name="U1H14" localSheetId="7">#REF!</definedName>
    <definedName name="U1H14" localSheetId="9">#REF!</definedName>
    <definedName name="U1H14" localSheetId="10">#REF!</definedName>
    <definedName name="U1H14" localSheetId="15">#REF!</definedName>
    <definedName name="U1H14" localSheetId="19">#REF!</definedName>
    <definedName name="U1H14" localSheetId="20">#REF!</definedName>
    <definedName name="U1H14" localSheetId="24">#REF!</definedName>
    <definedName name="U1H14" localSheetId="104">#REF!</definedName>
    <definedName name="U1H14" localSheetId="65">#REF!</definedName>
    <definedName name="U1H14" localSheetId="64">#REF!</definedName>
    <definedName name="U1H14" localSheetId="77">#REF!</definedName>
    <definedName name="U1H14" localSheetId="49">#REF!</definedName>
    <definedName name="U1H14" localSheetId="40">#REF!</definedName>
    <definedName name="U1H14" localSheetId="43">#REF!</definedName>
    <definedName name="U1H14" localSheetId="13">#REF!</definedName>
    <definedName name="U1H14" localSheetId="38">#REF!</definedName>
    <definedName name="U1H14">#REF!</definedName>
    <definedName name="U1H15" localSheetId="3">#REF!</definedName>
    <definedName name="U1H15" localSheetId="7">#REF!</definedName>
    <definedName name="U1H15" localSheetId="9">#REF!</definedName>
    <definedName name="U1H15" localSheetId="10">#REF!</definedName>
    <definedName name="U1H15" localSheetId="15">#REF!</definedName>
    <definedName name="U1H15" localSheetId="19">#REF!</definedName>
    <definedName name="U1H15" localSheetId="20">#REF!</definedName>
    <definedName name="U1H15" localSheetId="24">#REF!</definedName>
    <definedName name="U1H15" localSheetId="104">#REF!</definedName>
    <definedName name="U1H15" localSheetId="65">#REF!</definedName>
    <definedName name="U1H15" localSheetId="64">#REF!</definedName>
    <definedName name="U1H15" localSheetId="77">#REF!</definedName>
    <definedName name="U1H15" localSheetId="49">#REF!</definedName>
    <definedName name="U1H15" localSheetId="40">#REF!</definedName>
    <definedName name="U1H15" localSheetId="43">#REF!</definedName>
    <definedName name="U1H15" localSheetId="13">#REF!</definedName>
    <definedName name="U1H15" localSheetId="38">#REF!</definedName>
    <definedName name="U1H15">#REF!</definedName>
    <definedName name="U1H2" localSheetId="3">#REF!</definedName>
    <definedName name="U1H2" localSheetId="7">#REF!</definedName>
    <definedName name="U1H2" localSheetId="9">#REF!</definedName>
    <definedName name="U1H2" localSheetId="10">#REF!</definedName>
    <definedName name="U1H2" localSheetId="15">#REF!</definedName>
    <definedName name="U1H2" localSheetId="19">#REF!</definedName>
    <definedName name="U1H2" localSheetId="20">#REF!</definedName>
    <definedName name="U1H2" localSheetId="24">#REF!</definedName>
    <definedName name="U1H2" localSheetId="104">#REF!</definedName>
    <definedName name="U1H2" localSheetId="65">#REF!</definedName>
    <definedName name="U1H2" localSheetId="64">#REF!</definedName>
    <definedName name="U1H2" localSheetId="77">#REF!</definedName>
    <definedName name="U1H2" localSheetId="49">#REF!</definedName>
    <definedName name="U1H2" localSheetId="40">#REF!</definedName>
    <definedName name="U1H2" localSheetId="43">#REF!</definedName>
    <definedName name="U1H2" localSheetId="13">#REF!</definedName>
    <definedName name="U1H2" localSheetId="38">#REF!</definedName>
    <definedName name="U1H2">#REF!</definedName>
    <definedName name="U1H3" localSheetId="3">#REF!</definedName>
    <definedName name="U1H3" localSheetId="7">#REF!</definedName>
    <definedName name="U1H3" localSheetId="9">#REF!</definedName>
    <definedName name="U1H3" localSheetId="10">#REF!</definedName>
    <definedName name="U1H3" localSheetId="15">#REF!</definedName>
    <definedName name="U1H3" localSheetId="19">#REF!</definedName>
    <definedName name="U1H3" localSheetId="20">#REF!</definedName>
    <definedName name="U1H3" localSheetId="24">#REF!</definedName>
    <definedName name="U1H3" localSheetId="104">#REF!</definedName>
    <definedName name="U1H3" localSheetId="65">#REF!</definedName>
    <definedName name="U1H3" localSheetId="64">#REF!</definedName>
    <definedName name="U1H3" localSheetId="77">#REF!</definedName>
    <definedName name="U1H3" localSheetId="49">#REF!</definedName>
    <definedName name="U1H3" localSheetId="40">#REF!</definedName>
    <definedName name="U1H3" localSheetId="43">#REF!</definedName>
    <definedName name="U1H3" localSheetId="13">#REF!</definedName>
    <definedName name="U1H3" localSheetId="38">#REF!</definedName>
    <definedName name="U1H3">#REF!</definedName>
    <definedName name="U1H4" localSheetId="3">#REF!</definedName>
    <definedName name="U1H4" localSheetId="7">#REF!</definedName>
    <definedName name="U1H4" localSheetId="9">#REF!</definedName>
    <definedName name="U1H4" localSheetId="10">#REF!</definedName>
    <definedName name="U1H4" localSheetId="15">#REF!</definedName>
    <definedName name="U1H4" localSheetId="19">#REF!</definedName>
    <definedName name="U1H4" localSheetId="20">#REF!</definedName>
    <definedName name="U1H4" localSheetId="24">#REF!</definedName>
    <definedName name="U1H4" localSheetId="104">#REF!</definedName>
    <definedName name="U1H4" localSheetId="65">#REF!</definedName>
    <definedName name="U1H4" localSheetId="64">#REF!</definedName>
    <definedName name="U1H4" localSheetId="77">#REF!</definedName>
    <definedName name="U1H4" localSheetId="49">#REF!</definedName>
    <definedName name="U1H4" localSheetId="40">#REF!</definedName>
    <definedName name="U1H4" localSheetId="43">#REF!</definedName>
    <definedName name="U1H4" localSheetId="13">#REF!</definedName>
    <definedName name="U1H4" localSheetId="38">#REF!</definedName>
    <definedName name="U1H4">#REF!</definedName>
    <definedName name="U1H5" localSheetId="3">#REF!</definedName>
    <definedName name="U1H5" localSheetId="7">#REF!</definedName>
    <definedName name="U1H5" localSheetId="9">#REF!</definedName>
    <definedName name="U1H5" localSheetId="10">#REF!</definedName>
    <definedName name="U1H5" localSheetId="15">#REF!</definedName>
    <definedName name="U1H5" localSheetId="19">#REF!</definedName>
    <definedName name="U1H5" localSheetId="20">#REF!</definedName>
    <definedName name="U1H5" localSheetId="24">#REF!</definedName>
    <definedName name="U1H5" localSheetId="104">#REF!</definedName>
    <definedName name="U1H5" localSheetId="65">#REF!</definedName>
    <definedName name="U1H5" localSheetId="64">#REF!</definedName>
    <definedName name="U1H5" localSheetId="77">#REF!</definedName>
    <definedName name="U1H5" localSheetId="49">#REF!</definedName>
    <definedName name="U1H5" localSheetId="40">#REF!</definedName>
    <definedName name="U1H5" localSheetId="43">#REF!</definedName>
    <definedName name="U1H5" localSheetId="13">#REF!</definedName>
    <definedName name="U1H5" localSheetId="38">#REF!</definedName>
    <definedName name="U1H5">#REF!</definedName>
    <definedName name="U1H6" localSheetId="3">#REF!</definedName>
    <definedName name="U1H6" localSheetId="7">#REF!</definedName>
    <definedName name="U1H6" localSheetId="9">#REF!</definedName>
    <definedName name="U1H6" localSheetId="10">#REF!</definedName>
    <definedName name="U1H6" localSheetId="15">#REF!</definedName>
    <definedName name="U1H6" localSheetId="19">#REF!</definedName>
    <definedName name="U1H6" localSheetId="20">#REF!</definedName>
    <definedName name="U1H6" localSheetId="24">#REF!</definedName>
    <definedName name="U1H6" localSheetId="104">#REF!</definedName>
    <definedName name="U1H6" localSheetId="65">#REF!</definedName>
    <definedName name="U1H6" localSheetId="64">#REF!</definedName>
    <definedName name="U1H6" localSheetId="77">#REF!</definedName>
    <definedName name="U1H6" localSheetId="49">#REF!</definedName>
    <definedName name="U1H6" localSheetId="40">#REF!</definedName>
    <definedName name="U1H6" localSheetId="43">#REF!</definedName>
    <definedName name="U1H6" localSheetId="13">#REF!</definedName>
    <definedName name="U1H6" localSheetId="38">#REF!</definedName>
    <definedName name="U1H6">#REF!</definedName>
    <definedName name="U1H7" localSheetId="3">#REF!</definedName>
    <definedName name="U1H7" localSheetId="7">#REF!</definedName>
    <definedName name="U1H7" localSheetId="9">#REF!</definedName>
    <definedName name="U1H7" localSheetId="10">#REF!</definedName>
    <definedName name="U1H7" localSheetId="15">#REF!</definedName>
    <definedName name="U1H7" localSheetId="19">#REF!</definedName>
    <definedName name="U1H7" localSheetId="20">#REF!</definedName>
    <definedName name="U1H7" localSheetId="24">#REF!</definedName>
    <definedName name="U1H7" localSheetId="104">#REF!</definedName>
    <definedName name="U1H7" localSheetId="65">#REF!</definedName>
    <definedName name="U1H7" localSheetId="64">#REF!</definedName>
    <definedName name="U1H7" localSheetId="77">#REF!</definedName>
    <definedName name="U1H7" localSheetId="49">#REF!</definedName>
    <definedName name="U1H7" localSheetId="40">#REF!</definedName>
    <definedName name="U1H7" localSheetId="43">#REF!</definedName>
    <definedName name="U1H7" localSheetId="13">#REF!</definedName>
    <definedName name="U1H7" localSheetId="38">#REF!</definedName>
    <definedName name="U1H7">#REF!</definedName>
    <definedName name="U1H8" localSheetId="3">#REF!</definedName>
    <definedName name="U1H8" localSheetId="7">#REF!</definedName>
    <definedName name="U1H8" localSheetId="9">#REF!</definedName>
    <definedName name="U1H8" localSheetId="10">#REF!</definedName>
    <definedName name="U1H8" localSheetId="15">#REF!</definedName>
    <definedName name="U1H8" localSheetId="19">#REF!</definedName>
    <definedName name="U1H8" localSheetId="20">#REF!</definedName>
    <definedName name="U1H8" localSheetId="24">#REF!</definedName>
    <definedName name="U1H8" localSheetId="104">#REF!</definedName>
    <definedName name="U1H8" localSheetId="65">#REF!</definedName>
    <definedName name="U1H8" localSheetId="64">#REF!</definedName>
    <definedName name="U1H8" localSheetId="77">#REF!</definedName>
    <definedName name="U1H8" localSheetId="49">#REF!</definedName>
    <definedName name="U1H8" localSheetId="40">#REF!</definedName>
    <definedName name="U1H8" localSheetId="43">#REF!</definedName>
    <definedName name="U1H8" localSheetId="13">#REF!</definedName>
    <definedName name="U1H8" localSheetId="38">#REF!</definedName>
    <definedName name="U1H8">#REF!</definedName>
    <definedName name="U1H9" localSheetId="3">#REF!</definedName>
    <definedName name="U1H9" localSheetId="7">#REF!</definedName>
    <definedName name="U1H9" localSheetId="9">#REF!</definedName>
    <definedName name="U1H9" localSheetId="10">#REF!</definedName>
    <definedName name="U1H9" localSheetId="15">#REF!</definedName>
    <definedName name="U1H9" localSheetId="19">#REF!</definedName>
    <definedName name="U1H9" localSheetId="20">#REF!</definedName>
    <definedName name="U1H9" localSheetId="24">#REF!</definedName>
    <definedName name="U1H9" localSheetId="104">#REF!</definedName>
    <definedName name="U1H9" localSheetId="65">#REF!</definedName>
    <definedName name="U1H9" localSheetId="64">#REF!</definedName>
    <definedName name="U1H9" localSheetId="77">#REF!</definedName>
    <definedName name="U1H9" localSheetId="49">#REF!</definedName>
    <definedName name="U1H9" localSheetId="40">#REF!</definedName>
    <definedName name="U1H9" localSheetId="43">#REF!</definedName>
    <definedName name="U1H9" localSheetId="13">#REF!</definedName>
    <definedName name="U1H9" localSheetId="38">#REF!</definedName>
    <definedName name="U1H9">#REF!</definedName>
    <definedName name="U1IH1" localSheetId="3">#REF!</definedName>
    <definedName name="U1IH1" localSheetId="7">#REF!</definedName>
    <definedName name="U1IH1" localSheetId="9">#REF!</definedName>
    <definedName name="U1IH1" localSheetId="10">#REF!</definedName>
    <definedName name="U1IH1" localSheetId="15">#REF!</definedName>
    <definedName name="U1IH1" localSheetId="19">#REF!</definedName>
    <definedName name="U1IH1" localSheetId="20">#REF!</definedName>
    <definedName name="U1IH1" localSheetId="24">#REF!</definedName>
    <definedName name="U1IH1" localSheetId="104">#REF!</definedName>
    <definedName name="U1IH1" localSheetId="65">#REF!</definedName>
    <definedName name="U1IH1" localSheetId="64">#REF!</definedName>
    <definedName name="U1IH1" localSheetId="77">#REF!</definedName>
    <definedName name="U1IH1" localSheetId="49">#REF!</definedName>
    <definedName name="U1IH1" localSheetId="40">#REF!</definedName>
    <definedName name="U1IH1" localSheetId="43">#REF!</definedName>
    <definedName name="U1IH1" localSheetId="13">#REF!</definedName>
    <definedName name="U1IH1" localSheetId="38">#REF!</definedName>
    <definedName name="U1IH1">#REF!</definedName>
    <definedName name="U1IH2" localSheetId="3">#REF!</definedName>
    <definedName name="U1IH2" localSheetId="7">#REF!</definedName>
    <definedName name="U1IH2" localSheetId="9">#REF!</definedName>
    <definedName name="U1IH2" localSheetId="10">#REF!</definedName>
    <definedName name="U1IH2" localSheetId="15">#REF!</definedName>
    <definedName name="U1IH2" localSheetId="19">#REF!</definedName>
    <definedName name="U1IH2" localSheetId="20">#REF!</definedName>
    <definedName name="U1IH2" localSheetId="24">#REF!</definedName>
    <definedName name="U1IH2" localSheetId="104">#REF!</definedName>
    <definedName name="U1IH2" localSheetId="65">#REF!</definedName>
    <definedName name="U1IH2" localSheetId="64">#REF!</definedName>
    <definedName name="U1IH2" localSheetId="77">#REF!</definedName>
    <definedName name="U1IH2" localSheetId="49">#REF!</definedName>
    <definedName name="U1IH2" localSheetId="40">#REF!</definedName>
    <definedName name="U1IH2" localSheetId="43">#REF!</definedName>
    <definedName name="U1IH2" localSheetId="13">#REF!</definedName>
    <definedName name="U1IH2" localSheetId="38">#REF!</definedName>
    <definedName name="U1IH2">#REF!</definedName>
    <definedName name="U1IH3" localSheetId="3">#REF!</definedName>
    <definedName name="U1IH3" localSheetId="7">#REF!</definedName>
    <definedName name="U1IH3" localSheetId="9">#REF!</definedName>
    <definedName name="U1IH3" localSheetId="10">#REF!</definedName>
    <definedName name="U1IH3" localSheetId="15">#REF!</definedName>
    <definedName name="U1IH3" localSheetId="19">#REF!</definedName>
    <definedName name="U1IH3" localSheetId="20">#REF!</definedName>
    <definedName name="U1IH3" localSheetId="24">#REF!</definedName>
    <definedName name="U1IH3" localSheetId="104">#REF!</definedName>
    <definedName name="U1IH3" localSheetId="65">#REF!</definedName>
    <definedName name="U1IH3" localSheetId="64">#REF!</definedName>
    <definedName name="U1IH3" localSheetId="77">#REF!</definedName>
    <definedName name="U1IH3" localSheetId="49">#REF!</definedName>
    <definedName name="U1IH3" localSheetId="40">#REF!</definedName>
    <definedName name="U1IH3" localSheetId="43">#REF!</definedName>
    <definedName name="U1IH3" localSheetId="13">#REF!</definedName>
    <definedName name="U1IH3" localSheetId="38">#REF!</definedName>
    <definedName name="U1IH3">#REF!</definedName>
    <definedName name="U1IH4" localSheetId="3">#REF!</definedName>
    <definedName name="U1IH4" localSheetId="7">#REF!</definedName>
    <definedName name="U1IH4" localSheetId="9">#REF!</definedName>
    <definedName name="U1IH4" localSheetId="10">#REF!</definedName>
    <definedName name="U1IH4" localSheetId="15">#REF!</definedName>
    <definedName name="U1IH4" localSheetId="19">#REF!</definedName>
    <definedName name="U1IH4" localSheetId="20">#REF!</definedName>
    <definedName name="U1IH4" localSheetId="24">#REF!</definedName>
    <definedName name="U1IH4" localSheetId="104">#REF!</definedName>
    <definedName name="U1IH4" localSheetId="65">#REF!</definedName>
    <definedName name="U1IH4" localSheetId="64">#REF!</definedName>
    <definedName name="U1IH4" localSheetId="77">#REF!</definedName>
    <definedName name="U1IH4" localSheetId="49">#REF!</definedName>
    <definedName name="U1IH4" localSheetId="40">#REF!</definedName>
    <definedName name="U1IH4" localSheetId="43">#REF!</definedName>
    <definedName name="U1IH4" localSheetId="13">#REF!</definedName>
    <definedName name="U1IH4" localSheetId="38">#REF!</definedName>
    <definedName name="U1IH4">#REF!</definedName>
    <definedName name="U1IH5" localSheetId="3">#REF!</definedName>
    <definedName name="U1IH5" localSheetId="7">#REF!</definedName>
    <definedName name="U1IH5" localSheetId="9">#REF!</definedName>
    <definedName name="U1IH5" localSheetId="10">#REF!</definedName>
    <definedName name="U1IH5" localSheetId="15">#REF!</definedName>
    <definedName name="U1IH5" localSheetId="19">#REF!</definedName>
    <definedName name="U1IH5" localSheetId="20">#REF!</definedName>
    <definedName name="U1IH5" localSheetId="24">#REF!</definedName>
    <definedName name="U1IH5" localSheetId="104">#REF!</definedName>
    <definedName name="U1IH5" localSheetId="65">#REF!</definedName>
    <definedName name="U1IH5" localSheetId="64">#REF!</definedName>
    <definedName name="U1IH5" localSheetId="77">#REF!</definedName>
    <definedName name="U1IH5" localSheetId="49">#REF!</definedName>
    <definedName name="U1IH5" localSheetId="40">#REF!</definedName>
    <definedName name="U1IH5" localSheetId="43">#REF!</definedName>
    <definedName name="U1IH5" localSheetId="13">#REF!</definedName>
    <definedName name="U1IH5" localSheetId="38">#REF!</definedName>
    <definedName name="U1IH5">#REF!</definedName>
    <definedName name="U2H1" localSheetId="3">#REF!</definedName>
    <definedName name="U2H1" localSheetId="7">#REF!</definedName>
    <definedName name="U2H1" localSheetId="9">#REF!</definedName>
    <definedName name="U2H1" localSheetId="10">#REF!</definedName>
    <definedName name="U2H1" localSheetId="15">#REF!</definedName>
    <definedName name="U2H1" localSheetId="19">#REF!</definedName>
    <definedName name="U2H1" localSheetId="20">#REF!</definedName>
    <definedName name="U2H1" localSheetId="24">#REF!</definedName>
    <definedName name="U2H1" localSheetId="104">#REF!</definedName>
    <definedName name="U2H1" localSheetId="65">#REF!</definedName>
    <definedName name="U2H1" localSheetId="64">#REF!</definedName>
    <definedName name="U2H1" localSheetId="77">#REF!</definedName>
    <definedName name="U2H1" localSheetId="49">#REF!</definedName>
    <definedName name="U2H1" localSheetId="40">#REF!</definedName>
    <definedName name="U2H1" localSheetId="43">#REF!</definedName>
    <definedName name="U2H1" localSheetId="13">#REF!</definedName>
    <definedName name="U2H1" localSheetId="38">#REF!</definedName>
    <definedName name="U2H1">#REF!</definedName>
    <definedName name="U2H10" localSheetId="3">#REF!</definedName>
    <definedName name="U2H10" localSheetId="7">#REF!</definedName>
    <definedName name="U2H10" localSheetId="9">#REF!</definedName>
    <definedName name="U2H10" localSheetId="10">#REF!</definedName>
    <definedName name="U2H10" localSheetId="15">#REF!</definedName>
    <definedName name="U2H10" localSheetId="19">#REF!</definedName>
    <definedName name="U2H10" localSheetId="20">#REF!</definedName>
    <definedName name="U2H10" localSheetId="24">#REF!</definedName>
    <definedName name="U2H10" localSheetId="104">#REF!</definedName>
    <definedName name="U2H10" localSheetId="65">#REF!</definedName>
    <definedName name="U2H10" localSheetId="64">#REF!</definedName>
    <definedName name="U2H10" localSheetId="77">#REF!</definedName>
    <definedName name="U2H10" localSheetId="49">#REF!</definedName>
    <definedName name="U2H10" localSheetId="40">#REF!</definedName>
    <definedName name="U2H10" localSheetId="43">#REF!</definedName>
    <definedName name="U2H10" localSheetId="13">#REF!</definedName>
    <definedName name="U2H10" localSheetId="38">#REF!</definedName>
    <definedName name="U2H10">#REF!</definedName>
    <definedName name="U2H11" localSheetId="3">#REF!</definedName>
    <definedName name="U2H11" localSheetId="7">#REF!</definedName>
    <definedName name="U2H11" localSheetId="9">#REF!</definedName>
    <definedName name="U2H11" localSheetId="10">#REF!</definedName>
    <definedName name="U2H11" localSheetId="15">#REF!</definedName>
    <definedName name="U2H11" localSheetId="19">#REF!</definedName>
    <definedName name="U2H11" localSheetId="20">#REF!</definedName>
    <definedName name="U2H11" localSheetId="24">#REF!</definedName>
    <definedName name="U2H11" localSheetId="104">#REF!</definedName>
    <definedName name="U2H11" localSheetId="65">#REF!</definedName>
    <definedName name="U2H11" localSheetId="64">#REF!</definedName>
    <definedName name="U2H11" localSheetId="77">#REF!</definedName>
    <definedName name="U2H11" localSheetId="49">#REF!</definedName>
    <definedName name="U2H11" localSheetId="40">#REF!</definedName>
    <definedName name="U2H11" localSheetId="43">#REF!</definedName>
    <definedName name="U2H11" localSheetId="13">#REF!</definedName>
    <definedName name="U2H11" localSheetId="38">#REF!</definedName>
    <definedName name="U2H11">#REF!</definedName>
    <definedName name="U2H12" localSheetId="3">#REF!</definedName>
    <definedName name="U2H12" localSheetId="7">#REF!</definedName>
    <definedName name="U2H12" localSheetId="9">#REF!</definedName>
    <definedName name="U2H12" localSheetId="10">#REF!</definedName>
    <definedName name="U2H12" localSheetId="15">#REF!</definedName>
    <definedName name="U2H12" localSheetId="19">#REF!</definedName>
    <definedName name="U2H12" localSheetId="20">#REF!</definedName>
    <definedName name="U2H12" localSheetId="24">#REF!</definedName>
    <definedName name="U2H12" localSheetId="104">#REF!</definedName>
    <definedName name="U2H12" localSheetId="65">#REF!</definedName>
    <definedName name="U2H12" localSheetId="64">#REF!</definedName>
    <definedName name="U2H12" localSheetId="77">#REF!</definedName>
    <definedName name="U2H12" localSheetId="49">#REF!</definedName>
    <definedName name="U2H12" localSheetId="40">#REF!</definedName>
    <definedName name="U2H12" localSheetId="43">#REF!</definedName>
    <definedName name="U2H12" localSheetId="13">#REF!</definedName>
    <definedName name="U2H12" localSheetId="38">#REF!</definedName>
    <definedName name="U2H12">#REF!</definedName>
    <definedName name="U2H13" localSheetId="3">#REF!</definedName>
    <definedName name="U2H13" localSheetId="7">#REF!</definedName>
    <definedName name="U2H13" localSheetId="9">#REF!</definedName>
    <definedName name="U2H13" localSheetId="10">#REF!</definedName>
    <definedName name="U2H13" localSheetId="15">#REF!</definedName>
    <definedName name="U2H13" localSheetId="19">#REF!</definedName>
    <definedName name="U2H13" localSheetId="20">#REF!</definedName>
    <definedName name="U2H13" localSheetId="24">#REF!</definedName>
    <definedName name="U2H13" localSheetId="104">#REF!</definedName>
    <definedName name="U2H13" localSheetId="65">#REF!</definedName>
    <definedName name="U2H13" localSheetId="64">#REF!</definedName>
    <definedName name="U2H13" localSheetId="77">#REF!</definedName>
    <definedName name="U2H13" localSheetId="49">#REF!</definedName>
    <definedName name="U2H13" localSheetId="40">#REF!</definedName>
    <definedName name="U2H13" localSheetId="43">#REF!</definedName>
    <definedName name="U2H13" localSheetId="13">#REF!</definedName>
    <definedName name="U2H13" localSheetId="38">#REF!</definedName>
    <definedName name="U2H13">#REF!</definedName>
    <definedName name="U2H14" localSheetId="3">#REF!</definedName>
    <definedName name="U2H14" localSheetId="7">#REF!</definedName>
    <definedName name="U2H14" localSheetId="9">#REF!</definedName>
    <definedName name="U2H14" localSheetId="10">#REF!</definedName>
    <definedName name="U2H14" localSheetId="15">#REF!</definedName>
    <definedName name="U2H14" localSheetId="19">#REF!</definedName>
    <definedName name="U2H14" localSheetId="20">#REF!</definedName>
    <definedName name="U2H14" localSheetId="24">#REF!</definedName>
    <definedName name="U2H14" localSheetId="104">#REF!</definedName>
    <definedName name="U2H14" localSheetId="65">#REF!</definedName>
    <definedName name="U2H14" localSheetId="64">#REF!</definedName>
    <definedName name="U2H14" localSheetId="77">#REF!</definedName>
    <definedName name="U2H14" localSheetId="49">#REF!</definedName>
    <definedName name="U2H14" localSheetId="40">#REF!</definedName>
    <definedName name="U2H14" localSheetId="43">#REF!</definedName>
    <definedName name="U2H14" localSheetId="13">#REF!</definedName>
    <definedName name="U2H14" localSheetId="38">#REF!</definedName>
    <definedName name="U2H14">#REF!</definedName>
    <definedName name="U2H15" localSheetId="3">#REF!</definedName>
    <definedName name="U2H15" localSheetId="7">#REF!</definedName>
    <definedName name="U2H15" localSheetId="9">#REF!</definedName>
    <definedName name="U2H15" localSheetId="10">#REF!</definedName>
    <definedName name="U2H15" localSheetId="15">#REF!</definedName>
    <definedName name="U2H15" localSheetId="19">#REF!</definedName>
    <definedName name="U2H15" localSheetId="20">#REF!</definedName>
    <definedName name="U2H15" localSheetId="24">#REF!</definedName>
    <definedName name="U2H15" localSheetId="104">#REF!</definedName>
    <definedName name="U2H15" localSheetId="65">#REF!</definedName>
    <definedName name="U2H15" localSheetId="64">#REF!</definedName>
    <definedName name="U2H15" localSheetId="77">#REF!</definedName>
    <definedName name="U2H15" localSheetId="49">#REF!</definedName>
    <definedName name="U2H15" localSheetId="40">#REF!</definedName>
    <definedName name="U2H15" localSheetId="43">#REF!</definedName>
    <definedName name="U2H15" localSheetId="13">#REF!</definedName>
    <definedName name="U2H15" localSheetId="38">#REF!</definedName>
    <definedName name="U2H15">#REF!</definedName>
    <definedName name="U2H2" localSheetId="3">#REF!</definedName>
    <definedName name="U2H2" localSheetId="7">#REF!</definedName>
    <definedName name="U2H2" localSheetId="9">#REF!</definedName>
    <definedName name="U2H2" localSheetId="10">#REF!</definedName>
    <definedName name="U2H2" localSheetId="15">#REF!</definedName>
    <definedName name="U2H2" localSheetId="19">#REF!</definedName>
    <definedName name="U2H2" localSheetId="20">#REF!</definedName>
    <definedName name="U2H2" localSheetId="24">#REF!</definedName>
    <definedName name="U2H2" localSheetId="104">#REF!</definedName>
    <definedName name="U2H2" localSheetId="65">#REF!</definedName>
    <definedName name="U2H2" localSheetId="64">#REF!</definedName>
    <definedName name="U2H2" localSheetId="77">#REF!</definedName>
    <definedName name="U2H2" localSheetId="49">#REF!</definedName>
    <definedName name="U2H2" localSheetId="40">#REF!</definedName>
    <definedName name="U2H2" localSheetId="43">#REF!</definedName>
    <definedName name="U2H2" localSheetId="13">#REF!</definedName>
    <definedName name="U2H2" localSheetId="38">#REF!</definedName>
    <definedName name="U2H2">#REF!</definedName>
    <definedName name="U2H3" localSheetId="3">#REF!</definedName>
    <definedName name="U2H3" localSheetId="7">#REF!</definedName>
    <definedName name="U2H3" localSheetId="9">#REF!</definedName>
    <definedName name="U2H3" localSheetId="10">#REF!</definedName>
    <definedName name="U2H3" localSheetId="15">#REF!</definedName>
    <definedName name="U2H3" localSheetId="19">#REF!</definedName>
    <definedName name="U2H3" localSheetId="20">#REF!</definedName>
    <definedName name="U2H3" localSheetId="24">#REF!</definedName>
    <definedName name="U2H3" localSheetId="104">#REF!</definedName>
    <definedName name="U2H3" localSheetId="65">#REF!</definedName>
    <definedName name="U2H3" localSheetId="64">#REF!</definedName>
    <definedName name="U2H3" localSheetId="77">#REF!</definedName>
    <definedName name="U2H3" localSheetId="49">#REF!</definedName>
    <definedName name="U2H3" localSheetId="40">#REF!</definedName>
    <definedName name="U2H3" localSheetId="43">#REF!</definedName>
    <definedName name="U2H3" localSheetId="13">#REF!</definedName>
    <definedName name="U2H3" localSheetId="38">#REF!</definedName>
    <definedName name="U2H3">#REF!</definedName>
    <definedName name="U2H4" localSheetId="3">#REF!</definedName>
    <definedName name="U2H4" localSheetId="7">#REF!</definedName>
    <definedName name="U2H4" localSheetId="9">#REF!</definedName>
    <definedName name="U2H4" localSheetId="10">#REF!</definedName>
    <definedName name="U2H4" localSheetId="15">#REF!</definedName>
    <definedName name="U2H4" localSheetId="19">#REF!</definedName>
    <definedName name="U2H4" localSheetId="20">#REF!</definedName>
    <definedName name="U2H4" localSheetId="24">#REF!</definedName>
    <definedName name="U2H4" localSheetId="104">#REF!</definedName>
    <definedName name="U2H4" localSheetId="65">#REF!</definedName>
    <definedName name="U2H4" localSheetId="64">#REF!</definedName>
    <definedName name="U2H4" localSheetId="77">#REF!</definedName>
    <definedName name="U2H4" localSheetId="49">#REF!</definedName>
    <definedName name="U2H4" localSheetId="40">#REF!</definedName>
    <definedName name="U2H4" localSheetId="43">#REF!</definedName>
    <definedName name="U2H4" localSheetId="13">#REF!</definedName>
    <definedName name="U2H4" localSheetId="38">#REF!</definedName>
    <definedName name="U2H4">#REF!</definedName>
    <definedName name="U2H5" localSheetId="3">#REF!</definedName>
    <definedName name="U2H5" localSheetId="7">#REF!</definedName>
    <definedName name="U2H5" localSheetId="9">#REF!</definedName>
    <definedName name="U2H5" localSheetId="10">#REF!</definedName>
    <definedName name="U2H5" localSheetId="15">#REF!</definedName>
    <definedName name="U2H5" localSheetId="19">#REF!</definedName>
    <definedName name="U2H5" localSheetId="20">#REF!</definedName>
    <definedName name="U2H5" localSheetId="24">#REF!</definedName>
    <definedName name="U2H5" localSheetId="104">#REF!</definedName>
    <definedName name="U2H5" localSheetId="65">#REF!</definedName>
    <definedName name="U2H5" localSheetId="64">#REF!</definedName>
    <definedName name="U2H5" localSheetId="77">#REF!</definedName>
    <definedName name="U2H5" localSheetId="49">#REF!</definedName>
    <definedName name="U2H5" localSheetId="40">#REF!</definedName>
    <definedName name="U2H5" localSheetId="43">#REF!</definedName>
    <definedName name="U2H5" localSheetId="13">#REF!</definedName>
    <definedName name="U2H5" localSheetId="38">#REF!</definedName>
    <definedName name="U2H5">#REF!</definedName>
    <definedName name="U2H6" localSheetId="3">#REF!</definedName>
    <definedName name="U2H6" localSheetId="7">#REF!</definedName>
    <definedName name="U2H6" localSheetId="9">#REF!</definedName>
    <definedName name="U2H6" localSheetId="10">#REF!</definedName>
    <definedName name="U2H6" localSheetId="15">#REF!</definedName>
    <definedName name="U2H6" localSheetId="19">#REF!</definedName>
    <definedName name="U2H6" localSheetId="20">#REF!</definedName>
    <definedName name="U2H6" localSheetId="24">#REF!</definedName>
    <definedName name="U2H6" localSheetId="104">#REF!</definedName>
    <definedName name="U2H6" localSheetId="65">#REF!</definedName>
    <definedName name="U2H6" localSheetId="64">#REF!</definedName>
    <definedName name="U2H6" localSheetId="77">#REF!</definedName>
    <definedName name="U2H6" localSheetId="49">#REF!</definedName>
    <definedName name="U2H6" localSheetId="40">#REF!</definedName>
    <definedName name="U2H6" localSheetId="43">#REF!</definedName>
    <definedName name="U2H6" localSheetId="13">#REF!</definedName>
    <definedName name="U2H6" localSheetId="38">#REF!</definedName>
    <definedName name="U2H6">#REF!</definedName>
    <definedName name="U2H7" localSheetId="3">#REF!</definedName>
    <definedName name="U2H7" localSheetId="7">#REF!</definedName>
    <definedName name="U2H7" localSheetId="9">#REF!</definedName>
    <definedName name="U2H7" localSheetId="10">#REF!</definedName>
    <definedName name="U2H7" localSheetId="15">#REF!</definedName>
    <definedName name="U2H7" localSheetId="19">#REF!</definedName>
    <definedName name="U2H7" localSheetId="20">#REF!</definedName>
    <definedName name="U2H7" localSheetId="24">#REF!</definedName>
    <definedName name="U2H7" localSheetId="104">#REF!</definedName>
    <definedName name="U2H7" localSheetId="65">#REF!</definedName>
    <definedName name="U2H7" localSheetId="64">#REF!</definedName>
    <definedName name="U2H7" localSheetId="77">#REF!</definedName>
    <definedName name="U2H7" localSheetId="49">#REF!</definedName>
    <definedName name="U2H7" localSheetId="40">#REF!</definedName>
    <definedName name="U2H7" localSheetId="43">#REF!</definedName>
    <definedName name="U2H7" localSheetId="13">#REF!</definedName>
    <definedName name="U2H7" localSheetId="38">#REF!</definedName>
    <definedName name="U2H7">#REF!</definedName>
    <definedName name="U2H8" localSheetId="3">#REF!</definedName>
    <definedName name="U2H8" localSheetId="7">#REF!</definedName>
    <definedName name="U2H8" localSheetId="9">#REF!</definedName>
    <definedName name="U2H8" localSheetId="10">#REF!</definedName>
    <definedName name="U2H8" localSheetId="15">#REF!</definedName>
    <definedName name="U2H8" localSheetId="19">#REF!</definedName>
    <definedName name="U2H8" localSheetId="20">#REF!</definedName>
    <definedName name="U2H8" localSheetId="24">#REF!</definedName>
    <definedName name="U2H8" localSheetId="104">#REF!</definedName>
    <definedName name="U2H8" localSheetId="65">#REF!</definedName>
    <definedName name="U2H8" localSheetId="64">#REF!</definedName>
    <definedName name="U2H8" localSheetId="77">#REF!</definedName>
    <definedName name="U2H8" localSheetId="49">#REF!</definedName>
    <definedName name="U2H8" localSheetId="40">#REF!</definedName>
    <definedName name="U2H8" localSheetId="43">#REF!</definedName>
    <definedName name="U2H8" localSheetId="13">#REF!</definedName>
    <definedName name="U2H8" localSheetId="38">#REF!</definedName>
    <definedName name="U2H8">#REF!</definedName>
    <definedName name="U2H9" localSheetId="3">#REF!</definedName>
    <definedName name="U2H9" localSheetId="7">#REF!</definedName>
    <definedName name="U2H9" localSheetId="9">#REF!</definedName>
    <definedName name="U2H9" localSheetId="10">#REF!</definedName>
    <definedName name="U2H9" localSheetId="15">#REF!</definedName>
    <definedName name="U2H9" localSheetId="19">#REF!</definedName>
    <definedName name="U2H9" localSheetId="20">#REF!</definedName>
    <definedName name="U2H9" localSheetId="24">#REF!</definedName>
    <definedName name="U2H9" localSheetId="104">#REF!</definedName>
    <definedName name="U2H9" localSheetId="65">#REF!</definedName>
    <definedName name="U2H9" localSheetId="64">#REF!</definedName>
    <definedName name="U2H9" localSheetId="77">#REF!</definedName>
    <definedName name="U2H9" localSheetId="49">#REF!</definedName>
    <definedName name="U2H9" localSheetId="40">#REF!</definedName>
    <definedName name="U2H9" localSheetId="43">#REF!</definedName>
    <definedName name="U2H9" localSheetId="13">#REF!</definedName>
    <definedName name="U2H9" localSheetId="38">#REF!</definedName>
    <definedName name="U2H9">#REF!</definedName>
    <definedName name="U2IH1" localSheetId="3">#REF!</definedName>
    <definedName name="U2IH1" localSheetId="7">#REF!</definedName>
    <definedName name="U2IH1" localSheetId="9">#REF!</definedName>
    <definedName name="U2IH1" localSheetId="10">#REF!</definedName>
    <definedName name="U2IH1" localSheetId="15">#REF!</definedName>
    <definedName name="U2IH1" localSheetId="19">#REF!</definedName>
    <definedName name="U2IH1" localSheetId="20">#REF!</definedName>
    <definedName name="U2IH1" localSheetId="24">#REF!</definedName>
    <definedName name="U2IH1" localSheetId="104">#REF!</definedName>
    <definedName name="U2IH1" localSheetId="65">#REF!</definedName>
    <definedName name="U2IH1" localSheetId="64">#REF!</definedName>
    <definedName name="U2IH1" localSheetId="77">#REF!</definedName>
    <definedName name="U2IH1" localSheetId="49">#REF!</definedName>
    <definedName name="U2IH1" localSheetId="40">#REF!</definedName>
    <definedName name="U2IH1" localSheetId="43">#REF!</definedName>
    <definedName name="U2IH1" localSheetId="13">#REF!</definedName>
    <definedName name="U2IH1" localSheetId="38">#REF!</definedName>
    <definedName name="U2IH1">#REF!</definedName>
    <definedName name="U2IH2" localSheetId="3">#REF!</definedName>
    <definedName name="U2IH2" localSheetId="7">#REF!</definedName>
    <definedName name="U2IH2" localSheetId="9">#REF!</definedName>
    <definedName name="U2IH2" localSheetId="10">#REF!</definedName>
    <definedName name="U2IH2" localSheetId="15">#REF!</definedName>
    <definedName name="U2IH2" localSheetId="19">#REF!</definedName>
    <definedName name="U2IH2" localSheetId="20">#REF!</definedName>
    <definedName name="U2IH2" localSheetId="24">#REF!</definedName>
    <definedName name="U2IH2" localSheetId="104">#REF!</definedName>
    <definedName name="U2IH2" localSheetId="65">#REF!</definedName>
    <definedName name="U2IH2" localSheetId="64">#REF!</definedName>
    <definedName name="U2IH2" localSheetId="77">#REF!</definedName>
    <definedName name="U2IH2" localSheetId="49">#REF!</definedName>
    <definedName name="U2IH2" localSheetId="40">#REF!</definedName>
    <definedName name="U2IH2" localSheetId="43">#REF!</definedName>
    <definedName name="U2IH2" localSheetId="13">#REF!</definedName>
    <definedName name="U2IH2" localSheetId="38">#REF!</definedName>
    <definedName name="U2IH2">#REF!</definedName>
    <definedName name="U2IH3" localSheetId="3">#REF!</definedName>
    <definedName name="U2IH3" localSheetId="7">#REF!</definedName>
    <definedName name="U2IH3" localSheetId="9">#REF!</definedName>
    <definedName name="U2IH3" localSheetId="10">#REF!</definedName>
    <definedName name="U2IH3" localSheetId="15">#REF!</definedName>
    <definedName name="U2IH3" localSheetId="19">#REF!</definedName>
    <definedName name="U2IH3" localSheetId="20">#REF!</definedName>
    <definedName name="U2IH3" localSheetId="24">#REF!</definedName>
    <definedName name="U2IH3" localSheetId="104">#REF!</definedName>
    <definedName name="U2IH3" localSheetId="65">#REF!</definedName>
    <definedName name="U2IH3" localSheetId="64">#REF!</definedName>
    <definedName name="U2IH3" localSheetId="77">#REF!</definedName>
    <definedName name="U2IH3" localSheetId="49">#REF!</definedName>
    <definedName name="U2IH3" localSheetId="40">#REF!</definedName>
    <definedName name="U2IH3" localSheetId="43">#REF!</definedName>
    <definedName name="U2IH3" localSheetId="13">#REF!</definedName>
    <definedName name="U2IH3" localSheetId="38">#REF!</definedName>
    <definedName name="U2IH3">#REF!</definedName>
    <definedName name="U2IH4" localSheetId="3">#REF!</definedName>
    <definedName name="U2IH4" localSheetId="7">#REF!</definedName>
    <definedName name="U2IH4" localSheetId="9">#REF!</definedName>
    <definedName name="U2IH4" localSheetId="10">#REF!</definedName>
    <definedName name="U2IH4" localSheetId="15">#REF!</definedName>
    <definedName name="U2IH4" localSheetId="19">#REF!</definedName>
    <definedName name="U2IH4" localSheetId="20">#REF!</definedName>
    <definedName name="U2IH4" localSheetId="24">#REF!</definedName>
    <definedName name="U2IH4" localSheetId="104">#REF!</definedName>
    <definedName name="U2IH4" localSheetId="65">#REF!</definedName>
    <definedName name="U2IH4" localSheetId="64">#REF!</definedName>
    <definedName name="U2IH4" localSheetId="77">#REF!</definedName>
    <definedName name="U2IH4" localSheetId="49">#REF!</definedName>
    <definedName name="U2IH4" localSheetId="40">#REF!</definedName>
    <definedName name="U2IH4" localSheetId="43">#REF!</definedName>
    <definedName name="U2IH4" localSheetId="13">#REF!</definedName>
    <definedName name="U2IH4" localSheetId="38">#REF!</definedName>
    <definedName name="U2IH4">#REF!</definedName>
    <definedName name="U2IH5" localSheetId="3">#REF!</definedName>
    <definedName name="U2IH5" localSheetId="7">#REF!</definedName>
    <definedName name="U2IH5" localSheetId="9">#REF!</definedName>
    <definedName name="U2IH5" localSheetId="10">#REF!</definedName>
    <definedName name="U2IH5" localSheetId="15">#REF!</definedName>
    <definedName name="U2IH5" localSheetId="19">#REF!</definedName>
    <definedName name="U2IH5" localSheetId="20">#REF!</definedName>
    <definedName name="U2IH5" localSheetId="24">#REF!</definedName>
    <definedName name="U2IH5" localSheetId="104">#REF!</definedName>
    <definedName name="U2IH5" localSheetId="65">#REF!</definedName>
    <definedName name="U2IH5" localSheetId="64">#REF!</definedName>
    <definedName name="U2IH5" localSheetId="77">#REF!</definedName>
    <definedName name="U2IH5" localSheetId="49">#REF!</definedName>
    <definedName name="U2IH5" localSheetId="40">#REF!</definedName>
    <definedName name="U2IH5" localSheetId="43">#REF!</definedName>
    <definedName name="U2IH5" localSheetId="13">#REF!</definedName>
    <definedName name="U2IH5" localSheetId="38">#REF!</definedName>
    <definedName name="U2IH5">#REF!</definedName>
    <definedName name="U3H1" localSheetId="3">#REF!</definedName>
    <definedName name="U3H1" localSheetId="7">#REF!</definedName>
    <definedName name="U3H1" localSheetId="9">#REF!</definedName>
    <definedName name="U3H1" localSheetId="10">#REF!</definedName>
    <definedName name="U3H1" localSheetId="15">#REF!</definedName>
    <definedName name="U3H1" localSheetId="19">#REF!</definedName>
    <definedName name="U3H1" localSheetId="20">#REF!</definedName>
    <definedName name="U3H1" localSheetId="24">#REF!</definedName>
    <definedName name="U3H1" localSheetId="104">#REF!</definedName>
    <definedName name="U3H1" localSheetId="65">#REF!</definedName>
    <definedName name="U3H1" localSheetId="64">#REF!</definedName>
    <definedName name="U3H1" localSheetId="77">#REF!</definedName>
    <definedName name="U3H1" localSheetId="49">#REF!</definedName>
    <definedName name="U3H1" localSheetId="40">#REF!</definedName>
    <definedName name="U3H1" localSheetId="43">#REF!</definedName>
    <definedName name="U3H1" localSheetId="13">#REF!</definedName>
    <definedName name="U3H1" localSheetId="38">#REF!</definedName>
    <definedName name="U3H1">#REF!</definedName>
    <definedName name="U3H10" localSheetId="3">#REF!</definedName>
    <definedName name="U3H10" localSheetId="7">#REF!</definedName>
    <definedName name="U3H10" localSheetId="9">#REF!</definedName>
    <definedName name="U3H10" localSheetId="10">#REF!</definedName>
    <definedName name="U3H10" localSheetId="15">#REF!</definedName>
    <definedName name="U3H10" localSheetId="19">#REF!</definedName>
    <definedName name="U3H10" localSheetId="20">#REF!</definedName>
    <definedName name="U3H10" localSheetId="24">#REF!</definedName>
    <definedName name="U3H10" localSheetId="104">#REF!</definedName>
    <definedName name="U3H10" localSheetId="65">#REF!</definedName>
    <definedName name="U3H10" localSheetId="64">#REF!</definedName>
    <definedName name="U3H10" localSheetId="77">#REF!</definedName>
    <definedName name="U3H10" localSheetId="49">#REF!</definedName>
    <definedName name="U3H10" localSheetId="40">#REF!</definedName>
    <definedName name="U3H10" localSheetId="43">#REF!</definedName>
    <definedName name="U3H10" localSheetId="13">#REF!</definedName>
    <definedName name="U3H10" localSheetId="38">#REF!</definedName>
    <definedName name="U3H10">#REF!</definedName>
    <definedName name="U3H11" localSheetId="3">#REF!</definedName>
    <definedName name="U3H11" localSheetId="7">#REF!</definedName>
    <definedName name="U3H11" localSheetId="9">#REF!</definedName>
    <definedName name="U3H11" localSheetId="10">#REF!</definedName>
    <definedName name="U3H11" localSheetId="15">#REF!</definedName>
    <definedName name="U3H11" localSheetId="19">#REF!</definedName>
    <definedName name="U3H11" localSheetId="20">#REF!</definedName>
    <definedName name="U3H11" localSheetId="24">#REF!</definedName>
    <definedName name="U3H11" localSheetId="104">#REF!</definedName>
    <definedName name="U3H11" localSheetId="65">#REF!</definedName>
    <definedName name="U3H11" localSheetId="64">#REF!</definedName>
    <definedName name="U3H11" localSheetId="77">#REF!</definedName>
    <definedName name="U3H11" localSheetId="49">#REF!</definedName>
    <definedName name="U3H11" localSheetId="40">#REF!</definedName>
    <definedName name="U3H11" localSheetId="43">#REF!</definedName>
    <definedName name="U3H11" localSheetId="13">#REF!</definedName>
    <definedName name="U3H11" localSheetId="38">#REF!</definedName>
    <definedName name="U3H11">#REF!</definedName>
    <definedName name="U3H12" localSheetId="3">#REF!</definedName>
    <definedName name="U3H12" localSheetId="7">#REF!</definedName>
    <definedName name="U3H12" localSheetId="9">#REF!</definedName>
    <definedName name="U3H12" localSheetId="10">#REF!</definedName>
    <definedName name="U3H12" localSheetId="15">#REF!</definedName>
    <definedName name="U3H12" localSheetId="19">#REF!</definedName>
    <definedName name="U3H12" localSheetId="20">#REF!</definedName>
    <definedName name="U3H12" localSheetId="24">#REF!</definedName>
    <definedName name="U3H12" localSheetId="104">#REF!</definedName>
    <definedName name="U3H12" localSheetId="65">#REF!</definedName>
    <definedName name="U3H12" localSheetId="64">#REF!</definedName>
    <definedName name="U3H12" localSheetId="77">#REF!</definedName>
    <definedName name="U3H12" localSheetId="49">#REF!</definedName>
    <definedName name="U3H12" localSheetId="40">#REF!</definedName>
    <definedName name="U3H12" localSheetId="43">#REF!</definedName>
    <definedName name="U3H12" localSheetId="13">#REF!</definedName>
    <definedName name="U3H12" localSheetId="38">#REF!</definedName>
    <definedName name="U3H12">#REF!</definedName>
    <definedName name="U3H13" localSheetId="3">#REF!</definedName>
    <definedName name="U3H13" localSheetId="7">#REF!</definedName>
    <definedName name="U3H13" localSheetId="9">#REF!</definedName>
    <definedName name="U3H13" localSheetId="10">#REF!</definedName>
    <definedName name="U3H13" localSheetId="15">#REF!</definedName>
    <definedName name="U3H13" localSheetId="19">#REF!</definedName>
    <definedName name="U3H13" localSheetId="20">#REF!</definedName>
    <definedName name="U3H13" localSheetId="24">#REF!</definedName>
    <definedName name="U3H13" localSheetId="104">#REF!</definedName>
    <definedName name="U3H13" localSheetId="65">#REF!</definedName>
    <definedName name="U3H13" localSheetId="64">#REF!</definedName>
    <definedName name="U3H13" localSheetId="77">#REF!</definedName>
    <definedName name="U3H13" localSheetId="49">#REF!</definedName>
    <definedName name="U3H13" localSheetId="40">#REF!</definedName>
    <definedName name="U3H13" localSheetId="43">#REF!</definedName>
    <definedName name="U3H13" localSheetId="13">#REF!</definedName>
    <definedName name="U3H13" localSheetId="38">#REF!</definedName>
    <definedName name="U3H13">#REF!</definedName>
    <definedName name="U3H14" localSheetId="3">#REF!</definedName>
    <definedName name="U3H14" localSheetId="7">#REF!</definedName>
    <definedName name="U3H14" localSheetId="9">#REF!</definedName>
    <definedName name="U3H14" localSheetId="10">#REF!</definedName>
    <definedName name="U3H14" localSheetId="15">#REF!</definedName>
    <definedName name="U3H14" localSheetId="19">#REF!</definedName>
    <definedName name="U3H14" localSheetId="20">#REF!</definedName>
    <definedName name="U3H14" localSheetId="24">#REF!</definedName>
    <definedName name="U3H14" localSheetId="104">#REF!</definedName>
    <definedName name="U3H14" localSheetId="65">#REF!</definedName>
    <definedName name="U3H14" localSheetId="64">#REF!</definedName>
    <definedName name="U3H14" localSheetId="77">#REF!</definedName>
    <definedName name="U3H14" localSheetId="49">#REF!</definedName>
    <definedName name="U3H14" localSheetId="40">#REF!</definedName>
    <definedName name="U3H14" localSheetId="43">#REF!</definedName>
    <definedName name="U3H14" localSheetId="13">#REF!</definedName>
    <definedName name="U3H14" localSheetId="38">#REF!</definedName>
    <definedName name="U3H14">#REF!</definedName>
    <definedName name="U3H15" localSheetId="3">#REF!</definedName>
    <definedName name="U3H15" localSheetId="7">#REF!</definedName>
    <definedName name="U3H15" localSheetId="9">#REF!</definedName>
    <definedName name="U3H15" localSheetId="10">#REF!</definedName>
    <definedName name="U3H15" localSheetId="15">#REF!</definedName>
    <definedName name="U3H15" localSheetId="19">#REF!</definedName>
    <definedName name="U3H15" localSheetId="20">#REF!</definedName>
    <definedName name="U3H15" localSheetId="24">#REF!</definedName>
    <definedName name="U3H15" localSheetId="104">#REF!</definedName>
    <definedName name="U3H15" localSheetId="65">#REF!</definedName>
    <definedName name="U3H15" localSheetId="64">#REF!</definedName>
    <definedName name="U3H15" localSheetId="77">#REF!</definedName>
    <definedName name="U3H15" localSheetId="49">#REF!</definedName>
    <definedName name="U3H15" localSheetId="40">#REF!</definedName>
    <definedName name="U3H15" localSheetId="43">#REF!</definedName>
    <definedName name="U3H15" localSheetId="13">#REF!</definedName>
    <definedName name="U3H15" localSheetId="38">#REF!</definedName>
    <definedName name="U3H15">#REF!</definedName>
    <definedName name="U3H2" localSheetId="3">#REF!</definedName>
    <definedName name="U3H2" localSheetId="7">#REF!</definedName>
    <definedName name="U3H2" localSheetId="9">#REF!</definedName>
    <definedName name="U3H2" localSheetId="10">#REF!</definedName>
    <definedName name="U3H2" localSheetId="15">#REF!</definedName>
    <definedName name="U3H2" localSheetId="19">#REF!</definedName>
    <definedName name="U3H2" localSheetId="20">#REF!</definedName>
    <definedName name="U3H2" localSheetId="24">#REF!</definedName>
    <definedName name="U3H2" localSheetId="104">#REF!</definedName>
    <definedName name="U3H2" localSheetId="65">#REF!</definedName>
    <definedName name="U3H2" localSheetId="64">#REF!</definedName>
    <definedName name="U3H2" localSheetId="77">#REF!</definedName>
    <definedName name="U3H2" localSheetId="49">#REF!</definedName>
    <definedName name="U3H2" localSheetId="40">#REF!</definedName>
    <definedName name="U3H2" localSheetId="43">#REF!</definedName>
    <definedName name="U3H2" localSheetId="13">#REF!</definedName>
    <definedName name="U3H2" localSheetId="38">#REF!</definedName>
    <definedName name="U3H2">#REF!</definedName>
    <definedName name="U3H3" localSheetId="3">#REF!</definedName>
    <definedName name="U3H3" localSheetId="7">#REF!</definedName>
    <definedName name="U3H3" localSheetId="9">#REF!</definedName>
    <definedName name="U3H3" localSheetId="10">#REF!</definedName>
    <definedName name="U3H3" localSheetId="15">#REF!</definedName>
    <definedName name="U3H3" localSheetId="19">#REF!</definedName>
    <definedName name="U3H3" localSheetId="20">#REF!</definedName>
    <definedName name="U3H3" localSheetId="24">#REF!</definedName>
    <definedName name="U3H3" localSheetId="104">#REF!</definedName>
    <definedName name="U3H3" localSheetId="65">#REF!</definedName>
    <definedName name="U3H3" localSheetId="64">#REF!</definedName>
    <definedName name="U3H3" localSheetId="77">#REF!</definedName>
    <definedName name="U3H3" localSheetId="49">#REF!</definedName>
    <definedName name="U3H3" localSheetId="40">#REF!</definedName>
    <definedName name="U3H3" localSheetId="43">#REF!</definedName>
    <definedName name="U3H3" localSheetId="13">#REF!</definedName>
    <definedName name="U3H3" localSheetId="38">#REF!</definedName>
    <definedName name="U3H3">#REF!</definedName>
    <definedName name="U3H4" localSheetId="3">#REF!</definedName>
    <definedName name="U3H4" localSheetId="7">#REF!</definedName>
    <definedName name="U3H4" localSheetId="9">#REF!</definedName>
    <definedName name="U3H4" localSheetId="10">#REF!</definedName>
    <definedName name="U3H4" localSheetId="15">#REF!</definedName>
    <definedName name="U3H4" localSheetId="19">#REF!</definedName>
    <definedName name="U3H4" localSheetId="20">#REF!</definedName>
    <definedName name="U3H4" localSheetId="24">#REF!</definedName>
    <definedName name="U3H4" localSheetId="104">#REF!</definedName>
    <definedName name="U3H4" localSheetId="65">#REF!</definedName>
    <definedName name="U3H4" localSheetId="64">#REF!</definedName>
    <definedName name="U3H4" localSheetId="77">#REF!</definedName>
    <definedName name="U3H4" localSheetId="49">#REF!</definedName>
    <definedName name="U3H4" localSheetId="40">#REF!</definedName>
    <definedName name="U3H4" localSheetId="43">#REF!</definedName>
    <definedName name="U3H4" localSheetId="13">#REF!</definedName>
    <definedName name="U3H4" localSheetId="38">#REF!</definedName>
    <definedName name="U3H4">#REF!</definedName>
    <definedName name="U3H5" localSheetId="3">#REF!</definedName>
    <definedName name="U3H5" localSheetId="7">#REF!</definedName>
    <definedName name="U3H5" localSheetId="9">#REF!</definedName>
    <definedName name="U3H5" localSheetId="10">#REF!</definedName>
    <definedName name="U3H5" localSheetId="15">#REF!</definedName>
    <definedName name="U3H5" localSheetId="19">#REF!</definedName>
    <definedName name="U3H5" localSheetId="20">#REF!</definedName>
    <definedName name="U3H5" localSheetId="24">#REF!</definedName>
    <definedName name="U3H5" localSheetId="104">#REF!</definedName>
    <definedName name="U3H5" localSheetId="65">#REF!</definedName>
    <definedName name="U3H5" localSheetId="64">#REF!</definedName>
    <definedName name="U3H5" localSheetId="77">#REF!</definedName>
    <definedName name="U3H5" localSheetId="49">#REF!</definedName>
    <definedName name="U3H5" localSheetId="40">#REF!</definedName>
    <definedName name="U3H5" localSheetId="43">#REF!</definedName>
    <definedName name="U3H5" localSheetId="13">#REF!</definedName>
    <definedName name="U3H5" localSheetId="38">#REF!</definedName>
    <definedName name="U3H5">#REF!</definedName>
    <definedName name="U3H6" localSheetId="3">#REF!</definedName>
    <definedName name="U3H6" localSheetId="7">#REF!</definedName>
    <definedName name="U3H6" localSheetId="9">#REF!</definedName>
    <definedName name="U3H6" localSheetId="10">#REF!</definedName>
    <definedName name="U3H6" localSheetId="15">#REF!</definedName>
    <definedName name="U3H6" localSheetId="19">#REF!</definedName>
    <definedName name="U3H6" localSheetId="20">#REF!</definedName>
    <definedName name="U3H6" localSheetId="24">#REF!</definedName>
    <definedName name="U3H6" localSheetId="104">#REF!</definedName>
    <definedName name="U3H6" localSheetId="65">#REF!</definedName>
    <definedName name="U3H6" localSheetId="64">#REF!</definedName>
    <definedName name="U3H6" localSheetId="77">#REF!</definedName>
    <definedName name="U3H6" localSheetId="49">#REF!</definedName>
    <definedName name="U3H6" localSheetId="40">#REF!</definedName>
    <definedName name="U3H6" localSheetId="43">#REF!</definedName>
    <definedName name="U3H6" localSheetId="13">#REF!</definedName>
    <definedName name="U3H6" localSheetId="38">#REF!</definedName>
    <definedName name="U3H6">#REF!</definedName>
    <definedName name="U3H7" localSheetId="3">#REF!</definedName>
    <definedName name="U3H7" localSheetId="7">#REF!</definedName>
    <definedName name="U3H7" localSheetId="9">#REF!</definedName>
    <definedName name="U3H7" localSheetId="10">#REF!</definedName>
    <definedName name="U3H7" localSheetId="15">#REF!</definedName>
    <definedName name="U3H7" localSheetId="19">#REF!</definedName>
    <definedName name="U3H7" localSheetId="20">#REF!</definedName>
    <definedName name="U3H7" localSheetId="24">#REF!</definedName>
    <definedName name="U3H7" localSheetId="104">#REF!</definedName>
    <definedName name="U3H7" localSheetId="65">#REF!</definedName>
    <definedName name="U3H7" localSheetId="64">#REF!</definedName>
    <definedName name="U3H7" localSheetId="77">#REF!</definedName>
    <definedName name="U3H7" localSheetId="49">#REF!</definedName>
    <definedName name="U3H7" localSheetId="40">#REF!</definedName>
    <definedName name="U3H7" localSheetId="43">#REF!</definedName>
    <definedName name="U3H7" localSheetId="13">#REF!</definedName>
    <definedName name="U3H7" localSheetId="38">#REF!</definedName>
    <definedName name="U3H7">#REF!</definedName>
    <definedName name="U3H8" localSheetId="3">#REF!</definedName>
    <definedName name="U3H8" localSheetId="7">#REF!</definedName>
    <definedName name="U3H8" localSheetId="9">#REF!</definedName>
    <definedName name="U3H8" localSheetId="10">#REF!</definedName>
    <definedName name="U3H8" localSheetId="15">#REF!</definedName>
    <definedName name="U3H8" localSheetId="19">#REF!</definedName>
    <definedName name="U3H8" localSheetId="20">#REF!</definedName>
    <definedName name="U3H8" localSheetId="24">#REF!</definedName>
    <definedName name="U3H8" localSheetId="104">#REF!</definedName>
    <definedName name="U3H8" localSheetId="65">#REF!</definedName>
    <definedName name="U3H8" localSheetId="64">#REF!</definedName>
    <definedName name="U3H8" localSheetId="77">#REF!</definedName>
    <definedName name="U3H8" localSheetId="49">#REF!</definedName>
    <definedName name="U3H8" localSheetId="40">#REF!</definedName>
    <definedName name="U3H8" localSheetId="43">#REF!</definedName>
    <definedName name="U3H8" localSheetId="13">#REF!</definedName>
    <definedName name="U3H8" localSheetId="38">#REF!</definedName>
    <definedName name="U3H8">#REF!</definedName>
    <definedName name="U3H9" localSheetId="3">#REF!</definedName>
    <definedName name="U3H9" localSheetId="7">#REF!</definedName>
    <definedName name="U3H9" localSheetId="9">#REF!</definedName>
    <definedName name="U3H9" localSheetId="10">#REF!</definedName>
    <definedName name="U3H9" localSheetId="15">#REF!</definedName>
    <definedName name="U3H9" localSheetId="19">#REF!</definedName>
    <definedName name="U3H9" localSheetId="20">#REF!</definedName>
    <definedName name="U3H9" localSheetId="24">#REF!</definedName>
    <definedName name="U3H9" localSheetId="104">#REF!</definedName>
    <definedName name="U3H9" localSheetId="65">#REF!</definedName>
    <definedName name="U3H9" localSheetId="64">#REF!</definedName>
    <definedName name="U3H9" localSheetId="77">#REF!</definedName>
    <definedName name="U3H9" localSheetId="49">#REF!</definedName>
    <definedName name="U3H9" localSheetId="40">#REF!</definedName>
    <definedName name="U3H9" localSheetId="43">#REF!</definedName>
    <definedName name="U3H9" localSheetId="13">#REF!</definedName>
    <definedName name="U3H9" localSheetId="38">#REF!</definedName>
    <definedName name="U3H9">#REF!</definedName>
    <definedName name="U3IH1" localSheetId="3">#REF!</definedName>
    <definedName name="U3IH1" localSheetId="7">#REF!</definedName>
    <definedName name="U3IH1" localSheetId="9">#REF!</definedName>
    <definedName name="U3IH1" localSheetId="10">#REF!</definedName>
    <definedName name="U3IH1" localSheetId="15">#REF!</definedName>
    <definedName name="U3IH1" localSheetId="19">#REF!</definedName>
    <definedName name="U3IH1" localSheetId="20">#REF!</definedName>
    <definedName name="U3IH1" localSheetId="24">#REF!</definedName>
    <definedName name="U3IH1" localSheetId="104">#REF!</definedName>
    <definedName name="U3IH1" localSheetId="65">#REF!</definedName>
    <definedName name="U3IH1" localSheetId="64">#REF!</definedName>
    <definedName name="U3IH1" localSheetId="77">#REF!</definedName>
    <definedName name="U3IH1" localSheetId="49">#REF!</definedName>
    <definedName name="U3IH1" localSheetId="40">#REF!</definedName>
    <definedName name="U3IH1" localSheetId="43">#REF!</definedName>
    <definedName name="U3IH1" localSheetId="13">#REF!</definedName>
    <definedName name="U3IH1" localSheetId="38">#REF!</definedName>
    <definedName name="U3IH1">#REF!</definedName>
    <definedName name="U3IH2" localSheetId="3">#REF!</definedName>
    <definedName name="U3IH2" localSheetId="7">#REF!</definedName>
    <definedName name="U3IH2" localSheetId="9">#REF!</definedName>
    <definedName name="U3IH2" localSheetId="10">#REF!</definedName>
    <definedName name="U3IH2" localSheetId="15">#REF!</definedName>
    <definedName name="U3IH2" localSheetId="19">#REF!</definedName>
    <definedName name="U3IH2" localSheetId="20">#REF!</definedName>
    <definedName name="U3IH2" localSheetId="24">#REF!</definedName>
    <definedName name="U3IH2" localSheetId="104">#REF!</definedName>
    <definedName name="U3IH2" localSheetId="65">#REF!</definedName>
    <definedName name="U3IH2" localSheetId="64">#REF!</definedName>
    <definedName name="U3IH2" localSheetId="77">#REF!</definedName>
    <definedName name="U3IH2" localSheetId="49">#REF!</definedName>
    <definedName name="U3IH2" localSheetId="40">#REF!</definedName>
    <definedName name="U3IH2" localSheetId="43">#REF!</definedName>
    <definedName name="U3IH2" localSheetId="13">#REF!</definedName>
    <definedName name="U3IH2" localSheetId="38">#REF!</definedName>
    <definedName name="U3IH2">#REF!</definedName>
    <definedName name="U3IH3" localSheetId="3">#REF!</definedName>
    <definedName name="U3IH3" localSheetId="7">#REF!</definedName>
    <definedName name="U3IH3" localSheetId="9">#REF!</definedName>
    <definedName name="U3IH3" localSheetId="10">#REF!</definedName>
    <definedName name="U3IH3" localSheetId="15">#REF!</definedName>
    <definedName name="U3IH3" localSheetId="19">#REF!</definedName>
    <definedName name="U3IH3" localSheetId="20">#REF!</definedName>
    <definedName name="U3IH3" localSheetId="24">#REF!</definedName>
    <definedName name="U3IH3" localSheetId="104">#REF!</definedName>
    <definedName name="U3IH3" localSheetId="65">#REF!</definedName>
    <definedName name="U3IH3" localSheetId="64">#REF!</definedName>
    <definedName name="U3IH3" localSheetId="77">#REF!</definedName>
    <definedName name="U3IH3" localSheetId="49">#REF!</definedName>
    <definedName name="U3IH3" localSheetId="40">#REF!</definedName>
    <definedName name="U3IH3" localSheetId="43">#REF!</definedName>
    <definedName name="U3IH3" localSheetId="13">#REF!</definedName>
    <definedName name="U3IH3" localSheetId="38">#REF!</definedName>
    <definedName name="U3IH3">#REF!</definedName>
    <definedName name="U3IH4" localSheetId="3">#REF!</definedName>
    <definedName name="U3IH4" localSheetId="7">#REF!</definedName>
    <definedName name="U3IH4" localSheetId="9">#REF!</definedName>
    <definedName name="U3IH4" localSheetId="10">#REF!</definedName>
    <definedName name="U3IH4" localSheetId="15">#REF!</definedName>
    <definedName name="U3IH4" localSheetId="19">#REF!</definedName>
    <definedName name="U3IH4" localSheetId="20">#REF!</definedName>
    <definedName name="U3IH4" localSheetId="24">#REF!</definedName>
    <definedName name="U3IH4" localSheetId="104">#REF!</definedName>
    <definedName name="U3IH4" localSheetId="65">#REF!</definedName>
    <definedName name="U3IH4" localSheetId="64">#REF!</definedName>
    <definedName name="U3IH4" localSheetId="77">#REF!</definedName>
    <definedName name="U3IH4" localSheetId="49">#REF!</definedName>
    <definedName name="U3IH4" localSheetId="40">#REF!</definedName>
    <definedName name="U3IH4" localSheetId="43">#REF!</definedName>
    <definedName name="U3IH4" localSheetId="13">#REF!</definedName>
    <definedName name="U3IH4" localSheetId="38">#REF!</definedName>
    <definedName name="U3IH4">#REF!</definedName>
    <definedName name="U3IH5" localSheetId="3">#REF!</definedName>
    <definedName name="U3IH5" localSheetId="7">#REF!</definedName>
    <definedName name="U3IH5" localSheetId="9">#REF!</definedName>
    <definedName name="U3IH5" localSheetId="10">#REF!</definedName>
    <definedName name="U3IH5" localSheetId="15">#REF!</definedName>
    <definedName name="U3IH5" localSheetId="19">#REF!</definedName>
    <definedName name="U3IH5" localSheetId="20">#REF!</definedName>
    <definedName name="U3IH5" localSheetId="24">#REF!</definedName>
    <definedName name="U3IH5" localSheetId="104">#REF!</definedName>
    <definedName name="U3IH5" localSheetId="65">#REF!</definedName>
    <definedName name="U3IH5" localSheetId="64">#REF!</definedName>
    <definedName name="U3IH5" localSheetId="77">#REF!</definedName>
    <definedName name="U3IH5" localSheetId="49">#REF!</definedName>
    <definedName name="U3IH5" localSheetId="40">#REF!</definedName>
    <definedName name="U3IH5" localSheetId="43">#REF!</definedName>
    <definedName name="U3IH5" localSheetId="13">#REF!</definedName>
    <definedName name="U3IH5" localSheetId="38">#REF!</definedName>
    <definedName name="U3IH5">#REF!</definedName>
    <definedName name="U4H1" localSheetId="3">#REF!</definedName>
    <definedName name="U4H1" localSheetId="7">#REF!</definedName>
    <definedName name="U4H1" localSheetId="9">#REF!</definedName>
    <definedName name="U4H1" localSheetId="10">#REF!</definedName>
    <definedName name="U4H1" localSheetId="15">#REF!</definedName>
    <definedName name="U4H1" localSheetId="19">#REF!</definedName>
    <definedName name="U4H1" localSheetId="20">#REF!</definedName>
    <definedName name="U4H1" localSheetId="24">#REF!</definedName>
    <definedName name="U4H1" localSheetId="104">#REF!</definedName>
    <definedName name="U4H1" localSheetId="65">#REF!</definedName>
    <definedName name="U4H1" localSheetId="64">#REF!</definedName>
    <definedName name="U4H1" localSheetId="77">#REF!</definedName>
    <definedName name="U4H1" localSheetId="49">#REF!</definedName>
    <definedName name="U4H1" localSheetId="40">#REF!</definedName>
    <definedName name="U4H1" localSheetId="43">#REF!</definedName>
    <definedName name="U4H1" localSheetId="13">#REF!</definedName>
    <definedName name="U4H1" localSheetId="38">#REF!</definedName>
    <definedName name="U4H1">#REF!</definedName>
    <definedName name="U4H10" localSheetId="3">#REF!</definedName>
    <definedName name="U4H10" localSheetId="7">#REF!</definedName>
    <definedName name="U4H10" localSheetId="9">#REF!</definedName>
    <definedName name="U4H10" localSheetId="10">#REF!</definedName>
    <definedName name="U4H10" localSheetId="15">#REF!</definedName>
    <definedName name="U4H10" localSheetId="19">#REF!</definedName>
    <definedName name="U4H10" localSheetId="20">#REF!</definedName>
    <definedName name="U4H10" localSheetId="24">#REF!</definedName>
    <definedName name="U4H10" localSheetId="104">#REF!</definedName>
    <definedName name="U4H10" localSheetId="65">#REF!</definedName>
    <definedName name="U4H10" localSheetId="64">#REF!</definedName>
    <definedName name="U4H10" localSheetId="77">#REF!</definedName>
    <definedName name="U4H10" localSheetId="49">#REF!</definedName>
    <definedName name="U4H10" localSheetId="40">#REF!</definedName>
    <definedName name="U4H10" localSheetId="43">#REF!</definedName>
    <definedName name="U4H10" localSheetId="13">#REF!</definedName>
    <definedName name="U4H10" localSheetId="38">#REF!</definedName>
    <definedName name="U4H10">#REF!</definedName>
    <definedName name="U4H11" localSheetId="3">#REF!</definedName>
    <definedName name="U4H11" localSheetId="7">#REF!</definedName>
    <definedName name="U4H11" localSheetId="9">#REF!</definedName>
    <definedName name="U4H11" localSheetId="10">#REF!</definedName>
    <definedName name="U4H11" localSheetId="15">#REF!</definedName>
    <definedName name="U4H11" localSheetId="19">#REF!</definedName>
    <definedName name="U4H11" localSheetId="20">#REF!</definedName>
    <definedName name="U4H11" localSheetId="24">#REF!</definedName>
    <definedName name="U4H11" localSheetId="104">#REF!</definedName>
    <definedName name="U4H11" localSheetId="65">#REF!</definedName>
    <definedName name="U4H11" localSheetId="64">#REF!</definedName>
    <definedName name="U4H11" localSheetId="77">#REF!</definedName>
    <definedName name="U4H11" localSheetId="49">#REF!</definedName>
    <definedName name="U4H11" localSheetId="40">#REF!</definedName>
    <definedName name="U4H11" localSheetId="43">#REF!</definedName>
    <definedName name="U4H11" localSheetId="13">#REF!</definedName>
    <definedName name="U4H11" localSheetId="38">#REF!</definedName>
    <definedName name="U4H11">#REF!</definedName>
    <definedName name="U4H12" localSheetId="3">#REF!</definedName>
    <definedName name="U4H12" localSheetId="7">#REF!</definedName>
    <definedName name="U4H12" localSheetId="9">#REF!</definedName>
    <definedName name="U4H12" localSheetId="10">#REF!</definedName>
    <definedName name="U4H12" localSheetId="15">#REF!</definedName>
    <definedName name="U4H12" localSheetId="19">#REF!</definedName>
    <definedName name="U4H12" localSheetId="20">#REF!</definedName>
    <definedName name="U4H12" localSheetId="24">#REF!</definedName>
    <definedName name="U4H12" localSheetId="104">#REF!</definedName>
    <definedName name="U4H12" localSheetId="65">#REF!</definedName>
    <definedName name="U4H12" localSheetId="64">#REF!</definedName>
    <definedName name="U4H12" localSheetId="77">#REF!</definedName>
    <definedName name="U4H12" localSheetId="49">#REF!</definedName>
    <definedName name="U4H12" localSheetId="40">#REF!</definedName>
    <definedName name="U4H12" localSheetId="43">#REF!</definedName>
    <definedName name="U4H12" localSheetId="13">#REF!</definedName>
    <definedName name="U4H12" localSheetId="38">#REF!</definedName>
    <definedName name="U4H12">#REF!</definedName>
    <definedName name="U4H13" localSheetId="3">#REF!</definedName>
    <definedName name="U4H13" localSheetId="7">#REF!</definedName>
    <definedName name="U4H13" localSheetId="9">#REF!</definedName>
    <definedName name="U4H13" localSheetId="10">#REF!</definedName>
    <definedName name="U4H13" localSheetId="15">#REF!</definedName>
    <definedName name="U4H13" localSheetId="19">#REF!</definedName>
    <definedName name="U4H13" localSheetId="20">#REF!</definedName>
    <definedName name="U4H13" localSheetId="24">#REF!</definedName>
    <definedName name="U4H13" localSheetId="104">#REF!</definedName>
    <definedName name="U4H13" localSheetId="65">#REF!</definedName>
    <definedName name="U4H13" localSheetId="64">#REF!</definedName>
    <definedName name="U4H13" localSheetId="77">#REF!</definedName>
    <definedName name="U4H13" localSheetId="49">#REF!</definedName>
    <definedName name="U4H13" localSheetId="40">#REF!</definedName>
    <definedName name="U4H13" localSheetId="43">#REF!</definedName>
    <definedName name="U4H13" localSheetId="13">#REF!</definedName>
    <definedName name="U4H13" localSheetId="38">#REF!</definedName>
    <definedName name="U4H13">#REF!</definedName>
    <definedName name="U4H14" localSheetId="3">#REF!</definedName>
    <definedName name="U4H14" localSheetId="7">#REF!</definedName>
    <definedName name="U4H14" localSheetId="9">#REF!</definedName>
    <definedName name="U4H14" localSheetId="10">#REF!</definedName>
    <definedName name="U4H14" localSheetId="15">#REF!</definedName>
    <definedName name="U4H14" localSheetId="19">#REF!</definedName>
    <definedName name="U4H14" localSheetId="20">#REF!</definedName>
    <definedName name="U4H14" localSheetId="24">#REF!</definedName>
    <definedName name="U4H14" localSheetId="104">#REF!</definedName>
    <definedName name="U4H14" localSheetId="65">#REF!</definedName>
    <definedName name="U4H14" localSheetId="64">#REF!</definedName>
    <definedName name="U4H14" localSheetId="77">#REF!</definedName>
    <definedName name="U4H14" localSheetId="49">#REF!</definedName>
    <definedName name="U4H14" localSheetId="40">#REF!</definedName>
    <definedName name="U4H14" localSheetId="43">#REF!</definedName>
    <definedName name="U4H14" localSheetId="13">#REF!</definedName>
    <definedName name="U4H14" localSheetId="38">#REF!</definedName>
    <definedName name="U4H14">#REF!</definedName>
    <definedName name="U4H15" localSheetId="3">#REF!</definedName>
    <definedName name="U4H15" localSheetId="7">#REF!</definedName>
    <definedName name="U4H15" localSheetId="9">#REF!</definedName>
    <definedName name="U4H15" localSheetId="10">#REF!</definedName>
    <definedName name="U4H15" localSheetId="15">#REF!</definedName>
    <definedName name="U4H15" localSheetId="19">#REF!</definedName>
    <definedName name="U4H15" localSheetId="20">#REF!</definedName>
    <definedName name="U4H15" localSheetId="24">#REF!</definedName>
    <definedName name="U4H15" localSheetId="104">#REF!</definedName>
    <definedName name="U4H15" localSheetId="65">#REF!</definedName>
    <definedName name="U4H15" localSheetId="64">#REF!</definedName>
    <definedName name="U4H15" localSheetId="77">#REF!</definedName>
    <definedName name="U4H15" localSheetId="49">#REF!</definedName>
    <definedName name="U4H15" localSheetId="40">#REF!</definedName>
    <definedName name="U4H15" localSheetId="43">#REF!</definedName>
    <definedName name="U4H15" localSheetId="13">#REF!</definedName>
    <definedName name="U4H15" localSheetId="38">#REF!</definedName>
    <definedName name="U4H15">#REF!</definedName>
    <definedName name="U4H2" localSheetId="3">#REF!</definedName>
    <definedName name="U4H2" localSheetId="7">#REF!</definedName>
    <definedName name="U4H2" localSheetId="9">#REF!</definedName>
    <definedName name="U4H2" localSheetId="10">#REF!</definedName>
    <definedName name="U4H2" localSheetId="15">#REF!</definedName>
    <definedName name="U4H2" localSheetId="19">#REF!</definedName>
    <definedName name="U4H2" localSheetId="20">#REF!</definedName>
    <definedName name="U4H2" localSheetId="24">#REF!</definedName>
    <definedName name="U4H2" localSheetId="104">#REF!</definedName>
    <definedName name="U4H2" localSheetId="65">#REF!</definedName>
    <definedName name="U4H2" localSheetId="64">#REF!</definedName>
    <definedName name="U4H2" localSheetId="77">#REF!</definedName>
    <definedName name="U4H2" localSheetId="49">#REF!</definedName>
    <definedName name="U4H2" localSheetId="40">#REF!</definedName>
    <definedName name="U4H2" localSheetId="43">#REF!</definedName>
    <definedName name="U4H2" localSheetId="13">#REF!</definedName>
    <definedName name="U4H2" localSheetId="38">#REF!</definedName>
    <definedName name="U4H2">#REF!</definedName>
    <definedName name="U4H3" localSheetId="3">#REF!</definedName>
    <definedName name="U4H3" localSheetId="7">#REF!</definedName>
    <definedName name="U4H3" localSheetId="9">#REF!</definedName>
    <definedName name="U4H3" localSheetId="10">#REF!</definedName>
    <definedName name="U4H3" localSheetId="15">#REF!</definedName>
    <definedName name="U4H3" localSheetId="19">#REF!</definedName>
    <definedName name="U4H3" localSheetId="20">#REF!</definedName>
    <definedName name="U4H3" localSheetId="24">#REF!</definedName>
    <definedName name="U4H3" localSheetId="104">#REF!</definedName>
    <definedName name="U4H3" localSheetId="65">#REF!</definedName>
    <definedName name="U4H3" localSheetId="64">#REF!</definedName>
    <definedName name="U4H3" localSheetId="77">#REF!</definedName>
    <definedName name="U4H3" localSheetId="49">#REF!</definedName>
    <definedName name="U4H3" localSheetId="40">#REF!</definedName>
    <definedName name="U4H3" localSheetId="43">#REF!</definedName>
    <definedName name="U4H3" localSheetId="13">#REF!</definedName>
    <definedName name="U4H3" localSheetId="38">#REF!</definedName>
    <definedName name="U4H3">#REF!</definedName>
    <definedName name="U4H4" localSheetId="3">#REF!</definedName>
    <definedName name="U4H4" localSheetId="7">#REF!</definedName>
    <definedName name="U4H4" localSheetId="9">#REF!</definedName>
    <definedName name="U4H4" localSheetId="10">#REF!</definedName>
    <definedName name="U4H4" localSheetId="15">#REF!</definedName>
    <definedName name="U4H4" localSheetId="19">#REF!</definedName>
    <definedName name="U4H4" localSheetId="20">#REF!</definedName>
    <definedName name="U4H4" localSheetId="24">#REF!</definedName>
    <definedName name="U4H4" localSheetId="104">#REF!</definedName>
    <definedName name="U4H4" localSheetId="65">#REF!</definedName>
    <definedName name="U4H4" localSheetId="64">#REF!</definedName>
    <definedName name="U4H4" localSheetId="77">#REF!</definedName>
    <definedName name="U4H4" localSheetId="49">#REF!</definedName>
    <definedName name="U4H4" localSheetId="40">#REF!</definedName>
    <definedName name="U4H4" localSheetId="43">#REF!</definedName>
    <definedName name="U4H4" localSheetId="13">#REF!</definedName>
    <definedName name="U4H4" localSheetId="38">#REF!</definedName>
    <definedName name="U4H4">#REF!</definedName>
    <definedName name="U4H5" localSheetId="3">#REF!</definedName>
    <definedName name="U4H5" localSheetId="7">#REF!</definedName>
    <definedName name="U4H5" localSheetId="9">#REF!</definedName>
    <definedName name="U4H5" localSheetId="10">#REF!</definedName>
    <definedName name="U4H5" localSheetId="15">#REF!</definedName>
    <definedName name="U4H5" localSheetId="19">#REF!</definedName>
    <definedName name="U4H5" localSheetId="20">#REF!</definedName>
    <definedName name="U4H5" localSheetId="24">#REF!</definedName>
    <definedName name="U4H5" localSheetId="104">#REF!</definedName>
    <definedName name="U4H5" localSheetId="65">#REF!</definedName>
    <definedName name="U4H5" localSheetId="64">#REF!</definedName>
    <definedName name="U4H5" localSheetId="77">#REF!</definedName>
    <definedName name="U4H5" localSheetId="49">#REF!</definedName>
    <definedName name="U4H5" localSheetId="40">#REF!</definedName>
    <definedName name="U4H5" localSheetId="43">#REF!</definedName>
    <definedName name="U4H5" localSheetId="13">#REF!</definedName>
    <definedName name="U4H5" localSheetId="38">#REF!</definedName>
    <definedName name="U4H5">#REF!</definedName>
    <definedName name="U4H6" localSheetId="3">#REF!</definedName>
    <definedName name="U4H6" localSheetId="7">#REF!</definedName>
    <definedName name="U4H6" localSheetId="9">#REF!</definedName>
    <definedName name="U4H6" localSheetId="10">#REF!</definedName>
    <definedName name="U4H6" localSheetId="15">#REF!</definedName>
    <definedName name="U4H6" localSheetId="19">#REF!</definedName>
    <definedName name="U4H6" localSheetId="20">#REF!</definedName>
    <definedName name="U4H6" localSheetId="24">#REF!</definedName>
    <definedName name="U4H6" localSheetId="104">#REF!</definedName>
    <definedName name="U4H6" localSheetId="65">#REF!</definedName>
    <definedName name="U4H6" localSheetId="64">#REF!</definedName>
    <definedName name="U4H6" localSheetId="77">#REF!</definedName>
    <definedName name="U4H6" localSheetId="49">#REF!</definedName>
    <definedName name="U4H6" localSheetId="40">#REF!</definedName>
    <definedName name="U4H6" localSheetId="43">#REF!</definedName>
    <definedName name="U4H6" localSheetId="13">#REF!</definedName>
    <definedName name="U4H6" localSheetId="38">#REF!</definedName>
    <definedName name="U4H6">#REF!</definedName>
    <definedName name="U4H7" localSheetId="3">#REF!</definedName>
    <definedName name="U4H7" localSheetId="7">#REF!</definedName>
    <definedName name="U4H7" localSheetId="9">#REF!</definedName>
    <definedName name="U4H7" localSheetId="10">#REF!</definedName>
    <definedName name="U4H7" localSheetId="15">#REF!</definedName>
    <definedName name="U4H7" localSheetId="19">#REF!</definedName>
    <definedName name="U4H7" localSheetId="20">#REF!</definedName>
    <definedName name="U4H7" localSheetId="24">#REF!</definedName>
    <definedName name="U4H7" localSheetId="104">#REF!</definedName>
    <definedName name="U4H7" localSheetId="65">#REF!</definedName>
    <definedName name="U4H7" localSheetId="64">#REF!</definedName>
    <definedName name="U4H7" localSheetId="77">#REF!</definedName>
    <definedName name="U4H7" localSheetId="49">#REF!</definedName>
    <definedName name="U4H7" localSheetId="40">#REF!</definedName>
    <definedName name="U4H7" localSheetId="43">#REF!</definedName>
    <definedName name="U4H7" localSheetId="13">#REF!</definedName>
    <definedName name="U4H7" localSheetId="38">#REF!</definedName>
    <definedName name="U4H7">#REF!</definedName>
    <definedName name="U4H8" localSheetId="3">#REF!</definedName>
    <definedName name="U4H8" localSheetId="7">#REF!</definedName>
    <definedName name="U4H8" localSheetId="9">#REF!</definedName>
    <definedName name="U4H8" localSheetId="10">#REF!</definedName>
    <definedName name="U4H8" localSheetId="15">#REF!</definedName>
    <definedName name="U4H8" localSheetId="19">#REF!</definedName>
    <definedName name="U4H8" localSheetId="20">#REF!</definedName>
    <definedName name="U4H8" localSheetId="24">#REF!</definedName>
    <definedName name="U4H8" localSheetId="104">#REF!</definedName>
    <definedName name="U4H8" localSheetId="65">#REF!</definedName>
    <definedName name="U4H8" localSheetId="64">#REF!</definedName>
    <definedName name="U4H8" localSheetId="77">#REF!</definedName>
    <definedName name="U4H8" localSheetId="49">#REF!</definedName>
    <definedName name="U4H8" localSheetId="40">#REF!</definedName>
    <definedName name="U4H8" localSheetId="43">#REF!</definedName>
    <definedName name="U4H8" localSheetId="13">#REF!</definedName>
    <definedName name="U4H8" localSheetId="38">#REF!</definedName>
    <definedName name="U4H8">#REF!</definedName>
    <definedName name="U4H9" localSheetId="3">#REF!</definedName>
    <definedName name="U4H9" localSheetId="7">#REF!</definedName>
    <definedName name="U4H9" localSheetId="9">#REF!</definedName>
    <definedName name="U4H9" localSheetId="10">#REF!</definedName>
    <definedName name="U4H9" localSheetId="15">#REF!</definedName>
    <definedName name="U4H9" localSheetId="19">#REF!</definedName>
    <definedName name="U4H9" localSheetId="20">#REF!</definedName>
    <definedName name="U4H9" localSheetId="24">#REF!</definedName>
    <definedName name="U4H9" localSheetId="104">#REF!</definedName>
    <definedName name="U4H9" localSheetId="65">#REF!</definedName>
    <definedName name="U4H9" localSheetId="64">#REF!</definedName>
    <definedName name="U4H9" localSheetId="77">#REF!</definedName>
    <definedName name="U4H9" localSheetId="49">#REF!</definedName>
    <definedName name="U4H9" localSheetId="40">#REF!</definedName>
    <definedName name="U4H9" localSheetId="43">#REF!</definedName>
    <definedName name="U4H9" localSheetId="13">#REF!</definedName>
    <definedName name="U4H9" localSheetId="38">#REF!</definedName>
    <definedName name="U4H9">#REF!</definedName>
    <definedName name="U4IH1" localSheetId="3">#REF!</definedName>
    <definedName name="U4IH1" localSheetId="7">#REF!</definedName>
    <definedName name="U4IH1" localSheetId="9">#REF!</definedName>
    <definedName name="U4IH1" localSheetId="10">#REF!</definedName>
    <definedName name="U4IH1" localSheetId="15">#REF!</definedName>
    <definedName name="U4IH1" localSheetId="19">#REF!</definedName>
    <definedName name="U4IH1" localSheetId="20">#REF!</definedName>
    <definedName name="U4IH1" localSheetId="24">#REF!</definedName>
    <definedName name="U4IH1" localSheetId="104">#REF!</definedName>
    <definedName name="U4IH1" localSheetId="65">#REF!</definedName>
    <definedName name="U4IH1" localSheetId="64">#REF!</definedName>
    <definedName name="U4IH1" localSheetId="77">#REF!</definedName>
    <definedName name="U4IH1" localSheetId="49">#REF!</definedName>
    <definedName name="U4IH1" localSheetId="40">#REF!</definedName>
    <definedName name="U4IH1" localSheetId="43">#REF!</definedName>
    <definedName name="U4IH1" localSheetId="13">#REF!</definedName>
    <definedName name="U4IH1" localSheetId="38">#REF!</definedName>
    <definedName name="U4IH1">#REF!</definedName>
    <definedName name="U4IH2" localSheetId="3">#REF!</definedName>
    <definedName name="U4IH2" localSheetId="7">#REF!</definedName>
    <definedName name="U4IH2" localSheetId="9">#REF!</definedName>
    <definedName name="U4IH2" localSheetId="10">#REF!</definedName>
    <definedName name="U4IH2" localSheetId="15">#REF!</definedName>
    <definedName name="U4IH2" localSheetId="19">#REF!</definedName>
    <definedName name="U4IH2" localSheetId="20">#REF!</definedName>
    <definedName name="U4IH2" localSheetId="24">#REF!</definedName>
    <definedName name="U4IH2" localSheetId="104">#REF!</definedName>
    <definedName name="U4IH2" localSheetId="65">#REF!</definedName>
    <definedName name="U4IH2" localSheetId="64">#REF!</definedName>
    <definedName name="U4IH2" localSheetId="77">#REF!</definedName>
    <definedName name="U4IH2" localSheetId="49">#REF!</definedName>
    <definedName name="U4IH2" localSheetId="40">#REF!</definedName>
    <definedName name="U4IH2" localSheetId="43">#REF!</definedName>
    <definedName name="U4IH2" localSheetId="13">#REF!</definedName>
    <definedName name="U4IH2" localSheetId="38">#REF!</definedName>
    <definedName name="U4IH2">#REF!</definedName>
    <definedName name="U4IH3" localSheetId="3">#REF!</definedName>
    <definedName name="U4IH3" localSheetId="7">#REF!</definedName>
    <definedName name="U4IH3" localSheetId="9">#REF!</definedName>
    <definedName name="U4IH3" localSheetId="10">#REF!</definedName>
    <definedName name="U4IH3" localSheetId="15">#REF!</definedName>
    <definedName name="U4IH3" localSheetId="19">#REF!</definedName>
    <definedName name="U4IH3" localSheetId="20">#REF!</definedName>
    <definedName name="U4IH3" localSheetId="24">#REF!</definedName>
    <definedName name="U4IH3" localSheetId="104">#REF!</definedName>
    <definedName name="U4IH3" localSheetId="65">#REF!</definedName>
    <definedName name="U4IH3" localSheetId="64">#REF!</definedName>
    <definedName name="U4IH3" localSheetId="77">#REF!</definedName>
    <definedName name="U4IH3" localSheetId="49">#REF!</definedName>
    <definedName name="U4IH3" localSheetId="40">#REF!</definedName>
    <definedName name="U4IH3" localSheetId="43">#REF!</definedName>
    <definedName name="U4IH3" localSheetId="13">#REF!</definedName>
    <definedName name="U4IH3" localSheetId="38">#REF!</definedName>
    <definedName name="U4IH3">#REF!</definedName>
    <definedName name="U4IH4" localSheetId="3">#REF!</definedName>
    <definedName name="U4IH4" localSheetId="7">#REF!</definedName>
    <definedName name="U4IH4" localSheetId="9">#REF!</definedName>
    <definedName name="U4IH4" localSheetId="10">#REF!</definedName>
    <definedName name="U4IH4" localSheetId="15">#REF!</definedName>
    <definedName name="U4IH4" localSheetId="19">#REF!</definedName>
    <definedName name="U4IH4" localSheetId="20">#REF!</definedName>
    <definedName name="U4IH4" localSheetId="24">#REF!</definedName>
    <definedName name="U4IH4" localSheetId="104">#REF!</definedName>
    <definedName name="U4IH4" localSheetId="65">#REF!</definedName>
    <definedName name="U4IH4" localSheetId="64">#REF!</definedName>
    <definedName name="U4IH4" localSheetId="77">#REF!</definedName>
    <definedName name="U4IH4" localSheetId="49">#REF!</definedName>
    <definedName name="U4IH4" localSheetId="40">#REF!</definedName>
    <definedName name="U4IH4" localSheetId="43">#REF!</definedName>
    <definedName name="U4IH4" localSheetId="13">#REF!</definedName>
    <definedName name="U4IH4" localSheetId="38">#REF!</definedName>
    <definedName name="U4IH4">#REF!</definedName>
    <definedName name="U4IH5" localSheetId="3">#REF!</definedName>
    <definedName name="U4IH5" localSheetId="7">#REF!</definedName>
    <definedName name="U4IH5" localSheetId="9">#REF!</definedName>
    <definedName name="U4IH5" localSheetId="10">#REF!</definedName>
    <definedName name="U4IH5" localSheetId="15">#REF!</definedName>
    <definedName name="U4IH5" localSheetId="19">#REF!</definedName>
    <definedName name="U4IH5" localSheetId="20">#REF!</definedName>
    <definedName name="U4IH5" localSheetId="24">#REF!</definedName>
    <definedName name="U4IH5" localSheetId="104">#REF!</definedName>
    <definedName name="U4IH5" localSheetId="65">#REF!</definedName>
    <definedName name="U4IH5" localSheetId="64">#REF!</definedName>
    <definedName name="U4IH5" localSheetId="77">#REF!</definedName>
    <definedName name="U4IH5" localSheetId="49">#REF!</definedName>
    <definedName name="U4IH5" localSheetId="40">#REF!</definedName>
    <definedName name="U4IH5" localSheetId="43">#REF!</definedName>
    <definedName name="U4IH5" localSheetId="13">#REF!</definedName>
    <definedName name="U4IH5" localSheetId="38">#REF!</definedName>
    <definedName name="U4IH5">#REF!</definedName>
    <definedName name="U5H1" localSheetId="3">#REF!</definedName>
    <definedName name="U5H1" localSheetId="7">#REF!</definedName>
    <definedName name="U5H1" localSheetId="9">#REF!</definedName>
    <definedName name="U5H1" localSheetId="10">#REF!</definedName>
    <definedName name="U5H1" localSheetId="15">#REF!</definedName>
    <definedName name="U5H1" localSheetId="19">#REF!</definedName>
    <definedName name="U5H1" localSheetId="20">#REF!</definedName>
    <definedName name="U5H1" localSheetId="24">#REF!</definedName>
    <definedName name="U5H1" localSheetId="104">#REF!</definedName>
    <definedName name="U5H1" localSheetId="65">#REF!</definedName>
    <definedName name="U5H1" localSheetId="64">#REF!</definedName>
    <definedName name="U5H1" localSheetId="77">#REF!</definedName>
    <definedName name="U5H1" localSheetId="49">#REF!</definedName>
    <definedName name="U5H1" localSheetId="40">#REF!</definedName>
    <definedName name="U5H1" localSheetId="43">#REF!</definedName>
    <definedName name="U5H1" localSheetId="13">#REF!</definedName>
    <definedName name="U5H1" localSheetId="38">#REF!</definedName>
    <definedName name="U5H1">#REF!</definedName>
    <definedName name="U5H10" localSheetId="3">#REF!</definedName>
    <definedName name="U5H10" localSheetId="7">#REF!</definedName>
    <definedName name="U5H10" localSheetId="9">#REF!</definedName>
    <definedName name="U5H10" localSheetId="10">#REF!</definedName>
    <definedName name="U5H10" localSheetId="15">#REF!</definedName>
    <definedName name="U5H10" localSheetId="19">#REF!</definedName>
    <definedName name="U5H10" localSheetId="20">#REF!</definedName>
    <definedName name="U5H10" localSheetId="24">#REF!</definedName>
    <definedName name="U5H10" localSheetId="104">#REF!</definedName>
    <definedName name="U5H10" localSheetId="65">#REF!</definedName>
    <definedName name="U5H10" localSheetId="64">#REF!</definedName>
    <definedName name="U5H10" localSheetId="77">#REF!</definedName>
    <definedName name="U5H10" localSheetId="49">#REF!</definedName>
    <definedName name="U5H10" localSheetId="40">#REF!</definedName>
    <definedName name="U5H10" localSheetId="43">#REF!</definedName>
    <definedName name="U5H10" localSheetId="13">#REF!</definedName>
    <definedName name="U5H10" localSheetId="38">#REF!</definedName>
    <definedName name="U5H10">#REF!</definedName>
    <definedName name="U5H11" localSheetId="3">#REF!</definedName>
    <definedName name="U5H11" localSheetId="7">#REF!</definedName>
    <definedName name="U5H11" localSheetId="9">#REF!</definedName>
    <definedName name="U5H11" localSheetId="10">#REF!</definedName>
    <definedName name="U5H11" localSheetId="15">#REF!</definedName>
    <definedName name="U5H11" localSheetId="19">#REF!</definedName>
    <definedName name="U5H11" localSheetId="20">#REF!</definedName>
    <definedName name="U5H11" localSheetId="24">#REF!</definedName>
    <definedName name="U5H11" localSheetId="104">#REF!</definedName>
    <definedName name="U5H11" localSheetId="65">#REF!</definedName>
    <definedName name="U5H11" localSheetId="64">#REF!</definedName>
    <definedName name="U5H11" localSheetId="77">#REF!</definedName>
    <definedName name="U5H11" localSheetId="49">#REF!</definedName>
    <definedName name="U5H11" localSheetId="40">#REF!</definedName>
    <definedName name="U5H11" localSheetId="43">#REF!</definedName>
    <definedName name="U5H11" localSheetId="13">#REF!</definedName>
    <definedName name="U5H11" localSheetId="38">#REF!</definedName>
    <definedName name="U5H11">#REF!</definedName>
    <definedName name="U5H12" localSheetId="3">#REF!</definedName>
    <definedName name="U5H12" localSheetId="7">#REF!</definedName>
    <definedName name="U5H12" localSheetId="9">#REF!</definedName>
    <definedName name="U5H12" localSheetId="10">#REF!</definedName>
    <definedName name="U5H12" localSheetId="15">#REF!</definedName>
    <definedName name="U5H12" localSheetId="19">#REF!</definedName>
    <definedName name="U5H12" localSheetId="20">#REF!</definedName>
    <definedName name="U5H12" localSheetId="24">#REF!</definedName>
    <definedName name="U5H12" localSheetId="104">#REF!</definedName>
    <definedName name="U5H12" localSheetId="65">#REF!</definedName>
    <definedName name="U5H12" localSheetId="64">#REF!</definedName>
    <definedName name="U5H12" localSheetId="77">#REF!</definedName>
    <definedName name="U5H12" localSheetId="49">#REF!</definedName>
    <definedName name="U5H12" localSheetId="40">#REF!</definedName>
    <definedName name="U5H12" localSheetId="43">#REF!</definedName>
    <definedName name="U5H12" localSheetId="13">#REF!</definedName>
    <definedName name="U5H12" localSheetId="38">#REF!</definedName>
    <definedName name="U5H12">#REF!</definedName>
    <definedName name="U5H13" localSheetId="3">#REF!</definedName>
    <definedName name="U5H13" localSheetId="7">#REF!</definedName>
    <definedName name="U5H13" localSheetId="9">#REF!</definedName>
    <definedName name="U5H13" localSheetId="10">#REF!</definedName>
    <definedName name="U5H13" localSheetId="15">#REF!</definedName>
    <definedName name="U5H13" localSheetId="19">#REF!</definedName>
    <definedName name="U5H13" localSheetId="20">#REF!</definedName>
    <definedName name="U5H13" localSheetId="24">#REF!</definedName>
    <definedName name="U5H13" localSheetId="104">#REF!</definedName>
    <definedName name="U5H13" localSheetId="65">#REF!</definedName>
    <definedName name="U5H13" localSheetId="64">#REF!</definedName>
    <definedName name="U5H13" localSheetId="77">#REF!</definedName>
    <definedName name="U5H13" localSheetId="49">#REF!</definedName>
    <definedName name="U5H13" localSheetId="40">#REF!</definedName>
    <definedName name="U5H13" localSheetId="43">#REF!</definedName>
    <definedName name="U5H13" localSheetId="13">#REF!</definedName>
    <definedName name="U5H13" localSheetId="38">#REF!</definedName>
    <definedName name="U5H13">#REF!</definedName>
    <definedName name="U5H14" localSheetId="3">#REF!</definedName>
    <definedName name="U5H14" localSheetId="7">#REF!</definedName>
    <definedName name="U5H14" localSheetId="9">#REF!</definedName>
    <definedName name="U5H14" localSheetId="10">#REF!</definedName>
    <definedName name="U5H14" localSheetId="15">#REF!</definedName>
    <definedName name="U5H14" localSheetId="19">#REF!</definedName>
    <definedName name="U5H14" localSheetId="20">#REF!</definedName>
    <definedName name="U5H14" localSheetId="24">#REF!</definedName>
    <definedName name="U5H14" localSheetId="104">#REF!</definedName>
    <definedName name="U5H14" localSheetId="65">#REF!</definedName>
    <definedName name="U5H14" localSheetId="64">#REF!</definedName>
    <definedName name="U5H14" localSheetId="77">#REF!</definedName>
    <definedName name="U5H14" localSheetId="49">#REF!</definedName>
    <definedName name="U5H14" localSheetId="40">#REF!</definedName>
    <definedName name="U5H14" localSheetId="43">#REF!</definedName>
    <definedName name="U5H14" localSheetId="13">#REF!</definedName>
    <definedName name="U5H14" localSheetId="38">#REF!</definedName>
    <definedName name="U5H14">#REF!</definedName>
    <definedName name="U5H15" localSheetId="3">#REF!</definedName>
    <definedName name="U5H15" localSheetId="7">#REF!</definedName>
    <definedName name="U5H15" localSheetId="9">#REF!</definedName>
    <definedName name="U5H15" localSheetId="10">#REF!</definedName>
    <definedName name="U5H15" localSheetId="15">#REF!</definedName>
    <definedName name="U5H15" localSheetId="19">#REF!</definedName>
    <definedName name="U5H15" localSheetId="20">#REF!</definedName>
    <definedName name="U5H15" localSheetId="24">#REF!</definedName>
    <definedName name="U5H15" localSheetId="104">#REF!</definedName>
    <definedName name="U5H15" localSheetId="65">#REF!</definedName>
    <definedName name="U5H15" localSheetId="64">#REF!</definedName>
    <definedName name="U5H15" localSheetId="77">#REF!</definedName>
    <definedName name="U5H15" localSheetId="49">#REF!</definedName>
    <definedName name="U5H15" localSheetId="40">#REF!</definedName>
    <definedName name="U5H15" localSheetId="43">#REF!</definedName>
    <definedName name="U5H15" localSheetId="13">#REF!</definedName>
    <definedName name="U5H15" localSheetId="38">#REF!</definedName>
    <definedName name="U5H15">#REF!</definedName>
    <definedName name="U5H2" localSheetId="3">#REF!</definedName>
    <definedName name="U5H2" localSheetId="7">#REF!</definedName>
    <definedName name="U5H2" localSheetId="9">#REF!</definedName>
    <definedName name="U5H2" localSheetId="10">#REF!</definedName>
    <definedName name="U5H2" localSheetId="15">#REF!</definedName>
    <definedName name="U5H2" localSheetId="19">#REF!</definedName>
    <definedName name="U5H2" localSheetId="20">#REF!</definedName>
    <definedName name="U5H2" localSheetId="24">#REF!</definedName>
    <definedName name="U5H2" localSheetId="104">#REF!</definedName>
    <definedName name="U5H2" localSheetId="65">#REF!</definedName>
    <definedName name="U5H2" localSheetId="64">#REF!</definedName>
    <definedName name="U5H2" localSheetId="77">#REF!</definedName>
    <definedName name="U5H2" localSheetId="49">#REF!</definedName>
    <definedName name="U5H2" localSheetId="40">#REF!</definedName>
    <definedName name="U5H2" localSheetId="43">#REF!</definedName>
    <definedName name="U5H2" localSheetId="13">#REF!</definedName>
    <definedName name="U5H2" localSheetId="38">#REF!</definedName>
    <definedName name="U5H2">#REF!</definedName>
    <definedName name="U5H3" localSheetId="3">#REF!</definedName>
    <definedName name="U5H3" localSheetId="7">#REF!</definedName>
    <definedName name="U5H3" localSheetId="9">#REF!</definedName>
    <definedName name="U5H3" localSheetId="10">#REF!</definedName>
    <definedName name="U5H3" localSheetId="15">#REF!</definedName>
    <definedName name="U5H3" localSheetId="19">#REF!</definedName>
    <definedName name="U5H3" localSheetId="20">#REF!</definedName>
    <definedName name="U5H3" localSheetId="24">#REF!</definedName>
    <definedName name="U5H3" localSheetId="104">#REF!</definedName>
    <definedName name="U5H3" localSheetId="65">#REF!</definedName>
    <definedName name="U5H3" localSheetId="64">#REF!</definedName>
    <definedName name="U5H3" localSheetId="77">#REF!</definedName>
    <definedName name="U5H3" localSheetId="49">#REF!</definedName>
    <definedName name="U5H3" localSheetId="40">#REF!</definedName>
    <definedName name="U5H3" localSheetId="43">#REF!</definedName>
    <definedName name="U5H3" localSheetId="13">#REF!</definedName>
    <definedName name="U5H3" localSheetId="38">#REF!</definedName>
    <definedName name="U5H3">#REF!</definedName>
    <definedName name="U5H4" localSheetId="3">#REF!</definedName>
    <definedName name="U5H4" localSheetId="7">#REF!</definedName>
    <definedName name="U5H4" localSheetId="9">#REF!</definedName>
    <definedName name="U5H4" localSheetId="10">#REF!</definedName>
    <definedName name="U5H4" localSheetId="15">#REF!</definedName>
    <definedName name="U5H4" localSheetId="19">#REF!</definedName>
    <definedName name="U5H4" localSheetId="20">#REF!</definedName>
    <definedName name="U5H4" localSheetId="24">#REF!</definedName>
    <definedName name="U5H4" localSheetId="104">#REF!</definedName>
    <definedName name="U5H4" localSheetId="65">#REF!</definedName>
    <definedName name="U5H4" localSheetId="64">#REF!</definedName>
    <definedName name="U5H4" localSheetId="77">#REF!</definedName>
    <definedName name="U5H4" localSheetId="49">#REF!</definedName>
    <definedName name="U5H4" localSheetId="40">#REF!</definedName>
    <definedName name="U5H4" localSheetId="43">#REF!</definedName>
    <definedName name="U5H4" localSheetId="13">#REF!</definedName>
    <definedName name="U5H4" localSheetId="38">#REF!</definedName>
    <definedName name="U5H4">#REF!</definedName>
    <definedName name="U5H5" localSheetId="3">#REF!</definedName>
    <definedName name="U5H5" localSheetId="7">#REF!</definedName>
    <definedName name="U5H5" localSheetId="9">#REF!</definedName>
    <definedName name="U5H5" localSheetId="10">#REF!</definedName>
    <definedName name="U5H5" localSheetId="15">#REF!</definedName>
    <definedName name="U5H5" localSheetId="19">#REF!</definedName>
    <definedName name="U5H5" localSheetId="20">#REF!</definedName>
    <definedName name="U5H5" localSheetId="24">#REF!</definedName>
    <definedName name="U5H5" localSheetId="104">#REF!</definedName>
    <definedName name="U5H5" localSheetId="65">#REF!</definedName>
    <definedName name="U5H5" localSheetId="64">#REF!</definedName>
    <definedName name="U5H5" localSheetId="77">#REF!</definedName>
    <definedName name="U5H5" localSheetId="49">#REF!</definedName>
    <definedName name="U5H5" localSheetId="40">#REF!</definedName>
    <definedName name="U5H5" localSheetId="43">#REF!</definedName>
    <definedName name="U5H5" localSheetId="13">#REF!</definedName>
    <definedName name="U5H5" localSheetId="38">#REF!</definedName>
    <definedName name="U5H5">#REF!</definedName>
    <definedName name="U5H6" localSheetId="3">#REF!</definedName>
    <definedName name="U5H6" localSheetId="7">#REF!</definedName>
    <definedName name="U5H6" localSheetId="9">#REF!</definedName>
    <definedName name="U5H6" localSheetId="10">#REF!</definedName>
    <definedName name="U5H6" localSheetId="15">#REF!</definedName>
    <definedName name="U5H6" localSheetId="19">#REF!</definedName>
    <definedName name="U5H6" localSheetId="20">#REF!</definedName>
    <definedName name="U5H6" localSheetId="24">#REF!</definedName>
    <definedName name="U5H6" localSheetId="104">#REF!</definedName>
    <definedName name="U5H6" localSheetId="65">#REF!</definedName>
    <definedName name="U5H6" localSheetId="64">#REF!</definedName>
    <definedName name="U5H6" localSheetId="77">#REF!</definedName>
    <definedName name="U5H6" localSheetId="49">#REF!</definedName>
    <definedName name="U5H6" localSheetId="40">#REF!</definedName>
    <definedName name="U5H6" localSheetId="43">#REF!</definedName>
    <definedName name="U5H6" localSheetId="13">#REF!</definedName>
    <definedName name="U5H6" localSheetId="38">#REF!</definedName>
    <definedName name="U5H6">#REF!</definedName>
    <definedName name="U5H7" localSheetId="3">#REF!</definedName>
    <definedName name="U5H7" localSheetId="7">#REF!</definedName>
    <definedName name="U5H7" localSheetId="9">#REF!</definedName>
    <definedName name="U5H7" localSheetId="10">#REF!</definedName>
    <definedName name="U5H7" localSheetId="15">#REF!</definedName>
    <definedName name="U5H7" localSheetId="19">#REF!</definedName>
    <definedName name="U5H7" localSheetId="20">#REF!</definedName>
    <definedName name="U5H7" localSheetId="24">#REF!</definedName>
    <definedName name="U5H7" localSheetId="104">#REF!</definedName>
    <definedName name="U5H7" localSheetId="65">#REF!</definedName>
    <definedName name="U5H7" localSheetId="64">#REF!</definedName>
    <definedName name="U5H7" localSheetId="77">#REF!</definedName>
    <definedName name="U5H7" localSheetId="49">#REF!</definedName>
    <definedName name="U5H7" localSheetId="40">#REF!</definedName>
    <definedName name="U5H7" localSheetId="43">#REF!</definedName>
    <definedName name="U5H7" localSheetId="13">#REF!</definedName>
    <definedName name="U5H7" localSheetId="38">#REF!</definedName>
    <definedName name="U5H7">#REF!</definedName>
    <definedName name="U5H8" localSheetId="3">#REF!</definedName>
    <definedName name="U5H8" localSheetId="7">#REF!</definedName>
    <definedName name="U5H8" localSheetId="9">#REF!</definedName>
    <definedName name="U5H8" localSheetId="10">#REF!</definedName>
    <definedName name="U5H8" localSheetId="15">#REF!</definedName>
    <definedName name="U5H8" localSheetId="19">#REF!</definedName>
    <definedName name="U5H8" localSheetId="20">#REF!</definedName>
    <definedName name="U5H8" localSheetId="24">#REF!</definedName>
    <definedName name="U5H8" localSheetId="104">#REF!</definedName>
    <definedName name="U5H8" localSheetId="65">#REF!</definedName>
    <definedName name="U5H8" localSheetId="64">#REF!</definedName>
    <definedName name="U5H8" localSheetId="77">#REF!</definedName>
    <definedName name="U5H8" localSheetId="49">#REF!</definedName>
    <definedName name="U5H8" localSheetId="40">#REF!</definedName>
    <definedName name="U5H8" localSheetId="43">#REF!</definedName>
    <definedName name="U5H8" localSheetId="13">#REF!</definedName>
    <definedName name="U5H8" localSheetId="38">#REF!</definedName>
    <definedName name="U5H8">#REF!</definedName>
    <definedName name="U5H9" localSheetId="3">#REF!</definedName>
    <definedName name="U5H9" localSheetId="7">#REF!</definedName>
    <definedName name="U5H9" localSheetId="9">#REF!</definedName>
    <definedName name="U5H9" localSheetId="10">#REF!</definedName>
    <definedName name="U5H9" localSheetId="15">#REF!</definedName>
    <definedName name="U5H9" localSheetId="19">#REF!</definedName>
    <definedName name="U5H9" localSheetId="20">#REF!</definedName>
    <definedName name="U5H9" localSheetId="24">#REF!</definedName>
    <definedName name="U5H9" localSheetId="104">#REF!</definedName>
    <definedName name="U5H9" localSheetId="65">#REF!</definedName>
    <definedName name="U5H9" localSheetId="64">#REF!</definedName>
    <definedName name="U5H9" localSheetId="77">#REF!</definedName>
    <definedName name="U5H9" localSheetId="49">#REF!</definedName>
    <definedName name="U5H9" localSheetId="40">#REF!</definedName>
    <definedName name="U5H9" localSheetId="43">#REF!</definedName>
    <definedName name="U5H9" localSheetId="13">#REF!</definedName>
    <definedName name="U5H9" localSheetId="38">#REF!</definedName>
    <definedName name="U5H9">#REF!</definedName>
    <definedName name="U5IH1" localSheetId="3">#REF!</definedName>
    <definedName name="U5IH1" localSheetId="7">#REF!</definedName>
    <definedName name="U5IH1" localSheetId="9">#REF!</definedName>
    <definedName name="U5IH1" localSheetId="10">#REF!</definedName>
    <definedName name="U5IH1" localSheetId="15">#REF!</definedName>
    <definedName name="U5IH1" localSheetId="19">#REF!</definedName>
    <definedName name="U5IH1" localSheetId="20">#REF!</definedName>
    <definedName name="U5IH1" localSheetId="24">#REF!</definedName>
    <definedName name="U5IH1" localSheetId="104">#REF!</definedName>
    <definedName name="U5IH1" localSheetId="65">#REF!</definedName>
    <definedName name="U5IH1" localSheetId="64">#REF!</definedName>
    <definedName name="U5IH1" localSheetId="77">#REF!</definedName>
    <definedName name="U5IH1" localSheetId="49">#REF!</definedName>
    <definedName name="U5IH1" localSheetId="40">#REF!</definedName>
    <definedName name="U5IH1" localSheetId="43">#REF!</definedName>
    <definedName name="U5IH1" localSheetId="13">#REF!</definedName>
    <definedName name="U5IH1" localSheetId="38">#REF!</definedName>
    <definedName name="U5IH1">#REF!</definedName>
    <definedName name="U5IH2" localSheetId="3">#REF!</definedName>
    <definedName name="U5IH2" localSheetId="7">#REF!</definedName>
    <definedName name="U5IH2" localSheetId="9">#REF!</definedName>
    <definedName name="U5IH2" localSheetId="10">#REF!</definedName>
    <definedName name="U5IH2" localSheetId="15">#REF!</definedName>
    <definedName name="U5IH2" localSheetId="19">#REF!</definedName>
    <definedName name="U5IH2" localSheetId="20">#REF!</definedName>
    <definedName name="U5IH2" localSheetId="24">#REF!</definedName>
    <definedName name="U5IH2" localSheetId="104">#REF!</definedName>
    <definedName name="U5IH2" localSheetId="65">#REF!</definedName>
    <definedName name="U5IH2" localSheetId="64">#REF!</definedName>
    <definedName name="U5IH2" localSheetId="77">#REF!</definedName>
    <definedName name="U5IH2" localSheetId="49">#REF!</definedName>
    <definedName name="U5IH2" localSheetId="40">#REF!</definedName>
    <definedName name="U5IH2" localSheetId="43">#REF!</definedName>
    <definedName name="U5IH2" localSheetId="13">#REF!</definedName>
    <definedName name="U5IH2" localSheetId="38">#REF!</definedName>
    <definedName name="U5IH2">#REF!</definedName>
    <definedName name="U5IH3" localSheetId="3">#REF!</definedName>
    <definedName name="U5IH3" localSheetId="7">#REF!</definedName>
    <definedName name="U5IH3" localSheetId="9">#REF!</definedName>
    <definedName name="U5IH3" localSheetId="10">#REF!</definedName>
    <definedName name="U5IH3" localSheetId="15">#REF!</definedName>
    <definedName name="U5IH3" localSheetId="19">#REF!</definedName>
    <definedName name="U5IH3" localSheetId="20">#REF!</definedName>
    <definedName name="U5IH3" localSheetId="24">#REF!</definedName>
    <definedName name="U5IH3" localSheetId="104">#REF!</definedName>
    <definedName name="U5IH3" localSheetId="65">#REF!</definedName>
    <definedName name="U5IH3" localSheetId="64">#REF!</definedName>
    <definedName name="U5IH3" localSheetId="77">#REF!</definedName>
    <definedName name="U5IH3" localSheetId="49">#REF!</definedName>
    <definedName name="U5IH3" localSheetId="40">#REF!</definedName>
    <definedName name="U5IH3" localSheetId="43">#REF!</definedName>
    <definedName name="U5IH3" localSheetId="13">#REF!</definedName>
    <definedName name="U5IH3" localSheetId="38">#REF!</definedName>
    <definedName name="U5IH3">#REF!</definedName>
    <definedName name="U5IH4" localSheetId="3">#REF!</definedName>
    <definedName name="U5IH4" localSheetId="7">#REF!</definedName>
    <definedName name="U5IH4" localSheetId="9">#REF!</definedName>
    <definedName name="U5IH4" localSheetId="10">#REF!</definedName>
    <definedName name="U5IH4" localSheetId="15">#REF!</definedName>
    <definedName name="U5IH4" localSheetId="19">#REF!</definedName>
    <definedName name="U5IH4" localSheetId="20">#REF!</definedName>
    <definedName name="U5IH4" localSheetId="24">#REF!</definedName>
    <definedName name="U5IH4" localSheetId="104">#REF!</definedName>
    <definedName name="U5IH4" localSheetId="65">#REF!</definedName>
    <definedName name="U5IH4" localSheetId="64">#REF!</definedName>
    <definedName name="U5IH4" localSheetId="77">#REF!</definedName>
    <definedName name="U5IH4" localSheetId="49">#REF!</definedName>
    <definedName name="U5IH4" localSheetId="40">#REF!</definedName>
    <definedName name="U5IH4" localSheetId="43">#REF!</definedName>
    <definedName name="U5IH4" localSheetId="13">#REF!</definedName>
    <definedName name="U5IH4" localSheetId="38">#REF!</definedName>
    <definedName name="U5IH4">#REF!</definedName>
    <definedName name="U5IH5" localSheetId="3">#REF!</definedName>
    <definedName name="U5IH5" localSheetId="7">#REF!</definedName>
    <definedName name="U5IH5" localSheetId="9">#REF!</definedName>
    <definedName name="U5IH5" localSheetId="10">#REF!</definedName>
    <definedName name="U5IH5" localSheetId="15">#REF!</definedName>
    <definedName name="U5IH5" localSheetId="19">#REF!</definedName>
    <definedName name="U5IH5" localSheetId="20">#REF!</definedName>
    <definedName name="U5IH5" localSheetId="24">#REF!</definedName>
    <definedName name="U5IH5" localSheetId="104">#REF!</definedName>
    <definedName name="U5IH5" localSheetId="65">#REF!</definedName>
    <definedName name="U5IH5" localSheetId="64">#REF!</definedName>
    <definedName name="U5IH5" localSheetId="77">#REF!</definedName>
    <definedName name="U5IH5" localSheetId="49">#REF!</definedName>
    <definedName name="U5IH5" localSheetId="40">#REF!</definedName>
    <definedName name="U5IH5" localSheetId="43">#REF!</definedName>
    <definedName name="U5IH5" localSheetId="13">#REF!</definedName>
    <definedName name="U5IH5" localSheetId="38">#REF!</definedName>
    <definedName name="U5IH5">#REF!</definedName>
    <definedName name="U6H1" localSheetId="3">#REF!</definedName>
    <definedName name="U6H1" localSheetId="7">#REF!</definedName>
    <definedName name="U6H1" localSheetId="9">#REF!</definedName>
    <definedName name="U6H1" localSheetId="10">#REF!</definedName>
    <definedName name="U6H1" localSheetId="15">#REF!</definedName>
    <definedName name="U6H1" localSheetId="19">#REF!</definedName>
    <definedName name="U6H1" localSheetId="20">#REF!</definedName>
    <definedName name="U6H1" localSheetId="24">#REF!</definedName>
    <definedName name="U6H1" localSheetId="104">#REF!</definedName>
    <definedName name="U6H1" localSheetId="65">#REF!</definedName>
    <definedName name="U6H1" localSheetId="64">#REF!</definedName>
    <definedName name="U6H1" localSheetId="77">#REF!</definedName>
    <definedName name="U6H1" localSheetId="49">#REF!</definedName>
    <definedName name="U6H1" localSheetId="40">#REF!</definedName>
    <definedName name="U6H1" localSheetId="43">#REF!</definedName>
    <definedName name="U6H1" localSheetId="13">#REF!</definedName>
    <definedName name="U6H1" localSheetId="38">#REF!</definedName>
    <definedName name="U6H1">#REF!</definedName>
    <definedName name="U6H10" localSheetId="3">#REF!</definedName>
    <definedName name="U6H10" localSheetId="7">#REF!</definedName>
    <definedName name="U6H10" localSheetId="9">#REF!</definedName>
    <definedName name="U6H10" localSheetId="10">#REF!</definedName>
    <definedName name="U6H10" localSheetId="15">#REF!</definedName>
    <definedName name="U6H10" localSheetId="19">#REF!</definedName>
    <definedName name="U6H10" localSheetId="20">#REF!</definedName>
    <definedName name="U6H10" localSheetId="24">#REF!</definedName>
    <definedName name="U6H10" localSheetId="104">#REF!</definedName>
    <definedName name="U6H10" localSheetId="65">#REF!</definedName>
    <definedName name="U6H10" localSheetId="64">#REF!</definedName>
    <definedName name="U6H10" localSheetId="77">#REF!</definedName>
    <definedName name="U6H10" localSheetId="49">#REF!</definedName>
    <definedName name="U6H10" localSheetId="40">#REF!</definedName>
    <definedName name="U6H10" localSheetId="43">#REF!</definedName>
    <definedName name="U6H10" localSheetId="13">#REF!</definedName>
    <definedName name="U6H10" localSheetId="38">#REF!</definedName>
    <definedName name="U6H10">#REF!</definedName>
    <definedName name="U6H11" localSheetId="3">#REF!</definedName>
    <definedName name="U6H11" localSheetId="7">#REF!</definedName>
    <definedName name="U6H11" localSheetId="9">#REF!</definedName>
    <definedName name="U6H11" localSheetId="10">#REF!</definedName>
    <definedName name="U6H11" localSheetId="15">#REF!</definedName>
    <definedName name="U6H11" localSheetId="19">#REF!</definedName>
    <definedName name="U6H11" localSheetId="20">#REF!</definedName>
    <definedName name="U6H11" localSheetId="24">#REF!</definedName>
    <definedName name="U6H11" localSheetId="104">#REF!</definedName>
    <definedName name="U6H11" localSheetId="65">#REF!</definedName>
    <definedName name="U6H11" localSheetId="64">#REF!</definedName>
    <definedName name="U6H11" localSheetId="77">#REF!</definedName>
    <definedName name="U6H11" localSheetId="49">#REF!</definedName>
    <definedName name="U6H11" localSheetId="40">#REF!</definedName>
    <definedName name="U6H11" localSheetId="43">#REF!</definedName>
    <definedName name="U6H11" localSheetId="13">#REF!</definedName>
    <definedName name="U6H11" localSheetId="38">#REF!</definedName>
    <definedName name="U6H11">#REF!</definedName>
    <definedName name="U6H12" localSheetId="3">#REF!</definedName>
    <definedName name="U6H12" localSheetId="7">#REF!</definedName>
    <definedName name="U6H12" localSheetId="9">#REF!</definedName>
    <definedName name="U6H12" localSheetId="10">#REF!</definedName>
    <definedName name="U6H12" localSheetId="15">#REF!</definedName>
    <definedName name="U6H12" localSheetId="19">#REF!</definedName>
    <definedName name="U6H12" localSheetId="20">#REF!</definedName>
    <definedName name="U6H12" localSheetId="24">#REF!</definedName>
    <definedName name="U6H12" localSheetId="104">#REF!</definedName>
    <definedName name="U6H12" localSheetId="65">#REF!</definedName>
    <definedName name="U6H12" localSheetId="64">#REF!</definedName>
    <definedName name="U6H12" localSheetId="77">#REF!</definedName>
    <definedName name="U6H12" localSheetId="49">#REF!</definedName>
    <definedName name="U6H12" localSheetId="40">#REF!</definedName>
    <definedName name="U6H12" localSheetId="43">#REF!</definedName>
    <definedName name="U6H12" localSheetId="13">#REF!</definedName>
    <definedName name="U6H12" localSheetId="38">#REF!</definedName>
    <definedName name="U6H12">#REF!</definedName>
    <definedName name="U6H13" localSheetId="3">#REF!</definedName>
    <definedName name="U6H13" localSheetId="7">#REF!</definedName>
    <definedName name="U6H13" localSheetId="9">#REF!</definedName>
    <definedName name="U6H13" localSheetId="10">#REF!</definedName>
    <definedName name="U6H13" localSheetId="15">#REF!</definedName>
    <definedName name="U6H13" localSheetId="19">#REF!</definedName>
    <definedName name="U6H13" localSheetId="20">#REF!</definedName>
    <definedName name="U6H13" localSheetId="24">#REF!</definedName>
    <definedName name="U6H13" localSheetId="104">#REF!</definedName>
    <definedName name="U6H13" localSheetId="65">#REF!</definedName>
    <definedName name="U6H13" localSheetId="64">#REF!</definedName>
    <definedName name="U6H13" localSheetId="77">#REF!</definedName>
    <definedName name="U6H13" localSheetId="49">#REF!</definedName>
    <definedName name="U6H13" localSheetId="40">#REF!</definedName>
    <definedName name="U6H13" localSheetId="43">#REF!</definedName>
    <definedName name="U6H13" localSheetId="13">#REF!</definedName>
    <definedName name="U6H13" localSheetId="38">#REF!</definedName>
    <definedName name="U6H13">#REF!</definedName>
    <definedName name="U6H14" localSheetId="3">#REF!</definedName>
    <definedName name="U6H14" localSheetId="7">#REF!</definedName>
    <definedName name="U6H14" localSheetId="9">#REF!</definedName>
    <definedName name="U6H14" localSheetId="10">#REF!</definedName>
    <definedName name="U6H14" localSheetId="15">#REF!</definedName>
    <definedName name="U6H14" localSheetId="19">#REF!</definedName>
    <definedName name="U6H14" localSheetId="20">#REF!</definedName>
    <definedName name="U6H14" localSheetId="24">#REF!</definedName>
    <definedName name="U6H14" localSheetId="104">#REF!</definedName>
    <definedName name="U6H14" localSheetId="65">#REF!</definedName>
    <definedName name="U6H14" localSheetId="64">#REF!</definedName>
    <definedName name="U6H14" localSheetId="77">#REF!</definedName>
    <definedName name="U6H14" localSheetId="49">#REF!</definedName>
    <definedName name="U6H14" localSheetId="40">#REF!</definedName>
    <definedName name="U6H14" localSheetId="43">#REF!</definedName>
    <definedName name="U6H14" localSheetId="13">#REF!</definedName>
    <definedName name="U6H14" localSheetId="38">#REF!</definedName>
    <definedName name="U6H14">#REF!</definedName>
    <definedName name="U6H15" localSheetId="3">#REF!</definedName>
    <definedName name="U6H15" localSheetId="7">#REF!</definedName>
    <definedName name="U6H15" localSheetId="9">#REF!</definedName>
    <definedName name="U6H15" localSheetId="10">#REF!</definedName>
    <definedName name="U6H15" localSheetId="15">#REF!</definedName>
    <definedName name="U6H15" localSheetId="19">#REF!</definedName>
    <definedName name="U6H15" localSheetId="20">#REF!</definedName>
    <definedName name="U6H15" localSheetId="24">#REF!</definedName>
    <definedName name="U6H15" localSheetId="104">#REF!</definedName>
    <definedName name="U6H15" localSheetId="65">#REF!</definedName>
    <definedName name="U6H15" localSheetId="64">#REF!</definedName>
    <definedName name="U6H15" localSheetId="77">#REF!</definedName>
    <definedName name="U6H15" localSheetId="49">#REF!</definedName>
    <definedName name="U6H15" localSheetId="40">#REF!</definedName>
    <definedName name="U6H15" localSheetId="43">#REF!</definedName>
    <definedName name="U6H15" localSheetId="13">#REF!</definedName>
    <definedName name="U6H15" localSheetId="38">#REF!</definedName>
    <definedName name="U6H15">#REF!</definedName>
    <definedName name="U6H2" localSheetId="3">#REF!</definedName>
    <definedName name="U6H2" localSheetId="7">#REF!</definedName>
    <definedName name="U6H2" localSheetId="9">#REF!</definedName>
    <definedName name="U6H2" localSheetId="10">#REF!</definedName>
    <definedName name="U6H2" localSheetId="15">#REF!</definedName>
    <definedName name="U6H2" localSheetId="19">#REF!</definedName>
    <definedName name="U6H2" localSheetId="20">#REF!</definedName>
    <definedName name="U6H2" localSheetId="24">#REF!</definedName>
    <definedName name="U6H2" localSheetId="104">#REF!</definedName>
    <definedName name="U6H2" localSheetId="65">#REF!</definedName>
    <definedName name="U6H2" localSheetId="64">#REF!</definedName>
    <definedName name="U6H2" localSheetId="77">#REF!</definedName>
    <definedName name="U6H2" localSheetId="49">#REF!</definedName>
    <definedName name="U6H2" localSheetId="40">#REF!</definedName>
    <definedName name="U6H2" localSheetId="43">#REF!</definedName>
    <definedName name="U6H2" localSheetId="13">#REF!</definedName>
    <definedName name="U6H2" localSheetId="38">#REF!</definedName>
    <definedName name="U6H2">#REF!</definedName>
    <definedName name="U6H3" localSheetId="3">#REF!</definedName>
    <definedName name="U6H3" localSheetId="7">#REF!</definedName>
    <definedName name="U6H3" localSheetId="9">#REF!</definedName>
    <definedName name="U6H3" localSheetId="10">#REF!</definedName>
    <definedName name="U6H3" localSheetId="15">#REF!</definedName>
    <definedName name="U6H3" localSheetId="19">#REF!</definedName>
    <definedName name="U6H3" localSheetId="20">#REF!</definedName>
    <definedName name="U6H3" localSheetId="24">#REF!</definedName>
    <definedName name="U6H3" localSheetId="104">#REF!</definedName>
    <definedName name="U6H3" localSheetId="65">#REF!</definedName>
    <definedName name="U6H3" localSheetId="64">#REF!</definedName>
    <definedName name="U6H3" localSheetId="77">#REF!</definedName>
    <definedName name="U6H3" localSheetId="49">#REF!</definedName>
    <definedName name="U6H3" localSheetId="40">#REF!</definedName>
    <definedName name="U6H3" localSheetId="43">#REF!</definedName>
    <definedName name="U6H3" localSheetId="13">#REF!</definedName>
    <definedName name="U6H3" localSheetId="38">#REF!</definedName>
    <definedName name="U6H3">#REF!</definedName>
    <definedName name="U6H4" localSheetId="3">#REF!</definedName>
    <definedName name="U6H4" localSheetId="7">#REF!</definedName>
    <definedName name="U6H4" localSheetId="9">#REF!</definedName>
    <definedName name="U6H4" localSheetId="10">#REF!</definedName>
    <definedName name="U6H4" localSheetId="15">#REF!</definedName>
    <definedName name="U6H4" localSheetId="19">#REF!</definedName>
    <definedName name="U6H4" localSheetId="20">#REF!</definedName>
    <definedName name="U6H4" localSheetId="24">#REF!</definedName>
    <definedName name="U6H4" localSheetId="104">#REF!</definedName>
    <definedName name="U6H4" localSheetId="65">#REF!</definedName>
    <definedName name="U6H4" localSheetId="64">#REF!</definedName>
    <definedName name="U6H4" localSheetId="77">#REF!</definedName>
    <definedName name="U6H4" localSheetId="49">#REF!</definedName>
    <definedName name="U6H4" localSheetId="40">#REF!</definedName>
    <definedName name="U6H4" localSheetId="43">#REF!</definedName>
    <definedName name="U6H4" localSheetId="13">#REF!</definedName>
    <definedName name="U6H4" localSheetId="38">#REF!</definedName>
    <definedName name="U6H4">#REF!</definedName>
    <definedName name="U6H5" localSheetId="3">#REF!</definedName>
    <definedName name="U6H5" localSheetId="7">#REF!</definedName>
    <definedName name="U6H5" localSheetId="9">#REF!</definedName>
    <definedName name="U6H5" localSheetId="10">#REF!</definedName>
    <definedName name="U6H5" localSheetId="15">#REF!</definedName>
    <definedName name="U6H5" localSheetId="19">#REF!</definedName>
    <definedName name="U6H5" localSheetId="20">#REF!</definedName>
    <definedName name="U6H5" localSheetId="24">#REF!</definedName>
    <definedName name="U6H5" localSheetId="104">#REF!</definedName>
    <definedName name="U6H5" localSheetId="65">#REF!</definedName>
    <definedName name="U6H5" localSheetId="64">#REF!</definedName>
    <definedName name="U6H5" localSheetId="77">#REF!</definedName>
    <definedName name="U6H5" localSheetId="49">#REF!</definedName>
    <definedName name="U6H5" localSheetId="40">#REF!</definedName>
    <definedName name="U6H5" localSheetId="43">#REF!</definedName>
    <definedName name="U6H5" localSheetId="13">#REF!</definedName>
    <definedName name="U6H5" localSheetId="38">#REF!</definedName>
    <definedName name="U6H5">#REF!</definedName>
    <definedName name="U6H6" localSheetId="3">#REF!</definedName>
    <definedName name="U6H6" localSheetId="7">#REF!</definedName>
    <definedName name="U6H6" localSheetId="9">#REF!</definedName>
    <definedName name="U6H6" localSheetId="10">#REF!</definedName>
    <definedName name="U6H6" localSheetId="15">#REF!</definedName>
    <definedName name="U6H6" localSheetId="19">#REF!</definedName>
    <definedName name="U6H6" localSheetId="20">#REF!</definedName>
    <definedName name="U6H6" localSheetId="24">#REF!</definedName>
    <definedName name="U6H6" localSheetId="104">#REF!</definedName>
    <definedName name="U6H6" localSheetId="65">#REF!</definedName>
    <definedName name="U6H6" localSheetId="64">#REF!</definedName>
    <definedName name="U6H6" localSheetId="77">#REF!</definedName>
    <definedName name="U6H6" localSheetId="49">#REF!</definedName>
    <definedName name="U6H6" localSheetId="40">#REF!</definedName>
    <definedName name="U6H6" localSheetId="43">#REF!</definedName>
    <definedName name="U6H6" localSheetId="13">#REF!</definedName>
    <definedName name="U6H6" localSheetId="38">#REF!</definedName>
    <definedName name="U6H6">#REF!</definedName>
    <definedName name="U6H7" localSheetId="3">#REF!</definedName>
    <definedName name="U6H7" localSheetId="7">#REF!</definedName>
    <definedName name="U6H7" localSheetId="9">#REF!</definedName>
    <definedName name="U6H7" localSheetId="10">#REF!</definedName>
    <definedName name="U6H7" localSheetId="15">#REF!</definedName>
    <definedName name="U6H7" localSheetId="19">#REF!</definedName>
    <definedName name="U6H7" localSheetId="20">#REF!</definedName>
    <definedName name="U6H7" localSheetId="24">#REF!</definedName>
    <definedName name="U6H7" localSheetId="104">#REF!</definedName>
    <definedName name="U6H7" localSheetId="65">#REF!</definedName>
    <definedName name="U6H7" localSheetId="64">#REF!</definedName>
    <definedName name="U6H7" localSheetId="77">#REF!</definedName>
    <definedName name="U6H7" localSheetId="49">#REF!</definedName>
    <definedName name="U6H7" localSheetId="40">#REF!</definedName>
    <definedName name="U6H7" localSheetId="43">#REF!</definedName>
    <definedName name="U6H7" localSheetId="13">#REF!</definedName>
    <definedName name="U6H7" localSheetId="38">#REF!</definedName>
    <definedName name="U6H7">#REF!</definedName>
    <definedName name="U6H8" localSheetId="3">#REF!</definedName>
    <definedName name="U6H8" localSheetId="7">#REF!</definedName>
    <definedName name="U6H8" localSheetId="9">#REF!</definedName>
    <definedName name="U6H8" localSheetId="10">#REF!</definedName>
    <definedName name="U6H8" localSheetId="15">#REF!</definedName>
    <definedName name="U6H8" localSheetId="19">#REF!</definedName>
    <definedName name="U6H8" localSheetId="20">#REF!</definedName>
    <definedName name="U6H8" localSheetId="24">#REF!</definedName>
    <definedName name="U6H8" localSheetId="104">#REF!</definedName>
    <definedName name="U6H8" localSheetId="65">#REF!</definedName>
    <definedName name="U6H8" localSheetId="64">#REF!</definedName>
    <definedName name="U6H8" localSheetId="77">#REF!</definedName>
    <definedName name="U6H8" localSheetId="49">#REF!</definedName>
    <definedName name="U6H8" localSheetId="40">#REF!</definedName>
    <definedName name="U6H8" localSheetId="43">#REF!</definedName>
    <definedName name="U6H8" localSheetId="13">#REF!</definedName>
    <definedName name="U6H8" localSheetId="38">#REF!</definedName>
    <definedName name="U6H8">#REF!</definedName>
    <definedName name="U6H9" localSheetId="3">#REF!</definedName>
    <definedName name="U6H9" localSheetId="7">#REF!</definedName>
    <definedName name="U6H9" localSheetId="9">#REF!</definedName>
    <definedName name="U6H9" localSheetId="10">#REF!</definedName>
    <definedName name="U6H9" localSheetId="15">#REF!</definedName>
    <definedName name="U6H9" localSheetId="19">#REF!</definedName>
    <definedName name="U6H9" localSheetId="20">#REF!</definedName>
    <definedName name="U6H9" localSheetId="24">#REF!</definedName>
    <definedName name="U6H9" localSheetId="104">#REF!</definedName>
    <definedName name="U6H9" localSheetId="65">#REF!</definedName>
    <definedName name="U6H9" localSheetId="64">#REF!</definedName>
    <definedName name="U6H9" localSheetId="77">#REF!</definedName>
    <definedName name="U6H9" localSheetId="49">#REF!</definedName>
    <definedName name="U6H9" localSheetId="40">#REF!</definedName>
    <definedName name="U6H9" localSheetId="43">#REF!</definedName>
    <definedName name="U6H9" localSheetId="13">#REF!</definedName>
    <definedName name="U6H9" localSheetId="38">#REF!</definedName>
    <definedName name="U6H9">#REF!</definedName>
    <definedName name="U6IH1" localSheetId="3">#REF!</definedName>
    <definedName name="U6IH1" localSheetId="7">#REF!</definedName>
    <definedName name="U6IH1" localSheetId="9">#REF!</definedName>
    <definedName name="U6IH1" localSheetId="10">#REF!</definedName>
    <definedName name="U6IH1" localSheetId="15">#REF!</definedName>
    <definedName name="U6IH1" localSheetId="19">#REF!</definedName>
    <definedName name="U6IH1" localSheetId="20">#REF!</definedName>
    <definedName name="U6IH1" localSheetId="24">#REF!</definedName>
    <definedName name="U6IH1" localSheetId="104">#REF!</definedName>
    <definedName name="U6IH1" localSheetId="65">#REF!</definedName>
    <definedName name="U6IH1" localSheetId="64">#REF!</definedName>
    <definedName name="U6IH1" localSheetId="77">#REF!</definedName>
    <definedName name="U6IH1" localSheetId="49">#REF!</definedName>
    <definedName name="U6IH1" localSheetId="40">#REF!</definedName>
    <definedName name="U6IH1" localSheetId="43">#REF!</definedName>
    <definedName name="U6IH1" localSheetId="13">#REF!</definedName>
    <definedName name="U6IH1" localSheetId="38">#REF!</definedName>
    <definedName name="U6IH1">#REF!</definedName>
    <definedName name="U6IH2" localSheetId="3">#REF!</definedName>
    <definedName name="U6IH2" localSheetId="7">#REF!</definedName>
    <definedName name="U6IH2" localSheetId="9">#REF!</definedName>
    <definedName name="U6IH2" localSheetId="10">#REF!</definedName>
    <definedName name="U6IH2" localSheetId="15">#REF!</definedName>
    <definedName name="U6IH2" localSheetId="19">#REF!</definedName>
    <definedName name="U6IH2" localSheetId="20">#REF!</definedName>
    <definedName name="U6IH2" localSheetId="24">#REF!</definedName>
    <definedName name="U6IH2" localSheetId="104">#REF!</definedName>
    <definedName name="U6IH2" localSheetId="65">#REF!</definedName>
    <definedName name="U6IH2" localSheetId="64">#REF!</definedName>
    <definedName name="U6IH2" localSheetId="77">#REF!</definedName>
    <definedName name="U6IH2" localSheetId="49">#REF!</definedName>
    <definedName name="U6IH2" localSheetId="40">#REF!</definedName>
    <definedName name="U6IH2" localSheetId="43">#REF!</definedName>
    <definedName name="U6IH2" localSheetId="13">#REF!</definedName>
    <definedName name="U6IH2" localSheetId="38">#REF!</definedName>
    <definedName name="U6IH2">#REF!</definedName>
    <definedName name="U6IH3" localSheetId="3">#REF!</definedName>
    <definedName name="U6IH3" localSheetId="7">#REF!</definedName>
    <definedName name="U6IH3" localSheetId="9">#REF!</definedName>
    <definedName name="U6IH3" localSheetId="10">#REF!</definedName>
    <definedName name="U6IH3" localSheetId="15">#REF!</definedName>
    <definedName name="U6IH3" localSheetId="19">#REF!</definedName>
    <definedName name="U6IH3" localSheetId="20">#REF!</definedName>
    <definedName name="U6IH3" localSheetId="24">#REF!</definedName>
    <definedName name="U6IH3" localSheetId="104">#REF!</definedName>
    <definedName name="U6IH3" localSheetId="65">#REF!</definedName>
    <definedName name="U6IH3" localSheetId="64">#REF!</definedName>
    <definedName name="U6IH3" localSheetId="77">#REF!</definedName>
    <definedName name="U6IH3" localSheetId="49">#REF!</definedName>
    <definedName name="U6IH3" localSheetId="40">#REF!</definedName>
    <definedName name="U6IH3" localSheetId="43">#REF!</definedName>
    <definedName name="U6IH3" localSheetId="13">#REF!</definedName>
    <definedName name="U6IH3" localSheetId="38">#REF!</definedName>
    <definedName name="U6IH3">#REF!</definedName>
    <definedName name="U6IH4" localSheetId="3">#REF!</definedName>
    <definedName name="U6IH4" localSheetId="7">#REF!</definedName>
    <definedName name="U6IH4" localSheetId="9">#REF!</definedName>
    <definedName name="U6IH4" localSheetId="10">#REF!</definedName>
    <definedName name="U6IH4" localSheetId="15">#REF!</definedName>
    <definedName name="U6IH4" localSheetId="19">#REF!</definedName>
    <definedName name="U6IH4" localSheetId="20">#REF!</definedName>
    <definedName name="U6IH4" localSheetId="24">#REF!</definedName>
    <definedName name="U6IH4" localSheetId="104">#REF!</definedName>
    <definedName name="U6IH4" localSheetId="65">#REF!</definedName>
    <definedName name="U6IH4" localSheetId="64">#REF!</definedName>
    <definedName name="U6IH4" localSheetId="77">#REF!</definedName>
    <definedName name="U6IH4" localSheetId="49">#REF!</definedName>
    <definedName name="U6IH4" localSheetId="40">#REF!</definedName>
    <definedName name="U6IH4" localSheetId="43">#REF!</definedName>
    <definedName name="U6IH4" localSheetId="13">#REF!</definedName>
    <definedName name="U6IH4" localSheetId="38">#REF!</definedName>
    <definedName name="U6IH4">#REF!</definedName>
    <definedName name="U6IH5" localSheetId="3">#REF!</definedName>
    <definedName name="U6IH5" localSheetId="7">#REF!</definedName>
    <definedName name="U6IH5" localSheetId="9">#REF!</definedName>
    <definedName name="U6IH5" localSheetId="10">#REF!</definedName>
    <definedName name="U6IH5" localSheetId="15">#REF!</definedName>
    <definedName name="U6IH5" localSheetId="19">#REF!</definedName>
    <definedName name="U6IH5" localSheetId="20">#REF!</definedName>
    <definedName name="U6IH5" localSheetId="24">#REF!</definedName>
    <definedName name="U6IH5" localSheetId="104">#REF!</definedName>
    <definedName name="U6IH5" localSheetId="65">#REF!</definedName>
    <definedName name="U6IH5" localSheetId="64">#REF!</definedName>
    <definedName name="U6IH5" localSheetId="77">#REF!</definedName>
    <definedName name="U6IH5" localSheetId="49">#REF!</definedName>
    <definedName name="U6IH5" localSheetId="40">#REF!</definedName>
    <definedName name="U6IH5" localSheetId="43">#REF!</definedName>
    <definedName name="U6IH5" localSheetId="13">#REF!</definedName>
    <definedName name="U6IH5" localSheetId="38">#REF!</definedName>
    <definedName name="U6IH5">#REF!</definedName>
    <definedName name="U7H1" localSheetId="3">#REF!</definedName>
    <definedName name="U7H1" localSheetId="7">#REF!</definedName>
    <definedName name="U7H1" localSheetId="9">#REF!</definedName>
    <definedName name="U7H1" localSheetId="10">#REF!</definedName>
    <definedName name="U7H1" localSheetId="15">#REF!</definedName>
    <definedName name="U7H1" localSheetId="19">#REF!</definedName>
    <definedName name="U7H1" localSheetId="20">#REF!</definedName>
    <definedName name="U7H1" localSheetId="24">#REF!</definedName>
    <definedName name="U7H1" localSheetId="104">#REF!</definedName>
    <definedName name="U7H1" localSheetId="65">#REF!</definedName>
    <definedName name="U7H1" localSheetId="64">#REF!</definedName>
    <definedName name="U7H1" localSheetId="77">#REF!</definedName>
    <definedName name="U7H1" localSheetId="49">#REF!</definedName>
    <definedName name="U7H1" localSheetId="40">#REF!</definedName>
    <definedName name="U7H1" localSheetId="43">#REF!</definedName>
    <definedName name="U7H1" localSheetId="13">#REF!</definedName>
    <definedName name="U7H1" localSheetId="38">#REF!</definedName>
    <definedName name="U7H1">#REF!</definedName>
    <definedName name="U7H10" localSheetId="3">#REF!</definedName>
    <definedName name="U7H10" localSheetId="7">#REF!</definedName>
    <definedName name="U7H10" localSheetId="9">#REF!</definedName>
    <definedName name="U7H10" localSheetId="10">#REF!</definedName>
    <definedName name="U7H10" localSheetId="15">#REF!</definedName>
    <definedName name="U7H10" localSheetId="19">#REF!</definedName>
    <definedName name="U7H10" localSheetId="20">#REF!</definedName>
    <definedName name="U7H10" localSheetId="24">#REF!</definedName>
    <definedName name="U7H10" localSheetId="104">#REF!</definedName>
    <definedName name="U7H10" localSheetId="65">#REF!</definedName>
    <definedName name="U7H10" localSheetId="64">#REF!</definedName>
    <definedName name="U7H10" localSheetId="77">#REF!</definedName>
    <definedName name="U7H10" localSheetId="49">#REF!</definedName>
    <definedName name="U7H10" localSheetId="40">#REF!</definedName>
    <definedName name="U7H10" localSheetId="43">#REF!</definedName>
    <definedName name="U7H10" localSheetId="13">#REF!</definedName>
    <definedName name="U7H10" localSheetId="38">#REF!</definedName>
    <definedName name="U7H10">#REF!</definedName>
    <definedName name="U7H11" localSheetId="3">#REF!</definedName>
    <definedName name="U7H11" localSheetId="7">#REF!</definedName>
    <definedName name="U7H11" localSheetId="9">#REF!</definedName>
    <definedName name="U7H11" localSheetId="10">#REF!</definedName>
    <definedName name="U7H11" localSheetId="15">#REF!</definedName>
    <definedName name="U7H11" localSheetId="19">#REF!</definedName>
    <definedName name="U7H11" localSheetId="20">#REF!</definedName>
    <definedName name="U7H11" localSheetId="24">#REF!</definedName>
    <definedName name="U7H11" localSheetId="104">#REF!</definedName>
    <definedName name="U7H11" localSheetId="65">#REF!</definedName>
    <definedName name="U7H11" localSheetId="64">#REF!</definedName>
    <definedName name="U7H11" localSheetId="77">#REF!</definedName>
    <definedName name="U7H11" localSheetId="49">#REF!</definedName>
    <definedName name="U7H11" localSheetId="40">#REF!</definedName>
    <definedName name="U7H11" localSheetId="43">#REF!</definedName>
    <definedName name="U7H11" localSheetId="13">#REF!</definedName>
    <definedName name="U7H11" localSheetId="38">#REF!</definedName>
    <definedName name="U7H11">#REF!</definedName>
    <definedName name="U7H12" localSheetId="3">#REF!</definedName>
    <definedName name="U7H12" localSheetId="7">#REF!</definedName>
    <definedName name="U7H12" localSheetId="9">#REF!</definedName>
    <definedName name="U7H12" localSheetId="10">#REF!</definedName>
    <definedName name="U7H12" localSheetId="15">#REF!</definedName>
    <definedName name="U7H12" localSheetId="19">#REF!</definedName>
    <definedName name="U7H12" localSheetId="20">#REF!</definedName>
    <definedName name="U7H12" localSheetId="24">#REF!</definedName>
    <definedName name="U7H12" localSheetId="104">#REF!</definedName>
    <definedName name="U7H12" localSheetId="65">#REF!</definedName>
    <definedName name="U7H12" localSheetId="64">#REF!</definedName>
    <definedName name="U7H12" localSheetId="77">#REF!</definedName>
    <definedName name="U7H12" localSheetId="49">#REF!</definedName>
    <definedName name="U7H12" localSheetId="40">#REF!</definedName>
    <definedName name="U7H12" localSheetId="43">#REF!</definedName>
    <definedName name="U7H12" localSheetId="13">#REF!</definedName>
    <definedName name="U7H12" localSheetId="38">#REF!</definedName>
    <definedName name="U7H12">#REF!</definedName>
    <definedName name="U7H13" localSheetId="3">#REF!</definedName>
    <definedName name="U7H13" localSheetId="7">#REF!</definedName>
    <definedName name="U7H13" localSheetId="9">#REF!</definedName>
    <definedName name="U7H13" localSheetId="10">#REF!</definedName>
    <definedName name="U7H13" localSheetId="15">#REF!</definedName>
    <definedName name="U7H13" localSheetId="19">#REF!</definedName>
    <definedName name="U7H13" localSheetId="20">#REF!</definedName>
    <definedName name="U7H13" localSheetId="24">#REF!</definedName>
    <definedName name="U7H13" localSheetId="104">#REF!</definedName>
    <definedName name="U7H13" localSheetId="65">#REF!</definedName>
    <definedName name="U7H13" localSheetId="64">#REF!</definedName>
    <definedName name="U7H13" localSheetId="77">#REF!</definedName>
    <definedName name="U7H13" localSheetId="49">#REF!</definedName>
    <definedName name="U7H13" localSheetId="40">#REF!</definedName>
    <definedName name="U7H13" localSheetId="43">#REF!</definedName>
    <definedName name="U7H13" localSheetId="13">#REF!</definedName>
    <definedName name="U7H13" localSheetId="38">#REF!</definedName>
    <definedName name="U7H13">#REF!</definedName>
    <definedName name="U7H14" localSheetId="3">#REF!</definedName>
    <definedName name="U7H14" localSheetId="7">#REF!</definedName>
    <definedName name="U7H14" localSheetId="9">#REF!</definedName>
    <definedName name="U7H14" localSheetId="10">#REF!</definedName>
    <definedName name="U7H14" localSheetId="15">#REF!</definedName>
    <definedName name="U7H14" localSheetId="19">#REF!</definedName>
    <definedName name="U7H14" localSheetId="20">#REF!</definedName>
    <definedName name="U7H14" localSheetId="24">#REF!</definedName>
    <definedName name="U7H14" localSheetId="104">#REF!</definedName>
    <definedName name="U7H14" localSheetId="65">#REF!</definedName>
    <definedName name="U7H14" localSheetId="64">#REF!</definedName>
    <definedName name="U7H14" localSheetId="77">#REF!</definedName>
    <definedName name="U7H14" localSheetId="49">#REF!</definedName>
    <definedName name="U7H14" localSheetId="40">#REF!</definedName>
    <definedName name="U7H14" localSheetId="43">#REF!</definedName>
    <definedName name="U7H14" localSheetId="13">#REF!</definedName>
    <definedName name="U7H14" localSheetId="38">#REF!</definedName>
    <definedName name="U7H14">#REF!</definedName>
    <definedName name="U7H15" localSheetId="3">#REF!</definedName>
    <definedName name="U7H15" localSheetId="7">#REF!</definedName>
    <definedName name="U7H15" localSheetId="9">#REF!</definedName>
    <definedName name="U7H15" localSheetId="10">#REF!</definedName>
    <definedName name="U7H15" localSheetId="15">#REF!</definedName>
    <definedName name="U7H15" localSheetId="19">#REF!</definedName>
    <definedName name="U7H15" localSheetId="20">#REF!</definedName>
    <definedName name="U7H15" localSheetId="24">#REF!</definedName>
    <definedName name="U7H15" localSheetId="104">#REF!</definedName>
    <definedName name="U7H15" localSheetId="65">#REF!</definedName>
    <definedName name="U7H15" localSheetId="64">#REF!</definedName>
    <definedName name="U7H15" localSheetId="77">#REF!</definedName>
    <definedName name="U7H15" localSheetId="49">#REF!</definedName>
    <definedName name="U7H15" localSheetId="40">#REF!</definedName>
    <definedName name="U7H15" localSheetId="43">#REF!</definedName>
    <definedName name="U7H15" localSheetId="13">#REF!</definedName>
    <definedName name="U7H15" localSheetId="38">#REF!</definedName>
    <definedName name="U7H15">#REF!</definedName>
    <definedName name="U7H2" localSheetId="3">#REF!</definedName>
    <definedName name="U7H2" localSheetId="7">#REF!</definedName>
    <definedName name="U7H2" localSheetId="9">#REF!</definedName>
    <definedName name="U7H2" localSheetId="10">#REF!</definedName>
    <definedName name="U7H2" localSheetId="15">#REF!</definedName>
    <definedName name="U7H2" localSheetId="19">#REF!</definedName>
    <definedName name="U7H2" localSheetId="20">#REF!</definedName>
    <definedName name="U7H2" localSheetId="24">#REF!</definedName>
    <definedName name="U7H2" localSheetId="104">#REF!</definedName>
    <definedName name="U7H2" localSheetId="65">#REF!</definedName>
    <definedName name="U7H2" localSheetId="64">#REF!</definedName>
    <definedName name="U7H2" localSheetId="77">#REF!</definedName>
    <definedName name="U7H2" localSheetId="49">#REF!</definedName>
    <definedName name="U7H2" localSheetId="40">#REF!</definedName>
    <definedName name="U7H2" localSheetId="43">#REF!</definedName>
    <definedName name="U7H2" localSheetId="13">#REF!</definedName>
    <definedName name="U7H2" localSheetId="38">#REF!</definedName>
    <definedName name="U7H2">#REF!</definedName>
    <definedName name="U7H3" localSheetId="3">#REF!</definedName>
    <definedName name="U7H3" localSheetId="7">#REF!</definedName>
    <definedName name="U7H3" localSheetId="9">#REF!</definedName>
    <definedName name="U7H3" localSheetId="10">#REF!</definedName>
    <definedName name="U7H3" localSheetId="15">#REF!</definedName>
    <definedName name="U7H3" localSheetId="19">#REF!</definedName>
    <definedName name="U7H3" localSheetId="20">#REF!</definedName>
    <definedName name="U7H3" localSheetId="24">#REF!</definedName>
    <definedName name="U7H3" localSheetId="104">#REF!</definedName>
    <definedName name="U7H3" localSheetId="65">#REF!</definedName>
    <definedName name="U7H3" localSheetId="64">#REF!</definedName>
    <definedName name="U7H3" localSheetId="77">#REF!</definedName>
    <definedName name="U7H3" localSheetId="49">#REF!</definedName>
    <definedName name="U7H3" localSheetId="40">#REF!</definedName>
    <definedName name="U7H3" localSheetId="43">#REF!</definedName>
    <definedName name="U7H3" localSheetId="13">#REF!</definedName>
    <definedName name="U7H3" localSheetId="38">#REF!</definedName>
    <definedName name="U7H3">#REF!</definedName>
    <definedName name="U7H4" localSheetId="3">#REF!</definedName>
    <definedName name="U7H4" localSheetId="7">#REF!</definedName>
    <definedName name="U7H4" localSheetId="9">#REF!</definedName>
    <definedName name="U7H4" localSheetId="10">#REF!</definedName>
    <definedName name="U7H4" localSheetId="15">#REF!</definedName>
    <definedName name="U7H4" localSheetId="19">#REF!</definedName>
    <definedName name="U7H4" localSheetId="20">#REF!</definedName>
    <definedName name="U7H4" localSheetId="24">#REF!</definedName>
    <definedName name="U7H4" localSheetId="104">#REF!</definedName>
    <definedName name="U7H4" localSheetId="65">#REF!</definedName>
    <definedName name="U7H4" localSheetId="64">#REF!</definedName>
    <definedName name="U7H4" localSheetId="77">#REF!</definedName>
    <definedName name="U7H4" localSheetId="49">#REF!</definedName>
    <definedName name="U7H4" localSheetId="40">#REF!</definedName>
    <definedName name="U7H4" localSheetId="43">#REF!</definedName>
    <definedName name="U7H4" localSheetId="13">#REF!</definedName>
    <definedName name="U7H4" localSheetId="38">#REF!</definedName>
    <definedName name="U7H4">#REF!</definedName>
    <definedName name="U7H5" localSheetId="3">#REF!</definedName>
    <definedName name="U7H5" localSheetId="7">#REF!</definedName>
    <definedName name="U7H5" localSheetId="9">#REF!</definedName>
    <definedName name="U7H5" localSheetId="10">#REF!</definedName>
    <definedName name="U7H5" localSheetId="15">#REF!</definedName>
    <definedName name="U7H5" localSheetId="19">#REF!</definedName>
    <definedName name="U7H5" localSheetId="20">#REF!</definedName>
    <definedName name="U7H5" localSheetId="24">#REF!</definedName>
    <definedName name="U7H5" localSheetId="104">#REF!</definedName>
    <definedName name="U7H5" localSheetId="65">#REF!</definedName>
    <definedName name="U7H5" localSheetId="64">#REF!</definedName>
    <definedName name="U7H5" localSheetId="77">#REF!</definedName>
    <definedName name="U7H5" localSheetId="49">#REF!</definedName>
    <definedName name="U7H5" localSheetId="40">#REF!</definedName>
    <definedName name="U7H5" localSheetId="43">#REF!</definedName>
    <definedName name="U7H5" localSheetId="13">#REF!</definedName>
    <definedName name="U7H5" localSheetId="38">#REF!</definedName>
    <definedName name="U7H5">#REF!</definedName>
    <definedName name="U7H6" localSheetId="3">#REF!</definedName>
    <definedName name="U7H6" localSheetId="7">#REF!</definedName>
    <definedName name="U7H6" localSheetId="9">#REF!</definedName>
    <definedName name="U7H6" localSheetId="10">#REF!</definedName>
    <definedName name="U7H6" localSheetId="15">#REF!</definedName>
    <definedName name="U7H6" localSheetId="19">#REF!</definedName>
    <definedName name="U7H6" localSheetId="20">#REF!</definedName>
    <definedName name="U7H6" localSheetId="24">#REF!</definedName>
    <definedName name="U7H6" localSheetId="104">#REF!</definedName>
    <definedName name="U7H6" localSheetId="65">#REF!</definedName>
    <definedName name="U7H6" localSheetId="64">#REF!</definedName>
    <definedName name="U7H6" localSheetId="77">#REF!</definedName>
    <definedName name="U7H6" localSheetId="49">#REF!</definedName>
    <definedName name="U7H6" localSheetId="40">#REF!</definedName>
    <definedName name="U7H6" localSheetId="43">#REF!</definedName>
    <definedName name="U7H6" localSheetId="13">#REF!</definedName>
    <definedName name="U7H6" localSheetId="38">#REF!</definedName>
    <definedName name="U7H6">#REF!</definedName>
    <definedName name="U7H7" localSheetId="3">#REF!</definedName>
    <definedName name="U7H7" localSheetId="7">#REF!</definedName>
    <definedName name="U7H7" localSheetId="9">#REF!</definedName>
    <definedName name="U7H7" localSheetId="10">#REF!</definedName>
    <definedName name="U7H7" localSheetId="15">#REF!</definedName>
    <definedName name="U7H7" localSheetId="19">#REF!</definedName>
    <definedName name="U7H7" localSheetId="20">#REF!</definedName>
    <definedName name="U7H7" localSheetId="24">#REF!</definedName>
    <definedName name="U7H7" localSheetId="104">#REF!</definedName>
    <definedName name="U7H7" localSheetId="65">#REF!</definedName>
    <definedName name="U7H7" localSheetId="64">#REF!</definedName>
    <definedName name="U7H7" localSheetId="77">#REF!</definedName>
    <definedName name="U7H7" localSheetId="49">#REF!</definedName>
    <definedName name="U7H7" localSheetId="40">#REF!</definedName>
    <definedName name="U7H7" localSheetId="43">#REF!</definedName>
    <definedName name="U7H7" localSheetId="13">#REF!</definedName>
    <definedName name="U7H7" localSheetId="38">#REF!</definedName>
    <definedName name="U7H7">#REF!</definedName>
    <definedName name="U7H8" localSheetId="3">#REF!</definedName>
    <definedName name="U7H8" localSheetId="7">#REF!</definedName>
    <definedName name="U7H8" localSheetId="9">#REF!</definedName>
    <definedName name="U7H8" localSheetId="10">#REF!</definedName>
    <definedName name="U7H8" localSheetId="15">#REF!</definedName>
    <definedName name="U7H8" localSheetId="19">#REF!</definedName>
    <definedName name="U7H8" localSheetId="20">#REF!</definedName>
    <definedName name="U7H8" localSheetId="24">#REF!</definedName>
    <definedName name="U7H8" localSheetId="104">#REF!</definedName>
    <definedName name="U7H8" localSheetId="65">#REF!</definedName>
    <definedName name="U7H8" localSheetId="64">#REF!</definedName>
    <definedName name="U7H8" localSheetId="77">#REF!</definedName>
    <definedName name="U7H8" localSheetId="49">#REF!</definedName>
    <definedName name="U7H8" localSheetId="40">#REF!</definedName>
    <definedName name="U7H8" localSheetId="43">#REF!</definedName>
    <definedName name="U7H8" localSheetId="13">#REF!</definedName>
    <definedName name="U7H8" localSheetId="38">#REF!</definedName>
    <definedName name="U7H8">#REF!</definedName>
    <definedName name="U7H9" localSheetId="3">#REF!</definedName>
    <definedName name="U7H9" localSheetId="7">#REF!</definedName>
    <definedName name="U7H9" localSheetId="9">#REF!</definedName>
    <definedName name="U7H9" localSheetId="10">#REF!</definedName>
    <definedName name="U7H9" localSheetId="15">#REF!</definedName>
    <definedName name="U7H9" localSheetId="19">#REF!</definedName>
    <definedName name="U7H9" localSheetId="20">#REF!</definedName>
    <definedName name="U7H9" localSheetId="24">#REF!</definedName>
    <definedName name="U7H9" localSheetId="104">#REF!</definedName>
    <definedName name="U7H9" localSheetId="65">#REF!</definedName>
    <definedName name="U7H9" localSheetId="64">#REF!</definedName>
    <definedName name="U7H9" localSheetId="77">#REF!</definedName>
    <definedName name="U7H9" localSheetId="49">#REF!</definedName>
    <definedName name="U7H9" localSheetId="40">#REF!</definedName>
    <definedName name="U7H9" localSheetId="43">#REF!</definedName>
    <definedName name="U7H9" localSheetId="13">#REF!</definedName>
    <definedName name="U7H9" localSheetId="38">#REF!</definedName>
    <definedName name="U7H9">#REF!</definedName>
    <definedName name="U7IH1" localSheetId="3">#REF!</definedName>
    <definedName name="U7IH1" localSheetId="7">#REF!</definedName>
    <definedName name="U7IH1" localSheetId="9">#REF!</definedName>
    <definedName name="U7IH1" localSheetId="10">#REF!</definedName>
    <definedName name="U7IH1" localSheetId="15">#REF!</definedName>
    <definedName name="U7IH1" localSheetId="19">#REF!</definedName>
    <definedName name="U7IH1" localSheetId="20">#REF!</definedName>
    <definedName name="U7IH1" localSheetId="24">#REF!</definedName>
    <definedName name="U7IH1" localSheetId="104">#REF!</definedName>
    <definedName name="U7IH1" localSheetId="65">#REF!</definedName>
    <definedName name="U7IH1" localSheetId="64">#REF!</definedName>
    <definedName name="U7IH1" localSheetId="77">#REF!</definedName>
    <definedName name="U7IH1" localSheetId="49">#REF!</definedName>
    <definedName name="U7IH1" localSheetId="40">#REF!</definedName>
    <definedName name="U7IH1" localSheetId="43">#REF!</definedName>
    <definedName name="U7IH1" localSheetId="13">#REF!</definedName>
    <definedName name="U7IH1" localSheetId="38">#REF!</definedName>
    <definedName name="U7IH1">#REF!</definedName>
    <definedName name="U7IH2" localSheetId="3">#REF!</definedName>
    <definedName name="U7IH2" localSheetId="7">#REF!</definedName>
    <definedName name="U7IH2" localSheetId="9">#REF!</definedName>
    <definedName name="U7IH2" localSheetId="10">#REF!</definedName>
    <definedName name="U7IH2" localSheetId="15">#REF!</definedName>
    <definedName name="U7IH2" localSheetId="19">#REF!</definedName>
    <definedName name="U7IH2" localSheetId="20">#REF!</definedName>
    <definedName name="U7IH2" localSheetId="24">#REF!</definedName>
    <definedName name="U7IH2" localSheetId="104">#REF!</definedName>
    <definedName name="U7IH2" localSheetId="65">#REF!</definedName>
    <definedName name="U7IH2" localSheetId="64">#REF!</definedName>
    <definedName name="U7IH2" localSheetId="77">#REF!</definedName>
    <definedName name="U7IH2" localSheetId="49">#REF!</definedName>
    <definedName name="U7IH2" localSheetId="40">#REF!</definedName>
    <definedName name="U7IH2" localSheetId="43">#REF!</definedName>
    <definedName name="U7IH2" localSheetId="13">#REF!</definedName>
    <definedName name="U7IH2" localSheetId="38">#REF!</definedName>
    <definedName name="U7IH2">#REF!</definedName>
    <definedName name="U7IH3" localSheetId="3">#REF!</definedName>
    <definedName name="U7IH3" localSheetId="7">#REF!</definedName>
    <definedName name="U7IH3" localSheetId="9">#REF!</definedName>
    <definedName name="U7IH3" localSheetId="10">#REF!</definedName>
    <definedName name="U7IH3" localSheetId="15">#REF!</definedName>
    <definedName name="U7IH3" localSheetId="19">#REF!</definedName>
    <definedName name="U7IH3" localSheetId="20">#REF!</definedName>
    <definedName name="U7IH3" localSheetId="24">#REF!</definedName>
    <definedName name="U7IH3" localSheetId="104">#REF!</definedName>
    <definedName name="U7IH3" localSheetId="65">#REF!</definedName>
    <definedName name="U7IH3" localSheetId="64">#REF!</definedName>
    <definedName name="U7IH3" localSheetId="77">#REF!</definedName>
    <definedName name="U7IH3" localSheetId="49">#REF!</definedName>
    <definedName name="U7IH3" localSheetId="40">#REF!</definedName>
    <definedName name="U7IH3" localSheetId="43">#REF!</definedName>
    <definedName name="U7IH3" localSheetId="13">#REF!</definedName>
    <definedName name="U7IH3" localSheetId="38">#REF!</definedName>
    <definedName name="U7IH3">#REF!</definedName>
    <definedName name="U7IH4" localSheetId="3">#REF!</definedName>
    <definedName name="U7IH4" localSheetId="7">#REF!</definedName>
    <definedName name="U7IH4" localSheetId="9">#REF!</definedName>
    <definedName name="U7IH4" localSheetId="10">#REF!</definedName>
    <definedName name="U7IH4" localSheetId="15">#REF!</definedName>
    <definedName name="U7IH4" localSheetId="19">#REF!</definedName>
    <definedName name="U7IH4" localSheetId="20">#REF!</definedName>
    <definedName name="U7IH4" localSheetId="24">#REF!</definedName>
    <definedName name="U7IH4" localSheetId="104">#REF!</definedName>
    <definedName name="U7IH4" localSheetId="65">#REF!</definedName>
    <definedName name="U7IH4" localSheetId="64">#REF!</definedName>
    <definedName name="U7IH4" localSheetId="77">#REF!</definedName>
    <definedName name="U7IH4" localSheetId="49">#REF!</definedName>
    <definedName name="U7IH4" localSheetId="40">#REF!</definedName>
    <definedName name="U7IH4" localSheetId="43">#REF!</definedName>
    <definedName name="U7IH4" localSheetId="13">#REF!</definedName>
    <definedName name="U7IH4" localSheetId="38">#REF!</definedName>
    <definedName name="U7IH4">#REF!</definedName>
    <definedName name="U7IH5" localSheetId="3">#REF!</definedName>
    <definedName name="U7IH5" localSheetId="7">#REF!</definedName>
    <definedName name="U7IH5" localSheetId="9">#REF!</definedName>
    <definedName name="U7IH5" localSheetId="10">#REF!</definedName>
    <definedName name="U7IH5" localSheetId="15">#REF!</definedName>
    <definedName name="U7IH5" localSheetId="19">#REF!</definedName>
    <definedName name="U7IH5" localSheetId="20">#REF!</definedName>
    <definedName name="U7IH5" localSheetId="24">#REF!</definedName>
    <definedName name="U7IH5" localSheetId="104">#REF!</definedName>
    <definedName name="U7IH5" localSheetId="65">#REF!</definedName>
    <definedName name="U7IH5" localSheetId="64">#REF!</definedName>
    <definedName name="U7IH5" localSheetId="77">#REF!</definedName>
    <definedName name="U7IH5" localSheetId="49">#REF!</definedName>
    <definedName name="U7IH5" localSheetId="40">#REF!</definedName>
    <definedName name="U7IH5" localSheetId="43">#REF!</definedName>
    <definedName name="U7IH5" localSheetId="13">#REF!</definedName>
    <definedName name="U7IH5" localSheetId="38">#REF!</definedName>
    <definedName name="U7IH5">#REF!</definedName>
    <definedName name="U8H1" localSheetId="3">#REF!</definedName>
    <definedName name="U8H1" localSheetId="7">#REF!</definedName>
    <definedName name="U8H1" localSheetId="9">#REF!</definedName>
    <definedName name="U8H1" localSheetId="10">#REF!</definedName>
    <definedName name="U8H1" localSheetId="15">#REF!</definedName>
    <definedName name="U8H1" localSheetId="19">#REF!</definedName>
    <definedName name="U8H1" localSheetId="20">#REF!</definedName>
    <definedName name="U8H1" localSheetId="24">#REF!</definedName>
    <definedName name="U8H1" localSheetId="104">#REF!</definedName>
    <definedName name="U8H1" localSheetId="65">#REF!</definedName>
    <definedName name="U8H1" localSheetId="64">#REF!</definedName>
    <definedName name="U8H1" localSheetId="77">#REF!</definedName>
    <definedName name="U8H1" localSheetId="49">#REF!</definedName>
    <definedName name="U8H1" localSheetId="40">#REF!</definedName>
    <definedName name="U8H1" localSheetId="43">#REF!</definedName>
    <definedName name="U8H1" localSheetId="13">#REF!</definedName>
    <definedName name="U8H1" localSheetId="38">#REF!</definedName>
    <definedName name="U8H1">#REF!</definedName>
    <definedName name="U8H10" localSheetId="3">#REF!</definedName>
    <definedName name="U8H10" localSheetId="7">#REF!</definedName>
    <definedName name="U8H10" localSheetId="9">#REF!</definedName>
    <definedName name="U8H10" localSheetId="10">#REF!</definedName>
    <definedName name="U8H10" localSheetId="15">#REF!</definedName>
    <definedName name="U8H10" localSheetId="19">#REF!</definedName>
    <definedName name="U8H10" localSheetId="20">#REF!</definedName>
    <definedName name="U8H10" localSheetId="24">#REF!</definedName>
    <definedName name="U8H10" localSheetId="104">#REF!</definedName>
    <definedName name="U8H10" localSheetId="65">#REF!</definedName>
    <definedName name="U8H10" localSheetId="64">#REF!</definedName>
    <definedName name="U8H10" localSheetId="77">#REF!</definedName>
    <definedName name="U8H10" localSheetId="49">#REF!</definedName>
    <definedName name="U8H10" localSheetId="40">#REF!</definedName>
    <definedName name="U8H10" localSheetId="43">#REF!</definedName>
    <definedName name="U8H10" localSheetId="13">#REF!</definedName>
    <definedName name="U8H10" localSheetId="38">#REF!</definedName>
    <definedName name="U8H10">#REF!</definedName>
    <definedName name="U8H11" localSheetId="3">#REF!</definedName>
    <definedName name="U8H11" localSheetId="7">#REF!</definedName>
    <definedName name="U8H11" localSheetId="9">#REF!</definedName>
    <definedName name="U8H11" localSheetId="10">#REF!</definedName>
    <definedName name="U8H11" localSheetId="15">#REF!</definedName>
    <definedName name="U8H11" localSheetId="19">#REF!</definedName>
    <definedName name="U8H11" localSheetId="20">#REF!</definedName>
    <definedName name="U8H11" localSheetId="24">#REF!</definedName>
    <definedName name="U8H11" localSheetId="104">#REF!</definedName>
    <definedName name="U8H11" localSheetId="65">#REF!</definedName>
    <definedName name="U8H11" localSheetId="64">#REF!</definedName>
    <definedName name="U8H11" localSheetId="77">#REF!</definedName>
    <definedName name="U8H11" localSheetId="49">#REF!</definedName>
    <definedName name="U8H11" localSheetId="40">#REF!</definedName>
    <definedName name="U8H11" localSheetId="43">#REF!</definedName>
    <definedName name="U8H11" localSheetId="13">#REF!</definedName>
    <definedName name="U8H11" localSheetId="38">#REF!</definedName>
    <definedName name="U8H11">#REF!</definedName>
    <definedName name="U8H12" localSheetId="3">#REF!</definedName>
    <definedName name="U8H12" localSheetId="7">#REF!</definedName>
    <definedName name="U8H12" localSheetId="9">#REF!</definedName>
    <definedName name="U8H12" localSheetId="10">#REF!</definedName>
    <definedName name="U8H12" localSheetId="15">#REF!</definedName>
    <definedName name="U8H12" localSheetId="19">#REF!</definedName>
    <definedName name="U8H12" localSheetId="20">#REF!</definedName>
    <definedName name="U8H12" localSheetId="24">#REF!</definedName>
    <definedName name="U8H12" localSheetId="104">#REF!</definedName>
    <definedName name="U8H12" localSheetId="65">#REF!</definedName>
    <definedName name="U8H12" localSheetId="64">#REF!</definedName>
    <definedName name="U8H12" localSheetId="77">#REF!</definedName>
    <definedName name="U8H12" localSheetId="49">#REF!</definedName>
    <definedName name="U8H12" localSheetId="40">#REF!</definedName>
    <definedName name="U8H12" localSheetId="43">#REF!</definedName>
    <definedName name="U8H12" localSheetId="13">#REF!</definedName>
    <definedName name="U8H12" localSheetId="38">#REF!</definedName>
    <definedName name="U8H12">#REF!</definedName>
    <definedName name="U8H13" localSheetId="3">#REF!</definedName>
    <definedName name="U8H13" localSheetId="7">#REF!</definedName>
    <definedName name="U8H13" localSheetId="9">#REF!</definedName>
    <definedName name="U8H13" localSheetId="10">#REF!</definedName>
    <definedName name="U8H13" localSheetId="15">#REF!</definedName>
    <definedName name="U8H13" localSheetId="19">#REF!</definedName>
    <definedName name="U8H13" localSheetId="20">#REF!</definedName>
    <definedName name="U8H13" localSheetId="24">#REF!</definedName>
    <definedName name="U8H13" localSheetId="104">#REF!</definedName>
    <definedName name="U8H13" localSheetId="65">#REF!</definedName>
    <definedName name="U8H13" localSheetId="64">#REF!</definedName>
    <definedName name="U8H13" localSheetId="77">#REF!</definedName>
    <definedName name="U8H13" localSheetId="49">#REF!</definedName>
    <definedName name="U8H13" localSheetId="40">#REF!</definedName>
    <definedName name="U8H13" localSheetId="43">#REF!</definedName>
    <definedName name="U8H13" localSheetId="13">#REF!</definedName>
    <definedName name="U8H13" localSheetId="38">#REF!</definedName>
    <definedName name="U8H13">#REF!</definedName>
    <definedName name="U8H14" localSheetId="3">#REF!</definedName>
    <definedName name="U8H14" localSheetId="7">#REF!</definedName>
    <definedName name="U8H14" localSheetId="9">#REF!</definedName>
    <definedName name="U8H14" localSheetId="10">#REF!</definedName>
    <definedName name="U8H14" localSheetId="15">#REF!</definedName>
    <definedName name="U8H14" localSheetId="19">#REF!</definedName>
    <definedName name="U8H14" localSheetId="20">#REF!</definedName>
    <definedName name="U8H14" localSheetId="24">#REF!</definedName>
    <definedName name="U8H14" localSheetId="104">#REF!</definedName>
    <definedName name="U8H14" localSheetId="65">#REF!</definedName>
    <definedName name="U8H14" localSheetId="64">#REF!</definedName>
    <definedName name="U8H14" localSheetId="77">#REF!</definedName>
    <definedName name="U8H14" localSheetId="49">#REF!</definedName>
    <definedName name="U8H14" localSheetId="40">#REF!</definedName>
    <definedName name="U8H14" localSheetId="43">#REF!</definedName>
    <definedName name="U8H14" localSheetId="13">#REF!</definedName>
    <definedName name="U8H14" localSheetId="38">#REF!</definedName>
    <definedName name="U8H14">#REF!</definedName>
    <definedName name="U8H15" localSheetId="3">#REF!</definedName>
    <definedName name="U8H15" localSheetId="7">#REF!</definedName>
    <definedName name="U8H15" localSheetId="9">#REF!</definedName>
    <definedName name="U8H15" localSheetId="10">#REF!</definedName>
    <definedName name="U8H15" localSheetId="15">#REF!</definedName>
    <definedName name="U8H15" localSheetId="19">#REF!</definedName>
    <definedName name="U8H15" localSheetId="20">#REF!</definedName>
    <definedName name="U8H15" localSheetId="24">#REF!</definedName>
    <definedName name="U8H15" localSheetId="104">#REF!</definedName>
    <definedName name="U8H15" localSheetId="65">#REF!</definedName>
    <definedName name="U8H15" localSheetId="64">#REF!</definedName>
    <definedName name="U8H15" localSheetId="77">#REF!</definedName>
    <definedName name="U8H15" localSheetId="49">#REF!</definedName>
    <definedName name="U8H15" localSheetId="40">#REF!</definedName>
    <definedName name="U8H15" localSheetId="43">#REF!</definedName>
    <definedName name="U8H15" localSheetId="13">#REF!</definedName>
    <definedName name="U8H15" localSheetId="38">#REF!</definedName>
    <definedName name="U8H15">#REF!</definedName>
    <definedName name="U8H2" localSheetId="3">#REF!</definedName>
    <definedName name="U8H2" localSheetId="7">#REF!</definedName>
    <definedName name="U8H2" localSheetId="9">#REF!</definedName>
    <definedName name="U8H2" localSheetId="10">#REF!</definedName>
    <definedName name="U8H2" localSheetId="15">#REF!</definedName>
    <definedName name="U8H2" localSheetId="19">#REF!</definedName>
    <definedName name="U8H2" localSheetId="20">#REF!</definedName>
    <definedName name="U8H2" localSheetId="24">#REF!</definedName>
    <definedName name="U8H2" localSheetId="104">#REF!</definedName>
    <definedName name="U8H2" localSheetId="65">#REF!</definedName>
    <definedName name="U8H2" localSheetId="64">#REF!</definedName>
    <definedName name="U8H2" localSheetId="77">#REF!</definedName>
    <definedName name="U8H2" localSheetId="49">#REF!</definedName>
    <definedName name="U8H2" localSheetId="40">#REF!</definedName>
    <definedName name="U8H2" localSheetId="43">#REF!</definedName>
    <definedName name="U8H2" localSheetId="13">#REF!</definedName>
    <definedName name="U8H2" localSheetId="38">#REF!</definedName>
    <definedName name="U8H2">#REF!</definedName>
    <definedName name="U8H3" localSheetId="3">#REF!</definedName>
    <definedName name="U8H3" localSheetId="7">#REF!</definedName>
    <definedName name="U8H3" localSheetId="9">#REF!</definedName>
    <definedName name="U8H3" localSheetId="10">#REF!</definedName>
    <definedName name="U8H3" localSheetId="15">#REF!</definedName>
    <definedName name="U8H3" localSheetId="19">#REF!</definedName>
    <definedName name="U8H3" localSheetId="20">#REF!</definedName>
    <definedName name="U8H3" localSheetId="24">#REF!</definedName>
    <definedName name="U8H3" localSheetId="104">#REF!</definedName>
    <definedName name="U8H3" localSheetId="65">#REF!</definedName>
    <definedName name="U8H3" localSheetId="64">#REF!</definedName>
    <definedName name="U8H3" localSheetId="77">#REF!</definedName>
    <definedName name="U8H3" localSheetId="49">#REF!</definedName>
    <definedName name="U8H3" localSheetId="40">#REF!</definedName>
    <definedName name="U8H3" localSheetId="43">#REF!</definedName>
    <definedName name="U8H3" localSheetId="13">#REF!</definedName>
    <definedName name="U8H3" localSheetId="38">#REF!</definedName>
    <definedName name="U8H3">#REF!</definedName>
    <definedName name="U8H4" localSheetId="3">#REF!</definedName>
    <definedName name="U8H4" localSheetId="7">#REF!</definedName>
    <definedName name="U8H4" localSheetId="9">#REF!</definedName>
    <definedName name="U8H4" localSheetId="10">#REF!</definedName>
    <definedName name="U8H4" localSheetId="15">#REF!</definedName>
    <definedName name="U8H4" localSheetId="19">#REF!</definedName>
    <definedName name="U8H4" localSheetId="20">#REF!</definedName>
    <definedName name="U8H4" localSheetId="24">#REF!</definedName>
    <definedName name="U8H4" localSheetId="104">#REF!</definedName>
    <definedName name="U8H4" localSheetId="65">#REF!</definedName>
    <definedName name="U8H4" localSheetId="64">#REF!</definedName>
    <definedName name="U8H4" localSheetId="77">#REF!</definedName>
    <definedName name="U8H4" localSheetId="49">#REF!</definedName>
    <definedName name="U8H4" localSheetId="40">#REF!</definedName>
    <definedName name="U8H4" localSheetId="43">#REF!</definedName>
    <definedName name="U8H4" localSheetId="13">#REF!</definedName>
    <definedName name="U8H4" localSheetId="38">#REF!</definedName>
    <definedName name="U8H4">#REF!</definedName>
    <definedName name="U8H5" localSheetId="3">#REF!</definedName>
    <definedName name="U8H5" localSheetId="7">#REF!</definedName>
    <definedName name="U8H5" localSheetId="9">#REF!</definedName>
    <definedName name="U8H5" localSheetId="10">#REF!</definedName>
    <definedName name="U8H5" localSheetId="15">#REF!</definedName>
    <definedName name="U8H5" localSheetId="19">#REF!</definedName>
    <definedName name="U8H5" localSheetId="20">#REF!</definedName>
    <definedName name="U8H5" localSheetId="24">#REF!</definedName>
    <definedName name="U8H5" localSheetId="104">#REF!</definedName>
    <definedName name="U8H5" localSheetId="65">#REF!</definedName>
    <definedName name="U8H5" localSheetId="64">#REF!</definedName>
    <definedName name="U8H5" localSheetId="77">#REF!</definedName>
    <definedName name="U8H5" localSheetId="49">#REF!</definedName>
    <definedName name="U8H5" localSheetId="40">#REF!</definedName>
    <definedName name="U8H5" localSheetId="43">#REF!</definedName>
    <definedName name="U8H5" localSheetId="13">#REF!</definedName>
    <definedName name="U8H5" localSheetId="38">#REF!</definedName>
    <definedName name="U8H5">#REF!</definedName>
    <definedName name="U8H6" localSheetId="3">#REF!</definedName>
    <definedName name="U8H6" localSheetId="7">#REF!</definedName>
    <definedName name="U8H6" localSheetId="9">#REF!</definedName>
    <definedName name="U8H6" localSheetId="10">#REF!</definedName>
    <definedName name="U8H6" localSheetId="15">#REF!</definedName>
    <definedName name="U8H6" localSheetId="19">#REF!</definedName>
    <definedName name="U8H6" localSheetId="20">#REF!</definedName>
    <definedName name="U8H6" localSheetId="24">#REF!</definedName>
    <definedName name="U8H6" localSheetId="104">#REF!</definedName>
    <definedName name="U8H6" localSheetId="65">#REF!</definedName>
    <definedName name="U8H6" localSheetId="64">#REF!</definedName>
    <definedName name="U8H6" localSheetId="77">#REF!</definedName>
    <definedName name="U8H6" localSheetId="49">#REF!</definedName>
    <definedName name="U8H6" localSheetId="40">#REF!</definedName>
    <definedName name="U8H6" localSheetId="43">#REF!</definedName>
    <definedName name="U8H6" localSheetId="13">#REF!</definedName>
    <definedName name="U8H6" localSheetId="38">#REF!</definedName>
    <definedName name="U8H6">#REF!</definedName>
    <definedName name="U8H7" localSheetId="3">#REF!</definedName>
    <definedName name="U8H7" localSheetId="7">#REF!</definedName>
    <definedName name="U8H7" localSheetId="9">#REF!</definedName>
    <definedName name="U8H7" localSheetId="10">#REF!</definedName>
    <definedName name="U8H7" localSheetId="15">#REF!</definedName>
    <definedName name="U8H7" localSheetId="19">#REF!</definedName>
    <definedName name="U8H7" localSheetId="20">#REF!</definedName>
    <definedName name="U8H7" localSheetId="24">#REF!</definedName>
    <definedName name="U8H7" localSheetId="104">#REF!</definedName>
    <definedName name="U8H7" localSheetId="65">#REF!</definedName>
    <definedName name="U8H7" localSheetId="64">#REF!</definedName>
    <definedName name="U8H7" localSheetId="77">#REF!</definedName>
    <definedName name="U8H7" localSheetId="49">#REF!</definedName>
    <definedName name="U8H7" localSheetId="40">#REF!</definedName>
    <definedName name="U8H7" localSheetId="43">#REF!</definedName>
    <definedName name="U8H7" localSheetId="13">#REF!</definedName>
    <definedName name="U8H7" localSheetId="38">#REF!</definedName>
    <definedName name="U8H7">#REF!</definedName>
    <definedName name="U8H8" localSheetId="3">#REF!</definedName>
    <definedName name="U8H8" localSheetId="7">#REF!</definedName>
    <definedName name="U8H8" localSheetId="9">#REF!</definedName>
    <definedName name="U8H8" localSheetId="10">#REF!</definedName>
    <definedName name="U8H8" localSheetId="15">#REF!</definedName>
    <definedName name="U8H8" localSheetId="19">#REF!</definedName>
    <definedName name="U8H8" localSheetId="20">#REF!</definedName>
    <definedName name="U8H8" localSheetId="24">#REF!</definedName>
    <definedName name="U8H8" localSheetId="104">#REF!</definedName>
    <definedName name="U8H8" localSheetId="65">#REF!</definedName>
    <definedName name="U8H8" localSheetId="64">#REF!</definedName>
    <definedName name="U8H8" localSheetId="77">#REF!</definedName>
    <definedName name="U8H8" localSheetId="49">#REF!</definedName>
    <definedName name="U8H8" localSheetId="40">#REF!</definedName>
    <definedName name="U8H8" localSheetId="43">#REF!</definedName>
    <definedName name="U8H8" localSheetId="13">#REF!</definedName>
    <definedName name="U8H8" localSheetId="38">#REF!</definedName>
    <definedName name="U8H8">#REF!</definedName>
    <definedName name="U8H9" localSheetId="3">#REF!</definedName>
    <definedName name="U8H9" localSheetId="7">#REF!</definedName>
    <definedName name="U8H9" localSheetId="9">#REF!</definedName>
    <definedName name="U8H9" localSheetId="10">#REF!</definedName>
    <definedName name="U8H9" localSheetId="15">#REF!</definedName>
    <definedName name="U8H9" localSheetId="19">#REF!</definedName>
    <definedName name="U8H9" localSheetId="20">#REF!</definedName>
    <definedName name="U8H9" localSheetId="24">#REF!</definedName>
    <definedName name="U8H9" localSheetId="104">#REF!</definedName>
    <definedName name="U8H9" localSheetId="65">#REF!</definedName>
    <definedName name="U8H9" localSheetId="64">#REF!</definedName>
    <definedName name="U8H9" localSheetId="77">#REF!</definedName>
    <definedName name="U8H9" localSheetId="49">#REF!</definedName>
    <definedName name="U8H9" localSheetId="40">#REF!</definedName>
    <definedName name="U8H9" localSheetId="43">#REF!</definedName>
    <definedName name="U8H9" localSheetId="13">#REF!</definedName>
    <definedName name="U8H9" localSheetId="38">#REF!</definedName>
    <definedName name="U8H9">#REF!</definedName>
    <definedName name="U8IH1" localSheetId="3">#REF!</definedName>
    <definedName name="U8IH1" localSheetId="7">#REF!</definedName>
    <definedName name="U8IH1" localSheetId="9">#REF!</definedName>
    <definedName name="U8IH1" localSheetId="10">#REF!</definedName>
    <definedName name="U8IH1" localSheetId="15">#REF!</definedName>
    <definedName name="U8IH1" localSheetId="19">#REF!</definedName>
    <definedName name="U8IH1" localSheetId="20">#REF!</definedName>
    <definedName name="U8IH1" localSheetId="24">#REF!</definedName>
    <definedName name="U8IH1" localSheetId="104">#REF!</definedName>
    <definedName name="U8IH1" localSheetId="65">#REF!</definedName>
    <definedName name="U8IH1" localSheetId="64">#REF!</definedName>
    <definedName name="U8IH1" localSheetId="77">#REF!</definedName>
    <definedName name="U8IH1" localSheetId="49">#REF!</definedName>
    <definedName name="U8IH1" localSheetId="40">#REF!</definedName>
    <definedName name="U8IH1" localSheetId="43">#REF!</definedName>
    <definedName name="U8IH1" localSheetId="13">#REF!</definedName>
    <definedName name="U8IH1" localSheetId="38">#REF!</definedName>
    <definedName name="U8IH1">#REF!</definedName>
    <definedName name="U8IH2" localSheetId="3">#REF!</definedName>
    <definedName name="U8IH2" localSheetId="7">#REF!</definedName>
    <definedName name="U8IH2" localSheetId="9">#REF!</definedName>
    <definedName name="U8IH2" localSheetId="10">#REF!</definedName>
    <definedName name="U8IH2" localSheetId="15">#REF!</definedName>
    <definedName name="U8IH2" localSheetId="19">#REF!</definedName>
    <definedName name="U8IH2" localSheetId="20">#REF!</definedName>
    <definedName name="U8IH2" localSheetId="24">#REF!</definedName>
    <definedName name="U8IH2" localSheetId="104">#REF!</definedName>
    <definedName name="U8IH2" localSheetId="65">#REF!</definedName>
    <definedName name="U8IH2" localSheetId="64">#REF!</definedName>
    <definedName name="U8IH2" localSheetId="77">#REF!</definedName>
    <definedName name="U8IH2" localSheetId="49">#REF!</definedName>
    <definedName name="U8IH2" localSheetId="40">#REF!</definedName>
    <definedName name="U8IH2" localSheetId="43">#REF!</definedName>
    <definedName name="U8IH2" localSheetId="13">#REF!</definedName>
    <definedName name="U8IH2" localSheetId="38">#REF!</definedName>
    <definedName name="U8IH2">#REF!</definedName>
    <definedName name="U8IH3" localSheetId="3">#REF!</definedName>
    <definedName name="U8IH3" localSheetId="7">#REF!</definedName>
    <definedName name="U8IH3" localSheetId="9">#REF!</definedName>
    <definedName name="U8IH3" localSheetId="10">#REF!</definedName>
    <definedName name="U8IH3" localSheetId="15">#REF!</definedName>
    <definedName name="U8IH3" localSheetId="19">#REF!</definedName>
    <definedName name="U8IH3" localSheetId="20">#REF!</definedName>
    <definedName name="U8IH3" localSheetId="24">#REF!</definedName>
    <definedName name="U8IH3" localSheetId="104">#REF!</definedName>
    <definedName name="U8IH3" localSheetId="65">#REF!</definedName>
    <definedName name="U8IH3" localSheetId="64">#REF!</definedName>
    <definedName name="U8IH3" localSheetId="77">#REF!</definedName>
    <definedName name="U8IH3" localSheetId="49">#REF!</definedName>
    <definedName name="U8IH3" localSheetId="40">#REF!</definedName>
    <definedName name="U8IH3" localSheetId="43">#REF!</definedName>
    <definedName name="U8IH3" localSheetId="13">#REF!</definedName>
    <definedName name="U8IH3" localSheetId="38">#REF!</definedName>
    <definedName name="U8IH3">#REF!</definedName>
    <definedName name="U8IH4" localSheetId="3">#REF!</definedName>
    <definedName name="U8IH4" localSheetId="7">#REF!</definedName>
    <definedName name="U8IH4" localSheetId="9">#REF!</definedName>
    <definedName name="U8IH4" localSheetId="10">#REF!</definedName>
    <definedName name="U8IH4" localSheetId="15">#REF!</definedName>
    <definedName name="U8IH4" localSheetId="19">#REF!</definedName>
    <definedName name="U8IH4" localSheetId="20">#REF!</definedName>
    <definedName name="U8IH4" localSheetId="24">#REF!</definedName>
    <definedName name="U8IH4" localSheetId="104">#REF!</definedName>
    <definedName name="U8IH4" localSheetId="65">#REF!</definedName>
    <definedName name="U8IH4" localSheetId="64">#REF!</definedName>
    <definedName name="U8IH4" localSheetId="77">#REF!</definedName>
    <definedName name="U8IH4" localSheetId="49">#REF!</definedName>
    <definedName name="U8IH4" localSheetId="40">#REF!</definedName>
    <definedName name="U8IH4" localSheetId="43">#REF!</definedName>
    <definedName name="U8IH4" localSheetId="13">#REF!</definedName>
    <definedName name="U8IH4" localSheetId="38">#REF!</definedName>
    <definedName name="U8IH4">#REF!</definedName>
    <definedName name="U8IH5" localSheetId="3">#REF!</definedName>
    <definedName name="U8IH5" localSheetId="7">#REF!</definedName>
    <definedName name="U8IH5" localSheetId="9">#REF!</definedName>
    <definedName name="U8IH5" localSheetId="10">#REF!</definedName>
    <definedName name="U8IH5" localSheetId="15">#REF!</definedName>
    <definedName name="U8IH5" localSheetId="19">#REF!</definedName>
    <definedName name="U8IH5" localSheetId="20">#REF!</definedName>
    <definedName name="U8IH5" localSheetId="24">#REF!</definedName>
    <definedName name="U8IH5" localSheetId="104">#REF!</definedName>
    <definedName name="U8IH5" localSheetId="65">#REF!</definedName>
    <definedName name="U8IH5" localSheetId="64">#REF!</definedName>
    <definedName name="U8IH5" localSheetId="77">#REF!</definedName>
    <definedName name="U8IH5" localSheetId="49">#REF!</definedName>
    <definedName name="U8IH5" localSheetId="40">#REF!</definedName>
    <definedName name="U8IH5" localSheetId="43">#REF!</definedName>
    <definedName name="U8IH5" localSheetId="13">#REF!</definedName>
    <definedName name="U8IH5" localSheetId="38">#REF!</definedName>
    <definedName name="U8IH5">#REF!</definedName>
    <definedName name="U9H1" localSheetId="3">#REF!</definedName>
    <definedName name="U9H1" localSheetId="7">#REF!</definedName>
    <definedName name="U9H1" localSheetId="9">#REF!</definedName>
    <definedName name="U9H1" localSheetId="10">#REF!</definedName>
    <definedName name="U9H1" localSheetId="15">#REF!</definedName>
    <definedName name="U9H1" localSheetId="19">#REF!</definedName>
    <definedName name="U9H1" localSheetId="20">#REF!</definedName>
    <definedName name="U9H1" localSheetId="24">#REF!</definedName>
    <definedName name="U9H1" localSheetId="104">#REF!</definedName>
    <definedName name="U9H1" localSheetId="65">#REF!</definedName>
    <definedName name="U9H1" localSheetId="64">#REF!</definedName>
    <definedName name="U9H1" localSheetId="77">#REF!</definedName>
    <definedName name="U9H1" localSheetId="49">#REF!</definedName>
    <definedName name="U9H1" localSheetId="40">#REF!</definedName>
    <definedName name="U9H1" localSheetId="43">#REF!</definedName>
    <definedName name="U9H1" localSheetId="13">#REF!</definedName>
    <definedName name="U9H1" localSheetId="38">#REF!</definedName>
    <definedName name="U9H1">#REF!</definedName>
    <definedName name="U9H10" localSheetId="3">#REF!</definedName>
    <definedName name="U9H10" localSheetId="7">#REF!</definedName>
    <definedName name="U9H10" localSheetId="9">#REF!</definedName>
    <definedName name="U9H10" localSheetId="10">#REF!</definedName>
    <definedName name="U9H10" localSheetId="15">#REF!</definedName>
    <definedName name="U9H10" localSheetId="19">#REF!</definedName>
    <definedName name="U9H10" localSheetId="20">#REF!</definedName>
    <definedName name="U9H10" localSheetId="24">#REF!</definedName>
    <definedName name="U9H10" localSheetId="104">#REF!</definedName>
    <definedName name="U9H10" localSheetId="65">#REF!</definedName>
    <definedName name="U9H10" localSheetId="64">#REF!</definedName>
    <definedName name="U9H10" localSheetId="77">#REF!</definedName>
    <definedName name="U9H10" localSheetId="49">#REF!</definedName>
    <definedName name="U9H10" localSheetId="40">#REF!</definedName>
    <definedName name="U9H10" localSheetId="43">#REF!</definedName>
    <definedName name="U9H10" localSheetId="13">#REF!</definedName>
    <definedName name="U9H10" localSheetId="38">#REF!</definedName>
    <definedName name="U9H10">#REF!</definedName>
    <definedName name="U9H11" localSheetId="3">#REF!</definedName>
    <definedName name="U9H11" localSheetId="7">#REF!</definedName>
    <definedName name="U9H11" localSheetId="9">#REF!</definedName>
    <definedName name="U9H11" localSheetId="10">#REF!</definedName>
    <definedName name="U9H11" localSheetId="15">#REF!</definedName>
    <definedName name="U9H11" localSheetId="19">#REF!</definedName>
    <definedName name="U9H11" localSheetId="20">#REF!</definedName>
    <definedName name="U9H11" localSheetId="24">#REF!</definedName>
    <definedName name="U9H11" localSheetId="104">#REF!</definedName>
    <definedName name="U9H11" localSheetId="65">#REF!</definedName>
    <definedName name="U9H11" localSheetId="64">#REF!</definedName>
    <definedName name="U9H11" localSheetId="77">#REF!</definedName>
    <definedName name="U9H11" localSheetId="49">#REF!</definedName>
    <definedName name="U9H11" localSheetId="40">#REF!</definedName>
    <definedName name="U9H11" localSheetId="43">#REF!</definedName>
    <definedName name="U9H11" localSheetId="13">#REF!</definedName>
    <definedName name="U9H11" localSheetId="38">#REF!</definedName>
    <definedName name="U9H11">#REF!</definedName>
    <definedName name="U9H12" localSheetId="3">#REF!</definedName>
    <definedName name="U9H12" localSheetId="7">#REF!</definedName>
    <definedName name="U9H12" localSheetId="9">#REF!</definedName>
    <definedName name="U9H12" localSheetId="10">#REF!</definedName>
    <definedName name="U9H12" localSheetId="15">#REF!</definedName>
    <definedName name="U9H12" localSheetId="19">#REF!</definedName>
    <definedName name="U9H12" localSheetId="20">#REF!</definedName>
    <definedName name="U9H12" localSheetId="24">#REF!</definedName>
    <definedName name="U9H12" localSheetId="104">#REF!</definedName>
    <definedName name="U9H12" localSheetId="65">#REF!</definedName>
    <definedName name="U9H12" localSheetId="64">#REF!</definedName>
    <definedName name="U9H12" localSheetId="77">#REF!</definedName>
    <definedName name="U9H12" localSheetId="49">#REF!</definedName>
    <definedName name="U9H12" localSheetId="40">#REF!</definedName>
    <definedName name="U9H12" localSheetId="43">#REF!</definedName>
    <definedName name="U9H12" localSheetId="13">#REF!</definedName>
    <definedName name="U9H12" localSheetId="38">#REF!</definedName>
    <definedName name="U9H12">#REF!</definedName>
    <definedName name="U9H13" localSheetId="3">#REF!</definedName>
    <definedName name="U9H13" localSheetId="7">#REF!</definedName>
    <definedName name="U9H13" localSheetId="9">#REF!</definedName>
    <definedName name="U9H13" localSheetId="10">#REF!</definedName>
    <definedName name="U9H13" localSheetId="15">#REF!</definedName>
    <definedName name="U9H13" localSheetId="19">#REF!</definedName>
    <definedName name="U9H13" localSheetId="20">#REF!</definedName>
    <definedName name="U9H13" localSheetId="24">#REF!</definedName>
    <definedName name="U9H13" localSheetId="104">#REF!</definedName>
    <definedName name="U9H13" localSheetId="65">#REF!</definedName>
    <definedName name="U9H13" localSheetId="64">#REF!</definedName>
    <definedName name="U9H13" localSheetId="77">#REF!</definedName>
    <definedName name="U9H13" localSheetId="49">#REF!</definedName>
    <definedName name="U9H13" localSheetId="40">#REF!</definedName>
    <definedName name="U9H13" localSheetId="43">#REF!</definedName>
    <definedName name="U9H13" localSheetId="13">#REF!</definedName>
    <definedName name="U9H13" localSheetId="38">#REF!</definedName>
    <definedName name="U9H13">#REF!</definedName>
    <definedName name="U9H14" localSheetId="3">#REF!</definedName>
    <definedName name="U9H14" localSheetId="7">#REF!</definedName>
    <definedName name="U9H14" localSheetId="9">#REF!</definedName>
    <definedName name="U9H14" localSheetId="10">#REF!</definedName>
    <definedName name="U9H14" localSheetId="15">#REF!</definedName>
    <definedName name="U9H14" localSheetId="19">#REF!</definedName>
    <definedName name="U9H14" localSheetId="20">#REF!</definedName>
    <definedName name="U9H14" localSheetId="24">#REF!</definedName>
    <definedName name="U9H14" localSheetId="104">#REF!</definedName>
    <definedName name="U9H14" localSheetId="65">#REF!</definedName>
    <definedName name="U9H14" localSheetId="64">#REF!</definedName>
    <definedName name="U9H14" localSheetId="77">#REF!</definedName>
    <definedName name="U9H14" localSheetId="49">#REF!</definedName>
    <definedName name="U9H14" localSheetId="40">#REF!</definedName>
    <definedName name="U9H14" localSheetId="43">#REF!</definedName>
    <definedName name="U9H14" localSheetId="13">#REF!</definedName>
    <definedName name="U9H14" localSheetId="38">#REF!</definedName>
    <definedName name="U9H14">#REF!</definedName>
    <definedName name="U9H15" localSheetId="3">#REF!</definedName>
    <definedName name="U9H15" localSheetId="7">#REF!</definedName>
    <definedName name="U9H15" localSheetId="9">#REF!</definedName>
    <definedName name="U9H15" localSheetId="10">#REF!</definedName>
    <definedName name="U9H15" localSheetId="15">#REF!</definedName>
    <definedName name="U9H15" localSheetId="19">#REF!</definedName>
    <definedName name="U9H15" localSheetId="20">#REF!</definedName>
    <definedName name="U9H15" localSheetId="24">#REF!</definedName>
    <definedName name="U9H15" localSheetId="104">#REF!</definedName>
    <definedName name="U9H15" localSheetId="65">#REF!</definedName>
    <definedName name="U9H15" localSheetId="64">#REF!</definedName>
    <definedName name="U9H15" localSheetId="77">#REF!</definedName>
    <definedName name="U9H15" localSheetId="49">#REF!</definedName>
    <definedName name="U9H15" localSheetId="40">#REF!</definedName>
    <definedName name="U9H15" localSheetId="43">#REF!</definedName>
    <definedName name="U9H15" localSheetId="13">#REF!</definedName>
    <definedName name="U9H15" localSheetId="38">#REF!</definedName>
    <definedName name="U9H15">#REF!</definedName>
    <definedName name="U9H2" localSheetId="3">#REF!</definedName>
    <definedName name="U9H2" localSheetId="7">#REF!</definedName>
    <definedName name="U9H2" localSheetId="9">#REF!</definedName>
    <definedName name="U9H2" localSheetId="10">#REF!</definedName>
    <definedName name="U9H2" localSheetId="15">#REF!</definedName>
    <definedName name="U9H2" localSheetId="19">#REF!</definedName>
    <definedName name="U9H2" localSheetId="20">#REF!</definedName>
    <definedName name="U9H2" localSheetId="24">#REF!</definedName>
    <definedName name="U9H2" localSheetId="104">#REF!</definedName>
    <definedName name="U9H2" localSheetId="65">#REF!</definedName>
    <definedName name="U9H2" localSheetId="64">#REF!</definedName>
    <definedName name="U9H2" localSheetId="77">#REF!</definedName>
    <definedName name="U9H2" localSheetId="49">#REF!</definedName>
    <definedName name="U9H2" localSheetId="40">#REF!</definedName>
    <definedName name="U9H2" localSheetId="43">#REF!</definedName>
    <definedName name="U9H2" localSheetId="13">#REF!</definedName>
    <definedName name="U9H2" localSheetId="38">#REF!</definedName>
    <definedName name="U9H2">#REF!</definedName>
    <definedName name="U9H3" localSheetId="3">#REF!</definedName>
    <definedName name="U9H3" localSheetId="7">#REF!</definedName>
    <definedName name="U9H3" localSheetId="9">#REF!</definedName>
    <definedName name="U9H3" localSheetId="10">#REF!</definedName>
    <definedName name="U9H3" localSheetId="15">#REF!</definedName>
    <definedName name="U9H3" localSheetId="19">#REF!</definedName>
    <definedName name="U9H3" localSheetId="20">#REF!</definedName>
    <definedName name="U9H3" localSheetId="24">#REF!</definedName>
    <definedName name="U9H3" localSheetId="104">#REF!</definedName>
    <definedName name="U9H3" localSheetId="65">#REF!</definedName>
    <definedName name="U9H3" localSheetId="64">#REF!</definedName>
    <definedName name="U9H3" localSheetId="77">#REF!</definedName>
    <definedName name="U9H3" localSheetId="49">#REF!</definedName>
    <definedName name="U9H3" localSheetId="40">#REF!</definedName>
    <definedName name="U9H3" localSheetId="43">#REF!</definedName>
    <definedName name="U9H3" localSheetId="13">#REF!</definedName>
    <definedName name="U9H3" localSheetId="38">#REF!</definedName>
    <definedName name="U9H3">#REF!</definedName>
    <definedName name="U9H4" localSheetId="3">#REF!</definedName>
    <definedName name="U9H4" localSheetId="7">#REF!</definedName>
    <definedName name="U9H4" localSheetId="9">#REF!</definedName>
    <definedName name="U9H4" localSheetId="10">#REF!</definedName>
    <definedName name="U9H4" localSheetId="15">#REF!</definedName>
    <definedName name="U9H4" localSheetId="19">#REF!</definedName>
    <definedName name="U9H4" localSheetId="20">#REF!</definedName>
    <definedName name="U9H4" localSheetId="24">#REF!</definedName>
    <definedName name="U9H4" localSheetId="104">#REF!</definedName>
    <definedName name="U9H4" localSheetId="65">#REF!</definedName>
    <definedName name="U9H4" localSheetId="64">#REF!</definedName>
    <definedName name="U9H4" localSheetId="77">#REF!</definedName>
    <definedName name="U9H4" localSheetId="49">#REF!</definedName>
    <definedName name="U9H4" localSheetId="40">#REF!</definedName>
    <definedName name="U9H4" localSheetId="43">#REF!</definedName>
    <definedName name="U9H4" localSheetId="13">#REF!</definedName>
    <definedName name="U9H4" localSheetId="38">#REF!</definedName>
    <definedName name="U9H4">#REF!</definedName>
    <definedName name="U9H5" localSheetId="3">#REF!</definedName>
    <definedName name="U9H5" localSheetId="7">#REF!</definedName>
    <definedName name="U9H5" localSheetId="9">#REF!</definedName>
    <definedName name="U9H5" localSheetId="10">#REF!</definedName>
    <definedName name="U9H5" localSheetId="15">#REF!</definedName>
    <definedName name="U9H5" localSheetId="19">#REF!</definedName>
    <definedName name="U9H5" localSheetId="20">#REF!</definedName>
    <definedName name="U9H5" localSheetId="24">#REF!</definedName>
    <definedName name="U9H5" localSheetId="104">#REF!</definedName>
    <definedName name="U9H5" localSheetId="65">#REF!</definedName>
    <definedName name="U9H5" localSheetId="64">#REF!</definedName>
    <definedName name="U9H5" localSheetId="77">#REF!</definedName>
    <definedName name="U9H5" localSheetId="49">#REF!</definedName>
    <definedName name="U9H5" localSheetId="40">#REF!</definedName>
    <definedName name="U9H5" localSheetId="43">#REF!</definedName>
    <definedName name="U9H5" localSheetId="13">#REF!</definedName>
    <definedName name="U9H5" localSheetId="38">#REF!</definedName>
    <definedName name="U9H5">#REF!</definedName>
    <definedName name="U9H6" localSheetId="3">#REF!</definedName>
    <definedName name="U9H6" localSheetId="7">#REF!</definedName>
    <definedName name="U9H6" localSheetId="9">#REF!</definedName>
    <definedName name="U9H6" localSheetId="10">#REF!</definedName>
    <definedName name="U9H6" localSheetId="15">#REF!</definedName>
    <definedName name="U9H6" localSheetId="19">#REF!</definedName>
    <definedName name="U9H6" localSheetId="20">#REF!</definedName>
    <definedName name="U9H6" localSheetId="24">#REF!</definedName>
    <definedName name="U9H6" localSheetId="104">#REF!</definedName>
    <definedName name="U9H6" localSheetId="65">#REF!</definedName>
    <definedName name="U9H6" localSheetId="64">#REF!</definedName>
    <definedName name="U9H6" localSheetId="77">#REF!</definedName>
    <definedName name="U9H6" localSheetId="49">#REF!</definedName>
    <definedName name="U9H6" localSheetId="40">#REF!</definedName>
    <definedName name="U9H6" localSheetId="43">#REF!</definedName>
    <definedName name="U9H6" localSheetId="13">#REF!</definedName>
    <definedName name="U9H6" localSheetId="38">#REF!</definedName>
    <definedName name="U9H6">#REF!</definedName>
    <definedName name="U9H7" localSheetId="3">#REF!</definedName>
    <definedName name="U9H7" localSheetId="7">#REF!</definedName>
    <definedName name="U9H7" localSheetId="9">#REF!</definedName>
    <definedName name="U9H7" localSheetId="10">#REF!</definedName>
    <definedName name="U9H7" localSheetId="15">#REF!</definedName>
    <definedName name="U9H7" localSheetId="19">#REF!</definedName>
    <definedName name="U9H7" localSheetId="20">#REF!</definedName>
    <definedName name="U9H7" localSheetId="24">#REF!</definedName>
    <definedName name="U9H7" localSheetId="104">#REF!</definedName>
    <definedName name="U9H7" localSheetId="65">#REF!</definedName>
    <definedName name="U9H7" localSheetId="64">#REF!</definedName>
    <definedName name="U9H7" localSheetId="77">#REF!</definedName>
    <definedName name="U9H7" localSheetId="49">#REF!</definedName>
    <definedName name="U9H7" localSheetId="40">#REF!</definedName>
    <definedName name="U9H7" localSheetId="43">#REF!</definedName>
    <definedName name="U9H7" localSheetId="13">#REF!</definedName>
    <definedName name="U9H7" localSheetId="38">#REF!</definedName>
    <definedName name="U9H7">#REF!</definedName>
    <definedName name="U9H8" localSheetId="3">#REF!</definedName>
    <definedName name="U9H8" localSheetId="7">#REF!</definedName>
    <definedName name="U9H8" localSheetId="9">#REF!</definedName>
    <definedName name="U9H8" localSheetId="10">#REF!</definedName>
    <definedName name="U9H8" localSheetId="15">#REF!</definedName>
    <definedName name="U9H8" localSheetId="19">#REF!</definedName>
    <definedName name="U9H8" localSheetId="20">#REF!</definedName>
    <definedName name="U9H8" localSheetId="24">#REF!</definedName>
    <definedName name="U9H8" localSheetId="104">#REF!</definedName>
    <definedName name="U9H8" localSheetId="65">#REF!</definedName>
    <definedName name="U9H8" localSheetId="64">#REF!</definedName>
    <definedName name="U9H8" localSheetId="77">#REF!</definedName>
    <definedName name="U9H8" localSheetId="49">#REF!</definedName>
    <definedName name="U9H8" localSheetId="40">#REF!</definedName>
    <definedName name="U9H8" localSheetId="43">#REF!</definedName>
    <definedName name="U9H8" localSheetId="13">#REF!</definedName>
    <definedName name="U9H8" localSheetId="38">#REF!</definedName>
    <definedName name="U9H8">#REF!</definedName>
    <definedName name="U9H9" localSheetId="3">#REF!</definedName>
    <definedName name="U9H9" localSheetId="7">#REF!</definedName>
    <definedName name="U9H9" localSheetId="9">#REF!</definedName>
    <definedName name="U9H9" localSheetId="10">#REF!</definedName>
    <definedName name="U9H9" localSheetId="15">#REF!</definedName>
    <definedName name="U9H9" localSheetId="19">#REF!</definedName>
    <definedName name="U9H9" localSheetId="20">#REF!</definedName>
    <definedName name="U9H9" localSheetId="24">#REF!</definedName>
    <definedName name="U9H9" localSheetId="104">#REF!</definedName>
    <definedName name="U9H9" localSheetId="65">#REF!</definedName>
    <definedName name="U9H9" localSheetId="64">#REF!</definedName>
    <definedName name="U9H9" localSheetId="77">#REF!</definedName>
    <definedName name="U9H9" localSheetId="49">#REF!</definedName>
    <definedName name="U9H9" localSheetId="40">#REF!</definedName>
    <definedName name="U9H9" localSheetId="43">#REF!</definedName>
    <definedName name="U9H9" localSheetId="13">#REF!</definedName>
    <definedName name="U9H9" localSheetId="38">#REF!</definedName>
    <definedName name="U9H9">#REF!</definedName>
    <definedName name="U9IH1" localSheetId="3">#REF!</definedName>
    <definedName name="U9IH1" localSheetId="7">#REF!</definedName>
    <definedName name="U9IH1" localSheetId="9">#REF!</definedName>
    <definedName name="U9IH1" localSheetId="10">#REF!</definedName>
    <definedName name="U9IH1" localSheetId="15">#REF!</definedName>
    <definedName name="U9IH1" localSheetId="19">#REF!</definedName>
    <definedName name="U9IH1" localSheetId="20">#REF!</definedName>
    <definedName name="U9IH1" localSheetId="24">#REF!</definedName>
    <definedName name="U9IH1" localSheetId="104">#REF!</definedName>
    <definedName name="U9IH1" localSheetId="65">#REF!</definedName>
    <definedName name="U9IH1" localSheetId="64">#REF!</definedName>
    <definedName name="U9IH1" localSheetId="77">#REF!</definedName>
    <definedName name="U9IH1" localSheetId="49">#REF!</definedName>
    <definedName name="U9IH1" localSheetId="40">#REF!</definedName>
    <definedName name="U9IH1" localSheetId="43">#REF!</definedName>
    <definedName name="U9IH1" localSheetId="13">#REF!</definedName>
    <definedName name="U9IH1" localSheetId="38">#REF!</definedName>
    <definedName name="U9IH1">#REF!</definedName>
    <definedName name="U9IH2" localSheetId="3">#REF!</definedName>
    <definedName name="U9IH2" localSheetId="7">#REF!</definedName>
    <definedName name="U9IH2" localSheetId="9">#REF!</definedName>
    <definedName name="U9IH2" localSheetId="10">#REF!</definedName>
    <definedName name="U9IH2" localSheetId="15">#REF!</definedName>
    <definedName name="U9IH2" localSheetId="19">#REF!</definedName>
    <definedName name="U9IH2" localSheetId="20">#REF!</definedName>
    <definedName name="U9IH2" localSheetId="24">#REF!</definedName>
    <definedName name="U9IH2" localSheetId="104">#REF!</definedName>
    <definedName name="U9IH2" localSheetId="65">#REF!</definedName>
    <definedName name="U9IH2" localSheetId="64">#REF!</definedName>
    <definedName name="U9IH2" localSheetId="77">#REF!</definedName>
    <definedName name="U9IH2" localSheetId="49">#REF!</definedName>
    <definedName name="U9IH2" localSheetId="40">#REF!</definedName>
    <definedName name="U9IH2" localSheetId="43">#REF!</definedName>
    <definedName name="U9IH2" localSheetId="13">#REF!</definedName>
    <definedName name="U9IH2" localSheetId="38">#REF!</definedName>
    <definedName name="U9IH2">#REF!</definedName>
    <definedName name="U9IH3" localSheetId="3">#REF!</definedName>
    <definedName name="U9IH3" localSheetId="7">#REF!</definedName>
    <definedName name="U9IH3" localSheetId="9">#REF!</definedName>
    <definedName name="U9IH3" localSheetId="10">#REF!</definedName>
    <definedName name="U9IH3" localSheetId="15">#REF!</definedName>
    <definedName name="U9IH3" localSheetId="19">#REF!</definedName>
    <definedName name="U9IH3" localSheetId="20">#REF!</definedName>
    <definedName name="U9IH3" localSheetId="24">#REF!</definedName>
    <definedName name="U9IH3" localSheetId="104">#REF!</definedName>
    <definedName name="U9IH3" localSheetId="65">#REF!</definedName>
    <definedName name="U9IH3" localSheetId="64">#REF!</definedName>
    <definedName name="U9IH3" localSheetId="77">#REF!</definedName>
    <definedName name="U9IH3" localSheetId="49">#REF!</definedName>
    <definedName name="U9IH3" localSheetId="40">#REF!</definedName>
    <definedName name="U9IH3" localSheetId="43">#REF!</definedName>
    <definedName name="U9IH3" localSheetId="13">#REF!</definedName>
    <definedName name="U9IH3" localSheetId="38">#REF!</definedName>
    <definedName name="U9IH3">#REF!</definedName>
    <definedName name="U9IH4" localSheetId="3">#REF!</definedName>
    <definedName name="U9IH4" localSheetId="7">#REF!</definedName>
    <definedName name="U9IH4" localSheetId="9">#REF!</definedName>
    <definedName name="U9IH4" localSheetId="10">#REF!</definedName>
    <definedName name="U9IH4" localSheetId="15">#REF!</definedName>
    <definedName name="U9IH4" localSheetId="19">#REF!</definedName>
    <definedName name="U9IH4" localSheetId="20">#REF!</definedName>
    <definedName name="U9IH4" localSheetId="24">#REF!</definedName>
    <definedName name="U9IH4" localSheetId="104">#REF!</definedName>
    <definedName name="U9IH4" localSheetId="65">#REF!</definedName>
    <definedName name="U9IH4" localSheetId="64">#REF!</definedName>
    <definedName name="U9IH4" localSheetId="77">#REF!</definedName>
    <definedName name="U9IH4" localSheetId="49">#REF!</definedName>
    <definedName name="U9IH4" localSheetId="40">#REF!</definedName>
    <definedName name="U9IH4" localSheetId="43">#REF!</definedName>
    <definedName name="U9IH4" localSheetId="13">#REF!</definedName>
    <definedName name="U9IH4" localSheetId="38">#REF!</definedName>
    <definedName name="U9IH4">#REF!</definedName>
    <definedName name="U9IH5" localSheetId="3">#REF!</definedName>
    <definedName name="U9IH5" localSheetId="7">#REF!</definedName>
    <definedName name="U9IH5" localSheetId="9">#REF!</definedName>
    <definedName name="U9IH5" localSheetId="10">#REF!</definedName>
    <definedName name="U9IH5" localSheetId="15">#REF!</definedName>
    <definedName name="U9IH5" localSheetId="19">#REF!</definedName>
    <definedName name="U9IH5" localSheetId="20">#REF!</definedName>
    <definedName name="U9IH5" localSheetId="24">#REF!</definedName>
    <definedName name="U9IH5" localSheetId="104">#REF!</definedName>
    <definedName name="U9IH5" localSheetId="65">#REF!</definedName>
    <definedName name="U9IH5" localSheetId="64">#REF!</definedName>
    <definedName name="U9IH5" localSheetId="77">#REF!</definedName>
    <definedName name="U9IH5" localSheetId="49">#REF!</definedName>
    <definedName name="U9IH5" localSheetId="40">#REF!</definedName>
    <definedName name="U9IH5" localSheetId="43">#REF!</definedName>
    <definedName name="U9IH5" localSheetId="13">#REF!</definedName>
    <definedName name="U9IH5" localSheetId="38">#REF!</definedName>
    <definedName name="U9IH5">#REF!</definedName>
    <definedName name="uast" localSheetId="3">#REF!</definedName>
    <definedName name="uast" localSheetId="7">#REF!</definedName>
    <definedName name="uast" localSheetId="9">#REF!</definedName>
    <definedName name="uast" localSheetId="10">#REF!</definedName>
    <definedName name="uast" localSheetId="15">#REF!</definedName>
    <definedName name="uast" localSheetId="19">#REF!</definedName>
    <definedName name="uast" localSheetId="20">#REF!</definedName>
    <definedName name="uast" localSheetId="24">#REF!</definedName>
    <definedName name="uast" localSheetId="104">#REF!</definedName>
    <definedName name="uast" localSheetId="65">#REF!</definedName>
    <definedName name="uast" localSheetId="64">#REF!</definedName>
    <definedName name="uast" localSheetId="77">#REF!</definedName>
    <definedName name="uast" localSheetId="49">#REF!</definedName>
    <definedName name="uast" localSheetId="40">#REF!</definedName>
    <definedName name="uast" localSheetId="43">#REF!</definedName>
    <definedName name="uast" localSheetId="13">#REF!</definedName>
    <definedName name="uast" localSheetId="38">#REF!</definedName>
    <definedName name="uast">#REF!</definedName>
    <definedName name="UE1H1" localSheetId="3">#REF!</definedName>
    <definedName name="UE1H1" localSheetId="7">#REF!</definedName>
    <definedName name="UE1H1" localSheetId="9">#REF!</definedName>
    <definedName name="UE1H1" localSheetId="10">#REF!</definedName>
    <definedName name="UE1H1" localSheetId="15">#REF!</definedName>
    <definedName name="UE1H1" localSheetId="19">#REF!</definedName>
    <definedName name="UE1H1" localSheetId="20">#REF!</definedName>
    <definedName name="UE1H1" localSheetId="24">#REF!</definedName>
    <definedName name="UE1H1" localSheetId="104">#REF!</definedName>
    <definedName name="UE1H1" localSheetId="65">#REF!</definedName>
    <definedName name="UE1H1" localSheetId="64">#REF!</definedName>
    <definedName name="UE1H1" localSheetId="77">#REF!</definedName>
    <definedName name="UE1H1" localSheetId="49">#REF!</definedName>
    <definedName name="UE1H1" localSheetId="40">#REF!</definedName>
    <definedName name="UE1H1" localSheetId="43">#REF!</definedName>
    <definedName name="UE1H1" localSheetId="13">#REF!</definedName>
    <definedName name="UE1H1" localSheetId="38">#REF!</definedName>
    <definedName name="UE1H1">#REF!</definedName>
    <definedName name="UE1H10" localSheetId="3">#REF!</definedName>
    <definedName name="UE1H10" localSheetId="7">#REF!</definedName>
    <definedName name="UE1H10" localSheetId="9">#REF!</definedName>
    <definedName name="UE1H10" localSheetId="10">#REF!</definedName>
    <definedName name="UE1H10" localSheetId="15">#REF!</definedName>
    <definedName name="UE1H10" localSheetId="19">#REF!</definedName>
    <definedName name="UE1H10" localSheetId="20">#REF!</definedName>
    <definedName name="UE1H10" localSheetId="24">#REF!</definedName>
    <definedName name="UE1H10" localSheetId="104">#REF!</definedName>
    <definedName name="UE1H10" localSheetId="65">#REF!</definedName>
    <definedName name="UE1H10" localSheetId="64">#REF!</definedName>
    <definedName name="UE1H10" localSheetId="77">#REF!</definedName>
    <definedName name="UE1H10" localSheetId="49">#REF!</definedName>
    <definedName name="UE1H10" localSheetId="40">#REF!</definedName>
    <definedName name="UE1H10" localSheetId="43">#REF!</definedName>
    <definedName name="UE1H10" localSheetId="13">#REF!</definedName>
    <definedName name="UE1H10" localSheetId="38">#REF!</definedName>
    <definedName name="UE1H10">#REF!</definedName>
    <definedName name="UE1H11" localSheetId="3">#REF!</definedName>
    <definedName name="UE1H11" localSheetId="7">#REF!</definedName>
    <definedName name="UE1H11" localSheetId="9">#REF!</definedName>
    <definedName name="UE1H11" localSheetId="10">#REF!</definedName>
    <definedName name="UE1H11" localSheetId="15">#REF!</definedName>
    <definedName name="UE1H11" localSheetId="19">#REF!</definedName>
    <definedName name="UE1H11" localSheetId="20">#REF!</definedName>
    <definedName name="UE1H11" localSheetId="24">#REF!</definedName>
    <definedName name="UE1H11" localSheetId="104">#REF!</definedName>
    <definedName name="UE1H11" localSheetId="65">#REF!</definedName>
    <definedName name="UE1H11" localSheetId="64">#REF!</definedName>
    <definedName name="UE1H11" localSheetId="77">#REF!</definedName>
    <definedName name="UE1H11" localSheetId="49">#REF!</definedName>
    <definedName name="UE1H11" localSheetId="40">#REF!</definedName>
    <definedName name="UE1H11" localSheetId="43">#REF!</definedName>
    <definedName name="UE1H11" localSheetId="13">#REF!</definedName>
    <definedName name="UE1H11" localSheetId="38">#REF!</definedName>
    <definedName name="UE1H11">#REF!</definedName>
    <definedName name="UE1H12" localSheetId="3">#REF!</definedName>
    <definedName name="UE1H12" localSheetId="7">#REF!</definedName>
    <definedName name="UE1H12" localSheetId="9">#REF!</definedName>
    <definedName name="UE1H12" localSheetId="10">#REF!</definedName>
    <definedName name="UE1H12" localSheetId="15">#REF!</definedName>
    <definedName name="UE1H12" localSheetId="19">#REF!</definedName>
    <definedName name="UE1H12" localSheetId="20">#REF!</definedName>
    <definedName name="UE1H12" localSheetId="24">#REF!</definedName>
    <definedName name="UE1H12" localSheetId="104">#REF!</definedName>
    <definedName name="UE1H12" localSheetId="65">#REF!</definedName>
    <definedName name="UE1H12" localSheetId="64">#REF!</definedName>
    <definedName name="UE1H12" localSheetId="77">#REF!</definedName>
    <definedName name="UE1H12" localSheetId="49">#REF!</definedName>
    <definedName name="UE1H12" localSheetId="40">#REF!</definedName>
    <definedName name="UE1H12" localSheetId="43">#REF!</definedName>
    <definedName name="UE1H12" localSheetId="13">#REF!</definedName>
    <definedName name="UE1H12" localSheetId="38">#REF!</definedName>
    <definedName name="UE1H12">#REF!</definedName>
    <definedName name="UE1H13" localSheetId="3">#REF!</definedName>
    <definedName name="UE1H13" localSheetId="7">#REF!</definedName>
    <definedName name="UE1H13" localSheetId="9">#REF!</definedName>
    <definedName name="UE1H13" localSheetId="10">#REF!</definedName>
    <definedName name="UE1H13" localSheetId="15">#REF!</definedName>
    <definedName name="UE1H13" localSheetId="19">#REF!</definedName>
    <definedName name="UE1H13" localSheetId="20">#REF!</definedName>
    <definedName name="UE1H13" localSheetId="24">#REF!</definedName>
    <definedName name="UE1H13" localSheetId="104">#REF!</definedName>
    <definedName name="UE1H13" localSheetId="65">#REF!</definedName>
    <definedName name="UE1H13" localSheetId="64">#REF!</definedName>
    <definedName name="UE1H13" localSheetId="77">#REF!</definedName>
    <definedName name="UE1H13" localSheetId="49">#REF!</definedName>
    <definedName name="UE1H13" localSheetId="40">#REF!</definedName>
    <definedName name="UE1H13" localSheetId="43">#REF!</definedName>
    <definedName name="UE1H13" localSheetId="13">#REF!</definedName>
    <definedName name="UE1H13" localSheetId="38">#REF!</definedName>
    <definedName name="UE1H13">#REF!</definedName>
    <definedName name="UE1H14" localSheetId="3">#REF!</definedName>
    <definedName name="UE1H14" localSheetId="7">#REF!</definedName>
    <definedName name="UE1H14" localSheetId="9">#REF!</definedName>
    <definedName name="UE1H14" localSheetId="10">#REF!</definedName>
    <definedName name="UE1H14" localSheetId="15">#REF!</definedName>
    <definedName name="UE1H14" localSheetId="19">#REF!</definedName>
    <definedName name="UE1H14" localSheetId="20">#REF!</definedName>
    <definedName name="UE1H14" localSheetId="24">#REF!</definedName>
    <definedName name="UE1H14" localSheetId="104">#REF!</definedName>
    <definedName name="UE1H14" localSheetId="65">#REF!</definedName>
    <definedName name="UE1H14" localSheetId="64">#REF!</definedName>
    <definedName name="UE1H14" localSheetId="77">#REF!</definedName>
    <definedName name="UE1H14" localSheetId="49">#REF!</definedName>
    <definedName name="UE1H14" localSheetId="40">#REF!</definedName>
    <definedName name="UE1H14" localSheetId="43">#REF!</definedName>
    <definedName name="UE1H14" localSheetId="13">#REF!</definedName>
    <definedName name="UE1H14" localSheetId="38">#REF!</definedName>
    <definedName name="UE1H14">#REF!</definedName>
    <definedName name="UE1H15" localSheetId="3">#REF!</definedName>
    <definedName name="UE1H15" localSheetId="7">#REF!</definedName>
    <definedName name="UE1H15" localSheetId="9">#REF!</definedName>
    <definedName name="UE1H15" localSheetId="10">#REF!</definedName>
    <definedName name="UE1H15" localSheetId="15">#REF!</definedName>
    <definedName name="UE1H15" localSheetId="19">#REF!</definedName>
    <definedName name="UE1H15" localSheetId="20">#REF!</definedName>
    <definedName name="UE1H15" localSheetId="24">#REF!</definedName>
    <definedName name="UE1H15" localSheetId="104">#REF!</definedName>
    <definedName name="UE1H15" localSheetId="65">#REF!</definedName>
    <definedName name="UE1H15" localSheetId="64">#REF!</definedName>
    <definedName name="UE1H15" localSheetId="77">#REF!</definedName>
    <definedName name="UE1H15" localSheetId="49">#REF!</definedName>
    <definedName name="UE1H15" localSheetId="40">#REF!</definedName>
    <definedName name="UE1H15" localSheetId="43">#REF!</definedName>
    <definedName name="UE1H15" localSheetId="13">#REF!</definedName>
    <definedName name="UE1H15" localSheetId="38">#REF!</definedName>
    <definedName name="UE1H15">#REF!</definedName>
    <definedName name="UE1H2" localSheetId="3">#REF!</definedName>
    <definedName name="UE1H2" localSheetId="7">#REF!</definedName>
    <definedName name="UE1H2" localSheetId="9">#REF!</definedName>
    <definedName name="UE1H2" localSheetId="10">#REF!</definedName>
    <definedName name="UE1H2" localSheetId="15">#REF!</definedName>
    <definedName name="UE1H2" localSheetId="19">#REF!</definedName>
    <definedName name="UE1H2" localSheetId="20">#REF!</definedName>
    <definedName name="UE1H2" localSheetId="24">#REF!</definedName>
    <definedName name="UE1H2" localSheetId="104">#REF!</definedName>
    <definedName name="UE1H2" localSheetId="65">#REF!</definedName>
    <definedName name="UE1H2" localSheetId="64">#REF!</definedName>
    <definedName name="UE1H2" localSheetId="77">#REF!</definedName>
    <definedName name="UE1H2" localSheetId="49">#REF!</definedName>
    <definedName name="UE1H2" localSheetId="40">#REF!</definedName>
    <definedName name="UE1H2" localSheetId="43">#REF!</definedName>
    <definedName name="UE1H2" localSheetId="13">#REF!</definedName>
    <definedName name="UE1H2" localSheetId="38">#REF!</definedName>
    <definedName name="UE1H2">#REF!</definedName>
    <definedName name="UE1H3" localSheetId="3">#REF!</definedName>
    <definedName name="UE1H3" localSheetId="7">#REF!</definedName>
    <definedName name="UE1H3" localSheetId="9">#REF!</definedName>
    <definedName name="UE1H3" localSheetId="10">#REF!</definedName>
    <definedName name="UE1H3" localSheetId="15">#REF!</definedName>
    <definedName name="UE1H3" localSheetId="19">#REF!</definedName>
    <definedName name="UE1H3" localSheetId="20">#REF!</definedName>
    <definedName name="UE1H3" localSheetId="24">#REF!</definedName>
    <definedName name="UE1H3" localSheetId="104">#REF!</definedName>
    <definedName name="UE1H3" localSheetId="65">#REF!</definedName>
    <definedName name="UE1H3" localSheetId="64">#REF!</definedName>
    <definedName name="UE1H3" localSheetId="77">#REF!</definedName>
    <definedName name="UE1H3" localSheetId="49">#REF!</definedName>
    <definedName name="UE1H3" localSheetId="40">#REF!</definedName>
    <definedName name="UE1H3" localSheetId="43">#REF!</definedName>
    <definedName name="UE1H3" localSheetId="13">#REF!</definedName>
    <definedName name="UE1H3" localSheetId="38">#REF!</definedName>
    <definedName name="UE1H3">#REF!</definedName>
    <definedName name="UE1H4" localSheetId="3">#REF!</definedName>
    <definedName name="UE1H4" localSheetId="7">#REF!</definedName>
    <definedName name="UE1H4" localSheetId="9">#REF!</definedName>
    <definedName name="UE1H4" localSheetId="10">#REF!</definedName>
    <definedName name="UE1H4" localSheetId="15">#REF!</definedName>
    <definedName name="UE1H4" localSheetId="19">#REF!</definedName>
    <definedName name="UE1H4" localSheetId="20">#REF!</definedName>
    <definedName name="UE1H4" localSheetId="24">#REF!</definedName>
    <definedName name="UE1H4" localSheetId="104">#REF!</definedName>
    <definedName name="UE1H4" localSheetId="65">#REF!</definedName>
    <definedName name="UE1H4" localSheetId="64">#REF!</definedName>
    <definedName name="UE1H4" localSheetId="77">#REF!</definedName>
    <definedName name="UE1H4" localSheetId="49">#REF!</definedName>
    <definedName name="UE1H4" localSheetId="40">#REF!</definedName>
    <definedName name="UE1H4" localSheetId="43">#REF!</definedName>
    <definedName name="UE1H4" localSheetId="13">#REF!</definedName>
    <definedName name="UE1H4" localSheetId="38">#REF!</definedName>
    <definedName name="UE1H4">#REF!</definedName>
    <definedName name="UE1H5" localSheetId="3">#REF!</definedName>
    <definedName name="UE1H5" localSheetId="7">#REF!</definedName>
    <definedName name="UE1H5" localSheetId="9">#REF!</definedName>
    <definedName name="UE1H5" localSheetId="10">#REF!</definedName>
    <definedName name="UE1H5" localSheetId="15">#REF!</definedName>
    <definedName name="UE1H5" localSheetId="19">#REF!</definedName>
    <definedName name="UE1H5" localSheetId="20">#REF!</definedName>
    <definedName name="UE1H5" localSheetId="24">#REF!</definedName>
    <definedName name="UE1H5" localSheetId="104">#REF!</definedName>
    <definedName name="UE1H5" localSheetId="65">#REF!</definedName>
    <definedName name="UE1H5" localSheetId="64">#REF!</definedName>
    <definedName name="UE1H5" localSheetId="77">#REF!</definedName>
    <definedName name="UE1H5" localSheetId="49">#REF!</definedName>
    <definedName name="UE1H5" localSheetId="40">#REF!</definedName>
    <definedName name="UE1H5" localSheetId="43">#REF!</definedName>
    <definedName name="UE1H5" localSheetId="13">#REF!</definedName>
    <definedName name="UE1H5" localSheetId="38">#REF!</definedName>
    <definedName name="UE1H5">#REF!</definedName>
    <definedName name="UE1H6" localSheetId="3">#REF!</definedName>
    <definedName name="UE1H6" localSheetId="7">#REF!</definedName>
    <definedName name="UE1H6" localSheetId="9">#REF!</definedName>
    <definedName name="UE1H6" localSheetId="10">#REF!</definedName>
    <definedName name="UE1H6" localSheetId="15">#REF!</definedName>
    <definedName name="UE1H6" localSheetId="19">#REF!</definedName>
    <definedName name="UE1H6" localSheetId="20">#REF!</definedName>
    <definedName name="UE1H6" localSheetId="24">#REF!</definedName>
    <definedName name="UE1H6" localSheetId="104">#REF!</definedName>
    <definedName name="UE1H6" localSheetId="65">#REF!</definedName>
    <definedName name="UE1H6" localSheetId="64">#REF!</definedName>
    <definedName name="UE1H6" localSheetId="77">#REF!</definedName>
    <definedName name="UE1H6" localSheetId="49">#REF!</definedName>
    <definedName name="UE1H6" localSheetId="40">#REF!</definedName>
    <definedName name="UE1H6" localSheetId="43">#REF!</definedName>
    <definedName name="UE1H6" localSheetId="13">#REF!</definedName>
    <definedName name="UE1H6" localSheetId="38">#REF!</definedName>
    <definedName name="UE1H6">#REF!</definedName>
    <definedName name="UE1H7" localSheetId="3">#REF!</definedName>
    <definedName name="UE1H7" localSheetId="7">#REF!</definedName>
    <definedName name="UE1H7" localSheetId="9">#REF!</definedName>
    <definedName name="UE1H7" localSheetId="10">#REF!</definedName>
    <definedName name="UE1H7" localSheetId="15">#REF!</definedName>
    <definedName name="UE1H7" localSheetId="19">#REF!</definedName>
    <definedName name="UE1H7" localSheetId="20">#REF!</definedName>
    <definedName name="UE1H7" localSheetId="24">#REF!</definedName>
    <definedName name="UE1H7" localSheetId="104">#REF!</definedName>
    <definedName name="UE1H7" localSheetId="65">#REF!</definedName>
    <definedName name="UE1H7" localSheetId="64">#REF!</definedName>
    <definedName name="UE1H7" localSheetId="77">#REF!</definedName>
    <definedName name="UE1H7" localSheetId="49">#REF!</definedName>
    <definedName name="UE1H7" localSheetId="40">#REF!</definedName>
    <definedName name="UE1H7" localSheetId="43">#REF!</definedName>
    <definedName name="UE1H7" localSheetId="13">#REF!</definedName>
    <definedName name="UE1H7" localSheetId="38">#REF!</definedName>
    <definedName name="UE1H7">#REF!</definedName>
    <definedName name="UE1H8" localSheetId="3">#REF!</definedName>
    <definedName name="UE1H8" localSheetId="7">#REF!</definedName>
    <definedName name="UE1H8" localSheetId="9">#REF!</definedName>
    <definedName name="UE1H8" localSheetId="10">#REF!</definedName>
    <definedName name="UE1H8" localSheetId="15">#REF!</definedName>
    <definedName name="UE1H8" localSheetId="19">#REF!</definedName>
    <definedName name="UE1H8" localSheetId="20">#REF!</definedName>
    <definedName name="UE1H8" localSheetId="24">#REF!</definedName>
    <definedName name="UE1H8" localSheetId="104">#REF!</definedName>
    <definedName name="UE1H8" localSheetId="65">#REF!</definedName>
    <definedName name="UE1H8" localSheetId="64">#REF!</definedName>
    <definedName name="UE1H8" localSheetId="77">#REF!</definedName>
    <definedName name="UE1H8" localSheetId="49">#REF!</definedName>
    <definedName name="UE1H8" localSheetId="40">#REF!</definedName>
    <definedName name="UE1H8" localSheetId="43">#REF!</definedName>
    <definedName name="UE1H8" localSheetId="13">#REF!</definedName>
    <definedName name="UE1H8" localSheetId="38">#REF!</definedName>
    <definedName name="UE1H8">#REF!</definedName>
    <definedName name="UE1H9" localSheetId="3">#REF!</definedName>
    <definedName name="UE1H9" localSheetId="7">#REF!</definedName>
    <definedName name="UE1H9" localSheetId="9">#REF!</definedName>
    <definedName name="UE1H9" localSheetId="10">#REF!</definedName>
    <definedName name="UE1H9" localSheetId="15">#REF!</definedName>
    <definedName name="UE1H9" localSheetId="19">#REF!</definedName>
    <definedName name="UE1H9" localSheetId="20">#REF!</definedName>
    <definedName name="UE1H9" localSheetId="24">#REF!</definedName>
    <definedName name="UE1H9" localSheetId="104">#REF!</definedName>
    <definedName name="UE1H9" localSheetId="65">#REF!</definedName>
    <definedName name="UE1H9" localSheetId="64">#REF!</definedName>
    <definedName name="UE1H9" localSheetId="77">#REF!</definedName>
    <definedName name="UE1H9" localSheetId="49">#REF!</definedName>
    <definedName name="UE1H9" localSheetId="40">#REF!</definedName>
    <definedName name="UE1H9" localSheetId="43">#REF!</definedName>
    <definedName name="UE1H9" localSheetId="13">#REF!</definedName>
    <definedName name="UE1H9" localSheetId="38">#REF!</definedName>
    <definedName name="UE1H9">#REF!</definedName>
    <definedName name="UE1IH1" localSheetId="3">#REF!</definedName>
    <definedName name="UE1IH1" localSheetId="7">#REF!</definedName>
    <definedName name="UE1IH1" localSheetId="9">#REF!</definedName>
    <definedName name="UE1IH1" localSheetId="10">#REF!</definedName>
    <definedName name="UE1IH1" localSheetId="15">#REF!</definedName>
    <definedName name="UE1IH1" localSheetId="19">#REF!</definedName>
    <definedName name="UE1IH1" localSheetId="20">#REF!</definedName>
    <definedName name="UE1IH1" localSheetId="24">#REF!</definedName>
    <definedName name="UE1IH1" localSheetId="104">#REF!</definedName>
    <definedName name="UE1IH1" localSheetId="65">#REF!</definedName>
    <definedName name="UE1IH1" localSheetId="64">#REF!</definedName>
    <definedName name="UE1IH1" localSheetId="77">#REF!</definedName>
    <definedName name="UE1IH1" localSheetId="49">#REF!</definedName>
    <definedName name="UE1IH1" localSheetId="40">#REF!</definedName>
    <definedName name="UE1IH1" localSheetId="43">#REF!</definedName>
    <definedName name="UE1IH1" localSheetId="13">#REF!</definedName>
    <definedName name="UE1IH1" localSheetId="38">#REF!</definedName>
    <definedName name="UE1IH1">#REF!</definedName>
    <definedName name="UE1IH2" localSheetId="3">#REF!</definedName>
    <definedName name="UE1IH2" localSheetId="7">#REF!</definedName>
    <definedName name="UE1IH2" localSheetId="9">#REF!</definedName>
    <definedName name="UE1IH2" localSheetId="10">#REF!</definedName>
    <definedName name="UE1IH2" localSheetId="15">#REF!</definedName>
    <definedName name="UE1IH2" localSheetId="19">#REF!</definedName>
    <definedName name="UE1IH2" localSheetId="20">#REF!</definedName>
    <definedName name="UE1IH2" localSheetId="24">#REF!</definedName>
    <definedName name="UE1IH2" localSheetId="104">#REF!</definedName>
    <definedName name="UE1IH2" localSheetId="65">#REF!</definedName>
    <definedName name="UE1IH2" localSheetId="64">#REF!</definedName>
    <definedName name="UE1IH2" localSheetId="77">#REF!</definedName>
    <definedName name="UE1IH2" localSheetId="49">#REF!</definedName>
    <definedName name="UE1IH2" localSheetId="40">#REF!</definedName>
    <definedName name="UE1IH2" localSheetId="43">#REF!</definedName>
    <definedName name="UE1IH2" localSheetId="13">#REF!</definedName>
    <definedName name="UE1IH2" localSheetId="38">#REF!</definedName>
    <definedName name="UE1IH2">#REF!</definedName>
    <definedName name="UE1IH3" localSheetId="3">#REF!</definedName>
    <definedName name="UE1IH3" localSheetId="7">#REF!</definedName>
    <definedName name="UE1IH3" localSheetId="9">#REF!</definedName>
    <definedName name="UE1IH3" localSheetId="10">#REF!</definedName>
    <definedName name="UE1IH3" localSheetId="15">#REF!</definedName>
    <definedName name="UE1IH3" localSheetId="19">#REF!</definedName>
    <definedName name="UE1IH3" localSheetId="20">#REF!</definedName>
    <definedName name="UE1IH3" localSheetId="24">#REF!</definedName>
    <definedName name="UE1IH3" localSheetId="104">#REF!</definedName>
    <definedName name="UE1IH3" localSheetId="65">#REF!</definedName>
    <definedName name="UE1IH3" localSheetId="64">#REF!</definedName>
    <definedName name="UE1IH3" localSheetId="77">#REF!</definedName>
    <definedName name="UE1IH3" localSheetId="49">#REF!</definedName>
    <definedName name="UE1IH3" localSheetId="40">#REF!</definedName>
    <definedName name="UE1IH3" localSheetId="43">#REF!</definedName>
    <definedName name="UE1IH3" localSheetId="13">#REF!</definedName>
    <definedName name="UE1IH3" localSheetId="38">#REF!</definedName>
    <definedName name="UE1IH3">#REF!</definedName>
    <definedName name="UE1IH4" localSheetId="3">#REF!</definedName>
    <definedName name="UE1IH4" localSheetId="7">#REF!</definedName>
    <definedName name="UE1IH4" localSheetId="9">#REF!</definedName>
    <definedName name="UE1IH4" localSheetId="10">#REF!</definedName>
    <definedName name="UE1IH4" localSheetId="15">#REF!</definedName>
    <definedName name="UE1IH4" localSheetId="19">#REF!</definedName>
    <definedName name="UE1IH4" localSheetId="20">#REF!</definedName>
    <definedName name="UE1IH4" localSheetId="24">#REF!</definedName>
    <definedName name="UE1IH4" localSheetId="104">#REF!</definedName>
    <definedName name="UE1IH4" localSheetId="65">#REF!</definedName>
    <definedName name="UE1IH4" localSheetId="64">#REF!</definedName>
    <definedName name="UE1IH4" localSheetId="77">#REF!</definedName>
    <definedName name="UE1IH4" localSheetId="49">#REF!</definedName>
    <definedName name="UE1IH4" localSheetId="40">#REF!</definedName>
    <definedName name="UE1IH4" localSheetId="43">#REF!</definedName>
    <definedName name="UE1IH4" localSheetId="13">#REF!</definedName>
    <definedName name="UE1IH4" localSheetId="38">#REF!</definedName>
    <definedName name="UE1IH4">#REF!</definedName>
    <definedName name="UE1IH5" localSheetId="3">#REF!</definedName>
    <definedName name="UE1IH5" localSheetId="7">#REF!</definedName>
    <definedName name="UE1IH5" localSheetId="9">#REF!</definedName>
    <definedName name="UE1IH5" localSheetId="10">#REF!</definedName>
    <definedName name="UE1IH5" localSheetId="15">#REF!</definedName>
    <definedName name="UE1IH5" localSheetId="19">#REF!</definedName>
    <definedName name="UE1IH5" localSheetId="20">#REF!</definedName>
    <definedName name="UE1IH5" localSheetId="24">#REF!</definedName>
    <definedName name="UE1IH5" localSheetId="104">#REF!</definedName>
    <definedName name="UE1IH5" localSheetId="65">#REF!</definedName>
    <definedName name="UE1IH5" localSheetId="64">#REF!</definedName>
    <definedName name="UE1IH5" localSheetId="77">#REF!</definedName>
    <definedName name="UE1IH5" localSheetId="49">#REF!</definedName>
    <definedName name="UE1IH5" localSheetId="40">#REF!</definedName>
    <definedName name="UE1IH5" localSheetId="43">#REF!</definedName>
    <definedName name="UE1IH5" localSheetId="13">#REF!</definedName>
    <definedName name="UE1IH5" localSheetId="38">#REF!</definedName>
    <definedName name="UE1IH5">#REF!</definedName>
    <definedName name="UE2H1" localSheetId="3">#REF!</definedName>
    <definedName name="UE2H1" localSheetId="7">#REF!</definedName>
    <definedName name="UE2H1" localSheetId="9">#REF!</definedName>
    <definedName name="UE2H1" localSheetId="10">#REF!</definedName>
    <definedName name="UE2H1" localSheetId="15">#REF!</definedName>
    <definedName name="UE2H1" localSheetId="19">#REF!</definedName>
    <definedName name="UE2H1" localSheetId="20">#REF!</definedName>
    <definedName name="UE2H1" localSheetId="24">#REF!</definedName>
    <definedName name="UE2H1" localSheetId="104">#REF!</definedName>
    <definedName name="UE2H1" localSheetId="65">#REF!</definedName>
    <definedName name="UE2H1" localSheetId="64">#REF!</definedName>
    <definedName name="UE2H1" localSheetId="77">#REF!</definedName>
    <definedName name="UE2H1" localSheetId="49">#REF!</definedName>
    <definedName name="UE2H1" localSheetId="40">#REF!</definedName>
    <definedName name="UE2H1" localSheetId="43">#REF!</definedName>
    <definedName name="UE2H1" localSheetId="13">#REF!</definedName>
    <definedName name="UE2H1" localSheetId="38">#REF!</definedName>
    <definedName name="UE2H1">#REF!</definedName>
    <definedName name="UE2H10" localSheetId="3">#REF!</definedName>
    <definedName name="UE2H10" localSheetId="7">#REF!</definedName>
    <definedName name="UE2H10" localSheetId="9">#REF!</definedName>
    <definedName name="UE2H10" localSheetId="10">#REF!</definedName>
    <definedName name="UE2H10" localSheetId="15">#REF!</definedName>
    <definedName name="UE2H10" localSheetId="19">#REF!</definedName>
    <definedName name="UE2H10" localSheetId="20">#REF!</definedName>
    <definedName name="UE2H10" localSheetId="24">#REF!</definedName>
    <definedName name="UE2H10" localSheetId="104">#REF!</definedName>
    <definedName name="UE2H10" localSheetId="65">#REF!</definedName>
    <definedName name="UE2H10" localSheetId="64">#REF!</definedName>
    <definedName name="UE2H10" localSheetId="77">#REF!</definedName>
    <definedName name="UE2H10" localSheetId="49">#REF!</definedName>
    <definedName name="UE2H10" localSheetId="40">#REF!</definedName>
    <definedName name="UE2H10" localSheetId="43">#REF!</definedName>
    <definedName name="UE2H10" localSheetId="13">#REF!</definedName>
    <definedName name="UE2H10" localSheetId="38">#REF!</definedName>
    <definedName name="UE2H10">#REF!</definedName>
    <definedName name="UE2H11" localSheetId="3">#REF!</definedName>
    <definedName name="UE2H11" localSheetId="7">#REF!</definedName>
    <definedName name="UE2H11" localSheetId="9">#REF!</definedName>
    <definedName name="UE2H11" localSheetId="10">#REF!</definedName>
    <definedName name="UE2H11" localSheetId="15">#REF!</definedName>
    <definedName name="UE2H11" localSheetId="19">#REF!</definedName>
    <definedName name="UE2H11" localSheetId="20">#REF!</definedName>
    <definedName name="UE2H11" localSheetId="24">#REF!</definedName>
    <definedName name="UE2H11" localSheetId="104">#REF!</definedName>
    <definedName name="UE2H11" localSheetId="65">#REF!</definedName>
    <definedName name="UE2H11" localSheetId="64">#REF!</definedName>
    <definedName name="UE2H11" localSheetId="77">#REF!</definedName>
    <definedName name="UE2H11" localSheetId="49">#REF!</definedName>
    <definedName name="UE2H11" localSheetId="40">#REF!</definedName>
    <definedName name="UE2H11" localSheetId="43">#REF!</definedName>
    <definedName name="UE2H11" localSheetId="13">#REF!</definedName>
    <definedName name="UE2H11" localSheetId="38">#REF!</definedName>
    <definedName name="UE2H11">#REF!</definedName>
    <definedName name="UE2H12" localSheetId="3">#REF!</definedName>
    <definedName name="UE2H12" localSheetId="7">#REF!</definedName>
    <definedName name="UE2H12" localSheetId="9">#REF!</definedName>
    <definedName name="UE2H12" localSheetId="10">#REF!</definedName>
    <definedName name="UE2H12" localSheetId="15">#REF!</definedName>
    <definedName name="UE2H12" localSheetId="19">#REF!</definedName>
    <definedName name="UE2H12" localSheetId="20">#REF!</definedName>
    <definedName name="UE2H12" localSheetId="24">#REF!</definedName>
    <definedName name="UE2H12" localSheetId="104">#REF!</definedName>
    <definedName name="UE2H12" localSheetId="65">#REF!</definedName>
    <definedName name="UE2H12" localSheetId="64">#REF!</definedName>
    <definedName name="UE2H12" localSheetId="77">#REF!</definedName>
    <definedName name="UE2H12" localSheetId="49">#REF!</definedName>
    <definedName name="UE2H12" localSheetId="40">#REF!</definedName>
    <definedName name="UE2H12" localSheetId="43">#REF!</definedName>
    <definedName name="UE2H12" localSheetId="13">#REF!</definedName>
    <definedName name="UE2H12" localSheetId="38">#REF!</definedName>
    <definedName name="UE2H12">#REF!</definedName>
    <definedName name="UE2H13" localSheetId="3">#REF!</definedName>
    <definedName name="UE2H13" localSheetId="7">#REF!</definedName>
    <definedName name="UE2H13" localSheetId="9">#REF!</definedName>
    <definedName name="UE2H13" localSheetId="10">#REF!</definedName>
    <definedName name="UE2H13" localSheetId="15">#REF!</definedName>
    <definedName name="UE2H13" localSheetId="19">#REF!</definedName>
    <definedName name="UE2H13" localSheetId="20">#REF!</definedName>
    <definedName name="UE2H13" localSheetId="24">#REF!</definedName>
    <definedName name="UE2H13" localSheetId="104">#REF!</definedName>
    <definedName name="UE2H13" localSheetId="65">#REF!</definedName>
    <definedName name="UE2H13" localSheetId="64">#REF!</definedName>
    <definedName name="UE2H13" localSheetId="77">#REF!</definedName>
    <definedName name="UE2H13" localSheetId="49">#REF!</definedName>
    <definedName name="UE2H13" localSheetId="40">#REF!</definedName>
    <definedName name="UE2H13" localSheetId="43">#REF!</definedName>
    <definedName name="UE2H13" localSheetId="13">#REF!</definedName>
    <definedName name="UE2H13" localSheetId="38">#REF!</definedName>
    <definedName name="UE2H13">#REF!</definedName>
    <definedName name="UE2H14" localSheetId="3">#REF!</definedName>
    <definedName name="UE2H14" localSheetId="7">#REF!</definedName>
    <definedName name="UE2H14" localSheetId="9">#REF!</definedName>
    <definedName name="UE2H14" localSheetId="10">#REF!</definedName>
    <definedName name="UE2H14" localSheetId="15">#REF!</definedName>
    <definedName name="UE2H14" localSheetId="19">#REF!</definedName>
    <definedName name="UE2H14" localSheetId="20">#REF!</definedName>
    <definedName name="UE2H14" localSheetId="24">#REF!</definedName>
    <definedName name="UE2H14" localSheetId="104">#REF!</definedName>
    <definedName name="UE2H14" localSheetId="65">#REF!</definedName>
    <definedName name="UE2H14" localSheetId="64">#REF!</definedName>
    <definedName name="UE2H14" localSheetId="77">#REF!</definedName>
    <definedName name="UE2H14" localSheetId="49">#REF!</definedName>
    <definedName name="UE2H14" localSheetId="40">#REF!</definedName>
    <definedName name="UE2H14" localSheetId="43">#REF!</definedName>
    <definedName name="UE2H14" localSheetId="13">#REF!</definedName>
    <definedName name="UE2H14" localSheetId="38">#REF!</definedName>
    <definedName name="UE2H14">#REF!</definedName>
    <definedName name="UE2H15" localSheetId="3">#REF!</definedName>
    <definedName name="UE2H15" localSheetId="7">#REF!</definedName>
    <definedName name="UE2H15" localSheetId="9">#REF!</definedName>
    <definedName name="UE2H15" localSheetId="10">#REF!</definedName>
    <definedName name="UE2H15" localSheetId="15">#REF!</definedName>
    <definedName name="UE2H15" localSheetId="19">#REF!</definedName>
    <definedName name="UE2H15" localSheetId="20">#REF!</definedName>
    <definedName name="UE2H15" localSheetId="24">#REF!</definedName>
    <definedName name="UE2H15" localSheetId="104">#REF!</definedName>
    <definedName name="UE2H15" localSheetId="65">#REF!</definedName>
    <definedName name="UE2H15" localSheetId="64">#REF!</definedName>
    <definedName name="UE2H15" localSheetId="77">#REF!</definedName>
    <definedName name="UE2H15" localSheetId="49">#REF!</definedName>
    <definedName name="UE2H15" localSheetId="40">#REF!</definedName>
    <definedName name="UE2H15" localSheetId="43">#REF!</definedName>
    <definedName name="UE2H15" localSheetId="13">#REF!</definedName>
    <definedName name="UE2H15" localSheetId="38">#REF!</definedName>
    <definedName name="UE2H15">#REF!</definedName>
    <definedName name="UE2H2" localSheetId="3">#REF!</definedName>
    <definedName name="UE2H2" localSheetId="7">#REF!</definedName>
    <definedName name="UE2H2" localSheetId="9">#REF!</definedName>
    <definedName name="UE2H2" localSheetId="10">#REF!</definedName>
    <definedName name="UE2H2" localSheetId="15">#REF!</definedName>
    <definedName name="UE2H2" localSheetId="19">#REF!</definedName>
    <definedName name="UE2H2" localSheetId="20">#REF!</definedName>
    <definedName name="UE2H2" localSheetId="24">#REF!</definedName>
    <definedName name="UE2H2" localSheetId="104">#REF!</definedName>
    <definedName name="UE2H2" localSheetId="65">#REF!</definedName>
    <definedName name="UE2H2" localSheetId="64">#REF!</definedName>
    <definedName name="UE2H2" localSheetId="77">#REF!</definedName>
    <definedName name="UE2H2" localSheetId="49">#REF!</definedName>
    <definedName name="UE2H2" localSheetId="40">#REF!</definedName>
    <definedName name="UE2H2" localSheetId="43">#REF!</definedName>
    <definedName name="UE2H2" localSheetId="13">#REF!</definedName>
    <definedName name="UE2H2" localSheetId="38">#REF!</definedName>
    <definedName name="UE2H2">#REF!</definedName>
    <definedName name="UE2H3" localSheetId="3">#REF!</definedName>
    <definedName name="UE2H3" localSheetId="7">#REF!</definedName>
    <definedName name="UE2H3" localSheetId="9">#REF!</definedName>
    <definedName name="UE2H3" localSheetId="10">#REF!</definedName>
    <definedName name="UE2H3" localSheetId="15">#REF!</definedName>
    <definedName name="UE2H3" localSheetId="19">#REF!</definedName>
    <definedName name="UE2H3" localSheetId="20">#REF!</definedName>
    <definedName name="UE2H3" localSheetId="24">#REF!</definedName>
    <definedName name="UE2H3" localSheetId="104">#REF!</definedName>
    <definedName name="UE2H3" localSheetId="65">#REF!</definedName>
    <definedName name="UE2H3" localSheetId="64">#REF!</definedName>
    <definedName name="UE2H3" localSheetId="77">#REF!</definedName>
    <definedName name="UE2H3" localSheetId="49">#REF!</definedName>
    <definedName name="UE2H3" localSheetId="40">#REF!</definedName>
    <definedName name="UE2H3" localSheetId="43">#REF!</definedName>
    <definedName name="UE2H3" localSheetId="13">#REF!</definedName>
    <definedName name="UE2H3" localSheetId="38">#REF!</definedName>
    <definedName name="UE2H3">#REF!</definedName>
    <definedName name="UE2H4" localSheetId="3">#REF!</definedName>
    <definedName name="UE2H4" localSheetId="7">#REF!</definedName>
    <definedName name="UE2H4" localSheetId="9">#REF!</definedName>
    <definedName name="UE2H4" localSheetId="10">#REF!</definedName>
    <definedName name="UE2H4" localSheetId="15">#REF!</definedName>
    <definedName name="UE2H4" localSheetId="19">#REF!</definedName>
    <definedName name="UE2H4" localSheetId="20">#REF!</definedName>
    <definedName name="UE2H4" localSheetId="24">#REF!</definedName>
    <definedName name="UE2H4" localSheetId="104">#REF!</definedName>
    <definedName name="UE2H4" localSheetId="65">#REF!</definedName>
    <definedName name="UE2H4" localSheetId="64">#REF!</definedName>
    <definedName name="UE2H4" localSheetId="77">#REF!</definedName>
    <definedName name="UE2H4" localSheetId="49">#REF!</definedName>
    <definedName name="UE2H4" localSheetId="40">#REF!</definedName>
    <definedName name="UE2H4" localSheetId="43">#REF!</definedName>
    <definedName name="UE2H4" localSheetId="13">#REF!</definedName>
    <definedName name="UE2H4" localSheetId="38">#REF!</definedName>
    <definedName name="UE2H4">#REF!</definedName>
    <definedName name="UE2H5" localSheetId="3">#REF!</definedName>
    <definedName name="UE2H5" localSheetId="7">#REF!</definedName>
    <definedName name="UE2H5" localSheetId="9">#REF!</definedName>
    <definedName name="UE2H5" localSheetId="10">#REF!</definedName>
    <definedName name="UE2H5" localSheetId="15">#REF!</definedName>
    <definedName name="UE2H5" localSheetId="19">#REF!</definedName>
    <definedName name="UE2H5" localSheetId="20">#REF!</definedName>
    <definedName name="UE2H5" localSheetId="24">#REF!</definedName>
    <definedName name="UE2H5" localSheetId="104">#REF!</definedName>
    <definedName name="UE2H5" localSheetId="65">#REF!</definedName>
    <definedName name="UE2H5" localSheetId="64">#REF!</definedName>
    <definedName name="UE2H5" localSheetId="77">#REF!</definedName>
    <definedName name="UE2H5" localSheetId="49">#REF!</definedName>
    <definedName name="UE2H5" localSheetId="40">#REF!</definedName>
    <definedName name="UE2H5" localSheetId="43">#REF!</definedName>
    <definedName name="UE2H5" localSheetId="13">#REF!</definedName>
    <definedName name="UE2H5" localSheetId="38">#REF!</definedName>
    <definedName name="UE2H5">#REF!</definedName>
    <definedName name="UE2H6" localSheetId="3">#REF!</definedName>
    <definedName name="UE2H6" localSheetId="7">#REF!</definedName>
    <definedName name="UE2H6" localSheetId="9">#REF!</definedName>
    <definedName name="UE2H6" localSheetId="10">#REF!</definedName>
    <definedName name="UE2H6" localSheetId="15">#REF!</definedName>
    <definedName name="UE2H6" localSheetId="19">#REF!</definedName>
    <definedName name="UE2H6" localSheetId="20">#REF!</definedName>
    <definedName name="UE2H6" localSheetId="24">#REF!</definedName>
    <definedName name="UE2H6" localSheetId="104">#REF!</definedName>
    <definedName name="UE2H6" localSheetId="65">#REF!</definedName>
    <definedName name="UE2H6" localSheetId="64">#REF!</definedName>
    <definedName name="UE2H6" localSheetId="77">#REF!</definedName>
    <definedName name="UE2H6" localSheetId="49">#REF!</definedName>
    <definedName name="UE2H6" localSheetId="40">#REF!</definedName>
    <definedName name="UE2H6" localSheetId="43">#REF!</definedName>
    <definedName name="UE2H6" localSheetId="13">#REF!</definedName>
    <definedName name="UE2H6" localSheetId="38">#REF!</definedName>
    <definedName name="UE2H6">#REF!</definedName>
    <definedName name="UE2H7" localSheetId="3">#REF!</definedName>
    <definedName name="UE2H7" localSheetId="7">#REF!</definedName>
    <definedName name="UE2H7" localSheetId="9">#REF!</definedName>
    <definedName name="UE2H7" localSheetId="10">#REF!</definedName>
    <definedName name="UE2H7" localSheetId="15">#REF!</definedName>
    <definedName name="UE2H7" localSheetId="19">#REF!</definedName>
    <definedName name="UE2H7" localSheetId="20">#REF!</definedName>
    <definedName name="UE2H7" localSheetId="24">#REF!</definedName>
    <definedName name="UE2H7" localSheetId="104">#REF!</definedName>
    <definedName name="UE2H7" localSheetId="65">#REF!</definedName>
    <definedName name="UE2H7" localSheetId="64">#REF!</definedName>
    <definedName name="UE2H7" localSheetId="77">#REF!</definedName>
    <definedName name="UE2H7" localSheetId="49">#REF!</definedName>
    <definedName name="UE2H7" localSheetId="40">#REF!</definedName>
    <definedName name="UE2H7" localSheetId="43">#REF!</definedName>
    <definedName name="UE2H7" localSheetId="13">#REF!</definedName>
    <definedName name="UE2H7" localSheetId="38">#REF!</definedName>
    <definedName name="UE2H7">#REF!</definedName>
    <definedName name="UE2H8" localSheetId="3">#REF!</definedName>
    <definedName name="UE2H8" localSheetId="7">#REF!</definedName>
    <definedName name="UE2H8" localSheetId="9">#REF!</definedName>
    <definedName name="UE2H8" localSheetId="10">#REF!</definedName>
    <definedName name="UE2H8" localSheetId="15">#REF!</definedName>
    <definedName name="UE2H8" localSheetId="19">#REF!</definedName>
    <definedName name="UE2H8" localSheetId="20">#REF!</definedName>
    <definedName name="UE2H8" localSheetId="24">#REF!</definedName>
    <definedName name="UE2H8" localSheetId="104">#REF!</definedName>
    <definedName name="UE2H8" localSheetId="65">#REF!</definedName>
    <definedName name="UE2H8" localSheetId="64">#REF!</definedName>
    <definedName name="UE2H8" localSheetId="77">#REF!</definedName>
    <definedName name="UE2H8" localSheetId="49">#REF!</definedName>
    <definedName name="UE2H8" localSheetId="40">#REF!</definedName>
    <definedName name="UE2H8" localSheetId="43">#REF!</definedName>
    <definedName name="UE2H8" localSheetId="13">#REF!</definedName>
    <definedName name="UE2H8" localSheetId="38">#REF!</definedName>
    <definedName name="UE2H8">#REF!</definedName>
    <definedName name="UE2H9" localSheetId="3">#REF!</definedName>
    <definedName name="UE2H9" localSheetId="7">#REF!</definedName>
    <definedName name="UE2H9" localSheetId="9">#REF!</definedName>
    <definedName name="UE2H9" localSheetId="10">#REF!</definedName>
    <definedName name="UE2H9" localSheetId="15">#REF!</definedName>
    <definedName name="UE2H9" localSheetId="19">#REF!</definedName>
    <definedName name="UE2H9" localSheetId="20">#REF!</definedName>
    <definedName name="UE2H9" localSheetId="24">#REF!</definedName>
    <definedName name="UE2H9" localSheetId="104">#REF!</definedName>
    <definedName name="UE2H9" localSheetId="65">#REF!</definedName>
    <definedName name="UE2H9" localSheetId="64">#REF!</definedName>
    <definedName name="UE2H9" localSheetId="77">#REF!</definedName>
    <definedName name="UE2H9" localSheetId="49">#REF!</definedName>
    <definedName name="UE2H9" localSheetId="40">#REF!</definedName>
    <definedName name="UE2H9" localSheetId="43">#REF!</definedName>
    <definedName name="UE2H9" localSheetId="13">#REF!</definedName>
    <definedName name="UE2H9" localSheetId="38">#REF!</definedName>
    <definedName name="UE2H9">#REF!</definedName>
    <definedName name="UE2IH1" localSheetId="3">#REF!</definedName>
    <definedName name="UE2IH1" localSheetId="7">#REF!</definedName>
    <definedName name="UE2IH1" localSheetId="9">#REF!</definedName>
    <definedName name="UE2IH1" localSheetId="10">#REF!</definedName>
    <definedName name="UE2IH1" localSheetId="15">#REF!</definedName>
    <definedName name="UE2IH1" localSheetId="19">#REF!</definedName>
    <definedName name="UE2IH1" localSheetId="20">#REF!</definedName>
    <definedName name="UE2IH1" localSheetId="24">#REF!</definedName>
    <definedName name="UE2IH1" localSheetId="104">#REF!</definedName>
    <definedName name="UE2IH1" localSheetId="65">#REF!</definedName>
    <definedName name="UE2IH1" localSheetId="64">#REF!</definedName>
    <definedName name="UE2IH1" localSheetId="77">#REF!</definedName>
    <definedName name="UE2IH1" localSheetId="49">#REF!</definedName>
    <definedName name="UE2IH1" localSheetId="40">#REF!</definedName>
    <definedName name="UE2IH1" localSheetId="43">#REF!</definedName>
    <definedName name="UE2IH1" localSheetId="13">#REF!</definedName>
    <definedName name="UE2IH1" localSheetId="38">#REF!</definedName>
    <definedName name="UE2IH1">#REF!</definedName>
    <definedName name="UE2IH2" localSheetId="3">#REF!</definedName>
    <definedName name="UE2IH2" localSheetId="7">#REF!</definedName>
    <definedName name="UE2IH2" localSheetId="9">#REF!</definedName>
    <definedName name="UE2IH2" localSheetId="10">#REF!</definedName>
    <definedName name="UE2IH2" localSheetId="15">#REF!</definedName>
    <definedName name="UE2IH2" localSheetId="19">#REF!</definedName>
    <definedName name="UE2IH2" localSheetId="20">#REF!</definedName>
    <definedName name="UE2IH2" localSheetId="24">#REF!</definedName>
    <definedName name="UE2IH2" localSheetId="104">#REF!</definedName>
    <definedName name="UE2IH2" localSheetId="65">#REF!</definedName>
    <definedName name="UE2IH2" localSheetId="64">#REF!</definedName>
    <definedName name="UE2IH2" localSheetId="77">#REF!</definedName>
    <definedName name="UE2IH2" localSheetId="49">#REF!</definedName>
    <definedName name="UE2IH2" localSheetId="40">#REF!</definedName>
    <definedName name="UE2IH2" localSheetId="43">#REF!</definedName>
    <definedName name="UE2IH2" localSheetId="13">#REF!</definedName>
    <definedName name="UE2IH2" localSheetId="38">#REF!</definedName>
    <definedName name="UE2IH2">#REF!</definedName>
    <definedName name="UE2IH3" localSheetId="3">#REF!</definedName>
    <definedName name="UE2IH3" localSheetId="7">#REF!</definedName>
    <definedName name="UE2IH3" localSheetId="9">#REF!</definedName>
    <definedName name="UE2IH3" localSheetId="10">#REF!</definedName>
    <definedName name="UE2IH3" localSheetId="15">#REF!</definedName>
    <definedName name="UE2IH3" localSheetId="19">#REF!</definedName>
    <definedName name="UE2IH3" localSheetId="20">#REF!</definedName>
    <definedName name="UE2IH3" localSheetId="24">#REF!</definedName>
    <definedName name="UE2IH3" localSheetId="104">#REF!</definedName>
    <definedName name="UE2IH3" localSheetId="65">#REF!</definedName>
    <definedName name="UE2IH3" localSheetId="64">#REF!</definedName>
    <definedName name="UE2IH3" localSheetId="77">#REF!</definedName>
    <definedName name="UE2IH3" localSheetId="49">#REF!</definedName>
    <definedName name="UE2IH3" localSheetId="40">#REF!</definedName>
    <definedName name="UE2IH3" localSheetId="43">#REF!</definedName>
    <definedName name="UE2IH3" localSheetId="13">#REF!</definedName>
    <definedName name="UE2IH3" localSheetId="38">#REF!</definedName>
    <definedName name="UE2IH3">#REF!</definedName>
    <definedName name="UE2IH4" localSheetId="3">#REF!</definedName>
    <definedName name="UE2IH4" localSheetId="7">#REF!</definedName>
    <definedName name="UE2IH4" localSheetId="9">#REF!</definedName>
    <definedName name="UE2IH4" localSheetId="10">#REF!</definedName>
    <definedName name="UE2IH4" localSheetId="15">#REF!</definedName>
    <definedName name="UE2IH4" localSheetId="19">#REF!</definedName>
    <definedName name="UE2IH4" localSheetId="20">#REF!</definedName>
    <definedName name="UE2IH4" localSheetId="24">#REF!</definedName>
    <definedName name="UE2IH4" localSheetId="104">#REF!</definedName>
    <definedName name="UE2IH4" localSheetId="65">#REF!</definedName>
    <definedName name="UE2IH4" localSheetId="64">#REF!</definedName>
    <definedName name="UE2IH4" localSheetId="77">#REF!</definedName>
    <definedName name="UE2IH4" localSheetId="49">#REF!</definedName>
    <definedName name="UE2IH4" localSheetId="40">#REF!</definedName>
    <definedName name="UE2IH4" localSheetId="43">#REF!</definedName>
    <definedName name="UE2IH4" localSheetId="13">#REF!</definedName>
    <definedName name="UE2IH4" localSheetId="38">#REF!</definedName>
    <definedName name="UE2IH4">#REF!</definedName>
    <definedName name="UE2IH5" localSheetId="3">#REF!</definedName>
    <definedName name="UE2IH5" localSheetId="7">#REF!</definedName>
    <definedName name="UE2IH5" localSheetId="9">#REF!</definedName>
    <definedName name="UE2IH5" localSheetId="10">#REF!</definedName>
    <definedName name="UE2IH5" localSheetId="15">#REF!</definedName>
    <definedName name="UE2IH5" localSheetId="19">#REF!</definedName>
    <definedName name="UE2IH5" localSheetId="20">#REF!</definedName>
    <definedName name="UE2IH5" localSheetId="24">#REF!</definedName>
    <definedName name="UE2IH5" localSheetId="104">#REF!</definedName>
    <definedName name="UE2IH5" localSheetId="65">#REF!</definedName>
    <definedName name="UE2IH5" localSheetId="64">#REF!</definedName>
    <definedName name="UE2IH5" localSheetId="77">#REF!</definedName>
    <definedName name="UE2IH5" localSheetId="49">#REF!</definedName>
    <definedName name="UE2IH5" localSheetId="40">#REF!</definedName>
    <definedName name="UE2IH5" localSheetId="43">#REF!</definedName>
    <definedName name="UE2IH5" localSheetId="13">#REF!</definedName>
    <definedName name="UE2IH5" localSheetId="38">#REF!</definedName>
    <definedName name="UE2IH5">#REF!</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localSheetId="96" hidden="1">1</definedName>
    <definedName name="UNI_RET_EQUIP" hidden="1">32768</definedName>
    <definedName name="UNI_RET_EVENT" hidden="1">4096</definedName>
    <definedName name="UNI_RET_OFFSPEC" hidden="1">512</definedName>
    <definedName name="UNI_RET_ONSPEC" hidden="1">256</definedName>
    <definedName name="UNI_RET_PROP" localSheetId="96" hidden="1">32</definedName>
    <definedName name="UNI_RET_PROP" hidden="1">131072</definedName>
    <definedName name="UNI_RET_PROPDESC" localSheetId="96" hidden="1">64</definedName>
    <definedName name="UNI_RET_PROPDESC" hidden="1">262144</definedName>
    <definedName name="UNI_RET_SMPLPNT" localSheetId="96" hidden="1">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R1C3" localSheetId="3" hidden="1">#REF!</definedName>
    <definedName name="UNIFORMANCES1R1C3" localSheetId="7" hidden="1">#REF!</definedName>
    <definedName name="UNIFORMANCES1R1C3" localSheetId="9" hidden="1">#REF!</definedName>
    <definedName name="UNIFORMANCES1R1C3" localSheetId="10" hidden="1">#REF!</definedName>
    <definedName name="UNIFORMANCES1R1C3" localSheetId="15" hidden="1">#REF!</definedName>
    <definedName name="UNIFORMANCES1R1C3" localSheetId="18" hidden="1">#REF!</definedName>
    <definedName name="UNIFORMANCES1R1C3" localSheetId="19" hidden="1">#REF!</definedName>
    <definedName name="UNIFORMANCES1R1C3" localSheetId="20" hidden="1">#REF!</definedName>
    <definedName name="UNIFORMANCES1R1C3" localSheetId="23" hidden="1">#REF!</definedName>
    <definedName name="UNIFORMANCES1R1C3" localSheetId="24" hidden="1">#REF!</definedName>
    <definedName name="UNIFORMANCES1R1C3" localSheetId="35" hidden="1">#REF!</definedName>
    <definedName name="UNIFORMANCES1R1C3" localSheetId="58" hidden="1">#REF!</definedName>
    <definedName name="UNIFORMANCES1R1C3" localSheetId="60" hidden="1">#REF!</definedName>
    <definedName name="UNIFORMANCES1R1C3" localSheetId="51" hidden="1">#REF!</definedName>
    <definedName name="UNIFORMANCES1R1C3" localSheetId="54" hidden="1">#REF!</definedName>
    <definedName name="UNIFORMANCES1R1C3" localSheetId="47" hidden="1">#REF!</definedName>
    <definedName name="UNIFORMANCES1R1C3" localSheetId="105" hidden="1">#REF!</definedName>
    <definedName name="UNIFORMANCES1R1C3" localSheetId="104" hidden="1">#REF!</definedName>
    <definedName name="UNIFORMANCES1R1C3" localSheetId="88" hidden="1">#REF!</definedName>
    <definedName name="UNIFORMANCES1R1C3" localSheetId="89" hidden="1">#REF!</definedName>
    <definedName name="UNIFORMANCES1R1C3" localSheetId="87" hidden="1">#REF!</definedName>
    <definedName name="UNIFORMANCES1R1C3" localSheetId="90" hidden="1">#REF!</definedName>
    <definedName name="UNIFORMANCES1R1C3" localSheetId="70" hidden="1">#REF!</definedName>
    <definedName name="UNIFORMANCES1R1C3" localSheetId="63" hidden="1">#REF!</definedName>
    <definedName name="UNIFORMANCES1R1C3" localSheetId="65" hidden="1">#REF!</definedName>
    <definedName name="UNIFORMANCES1R1C3" localSheetId="64" hidden="1">#REF!</definedName>
    <definedName name="UNIFORMANCES1R1C3" localSheetId="77" hidden="1">#REF!</definedName>
    <definedName name="UNIFORMANCES1R1C3" localSheetId="49" hidden="1">#REF!</definedName>
    <definedName name="UNIFORMANCES1R1C3" localSheetId="48" hidden="1">#REF!</definedName>
    <definedName name="UNIFORMANCES1R1C3" localSheetId="57" hidden="1">#REF!</definedName>
    <definedName name="UNIFORMANCES1R1C3" localSheetId="59" hidden="1">#REF!</definedName>
    <definedName name="UNIFORMANCES1R1C3" localSheetId="52" hidden="1">#REF!</definedName>
    <definedName name="UNIFORMANCES1R1C3" localSheetId="67" hidden="1">#REF!</definedName>
    <definedName name="UNIFORMANCES1R1C3" localSheetId="80" hidden="1">#REF!</definedName>
    <definedName name="UNIFORMANCES1R1C3" localSheetId="40" hidden="1">#REF!</definedName>
    <definedName name="UNIFORMANCES1R1C3" localSheetId="43" hidden="1">#REF!</definedName>
    <definedName name="UNIFORMANCES1R1C3" localSheetId="55" hidden="1">#REF!</definedName>
    <definedName name="UNIFORMANCES1R1C3" localSheetId="81" hidden="1">#REF!</definedName>
    <definedName name="UNIFORMANCES1R1C3" localSheetId="53" hidden="1">#REF!</definedName>
    <definedName name="UNIFORMANCES1R1C3" localSheetId="13" hidden="1">#REF!</definedName>
    <definedName name="UNIFORMANCES1R1C3" localSheetId="11" hidden="1">#REF!</definedName>
    <definedName name="UNIFORMANCES1R1C3" localSheetId="38" hidden="1">#REF!</definedName>
    <definedName name="UNIFORMANCES1R1C3" localSheetId="41" hidden="1">#REF!</definedName>
    <definedName name="UNIFORMANCES1R1C3" localSheetId="101" hidden="1">#REF!</definedName>
    <definedName name="UNIFORMANCES1R1C3" localSheetId="102" hidden="1">#REF!</definedName>
    <definedName name="UNIFORMANCES1R1C3" localSheetId="103" hidden="1">#REF!</definedName>
    <definedName name="UNIFORMANCES1R1C3" localSheetId="97" hidden="1">#REF!</definedName>
    <definedName name="UNIFORMANCES1R1C3" localSheetId="42" hidden="1">#REF!</definedName>
    <definedName name="UNIFORMANCES1R1C3" localSheetId="12" hidden="1">#REF!</definedName>
    <definedName name="UNIFORMANCES1R1C3" localSheetId="73" hidden="1">#REF!</definedName>
    <definedName name="UNIFORMANCES1R1C3" localSheetId="74" hidden="1">#REF!</definedName>
    <definedName name="UNIFORMANCES1R1C3" hidden="1">#REF!</definedName>
    <definedName name="UNIFORMANCES1R3C4" hidden="1">#N/A</definedName>
    <definedName name="UNIFORMANCES1R7C1" localSheetId="3" hidden="1">#REF!</definedName>
    <definedName name="UNIFORMANCES1R7C1" localSheetId="7" hidden="1">#REF!</definedName>
    <definedName name="UNIFORMANCES1R7C1" localSheetId="9" hidden="1">#REF!</definedName>
    <definedName name="UNIFORMANCES1R7C1" localSheetId="10" hidden="1">#REF!</definedName>
    <definedName name="UNIFORMANCES1R7C1" localSheetId="15" hidden="1">#REF!</definedName>
    <definedName name="UNIFORMANCES1R7C1" localSheetId="18" hidden="1">#REF!</definedName>
    <definedName name="UNIFORMANCES1R7C1" localSheetId="19" hidden="1">#REF!</definedName>
    <definedName name="UNIFORMANCES1R7C1" localSheetId="20" hidden="1">#REF!</definedName>
    <definedName name="UNIFORMANCES1R7C1" localSheetId="23" hidden="1">#REF!</definedName>
    <definedName name="UNIFORMANCES1R7C1" localSheetId="24" hidden="1">#REF!</definedName>
    <definedName name="UNIFORMANCES1R7C1" localSheetId="35" hidden="1">#REF!</definedName>
    <definedName name="UNIFORMANCES1R7C1" localSheetId="58" hidden="1">#REF!</definedName>
    <definedName name="UNIFORMANCES1R7C1" localSheetId="60" hidden="1">#REF!</definedName>
    <definedName name="UNIFORMANCES1R7C1" localSheetId="51" hidden="1">#REF!</definedName>
    <definedName name="UNIFORMANCES1R7C1" localSheetId="54" hidden="1">#REF!</definedName>
    <definedName name="UNIFORMANCES1R7C1" localSheetId="47" hidden="1">#REF!</definedName>
    <definedName name="UNIFORMANCES1R7C1" localSheetId="105" hidden="1">#REF!</definedName>
    <definedName name="UNIFORMANCES1R7C1" localSheetId="104" hidden="1">#REF!</definedName>
    <definedName name="UNIFORMANCES1R7C1" localSheetId="88" hidden="1">#REF!</definedName>
    <definedName name="UNIFORMANCES1R7C1" localSheetId="89" hidden="1">#REF!</definedName>
    <definedName name="UNIFORMANCES1R7C1" localSheetId="87" hidden="1">#REF!</definedName>
    <definedName name="UNIFORMANCES1R7C1" localSheetId="90" hidden="1">#REF!</definedName>
    <definedName name="UNIFORMANCES1R7C1" localSheetId="70" hidden="1">#REF!</definedName>
    <definedName name="UNIFORMANCES1R7C1" localSheetId="65" hidden="1">#REF!</definedName>
    <definedName name="UNIFORMANCES1R7C1" localSheetId="64" hidden="1">#REF!</definedName>
    <definedName name="UNIFORMANCES1R7C1" localSheetId="77" hidden="1">#REF!</definedName>
    <definedName name="UNIFORMANCES1R7C1" localSheetId="49" hidden="1">#REF!</definedName>
    <definedName name="UNIFORMANCES1R7C1" localSheetId="57" hidden="1">#REF!</definedName>
    <definedName name="UNIFORMANCES1R7C1" localSheetId="59" hidden="1">#REF!</definedName>
    <definedName name="UNIFORMANCES1R7C1" localSheetId="40" hidden="1">#REF!</definedName>
    <definedName name="UNIFORMANCES1R7C1" localSheetId="43" hidden="1">#REF!</definedName>
    <definedName name="UNIFORMANCES1R7C1" localSheetId="55" hidden="1">#REF!</definedName>
    <definedName name="UNIFORMANCES1R7C1" localSheetId="13" hidden="1">#REF!</definedName>
    <definedName name="UNIFORMANCES1R7C1" localSheetId="11" hidden="1">#REF!</definedName>
    <definedName name="UNIFORMANCES1R7C1" localSheetId="38" hidden="1">#REF!</definedName>
    <definedName name="UNIFORMANCES1R7C1" localSheetId="41" hidden="1">#REF!</definedName>
    <definedName name="UNIFORMANCES1R7C1" localSheetId="101" hidden="1">#REF!</definedName>
    <definedName name="UNIFORMANCES1R7C1" localSheetId="102" hidden="1">#REF!</definedName>
    <definedName name="UNIFORMANCES1R7C1" localSheetId="103" hidden="1">#REF!</definedName>
    <definedName name="UNIFORMANCES1R7C1" localSheetId="97" hidden="1">#REF!</definedName>
    <definedName name="UNIFORMANCES1R7C1" localSheetId="42" hidden="1">#REF!</definedName>
    <definedName name="UNIFORMANCES1R7C1" localSheetId="12" hidden="1">#REF!</definedName>
    <definedName name="UNIFORMANCES1R7C1" localSheetId="73" hidden="1">#REF!</definedName>
    <definedName name="UNIFORMANCES1R7C1" localSheetId="74" hidden="1">#REF!</definedName>
    <definedName name="UNIFORMANCES1R7C1" hidden="1">#REF!</definedName>
    <definedName name="UNIFORMANCES1R7C13" localSheetId="3" hidden="1">#REF!</definedName>
    <definedName name="UNIFORMANCES1R7C13" localSheetId="7" hidden="1">#REF!</definedName>
    <definedName name="UNIFORMANCES1R7C13" localSheetId="9" hidden="1">#REF!</definedName>
    <definedName name="UNIFORMANCES1R7C13" localSheetId="10" hidden="1">#REF!</definedName>
    <definedName name="UNIFORMANCES1R7C13" localSheetId="15" hidden="1">#REF!</definedName>
    <definedName name="UNIFORMANCES1R7C13" localSheetId="18" hidden="1">#REF!</definedName>
    <definedName name="UNIFORMANCES1R7C13" localSheetId="19" hidden="1">#REF!</definedName>
    <definedName name="UNIFORMANCES1R7C13" localSheetId="20" hidden="1">#REF!</definedName>
    <definedName name="UNIFORMANCES1R7C13" localSheetId="23" hidden="1">#REF!</definedName>
    <definedName name="UNIFORMANCES1R7C13" localSheetId="24" hidden="1">#REF!</definedName>
    <definedName name="UNIFORMANCES1R7C13" localSheetId="35" hidden="1">#REF!</definedName>
    <definedName name="UNIFORMANCES1R7C13" localSheetId="58" hidden="1">#REF!</definedName>
    <definedName name="UNIFORMANCES1R7C13" localSheetId="60" hidden="1">#REF!</definedName>
    <definedName name="UNIFORMANCES1R7C13" localSheetId="51" hidden="1">#REF!</definedName>
    <definedName name="UNIFORMANCES1R7C13" localSheetId="54" hidden="1">#REF!</definedName>
    <definedName name="UNIFORMANCES1R7C13" localSheetId="47" hidden="1">#REF!</definedName>
    <definedName name="UNIFORMANCES1R7C13" localSheetId="105" hidden="1">#REF!</definedName>
    <definedName name="UNIFORMANCES1R7C13" localSheetId="104" hidden="1">#REF!</definedName>
    <definedName name="UNIFORMANCES1R7C13" localSheetId="88" hidden="1">#REF!</definedName>
    <definedName name="UNIFORMANCES1R7C13" localSheetId="89" hidden="1">#REF!</definedName>
    <definedName name="UNIFORMANCES1R7C13" localSheetId="87" hidden="1">#REF!</definedName>
    <definedName name="UNIFORMANCES1R7C13" localSheetId="90" hidden="1">#REF!</definedName>
    <definedName name="UNIFORMANCES1R7C13" localSheetId="70" hidden="1">#REF!</definedName>
    <definedName name="UNIFORMANCES1R7C13" localSheetId="65" hidden="1">#REF!</definedName>
    <definedName name="UNIFORMANCES1R7C13" localSheetId="64" hidden="1">#REF!</definedName>
    <definedName name="UNIFORMANCES1R7C13" localSheetId="77" hidden="1">#REF!</definedName>
    <definedName name="UNIFORMANCES1R7C13" localSheetId="49" hidden="1">#REF!</definedName>
    <definedName name="UNIFORMANCES1R7C13" localSheetId="57" hidden="1">#REF!</definedName>
    <definedName name="UNIFORMANCES1R7C13" localSheetId="59" hidden="1">#REF!</definedName>
    <definedName name="UNIFORMANCES1R7C13" localSheetId="40" hidden="1">#REF!</definedName>
    <definedName name="UNIFORMANCES1R7C13" localSheetId="43" hidden="1">#REF!</definedName>
    <definedName name="UNIFORMANCES1R7C13" localSheetId="55" hidden="1">#REF!</definedName>
    <definedName name="UNIFORMANCES1R7C13" localSheetId="13" hidden="1">#REF!</definedName>
    <definedName name="UNIFORMANCES1R7C13" localSheetId="11" hidden="1">#REF!</definedName>
    <definedName name="UNIFORMANCES1R7C13" localSheetId="38" hidden="1">#REF!</definedName>
    <definedName name="UNIFORMANCES1R7C13" localSheetId="41" hidden="1">#REF!</definedName>
    <definedName name="UNIFORMANCES1R7C13" localSheetId="101" hidden="1">#REF!</definedName>
    <definedName name="UNIFORMANCES1R7C13" localSheetId="102" hidden="1">#REF!</definedName>
    <definedName name="UNIFORMANCES1R7C13" localSheetId="103" hidden="1">#REF!</definedName>
    <definedName name="UNIFORMANCES1R7C13" localSheetId="97" hidden="1">#REF!</definedName>
    <definedName name="UNIFORMANCES1R7C13" localSheetId="42" hidden="1">#REF!</definedName>
    <definedName name="UNIFORMANCES1R7C13" localSheetId="12" hidden="1">#REF!</definedName>
    <definedName name="UNIFORMANCES1R7C13" localSheetId="73" hidden="1">#REF!</definedName>
    <definedName name="UNIFORMANCES1R7C13" localSheetId="74" hidden="1">#REF!</definedName>
    <definedName name="UNIFORMANCES1R7C13" hidden="1">#REF!</definedName>
    <definedName name="UNIFORMANCES1R7C17" localSheetId="3" hidden="1">#REF!</definedName>
    <definedName name="UNIFORMANCES1R7C17" localSheetId="7" hidden="1">#REF!</definedName>
    <definedName name="UNIFORMANCES1R7C17" localSheetId="9" hidden="1">#REF!</definedName>
    <definedName name="UNIFORMANCES1R7C17" localSheetId="10" hidden="1">#REF!</definedName>
    <definedName name="UNIFORMANCES1R7C17" localSheetId="15" hidden="1">#REF!</definedName>
    <definedName name="UNIFORMANCES1R7C17" localSheetId="18" hidden="1">#REF!</definedName>
    <definedName name="UNIFORMANCES1R7C17" localSheetId="19" hidden="1">#REF!</definedName>
    <definedName name="UNIFORMANCES1R7C17" localSheetId="20" hidden="1">#REF!</definedName>
    <definedName name="UNIFORMANCES1R7C17" localSheetId="23" hidden="1">#REF!</definedName>
    <definedName name="UNIFORMANCES1R7C17" localSheetId="24" hidden="1">#REF!</definedName>
    <definedName name="UNIFORMANCES1R7C17" localSheetId="35" hidden="1">#REF!</definedName>
    <definedName name="UNIFORMANCES1R7C17" localSheetId="58" hidden="1">#REF!</definedName>
    <definedName name="UNIFORMANCES1R7C17" localSheetId="60" hidden="1">#REF!</definedName>
    <definedName name="UNIFORMANCES1R7C17" localSheetId="51" hidden="1">#REF!</definedName>
    <definedName name="UNIFORMANCES1R7C17" localSheetId="54" hidden="1">#REF!</definedName>
    <definedName name="UNIFORMANCES1R7C17" localSheetId="47" hidden="1">#REF!</definedName>
    <definedName name="UNIFORMANCES1R7C17" localSheetId="105" hidden="1">#REF!</definedName>
    <definedName name="UNIFORMANCES1R7C17" localSheetId="104" hidden="1">#REF!</definedName>
    <definedName name="UNIFORMANCES1R7C17" localSheetId="88" hidden="1">#REF!</definedName>
    <definedName name="UNIFORMANCES1R7C17" localSheetId="89" hidden="1">#REF!</definedName>
    <definedName name="UNIFORMANCES1R7C17" localSheetId="87" hidden="1">#REF!</definedName>
    <definedName name="UNIFORMANCES1R7C17" localSheetId="90" hidden="1">#REF!</definedName>
    <definedName name="UNIFORMANCES1R7C17" localSheetId="70" hidden="1">#REF!</definedName>
    <definedName name="UNIFORMANCES1R7C17" localSheetId="65" hidden="1">#REF!</definedName>
    <definedName name="UNIFORMANCES1R7C17" localSheetId="64" hidden="1">#REF!</definedName>
    <definedName name="UNIFORMANCES1R7C17" localSheetId="77" hidden="1">#REF!</definedName>
    <definedName name="UNIFORMANCES1R7C17" localSheetId="49" hidden="1">#REF!</definedName>
    <definedName name="UNIFORMANCES1R7C17" localSheetId="57" hidden="1">#REF!</definedName>
    <definedName name="UNIFORMANCES1R7C17" localSheetId="59" hidden="1">#REF!</definedName>
    <definedName name="UNIFORMANCES1R7C17" localSheetId="40" hidden="1">#REF!</definedName>
    <definedName name="UNIFORMANCES1R7C17" localSheetId="43" hidden="1">#REF!</definedName>
    <definedName name="UNIFORMANCES1R7C17" localSheetId="55" hidden="1">#REF!</definedName>
    <definedName name="UNIFORMANCES1R7C17" localSheetId="13" hidden="1">#REF!</definedName>
    <definedName name="UNIFORMANCES1R7C17" localSheetId="11" hidden="1">#REF!</definedName>
    <definedName name="UNIFORMANCES1R7C17" localSheetId="38" hidden="1">#REF!</definedName>
    <definedName name="UNIFORMANCES1R7C17" localSheetId="41" hidden="1">#REF!</definedName>
    <definedName name="UNIFORMANCES1R7C17" localSheetId="101" hidden="1">#REF!</definedName>
    <definedName name="UNIFORMANCES1R7C17" localSheetId="102" hidden="1">#REF!</definedName>
    <definedName name="UNIFORMANCES1R7C17" localSheetId="103" hidden="1">#REF!</definedName>
    <definedName name="UNIFORMANCES1R7C17" localSheetId="97" hidden="1">#REF!</definedName>
    <definedName name="UNIFORMANCES1R7C17" localSheetId="42" hidden="1">#REF!</definedName>
    <definedName name="UNIFORMANCES1R7C17" localSheetId="12" hidden="1">#REF!</definedName>
    <definedName name="UNIFORMANCES1R7C17" localSheetId="73" hidden="1">#REF!</definedName>
    <definedName name="UNIFORMANCES1R7C17" localSheetId="74" hidden="1">#REF!</definedName>
    <definedName name="UNIFORMANCES1R7C17" hidden="1">#REF!</definedName>
    <definedName name="UNIFORMANCES1R7C21" localSheetId="3" hidden="1">#REF!</definedName>
    <definedName name="UNIFORMANCES1R7C21" localSheetId="7" hidden="1">#REF!</definedName>
    <definedName name="UNIFORMANCES1R7C21" localSheetId="9" hidden="1">#REF!</definedName>
    <definedName name="UNIFORMANCES1R7C21" localSheetId="10" hidden="1">#REF!</definedName>
    <definedName name="UNIFORMANCES1R7C21" localSheetId="15" hidden="1">#REF!</definedName>
    <definedName name="UNIFORMANCES1R7C21" localSheetId="18" hidden="1">#REF!</definedName>
    <definedName name="UNIFORMANCES1R7C21" localSheetId="19" hidden="1">#REF!</definedName>
    <definedName name="UNIFORMANCES1R7C21" localSheetId="20" hidden="1">#REF!</definedName>
    <definedName name="UNIFORMANCES1R7C21" localSheetId="23" hidden="1">#REF!</definedName>
    <definedName name="UNIFORMANCES1R7C21" localSheetId="24" hidden="1">#REF!</definedName>
    <definedName name="UNIFORMANCES1R7C21" localSheetId="35" hidden="1">#REF!</definedName>
    <definedName name="UNIFORMANCES1R7C21" localSheetId="58" hidden="1">#REF!</definedName>
    <definedName name="UNIFORMANCES1R7C21" localSheetId="60" hidden="1">#REF!</definedName>
    <definedName name="UNIFORMANCES1R7C21" localSheetId="51" hidden="1">#REF!</definedName>
    <definedName name="UNIFORMANCES1R7C21" localSheetId="54" hidden="1">#REF!</definedName>
    <definedName name="UNIFORMANCES1R7C21" localSheetId="47" hidden="1">#REF!</definedName>
    <definedName name="UNIFORMANCES1R7C21" localSheetId="105" hidden="1">#REF!</definedName>
    <definedName name="UNIFORMANCES1R7C21" localSheetId="104" hidden="1">#REF!</definedName>
    <definedName name="UNIFORMANCES1R7C21" localSheetId="88" hidden="1">#REF!</definedName>
    <definedName name="UNIFORMANCES1R7C21" localSheetId="89" hidden="1">#REF!</definedName>
    <definedName name="UNIFORMANCES1R7C21" localSheetId="87" hidden="1">#REF!</definedName>
    <definedName name="UNIFORMANCES1R7C21" localSheetId="90" hidden="1">#REF!</definedName>
    <definedName name="UNIFORMANCES1R7C21" localSheetId="70" hidden="1">#REF!</definedName>
    <definedName name="UNIFORMANCES1R7C21" localSheetId="65" hidden="1">#REF!</definedName>
    <definedName name="UNIFORMANCES1R7C21" localSheetId="64" hidden="1">#REF!</definedName>
    <definedName name="UNIFORMANCES1R7C21" localSheetId="77" hidden="1">#REF!</definedName>
    <definedName name="UNIFORMANCES1R7C21" localSheetId="49" hidden="1">#REF!</definedName>
    <definedName name="UNIFORMANCES1R7C21" localSheetId="57" hidden="1">#REF!</definedName>
    <definedName name="UNIFORMANCES1R7C21" localSheetId="59" hidden="1">#REF!</definedName>
    <definedName name="UNIFORMANCES1R7C21" localSheetId="40" hidden="1">#REF!</definedName>
    <definedName name="UNIFORMANCES1R7C21" localSheetId="43" hidden="1">#REF!</definedName>
    <definedName name="UNIFORMANCES1R7C21" localSheetId="55" hidden="1">#REF!</definedName>
    <definedName name="UNIFORMANCES1R7C21" localSheetId="13" hidden="1">#REF!</definedName>
    <definedName name="UNIFORMANCES1R7C21" localSheetId="11" hidden="1">#REF!</definedName>
    <definedName name="UNIFORMANCES1R7C21" localSheetId="38" hidden="1">#REF!</definedName>
    <definedName name="UNIFORMANCES1R7C21" localSheetId="41" hidden="1">#REF!</definedName>
    <definedName name="UNIFORMANCES1R7C21" localSheetId="101" hidden="1">#REF!</definedName>
    <definedName name="UNIFORMANCES1R7C21" localSheetId="102" hidden="1">#REF!</definedName>
    <definedName name="UNIFORMANCES1R7C21" localSheetId="103" hidden="1">#REF!</definedName>
    <definedName name="UNIFORMANCES1R7C21" localSheetId="97" hidden="1">#REF!</definedName>
    <definedName name="UNIFORMANCES1R7C21" localSheetId="42" hidden="1">#REF!</definedName>
    <definedName name="UNIFORMANCES1R7C21" localSheetId="12" hidden="1">#REF!</definedName>
    <definedName name="UNIFORMANCES1R7C21" localSheetId="73" hidden="1">#REF!</definedName>
    <definedName name="UNIFORMANCES1R7C21" localSheetId="74" hidden="1">#REF!</definedName>
    <definedName name="UNIFORMANCES1R7C21" hidden="1">#REF!</definedName>
    <definedName name="UNIFORMANCES1R7C25" localSheetId="3" hidden="1">#REF!</definedName>
    <definedName name="UNIFORMANCES1R7C25" localSheetId="7" hidden="1">#REF!</definedName>
    <definedName name="UNIFORMANCES1R7C25" localSheetId="9" hidden="1">#REF!</definedName>
    <definedName name="UNIFORMANCES1R7C25" localSheetId="10" hidden="1">#REF!</definedName>
    <definedName name="UNIFORMANCES1R7C25" localSheetId="15" hidden="1">#REF!</definedName>
    <definedName name="UNIFORMANCES1R7C25" localSheetId="18" hidden="1">#REF!</definedName>
    <definedName name="UNIFORMANCES1R7C25" localSheetId="19" hidden="1">#REF!</definedName>
    <definedName name="UNIFORMANCES1R7C25" localSheetId="20" hidden="1">#REF!</definedName>
    <definedName name="UNIFORMANCES1R7C25" localSheetId="23" hidden="1">#REF!</definedName>
    <definedName name="UNIFORMANCES1R7C25" localSheetId="24" hidden="1">#REF!</definedName>
    <definedName name="UNIFORMANCES1R7C25" localSheetId="35" hidden="1">#REF!</definedName>
    <definedName name="UNIFORMANCES1R7C25" localSheetId="58" hidden="1">#REF!</definedName>
    <definedName name="UNIFORMANCES1R7C25" localSheetId="60" hidden="1">#REF!</definedName>
    <definedName name="UNIFORMANCES1R7C25" localSheetId="51" hidden="1">#REF!</definedName>
    <definedName name="UNIFORMANCES1R7C25" localSheetId="54" hidden="1">#REF!</definedName>
    <definedName name="UNIFORMANCES1R7C25" localSheetId="47" hidden="1">#REF!</definedName>
    <definedName name="UNIFORMANCES1R7C25" localSheetId="105" hidden="1">#REF!</definedName>
    <definedName name="UNIFORMANCES1R7C25" localSheetId="104" hidden="1">#REF!</definedName>
    <definedName name="UNIFORMANCES1R7C25" localSheetId="88" hidden="1">#REF!</definedName>
    <definedName name="UNIFORMANCES1R7C25" localSheetId="89" hidden="1">#REF!</definedName>
    <definedName name="UNIFORMANCES1R7C25" localSheetId="87" hidden="1">#REF!</definedName>
    <definedName name="UNIFORMANCES1R7C25" localSheetId="90" hidden="1">#REF!</definedName>
    <definedName name="UNIFORMANCES1R7C25" localSheetId="70" hidden="1">#REF!</definedName>
    <definedName name="UNIFORMANCES1R7C25" localSheetId="65" hidden="1">#REF!</definedName>
    <definedName name="UNIFORMANCES1R7C25" localSheetId="64" hidden="1">#REF!</definedName>
    <definedName name="UNIFORMANCES1R7C25" localSheetId="77" hidden="1">#REF!</definedName>
    <definedName name="UNIFORMANCES1R7C25" localSheetId="49" hidden="1">#REF!</definedName>
    <definedName name="UNIFORMANCES1R7C25" localSheetId="57" hidden="1">#REF!</definedName>
    <definedName name="UNIFORMANCES1R7C25" localSheetId="59" hidden="1">#REF!</definedName>
    <definedName name="UNIFORMANCES1R7C25" localSheetId="40" hidden="1">#REF!</definedName>
    <definedName name="UNIFORMANCES1R7C25" localSheetId="43" hidden="1">#REF!</definedName>
    <definedName name="UNIFORMANCES1R7C25" localSheetId="55" hidden="1">#REF!</definedName>
    <definedName name="UNIFORMANCES1R7C25" localSheetId="13" hidden="1">#REF!</definedName>
    <definedName name="UNIFORMANCES1R7C25" localSheetId="11" hidden="1">#REF!</definedName>
    <definedName name="UNIFORMANCES1R7C25" localSheetId="38" hidden="1">#REF!</definedName>
    <definedName name="UNIFORMANCES1R7C25" localSheetId="41" hidden="1">#REF!</definedName>
    <definedName name="UNIFORMANCES1R7C25" localSheetId="101" hidden="1">#REF!</definedName>
    <definedName name="UNIFORMANCES1R7C25" localSheetId="102" hidden="1">#REF!</definedName>
    <definedName name="UNIFORMANCES1R7C25" localSheetId="103" hidden="1">#REF!</definedName>
    <definedName name="UNIFORMANCES1R7C25" localSheetId="97" hidden="1">#REF!</definedName>
    <definedName name="UNIFORMANCES1R7C25" localSheetId="42" hidden="1">#REF!</definedName>
    <definedName name="UNIFORMANCES1R7C25" localSheetId="12" hidden="1">#REF!</definedName>
    <definedName name="UNIFORMANCES1R7C25" localSheetId="73" hidden="1">#REF!</definedName>
    <definedName name="UNIFORMANCES1R7C25" localSheetId="74" hidden="1">#REF!</definedName>
    <definedName name="UNIFORMANCES1R7C25" hidden="1">#REF!</definedName>
    <definedName name="UNIFORMANCES1R7C29" localSheetId="3" hidden="1">#REF!</definedName>
    <definedName name="UNIFORMANCES1R7C29" localSheetId="7" hidden="1">#REF!</definedName>
    <definedName name="UNIFORMANCES1R7C29" localSheetId="9" hidden="1">#REF!</definedName>
    <definedName name="UNIFORMANCES1R7C29" localSheetId="10" hidden="1">#REF!</definedName>
    <definedName name="UNIFORMANCES1R7C29" localSheetId="15" hidden="1">#REF!</definedName>
    <definedName name="UNIFORMANCES1R7C29" localSheetId="18" hidden="1">#REF!</definedName>
    <definedName name="UNIFORMANCES1R7C29" localSheetId="19" hidden="1">#REF!</definedName>
    <definedName name="UNIFORMANCES1R7C29" localSheetId="20" hidden="1">#REF!</definedName>
    <definedName name="UNIFORMANCES1R7C29" localSheetId="23" hidden="1">#REF!</definedName>
    <definedName name="UNIFORMANCES1R7C29" localSheetId="24" hidden="1">#REF!</definedName>
    <definedName name="UNIFORMANCES1R7C29" localSheetId="35" hidden="1">#REF!</definedName>
    <definedName name="UNIFORMANCES1R7C29" localSheetId="58" hidden="1">#REF!</definedName>
    <definedName name="UNIFORMANCES1R7C29" localSheetId="60" hidden="1">#REF!</definedName>
    <definedName name="UNIFORMANCES1R7C29" localSheetId="51" hidden="1">#REF!</definedName>
    <definedName name="UNIFORMANCES1R7C29" localSheetId="54" hidden="1">#REF!</definedName>
    <definedName name="UNIFORMANCES1R7C29" localSheetId="47" hidden="1">#REF!</definedName>
    <definedName name="UNIFORMANCES1R7C29" localSheetId="105" hidden="1">#REF!</definedName>
    <definedName name="UNIFORMANCES1R7C29" localSheetId="104" hidden="1">#REF!</definedName>
    <definedName name="UNIFORMANCES1R7C29" localSheetId="88" hidden="1">#REF!</definedName>
    <definedName name="UNIFORMANCES1R7C29" localSheetId="89" hidden="1">#REF!</definedName>
    <definedName name="UNIFORMANCES1R7C29" localSheetId="87" hidden="1">#REF!</definedName>
    <definedName name="UNIFORMANCES1R7C29" localSheetId="90" hidden="1">#REF!</definedName>
    <definedName name="UNIFORMANCES1R7C29" localSheetId="70" hidden="1">#REF!</definedName>
    <definedName name="UNIFORMANCES1R7C29" localSheetId="65" hidden="1">#REF!</definedName>
    <definedName name="UNIFORMANCES1R7C29" localSheetId="64" hidden="1">#REF!</definedName>
    <definedName name="UNIFORMANCES1R7C29" localSheetId="77" hidden="1">#REF!</definedName>
    <definedName name="UNIFORMANCES1R7C29" localSheetId="49" hidden="1">#REF!</definedName>
    <definedName name="UNIFORMANCES1R7C29" localSheetId="57" hidden="1">#REF!</definedName>
    <definedName name="UNIFORMANCES1R7C29" localSheetId="59" hidden="1">#REF!</definedName>
    <definedName name="UNIFORMANCES1R7C29" localSheetId="40" hidden="1">#REF!</definedName>
    <definedName name="UNIFORMANCES1R7C29" localSheetId="43" hidden="1">#REF!</definedName>
    <definedName name="UNIFORMANCES1R7C29" localSheetId="55" hidden="1">#REF!</definedName>
    <definedName name="UNIFORMANCES1R7C29" localSheetId="13" hidden="1">#REF!</definedName>
    <definedName name="UNIFORMANCES1R7C29" localSheetId="11" hidden="1">#REF!</definedName>
    <definedName name="UNIFORMANCES1R7C29" localSheetId="38" hidden="1">#REF!</definedName>
    <definedName name="UNIFORMANCES1R7C29" localSheetId="41" hidden="1">#REF!</definedName>
    <definedName name="UNIFORMANCES1R7C29" localSheetId="101" hidden="1">#REF!</definedName>
    <definedName name="UNIFORMANCES1R7C29" localSheetId="102" hidden="1">#REF!</definedName>
    <definedName name="UNIFORMANCES1R7C29" localSheetId="103" hidden="1">#REF!</definedName>
    <definedName name="UNIFORMANCES1R7C29" localSheetId="97" hidden="1">#REF!</definedName>
    <definedName name="UNIFORMANCES1R7C29" localSheetId="42" hidden="1">#REF!</definedName>
    <definedName name="UNIFORMANCES1R7C29" localSheetId="12" hidden="1">#REF!</definedName>
    <definedName name="UNIFORMANCES1R7C29" localSheetId="73" hidden="1">#REF!</definedName>
    <definedName name="UNIFORMANCES1R7C29" localSheetId="74" hidden="1">#REF!</definedName>
    <definedName name="UNIFORMANCES1R7C29" hidden="1">#REF!</definedName>
    <definedName name="UNIFORMANCES1R7C33" localSheetId="3" hidden="1">#REF!</definedName>
    <definedName name="UNIFORMANCES1R7C33" localSheetId="7" hidden="1">#REF!</definedName>
    <definedName name="UNIFORMANCES1R7C33" localSheetId="9" hidden="1">#REF!</definedName>
    <definedName name="UNIFORMANCES1R7C33" localSheetId="10" hidden="1">#REF!</definedName>
    <definedName name="UNIFORMANCES1R7C33" localSheetId="15" hidden="1">#REF!</definedName>
    <definedName name="UNIFORMANCES1R7C33" localSheetId="18" hidden="1">#REF!</definedName>
    <definedName name="UNIFORMANCES1R7C33" localSheetId="19" hidden="1">#REF!</definedName>
    <definedName name="UNIFORMANCES1R7C33" localSheetId="20" hidden="1">#REF!</definedName>
    <definedName name="UNIFORMANCES1R7C33" localSheetId="23" hidden="1">#REF!</definedName>
    <definedName name="UNIFORMANCES1R7C33" localSheetId="24" hidden="1">#REF!</definedName>
    <definedName name="UNIFORMANCES1R7C33" localSheetId="35" hidden="1">#REF!</definedName>
    <definedName name="UNIFORMANCES1R7C33" localSheetId="58" hidden="1">#REF!</definedName>
    <definedName name="UNIFORMANCES1R7C33" localSheetId="60" hidden="1">#REF!</definedName>
    <definedName name="UNIFORMANCES1R7C33" localSheetId="51" hidden="1">#REF!</definedName>
    <definedName name="UNIFORMANCES1R7C33" localSheetId="54" hidden="1">#REF!</definedName>
    <definedName name="UNIFORMANCES1R7C33" localSheetId="47" hidden="1">#REF!</definedName>
    <definedName name="UNIFORMANCES1R7C33" localSheetId="105" hidden="1">#REF!</definedName>
    <definedName name="UNIFORMANCES1R7C33" localSheetId="104" hidden="1">#REF!</definedName>
    <definedName name="UNIFORMANCES1R7C33" localSheetId="88" hidden="1">#REF!</definedName>
    <definedName name="UNIFORMANCES1R7C33" localSheetId="89" hidden="1">#REF!</definedName>
    <definedName name="UNIFORMANCES1R7C33" localSheetId="87" hidden="1">#REF!</definedName>
    <definedName name="UNIFORMANCES1R7C33" localSheetId="90" hidden="1">#REF!</definedName>
    <definedName name="UNIFORMANCES1R7C33" localSheetId="70" hidden="1">#REF!</definedName>
    <definedName name="UNIFORMANCES1R7C33" localSheetId="65" hidden="1">#REF!</definedName>
    <definedName name="UNIFORMANCES1R7C33" localSheetId="64" hidden="1">#REF!</definedName>
    <definedName name="UNIFORMANCES1R7C33" localSheetId="77" hidden="1">#REF!</definedName>
    <definedName name="UNIFORMANCES1R7C33" localSheetId="49" hidden="1">#REF!</definedName>
    <definedName name="UNIFORMANCES1R7C33" localSheetId="57" hidden="1">#REF!</definedName>
    <definedName name="UNIFORMANCES1R7C33" localSheetId="59" hidden="1">#REF!</definedName>
    <definedName name="UNIFORMANCES1R7C33" localSheetId="40" hidden="1">#REF!</definedName>
    <definedName name="UNIFORMANCES1R7C33" localSheetId="43" hidden="1">#REF!</definedName>
    <definedName name="UNIFORMANCES1R7C33" localSheetId="55" hidden="1">#REF!</definedName>
    <definedName name="UNIFORMANCES1R7C33" localSheetId="13" hidden="1">#REF!</definedName>
    <definedName name="UNIFORMANCES1R7C33" localSheetId="11" hidden="1">#REF!</definedName>
    <definedName name="UNIFORMANCES1R7C33" localSheetId="38" hidden="1">#REF!</definedName>
    <definedName name="UNIFORMANCES1R7C33" localSheetId="41" hidden="1">#REF!</definedName>
    <definedName name="UNIFORMANCES1R7C33" localSheetId="101" hidden="1">#REF!</definedName>
    <definedName name="UNIFORMANCES1R7C33" localSheetId="102" hidden="1">#REF!</definedName>
    <definedName name="UNIFORMANCES1R7C33" localSheetId="103" hidden="1">#REF!</definedName>
    <definedName name="UNIFORMANCES1R7C33" localSheetId="97" hidden="1">#REF!</definedName>
    <definedName name="UNIFORMANCES1R7C33" localSheetId="42" hidden="1">#REF!</definedName>
    <definedName name="UNIFORMANCES1R7C33" localSheetId="12" hidden="1">#REF!</definedName>
    <definedName name="UNIFORMANCES1R7C33" localSheetId="73" hidden="1">#REF!</definedName>
    <definedName name="UNIFORMANCES1R7C33" localSheetId="74" hidden="1">#REF!</definedName>
    <definedName name="UNIFORMANCES1R7C33" hidden="1">#REF!</definedName>
    <definedName name="UNIFORMANCES1R7C37" localSheetId="3" hidden="1">#REF!</definedName>
    <definedName name="UNIFORMANCES1R7C37" localSheetId="7" hidden="1">#REF!</definedName>
    <definedName name="UNIFORMANCES1R7C37" localSheetId="9" hidden="1">#REF!</definedName>
    <definedName name="UNIFORMANCES1R7C37" localSheetId="10" hidden="1">#REF!</definedName>
    <definedName name="UNIFORMANCES1R7C37" localSheetId="15" hidden="1">#REF!</definedName>
    <definedName name="UNIFORMANCES1R7C37" localSheetId="18" hidden="1">#REF!</definedName>
    <definedName name="UNIFORMANCES1R7C37" localSheetId="19" hidden="1">#REF!</definedName>
    <definedName name="UNIFORMANCES1R7C37" localSheetId="20" hidden="1">#REF!</definedName>
    <definedName name="UNIFORMANCES1R7C37" localSheetId="23" hidden="1">#REF!</definedName>
    <definedName name="UNIFORMANCES1R7C37" localSheetId="24" hidden="1">#REF!</definedName>
    <definedName name="UNIFORMANCES1R7C37" localSheetId="35" hidden="1">#REF!</definedName>
    <definedName name="UNIFORMANCES1R7C37" localSheetId="58" hidden="1">#REF!</definedName>
    <definedName name="UNIFORMANCES1R7C37" localSheetId="60" hidden="1">#REF!</definedName>
    <definedName name="UNIFORMANCES1R7C37" localSheetId="51" hidden="1">#REF!</definedName>
    <definedName name="UNIFORMANCES1R7C37" localSheetId="54" hidden="1">#REF!</definedName>
    <definedName name="UNIFORMANCES1R7C37" localSheetId="47" hidden="1">#REF!</definedName>
    <definedName name="UNIFORMANCES1R7C37" localSheetId="105" hidden="1">#REF!</definedName>
    <definedName name="UNIFORMANCES1R7C37" localSheetId="104" hidden="1">#REF!</definedName>
    <definedName name="UNIFORMANCES1R7C37" localSheetId="88" hidden="1">#REF!</definedName>
    <definedName name="UNIFORMANCES1R7C37" localSheetId="89" hidden="1">#REF!</definedName>
    <definedName name="UNIFORMANCES1R7C37" localSheetId="87" hidden="1">#REF!</definedName>
    <definedName name="UNIFORMANCES1R7C37" localSheetId="90" hidden="1">#REF!</definedName>
    <definedName name="UNIFORMANCES1R7C37" localSheetId="70" hidden="1">#REF!</definedName>
    <definedName name="UNIFORMANCES1R7C37" localSheetId="65" hidden="1">#REF!</definedName>
    <definedName name="UNIFORMANCES1R7C37" localSheetId="64" hidden="1">#REF!</definedName>
    <definedName name="UNIFORMANCES1R7C37" localSheetId="77" hidden="1">#REF!</definedName>
    <definedName name="UNIFORMANCES1R7C37" localSheetId="49" hidden="1">#REF!</definedName>
    <definedName name="UNIFORMANCES1R7C37" localSheetId="57" hidden="1">#REF!</definedName>
    <definedName name="UNIFORMANCES1R7C37" localSheetId="59" hidden="1">#REF!</definedName>
    <definedName name="UNIFORMANCES1R7C37" localSheetId="40" hidden="1">#REF!</definedName>
    <definedName name="UNIFORMANCES1R7C37" localSheetId="43" hidden="1">#REF!</definedName>
    <definedName name="UNIFORMANCES1R7C37" localSheetId="55" hidden="1">#REF!</definedName>
    <definedName name="UNIFORMANCES1R7C37" localSheetId="13" hidden="1">#REF!</definedName>
    <definedName name="UNIFORMANCES1R7C37" localSheetId="11" hidden="1">#REF!</definedName>
    <definedName name="UNIFORMANCES1R7C37" localSheetId="38" hidden="1">#REF!</definedName>
    <definedName name="UNIFORMANCES1R7C37" localSheetId="41" hidden="1">#REF!</definedName>
    <definedName name="UNIFORMANCES1R7C37" localSheetId="101" hidden="1">#REF!</definedName>
    <definedName name="UNIFORMANCES1R7C37" localSheetId="102" hidden="1">#REF!</definedName>
    <definedName name="UNIFORMANCES1R7C37" localSheetId="103" hidden="1">#REF!</definedName>
    <definedName name="UNIFORMANCES1R7C37" localSheetId="97" hidden="1">#REF!</definedName>
    <definedName name="UNIFORMANCES1R7C37" localSheetId="42" hidden="1">#REF!</definedName>
    <definedName name="UNIFORMANCES1R7C37" localSheetId="12" hidden="1">#REF!</definedName>
    <definedName name="UNIFORMANCES1R7C37" localSheetId="73" hidden="1">#REF!</definedName>
    <definedName name="UNIFORMANCES1R7C37" localSheetId="74" hidden="1">#REF!</definedName>
    <definedName name="UNIFORMANCES1R7C37" hidden="1">#REF!</definedName>
    <definedName name="UNIFORMANCES1R7C41" localSheetId="3" hidden="1">#REF!</definedName>
    <definedName name="UNIFORMANCES1R7C41" localSheetId="7" hidden="1">#REF!</definedName>
    <definedName name="UNIFORMANCES1R7C41" localSheetId="9" hidden="1">#REF!</definedName>
    <definedName name="UNIFORMANCES1R7C41" localSheetId="10" hidden="1">#REF!</definedName>
    <definedName name="UNIFORMANCES1R7C41" localSheetId="15" hidden="1">#REF!</definedName>
    <definedName name="UNIFORMANCES1R7C41" localSheetId="18" hidden="1">#REF!</definedName>
    <definedName name="UNIFORMANCES1R7C41" localSheetId="19" hidden="1">#REF!</definedName>
    <definedName name="UNIFORMANCES1R7C41" localSheetId="20" hidden="1">#REF!</definedName>
    <definedName name="UNIFORMANCES1R7C41" localSheetId="23" hidden="1">#REF!</definedName>
    <definedName name="UNIFORMANCES1R7C41" localSheetId="24" hidden="1">#REF!</definedName>
    <definedName name="UNIFORMANCES1R7C41" localSheetId="35" hidden="1">#REF!</definedName>
    <definedName name="UNIFORMANCES1R7C41" localSheetId="58" hidden="1">#REF!</definedName>
    <definedName name="UNIFORMANCES1R7C41" localSheetId="60" hidden="1">#REF!</definedName>
    <definedName name="UNIFORMANCES1R7C41" localSheetId="51" hidden="1">#REF!</definedName>
    <definedName name="UNIFORMANCES1R7C41" localSheetId="54" hidden="1">#REF!</definedName>
    <definedName name="UNIFORMANCES1R7C41" localSheetId="47" hidden="1">#REF!</definedName>
    <definedName name="UNIFORMANCES1R7C41" localSheetId="105" hidden="1">#REF!</definedName>
    <definedName name="UNIFORMANCES1R7C41" localSheetId="104" hidden="1">#REF!</definedName>
    <definedName name="UNIFORMANCES1R7C41" localSheetId="88" hidden="1">#REF!</definedName>
    <definedName name="UNIFORMANCES1R7C41" localSheetId="89" hidden="1">#REF!</definedName>
    <definedName name="UNIFORMANCES1R7C41" localSheetId="87" hidden="1">#REF!</definedName>
    <definedName name="UNIFORMANCES1R7C41" localSheetId="90" hidden="1">#REF!</definedName>
    <definedName name="UNIFORMANCES1R7C41" localSheetId="70" hidden="1">#REF!</definedName>
    <definedName name="UNIFORMANCES1R7C41" localSheetId="65" hidden="1">#REF!</definedName>
    <definedName name="UNIFORMANCES1R7C41" localSheetId="64" hidden="1">#REF!</definedName>
    <definedName name="UNIFORMANCES1R7C41" localSheetId="77" hidden="1">#REF!</definedName>
    <definedName name="UNIFORMANCES1R7C41" localSheetId="49" hidden="1">#REF!</definedName>
    <definedName name="UNIFORMANCES1R7C41" localSheetId="57" hidden="1">#REF!</definedName>
    <definedName name="UNIFORMANCES1R7C41" localSheetId="59" hidden="1">#REF!</definedName>
    <definedName name="UNIFORMANCES1R7C41" localSheetId="40" hidden="1">#REF!</definedName>
    <definedName name="UNIFORMANCES1R7C41" localSheetId="43" hidden="1">#REF!</definedName>
    <definedName name="UNIFORMANCES1R7C41" localSheetId="55" hidden="1">#REF!</definedName>
    <definedName name="UNIFORMANCES1R7C41" localSheetId="13" hidden="1">#REF!</definedName>
    <definedName name="UNIFORMANCES1R7C41" localSheetId="11" hidden="1">#REF!</definedName>
    <definedName name="UNIFORMANCES1R7C41" localSheetId="38" hidden="1">#REF!</definedName>
    <definedName name="UNIFORMANCES1R7C41" localSheetId="41" hidden="1">#REF!</definedName>
    <definedName name="UNIFORMANCES1R7C41" localSheetId="101" hidden="1">#REF!</definedName>
    <definedName name="UNIFORMANCES1R7C41" localSheetId="102" hidden="1">#REF!</definedName>
    <definedName name="UNIFORMANCES1R7C41" localSheetId="103" hidden="1">#REF!</definedName>
    <definedName name="UNIFORMANCES1R7C41" localSheetId="97" hidden="1">#REF!</definedName>
    <definedName name="UNIFORMANCES1R7C41" localSheetId="42" hidden="1">#REF!</definedName>
    <definedName name="UNIFORMANCES1R7C41" localSheetId="12" hidden="1">#REF!</definedName>
    <definedName name="UNIFORMANCES1R7C41" localSheetId="73" hidden="1">#REF!</definedName>
    <definedName name="UNIFORMANCES1R7C41" localSheetId="74" hidden="1">#REF!</definedName>
    <definedName name="UNIFORMANCES1R7C41" hidden="1">#REF!</definedName>
    <definedName name="UNIFORMANCES1R7C45" localSheetId="3" hidden="1">#REF!</definedName>
    <definedName name="UNIFORMANCES1R7C45" localSheetId="7" hidden="1">#REF!</definedName>
    <definedName name="UNIFORMANCES1R7C45" localSheetId="9" hidden="1">#REF!</definedName>
    <definedName name="UNIFORMANCES1R7C45" localSheetId="10" hidden="1">#REF!</definedName>
    <definedName name="UNIFORMANCES1R7C45" localSheetId="15" hidden="1">#REF!</definedName>
    <definedName name="UNIFORMANCES1R7C45" localSheetId="18" hidden="1">#REF!</definedName>
    <definedName name="UNIFORMANCES1R7C45" localSheetId="19" hidden="1">#REF!</definedName>
    <definedName name="UNIFORMANCES1R7C45" localSheetId="20" hidden="1">#REF!</definedName>
    <definedName name="UNIFORMANCES1R7C45" localSheetId="23" hidden="1">#REF!</definedName>
    <definedName name="UNIFORMANCES1R7C45" localSheetId="24" hidden="1">#REF!</definedName>
    <definedName name="UNIFORMANCES1R7C45" localSheetId="35" hidden="1">#REF!</definedName>
    <definedName name="UNIFORMANCES1R7C45" localSheetId="58" hidden="1">#REF!</definedName>
    <definedName name="UNIFORMANCES1R7C45" localSheetId="60" hidden="1">#REF!</definedName>
    <definedName name="UNIFORMANCES1R7C45" localSheetId="51" hidden="1">#REF!</definedName>
    <definedName name="UNIFORMANCES1R7C45" localSheetId="54" hidden="1">#REF!</definedName>
    <definedName name="UNIFORMANCES1R7C45" localSheetId="47" hidden="1">#REF!</definedName>
    <definedName name="UNIFORMANCES1R7C45" localSheetId="105" hidden="1">#REF!</definedName>
    <definedName name="UNIFORMANCES1R7C45" localSheetId="104" hidden="1">#REF!</definedName>
    <definedName name="UNIFORMANCES1R7C45" localSheetId="88" hidden="1">#REF!</definedName>
    <definedName name="UNIFORMANCES1R7C45" localSheetId="89" hidden="1">#REF!</definedName>
    <definedName name="UNIFORMANCES1R7C45" localSheetId="87" hidden="1">#REF!</definedName>
    <definedName name="UNIFORMANCES1R7C45" localSheetId="90" hidden="1">#REF!</definedName>
    <definedName name="UNIFORMANCES1R7C45" localSheetId="70" hidden="1">#REF!</definedName>
    <definedName name="UNIFORMANCES1R7C45" localSheetId="65" hidden="1">#REF!</definedName>
    <definedName name="UNIFORMANCES1R7C45" localSheetId="64" hidden="1">#REF!</definedName>
    <definedName name="UNIFORMANCES1R7C45" localSheetId="77" hidden="1">#REF!</definedName>
    <definedName name="UNIFORMANCES1R7C45" localSheetId="49" hidden="1">#REF!</definedName>
    <definedName name="UNIFORMANCES1R7C45" localSheetId="57" hidden="1">#REF!</definedName>
    <definedName name="UNIFORMANCES1R7C45" localSheetId="59" hidden="1">#REF!</definedName>
    <definedName name="UNIFORMANCES1R7C45" localSheetId="40" hidden="1">#REF!</definedName>
    <definedName name="UNIFORMANCES1R7C45" localSheetId="43" hidden="1">#REF!</definedName>
    <definedName name="UNIFORMANCES1R7C45" localSheetId="55" hidden="1">#REF!</definedName>
    <definedName name="UNIFORMANCES1R7C45" localSheetId="13" hidden="1">#REF!</definedName>
    <definedName name="UNIFORMANCES1R7C45" localSheetId="11" hidden="1">#REF!</definedName>
    <definedName name="UNIFORMANCES1R7C45" localSheetId="38" hidden="1">#REF!</definedName>
    <definedName name="UNIFORMANCES1R7C45" localSheetId="41" hidden="1">#REF!</definedName>
    <definedName name="UNIFORMANCES1R7C45" localSheetId="101" hidden="1">#REF!</definedName>
    <definedName name="UNIFORMANCES1R7C45" localSheetId="102" hidden="1">#REF!</definedName>
    <definedName name="UNIFORMANCES1R7C45" localSheetId="103" hidden="1">#REF!</definedName>
    <definedName name="UNIFORMANCES1R7C45" localSheetId="97" hidden="1">#REF!</definedName>
    <definedName name="UNIFORMANCES1R7C45" localSheetId="42" hidden="1">#REF!</definedName>
    <definedName name="UNIFORMANCES1R7C45" localSheetId="12" hidden="1">#REF!</definedName>
    <definedName name="UNIFORMANCES1R7C45" localSheetId="73" hidden="1">#REF!</definedName>
    <definedName name="UNIFORMANCES1R7C45" localSheetId="74" hidden="1">#REF!</definedName>
    <definedName name="UNIFORMANCES1R7C45" hidden="1">#REF!</definedName>
    <definedName name="UNIFORMANCES1R7C5" localSheetId="3" hidden="1">#REF!</definedName>
    <definedName name="UNIFORMANCES1R7C5" localSheetId="7" hidden="1">#REF!</definedName>
    <definedName name="UNIFORMANCES1R7C5" localSheetId="9" hidden="1">#REF!</definedName>
    <definedName name="UNIFORMANCES1R7C5" localSheetId="10" hidden="1">#REF!</definedName>
    <definedName name="UNIFORMANCES1R7C5" localSheetId="15" hidden="1">#REF!</definedName>
    <definedName name="UNIFORMANCES1R7C5" localSheetId="18" hidden="1">#REF!</definedName>
    <definedName name="UNIFORMANCES1R7C5" localSheetId="19" hidden="1">#REF!</definedName>
    <definedName name="UNIFORMANCES1R7C5" localSheetId="20" hidden="1">#REF!</definedName>
    <definedName name="UNIFORMANCES1R7C5" localSheetId="23" hidden="1">#REF!</definedName>
    <definedName name="UNIFORMANCES1R7C5" localSheetId="24" hidden="1">#REF!</definedName>
    <definedName name="UNIFORMANCES1R7C5" localSheetId="35" hidden="1">#REF!</definedName>
    <definedName name="UNIFORMANCES1R7C5" localSheetId="58" hidden="1">#REF!</definedName>
    <definedName name="UNIFORMANCES1R7C5" localSheetId="60" hidden="1">#REF!</definedName>
    <definedName name="UNIFORMANCES1R7C5" localSheetId="51" hidden="1">#REF!</definedName>
    <definedName name="UNIFORMANCES1R7C5" localSheetId="54" hidden="1">#REF!</definedName>
    <definedName name="UNIFORMANCES1R7C5" localSheetId="47" hidden="1">#REF!</definedName>
    <definedName name="UNIFORMANCES1R7C5" localSheetId="105" hidden="1">#REF!</definedName>
    <definedName name="UNIFORMANCES1R7C5" localSheetId="104" hidden="1">#REF!</definedName>
    <definedName name="UNIFORMANCES1R7C5" localSheetId="88" hidden="1">#REF!</definedName>
    <definedName name="UNIFORMANCES1R7C5" localSheetId="89" hidden="1">#REF!</definedName>
    <definedName name="UNIFORMANCES1R7C5" localSheetId="87" hidden="1">#REF!</definedName>
    <definedName name="UNIFORMANCES1R7C5" localSheetId="90" hidden="1">#REF!</definedName>
    <definedName name="UNIFORMANCES1R7C5" localSheetId="70" hidden="1">#REF!</definedName>
    <definedName name="UNIFORMANCES1R7C5" localSheetId="65" hidden="1">#REF!</definedName>
    <definedName name="UNIFORMANCES1R7C5" localSheetId="64" hidden="1">#REF!</definedName>
    <definedName name="UNIFORMANCES1R7C5" localSheetId="77" hidden="1">#REF!</definedName>
    <definedName name="UNIFORMANCES1R7C5" localSheetId="49" hidden="1">#REF!</definedName>
    <definedName name="UNIFORMANCES1R7C5" localSheetId="57" hidden="1">#REF!</definedName>
    <definedName name="UNIFORMANCES1R7C5" localSheetId="59" hidden="1">#REF!</definedName>
    <definedName name="UNIFORMANCES1R7C5" localSheetId="40" hidden="1">#REF!</definedName>
    <definedName name="UNIFORMANCES1R7C5" localSheetId="43" hidden="1">#REF!</definedName>
    <definedName name="UNIFORMANCES1R7C5" localSheetId="55" hidden="1">#REF!</definedName>
    <definedName name="UNIFORMANCES1R7C5" localSheetId="13" hidden="1">#REF!</definedName>
    <definedName name="UNIFORMANCES1R7C5" localSheetId="11" hidden="1">#REF!</definedName>
    <definedName name="UNIFORMANCES1R7C5" localSheetId="38" hidden="1">#REF!</definedName>
    <definedName name="UNIFORMANCES1R7C5" localSheetId="41" hidden="1">#REF!</definedName>
    <definedName name="UNIFORMANCES1R7C5" localSheetId="101" hidden="1">#REF!</definedName>
    <definedName name="UNIFORMANCES1R7C5" localSheetId="102" hidden="1">#REF!</definedName>
    <definedName name="UNIFORMANCES1R7C5" localSheetId="103" hidden="1">#REF!</definedName>
    <definedName name="UNIFORMANCES1R7C5" localSheetId="97" hidden="1">#REF!</definedName>
    <definedName name="UNIFORMANCES1R7C5" localSheetId="42" hidden="1">#REF!</definedName>
    <definedName name="UNIFORMANCES1R7C5" localSheetId="12" hidden="1">#REF!</definedName>
    <definedName name="UNIFORMANCES1R7C5" localSheetId="73" hidden="1">#REF!</definedName>
    <definedName name="UNIFORMANCES1R7C5" localSheetId="74" hidden="1">#REF!</definedName>
    <definedName name="UNIFORMANCES1R7C5" hidden="1">#REF!</definedName>
    <definedName name="UNIFORMANCES1R7C9" localSheetId="3" hidden="1">#REF!</definedName>
    <definedName name="UNIFORMANCES1R7C9" localSheetId="7" hidden="1">#REF!</definedName>
    <definedName name="UNIFORMANCES1R7C9" localSheetId="9" hidden="1">#REF!</definedName>
    <definedName name="UNIFORMANCES1R7C9" localSheetId="10" hidden="1">#REF!</definedName>
    <definedName name="UNIFORMANCES1R7C9" localSheetId="15" hidden="1">#REF!</definedName>
    <definedName name="UNIFORMANCES1R7C9" localSheetId="18" hidden="1">#REF!</definedName>
    <definedName name="UNIFORMANCES1R7C9" localSheetId="19" hidden="1">#REF!</definedName>
    <definedName name="UNIFORMANCES1R7C9" localSheetId="20" hidden="1">#REF!</definedName>
    <definedName name="UNIFORMANCES1R7C9" localSheetId="23" hidden="1">#REF!</definedName>
    <definedName name="UNIFORMANCES1R7C9" localSheetId="24" hidden="1">#REF!</definedName>
    <definedName name="UNIFORMANCES1R7C9" localSheetId="35" hidden="1">#REF!</definedName>
    <definedName name="UNIFORMANCES1R7C9" localSheetId="58" hidden="1">#REF!</definedName>
    <definedName name="UNIFORMANCES1R7C9" localSheetId="60" hidden="1">#REF!</definedName>
    <definedName name="UNIFORMANCES1R7C9" localSheetId="51" hidden="1">#REF!</definedName>
    <definedName name="UNIFORMANCES1R7C9" localSheetId="54" hidden="1">#REF!</definedName>
    <definedName name="UNIFORMANCES1R7C9" localSheetId="47" hidden="1">#REF!</definedName>
    <definedName name="UNIFORMANCES1R7C9" localSheetId="105" hidden="1">#REF!</definedName>
    <definedName name="UNIFORMANCES1R7C9" localSheetId="104" hidden="1">#REF!</definedName>
    <definedName name="UNIFORMANCES1R7C9" localSheetId="88" hidden="1">#REF!</definedName>
    <definedName name="UNIFORMANCES1R7C9" localSheetId="89" hidden="1">#REF!</definedName>
    <definedName name="UNIFORMANCES1R7C9" localSheetId="87" hidden="1">#REF!</definedName>
    <definedName name="UNIFORMANCES1R7C9" localSheetId="90" hidden="1">#REF!</definedName>
    <definedName name="UNIFORMANCES1R7C9" localSheetId="70" hidden="1">#REF!</definedName>
    <definedName name="UNIFORMANCES1R7C9" localSheetId="65" hidden="1">#REF!</definedName>
    <definedName name="UNIFORMANCES1R7C9" localSheetId="64" hidden="1">#REF!</definedName>
    <definedName name="UNIFORMANCES1R7C9" localSheetId="77" hidden="1">#REF!</definedName>
    <definedName name="UNIFORMANCES1R7C9" localSheetId="49" hidden="1">#REF!</definedName>
    <definedName name="UNIFORMANCES1R7C9" localSheetId="57" hidden="1">#REF!</definedName>
    <definedName name="UNIFORMANCES1R7C9" localSheetId="59" hidden="1">#REF!</definedName>
    <definedName name="UNIFORMANCES1R7C9" localSheetId="40" hidden="1">#REF!</definedName>
    <definedName name="UNIFORMANCES1R7C9" localSheetId="43" hidden="1">#REF!</definedName>
    <definedName name="UNIFORMANCES1R7C9" localSheetId="55" hidden="1">#REF!</definedName>
    <definedName name="UNIFORMANCES1R7C9" localSheetId="13" hidden="1">#REF!</definedName>
    <definedName name="UNIFORMANCES1R7C9" localSheetId="11" hidden="1">#REF!</definedName>
    <definedName name="UNIFORMANCES1R7C9" localSheetId="38" hidden="1">#REF!</definedName>
    <definedName name="UNIFORMANCES1R7C9" localSheetId="41" hidden="1">#REF!</definedName>
    <definedName name="UNIFORMANCES1R7C9" localSheetId="101" hidden="1">#REF!</definedName>
    <definedName name="UNIFORMANCES1R7C9" localSheetId="102" hidden="1">#REF!</definedName>
    <definedName name="UNIFORMANCES1R7C9" localSheetId="103" hidden="1">#REF!</definedName>
    <definedName name="UNIFORMANCES1R7C9" localSheetId="97" hidden="1">#REF!</definedName>
    <definedName name="UNIFORMANCES1R7C9" localSheetId="42" hidden="1">#REF!</definedName>
    <definedName name="UNIFORMANCES1R7C9" localSheetId="12" hidden="1">#REF!</definedName>
    <definedName name="UNIFORMANCES1R7C9" localSheetId="73" hidden="1">#REF!</definedName>
    <definedName name="UNIFORMANCES1R7C9" localSheetId="74" hidden="1">#REF!</definedName>
    <definedName name="UNIFORMANCES1R7C9" hidden="1">#REF!</definedName>
    <definedName name="UNIFORMANCES2R545C1" localSheetId="3" hidden="1">#REF!</definedName>
    <definedName name="UNIFORMANCES2R545C1" localSheetId="7" hidden="1">#REF!</definedName>
    <definedName name="UNIFORMANCES2R545C1" localSheetId="9" hidden="1">#REF!</definedName>
    <definedName name="UNIFORMANCES2R545C1" localSheetId="10" hidden="1">#REF!</definedName>
    <definedName name="UNIFORMANCES2R545C1" localSheetId="15" hidden="1">#REF!</definedName>
    <definedName name="UNIFORMANCES2R545C1" localSheetId="18" hidden="1">#REF!</definedName>
    <definedName name="UNIFORMANCES2R545C1" localSheetId="19" hidden="1">#REF!</definedName>
    <definedName name="UNIFORMANCES2R545C1" localSheetId="20" hidden="1">#REF!</definedName>
    <definedName name="UNIFORMANCES2R545C1" localSheetId="23" hidden="1">#REF!</definedName>
    <definedName name="UNIFORMANCES2R545C1" localSheetId="24" hidden="1">#REF!</definedName>
    <definedName name="UNIFORMANCES2R545C1" localSheetId="35" hidden="1">#REF!</definedName>
    <definedName name="UNIFORMANCES2R545C1" localSheetId="58" hidden="1">#REF!</definedName>
    <definedName name="UNIFORMANCES2R545C1" localSheetId="60" hidden="1">#REF!</definedName>
    <definedName name="UNIFORMANCES2R545C1" localSheetId="51" hidden="1">#REF!</definedName>
    <definedName name="UNIFORMANCES2R545C1" localSheetId="54" hidden="1">#REF!</definedName>
    <definedName name="UNIFORMANCES2R545C1" localSheetId="47" hidden="1">#REF!</definedName>
    <definedName name="UNIFORMANCES2R545C1" localSheetId="105" hidden="1">#REF!</definedName>
    <definedName name="UNIFORMANCES2R545C1" localSheetId="104" hidden="1">#REF!</definedName>
    <definedName name="UNIFORMANCES2R545C1" localSheetId="88" hidden="1">#REF!</definedName>
    <definedName name="UNIFORMANCES2R545C1" localSheetId="89" hidden="1">#REF!</definedName>
    <definedName name="UNIFORMANCES2R545C1" localSheetId="87" hidden="1">#REF!</definedName>
    <definedName name="UNIFORMANCES2R545C1" localSheetId="90" hidden="1">#REF!</definedName>
    <definedName name="UNIFORMANCES2R545C1" localSheetId="70" hidden="1">#REF!</definedName>
    <definedName name="UNIFORMANCES2R545C1" localSheetId="63" hidden="1">#REF!</definedName>
    <definedName name="UNIFORMANCES2R545C1" localSheetId="65" hidden="1">#REF!</definedName>
    <definedName name="UNIFORMANCES2R545C1" localSheetId="64" hidden="1">#REF!</definedName>
    <definedName name="UNIFORMANCES2R545C1" localSheetId="77" hidden="1">#REF!</definedName>
    <definedName name="UNIFORMANCES2R545C1" localSheetId="49" hidden="1">#REF!</definedName>
    <definedName name="UNIFORMANCES2R545C1" localSheetId="48" hidden="1">#REF!</definedName>
    <definedName name="UNIFORMANCES2R545C1" localSheetId="57" hidden="1">#REF!</definedName>
    <definedName name="UNIFORMANCES2R545C1" localSheetId="59" hidden="1">#REF!</definedName>
    <definedName name="UNIFORMANCES2R545C1" localSheetId="52" hidden="1">#REF!</definedName>
    <definedName name="UNIFORMANCES2R545C1" localSheetId="67" hidden="1">#REF!</definedName>
    <definedName name="UNIFORMANCES2R545C1" localSheetId="80" hidden="1">#REF!</definedName>
    <definedName name="UNIFORMANCES2R545C1" localSheetId="40" hidden="1">#REF!</definedName>
    <definedName name="UNIFORMANCES2R545C1" localSheetId="43" hidden="1">#REF!</definedName>
    <definedName name="UNIFORMANCES2R545C1" localSheetId="55" hidden="1">#REF!</definedName>
    <definedName name="UNIFORMANCES2R545C1" localSheetId="81" hidden="1">#REF!</definedName>
    <definedName name="UNIFORMANCES2R545C1" localSheetId="53" hidden="1">#REF!</definedName>
    <definedName name="UNIFORMANCES2R545C1" localSheetId="13" hidden="1">#REF!</definedName>
    <definedName name="UNIFORMANCES2R545C1" localSheetId="11" hidden="1">#REF!</definedName>
    <definedName name="UNIFORMANCES2R545C1" localSheetId="38" hidden="1">#REF!</definedName>
    <definedName name="UNIFORMANCES2R545C1" localSheetId="41" hidden="1">#REF!</definedName>
    <definedName name="UNIFORMANCES2R545C1" localSheetId="101" hidden="1">#REF!</definedName>
    <definedName name="UNIFORMANCES2R545C1" localSheetId="102" hidden="1">#REF!</definedName>
    <definedName name="UNIFORMANCES2R545C1" localSheetId="103" hidden="1">#REF!</definedName>
    <definedName name="UNIFORMANCES2R545C1" localSheetId="97" hidden="1">#REF!</definedName>
    <definedName name="UNIFORMANCES2R545C1" localSheetId="42" hidden="1">#REF!</definedName>
    <definedName name="UNIFORMANCES2R545C1" localSheetId="12" hidden="1">#REF!</definedName>
    <definedName name="UNIFORMANCES2R545C1" localSheetId="73" hidden="1">#REF!</definedName>
    <definedName name="UNIFORMANCES2R545C1" localSheetId="74" hidden="1">#REF!</definedName>
    <definedName name="UNIFORMANCES2R545C1" hidden="1">#REF!</definedName>
    <definedName name="UNIFORMANCES2R566C1" localSheetId="3" hidden="1">#REF!</definedName>
    <definedName name="UNIFORMANCES2R566C1" localSheetId="7" hidden="1">#REF!</definedName>
    <definedName name="UNIFORMANCES2R566C1" localSheetId="9" hidden="1">#REF!</definedName>
    <definedName name="UNIFORMANCES2R566C1" localSheetId="10" hidden="1">#REF!</definedName>
    <definedName name="UNIFORMANCES2R566C1" localSheetId="15" hidden="1">#REF!</definedName>
    <definedName name="UNIFORMANCES2R566C1" localSheetId="18" hidden="1">#REF!</definedName>
    <definedName name="UNIFORMANCES2R566C1" localSheetId="19" hidden="1">#REF!</definedName>
    <definedName name="UNIFORMANCES2R566C1" localSheetId="20" hidden="1">#REF!</definedName>
    <definedName name="UNIFORMANCES2R566C1" localSheetId="23" hidden="1">#REF!</definedName>
    <definedName name="UNIFORMANCES2R566C1" localSheetId="24" hidden="1">#REF!</definedName>
    <definedName name="UNIFORMANCES2R566C1" localSheetId="35" hidden="1">#REF!</definedName>
    <definedName name="UNIFORMANCES2R566C1" localSheetId="58" hidden="1">#REF!</definedName>
    <definedName name="UNIFORMANCES2R566C1" localSheetId="60" hidden="1">#REF!</definedName>
    <definedName name="UNIFORMANCES2R566C1" localSheetId="51" hidden="1">#REF!</definedName>
    <definedName name="UNIFORMANCES2R566C1" localSheetId="54" hidden="1">#REF!</definedName>
    <definedName name="UNIFORMANCES2R566C1" localSheetId="47" hidden="1">#REF!</definedName>
    <definedName name="UNIFORMANCES2R566C1" localSheetId="105" hidden="1">#REF!</definedName>
    <definedName name="UNIFORMANCES2R566C1" localSheetId="104" hidden="1">#REF!</definedName>
    <definedName name="UNIFORMANCES2R566C1" localSheetId="88" hidden="1">#REF!</definedName>
    <definedName name="UNIFORMANCES2R566C1" localSheetId="89" hidden="1">#REF!</definedName>
    <definedName name="UNIFORMANCES2R566C1" localSheetId="87" hidden="1">#REF!</definedName>
    <definedName name="UNIFORMANCES2R566C1" localSheetId="90" hidden="1">#REF!</definedName>
    <definedName name="UNIFORMANCES2R566C1" localSheetId="70" hidden="1">#REF!</definedName>
    <definedName name="UNIFORMANCES2R566C1" localSheetId="63" hidden="1">#REF!</definedName>
    <definedName name="UNIFORMANCES2R566C1" localSheetId="65" hidden="1">#REF!</definedName>
    <definedName name="UNIFORMANCES2R566C1" localSheetId="64" hidden="1">#REF!</definedName>
    <definedName name="UNIFORMANCES2R566C1" localSheetId="77" hidden="1">#REF!</definedName>
    <definedName name="UNIFORMANCES2R566C1" localSheetId="49" hidden="1">#REF!</definedName>
    <definedName name="UNIFORMANCES2R566C1" localSheetId="48" hidden="1">#REF!</definedName>
    <definedName name="UNIFORMANCES2R566C1" localSheetId="57" hidden="1">#REF!</definedName>
    <definedName name="UNIFORMANCES2R566C1" localSheetId="59" hidden="1">#REF!</definedName>
    <definedName name="UNIFORMANCES2R566C1" localSheetId="52" hidden="1">#REF!</definedName>
    <definedName name="UNIFORMANCES2R566C1" localSheetId="67" hidden="1">#REF!</definedName>
    <definedName name="UNIFORMANCES2R566C1" localSheetId="80" hidden="1">#REF!</definedName>
    <definedName name="UNIFORMANCES2R566C1" localSheetId="40" hidden="1">#REF!</definedName>
    <definedName name="UNIFORMANCES2R566C1" localSheetId="43" hidden="1">#REF!</definedName>
    <definedName name="UNIFORMANCES2R566C1" localSheetId="55" hidden="1">#REF!</definedName>
    <definedName name="UNIFORMANCES2R566C1" localSheetId="81" hidden="1">#REF!</definedName>
    <definedName name="UNIFORMANCES2R566C1" localSheetId="53" hidden="1">#REF!</definedName>
    <definedName name="UNIFORMANCES2R566C1" localSheetId="13" hidden="1">#REF!</definedName>
    <definedName name="UNIFORMANCES2R566C1" localSheetId="11" hidden="1">#REF!</definedName>
    <definedName name="UNIFORMANCES2R566C1" localSheetId="38" hidden="1">#REF!</definedName>
    <definedName name="UNIFORMANCES2R566C1" localSheetId="41" hidden="1">#REF!</definedName>
    <definedName name="UNIFORMANCES2R566C1" localSheetId="101" hidden="1">#REF!</definedName>
    <definedName name="UNIFORMANCES2R566C1" localSheetId="102" hidden="1">#REF!</definedName>
    <definedName name="UNIFORMANCES2R566C1" localSheetId="103" hidden="1">#REF!</definedName>
    <definedName name="UNIFORMANCES2R566C1" localSheetId="97" hidden="1">#REF!</definedName>
    <definedName name="UNIFORMANCES2R566C1" localSheetId="42" hidden="1">#REF!</definedName>
    <definedName name="UNIFORMANCES2R566C1" localSheetId="12" hidden="1">#REF!</definedName>
    <definedName name="UNIFORMANCES2R566C1" localSheetId="73" hidden="1">#REF!</definedName>
    <definedName name="UNIFORMANCES2R566C1" localSheetId="74" hidden="1">#REF!</definedName>
    <definedName name="UNIFORMANCES2R566C1" hidden="1">#REF!</definedName>
    <definedName name="UNIFORMANCES2R569C1" localSheetId="3" hidden="1">#REF!</definedName>
    <definedName name="UNIFORMANCES2R569C1" localSheetId="7" hidden="1">#REF!</definedName>
    <definedName name="UNIFORMANCES2R569C1" localSheetId="9" hidden="1">#REF!</definedName>
    <definedName name="UNIFORMANCES2R569C1" localSheetId="10" hidden="1">#REF!</definedName>
    <definedName name="UNIFORMANCES2R569C1" localSheetId="15" hidden="1">#REF!</definedName>
    <definedName name="UNIFORMANCES2R569C1" localSheetId="18" hidden="1">#REF!</definedName>
    <definedName name="UNIFORMANCES2R569C1" localSheetId="19" hidden="1">#REF!</definedName>
    <definedName name="UNIFORMANCES2R569C1" localSheetId="20" hidden="1">#REF!</definedName>
    <definedName name="UNIFORMANCES2R569C1" localSheetId="23" hidden="1">#REF!</definedName>
    <definedName name="UNIFORMANCES2R569C1" localSheetId="24" hidden="1">#REF!</definedName>
    <definedName name="UNIFORMANCES2R569C1" localSheetId="35" hidden="1">#REF!</definedName>
    <definedName name="UNIFORMANCES2R569C1" localSheetId="58" hidden="1">#REF!</definedName>
    <definedName name="UNIFORMANCES2R569C1" localSheetId="60" hidden="1">#REF!</definedName>
    <definedName name="UNIFORMANCES2R569C1" localSheetId="51" hidden="1">#REF!</definedName>
    <definedName name="UNIFORMANCES2R569C1" localSheetId="54" hidden="1">#REF!</definedName>
    <definedName name="UNIFORMANCES2R569C1" localSheetId="47" hidden="1">#REF!</definedName>
    <definedName name="UNIFORMANCES2R569C1" localSheetId="105" hidden="1">#REF!</definedName>
    <definedName name="UNIFORMANCES2R569C1" localSheetId="104" hidden="1">#REF!</definedName>
    <definedName name="UNIFORMANCES2R569C1" localSheetId="88" hidden="1">#REF!</definedName>
    <definedName name="UNIFORMANCES2R569C1" localSheetId="89" hidden="1">#REF!</definedName>
    <definedName name="UNIFORMANCES2R569C1" localSheetId="87" hidden="1">#REF!</definedName>
    <definedName name="UNIFORMANCES2R569C1" localSheetId="90" hidden="1">#REF!</definedName>
    <definedName name="UNIFORMANCES2R569C1" localSheetId="70" hidden="1">#REF!</definedName>
    <definedName name="UNIFORMANCES2R569C1" localSheetId="63" hidden="1">#REF!</definedName>
    <definedName name="UNIFORMANCES2R569C1" localSheetId="65" hidden="1">#REF!</definedName>
    <definedName name="UNIFORMANCES2R569C1" localSheetId="64" hidden="1">#REF!</definedName>
    <definedName name="UNIFORMANCES2R569C1" localSheetId="77" hidden="1">#REF!</definedName>
    <definedName name="UNIFORMANCES2R569C1" localSheetId="49" hidden="1">#REF!</definedName>
    <definedName name="UNIFORMANCES2R569C1" localSheetId="48" hidden="1">#REF!</definedName>
    <definedName name="UNIFORMANCES2R569C1" localSheetId="57" hidden="1">#REF!</definedName>
    <definedName name="UNIFORMANCES2R569C1" localSheetId="59" hidden="1">#REF!</definedName>
    <definedName name="UNIFORMANCES2R569C1" localSheetId="52" hidden="1">#REF!</definedName>
    <definedName name="UNIFORMANCES2R569C1" localSheetId="67" hidden="1">#REF!</definedName>
    <definedName name="UNIFORMANCES2R569C1" localSheetId="80" hidden="1">#REF!</definedName>
    <definedName name="UNIFORMANCES2R569C1" localSheetId="40" hidden="1">#REF!</definedName>
    <definedName name="UNIFORMANCES2R569C1" localSheetId="43" hidden="1">#REF!</definedName>
    <definedName name="UNIFORMANCES2R569C1" localSheetId="55" hidden="1">#REF!</definedName>
    <definedName name="UNIFORMANCES2R569C1" localSheetId="81" hidden="1">#REF!</definedName>
    <definedName name="UNIFORMANCES2R569C1" localSheetId="53" hidden="1">#REF!</definedName>
    <definedName name="UNIFORMANCES2R569C1" localSheetId="13" hidden="1">#REF!</definedName>
    <definedName name="UNIFORMANCES2R569C1" localSheetId="11" hidden="1">#REF!</definedName>
    <definedName name="UNIFORMANCES2R569C1" localSheetId="38" hidden="1">#REF!</definedName>
    <definedName name="UNIFORMANCES2R569C1" localSheetId="41" hidden="1">#REF!</definedName>
    <definedName name="UNIFORMANCES2R569C1" localSheetId="101" hidden="1">#REF!</definedName>
    <definedName name="UNIFORMANCES2R569C1" localSheetId="102" hidden="1">#REF!</definedName>
    <definedName name="UNIFORMANCES2R569C1" localSheetId="103" hidden="1">#REF!</definedName>
    <definedName name="UNIFORMANCES2R569C1" localSheetId="97" hidden="1">#REF!</definedName>
    <definedName name="UNIFORMANCES2R569C1" localSheetId="42" hidden="1">#REF!</definedName>
    <definedName name="UNIFORMANCES2R569C1" localSheetId="12" hidden="1">#REF!</definedName>
    <definedName name="UNIFORMANCES2R569C1" localSheetId="73" hidden="1">#REF!</definedName>
    <definedName name="UNIFORMANCES2R569C1" localSheetId="74" hidden="1">#REF!</definedName>
    <definedName name="UNIFORMANCES2R569C1" hidden="1">#REF!</definedName>
    <definedName name="UNIFORMANCES2R594C1" localSheetId="3" hidden="1">#REF!</definedName>
    <definedName name="UNIFORMANCES2R594C1" localSheetId="7" hidden="1">#REF!</definedName>
    <definedName name="UNIFORMANCES2R594C1" localSheetId="9" hidden="1">#REF!</definedName>
    <definedName name="UNIFORMANCES2R594C1" localSheetId="10" hidden="1">#REF!</definedName>
    <definedName name="UNIFORMANCES2R594C1" localSheetId="15" hidden="1">#REF!</definedName>
    <definedName name="UNIFORMANCES2R594C1" localSheetId="18" hidden="1">#REF!</definedName>
    <definedName name="UNIFORMANCES2R594C1" localSheetId="19" hidden="1">#REF!</definedName>
    <definedName name="UNIFORMANCES2R594C1" localSheetId="20" hidden="1">#REF!</definedName>
    <definedName name="UNIFORMANCES2R594C1" localSheetId="23" hidden="1">#REF!</definedName>
    <definedName name="UNIFORMANCES2R594C1" localSheetId="24" hidden="1">#REF!</definedName>
    <definedName name="UNIFORMANCES2R594C1" localSheetId="35" hidden="1">#REF!</definedName>
    <definedName name="UNIFORMANCES2R594C1" localSheetId="58" hidden="1">#REF!</definedName>
    <definedName name="UNIFORMANCES2R594C1" localSheetId="60" hidden="1">#REF!</definedName>
    <definedName name="UNIFORMANCES2R594C1" localSheetId="51" hidden="1">#REF!</definedName>
    <definedName name="UNIFORMANCES2R594C1" localSheetId="54" hidden="1">#REF!</definedName>
    <definedName name="UNIFORMANCES2R594C1" localSheetId="47" hidden="1">#REF!</definedName>
    <definedName name="UNIFORMANCES2R594C1" localSheetId="105" hidden="1">#REF!</definedName>
    <definedName name="UNIFORMANCES2R594C1" localSheetId="104" hidden="1">#REF!</definedName>
    <definedName name="UNIFORMANCES2R594C1" localSheetId="88" hidden="1">#REF!</definedName>
    <definedName name="UNIFORMANCES2R594C1" localSheetId="89" hidden="1">#REF!</definedName>
    <definedName name="UNIFORMANCES2R594C1" localSheetId="87" hidden="1">#REF!</definedName>
    <definedName name="UNIFORMANCES2R594C1" localSheetId="90" hidden="1">#REF!</definedName>
    <definedName name="UNIFORMANCES2R594C1" localSheetId="70" hidden="1">#REF!</definedName>
    <definedName name="UNIFORMANCES2R594C1" localSheetId="63" hidden="1">#REF!</definedName>
    <definedName name="UNIFORMANCES2R594C1" localSheetId="65" hidden="1">#REF!</definedName>
    <definedName name="UNIFORMANCES2R594C1" localSheetId="64" hidden="1">#REF!</definedName>
    <definedName name="UNIFORMANCES2R594C1" localSheetId="77" hidden="1">#REF!</definedName>
    <definedName name="UNIFORMANCES2R594C1" localSheetId="49" hidden="1">#REF!</definedName>
    <definedName name="UNIFORMANCES2R594C1" localSheetId="48" hidden="1">#REF!</definedName>
    <definedName name="UNIFORMANCES2R594C1" localSheetId="57" hidden="1">#REF!</definedName>
    <definedName name="UNIFORMANCES2R594C1" localSheetId="59" hidden="1">#REF!</definedName>
    <definedName name="UNIFORMANCES2R594C1" localSheetId="52" hidden="1">#REF!</definedName>
    <definedName name="UNIFORMANCES2R594C1" localSheetId="67" hidden="1">#REF!</definedName>
    <definedName name="UNIFORMANCES2R594C1" localSheetId="80" hidden="1">#REF!</definedName>
    <definedName name="UNIFORMANCES2R594C1" localSheetId="40" hidden="1">#REF!</definedName>
    <definedName name="UNIFORMANCES2R594C1" localSheetId="43" hidden="1">#REF!</definedName>
    <definedName name="UNIFORMANCES2R594C1" localSheetId="55" hidden="1">#REF!</definedName>
    <definedName name="UNIFORMANCES2R594C1" localSheetId="81" hidden="1">#REF!</definedName>
    <definedName name="UNIFORMANCES2R594C1" localSheetId="53" hidden="1">#REF!</definedName>
    <definedName name="UNIFORMANCES2R594C1" localSheetId="13" hidden="1">#REF!</definedName>
    <definedName name="UNIFORMANCES2R594C1" localSheetId="11" hidden="1">#REF!</definedName>
    <definedName name="UNIFORMANCES2R594C1" localSheetId="38" hidden="1">#REF!</definedName>
    <definedName name="UNIFORMANCES2R594C1" localSheetId="41" hidden="1">#REF!</definedName>
    <definedName name="UNIFORMANCES2R594C1" localSheetId="101" hidden="1">#REF!</definedName>
    <definedName name="UNIFORMANCES2R594C1" localSheetId="102" hidden="1">#REF!</definedName>
    <definedName name="UNIFORMANCES2R594C1" localSheetId="103" hidden="1">#REF!</definedName>
    <definedName name="UNIFORMANCES2R594C1" localSheetId="97" hidden="1">#REF!</definedName>
    <definedName name="UNIFORMANCES2R594C1" localSheetId="42" hidden="1">#REF!</definedName>
    <definedName name="UNIFORMANCES2R594C1" localSheetId="12" hidden="1">#REF!</definedName>
    <definedName name="UNIFORMANCES2R594C1" localSheetId="73" hidden="1">#REF!</definedName>
    <definedName name="UNIFORMANCES2R594C1" localSheetId="74" hidden="1">#REF!</definedName>
    <definedName name="UNIFORMANCES2R594C1" hidden="1">#REF!</definedName>
    <definedName name="UNIFORMANCES2R619C1" localSheetId="3" hidden="1">#REF!</definedName>
    <definedName name="UNIFORMANCES2R619C1" localSheetId="7" hidden="1">#REF!</definedName>
    <definedName name="UNIFORMANCES2R619C1" localSheetId="9" hidden="1">#REF!</definedName>
    <definedName name="UNIFORMANCES2R619C1" localSheetId="10" hidden="1">#REF!</definedName>
    <definedName name="UNIFORMANCES2R619C1" localSheetId="15" hidden="1">#REF!</definedName>
    <definedName name="UNIFORMANCES2R619C1" localSheetId="18" hidden="1">#REF!</definedName>
    <definedName name="UNIFORMANCES2R619C1" localSheetId="19" hidden="1">#REF!</definedName>
    <definedName name="UNIFORMANCES2R619C1" localSheetId="20" hidden="1">#REF!</definedName>
    <definedName name="UNIFORMANCES2R619C1" localSheetId="23" hidden="1">#REF!</definedName>
    <definedName name="UNIFORMANCES2R619C1" localSheetId="24" hidden="1">#REF!</definedName>
    <definedName name="UNIFORMANCES2R619C1" localSheetId="35" hidden="1">#REF!</definedName>
    <definedName name="UNIFORMANCES2R619C1" localSheetId="58" hidden="1">#REF!</definedName>
    <definedName name="UNIFORMANCES2R619C1" localSheetId="60" hidden="1">#REF!</definedName>
    <definedName name="UNIFORMANCES2R619C1" localSheetId="51" hidden="1">#REF!</definedName>
    <definedName name="UNIFORMANCES2R619C1" localSheetId="54" hidden="1">#REF!</definedName>
    <definedName name="UNIFORMANCES2R619C1" localSheetId="47" hidden="1">#REF!</definedName>
    <definedName name="UNIFORMANCES2R619C1" localSheetId="105" hidden="1">#REF!</definedName>
    <definedName name="UNIFORMANCES2R619C1" localSheetId="104" hidden="1">#REF!</definedName>
    <definedName name="UNIFORMANCES2R619C1" localSheetId="88" hidden="1">#REF!</definedName>
    <definedName name="UNIFORMANCES2R619C1" localSheetId="89" hidden="1">#REF!</definedName>
    <definedName name="UNIFORMANCES2R619C1" localSheetId="87" hidden="1">#REF!</definedName>
    <definedName name="UNIFORMANCES2R619C1" localSheetId="90" hidden="1">#REF!</definedName>
    <definedName name="UNIFORMANCES2R619C1" localSheetId="70" hidden="1">#REF!</definedName>
    <definedName name="UNIFORMANCES2R619C1" localSheetId="63" hidden="1">#REF!</definedName>
    <definedName name="UNIFORMANCES2R619C1" localSheetId="65" hidden="1">#REF!</definedName>
    <definedName name="UNIFORMANCES2R619C1" localSheetId="64" hidden="1">#REF!</definedName>
    <definedName name="UNIFORMANCES2R619C1" localSheetId="77" hidden="1">#REF!</definedName>
    <definedName name="UNIFORMANCES2R619C1" localSheetId="49" hidden="1">#REF!</definedName>
    <definedName name="UNIFORMANCES2R619C1" localSheetId="48" hidden="1">#REF!</definedName>
    <definedName name="UNIFORMANCES2R619C1" localSheetId="57" hidden="1">#REF!</definedName>
    <definedName name="UNIFORMANCES2R619C1" localSheetId="59" hidden="1">#REF!</definedName>
    <definedName name="UNIFORMANCES2R619C1" localSheetId="52" hidden="1">#REF!</definedName>
    <definedName name="UNIFORMANCES2R619C1" localSheetId="67" hidden="1">#REF!</definedName>
    <definedName name="UNIFORMANCES2R619C1" localSheetId="80" hidden="1">#REF!</definedName>
    <definedName name="UNIFORMANCES2R619C1" localSheetId="40" hidden="1">#REF!</definedName>
    <definedName name="UNIFORMANCES2R619C1" localSheetId="43" hidden="1">#REF!</definedName>
    <definedName name="UNIFORMANCES2R619C1" localSheetId="55" hidden="1">#REF!</definedName>
    <definedName name="UNIFORMANCES2R619C1" localSheetId="81" hidden="1">#REF!</definedName>
    <definedName name="UNIFORMANCES2R619C1" localSheetId="53" hidden="1">#REF!</definedName>
    <definedName name="UNIFORMANCES2R619C1" localSheetId="13" hidden="1">#REF!</definedName>
    <definedName name="UNIFORMANCES2R619C1" localSheetId="11" hidden="1">#REF!</definedName>
    <definedName name="UNIFORMANCES2R619C1" localSheetId="38" hidden="1">#REF!</definedName>
    <definedName name="UNIFORMANCES2R619C1" localSheetId="41" hidden="1">#REF!</definedName>
    <definedName name="UNIFORMANCES2R619C1" localSheetId="101" hidden="1">#REF!</definedName>
    <definedName name="UNIFORMANCES2R619C1" localSheetId="102" hidden="1">#REF!</definedName>
    <definedName name="UNIFORMANCES2R619C1" localSheetId="103" hidden="1">#REF!</definedName>
    <definedName name="UNIFORMANCES2R619C1" localSheetId="97" hidden="1">#REF!</definedName>
    <definedName name="UNIFORMANCES2R619C1" localSheetId="42" hidden="1">#REF!</definedName>
    <definedName name="UNIFORMANCES2R619C1" localSheetId="12" hidden="1">#REF!</definedName>
    <definedName name="UNIFORMANCES2R619C1" localSheetId="73" hidden="1">#REF!</definedName>
    <definedName name="UNIFORMANCES2R619C1" localSheetId="74" hidden="1">#REF!</definedName>
    <definedName name="UNIFORMANCES2R619C1" hidden="1">#REF!</definedName>
    <definedName name="UNIFORMANCES2R664C1" localSheetId="3" hidden="1">#REF!</definedName>
    <definedName name="UNIFORMANCES2R664C1" localSheetId="7" hidden="1">#REF!</definedName>
    <definedName name="UNIFORMANCES2R664C1" localSheetId="9" hidden="1">#REF!</definedName>
    <definedName name="UNIFORMANCES2R664C1" localSheetId="10" hidden="1">#REF!</definedName>
    <definedName name="UNIFORMANCES2R664C1" localSheetId="15" hidden="1">#REF!</definedName>
    <definedName name="UNIFORMANCES2R664C1" localSheetId="18" hidden="1">#REF!</definedName>
    <definedName name="UNIFORMANCES2R664C1" localSheetId="19" hidden="1">#REF!</definedName>
    <definedName name="UNIFORMANCES2R664C1" localSheetId="20" hidden="1">#REF!</definedName>
    <definedName name="UNIFORMANCES2R664C1" localSheetId="23" hidden="1">#REF!</definedName>
    <definedName name="UNIFORMANCES2R664C1" localSheetId="24" hidden="1">#REF!</definedName>
    <definedName name="UNIFORMANCES2R664C1" localSheetId="35" hidden="1">#REF!</definedName>
    <definedName name="UNIFORMANCES2R664C1" localSheetId="58" hidden="1">#REF!</definedName>
    <definedName name="UNIFORMANCES2R664C1" localSheetId="60" hidden="1">#REF!</definedName>
    <definedName name="UNIFORMANCES2R664C1" localSheetId="51" hidden="1">#REF!</definedName>
    <definedName name="UNIFORMANCES2R664C1" localSheetId="54" hidden="1">#REF!</definedName>
    <definedName name="UNIFORMANCES2R664C1" localSheetId="47" hidden="1">#REF!</definedName>
    <definedName name="UNIFORMANCES2R664C1" localSheetId="105" hidden="1">#REF!</definedName>
    <definedName name="UNIFORMANCES2R664C1" localSheetId="104" hidden="1">#REF!</definedName>
    <definedName name="UNIFORMANCES2R664C1" localSheetId="88" hidden="1">#REF!</definedName>
    <definedName name="UNIFORMANCES2R664C1" localSheetId="89" hidden="1">#REF!</definedName>
    <definedName name="UNIFORMANCES2R664C1" localSheetId="87" hidden="1">#REF!</definedName>
    <definedName name="UNIFORMANCES2R664C1" localSheetId="90" hidden="1">#REF!</definedName>
    <definedName name="UNIFORMANCES2R664C1" localSheetId="70" hidden="1">#REF!</definedName>
    <definedName name="UNIFORMANCES2R664C1" localSheetId="63" hidden="1">#REF!</definedName>
    <definedName name="UNIFORMANCES2R664C1" localSheetId="65" hidden="1">#REF!</definedName>
    <definedName name="UNIFORMANCES2R664C1" localSheetId="64" hidden="1">#REF!</definedName>
    <definedName name="UNIFORMANCES2R664C1" localSheetId="77" hidden="1">#REF!</definedName>
    <definedName name="UNIFORMANCES2R664C1" localSheetId="49" hidden="1">#REF!</definedName>
    <definedName name="UNIFORMANCES2R664C1" localSheetId="48" hidden="1">#REF!</definedName>
    <definedName name="UNIFORMANCES2R664C1" localSheetId="57" hidden="1">#REF!</definedName>
    <definedName name="UNIFORMANCES2R664C1" localSheetId="59" hidden="1">#REF!</definedName>
    <definedName name="UNIFORMANCES2R664C1" localSheetId="52" hidden="1">#REF!</definedName>
    <definedName name="UNIFORMANCES2R664C1" localSheetId="67" hidden="1">#REF!</definedName>
    <definedName name="UNIFORMANCES2R664C1" localSheetId="80" hidden="1">#REF!</definedName>
    <definedName name="UNIFORMANCES2R664C1" localSheetId="40" hidden="1">#REF!</definedName>
    <definedName name="UNIFORMANCES2R664C1" localSheetId="43" hidden="1">#REF!</definedName>
    <definedName name="UNIFORMANCES2R664C1" localSheetId="55" hidden="1">#REF!</definedName>
    <definedName name="UNIFORMANCES2R664C1" localSheetId="81" hidden="1">#REF!</definedName>
    <definedName name="UNIFORMANCES2R664C1" localSheetId="53" hidden="1">#REF!</definedName>
    <definedName name="UNIFORMANCES2R664C1" localSheetId="13" hidden="1">#REF!</definedName>
    <definedName name="UNIFORMANCES2R664C1" localSheetId="11" hidden="1">#REF!</definedName>
    <definedName name="UNIFORMANCES2R664C1" localSheetId="38" hidden="1">#REF!</definedName>
    <definedName name="UNIFORMANCES2R664C1" localSheetId="41" hidden="1">#REF!</definedName>
    <definedName name="UNIFORMANCES2R664C1" localSheetId="101" hidden="1">#REF!</definedName>
    <definedName name="UNIFORMANCES2R664C1" localSheetId="102" hidden="1">#REF!</definedName>
    <definedName name="UNIFORMANCES2R664C1" localSheetId="103" hidden="1">#REF!</definedName>
    <definedName name="UNIFORMANCES2R664C1" localSheetId="97" hidden="1">#REF!</definedName>
    <definedName name="UNIFORMANCES2R664C1" localSheetId="42" hidden="1">#REF!</definedName>
    <definedName name="UNIFORMANCES2R664C1" localSheetId="12" hidden="1">#REF!</definedName>
    <definedName name="UNIFORMANCES2R664C1" localSheetId="73" hidden="1">#REF!</definedName>
    <definedName name="UNIFORMANCES2R664C1" localSheetId="74" hidden="1">#REF!</definedName>
    <definedName name="UNIFORMANCES2R664C1" hidden="1">#REF!</definedName>
    <definedName name="UNIFORMANCES2R692C1" localSheetId="3" hidden="1">#REF!</definedName>
    <definedName name="UNIFORMANCES2R692C1" localSheetId="7" hidden="1">#REF!</definedName>
    <definedName name="UNIFORMANCES2R692C1" localSheetId="9" hidden="1">#REF!</definedName>
    <definedName name="UNIFORMANCES2R692C1" localSheetId="10" hidden="1">#REF!</definedName>
    <definedName name="UNIFORMANCES2R692C1" localSheetId="15" hidden="1">#REF!</definedName>
    <definedName name="UNIFORMANCES2R692C1" localSheetId="18" hidden="1">#REF!</definedName>
    <definedName name="UNIFORMANCES2R692C1" localSheetId="19" hidden="1">#REF!</definedName>
    <definedName name="UNIFORMANCES2R692C1" localSheetId="20" hidden="1">#REF!</definedName>
    <definedName name="UNIFORMANCES2R692C1" localSheetId="23" hidden="1">#REF!</definedName>
    <definedName name="UNIFORMANCES2R692C1" localSheetId="24" hidden="1">#REF!</definedName>
    <definedName name="UNIFORMANCES2R692C1" localSheetId="35" hidden="1">#REF!</definedName>
    <definedName name="UNIFORMANCES2R692C1" localSheetId="58" hidden="1">#REF!</definedName>
    <definedName name="UNIFORMANCES2R692C1" localSheetId="60" hidden="1">#REF!</definedName>
    <definedName name="UNIFORMANCES2R692C1" localSheetId="51" hidden="1">#REF!</definedName>
    <definedName name="UNIFORMANCES2R692C1" localSheetId="54" hidden="1">#REF!</definedName>
    <definedName name="UNIFORMANCES2R692C1" localSheetId="47" hidden="1">#REF!</definedName>
    <definedName name="UNIFORMANCES2R692C1" localSheetId="105" hidden="1">#REF!</definedName>
    <definedName name="UNIFORMANCES2R692C1" localSheetId="104" hidden="1">#REF!</definedName>
    <definedName name="UNIFORMANCES2R692C1" localSheetId="88" hidden="1">#REF!</definedName>
    <definedName name="UNIFORMANCES2R692C1" localSheetId="89" hidden="1">#REF!</definedName>
    <definedName name="UNIFORMANCES2R692C1" localSheetId="87" hidden="1">#REF!</definedName>
    <definedName name="UNIFORMANCES2R692C1" localSheetId="90" hidden="1">#REF!</definedName>
    <definedName name="UNIFORMANCES2R692C1" localSheetId="70" hidden="1">#REF!</definedName>
    <definedName name="UNIFORMANCES2R692C1" localSheetId="63" hidden="1">#REF!</definedName>
    <definedName name="UNIFORMANCES2R692C1" localSheetId="65" hidden="1">#REF!</definedName>
    <definedName name="UNIFORMANCES2R692C1" localSheetId="64" hidden="1">#REF!</definedName>
    <definedName name="UNIFORMANCES2R692C1" localSheetId="77" hidden="1">#REF!</definedName>
    <definedName name="UNIFORMANCES2R692C1" localSheetId="49" hidden="1">#REF!</definedName>
    <definedName name="UNIFORMANCES2R692C1" localSheetId="48" hidden="1">#REF!</definedName>
    <definedName name="UNIFORMANCES2R692C1" localSheetId="57" hidden="1">#REF!</definedName>
    <definedName name="UNIFORMANCES2R692C1" localSheetId="59" hidden="1">#REF!</definedName>
    <definedName name="UNIFORMANCES2R692C1" localSheetId="52" hidden="1">#REF!</definedName>
    <definedName name="UNIFORMANCES2R692C1" localSheetId="67" hidden="1">#REF!</definedName>
    <definedName name="UNIFORMANCES2R692C1" localSheetId="80" hidden="1">#REF!</definedName>
    <definedName name="UNIFORMANCES2R692C1" localSheetId="40" hidden="1">#REF!</definedName>
    <definedName name="UNIFORMANCES2R692C1" localSheetId="43" hidden="1">#REF!</definedName>
    <definedName name="UNIFORMANCES2R692C1" localSheetId="55" hidden="1">#REF!</definedName>
    <definedName name="UNIFORMANCES2R692C1" localSheetId="81" hidden="1">#REF!</definedName>
    <definedName name="UNIFORMANCES2R692C1" localSheetId="53" hidden="1">#REF!</definedName>
    <definedName name="UNIFORMANCES2R692C1" localSheetId="13" hidden="1">#REF!</definedName>
    <definedName name="UNIFORMANCES2R692C1" localSheetId="11" hidden="1">#REF!</definedName>
    <definedName name="UNIFORMANCES2R692C1" localSheetId="38" hidden="1">#REF!</definedName>
    <definedName name="UNIFORMANCES2R692C1" localSheetId="41" hidden="1">#REF!</definedName>
    <definedName name="UNIFORMANCES2R692C1" localSheetId="101" hidden="1">#REF!</definedName>
    <definedName name="UNIFORMANCES2R692C1" localSheetId="102" hidden="1">#REF!</definedName>
    <definedName name="UNIFORMANCES2R692C1" localSheetId="103" hidden="1">#REF!</definedName>
    <definedName name="UNIFORMANCES2R692C1" localSheetId="97" hidden="1">#REF!</definedName>
    <definedName name="UNIFORMANCES2R692C1" localSheetId="42" hidden="1">#REF!</definedName>
    <definedName name="UNIFORMANCES2R692C1" localSheetId="12" hidden="1">#REF!</definedName>
    <definedName name="UNIFORMANCES2R692C1" localSheetId="73" hidden="1">#REF!</definedName>
    <definedName name="UNIFORMANCES2R692C1" localSheetId="74" hidden="1">#REF!</definedName>
    <definedName name="UNIFORMANCES2R692C1" hidden="1">#REF!</definedName>
    <definedName name="UNIFORMANCES2R726C1" localSheetId="3" hidden="1">#REF!</definedName>
    <definedName name="UNIFORMANCES2R726C1" localSheetId="7" hidden="1">#REF!</definedName>
    <definedName name="UNIFORMANCES2R726C1" localSheetId="9" hidden="1">#REF!</definedName>
    <definedName name="UNIFORMANCES2R726C1" localSheetId="10" hidden="1">#REF!</definedName>
    <definedName name="UNIFORMANCES2R726C1" localSheetId="15" hidden="1">#REF!</definedName>
    <definedName name="UNIFORMANCES2R726C1" localSheetId="18" hidden="1">#REF!</definedName>
    <definedName name="UNIFORMANCES2R726C1" localSheetId="19" hidden="1">#REF!</definedName>
    <definedName name="UNIFORMANCES2R726C1" localSheetId="20" hidden="1">#REF!</definedName>
    <definedName name="UNIFORMANCES2R726C1" localSheetId="23" hidden="1">#REF!</definedName>
    <definedName name="UNIFORMANCES2R726C1" localSheetId="24" hidden="1">#REF!</definedName>
    <definedName name="UNIFORMANCES2R726C1" localSheetId="35" hidden="1">#REF!</definedName>
    <definedName name="UNIFORMANCES2R726C1" localSheetId="58" hidden="1">#REF!</definedName>
    <definedName name="UNIFORMANCES2R726C1" localSheetId="60" hidden="1">#REF!</definedName>
    <definedName name="UNIFORMANCES2R726C1" localSheetId="51" hidden="1">#REF!</definedName>
    <definedName name="UNIFORMANCES2R726C1" localSheetId="54" hidden="1">#REF!</definedName>
    <definedName name="UNIFORMANCES2R726C1" localSheetId="47" hidden="1">#REF!</definedName>
    <definedName name="UNIFORMANCES2R726C1" localSheetId="105" hidden="1">#REF!</definedName>
    <definedName name="UNIFORMANCES2R726C1" localSheetId="104" hidden="1">#REF!</definedName>
    <definedName name="UNIFORMANCES2R726C1" localSheetId="88" hidden="1">#REF!</definedName>
    <definedName name="UNIFORMANCES2R726C1" localSheetId="89" hidden="1">#REF!</definedName>
    <definedName name="UNIFORMANCES2R726C1" localSheetId="87" hidden="1">#REF!</definedName>
    <definedName name="UNIFORMANCES2R726C1" localSheetId="90" hidden="1">#REF!</definedName>
    <definedName name="UNIFORMANCES2R726C1" localSheetId="70" hidden="1">#REF!</definedName>
    <definedName name="UNIFORMANCES2R726C1" localSheetId="63" hidden="1">#REF!</definedName>
    <definedName name="UNIFORMANCES2R726C1" localSheetId="65" hidden="1">#REF!</definedName>
    <definedName name="UNIFORMANCES2R726C1" localSheetId="64" hidden="1">#REF!</definedName>
    <definedName name="UNIFORMANCES2R726C1" localSheetId="77" hidden="1">#REF!</definedName>
    <definedName name="UNIFORMANCES2R726C1" localSheetId="49" hidden="1">#REF!</definedName>
    <definedName name="UNIFORMANCES2R726C1" localSheetId="48" hidden="1">#REF!</definedName>
    <definedName name="UNIFORMANCES2R726C1" localSheetId="57" hidden="1">#REF!</definedName>
    <definedName name="UNIFORMANCES2R726C1" localSheetId="59" hidden="1">#REF!</definedName>
    <definedName name="UNIFORMANCES2R726C1" localSheetId="52" hidden="1">#REF!</definedName>
    <definedName name="UNIFORMANCES2R726C1" localSheetId="67" hidden="1">#REF!</definedName>
    <definedName name="UNIFORMANCES2R726C1" localSheetId="80" hidden="1">#REF!</definedName>
    <definedName name="UNIFORMANCES2R726C1" localSheetId="40" hidden="1">#REF!</definedName>
    <definedName name="UNIFORMANCES2R726C1" localSheetId="43" hidden="1">#REF!</definedName>
    <definedName name="UNIFORMANCES2R726C1" localSheetId="55" hidden="1">#REF!</definedName>
    <definedName name="UNIFORMANCES2R726C1" localSheetId="81" hidden="1">#REF!</definedName>
    <definedName name="UNIFORMANCES2R726C1" localSheetId="53" hidden="1">#REF!</definedName>
    <definedName name="UNIFORMANCES2R726C1" localSheetId="13" hidden="1">#REF!</definedName>
    <definedName name="UNIFORMANCES2R726C1" localSheetId="11" hidden="1">#REF!</definedName>
    <definedName name="UNIFORMANCES2R726C1" localSheetId="38" hidden="1">#REF!</definedName>
    <definedName name="UNIFORMANCES2R726C1" localSheetId="41" hidden="1">#REF!</definedName>
    <definedName name="UNIFORMANCES2R726C1" localSheetId="101" hidden="1">#REF!</definedName>
    <definedName name="UNIFORMANCES2R726C1" localSheetId="102" hidden="1">#REF!</definedName>
    <definedName name="UNIFORMANCES2R726C1" localSheetId="103" hidden="1">#REF!</definedName>
    <definedName name="UNIFORMANCES2R726C1" localSheetId="97" hidden="1">#REF!</definedName>
    <definedName name="UNIFORMANCES2R726C1" localSheetId="42" hidden="1">#REF!</definedName>
    <definedName name="UNIFORMANCES2R726C1" localSheetId="12" hidden="1">#REF!</definedName>
    <definedName name="UNIFORMANCES2R726C1" localSheetId="73" hidden="1">#REF!</definedName>
    <definedName name="UNIFORMANCES2R726C1" localSheetId="74" hidden="1">#REF!</definedName>
    <definedName name="UNIFORMANCES2R726C1" hidden="1">#REF!</definedName>
    <definedName name="UNIFORMANCES2R767C1" localSheetId="3" hidden="1">#REF!</definedName>
    <definedName name="UNIFORMANCES2R767C1" localSheetId="7" hidden="1">#REF!</definedName>
    <definedName name="UNIFORMANCES2R767C1" localSheetId="9" hidden="1">#REF!</definedName>
    <definedName name="UNIFORMANCES2R767C1" localSheetId="10" hidden="1">#REF!</definedName>
    <definedName name="UNIFORMANCES2R767C1" localSheetId="15" hidden="1">#REF!</definedName>
    <definedName name="UNIFORMANCES2R767C1" localSheetId="18" hidden="1">#REF!</definedName>
    <definedName name="UNIFORMANCES2R767C1" localSheetId="19" hidden="1">#REF!</definedName>
    <definedName name="UNIFORMANCES2R767C1" localSheetId="20" hidden="1">#REF!</definedName>
    <definedName name="UNIFORMANCES2R767C1" localSheetId="23" hidden="1">#REF!</definedName>
    <definedName name="UNIFORMANCES2R767C1" localSheetId="24" hidden="1">#REF!</definedName>
    <definedName name="UNIFORMANCES2R767C1" localSheetId="35" hidden="1">#REF!</definedName>
    <definedName name="UNIFORMANCES2R767C1" localSheetId="58" hidden="1">#REF!</definedName>
    <definedName name="UNIFORMANCES2R767C1" localSheetId="60" hidden="1">#REF!</definedName>
    <definedName name="UNIFORMANCES2R767C1" localSheetId="51" hidden="1">#REF!</definedName>
    <definedName name="UNIFORMANCES2R767C1" localSheetId="54" hidden="1">#REF!</definedName>
    <definedName name="UNIFORMANCES2R767C1" localSheetId="47" hidden="1">#REF!</definedName>
    <definedName name="UNIFORMANCES2R767C1" localSheetId="105" hidden="1">#REF!</definedName>
    <definedName name="UNIFORMANCES2R767C1" localSheetId="104" hidden="1">#REF!</definedName>
    <definedName name="UNIFORMANCES2R767C1" localSheetId="88" hidden="1">#REF!</definedName>
    <definedName name="UNIFORMANCES2R767C1" localSheetId="89" hidden="1">#REF!</definedName>
    <definedName name="UNIFORMANCES2R767C1" localSheetId="87" hidden="1">#REF!</definedName>
    <definedName name="UNIFORMANCES2R767C1" localSheetId="90" hidden="1">#REF!</definedName>
    <definedName name="UNIFORMANCES2R767C1" localSheetId="70" hidden="1">#REF!</definedName>
    <definedName name="UNIFORMANCES2R767C1" localSheetId="63" hidden="1">#REF!</definedName>
    <definedName name="UNIFORMANCES2R767C1" localSheetId="65" hidden="1">#REF!</definedName>
    <definedName name="UNIFORMANCES2R767C1" localSheetId="64" hidden="1">#REF!</definedName>
    <definedName name="UNIFORMANCES2R767C1" localSheetId="77" hidden="1">#REF!</definedName>
    <definedName name="UNIFORMANCES2R767C1" localSheetId="49" hidden="1">#REF!</definedName>
    <definedName name="UNIFORMANCES2R767C1" localSheetId="48" hidden="1">#REF!</definedName>
    <definedName name="UNIFORMANCES2R767C1" localSheetId="57" hidden="1">#REF!</definedName>
    <definedName name="UNIFORMANCES2R767C1" localSheetId="59" hidden="1">#REF!</definedName>
    <definedName name="UNIFORMANCES2R767C1" localSheetId="52" hidden="1">#REF!</definedName>
    <definedName name="UNIFORMANCES2R767C1" localSheetId="67" hidden="1">#REF!</definedName>
    <definedName name="UNIFORMANCES2R767C1" localSheetId="80" hidden="1">#REF!</definedName>
    <definedName name="UNIFORMANCES2R767C1" localSheetId="40" hidden="1">#REF!</definedName>
    <definedName name="UNIFORMANCES2R767C1" localSheetId="43" hidden="1">#REF!</definedName>
    <definedName name="UNIFORMANCES2R767C1" localSheetId="55" hidden="1">#REF!</definedName>
    <definedName name="UNIFORMANCES2R767C1" localSheetId="81" hidden="1">#REF!</definedName>
    <definedName name="UNIFORMANCES2R767C1" localSheetId="53" hidden="1">#REF!</definedName>
    <definedName name="UNIFORMANCES2R767C1" localSheetId="13" hidden="1">#REF!</definedName>
    <definedName name="UNIFORMANCES2R767C1" localSheetId="11" hidden="1">#REF!</definedName>
    <definedName name="UNIFORMANCES2R767C1" localSheetId="38" hidden="1">#REF!</definedName>
    <definedName name="UNIFORMANCES2R767C1" localSheetId="41" hidden="1">#REF!</definedName>
    <definedName name="UNIFORMANCES2R767C1" localSheetId="101" hidden="1">#REF!</definedName>
    <definedName name="UNIFORMANCES2R767C1" localSheetId="102" hidden="1">#REF!</definedName>
    <definedName name="UNIFORMANCES2R767C1" localSheetId="103" hidden="1">#REF!</definedName>
    <definedName name="UNIFORMANCES2R767C1" localSheetId="97" hidden="1">#REF!</definedName>
    <definedName name="UNIFORMANCES2R767C1" localSheetId="42" hidden="1">#REF!</definedName>
    <definedName name="UNIFORMANCES2R767C1" localSheetId="12" hidden="1">#REF!</definedName>
    <definedName name="UNIFORMANCES2R767C1" localSheetId="73" hidden="1">#REF!</definedName>
    <definedName name="UNIFORMANCES2R767C1" localSheetId="74" hidden="1">#REF!</definedName>
    <definedName name="UNIFORMANCES2R767C1" hidden="1">#REF!</definedName>
    <definedName name="UNIFORMANCES2R7C1" localSheetId="3" hidden="1">#REF!</definedName>
    <definedName name="UNIFORMANCES2R7C1" localSheetId="7" hidden="1">#REF!</definedName>
    <definedName name="UNIFORMANCES2R7C1" localSheetId="9" hidden="1">#REF!</definedName>
    <definedName name="UNIFORMANCES2R7C1" localSheetId="10" hidden="1">#REF!</definedName>
    <definedName name="UNIFORMANCES2R7C1" localSheetId="15" hidden="1">#REF!</definedName>
    <definedName name="UNIFORMANCES2R7C1" localSheetId="18" hidden="1">#REF!</definedName>
    <definedName name="UNIFORMANCES2R7C1" localSheetId="19" hidden="1">#REF!</definedName>
    <definedName name="UNIFORMANCES2R7C1" localSheetId="20" hidden="1">#REF!</definedName>
    <definedName name="UNIFORMANCES2R7C1" localSheetId="23" hidden="1">#REF!</definedName>
    <definedName name="UNIFORMANCES2R7C1" localSheetId="24" hidden="1">#REF!</definedName>
    <definedName name="UNIFORMANCES2R7C1" localSheetId="35" hidden="1">#REF!</definedName>
    <definedName name="UNIFORMANCES2R7C1" localSheetId="58" hidden="1">#REF!</definedName>
    <definedName name="UNIFORMANCES2R7C1" localSheetId="60" hidden="1">#REF!</definedName>
    <definedName name="UNIFORMANCES2R7C1" localSheetId="51" hidden="1">#REF!</definedName>
    <definedName name="UNIFORMANCES2R7C1" localSheetId="54" hidden="1">#REF!</definedName>
    <definedName name="UNIFORMANCES2R7C1" localSheetId="47" hidden="1">#REF!</definedName>
    <definedName name="UNIFORMANCES2R7C1" localSheetId="105" hidden="1">#REF!</definedName>
    <definedName name="UNIFORMANCES2R7C1" localSheetId="104" hidden="1">#REF!</definedName>
    <definedName name="UNIFORMANCES2R7C1" localSheetId="88" hidden="1">#REF!</definedName>
    <definedName name="UNIFORMANCES2R7C1" localSheetId="89" hidden="1">#REF!</definedName>
    <definedName name="UNIFORMANCES2R7C1" localSheetId="87" hidden="1">#REF!</definedName>
    <definedName name="UNIFORMANCES2R7C1" localSheetId="90" hidden="1">#REF!</definedName>
    <definedName name="UNIFORMANCES2R7C1" localSheetId="70" hidden="1">#REF!</definedName>
    <definedName name="UNIFORMANCES2R7C1" localSheetId="65" hidden="1">#REF!</definedName>
    <definedName name="UNIFORMANCES2R7C1" localSheetId="64" hidden="1">#REF!</definedName>
    <definedName name="UNIFORMANCES2R7C1" localSheetId="77" hidden="1">#REF!</definedName>
    <definedName name="UNIFORMANCES2R7C1" localSheetId="49" hidden="1">#REF!</definedName>
    <definedName name="UNIFORMANCES2R7C1" localSheetId="57" hidden="1">#REF!</definedName>
    <definedName name="UNIFORMANCES2R7C1" localSheetId="59" hidden="1">#REF!</definedName>
    <definedName name="UNIFORMANCES2R7C1" localSheetId="40" hidden="1">#REF!</definedName>
    <definedName name="UNIFORMANCES2R7C1" localSheetId="43" hidden="1">#REF!</definedName>
    <definedName name="UNIFORMANCES2R7C1" localSheetId="55" hidden="1">#REF!</definedName>
    <definedName name="UNIFORMANCES2R7C1" localSheetId="13" hidden="1">#REF!</definedName>
    <definedName name="UNIFORMANCES2R7C1" localSheetId="11" hidden="1">#REF!</definedName>
    <definedName name="UNIFORMANCES2R7C1" localSheetId="38" hidden="1">#REF!</definedName>
    <definedName name="UNIFORMANCES2R7C1" localSheetId="41" hidden="1">#REF!</definedName>
    <definedName name="UNIFORMANCES2R7C1" localSheetId="101" hidden="1">#REF!</definedName>
    <definedName name="UNIFORMANCES2R7C1" localSheetId="102" hidden="1">#REF!</definedName>
    <definedName name="UNIFORMANCES2R7C1" localSheetId="103" hidden="1">#REF!</definedName>
    <definedName name="UNIFORMANCES2R7C1" localSheetId="97" hidden="1">#REF!</definedName>
    <definedName name="UNIFORMANCES2R7C1" localSheetId="42" hidden="1">#REF!</definedName>
    <definedName name="UNIFORMANCES2R7C1" localSheetId="12" hidden="1">#REF!</definedName>
    <definedName name="UNIFORMANCES2R7C1" localSheetId="73" hidden="1">#REF!</definedName>
    <definedName name="UNIFORMANCES2R7C1" localSheetId="74" hidden="1">#REF!</definedName>
    <definedName name="UNIFORMANCES2R7C1" hidden="1">#REF!</definedName>
    <definedName name="UNIFORMANCES2R7C13" localSheetId="3" hidden="1">#REF!</definedName>
    <definedName name="UNIFORMANCES2R7C13" localSheetId="7" hidden="1">#REF!</definedName>
    <definedName name="UNIFORMANCES2R7C13" localSheetId="9" hidden="1">#REF!</definedName>
    <definedName name="UNIFORMANCES2R7C13" localSheetId="10" hidden="1">#REF!</definedName>
    <definedName name="UNIFORMANCES2R7C13" localSheetId="15" hidden="1">#REF!</definedName>
    <definedName name="UNIFORMANCES2R7C13" localSheetId="18" hidden="1">#REF!</definedName>
    <definedName name="UNIFORMANCES2R7C13" localSheetId="19" hidden="1">#REF!</definedName>
    <definedName name="UNIFORMANCES2R7C13" localSheetId="20" hidden="1">#REF!</definedName>
    <definedName name="UNIFORMANCES2R7C13" localSheetId="23" hidden="1">#REF!</definedName>
    <definedName name="UNIFORMANCES2R7C13" localSheetId="24" hidden="1">#REF!</definedName>
    <definedName name="UNIFORMANCES2R7C13" localSheetId="35" hidden="1">#REF!</definedName>
    <definedName name="UNIFORMANCES2R7C13" localSheetId="58" hidden="1">#REF!</definedName>
    <definedName name="UNIFORMANCES2R7C13" localSheetId="60" hidden="1">#REF!</definedName>
    <definedName name="UNIFORMANCES2R7C13" localSheetId="51" hidden="1">#REF!</definedName>
    <definedName name="UNIFORMANCES2R7C13" localSheetId="54" hidden="1">#REF!</definedName>
    <definedName name="UNIFORMANCES2R7C13" localSheetId="47" hidden="1">#REF!</definedName>
    <definedName name="UNIFORMANCES2R7C13" localSheetId="105" hidden="1">#REF!</definedName>
    <definedName name="UNIFORMANCES2R7C13" localSheetId="104" hidden="1">#REF!</definedName>
    <definedName name="UNIFORMANCES2R7C13" localSheetId="88" hidden="1">#REF!</definedName>
    <definedName name="UNIFORMANCES2R7C13" localSheetId="89" hidden="1">#REF!</definedName>
    <definedName name="UNIFORMANCES2R7C13" localSheetId="87" hidden="1">#REF!</definedName>
    <definedName name="UNIFORMANCES2R7C13" localSheetId="90" hidden="1">#REF!</definedName>
    <definedName name="UNIFORMANCES2R7C13" localSheetId="70" hidden="1">#REF!</definedName>
    <definedName name="UNIFORMANCES2R7C13" localSheetId="65" hidden="1">#REF!</definedName>
    <definedName name="UNIFORMANCES2R7C13" localSheetId="64" hidden="1">#REF!</definedName>
    <definedName name="UNIFORMANCES2R7C13" localSheetId="77" hidden="1">#REF!</definedName>
    <definedName name="UNIFORMANCES2R7C13" localSheetId="49" hidden="1">#REF!</definedName>
    <definedName name="UNIFORMANCES2R7C13" localSheetId="57" hidden="1">#REF!</definedName>
    <definedName name="UNIFORMANCES2R7C13" localSheetId="59" hidden="1">#REF!</definedName>
    <definedName name="UNIFORMANCES2R7C13" localSheetId="40" hidden="1">#REF!</definedName>
    <definedName name="UNIFORMANCES2R7C13" localSheetId="43" hidden="1">#REF!</definedName>
    <definedName name="UNIFORMANCES2R7C13" localSheetId="55" hidden="1">#REF!</definedName>
    <definedName name="UNIFORMANCES2R7C13" localSheetId="13" hidden="1">#REF!</definedName>
    <definedName name="UNIFORMANCES2R7C13" localSheetId="11" hidden="1">#REF!</definedName>
    <definedName name="UNIFORMANCES2R7C13" localSheetId="38" hidden="1">#REF!</definedName>
    <definedName name="UNIFORMANCES2R7C13" localSheetId="41" hidden="1">#REF!</definedName>
    <definedName name="UNIFORMANCES2R7C13" localSheetId="101" hidden="1">#REF!</definedName>
    <definedName name="UNIFORMANCES2R7C13" localSheetId="102" hidden="1">#REF!</definedName>
    <definedName name="UNIFORMANCES2R7C13" localSheetId="103" hidden="1">#REF!</definedName>
    <definedName name="UNIFORMANCES2R7C13" localSheetId="97" hidden="1">#REF!</definedName>
    <definedName name="UNIFORMANCES2R7C13" localSheetId="42" hidden="1">#REF!</definedName>
    <definedName name="UNIFORMANCES2R7C13" localSheetId="12" hidden="1">#REF!</definedName>
    <definedName name="UNIFORMANCES2R7C13" localSheetId="73" hidden="1">#REF!</definedName>
    <definedName name="UNIFORMANCES2R7C13" localSheetId="74" hidden="1">#REF!</definedName>
    <definedName name="UNIFORMANCES2R7C13" hidden="1">#REF!</definedName>
    <definedName name="UNIFORMANCES2R7C17" localSheetId="3" hidden="1">#REF!</definedName>
    <definedName name="UNIFORMANCES2R7C17" localSheetId="7" hidden="1">#REF!</definedName>
    <definedName name="UNIFORMANCES2R7C17" localSheetId="9" hidden="1">#REF!</definedName>
    <definedName name="UNIFORMANCES2R7C17" localSheetId="10" hidden="1">#REF!</definedName>
    <definedName name="UNIFORMANCES2R7C17" localSheetId="15" hidden="1">#REF!</definedName>
    <definedName name="UNIFORMANCES2R7C17" localSheetId="18" hidden="1">#REF!</definedName>
    <definedName name="UNIFORMANCES2R7C17" localSheetId="19" hidden="1">#REF!</definedName>
    <definedName name="UNIFORMANCES2R7C17" localSheetId="20" hidden="1">#REF!</definedName>
    <definedName name="UNIFORMANCES2R7C17" localSheetId="23" hidden="1">#REF!</definedName>
    <definedName name="UNIFORMANCES2R7C17" localSheetId="24" hidden="1">#REF!</definedName>
    <definedName name="UNIFORMANCES2R7C17" localSheetId="35" hidden="1">#REF!</definedName>
    <definedName name="UNIFORMANCES2R7C17" localSheetId="58" hidden="1">#REF!</definedName>
    <definedName name="UNIFORMANCES2R7C17" localSheetId="60" hidden="1">#REF!</definedName>
    <definedName name="UNIFORMANCES2R7C17" localSheetId="51" hidden="1">#REF!</definedName>
    <definedName name="UNIFORMANCES2R7C17" localSheetId="54" hidden="1">#REF!</definedName>
    <definedName name="UNIFORMANCES2R7C17" localSheetId="47" hidden="1">#REF!</definedName>
    <definedName name="UNIFORMANCES2R7C17" localSheetId="105" hidden="1">#REF!</definedName>
    <definedName name="UNIFORMANCES2R7C17" localSheetId="104" hidden="1">#REF!</definedName>
    <definedName name="UNIFORMANCES2R7C17" localSheetId="88" hidden="1">#REF!</definedName>
    <definedName name="UNIFORMANCES2R7C17" localSheetId="89" hidden="1">#REF!</definedName>
    <definedName name="UNIFORMANCES2R7C17" localSheetId="87" hidden="1">#REF!</definedName>
    <definedName name="UNIFORMANCES2R7C17" localSheetId="90" hidden="1">#REF!</definedName>
    <definedName name="UNIFORMANCES2R7C17" localSheetId="70" hidden="1">#REF!</definedName>
    <definedName name="UNIFORMANCES2R7C17" localSheetId="65" hidden="1">#REF!</definedName>
    <definedName name="UNIFORMANCES2R7C17" localSheetId="64" hidden="1">#REF!</definedName>
    <definedName name="UNIFORMANCES2R7C17" localSheetId="77" hidden="1">#REF!</definedName>
    <definedName name="UNIFORMANCES2R7C17" localSheetId="49" hidden="1">#REF!</definedName>
    <definedName name="UNIFORMANCES2R7C17" localSheetId="57" hidden="1">#REF!</definedName>
    <definedName name="UNIFORMANCES2R7C17" localSheetId="59" hidden="1">#REF!</definedName>
    <definedName name="UNIFORMANCES2R7C17" localSheetId="40" hidden="1">#REF!</definedName>
    <definedName name="UNIFORMANCES2R7C17" localSheetId="43" hidden="1">#REF!</definedName>
    <definedName name="UNIFORMANCES2R7C17" localSheetId="55" hidden="1">#REF!</definedName>
    <definedName name="UNIFORMANCES2R7C17" localSheetId="13" hidden="1">#REF!</definedName>
    <definedName name="UNIFORMANCES2R7C17" localSheetId="11" hidden="1">#REF!</definedName>
    <definedName name="UNIFORMANCES2R7C17" localSheetId="38" hidden="1">#REF!</definedName>
    <definedName name="UNIFORMANCES2R7C17" localSheetId="41" hidden="1">#REF!</definedName>
    <definedName name="UNIFORMANCES2R7C17" localSheetId="101" hidden="1">#REF!</definedName>
    <definedName name="UNIFORMANCES2R7C17" localSheetId="102" hidden="1">#REF!</definedName>
    <definedName name="UNIFORMANCES2R7C17" localSheetId="103" hidden="1">#REF!</definedName>
    <definedName name="UNIFORMANCES2R7C17" localSheetId="97" hidden="1">#REF!</definedName>
    <definedName name="UNIFORMANCES2R7C17" localSheetId="42" hidden="1">#REF!</definedName>
    <definedName name="UNIFORMANCES2R7C17" localSheetId="12" hidden="1">#REF!</definedName>
    <definedName name="UNIFORMANCES2R7C17" localSheetId="73" hidden="1">#REF!</definedName>
    <definedName name="UNIFORMANCES2R7C17" localSheetId="74" hidden="1">#REF!</definedName>
    <definedName name="UNIFORMANCES2R7C17" hidden="1">#REF!</definedName>
    <definedName name="UNIFORMANCES2R7C21" localSheetId="3" hidden="1">#REF!</definedName>
    <definedName name="UNIFORMANCES2R7C21" localSheetId="7" hidden="1">#REF!</definedName>
    <definedName name="UNIFORMANCES2R7C21" localSheetId="9" hidden="1">#REF!</definedName>
    <definedName name="UNIFORMANCES2R7C21" localSheetId="10" hidden="1">#REF!</definedName>
    <definedName name="UNIFORMANCES2R7C21" localSheetId="15" hidden="1">#REF!</definedName>
    <definedName name="UNIFORMANCES2R7C21" localSheetId="18" hidden="1">#REF!</definedName>
    <definedName name="UNIFORMANCES2R7C21" localSheetId="19" hidden="1">#REF!</definedName>
    <definedName name="UNIFORMANCES2R7C21" localSheetId="20" hidden="1">#REF!</definedName>
    <definedName name="UNIFORMANCES2R7C21" localSheetId="23" hidden="1">#REF!</definedName>
    <definedName name="UNIFORMANCES2R7C21" localSheetId="24" hidden="1">#REF!</definedName>
    <definedName name="UNIFORMANCES2R7C21" localSheetId="35" hidden="1">#REF!</definedName>
    <definedName name="UNIFORMANCES2R7C21" localSheetId="58" hidden="1">#REF!</definedName>
    <definedName name="UNIFORMANCES2R7C21" localSheetId="60" hidden="1">#REF!</definedName>
    <definedName name="UNIFORMANCES2R7C21" localSheetId="51" hidden="1">#REF!</definedName>
    <definedName name="UNIFORMANCES2R7C21" localSheetId="54" hidden="1">#REF!</definedName>
    <definedName name="UNIFORMANCES2R7C21" localSheetId="47" hidden="1">#REF!</definedName>
    <definedName name="UNIFORMANCES2R7C21" localSheetId="105" hidden="1">#REF!</definedName>
    <definedName name="UNIFORMANCES2R7C21" localSheetId="104" hidden="1">#REF!</definedName>
    <definedName name="UNIFORMANCES2R7C21" localSheetId="88" hidden="1">#REF!</definedName>
    <definedName name="UNIFORMANCES2R7C21" localSheetId="89" hidden="1">#REF!</definedName>
    <definedName name="UNIFORMANCES2R7C21" localSheetId="87" hidden="1">#REF!</definedName>
    <definedName name="UNIFORMANCES2R7C21" localSheetId="90" hidden="1">#REF!</definedName>
    <definedName name="UNIFORMANCES2R7C21" localSheetId="70" hidden="1">#REF!</definedName>
    <definedName name="UNIFORMANCES2R7C21" localSheetId="65" hidden="1">#REF!</definedName>
    <definedName name="UNIFORMANCES2R7C21" localSheetId="64" hidden="1">#REF!</definedName>
    <definedName name="UNIFORMANCES2R7C21" localSheetId="77" hidden="1">#REF!</definedName>
    <definedName name="UNIFORMANCES2R7C21" localSheetId="49" hidden="1">#REF!</definedName>
    <definedName name="UNIFORMANCES2R7C21" localSheetId="57" hidden="1">#REF!</definedName>
    <definedName name="UNIFORMANCES2R7C21" localSheetId="59" hidden="1">#REF!</definedName>
    <definedName name="UNIFORMANCES2R7C21" localSheetId="40" hidden="1">#REF!</definedName>
    <definedName name="UNIFORMANCES2R7C21" localSheetId="43" hidden="1">#REF!</definedName>
    <definedName name="UNIFORMANCES2R7C21" localSheetId="55" hidden="1">#REF!</definedName>
    <definedName name="UNIFORMANCES2R7C21" localSheetId="13" hidden="1">#REF!</definedName>
    <definedName name="UNIFORMANCES2R7C21" localSheetId="11" hidden="1">#REF!</definedName>
    <definedName name="UNIFORMANCES2R7C21" localSheetId="38" hidden="1">#REF!</definedName>
    <definedName name="UNIFORMANCES2R7C21" localSheetId="41" hidden="1">#REF!</definedName>
    <definedName name="UNIFORMANCES2R7C21" localSheetId="101" hidden="1">#REF!</definedName>
    <definedName name="UNIFORMANCES2R7C21" localSheetId="102" hidden="1">#REF!</definedName>
    <definedName name="UNIFORMANCES2R7C21" localSheetId="103" hidden="1">#REF!</definedName>
    <definedName name="UNIFORMANCES2R7C21" localSheetId="97" hidden="1">#REF!</definedName>
    <definedName name="UNIFORMANCES2R7C21" localSheetId="42" hidden="1">#REF!</definedName>
    <definedName name="UNIFORMANCES2R7C21" localSheetId="12" hidden="1">#REF!</definedName>
    <definedName name="UNIFORMANCES2R7C21" localSheetId="73" hidden="1">#REF!</definedName>
    <definedName name="UNIFORMANCES2R7C21" localSheetId="74" hidden="1">#REF!</definedName>
    <definedName name="UNIFORMANCES2R7C21" hidden="1">#REF!</definedName>
    <definedName name="UNIFORMANCES2R7C25" localSheetId="3" hidden="1">#REF!</definedName>
    <definedName name="UNIFORMANCES2R7C25" localSheetId="7" hidden="1">#REF!</definedName>
    <definedName name="UNIFORMANCES2R7C25" localSheetId="9" hidden="1">#REF!</definedName>
    <definedName name="UNIFORMANCES2R7C25" localSheetId="10" hidden="1">#REF!</definedName>
    <definedName name="UNIFORMANCES2R7C25" localSheetId="15" hidden="1">#REF!</definedName>
    <definedName name="UNIFORMANCES2R7C25" localSheetId="18" hidden="1">#REF!</definedName>
    <definedName name="UNIFORMANCES2R7C25" localSheetId="19" hidden="1">#REF!</definedName>
    <definedName name="UNIFORMANCES2R7C25" localSheetId="20" hidden="1">#REF!</definedName>
    <definedName name="UNIFORMANCES2R7C25" localSheetId="23" hidden="1">#REF!</definedName>
    <definedName name="UNIFORMANCES2R7C25" localSheetId="24" hidden="1">#REF!</definedName>
    <definedName name="UNIFORMANCES2R7C25" localSheetId="35" hidden="1">#REF!</definedName>
    <definedName name="UNIFORMANCES2R7C25" localSheetId="58" hidden="1">#REF!</definedName>
    <definedName name="UNIFORMANCES2R7C25" localSheetId="60" hidden="1">#REF!</definedName>
    <definedName name="UNIFORMANCES2R7C25" localSheetId="51" hidden="1">#REF!</definedName>
    <definedName name="UNIFORMANCES2R7C25" localSheetId="54" hidden="1">#REF!</definedName>
    <definedName name="UNIFORMANCES2R7C25" localSheetId="47" hidden="1">#REF!</definedName>
    <definedName name="UNIFORMANCES2R7C25" localSheetId="105" hidden="1">#REF!</definedName>
    <definedName name="UNIFORMANCES2R7C25" localSheetId="104" hidden="1">#REF!</definedName>
    <definedName name="UNIFORMANCES2R7C25" localSheetId="88" hidden="1">#REF!</definedName>
    <definedName name="UNIFORMANCES2R7C25" localSheetId="89" hidden="1">#REF!</definedName>
    <definedName name="UNIFORMANCES2R7C25" localSheetId="87" hidden="1">#REF!</definedName>
    <definedName name="UNIFORMANCES2R7C25" localSheetId="90" hidden="1">#REF!</definedName>
    <definedName name="UNIFORMANCES2R7C25" localSheetId="70" hidden="1">#REF!</definedName>
    <definedName name="UNIFORMANCES2R7C25" localSheetId="65" hidden="1">#REF!</definedName>
    <definedName name="UNIFORMANCES2R7C25" localSheetId="64" hidden="1">#REF!</definedName>
    <definedName name="UNIFORMANCES2R7C25" localSheetId="77" hidden="1">#REF!</definedName>
    <definedName name="UNIFORMANCES2R7C25" localSheetId="49" hidden="1">#REF!</definedName>
    <definedName name="UNIFORMANCES2R7C25" localSheetId="57" hidden="1">#REF!</definedName>
    <definedName name="UNIFORMANCES2R7C25" localSheetId="59" hidden="1">#REF!</definedName>
    <definedName name="UNIFORMANCES2R7C25" localSheetId="40" hidden="1">#REF!</definedName>
    <definedName name="UNIFORMANCES2R7C25" localSheetId="43" hidden="1">#REF!</definedName>
    <definedName name="UNIFORMANCES2R7C25" localSheetId="55" hidden="1">#REF!</definedName>
    <definedName name="UNIFORMANCES2R7C25" localSheetId="13" hidden="1">#REF!</definedName>
    <definedName name="UNIFORMANCES2R7C25" localSheetId="11" hidden="1">#REF!</definedName>
    <definedName name="UNIFORMANCES2R7C25" localSheetId="38" hidden="1">#REF!</definedName>
    <definedName name="UNIFORMANCES2R7C25" localSheetId="41" hidden="1">#REF!</definedName>
    <definedName name="UNIFORMANCES2R7C25" localSheetId="101" hidden="1">#REF!</definedName>
    <definedName name="UNIFORMANCES2R7C25" localSheetId="102" hidden="1">#REF!</definedName>
    <definedName name="UNIFORMANCES2R7C25" localSheetId="103" hidden="1">#REF!</definedName>
    <definedName name="UNIFORMANCES2R7C25" localSheetId="97" hidden="1">#REF!</definedName>
    <definedName name="UNIFORMANCES2R7C25" localSheetId="42" hidden="1">#REF!</definedName>
    <definedName name="UNIFORMANCES2R7C25" localSheetId="12" hidden="1">#REF!</definedName>
    <definedName name="UNIFORMANCES2R7C25" localSheetId="73" hidden="1">#REF!</definedName>
    <definedName name="UNIFORMANCES2R7C25" localSheetId="74" hidden="1">#REF!</definedName>
    <definedName name="UNIFORMANCES2R7C25" hidden="1">#REF!</definedName>
    <definedName name="UNIFORMANCES2R7C29" localSheetId="3" hidden="1">#REF!</definedName>
    <definedName name="UNIFORMANCES2R7C29" localSheetId="7" hidden="1">#REF!</definedName>
    <definedName name="UNIFORMANCES2R7C29" localSheetId="9" hidden="1">#REF!</definedName>
    <definedName name="UNIFORMANCES2R7C29" localSheetId="10" hidden="1">#REF!</definedName>
    <definedName name="UNIFORMANCES2R7C29" localSheetId="15" hidden="1">#REF!</definedName>
    <definedName name="UNIFORMANCES2R7C29" localSheetId="18" hidden="1">#REF!</definedName>
    <definedName name="UNIFORMANCES2R7C29" localSheetId="19" hidden="1">#REF!</definedName>
    <definedName name="UNIFORMANCES2R7C29" localSheetId="20" hidden="1">#REF!</definedName>
    <definedName name="UNIFORMANCES2R7C29" localSheetId="23" hidden="1">#REF!</definedName>
    <definedName name="UNIFORMANCES2R7C29" localSheetId="24" hidden="1">#REF!</definedName>
    <definedName name="UNIFORMANCES2R7C29" localSheetId="35" hidden="1">#REF!</definedName>
    <definedName name="UNIFORMANCES2R7C29" localSheetId="58" hidden="1">#REF!</definedName>
    <definedName name="UNIFORMANCES2R7C29" localSheetId="60" hidden="1">#REF!</definedName>
    <definedName name="UNIFORMANCES2R7C29" localSheetId="51" hidden="1">#REF!</definedName>
    <definedName name="UNIFORMANCES2R7C29" localSheetId="54" hidden="1">#REF!</definedName>
    <definedName name="UNIFORMANCES2R7C29" localSheetId="47" hidden="1">#REF!</definedName>
    <definedName name="UNIFORMANCES2R7C29" localSheetId="105" hidden="1">#REF!</definedName>
    <definedName name="UNIFORMANCES2R7C29" localSheetId="104" hidden="1">#REF!</definedName>
    <definedName name="UNIFORMANCES2R7C29" localSheetId="88" hidden="1">#REF!</definedName>
    <definedName name="UNIFORMANCES2R7C29" localSheetId="89" hidden="1">#REF!</definedName>
    <definedName name="UNIFORMANCES2R7C29" localSheetId="87" hidden="1">#REF!</definedName>
    <definedName name="UNIFORMANCES2R7C29" localSheetId="90" hidden="1">#REF!</definedName>
    <definedName name="UNIFORMANCES2R7C29" localSheetId="70" hidden="1">#REF!</definedName>
    <definedName name="UNIFORMANCES2R7C29" localSheetId="65" hidden="1">#REF!</definedName>
    <definedName name="UNIFORMANCES2R7C29" localSheetId="64" hidden="1">#REF!</definedName>
    <definedName name="UNIFORMANCES2R7C29" localSheetId="77" hidden="1">#REF!</definedName>
    <definedName name="UNIFORMANCES2R7C29" localSheetId="49" hidden="1">#REF!</definedName>
    <definedName name="UNIFORMANCES2R7C29" localSheetId="57" hidden="1">#REF!</definedName>
    <definedName name="UNIFORMANCES2R7C29" localSheetId="59" hidden="1">#REF!</definedName>
    <definedName name="UNIFORMANCES2R7C29" localSheetId="40" hidden="1">#REF!</definedName>
    <definedName name="UNIFORMANCES2R7C29" localSheetId="43" hidden="1">#REF!</definedName>
    <definedName name="UNIFORMANCES2R7C29" localSheetId="55" hidden="1">#REF!</definedName>
    <definedName name="UNIFORMANCES2R7C29" localSheetId="13" hidden="1">#REF!</definedName>
    <definedName name="UNIFORMANCES2R7C29" localSheetId="11" hidden="1">#REF!</definedName>
    <definedName name="UNIFORMANCES2R7C29" localSheetId="38" hidden="1">#REF!</definedName>
    <definedName name="UNIFORMANCES2R7C29" localSheetId="41" hidden="1">#REF!</definedName>
    <definedName name="UNIFORMANCES2R7C29" localSheetId="101" hidden="1">#REF!</definedName>
    <definedName name="UNIFORMANCES2R7C29" localSheetId="102" hidden="1">#REF!</definedName>
    <definedName name="UNIFORMANCES2R7C29" localSheetId="103" hidden="1">#REF!</definedName>
    <definedName name="UNIFORMANCES2R7C29" localSheetId="97" hidden="1">#REF!</definedName>
    <definedName name="UNIFORMANCES2R7C29" localSheetId="42" hidden="1">#REF!</definedName>
    <definedName name="UNIFORMANCES2R7C29" localSheetId="12" hidden="1">#REF!</definedName>
    <definedName name="UNIFORMANCES2R7C29" localSheetId="73" hidden="1">#REF!</definedName>
    <definedName name="UNIFORMANCES2R7C29" localSheetId="74" hidden="1">#REF!</definedName>
    <definedName name="UNIFORMANCES2R7C29" hidden="1">#REF!</definedName>
    <definedName name="UNIFORMANCES2R7C33" localSheetId="3" hidden="1">#REF!</definedName>
    <definedName name="UNIFORMANCES2R7C33" localSheetId="7" hidden="1">#REF!</definedName>
    <definedName name="UNIFORMANCES2R7C33" localSheetId="9" hidden="1">#REF!</definedName>
    <definedName name="UNIFORMANCES2R7C33" localSheetId="10" hidden="1">#REF!</definedName>
    <definedName name="UNIFORMANCES2R7C33" localSheetId="15" hidden="1">#REF!</definedName>
    <definedName name="UNIFORMANCES2R7C33" localSheetId="18" hidden="1">#REF!</definedName>
    <definedName name="UNIFORMANCES2R7C33" localSheetId="19" hidden="1">#REF!</definedName>
    <definedName name="UNIFORMANCES2R7C33" localSheetId="20" hidden="1">#REF!</definedName>
    <definedName name="UNIFORMANCES2R7C33" localSheetId="23" hidden="1">#REF!</definedName>
    <definedName name="UNIFORMANCES2R7C33" localSheetId="24" hidden="1">#REF!</definedName>
    <definedName name="UNIFORMANCES2R7C33" localSheetId="35" hidden="1">#REF!</definedName>
    <definedName name="UNIFORMANCES2R7C33" localSheetId="58" hidden="1">#REF!</definedName>
    <definedName name="UNIFORMANCES2R7C33" localSheetId="60" hidden="1">#REF!</definedName>
    <definedName name="UNIFORMANCES2R7C33" localSheetId="51" hidden="1">#REF!</definedName>
    <definedName name="UNIFORMANCES2R7C33" localSheetId="54" hidden="1">#REF!</definedName>
    <definedName name="UNIFORMANCES2R7C33" localSheetId="47" hidden="1">#REF!</definedName>
    <definedName name="UNIFORMANCES2R7C33" localSheetId="105" hidden="1">#REF!</definedName>
    <definedName name="UNIFORMANCES2R7C33" localSheetId="104" hidden="1">#REF!</definedName>
    <definedName name="UNIFORMANCES2R7C33" localSheetId="88" hidden="1">#REF!</definedName>
    <definedName name="UNIFORMANCES2R7C33" localSheetId="89" hidden="1">#REF!</definedName>
    <definedName name="UNIFORMANCES2R7C33" localSheetId="87" hidden="1">#REF!</definedName>
    <definedName name="UNIFORMANCES2R7C33" localSheetId="90" hidden="1">#REF!</definedName>
    <definedName name="UNIFORMANCES2R7C33" localSheetId="70" hidden="1">#REF!</definedName>
    <definedName name="UNIFORMANCES2R7C33" localSheetId="65" hidden="1">#REF!</definedName>
    <definedName name="UNIFORMANCES2R7C33" localSheetId="64" hidden="1">#REF!</definedName>
    <definedName name="UNIFORMANCES2R7C33" localSheetId="77" hidden="1">#REF!</definedName>
    <definedName name="UNIFORMANCES2R7C33" localSheetId="49" hidden="1">#REF!</definedName>
    <definedName name="UNIFORMANCES2R7C33" localSheetId="57" hidden="1">#REF!</definedName>
    <definedName name="UNIFORMANCES2R7C33" localSheetId="59" hidden="1">#REF!</definedName>
    <definedName name="UNIFORMANCES2R7C33" localSheetId="40" hidden="1">#REF!</definedName>
    <definedName name="UNIFORMANCES2R7C33" localSheetId="43" hidden="1">#REF!</definedName>
    <definedName name="UNIFORMANCES2R7C33" localSheetId="55" hidden="1">#REF!</definedName>
    <definedName name="UNIFORMANCES2R7C33" localSheetId="13" hidden="1">#REF!</definedName>
    <definedName name="UNIFORMANCES2R7C33" localSheetId="11" hidden="1">#REF!</definedName>
    <definedName name="UNIFORMANCES2R7C33" localSheetId="38" hidden="1">#REF!</definedName>
    <definedName name="UNIFORMANCES2R7C33" localSheetId="41" hidden="1">#REF!</definedName>
    <definedName name="UNIFORMANCES2R7C33" localSheetId="101" hidden="1">#REF!</definedName>
    <definedName name="UNIFORMANCES2R7C33" localSheetId="102" hidden="1">#REF!</definedName>
    <definedName name="UNIFORMANCES2R7C33" localSheetId="103" hidden="1">#REF!</definedName>
    <definedName name="UNIFORMANCES2R7C33" localSheetId="97" hidden="1">#REF!</definedName>
    <definedName name="UNIFORMANCES2R7C33" localSheetId="42" hidden="1">#REF!</definedName>
    <definedName name="UNIFORMANCES2R7C33" localSheetId="12" hidden="1">#REF!</definedName>
    <definedName name="UNIFORMANCES2R7C33" localSheetId="73" hidden="1">#REF!</definedName>
    <definedName name="UNIFORMANCES2R7C33" localSheetId="74" hidden="1">#REF!</definedName>
    <definedName name="UNIFORMANCES2R7C33" hidden="1">#REF!</definedName>
    <definedName name="UNIFORMANCES2R7C37" localSheetId="3" hidden="1">#REF!</definedName>
    <definedName name="UNIFORMANCES2R7C37" localSheetId="7" hidden="1">#REF!</definedName>
    <definedName name="UNIFORMANCES2R7C37" localSheetId="9" hidden="1">#REF!</definedName>
    <definedName name="UNIFORMANCES2R7C37" localSheetId="10" hidden="1">#REF!</definedName>
    <definedName name="UNIFORMANCES2R7C37" localSheetId="15" hidden="1">#REF!</definedName>
    <definedName name="UNIFORMANCES2R7C37" localSheetId="18" hidden="1">#REF!</definedName>
    <definedName name="UNIFORMANCES2R7C37" localSheetId="19" hidden="1">#REF!</definedName>
    <definedName name="UNIFORMANCES2R7C37" localSheetId="20" hidden="1">#REF!</definedName>
    <definedName name="UNIFORMANCES2R7C37" localSheetId="23" hidden="1">#REF!</definedName>
    <definedName name="UNIFORMANCES2R7C37" localSheetId="24" hidden="1">#REF!</definedName>
    <definedName name="UNIFORMANCES2R7C37" localSheetId="35" hidden="1">#REF!</definedName>
    <definedName name="UNIFORMANCES2R7C37" localSheetId="58" hidden="1">#REF!</definedName>
    <definedName name="UNIFORMANCES2R7C37" localSheetId="60" hidden="1">#REF!</definedName>
    <definedName name="UNIFORMANCES2R7C37" localSheetId="51" hidden="1">#REF!</definedName>
    <definedName name="UNIFORMANCES2R7C37" localSheetId="54" hidden="1">#REF!</definedName>
    <definedName name="UNIFORMANCES2R7C37" localSheetId="47" hidden="1">#REF!</definedName>
    <definedName name="UNIFORMANCES2R7C37" localSheetId="105" hidden="1">#REF!</definedName>
    <definedName name="UNIFORMANCES2R7C37" localSheetId="104" hidden="1">#REF!</definedName>
    <definedName name="UNIFORMANCES2R7C37" localSheetId="88" hidden="1">#REF!</definedName>
    <definedName name="UNIFORMANCES2R7C37" localSheetId="89" hidden="1">#REF!</definedName>
    <definedName name="UNIFORMANCES2R7C37" localSheetId="87" hidden="1">#REF!</definedName>
    <definedName name="UNIFORMANCES2R7C37" localSheetId="90" hidden="1">#REF!</definedName>
    <definedName name="UNIFORMANCES2R7C37" localSheetId="70" hidden="1">#REF!</definedName>
    <definedName name="UNIFORMANCES2R7C37" localSheetId="65" hidden="1">#REF!</definedName>
    <definedName name="UNIFORMANCES2R7C37" localSheetId="64" hidden="1">#REF!</definedName>
    <definedName name="UNIFORMANCES2R7C37" localSheetId="77" hidden="1">#REF!</definedName>
    <definedName name="UNIFORMANCES2R7C37" localSheetId="49" hidden="1">#REF!</definedName>
    <definedName name="UNIFORMANCES2R7C37" localSheetId="57" hidden="1">#REF!</definedName>
    <definedName name="UNIFORMANCES2R7C37" localSheetId="59" hidden="1">#REF!</definedName>
    <definedName name="UNIFORMANCES2R7C37" localSheetId="40" hidden="1">#REF!</definedName>
    <definedName name="UNIFORMANCES2R7C37" localSheetId="43" hidden="1">#REF!</definedName>
    <definedName name="UNIFORMANCES2R7C37" localSheetId="55" hidden="1">#REF!</definedName>
    <definedName name="UNIFORMANCES2R7C37" localSheetId="13" hidden="1">#REF!</definedName>
    <definedName name="UNIFORMANCES2R7C37" localSheetId="11" hidden="1">#REF!</definedName>
    <definedName name="UNIFORMANCES2R7C37" localSheetId="38" hidden="1">#REF!</definedName>
    <definedName name="UNIFORMANCES2R7C37" localSheetId="41" hidden="1">#REF!</definedName>
    <definedName name="UNIFORMANCES2R7C37" localSheetId="101" hidden="1">#REF!</definedName>
    <definedName name="UNIFORMANCES2R7C37" localSheetId="102" hidden="1">#REF!</definedName>
    <definedName name="UNIFORMANCES2R7C37" localSheetId="103" hidden="1">#REF!</definedName>
    <definedName name="UNIFORMANCES2R7C37" localSheetId="97" hidden="1">#REF!</definedName>
    <definedName name="UNIFORMANCES2R7C37" localSheetId="42" hidden="1">#REF!</definedName>
    <definedName name="UNIFORMANCES2R7C37" localSheetId="12" hidden="1">#REF!</definedName>
    <definedName name="UNIFORMANCES2R7C37" localSheetId="73" hidden="1">#REF!</definedName>
    <definedName name="UNIFORMANCES2R7C37" localSheetId="74" hidden="1">#REF!</definedName>
    <definedName name="UNIFORMANCES2R7C37" hidden="1">#REF!</definedName>
    <definedName name="UNIFORMANCES2R7C41" localSheetId="3" hidden="1">#REF!</definedName>
    <definedName name="UNIFORMANCES2R7C41" localSheetId="7" hidden="1">#REF!</definedName>
    <definedName name="UNIFORMANCES2R7C41" localSheetId="9" hidden="1">#REF!</definedName>
    <definedName name="UNIFORMANCES2R7C41" localSheetId="10" hidden="1">#REF!</definedName>
    <definedName name="UNIFORMANCES2R7C41" localSheetId="15" hidden="1">#REF!</definedName>
    <definedName name="UNIFORMANCES2R7C41" localSheetId="18" hidden="1">#REF!</definedName>
    <definedName name="UNIFORMANCES2R7C41" localSheetId="19" hidden="1">#REF!</definedName>
    <definedName name="UNIFORMANCES2R7C41" localSheetId="20" hidden="1">#REF!</definedName>
    <definedName name="UNIFORMANCES2R7C41" localSheetId="23" hidden="1">#REF!</definedName>
    <definedName name="UNIFORMANCES2R7C41" localSheetId="24" hidden="1">#REF!</definedName>
    <definedName name="UNIFORMANCES2R7C41" localSheetId="35" hidden="1">#REF!</definedName>
    <definedName name="UNIFORMANCES2R7C41" localSheetId="58" hidden="1">#REF!</definedName>
    <definedName name="UNIFORMANCES2R7C41" localSheetId="60" hidden="1">#REF!</definedName>
    <definedName name="UNIFORMANCES2R7C41" localSheetId="51" hidden="1">#REF!</definedName>
    <definedName name="UNIFORMANCES2R7C41" localSheetId="54" hidden="1">#REF!</definedName>
    <definedName name="UNIFORMANCES2R7C41" localSheetId="47" hidden="1">#REF!</definedName>
    <definedName name="UNIFORMANCES2R7C41" localSheetId="105" hidden="1">#REF!</definedName>
    <definedName name="UNIFORMANCES2R7C41" localSheetId="104" hidden="1">#REF!</definedName>
    <definedName name="UNIFORMANCES2R7C41" localSheetId="88" hidden="1">#REF!</definedName>
    <definedName name="UNIFORMANCES2R7C41" localSheetId="89" hidden="1">#REF!</definedName>
    <definedName name="UNIFORMANCES2R7C41" localSheetId="87" hidden="1">#REF!</definedName>
    <definedName name="UNIFORMANCES2R7C41" localSheetId="90" hidden="1">#REF!</definedName>
    <definedName name="UNIFORMANCES2R7C41" localSheetId="70" hidden="1">#REF!</definedName>
    <definedName name="UNIFORMANCES2R7C41" localSheetId="65" hidden="1">#REF!</definedName>
    <definedName name="UNIFORMANCES2R7C41" localSheetId="64" hidden="1">#REF!</definedName>
    <definedName name="UNIFORMANCES2R7C41" localSheetId="77" hidden="1">#REF!</definedName>
    <definedName name="UNIFORMANCES2R7C41" localSheetId="49" hidden="1">#REF!</definedName>
    <definedName name="UNIFORMANCES2R7C41" localSheetId="57" hidden="1">#REF!</definedName>
    <definedName name="UNIFORMANCES2R7C41" localSheetId="59" hidden="1">#REF!</definedName>
    <definedName name="UNIFORMANCES2R7C41" localSheetId="40" hidden="1">#REF!</definedName>
    <definedName name="UNIFORMANCES2R7C41" localSheetId="43" hidden="1">#REF!</definedName>
    <definedName name="UNIFORMANCES2R7C41" localSheetId="55" hidden="1">#REF!</definedName>
    <definedName name="UNIFORMANCES2R7C41" localSheetId="13" hidden="1">#REF!</definedName>
    <definedName name="UNIFORMANCES2R7C41" localSheetId="11" hidden="1">#REF!</definedName>
    <definedName name="UNIFORMANCES2R7C41" localSheetId="38" hidden="1">#REF!</definedName>
    <definedName name="UNIFORMANCES2R7C41" localSheetId="41" hidden="1">#REF!</definedName>
    <definedName name="UNIFORMANCES2R7C41" localSheetId="101" hidden="1">#REF!</definedName>
    <definedName name="UNIFORMANCES2R7C41" localSheetId="102" hidden="1">#REF!</definedName>
    <definedName name="UNIFORMANCES2R7C41" localSheetId="103" hidden="1">#REF!</definedName>
    <definedName name="UNIFORMANCES2R7C41" localSheetId="97" hidden="1">#REF!</definedName>
    <definedName name="UNIFORMANCES2R7C41" localSheetId="42" hidden="1">#REF!</definedName>
    <definedName name="UNIFORMANCES2R7C41" localSheetId="12" hidden="1">#REF!</definedName>
    <definedName name="UNIFORMANCES2R7C41" localSheetId="73" hidden="1">#REF!</definedName>
    <definedName name="UNIFORMANCES2R7C41" localSheetId="74" hidden="1">#REF!</definedName>
    <definedName name="UNIFORMANCES2R7C41" hidden="1">#REF!</definedName>
    <definedName name="UNIFORMANCES2R7C45" localSheetId="3" hidden="1">#REF!</definedName>
    <definedName name="UNIFORMANCES2R7C45" localSheetId="7" hidden="1">#REF!</definedName>
    <definedName name="UNIFORMANCES2R7C45" localSheetId="9" hidden="1">#REF!</definedName>
    <definedName name="UNIFORMANCES2R7C45" localSheetId="10" hidden="1">#REF!</definedName>
    <definedName name="UNIFORMANCES2R7C45" localSheetId="15" hidden="1">#REF!</definedName>
    <definedName name="UNIFORMANCES2R7C45" localSheetId="18" hidden="1">#REF!</definedName>
    <definedName name="UNIFORMANCES2R7C45" localSheetId="19" hidden="1">#REF!</definedName>
    <definedName name="UNIFORMANCES2R7C45" localSheetId="20" hidden="1">#REF!</definedName>
    <definedName name="UNIFORMANCES2R7C45" localSheetId="23" hidden="1">#REF!</definedName>
    <definedName name="UNIFORMANCES2R7C45" localSheetId="24" hidden="1">#REF!</definedName>
    <definedName name="UNIFORMANCES2R7C45" localSheetId="35" hidden="1">#REF!</definedName>
    <definedName name="UNIFORMANCES2R7C45" localSheetId="58" hidden="1">#REF!</definedName>
    <definedName name="UNIFORMANCES2R7C45" localSheetId="60" hidden="1">#REF!</definedName>
    <definedName name="UNIFORMANCES2R7C45" localSheetId="51" hidden="1">#REF!</definedName>
    <definedName name="UNIFORMANCES2R7C45" localSheetId="54" hidden="1">#REF!</definedName>
    <definedName name="UNIFORMANCES2R7C45" localSheetId="47" hidden="1">#REF!</definedName>
    <definedName name="UNIFORMANCES2R7C45" localSheetId="105" hidden="1">#REF!</definedName>
    <definedName name="UNIFORMANCES2R7C45" localSheetId="104" hidden="1">#REF!</definedName>
    <definedName name="UNIFORMANCES2R7C45" localSheetId="88" hidden="1">#REF!</definedName>
    <definedName name="UNIFORMANCES2R7C45" localSheetId="89" hidden="1">#REF!</definedName>
    <definedName name="UNIFORMANCES2R7C45" localSheetId="87" hidden="1">#REF!</definedName>
    <definedName name="UNIFORMANCES2R7C45" localSheetId="90" hidden="1">#REF!</definedName>
    <definedName name="UNIFORMANCES2R7C45" localSheetId="70" hidden="1">#REF!</definedName>
    <definedName name="UNIFORMANCES2R7C45" localSheetId="65" hidden="1">#REF!</definedName>
    <definedName name="UNIFORMANCES2R7C45" localSheetId="64" hidden="1">#REF!</definedName>
    <definedName name="UNIFORMANCES2R7C45" localSheetId="77" hidden="1">#REF!</definedName>
    <definedName name="UNIFORMANCES2R7C45" localSheetId="49" hidden="1">#REF!</definedName>
    <definedName name="UNIFORMANCES2R7C45" localSheetId="57" hidden="1">#REF!</definedName>
    <definedName name="UNIFORMANCES2R7C45" localSheetId="59" hidden="1">#REF!</definedName>
    <definedName name="UNIFORMANCES2R7C45" localSheetId="40" hidden="1">#REF!</definedName>
    <definedName name="UNIFORMANCES2R7C45" localSheetId="43" hidden="1">#REF!</definedName>
    <definedName name="UNIFORMANCES2R7C45" localSheetId="55" hidden="1">#REF!</definedName>
    <definedName name="UNIFORMANCES2R7C45" localSheetId="13" hidden="1">#REF!</definedName>
    <definedName name="UNIFORMANCES2R7C45" localSheetId="11" hidden="1">#REF!</definedName>
    <definedName name="UNIFORMANCES2R7C45" localSheetId="38" hidden="1">#REF!</definedName>
    <definedName name="UNIFORMANCES2R7C45" localSheetId="41" hidden="1">#REF!</definedName>
    <definedName name="UNIFORMANCES2R7C45" localSheetId="101" hidden="1">#REF!</definedName>
    <definedName name="UNIFORMANCES2R7C45" localSheetId="102" hidden="1">#REF!</definedName>
    <definedName name="UNIFORMANCES2R7C45" localSheetId="103" hidden="1">#REF!</definedName>
    <definedName name="UNIFORMANCES2R7C45" localSheetId="97" hidden="1">#REF!</definedName>
    <definedName name="UNIFORMANCES2R7C45" localSheetId="42" hidden="1">#REF!</definedName>
    <definedName name="UNIFORMANCES2R7C45" localSheetId="12" hidden="1">#REF!</definedName>
    <definedName name="UNIFORMANCES2R7C45" localSheetId="73" hidden="1">#REF!</definedName>
    <definedName name="UNIFORMANCES2R7C45" localSheetId="74" hidden="1">#REF!</definedName>
    <definedName name="UNIFORMANCES2R7C45" hidden="1">#REF!</definedName>
    <definedName name="UNIFORMANCES2R7C5" localSheetId="3" hidden="1">#REF!</definedName>
    <definedName name="UNIFORMANCES2R7C5" localSheetId="7" hidden="1">#REF!</definedName>
    <definedName name="UNIFORMANCES2R7C5" localSheetId="9" hidden="1">#REF!</definedName>
    <definedName name="UNIFORMANCES2R7C5" localSheetId="10" hidden="1">#REF!</definedName>
    <definedName name="UNIFORMANCES2R7C5" localSheetId="15" hidden="1">#REF!</definedName>
    <definedName name="UNIFORMANCES2R7C5" localSheetId="18" hidden="1">#REF!</definedName>
    <definedName name="UNIFORMANCES2R7C5" localSheetId="19" hidden="1">#REF!</definedName>
    <definedName name="UNIFORMANCES2R7C5" localSheetId="20" hidden="1">#REF!</definedName>
    <definedName name="UNIFORMANCES2R7C5" localSheetId="23" hidden="1">#REF!</definedName>
    <definedName name="UNIFORMANCES2R7C5" localSheetId="24" hidden="1">#REF!</definedName>
    <definedName name="UNIFORMANCES2R7C5" localSheetId="35" hidden="1">#REF!</definedName>
    <definedName name="UNIFORMANCES2R7C5" localSheetId="58" hidden="1">#REF!</definedName>
    <definedName name="UNIFORMANCES2R7C5" localSheetId="60" hidden="1">#REF!</definedName>
    <definedName name="UNIFORMANCES2R7C5" localSheetId="51" hidden="1">#REF!</definedName>
    <definedName name="UNIFORMANCES2R7C5" localSheetId="54" hidden="1">#REF!</definedName>
    <definedName name="UNIFORMANCES2R7C5" localSheetId="47" hidden="1">#REF!</definedName>
    <definedName name="UNIFORMANCES2R7C5" localSheetId="105" hidden="1">#REF!</definedName>
    <definedName name="UNIFORMANCES2R7C5" localSheetId="104" hidden="1">#REF!</definedName>
    <definedName name="UNIFORMANCES2R7C5" localSheetId="88" hidden="1">#REF!</definedName>
    <definedName name="UNIFORMANCES2R7C5" localSheetId="89" hidden="1">#REF!</definedName>
    <definedName name="UNIFORMANCES2R7C5" localSheetId="87" hidden="1">#REF!</definedName>
    <definedName name="UNIFORMANCES2R7C5" localSheetId="90" hidden="1">#REF!</definedName>
    <definedName name="UNIFORMANCES2R7C5" localSheetId="70" hidden="1">#REF!</definedName>
    <definedName name="UNIFORMANCES2R7C5" localSheetId="65" hidden="1">#REF!</definedName>
    <definedName name="UNIFORMANCES2R7C5" localSheetId="64" hidden="1">#REF!</definedName>
    <definedName name="UNIFORMANCES2R7C5" localSheetId="77" hidden="1">#REF!</definedName>
    <definedName name="UNIFORMANCES2R7C5" localSheetId="49" hidden="1">#REF!</definedName>
    <definedName name="UNIFORMANCES2R7C5" localSheetId="57" hidden="1">#REF!</definedName>
    <definedName name="UNIFORMANCES2R7C5" localSheetId="59" hidden="1">#REF!</definedName>
    <definedName name="UNIFORMANCES2R7C5" localSheetId="40" hidden="1">#REF!</definedName>
    <definedName name="UNIFORMANCES2R7C5" localSheetId="43" hidden="1">#REF!</definedName>
    <definedName name="UNIFORMANCES2R7C5" localSheetId="55" hidden="1">#REF!</definedName>
    <definedName name="UNIFORMANCES2R7C5" localSheetId="13" hidden="1">#REF!</definedName>
    <definedName name="UNIFORMANCES2R7C5" localSheetId="11" hidden="1">#REF!</definedName>
    <definedName name="UNIFORMANCES2R7C5" localSheetId="38" hidden="1">#REF!</definedName>
    <definedName name="UNIFORMANCES2R7C5" localSheetId="41" hidden="1">#REF!</definedName>
    <definedName name="UNIFORMANCES2R7C5" localSheetId="101" hidden="1">#REF!</definedName>
    <definedName name="UNIFORMANCES2R7C5" localSheetId="102" hidden="1">#REF!</definedName>
    <definedName name="UNIFORMANCES2R7C5" localSheetId="103" hidden="1">#REF!</definedName>
    <definedName name="UNIFORMANCES2R7C5" localSheetId="97" hidden="1">#REF!</definedName>
    <definedName name="UNIFORMANCES2R7C5" localSheetId="42" hidden="1">#REF!</definedName>
    <definedName name="UNIFORMANCES2R7C5" localSheetId="12" hidden="1">#REF!</definedName>
    <definedName name="UNIFORMANCES2R7C5" localSheetId="73" hidden="1">#REF!</definedName>
    <definedName name="UNIFORMANCES2R7C5" localSheetId="74" hidden="1">#REF!</definedName>
    <definedName name="UNIFORMANCES2R7C5" hidden="1">#REF!</definedName>
    <definedName name="UNIFORMANCES2R7C9" localSheetId="3" hidden="1">#REF!</definedName>
    <definedName name="UNIFORMANCES2R7C9" localSheetId="7" hidden="1">#REF!</definedName>
    <definedName name="UNIFORMANCES2R7C9" localSheetId="9" hidden="1">#REF!</definedName>
    <definedName name="UNIFORMANCES2R7C9" localSheetId="10" hidden="1">#REF!</definedName>
    <definedName name="UNIFORMANCES2R7C9" localSheetId="15" hidden="1">#REF!</definedName>
    <definedName name="UNIFORMANCES2R7C9" localSheetId="18" hidden="1">#REF!</definedName>
    <definedName name="UNIFORMANCES2R7C9" localSheetId="19" hidden="1">#REF!</definedName>
    <definedName name="UNIFORMANCES2R7C9" localSheetId="20" hidden="1">#REF!</definedName>
    <definedName name="UNIFORMANCES2R7C9" localSheetId="23" hidden="1">#REF!</definedName>
    <definedName name="UNIFORMANCES2R7C9" localSheetId="24" hidden="1">#REF!</definedName>
    <definedName name="UNIFORMANCES2R7C9" localSheetId="35" hidden="1">#REF!</definedName>
    <definedName name="UNIFORMANCES2R7C9" localSheetId="58" hidden="1">#REF!</definedName>
    <definedName name="UNIFORMANCES2R7C9" localSheetId="60" hidden="1">#REF!</definedName>
    <definedName name="UNIFORMANCES2R7C9" localSheetId="51" hidden="1">#REF!</definedName>
    <definedName name="UNIFORMANCES2R7C9" localSheetId="54" hidden="1">#REF!</definedName>
    <definedName name="UNIFORMANCES2R7C9" localSheetId="47" hidden="1">#REF!</definedName>
    <definedName name="UNIFORMANCES2R7C9" localSheetId="105" hidden="1">#REF!</definedName>
    <definedName name="UNIFORMANCES2R7C9" localSheetId="104" hidden="1">#REF!</definedName>
    <definedName name="UNIFORMANCES2R7C9" localSheetId="88" hidden="1">#REF!</definedName>
    <definedName name="UNIFORMANCES2R7C9" localSheetId="89" hidden="1">#REF!</definedName>
    <definedName name="UNIFORMANCES2R7C9" localSheetId="87" hidden="1">#REF!</definedName>
    <definedName name="UNIFORMANCES2R7C9" localSheetId="90" hidden="1">#REF!</definedName>
    <definedName name="UNIFORMANCES2R7C9" localSheetId="70" hidden="1">#REF!</definedName>
    <definedName name="UNIFORMANCES2R7C9" localSheetId="65" hidden="1">#REF!</definedName>
    <definedName name="UNIFORMANCES2R7C9" localSheetId="64" hidden="1">#REF!</definedName>
    <definedName name="UNIFORMANCES2R7C9" localSheetId="77" hidden="1">#REF!</definedName>
    <definedName name="UNIFORMANCES2R7C9" localSheetId="49" hidden="1">#REF!</definedName>
    <definedName name="UNIFORMANCES2R7C9" localSheetId="57" hidden="1">#REF!</definedName>
    <definedName name="UNIFORMANCES2R7C9" localSheetId="59" hidden="1">#REF!</definedName>
    <definedName name="UNIFORMANCES2R7C9" localSheetId="40" hidden="1">#REF!</definedName>
    <definedName name="UNIFORMANCES2R7C9" localSheetId="43" hidden="1">#REF!</definedName>
    <definedName name="UNIFORMANCES2R7C9" localSheetId="55" hidden="1">#REF!</definedName>
    <definedName name="UNIFORMANCES2R7C9" localSheetId="13" hidden="1">#REF!</definedName>
    <definedName name="UNIFORMANCES2R7C9" localSheetId="11" hidden="1">#REF!</definedName>
    <definedName name="UNIFORMANCES2R7C9" localSheetId="38" hidden="1">#REF!</definedName>
    <definedName name="UNIFORMANCES2R7C9" localSheetId="41" hidden="1">#REF!</definedName>
    <definedName name="UNIFORMANCES2R7C9" localSheetId="101" hidden="1">#REF!</definedName>
    <definedName name="UNIFORMANCES2R7C9" localSheetId="102" hidden="1">#REF!</definedName>
    <definedName name="UNIFORMANCES2R7C9" localSheetId="103" hidden="1">#REF!</definedName>
    <definedName name="UNIFORMANCES2R7C9" localSheetId="97" hidden="1">#REF!</definedName>
    <definedName name="UNIFORMANCES2R7C9" localSheetId="42" hidden="1">#REF!</definedName>
    <definedName name="UNIFORMANCES2R7C9" localSheetId="12" hidden="1">#REF!</definedName>
    <definedName name="UNIFORMANCES2R7C9" localSheetId="73" hidden="1">#REF!</definedName>
    <definedName name="UNIFORMANCES2R7C9" localSheetId="74" hidden="1">#REF!</definedName>
    <definedName name="UNIFORMANCES2R7C9" hidden="1">#REF!</definedName>
    <definedName name="UNIFORMANCES2R830C1" localSheetId="3" hidden="1">#REF!</definedName>
    <definedName name="UNIFORMANCES2R830C1" localSheetId="7" hidden="1">#REF!</definedName>
    <definedName name="UNIFORMANCES2R830C1" localSheetId="9" hidden="1">#REF!</definedName>
    <definedName name="UNIFORMANCES2R830C1" localSheetId="10" hidden="1">#REF!</definedName>
    <definedName name="UNIFORMANCES2R830C1" localSheetId="15" hidden="1">#REF!</definedName>
    <definedName name="UNIFORMANCES2R830C1" localSheetId="18" hidden="1">#REF!</definedName>
    <definedName name="UNIFORMANCES2R830C1" localSheetId="19" hidden="1">#REF!</definedName>
    <definedName name="UNIFORMANCES2R830C1" localSheetId="20" hidden="1">#REF!</definedName>
    <definedName name="UNIFORMANCES2R830C1" localSheetId="23" hidden="1">#REF!</definedName>
    <definedName name="UNIFORMANCES2R830C1" localSheetId="24" hidden="1">#REF!</definedName>
    <definedName name="UNIFORMANCES2R830C1" localSheetId="35" hidden="1">#REF!</definedName>
    <definedName name="UNIFORMANCES2R830C1" localSheetId="58" hidden="1">#REF!</definedName>
    <definedName name="UNIFORMANCES2R830C1" localSheetId="60" hidden="1">#REF!</definedName>
    <definedName name="UNIFORMANCES2R830C1" localSheetId="51" hidden="1">#REF!</definedName>
    <definedName name="UNIFORMANCES2R830C1" localSheetId="54" hidden="1">#REF!</definedName>
    <definedName name="UNIFORMANCES2R830C1" localSheetId="47" hidden="1">#REF!</definedName>
    <definedName name="UNIFORMANCES2R830C1" localSheetId="105" hidden="1">#REF!</definedName>
    <definedName name="UNIFORMANCES2R830C1" localSheetId="104" hidden="1">#REF!</definedName>
    <definedName name="UNIFORMANCES2R830C1" localSheetId="88" hidden="1">#REF!</definedName>
    <definedName name="UNIFORMANCES2R830C1" localSheetId="89" hidden="1">#REF!</definedName>
    <definedName name="UNIFORMANCES2R830C1" localSheetId="87" hidden="1">#REF!</definedName>
    <definedName name="UNIFORMANCES2R830C1" localSheetId="90" hidden="1">#REF!</definedName>
    <definedName name="UNIFORMANCES2R830C1" localSheetId="70" hidden="1">#REF!</definedName>
    <definedName name="UNIFORMANCES2R830C1" localSheetId="63" hidden="1">#REF!</definedName>
    <definedName name="UNIFORMANCES2R830C1" localSheetId="65" hidden="1">#REF!</definedName>
    <definedName name="UNIFORMANCES2R830C1" localSheetId="64" hidden="1">#REF!</definedName>
    <definedName name="UNIFORMANCES2R830C1" localSheetId="77" hidden="1">#REF!</definedName>
    <definedName name="UNIFORMANCES2R830C1" localSheetId="49" hidden="1">#REF!</definedName>
    <definedName name="UNIFORMANCES2R830C1" localSheetId="48" hidden="1">#REF!</definedName>
    <definedName name="UNIFORMANCES2R830C1" localSheetId="57" hidden="1">#REF!</definedName>
    <definedName name="UNIFORMANCES2R830C1" localSheetId="59" hidden="1">#REF!</definedName>
    <definedName name="UNIFORMANCES2R830C1" localSheetId="52" hidden="1">#REF!</definedName>
    <definedName name="UNIFORMANCES2R830C1" localSheetId="67" hidden="1">#REF!</definedName>
    <definedName name="UNIFORMANCES2R830C1" localSheetId="80" hidden="1">#REF!</definedName>
    <definedName name="UNIFORMANCES2R830C1" localSheetId="40" hidden="1">#REF!</definedName>
    <definedName name="UNIFORMANCES2R830C1" localSheetId="43" hidden="1">#REF!</definedName>
    <definedName name="UNIFORMANCES2R830C1" localSheetId="55" hidden="1">#REF!</definedName>
    <definedName name="UNIFORMANCES2R830C1" localSheetId="81" hidden="1">#REF!</definedName>
    <definedName name="UNIFORMANCES2R830C1" localSheetId="53" hidden="1">#REF!</definedName>
    <definedName name="UNIFORMANCES2R830C1" localSheetId="13" hidden="1">#REF!</definedName>
    <definedName name="UNIFORMANCES2R830C1" localSheetId="11" hidden="1">#REF!</definedName>
    <definedName name="UNIFORMANCES2R830C1" localSheetId="38" hidden="1">#REF!</definedName>
    <definedName name="UNIFORMANCES2R830C1" localSheetId="41" hidden="1">#REF!</definedName>
    <definedName name="UNIFORMANCES2R830C1" localSheetId="101" hidden="1">#REF!</definedName>
    <definedName name="UNIFORMANCES2R830C1" localSheetId="102" hidden="1">#REF!</definedName>
    <definedName name="UNIFORMANCES2R830C1" localSheetId="103" hidden="1">#REF!</definedName>
    <definedName name="UNIFORMANCES2R830C1" localSheetId="97" hidden="1">#REF!</definedName>
    <definedName name="UNIFORMANCES2R830C1" localSheetId="42" hidden="1">#REF!</definedName>
    <definedName name="UNIFORMANCES2R830C1" localSheetId="12" hidden="1">#REF!</definedName>
    <definedName name="UNIFORMANCES2R830C1" localSheetId="73" hidden="1">#REF!</definedName>
    <definedName name="UNIFORMANCES2R830C1" localSheetId="74" hidden="1">#REF!</definedName>
    <definedName name="UNIFORMANCES2R830C1" hidden="1">#REF!</definedName>
    <definedName name="UNIFORMANCES2R870C1" localSheetId="3" hidden="1">#REF!</definedName>
    <definedName name="UNIFORMANCES2R870C1" localSheetId="7" hidden="1">#REF!</definedName>
    <definedName name="UNIFORMANCES2R870C1" localSheetId="9" hidden="1">#REF!</definedName>
    <definedName name="UNIFORMANCES2R870C1" localSheetId="10" hidden="1">#REF!</definedName>
    <definedName name="UNIFORMANCES2R870C1" localSheetId="15" hidden="1">#REF!</definedName>
    <definedName name="UNIFORMANCES2R870C1" localSheetId="18" hidden="1">#REF!</definedName>
    <definedName name="UNIFORMANCES2R870C1" localSheetId="19" hidden="1">#REF!</definedName>
    <definedName name="UNIFORMANCES2R870C1" localSheetId="20" hidden="1">#REF!</definedName>
    <definedName name="UNIFORMANCES2R870C1" localSheetId="23" hidden="1">#REF!</definedName>
    <definedName name="UNIFORMANCES2R870C1" localSheetId="24" hidden="1">#REF!</definedName>
    <definedName name="UNIFORMANCES2R870C1" localSheetId="35" hidden="1">#REF!</definedName>
    <definedName name="UNIFORMANCES2R870C1" localSheetId="58" hidden="1">#REF!</definedName>
    <definedName name="UNIFORMANCES2R870C1" localSheetId="60" hidden="1">#REF!</definedName>
    <definedName name="UNIFORMANCES2R870C1" localSheetId="51" hidden="1">#REF!</definedName>
    <definedName name="UNIFORMANCES2R870C1" localSheetId="54" hidden="1">#REF!</definedName>
    <definedName name="UNIFORMANCES2R870C1" localSheetId="47" hidden="1">#REF!</definedName>
    <definedName name="UNIFORMANCES2R870C1" localSheetId="105" hidden="1">#REF!</definedName>
    <definedName name="UNIFORMANCES2R870C1" localSheetId="104" hidden="1">#REF!</definedName>
    <definedName name="UNIFORMANCES2R870C1" localSheetId="88" hidden="1">#REF!</definedName>
    <definedName name="UNIFORMANCES2R870C1" localSheetId="89" hidden="1">#REF!</definedName>
    <definedName name="UNIFORMANCES2R870C1" localSheetId="87" hidden="1">#REF!</definedName>
    <definedName name="UNIFORMANCES2R870C1" localSheetId="90" hidden="1">#REF!</definedName>
    <definedName name="UNIFORMANCES2R870C1" localSheetId="70" hidden="1">#REF!</definedName>
    <definedName name="UNIFORMANCES2R870C1" localSheetId="63" hidden="1">#REF!</definedName>
    <definedName name="UNIFORMANCES2R870C1" localSheetId="65" hidden="1">#REF!</definedName>
    <definedName name="UNIFORMANCES2R870C1" localSheetId="64" hidden="1">#REF!</definedName>
    <definedName name="UNIFORMANCES2R870C1" localSheetId="77" hidden="1">#REF!</definedName>
    <definedName name="UNIFORMANCES2R870C1" localSheetId="49" hidden="1">#REF!</definedName>
    <definedName name="UNIFORMANCES2R870C1" localSheetId="48" hidden="1">#REF!</definedName>
    <definedName name="UNIFORMANCES2R870C1" localSheetId="57" hidden="1">#REF!</definedName>
    <definedName name="UNIFORMANCES2R870C1" localSheetId="59" hidden="1">#REF!</definedName>
    <definedName name="UNIFORMANCES2R870C1" localSheetId="52" hidden="1">#REF!</definedName>
    <definedName name="UNIFORMANCES2R870C1" localSheetId="67" hidden="1">#REF!</definedName>
    <definedName name="UNIFORMANCES2R870C1" localSheetId="80" hidden="1">#REF!</definedName>
    <definedName name="UNIFORMANCES2R870C1" localSheetId="40" hidden="1">#REF!</definedName>
    <definedName name="UNIFORMANCES2R870C1" localSheetId="43" hidden="1">#REF!</definedName>
    <definedName name="UNIFORMANCES2R870C1" localSheetId="55" hidden="1">#REF!</definedName>
    <definedName name="UNIFORMANCES2R870C1" localSheetId="81" hidden="1">#REF!</definedName>
    <definedName name="UNIFORMANCES2R870C1" localSheetId="53" hidden="1">#REF!</definedName>
    <definedName name="UNIFORMANCES2R870C1" localSheetId="13" hidden="1">#REF!</definedName>
    <definedName name="UNIFORMANCES2R870C1" localSheetId="11" hidden="1">#REF!</definedName>
    <definedName name="UNIFORMANCES2R870C1" localSheetId="38" hidden="1">#REF!</definedName>
    <definedName name="UNIFORMANCES2R870C1" localSheetId="41" hidden="1">#REF!</definedName>
    <definedName name="UNIFORMANCES2R870C1" localSheetId="101" hidden="1">#REF!</definedName>
    <definedName name="UNIFORMANCES2R870C1" localSheetId="102" hidden="1">#REF!</definedName>
    <definedName name="UNIFORMANCES2R870C1" localSheetId="103" hidden="1">#REF!</definedName>
    <definedName name="UNIFORMANCES2R870C1" localSheetId="97" hidden="1">#REF!</definedName>
    <definedName name="UNIFORMANCES2R870C1" localSheetId="42" hidden="1">#REF!</definedName>
    <definedName name="UNIFORMANCES2R870C1" localSheetId="12" hidden="1">#REF!</definedName>
    <definedName name="UNIFORMANCES2R870C1" localSheetId="73" hidden="1">#REF!</definedName>
    <definedName name="UNIFORMANCES2R870C1" localSheetId="74" hidden="1">#REF!</definedName>
    <definedName name="UNIFORMANCES2R870C1" hidden="1">#REF!</definedName>
    <definedName name="UNIFORMANCES2R892C1" localSheetId="3" hidden="1">#REF!</definedName>
    <definedName name="UNIFORMANCES2R892C1" localSheetId="7" hidden="1">#REF!</definedName>
    <definedName name="UNIFORMANCES2R892C1" localSheetId="9" hidden="1">#REF!</definedName>
    <definedName name="UNIFORMANCES2R892C1" localSheetId="10" hidden="1">#REF!</definedName>
    <definedName name="UNIFORMANCES2R892C1" localSheetId="15" hidden="1">#REF!</definedName>
    <definedName name="UNIFORMANCES2R892C1" localSheetId="18" hidden="1">#REF!</definedName>
    <definedName name="UNIFORMANCES2R892C1" localSheetId="19" hidden="1">#REF!</definedName>
    <definedName name="UNIFORMANCES2R892C1" localSheetId="20" hidden="1">#REF!</definedName>
    <definedName name="UNIFORMANCES2R892C1" localSheetId="23" hidden="1">#REF!</definedName>
    <definedName name="UNIFORMANCES2R892C1" localSheetId="24" hidden="1">#REF!</definedName>
    <definedName name="UNIFORMANCES2R892C1" localSheetId="35" hidden="1">#REF!</definedName>
    <definedName name="UNIFORMANCES2R892C1" localSheetId="58" hidden="1">#REF!</definedName>
    <definedName name="UNIFORMANCES2R892C1" localSheetId="60" hidden="1">#REF!</definedName>
    <definedName name="UNIFORMANCES2R892C1" localSheetId="51" hidden="1">#REF!</definedName>
    <definedName name="UNIFORMANCES2R892C1" localSheetId="54" hidden="1">#REF!</definedName>
    <definedName name="UNIFORMANCES2R892C1" localSheetId="47" hidden="1">#REF!</definedName>
    <definedName name="UNIFORMANCES2R892C1" localSheetId="105" hidden="1">#REF!</definedName>
    <definedName name="UNIFORMANCES2R892C1" localSheetId="104" hidden="1">#REF!</definedName>
    <definedName name="UNIFORMANCES2R892C1" localSheetId="88" hidden="1">#REF!</definedName>
    <definedName name="UNIFORMANCES2R892C1" localSheetId="89" hidden="1">#REF!</definedName>
    <definedName name="UNIFORMANCES2R892C1" localSheetId="87" hidden="1">#REF!</definedName>
    <definedName name="UNIFORMANCES2R892C1" localSheetId="90" hidden="1">#REF!</definedName>
    <definedName name="UNIFORMANCES2R892C1" localSheetId="70" hidden="1">#REF!</definedName>
    <definedName name="UNIFORMANCES2R892C1" localSheetId="63" hidden="1">#REF!</definedName>
    <definedName name="UNIFORMANCES2R892C1" localSheetId="65" hidden="1">#REF!</definedName>
    <definedName name="UNIFORMANCES2R892C1" localSheetId="64" hidden="1">#REF!</definedName>
    <definedName name="UNIFORMANCES2R892C1" localSheetId="77" hidden="1">#REF!</definedName>
    <definedName name="UNIFORMANCES2R892C1" localSheetId="49" hidden="1">#REF!</definedName>
    <definedName name="UNIFORMANCES2R892C1" localSheetId="48" hidden="1">#REF!</definedName>
    <definedName name="UNIFORMANCES2R892C1" localSheetId="57" hidden="1">#REF!</definedName>
    <definedName name="UNIFORMANCES2R892C1" localSheetId="59" hidden="1">#REF!</definedName>
    <definedName name="UNIFORMANCES2R892C1" localSheetId="52" hidden="1">#REF!</definedName>
    <definedName name="UNIFORMANCES2R892C1" localSheetId="67" hidden="1">#REF!</definedName>
    <definedName name="UNIFORMANCES2R892C1" localSheetId="80" hidden="1">#REF!</definedName>
    <definedName name="UNIFORMANCES2R892C1" localSheetId="40" hidden="1">#REF!</definedName>
    <definedName name="UNIFORMANCES2R892C1" localSheetId="43" hidden="1">#REF!</definedName>
    <definedName name="UNIFORMANCES2R892C1" localSheetId="55" hidden="1">#REF!</definedName>
    <definedName name="UNIFORMANCES2R892C1" localSheetId="81" hidden="1">#REF!</definedName>
    <definedName name="UNIFORMANCES2R892C1" localSheetId="53" hidden="1">#REF!</definedName>
    <definedName name="UNIFORMANCES2R892C1" localSheetId="13" hidden="1">#REF!</definedName>
    <definedName name="UNIFORMANCES2R892C1" localSheetId="11" hidden="1">#REF!</definedName>
    <definedName name="UNIFORMANCES2R892C1" localSheetId="38" hidden="1">#REF!</definedName>
    <definedName name="UNIFORMANCES2R892C1" localSheetId="41" hidden="1">#REF!</definedName>
    <definedName name="UNIFORMANCES2R892C1" localSheetId="101" hidden="1">#REF!</definedName>
    <definedName name="UNIFORMANCES2R892C1" localSheetId="102" hidden="1">#REF!</definedName>
    <definedName name="UNIFORMANCES2R892C1" localSheetId="103" hidden="1">#REF!</definedName>
    <definedName name="UNIFORMANCES2R892C1" localSheetId="97" hidden="1">#REF!</definedName>
    <definedName name="UNIFORMANCES2R892C1" localSheetId="42" hidden="1">#REF!</definedName>
    <definedName name="UNIFORMANCES2R892C1" localSheetId="12" hidden="1">#REF!</definedName>
    <definedName name="UNIFORMANCES2R892C1" localSheetId="73" hidden="1">#REF!</definedName>
    <definedName name="UNIFORMANCES2R892C1" localSheetId="74" hidden="1">#REF!</definedName>
    <definedName name="UNIFORMANCES2R892C1" hidden="1">#REF!</definedName>
    <definedName name="UNIFORMANCES3R15C10" localSheetId="3" hidden="1">#REF!</definedName>
    <definedName name="UNIFORMANCES3R15C10" localSheetId="7" hidden="1">#REF!</definedName>
    <definedName name="UNIFORMANCES3R15C10" localSheetId="9" hidden="1">#REF!</definedName>
    <definedName name="UNIFORMANCES3R15C10" localSheetId="10" hidden="1">#REF!</definedName>
    <definedName name="UNIFORMANCES3R15C10" localSheetId="15" hidden="1">#REF!</definedName>
    <definedName name="UNIFORMANCES3R15C10" localSheetId="18" hidden="1">#REF!</definedName>
    <definedName name="UNIFORMANCES3R15C10" localSheetId="19" hidden="1">#REF!</definedName>
    <definedName name="UNIFORMANCES3R15C10" localSheetId="20" hidden="1">#REF!</definedName>
    <definedName name="UNIFORMANCES3R15C10" localSheetId="23" hidden="1">#REF!</definedName>
    <definedName name="UNIFORMANCES3R15C10" localSheetId="24" hidden="1">#REF!</definedName>
    <definedName name="UNIFORMANCES3R15C10" localSheetId="35" hidden="1">#REF!</definedName>
    <definedName name="UNIFORMANCES3R15C10" localSheetId="58" hidden="1">#REF!</definedName>
    <definedName name="UNIFORMANCES3R15C10" localSheetId="60" hidden="1">#REF!</definedName>
    <definedName name="UNIFORMANCES3R15C10" localSheetId="51" hidden="1">#REF!</definedName>
    <definedName name="UNIFORMANCES3R15C10" localSheetId="54" hidden="1">#REF!</definedName>
    <definedName name="UNIFORMANCES3R15C10" localSheetId="47" hidden="1">#REF!</definedName>
    <definedName name="UNIFORMANCES3R15C10" localSheetId="105" hidden="1">#REF!</definedName>
    <definedName name="UNIFORMANCES3R15C10" localSheetId="104" hidden="1">#REF!</definedName>
    <definedName name="UNIFORMANCES3R15C10" localSheetId="88" hidden="1">#REF!</definedName>
    <definedName name="UNIFORMANCES3R15C10" localSheetId="89" hidden="1">#REF!</definedName>
    <definedName name="UNIFORMANCES3R15C10" localSheetId="87" hidden="1">#REF!</definedName>
    <definedName name="UNIFORMANCES3R15C10" localSheetId="90" hidden="1">#REF!</definedName>
    <definedName name="UNIFORMANCES3R15C10" localSheetId="70" hidden="1">#REF!</definedName>
    <definedName name="UNIFORMANCES3R15C10" localSheetId="65" hidden="1">#REF!</definedName>
    <definedName name="UNIFORMANCES3R15C10" localSheetId="64" hidden="1">#REF!</definedName>
    <definedName name="UNIFORMANCES3R15C10" localSheetId="77" hidden="1">#REF!</definedName>
    <definedName name="UNIFORMANCES3R15C10" localSheetId="49" hidden="1">#REF!</definedName>
    <definedName name="UNIFORMANCES3R15C10" localSheetId="57" hidden="1">#REF!</definedName>
    <definedName name="UNIFORMANCES3R15C10" localSheetId="59" hidden="1">#REF!</definedName>
    <definedName name="UNIFORMANCES3R15C10" localSheetId="40" hidden="1">#REF!</definedName>
    <definedName name="UNIFORMANCES3R15C10" localSheetId="43" hidden="1">#REF!</definedName>
    <definedName name="UNIFORMANCES3R15C10" localSheetId="55" hidden="1">#REF!</definedName>
    <definedName name="UNIFORMANCES3R15C10" localSheetId="13" hidden="1">#REF!</definedName>
    <definedName name="UNIFORMANCES3R15C10" localSheetId="11" hidden="1">#REF!</definedName>
    <definedName name="UNIFORMANCES3R15C10" localSheetId="38" hidden="1">#REF!</definedName>
    <definedName name="UNIFORMANCES3R15C10" localSheetId="41" hidden="1">#REF!</definedName>
    <definedName name="UNIFORMANCES3R15C10" localSheetId="101" hidden="1">#REF!</definedName>
    <definedName name="UNIFORMANCES3R15C10" localSheetId="102" hidden="1">#REF!</definedName>
    <definedName name="UNIFORMANCES3R15C10" localSheetId="103" hidden="1">#REF!</definedName>
    <definedName name="UNIFORMANCES3R15C10" localSheetId="97" hidden="1">#REF!</definedName>
    <definedName name="UNIFORMANCES3R15C10" localSheetId="42" hidden="1">#REF!</definedName>
    <definedName name="UNIFORMANCES3R15C10" localSheetId="12" hidden="1">#REF!</definedName>
    <definedName name="UNIFORMANCES3R15C10" localSheetId="73" hidden="1">#REF!</definedName>
    <definedName name="UNIFORMANCES3R15C10" localSheetId="74" hidden="1">#REF!</definedName>
    <definedName name="UNIFORMANCES3R15C10" hidden="1">#REF!</definedName>
    <definedName name="UNIFORMANCES3R15C11" localSheetId="3" hidden="1">#REF!</definedName>
    <definedName name="UNIFORMANCES3R15C11" localSheetId="7" hidden="1">#REF!</definedName>
    <definedName name="UNIFORMANCES3R15C11" localSheetId="9" hidden="1">#REF!</definedName>
    <definedName name="UNIFORMANCES3R15C11" localSheetId="10" hidden="1">#REF!</definedName>
    <definedName name="UNIFORMANCES3R15C11" localSheetId="15" hidden="1">#REF!</definedName>
    <definedName name="UNIFORMANCES3R15C11" localSheetId="18" hidden="1">#REF!</definedName>
    <definedName name="UNIFORMANCES3R15C11" localSheetId="19" hidden="1">#REF!</definedName>
    <definedName name="UNIFORMANCES3R15C11" localSheetId="20" hidden="1">#REF!</definedName>
    <definedName name="UNIFORMANCES3R15C11" localSheetId="23" hidden="1">#REF!</definedName>
    <definedName name="UNIFORMANCES3R15C11" localSheetId="24" hidden="1">#REF!</definedName>
    <definedName name="UNIFORMANCES3R15C11" localSheetId="35" hidden="1">#REF!</definedName>
    <definedName name="UNIFORMANCES3R15C11" localSheetId="58" hidden="1">#REF!</definedName>
    <definedName name="UNIFORMANCES3R15C11" localSheetId="60" hidden="1">#REF!</definedName>
    <definedName name="UNIFORMANCES3R15C11" localSheetId="51" hidden="1">#REF!</definedName>
    <definedName name="UNIFORMANCES3R15C11" localSheetId="54" hidden="1">#REF!</definedName>
    <definedName name="UNIFORMANCES3R15C11" localSheetId="47" hidden="1">#REF!</definedName>
    <definedName name="UNIFORMANCES3R15C11" localSheetId="105" hidden="1">#REF!</definedName>
    <definedName name="UNIFORMANCES3R15C11" localSheetId="104" hidden="1">#REF!</definedName>
    <definedName name="UNIFORMANCES3R15C11" localSheetId="88" hidden="1">#REF!</definedName>
    <definedName name="UNIFORMANCES3R15C11" localSheetId="89" hidden="1">#REF!</definedName>
    <definedName name="UNIFORMANCES3R15C11" localSheetId="87" hidden="1">#REF!</definedName>
    <definedName name="UNIFORMANCES3R15C11" localSheetId="90" hidden="1">#REF!</definedName>
    <definedName name="UNIFORMANCES3R15C11" localSheetId="70" hidden="1">#REF!</definedName>
    <definedName name="UNIFORMANCES3R15C11" localSheetId="65" hidden="1">#REF!</definedName>
    <definedName name="UNIFORMANCES3R15C11" localSheetId="64" hidden="1">#REF!</definedName>
    <definedName name="UNIFORMANCES3R15C11" localSheetId="77" hidden="1">#REF!</definedName>
    <definedName name="UNIFORMANCES3R15C11" localSheetId="49" hidden="1">#REF!</definedName>
    <definedName name="UNIFORMANCES3R15C11" localSheetId="57" hidden="1">#REF!</definedName>
    <definedName name="UNIFORMANCES3R15C11" localSheetId="59" hidden="1">#REF!</definedName>
    <definedName name="UNIFORMANCES3R15C11" localSheetId="40" hidden="1">#REF!</definedName>
    <definedName name="UNIFORMANCES3R15C11" localSheetId="43" hidden="1">#REF!</definedName>
    <definedName name="UNIFORMANCES3R15C11" localSheetId="55" hidden="1">#REF!</definedName>
    <definedName name="UNIFORMANCES3R15C11" localSheetId="13" hidden="1">#REF!</definedName>
    <definedName name="UNIFORMANCES3R15C11" localSheetId="11" hidden="1">#REF!</definedName>
    <definedName name="UNIFORMANCES3R15C11" localSheetId="38" hidden="1">#REF!</definedName>
    <definedName name="UNIFORMANCES3R15C11" localSheetId="41" hidden="1">#REF!</definedName>
    <definedName name="UNIFORMANCES3R15C11" localSheetId="101" hidden="1">#REF!</definedName>
    <definedName name="UNIFORMANCES3R15C11" localSheetId="102" hidden="1">#REF!</definedName>
    <definedName name="UNIFORMANCES3R15C11" localSheetId="103" hidden="1">#REF!</definedName>
    <definedName name="UNIFORMANCES3R15C11" localSheetId="97" hidden="1">#REF!</definedName>
    <definedName name="UNIFORMANCES3R15C11" localSheetId="42" hidden="1">#REF!</definedName>
    <definedName name="UNIFORMANCES3R15C11" localSheetId="12" hidden="1">#REF!</definedName>
    <definedName name="UNIFORMANCES3R15C11" localSheetId="73" hidden="1">#REF!</definedName>
    <definedName name="UNIFORMANCES3R15C11" localSheetId="74" hidden="1">#REF!</definedName>
    <definedName name="UNIFORMANCES3R15C11" hidden="1">#REF!</definedName>
    <definedName name="UNIFORMANCES3R15C12" localSheetId="3" hidden="1">#REF!</definedName>
    <definedName name="UNIFORMANCES3R15C12" localSheetId="7" hidden="1">#REF!</definedName>
    <definedName name="UNIFORMANCES3R15C12" localSheetId="9" hidden="1">#REF!</definedName>
    <definedName name="UNIFORMANCES3R15C12" localSheetId="10" hidden="1">#REF!</definedName>
    <definedName name="UNIFORMANCES3R15C12" localSheetId="15" hidden="1">#REF!</definedName>
    <definedName name="UNIFORMANCES3R15C12" localSheetId="18" hidden="1">#REF!</definedName>
    <definedName name="UNIFORMANCES3R15C12" localSheetId="19" hidden="1">#REF!</definedName>
    <definedName name="UNIFORMANCES3R15C12" localSheetId="20" hidden="1">#REF!</definedName>
    <definedName name="UNIFORMANCES3R15C12" localSheetId="23" hidden="1">#REF!</definedName>
    <definedName name="UNIFORMANCES3R15C12" localSheetId="24" hidden="1">#REF!</definedName>
    <definedName name="UNIFORMANCES3R15C12" localSheetId="35" hidden="1">#REF!</definedName>
    <definedName name="UNIFORMANCES3R15C12" localSheetId="58" hidden="1">#REF!</definedName>
    <definedName name="UNIFORMANCES3R15C12" localSheetId="60" hidden="1">#REF!</definedName>
    <definedName name="UNIFORMANCES3R15C12" localSheetId="51" hidden="1">#REF!</definedName>
    <definedName name="UNIFORMANCES3R15C12" localSheetId="54" hidden="1">#REF!</definedName>
    <definedName name="UNIFORMANCES3R15C12" localSheetId="47" hidden="1">#REF!</definedName>
    <definedName name="UNIFORMANCES3R15C12" localSheetId="105" hidden="1">#REF!</definedName>
    <definedName name="UNIFORMANCES3R15C12" localSheetId="104" hidden="1">#REF!</definedName>
    <definedName name="UNIFORMANCES3R15C12" localSheetId="88" hidden="1">#REF!</definedName>
    <definedName name="UNIFORMANCES3R15C12" localSheetId="89" hidden="1">#REF!</definedName>
    <definedName name="UNIFORMANCES3R15C12" localSheetId="87" hidden="1">#REF!</definedName>
    <definedName name="UNIFORMANCES3R15C12" localSheetId="90" hidden="1">#REF!</definedName>
    <definedName name="UNIFORMANCES3R15C12" localSheetId="70" hidden="1">#REF!</definedName>
    <definedName name="UNIFORMANCES3R15C12" localSheetId="65" hidden="1">#REF!</definedName>
    <definedName name="UNIFORMANCES3R15C12" localSheetId="64" hidden="1">#REF!</definedName>
    <definedName name="UNIFORMANCES3R15C12" localSheetId="77" hidden="1">#REF!</definedName>
    <definedName name="UNIFORMANCES3R15C12" localSheetId="49" hidden="1">#REF!</definedName>
    <definedName name="UNIFORMANCES3R15C12" localSheetId="57" hidden="1">#REF!</definedName>
    <definedName name="UNIFORMANCES3R15C12" localSheetId="59" hidden="1">#REF!</definedName>
    <definedName name="UNIFORMANCES3R15C12" localSheetId="40" hidden="1">#REF!</definedName>
    <definedName name="UNIFORMANCES3R15C12" localSheetId="43" hidden="1">#REF!</definedName>
    <definedName name="UNIFORMANCES3R15C12" localSheetId="55" hidden="1">#REF!</definedName>
    <definedName name="UNIFORMANCES3R15C12" localSheetId="13" hidden="1">#REF!</definedName>
    <definedName name="UNIFORMANCES3R15C12" localSheetId="11" hidden="1">#REF!</definedName>
    <definedName name="UNIFORMANCES3R15C12" localSheetId="38" hidden="1">#REF!</definedName>
    <definedName name="UNIFORMANCES3R15C12" localSheetId="41" hidden="1">#REF!</definedName>
    <definedName name="UNIFORMANCES3R15C12" localSheetId="101" hidden="1">#REF!</definedName>
    <definedName name="UNIFORMANCES3R15C12" localSheetId="102" hidden="1">#REF!</definedName>
    <definedName name="UNIFORMANCES3R15C12" localSheetId="103" hidden="1">#REF!</definedName>
    <definedName name="UNIFORMANCES3R15C12" localSheetId="97" hidden="1">#REF!</definedName>
    <definedName name="UNIFORMANCES3R15C12" localSheetId="42" hidden="1">#REF!</definedName>
    <definedName name="UNIFORMANCES3R15C12" localSheetId="12" hidden="1">#REF!</definedName>
    <definedName name="UNIFORMANCES3R15C12" localSheetId="73" hidden="1">#REF!</definedName>
    <definedName name="UNIFORMANCES3R15C12" localSheetId="74" hidden="1">#REF!</definedName>
    <definedName name="UNIFORMANCES3R15C12" hidden="1">#REF!</definedName>
    <definedName name="UNIFORMANCES3R15C13" localSheetId="3" hidden="1">#REF!</definedName>
    <definedName name="UNIFORMANCES3R15C13" localSheetId="7" hidden="1">#REF!</definedName>
    <definedName name="UNIFORMANCES3R15C13" localSheetId="9" hidden="1">#REF!</definedName>
    <definedName name="UNIFORMANCES3R15C13" localSheetId="10" hidden="1">#REF!</definedName>
    <definedName name="UNIFORMANCES3R15C13" localSheetId="15" hidden="1">#REF!</definedName>
    <definedName name="UNIFORMANCES3R15C13" localSheetId="18" hidden="1">#REF!</definedName>
    <definedName name="UNIFORMANCES3R15C13" localSheetId="19" hidden="1">#REF!</definedName>
    <definedName name="UNIFORMANCES3R15C13" localSheetId="20" hidden="1">#REF!</definedName>
    <definedName name="UNIFORMANCES3R15C13" localSheetId="23" hidden="1">#REF!</definedName>
    <definedName name="UNIFORMANCES3R15C13" localSheetId="24" hidden="1">#REF!</definedName>
    <definedName name="UNIFORMANCES3R15C13" localSheetId="35" hidden="1">#REF!</definedName>
    <definedName name="UNIFORMANCES3R15C13" localSheetId="58" hidden="1">#REF!</definedName>
    <definedName name="UNIFORMANCES3R15C13" localSheetId="60" hidden="1">#REF!</definedName>
    <definedName name="UNIFORMANCES3R15C13" localSheetId="51" hidden="1">#REF!</definedName>
    <definedName name="UNIFORMANCES3R15C13" localSheetId="54" hidden="1">#REF!</definedName>
    <definedName name="UNIFORMANCES3R15C13" localSheetId="47" hidden="1">#REF!</definedName>
    <definedName name="UNIFORMANCES3R15C13" localSheetId="105" hidden="1">#REF!</definedName>
    <definedName name="UNIFORMANCES3R15C13" localSheetId="104" hidden="1">#REF!</definedName>
    <definedName name="UNIFORMANCES3R15C13" localSheetId="88" hidden="1">#REF!</definedName>
    <definedName name="UNIFORMANCES3R15C13" localSheetId="89" hidden="1">#REF!</definedName>
    <definedName name="UNIFORMANCES3R15C13" localSheetId="87" hidden="1">#REF!</definedName>
    <definedName name="UNIFORMANCES3R15C13" localSheetId="90" hidden="1">#REF!</definedName>
    <definedName name="UNIFORMANCES3R15C13" localSheetId="70" hidden="1">#REF!</definedName>
    <definedName name="UNIFORMANCES3R15C13" localSheetId="65" hidden="1">#REF!</definedName>
    <definedName name="UNIFORMANCES3R15C13" localSheetId="64" hidden="1">#REF!</definedName>
    <definedName name="UNIFORMANCES3R15C13" localSheetId="77" hidden="1">#REF!</definedName>
    <definedName name="UNIFORMANCES3R15C13" localSheetId="49" hidden="1">#REF!</definedName>
    <definedName name="UNIFORMANCES3R15C13" localSheetId="57" hidden="1">#REF!</definedName>
    <definedName name="UNIFORMANCES3R15C13" localSheetId="59" hidden="1">#REF!</definedName>
    <definedName name="UNIFORMANCES3R15C13" localSheetId="40" hidden="1">#REF!</definedName>
    <definedName name="UNIFORMANCES3R15C13" localSheetId="43" hidden="1">#REF!</definedName>
    <definedName name="UNIFORMANCES3R15C13" localSheetId="55" hidden="1">#REF!</definedName>
    <definedName name="UNIFORMANCES3R15C13" localSheetId="13" hidden="1">#REF!</definedName>
    <definedName name="UNIFORMANCES3R15C13" localSheetId="11" hidden="1">#REF!</definedName>
    <definedName name="UNIFORMANCES3R15C13" localSheetId="38" hidden="1">#REF!</definedName>
    <definedName name="UNIFORMANCES3R15C13" localSheetId="41" hidden="1">#REF!</definedName>
    <definedName name="UNIFORMANCES3R15C13" localSheetId="101" hidden="1">#REF!</definedName>
    <definedName name="UNIFORMANCES3R15C13" localSheetId="102" hidden="1">#REF!</definedName>
    <definedName name="UNIFORMANCES3R15C13" localSheetId="103" hidden="1">#REF!</definedName>
    <definedName name="UNIFORMANCES3R15C13" localSheetId="97" hidden="1">#REF!</definedName>
    <definedName name="UNIFORMANCES3R15C13" localSheetId="42" hidden="1">#REF!</definedName>
    <definedName name="UNIFORMANCES3R15C13" localSheetId="12" hidden="1">#REF!</definedName>
    <definedName name="UNIFORMANCES3R15C13" localSheetId="73" hidden="1">#REF!</definedName>
    <definedName name="UNIFORMANCES3R15C13" localSheetId="74" hidden="1">#REF!</definedName>
    <definedName name="UNIFORMANCES3R15C13" hidden="1">#REF!</definedName>
    <definedName name="UNIFORMANCES3R15C14" localSheetId="3" hidden="1">#REF!</definedName>
    <definedName name="UNIFORMANCES3R15C14" localSheetId="7" hidden="1">#REF!</definedName>
    <definedName name="UNIFORMANCES3R15C14" localSheetId="9" hidden="1">#REF!</definedName>
    <definedName name="UNIFORMANCES3R15C14" localSheetId="10" hidden="1">#REF!</definedName>
    <definedName name="UNIFORMANCES3R15C14" localSheetId="15" hidden="1">#REF!</definedName>
    <definedName name="UNIFORMANCES3R15C14" localSheetId="18" hidden="1">#REF!</definedName>
    <definedName name="UNIFORMANCES3R15C14" localSheetId="19" hidden="1">#REF!</definedName>
    <definedName name="UNIFORMANCES3R15C14" localSheetId="20" hidden="1">#REF!</definedName>
    <definedName name="UNIFORMANCES3R15C14" localSheetId="23" hidden="1">#REF!</definedName>
    <definedName name="UNIFORMANCES3R15C14" localSheetId="24" hidden="1">#REF!</definedName>
    <definedName name="UNIFORMANCES3R15C14" localSheetId="35" hidden="1">#REF!</definedName>
    <definedName name="UNIFORMANCES3R15C14" localSheetId="58" hidden="1">#REF!</definedName>
    <definedName name="UNIFORMANCES3R15C14" localSheetId="60" hidden="1">#REF!</definedName>
    <definedName name="UNIFORMANCES3R15C14" localSheetId="51" hidden="1">#REF!</definedName>
    <definedName name="UNIFORMANCES3R15C14" localSheetId="54" hidden="1">#REF!</definedName>
    <definedName name="UNIFORMANCES3R15C14" localSheetId="47" hidden="1">#REF!</definedName>
    <definedName name="UNIFORMANCES3R15C14" localSheetId="105" hidden="1">#REF!</definedName>
    <definedName name="UNIFORMANCES3R15C14" localSheetId="104" hidden="1">#REF!</definedName>
    <definedName name="UNIFORMANCES3R15C14" localSheetId="88" hidden="1">#REF!</definedName>
    <definedName name="UNIFORMANCES3R15C14" localSheetId="89" hidden="1">#REF!</definedName>
    <definedName name="UNIFORMANCES3R15C14" localSheetId="87" hidden="1">#REF!</definedName>
    <definedName name="UNIFORMANCES3R15C14" localSheetId="90" hidden="1">#REF!</definedName>
    <definedName name="UNIFORMANCES3R15C14" localSheetId="70" hidden="1">#REF!</definedName>
    <definedName name="UNIFORMANCES3R15C14" localSheetId="65" hidden="1">#REF!</definedName>
    <definedName name="UNIFORMANCES3R15C14" localSheetId="64" hidden="1">#REF!</definedName>
    <definedName name="UNIFORMANCES3R15C14" localSheetId="77" hidden="1">#REF!</definedName>
    <definedName name="UNIFORMANCES3R15C14" localSheetId="49" hidden="1">#REF!</definedName>
    <definedName name="UNIFORMANCES3R15C14" localSheetId="57" hidden="1">#REF!</definedName>
    <definedName name="UNIFORMANCES3R15C14" localSheetId="59" hidden="1">#REF!</definedName>
    <definedName name="UNIFORMANCES3R15C14" localSheetId="40" hidden="1">#REF!</definedName>
    <definedName name="UNIFORMANCES3R15C14" localSheetId="43" hidden="1">#REF!</definedName>
    <definedName name="UNIFORMANCES3R15C14" localSheetId="55" hidden="1">#REF!</definedName>
    <definedName name="UNIFORMANCES3R15C14" localSheetId="13" hidden="1">#REF!</definedName>
    <definedName name="UNIFORMANCES3R15C14" localSheetId="11" hidden="1">#REF!</definedName>
    <definedName name="UNIFORMANCES3R15C14" localSheetId="38" hidden="1">#REF!</definedName>
    <definedName name="UNIFORMANCES3R15C14" localSheetId="41" hidden="1">#REF!</definedName>
    <definedName name="UNIFORMANCES3R15C14" localSheetId="101" hidden="1">#REF!</definedName>
    <definedName name="UNIFORMANCES3R15C14" localSheetId="102" hidden="1">#REF!</definedName>
    <definedName name="UNIFORMANCES3R15C14" localSheetId="103" hidden="1">#REF!</definedName>
    <definedName name="UNIFORMANCES3R15C14" localSheetId="97" hidden="1">#REF!</definedName>
    <definedName name="UNIFORMANCES3R15C14" localSheetId="42" hidden="1">#REF!</definedName>
    <definedName name="UNIFORMANCES3R15C14" localSheetId="12" hidden="1">#REF!</definedName>
    <definedName name="UNIFORMANCES3R15C14" localSheetId="73" hidden="1">#REF!</definedName>
    <definedName name="UNIFORMANCES3R15C14" localSheetId="74" hidden="1">#REF!</definedName>
    <definedName name="UNIFORMANCES3R15C14" hidden="1">#REF!</definedName>
    <definedName name="UNIFORMANCES3R15C15" localSheetId="3" hidden="1">#REF!</definedName>
    <definedName name="UNIFORMANCES3R15C15" localSheetId="7" hidden="1">#REF!</definedName>
    <definedName name="UNIFORMANCES3R15C15" localSheetId="9" hidden="1">#REF!</definedName>
    <definedName name="UNIFORMANCES3R15C15" localSheetId="10" hidden="1">#REF!</definedName>
    <definedName name="UNIFORMANCES3R15C15" localSheetId="15" hidden="1">#REF!</definedName>
    <definedName name="UNIFORMANCES3R15C15" localSheetId="18" hidden="1">#REF!</definedName>
    <definedName name="UNIFORMANCES3R15C15" localSheetId="19" hidden="1">#REF!</definedName>
    <definedName name="UNIFORMANCES3R15C15" localSheetId="20" hidden="1">#REF!</definedName>
    <definedName name="UNIFORMANCES3R15C15" localSheetId="23" hidden="1">#REF!</definedName>
    <definedName name="UNIFORMANCES3R15C15" localSheetId="24" hidden="1">#REF!</definedName>
    <definedName name="UNIFORMANCES3R15C15" localSheetId="35" hidden="1">#REF!</definedName>
    <definedName name="UNIFORMANCES3R15C15" localSheetId="58" hidden="1">#REF!</definedName>
    <definedName name="UNIFORMANCES3R15C15" localSheetId="60" hidden="1">#REF!</definedName>
    <definedName name="UNIFORMANCES3R15C15" localSheetId="51" hidden="1">#REF!</definedName>
    <definedName name="UNIFORMANCES3R15C15" localSheetId="54" hidden="1">#REF!</definedName>
    <definedName name="UNIFORMANCES3R15C15" localSheetId="47" hidden="1">#REF!</definedName>
    <definedName name="UNIFORMANCES3R15C15" localSheetId="105" hidden="1">#REF!</definedName>
    <definedName name="UNIFORMANCES3R15C15" localSheetId="104" hidden="1">#REF!</definedName>
    <definedName name="UNIFORMANCES3R15C15" localSheetId="88" hidden="1">#REF!</definedName>
    <definedName name="UNIFORMANCES3R15C15" localSheetId="89" hidden="1">#REF!</definedName>
    <definedName name="UNIFORMANCES3R15C15" localSheetId="87" hidden="1">#REF!</definedName>
    <definedName name="UNIFORMANCES3R15C15" localSheetId="90" hidden="1">#REF!</definedName>
    <definedName name="UNIFORMANCES3R15C15" localSheetId="70" hidden="1">#REF!</definedName>
    <definedName name="UNIFORMANCES3R15C15" localSheetId="65" hidden="1">#REF!</definedName>
    <definedName name="UNIFORMANCES3R15C15" localSheetId="64" hidden="1">#REF!</definedName>
    <definedName name="UNIFORMANCES3R15C15" localSheetId="77" hidden="1">#REF!</definedName>
    <definedName name="UNIFORMANCES3R15C15" localSheetId="49" hidden="1">#REF!</definedName>
    <definedName name="UNIFORMANCES3R15C15" localSheetId="57" hidden="1">#REF!</definedName>
    <definedName name="UNIFORMANCES3R15C15" localSheetId="59" hidden="1">#REF!</definedName>
    <definedName name="UNIFORMANCES3R15C15" localSheetId="40" hidden="1">#REF!</definedName>
    <definedName name="UNIFORMANCES3R15C15" localSheetId="43" hidden="1">#REF!</definedName>
    <definedName name="UNIFORMANCES3R15C15" localSheetId="55" hidden="1">#REF!</definedName>
    <definedName name="UNIFORMANCES3R15C15" localSheetId="13" hidden="1">#REF!</definedName>
    <definedName name="UNIFORMANCES3R15C15" localSheetId="11" hidden="1">#REF!</definedName>
    <definedName name="UNIFORMANCES3R15C15" localSheetId="38" hidden="1">#REF!</definedName>
    <definedName name="UNIFORMANCES3R15C15" localSheetId="41" hidden="1">#REF!</definedName>
    <definedName name="UNIFORMANCES3R15C15" localSheetId="101" hidden="1">#REF!</definedName>
    <definedName name="UNIFORMANCES3R15C15" localSheetId="102" hidden="1">#REF!</definedName>
    <definedName name="UNIFORMANCES3R15C15" localSheetId="103" hidden="1">#REF!</definedName>
    <definedName name="UNIFORMANCES3R15C15" localSheetId="97" hidden="1">#REF!</definedName>
    <definedName name="UNIFORMANCES3R15C15" localSheetId="42" hidden="1">#REF!</definedName>
    <definedName name="UNIFORMANCES3R15C15" localSheetId="12" hidden="1">#REF!</definedName>
    <definedName name="UNIFORMANCES3R15C15" localSheetId="73" hidden="1">#REF!</definedName>
    <definedName name="UNIFORMANCES3R15C15" localSheetId="74" hidden="1">#REF!</definedName>
    <definedName name="UNIFORMANCES3R15C15" hidden="1">#REF!</definedName>
    <definedName name="UNIFORMANCES3R15C16" localSheetId="3" hidden="1">#REF!</definedName>
    <definedName name="UNIFORMANCES3R15C16" localSheetId="7" hidden="1">#REF!</definedName>
    <definedName name="UNIFORMANCES3R15C16" localSheetId="9" hidden="1">#REF!</definedName>
    <definedName name="UNIFORMANCES3R15C16" localSheetId="10" hidden="1">#REF!</definedName>
    <definedName name="UNIFORMANCES3R15C16" localSheetId="15" hidden="1">#REF!</definedName>
    <definedName name="UNIFORMANCES3R15C16" localSheetId="18" hidden="1">#REF!</definedName>
    <definedName name="UNIFORMANCES3R15C16" localSheetId="19" hidden="1">#REF!</definedName>
    <definedName name="UNIFORMANCES3R15C16" localSheetId="20" hidden="1">#REF!</definedName>
    <definedName name="UNIFORMANCES3R15C16" localSheetId="23" hidden="1">#REF!</definedName>
    <definedName name="UNIFORMANCES3R15C16" localSheetId="24" hidden="1">#REF!</definedName>
    <definedName name="UNIFORMANCES3R15C16" localSheetId="35" hidden="1">#REF!</definedName>
    <definedName name="UNIFORMANCES3R15C16" localSheetId="58" hidden="1">#REF!</definedName>
    <definedName name="UNIFORMANCES3R15C16" localSheetId="60" hidden="1">#REF!</definedName>
    <definedName name="UNIFORMANCES3R15C16" localSheetId="51" hidden="1">#REF!</definedName>
    <definedName name="UNIFORMANCES3R15C16" localSheetId="54" hidden="1">#REF!</definedName>
    <definedName name="UNIFORMANCES3R15C16" localSheetId="47" hidden="1">#REF!</definedName>
    <definedName name="UNIFORMANCES3R15C16" localSheetId="105" hidden="1">#REF!</definedName>
    <definedName name="UNIFORMANCES3R15C16" localSheetId="104" hidden="1">#REF!</definedName>
    <definedName name="UNIFORMANCES3R15C16" localSheetId="88" hidden="1">#REF!</definedName>
    <definedName name="UNIFORMANCES3R15C16" localSheetId="89" hidden="1">#REF!</definedName>
    <definedName name="UNIFORMANCES3R15C16" localSheetId="87" hidden="1">#REF!</definedName>
    <definedName name="UNIFORMANCES3R15C16" localSheetId="90" hidden="1">#REF!</definedName>
    <definedName name="UNIFORMANCES3R15C16" localSheetId="70" hidden="1">#REF!</definedName>
    <definedName name="UNIFORMANCES3R15C16" localSheetId="65" hidden="1">#REF!</definedName>
    <definedName name="UNIFORMANCES3R15C16" localSheetId="64" hidden="1">#REF!</definedName>
    <definedName name="UNIFORMANCES3R15C16" localSheetId="77" hidden="1">#REF!</definedName>
    <definedName name="UNIFORMANCES3R15C16" localSheetId="49" hidden="1">#REF!</definedName>
    <definedName name="UNIFORMANCES3R15C16" localSheetId="57" hidden="1">#REF!</definedName>
    <definedName name="UNIFORMANCES3R15C16" localSheetId="59" hidden="1">#REF!</definedName>
    <definedName name="UNIFORMANCES3R15C16" localSheetId="40" hidden="1">#REF!</definedName>
    <definedName name="UNIFORMANCES3R15C16" localSheetId="43" hidden="1">#REF!</definedName>
    <definedName name="UNIFORMANCES3R15C16" localSheetId="55" hidden="1">#REF!</definedName>
    <definedName name="UNIFORMANCES3R15C16" localSheetId="13" hidden="1">#REF!</definedName>
    <definedName name="UNIFORMANCES3R15C16" localSheetId="11" hidden="1">#REF!</definedName>
    <definedName name="UNIFORMANCES3R15C16" localSheetId="38" hidden="1">#REF!</definedName>
    <definedName name="UNIFORMANCES3R15C16" localSheetId="41" hidden="1">#REF!</definedName>
    <definedName name="UNIFORMANCES3R15C16" localSheetId="101" hidden="1">#REF!</definedName>
    <definedName name="UNIFORMANCES3R15C16" localSheetId="102" hidden="1">#REF!</definedName>
    <definedName name="UNIFORMANCES3R15C16" localSheetId="103" hidden="1">#REF!</definedName>
    <definedName name="UNIFORMANCES3R15C16" localSheetId="97" hidden="1">#REF!</definedName>
    <definedName name="UNIFORMANCES3R15C16" localSheetId="42" hidden="1">#REF!</definedName>
    <definedName name="UNIFORMANCES3R15C16" localSheetId="12" hidden="1">#REF!</definedName>
    <definedName name="UNIFORMANCES3R15C16" localSheetId="73" hidden="1">#REF!</definedName>
    <definedName name="UNIFORMANCES3R15C16" localSheetId="74" hidden="1">#REF!</definedName>
    <definedName name="UNIFORMANCES3R15C16" hidden="1">#REF!</definedName>
    <definedName name="UNIFORMANCES3R15C17" localSheetId="3" hidden="1">#REF!</definedName>
    <definedName name="UNIFORMANCES3R15C17" localSheetId="7" hidden="1">#REF!</definedName>
    <definedName name="UNIFORMANCES3R15C17" localSheetId="9" hidden="1">#REF!</definedName>
    <definedName name="UNIFORMANCES3R15C17" localSheetId="10" hidden="1">#REF!</definedName>
    <definedName name="UNIFORMANCES3R15C17" localSheetId="15" hidden="1">#REF!</definedName>
    <definedName name="UNIFORMANCES3R15C17" localSheetId="18" hidden="1">#REF!</definedName>
    <definedName name="UNIFORMANCES3R15C17" localSheetId="19" hidden="1">#REF!</definedName>
    <definedName name="UNIFORMANCES3R15C17" localSheetId="20" hidden="1">#REF!</definedName>
    <definedName name="UNIFORMANCES3R15C17" localSheetId="23" hidden="1">#REF!</definedName>
    <definedName name="UNIFORMANCES3R15C17" localSheetId="24" hidden="1">#REF!</definedName>
    <definedName name="UNIFORMANCES3R15C17" localSheetId="35" hidden="1">#REF!</definedName>
    <definedName name="UNIFORMANCES3R15C17" localSheetId="58" hidden="1">#REF!</definedName>
    <definedName name="UNIFORMANCES3R15C17" localSheetId="60" hidden="1">#REF!</definedName>
    <definedName name="UNIFORMANCES3R15C17" localSheetId="51" hidden="1">#REF!</definedName>
    <definedName name="UNIFORMANCES3R15C17" localSheetId="54" hidden="1">#REF!</definedName>
    <definedName name="UNIFORMANCES3R15C17" localSheetId="47" hidden="1">#REF!</definedName>
    <definedName name="UNIFORMANCES3R15C17" localSheetId="105" hidden="1">#REF!</definedName>
    <definedName name="UNIFORMANCES3R15C17" localSheetId="104" hidden="1">#REF!</definedName>
    <definedName name="UNIFORMANCES3R15C17" localSheetId="88" hidden="1">#REF!</definedName>
    <definedName name="UNIFORMANCES3R15C17" localSheetId="89" hidden="1">#REF!</definedName>
    <definedName name="UNIFORMANCES3R15C17" localSheetId="87" hidden="1">#REF!</definedName>
    <definedName name="UNIFORMANCES3R15C17" localSheetId="90" hidden="1">#REF!</definedName>
    <definedName name="UNIFORMANCES3R15C17" localSheetId="70" hidden="1">#REF!</definedName>
    <definedName name="UNIFORMANCES3R15C17" localSheetId="65" hidden="1">#REF!</definedName>
    <definedName name="UNIFORMANCES3R15C17" localSheetId="64" hidden="1">#REF!</definedName>
    <definedName name="UNIFORMANCES3R15C17" localSheetId="77" hidden="1">#REF!</definedName>
    <definedName name="UNIFORMANCES3R15C17" localSheetId="49" hidden="1">#REF!</definedName>
    <definedName name="UNIFORMANCES3R15C17" localSheetId="57" hidden="1">#REF!</definedName>
    <definedName name="UNIFORMANCES3R15C17" localSheetId="59" hidden="1">#REF!</definedName>
    <definedName name="UNIFORMANCES3R15C17" localSheetId="40" hidden="1">#REF!</definedName>
    <definedName name="UNIFORMANCES3R15C17" localSheetId="43" hidden="1">#REF!</definedName>
    <definedName name="UNIFORMANCES3R15C17" localSheetId="55" hidden="1">#REF!</definedName>
    <definedName name="UNIFORMANCES3R15C17" localSheetId="13" hidden="1">#REF!</definedName>
    <definedName name="UNIFORMANCES3R15C17" localSheetId="11" hidden="1">#REF!</definedName>
    <definedName name="UNIFORMANCES3R15C17" localSheetId="38" hidden="1">#REF!</definedName>
    <definedName name="UNIFORMANCES3R15C17" localSheetId="41" hidden="1">#REF!</definedName>
    <definedName name="UNIFORMANCES3R15C17" localSheetId="101" hidden="1">#REF!</definedName>
    <definedName name="UNIFORMANCES3R15C17" localSheetId="102" hidden="1">#REF!</definedName>
    <definedName name="UNIFORMANCES3R15C17" localSheetId="103" hidden="1">#REF!</definedName>
    <definedName name="UNIFORMANCES3R15C17" localSheetId="97" hidden="1">#REF!</definedName>
    <definedName name="UNIFORMANCES3R15C17" localSheetId="42" hidden="1">#REF!</definedName>
    <definedName name="UNIFORMANCES3R15C17" localSheetId="12" hidden="1">#REF!</definedName>
    <definedName name="UNIFORMANCES3R15C17" localSheetId="73" hidden="1">#REF!</definedName>
    <definedName name="UNIFORMANCES3R15C17" localSheetId="74" hidden="1">#REF!</definedName>
    <definedName name="UNIFORMANCES3R15C17" hidden="1">#REF!</definedName>
    <definedName name="UNIFORMANCES3R15C18" localSheetId="3" hidden="1">#REF!</definedName>
    <definedName name="UNIFORMANCES3R15C18" localSheetId="7" hidden="1">#REF!</definedName>
    <definedName name="UNIFORMANCES3R15C18" localSheetId="9" hidden="1">#REF!</definedName>
    <definedName name="UNIFORMANCES3R15C18" localSheetId="10" hidden="1">#REF!</definedName>
    <definedName name="UNIFORMANCES3R15C18" localSheetId="15" hidden="1">#REF!</definedName>
    <definedName name="UNIFORMANCES3R15C18" localSheetId="18" hidden="1">#REF!</definedName>
    <definedName name="UNIFORMANCES3R15C18" localSheetId="19" hidden="1">#REF!</definedName>
    <definedName name="UNIFORMANCES3R15C18" localSheetId="20" hidden="1">#REF!</definedName>
    <definedName name="UNIFORMANCES3R15C18" localSheetId="23" hidden="1">#REF!</definedName>
    <definedName name="UNIFORMANCES3R15C18" localSheetId="24" hidden="1">#REF!</definedName>
    <definedName name="UNIFORMANCES3R15C18" localSheetId="35" hidden="1">#REF!</definedName>
    <definedName name="UNIFORMANCES3R15C18" localSheetId="58" hidden="1">#REF!</definedName>
    <definedName name="UNIFORMANCES3R15C18" localSheetId="60" hidden="1">#REF!</definedName>
    <definedName name="UNIFORMANCES3R15C18" localSheetId="51" hidden="1">#REF!</definedName>
    <definedName name="UNIFORMANCES3R15C18" localSheetId="54" hidden="1">#REF!</definedName>
    <definedName name="UNIFORMANCES3R15C18" localSheetId="47" hidden="1">#REF!</definedName>
    <definedName name="UNIFORMANCES3R15C18" localSheetId="105" hidden="1">#REF!</definedName>
    <definedName name="UNIFORMANCES3R15C18" localSheetId="104" hidden="1">#REF!</definedName>
    <definedName name="UNIFORMANCES3R15C18" localSheetId="88" hidden="1">#REF!</definedName>
    <definedName name="UNIFORMANCES3R15C18" localSheetId="89" hidden="1">#REF!</definedName>
    <definedName name="UNIFORMANCES3R15C18" localSheetId="87" hidden="1">#REF!</definedName>
    <definedName name="UNIFORMANCES3R15C18" localSheetId="90" hidden="1">#REF!</definedName>
    <definedName name="UNIFORMANCES3R15C18" localSheetId="70" hidden="1">#REF!</definedName>
    <definedName name="UNIFORMANCES3R15C18" localSheetId="65" hidden="1">#REF!</definedName>
    <definedName name="UNIFORMANCES3R15C18" localSheetId="64" hidden="1">#REF!</definedName>
    <definedName name="UNIFORMANCES3R15C18" localSheetId="77" hidden="1">#REF!</definedName>
    <definedName name="UNIFORMANCES3R15C18" localSheetId="49" hidden="1">#REF!</definedName>
    <definedName name="UNIFORMANCES3R15C18" localSheetId="57" hidden="1">#REF!</definedName>
    <definedName name="UNIFORMANCES3R15C18" localSheetId="59" hidden="1">#REF!</definedName>
    <definedName name="UNIFORMANCES3R15C18" localSheetId="40" hidden="1">#REF!</definedName>
    <definedName name="UNIFORMANCES3R15C18" localSheetId="43" hidden="1">#REF!</definedName>
    <definedName name="UNIFORMANCES3R15C18" localSheetId="55" hidden="1">#REF!</definedName>
    <definedName name="UNIFORMANCES3R15C18" localSheetId="13" hidden="1">#REF!</definedName>
    <definedName name="UNIFORMANCES3R15C18" localSheetId="11" hidden="1">#REF!</definedName>
    <definedName name="UNIFORMANCES3R15C18" localSheetId="38" hidden="1">#REF!</definedName>
    <definedName name="UNIFORMANCES3R15C18" localSheetId="41" hidden="1">#REF!</definedName>
    <definedName name="UNIFORMANCES3R15C18" localSheetId="101" hidden="1">#REF!</definedName>
    <definedName name="UNIFORMANCES3R15C18" localSheetId="102" hidden="1">#REF!</definedName>
    <definedName name="UNIFORMANCES3R15C18" localSheetId="103" hidden="1">#REF!</definedName>
    <definedName name="UNIFORMANCES3R15C18" localSheetId="97" hidden="1">#REF!</definedName>
    <definedName name="UNIFORMANCES3R15C18" localSheetId="42" hidden="1">#REF!</definedName>
    <definedName name="UNIFORMANCES3R15C18" localSheetId="12" hidden="1">#REF!</definedName>
    <definedName name="UNIFORMANCES3R15C18" localSheetId="73" hidden="1">#REF!</definedName>
    <definedName name="UNIFORMANCES3R15C18" localSheetId="74" hidden="1">#REF!</definedName>
    <definedName name="UNIFORMANCES3R15C18" hidden="1">#REF!</definedName>
    <definedName name="UNIFORMANCES3R15C19" localSheetId="3" hidden="1">#REF!</definedName>
    <definedName name="UNIFORMANCES3R15C19" localSheetId="7" hidden="1">#REF!</definedName>
    <definedName name="UNIFORMANCES3R15C19" localSheetId="9" hidden="1">#REF!</definedName>
    <definedName name="UNIFORMANCES3R15C19" localSheetId="10" hidden="1">#REF!</definedName>
    <definedName name="UNIFORMANCES3R15C19" localSheetId="15" hidden="1">#REF!</definedName>
    <definedName name="UNIFORMANCES3R15C19" localSheetId="18" hidden="1">#REF!</definedName>
    <definedName name="UNIFORMANCES3R15C19" localSheetId="19" hidden="1">#REF!</definedName>
    <definedName name="UNIFORMANCES3R15C19" localSheetId="20" hidden="1">#REF!</definedName>
    <definedName name="UNIFORMANCES3R15C19" localSheetId="23" hidden="1">#REF!</definedName>
    <definedName name="UNIFORMANCES3R15C19" localSheetId="24" hidden="1">#REF!</definedName>
    <definedName name="UNIFORMANCES3R15C19" localSheetId="35" hidden="1">#REF!</definedName>
    <definedName name="UNIFORMANCES3R15C19" localSheetId="58" hidden="1">#REF!</definedName>
    <definedName name="UNIFORMANCES3R15C19" localSheetId="60" hidden="1">#REF!</definedName>
    <definedName name="UNIFORMANCES3R15C19" localSheetId="51" hidden="1">#REF!</definedName>
    <definedName name="UNIFORMANCES3R15C19" localSheetId="54" hidden="1">#REF!</definedName>
    <definedName name="UNIFORMANCES3R15C19" localSheetId="47" hidden="1">#REF!</definedName>
    <definedName name="UNIFORMANCES3R15C19" localSheetId="105" hidden="1">#REF!</definedName>
    <definedName name="UNIFORMANCES3R15C19" localSheetId="104" hidden="1">#REF!</definedName>
    <definedName name="UNIFORMANCES3R15C19" localSheetId="88" hidden="1">#REF!</definedName>
    <definedName name="UNIFORMANCES3R15C19" localSheetId="89" hidden="1">#REF!</definedName>
    <definedName name="UNIFORMANCES3R15C19" localSheetId="87" hidden="1">#REF!</definedName>
    <definedName name="UNIFORMANCES3R15C19" localSheetId="90" hidden="1">#REF!</definedName>
    <definedName name="UNIFORMANCES3R15C19" localSheetId="70" hidden="1">#REF!</definedName>
    <definedName name="UNIFORMANCES3R15C19" localSheetId="65" hidden="1">#REF!</definedName>
    <definedName name="UNIFORMANCES3R15C19" localSheetId="64" hidden="1">#REF!</definedName>
    <definedName name="UNIFORMANCES3R15C19" localSheetId="77" hidden="1">#REF!</definedName>
    <definedName name="UNIFORMANCES3R15C19" localSheetId="49" hidden="1">#REF!</definedName>
    <definedName name="UNIFORMANCES3R15C19" localSheetId="57" hidden="1">#REF!</definedName>
    <definedName name="UNIFORMANCES3R15C19" localSheetId="59" hidden="1">#REF!</definedName>
    <definedName name="UNIFORMANCES3R15C19" localSheetId="40" hidden="1">#REF!</definedName>
    <definedName name="UNIFORMANCES3R15C19" localSheetId="43" hidden="1">#REF!</definedName>
    <definedName name="UNIFORMANCES3R15C19" localSheetId="55" hidden="1">#REF!</definedName>
    <definedName name="UNIFORMANCES3R15C19" localSheetId="13" hidden="1">#REF!</definedName>
    <definedName name="UNIFORMANCES3R15C19" localSheetId="11" hidden="1">#REF!</definedName>
    <definedName name="UNIFORMANCES3R15C19" localSheetId="38" hidden="1">#REF!</definedName>
    <definedName name="UNIFORMANCES3R15C19" localSheetId="41" hidden="1">#REF!</definedName>
    <definedName name="UNIFORMANCES3R15C19" localSheetId="101" hidden="1">#REF!</definedName>
    <definedName name="UNIFORMANCES3R15C19" localSheetId="102" hidden="1">#REF!</definedName>
    <definedName name="UNIFORMANCES3R15C19" localSheetId="103" hidden="1">#REF!</definedName>
    <definedName name="UNIFORMANCES3R15C19" localSheetId="97" hidden="1">#REF!</definedName>
    <definedName name="UNIFORMANCES3R15C19" localSheetId="42" hidden="1">#REF!</definedName>
    <definedName name="UNIFORMANCES3R15C19" localSheetId="12" hidden="1">#REF!</definedName>
    <definedName name="UNIFORMANCES3R15C19" localSheetId="73" hidden="1">#REF!</definedName>
    <definedName name="UNIFORMANCES3R15C19" localSheetId="74" hidden="1">#REF!</definedName>
    <definedName name="UNIFORMANCES3R15C19" hidden="1">#REF!</definedName>
    <definedName name="UNIFORMANCES3R15C2" localSheetId="3" hidden="1">#REF!</definedName>
    <definedName name="UNIFORMANCES3R15C2" localSheetId="7" hidden="1">#REF!</definedName>
    <definedName name="UNIFORMANCES3R15C2" localSheetId="9" hidden="1">#REF!</definedName>
    <definedName name="UNIFORMANCES3R15C2" localSheetId="10" hidden="1">#REF!</definedName>
    <definedName name="UNIFORMANCES3R15C2" localSheetId="15" hidden="1">#REF!</definedName>
    <definedName name="UNIFORMANCES3R15C2" localSheetId="18" hidden="1">#REF!</definedName>
    <definedName name="UNIFORMANCES3R15C2" localSheetId="19" hidden="1">#REF!</definedName>
    <definedName name="UNIFORMANCES3R15C2" localSheetId="20" hidden="1">#REF!</definedName>
    <definedName name="UNIFORMANCES3R15C2" localSheetId="23" hidden="1">#REF!</definedName>
    <definedName name="UNIFORMANCES3R15C2" localSheetId="24" hidden="1">#REF!</definedName>
    <definedName name="UNIFORMANCES3R15C2" localSheetId="35" hidden="1">#REF!</definedName>
    <definedName name="UNIFORMANCES3R15C2" localSheetId="58" hidden="1">#REF!</definedName>
    <definedName name="UNIFORMANCES3R15C2" localSheetId="60" hidden="1">#REF!</definedName>
    <definedName name="UNIFORMANCES3R15C2" localSheetId="51" hidden="1">#REF!</definedName>
    <definedName name="UNIFORMANCES3R15C2" localSheetId="54" hidden="1">#REF!</definedName>
    <definedName name="UNIFORMANCES3R15C2" localSheetId="47" hidden="1">#REF!</definedName>
    <definedName name="UNIFORMANCES3R15C2" localSheetId="105" hidden="1">#REF!</definedName>
    <definedName name="UNIFORMANCES3R15C2" localSheetId="104" hidden="1">#REF!</definedName>
    <definedName name="UNIFORMANCES3R15C2" localSheetId="88" hidden="1">#REF!</definedName>
    <definedName name="UNIFORMANCES3R15C2" localSheetId="89" hidden="1">#REF!</definedName>
    <definedName name="UNIFORMANCES3R15C2" localSheetId="87" hidden="1">#REF!</definedName>
    <definedName name="UNIFORMANCES3R15C2" localSheetId="90" hidden="1">#REF!</definedName>
    <definedName name="UNIFORMANCES3R15C2" localSheetId="70" hidden="1">#REF!</definedName>
    <definedName name="UNIFORMANCES3R15C2" localSheetId="65" hidden="1">#REF!</definedName>
    <definedName name="UNIFORMANCES3R15C2" localSheetId="64" hidden="1">#REF!</definedName>
    <definedName name="UNIFORMANCES3R15C2" localSheetId="77" hidden="1">#REF!</definedName>
    <definedName name="UNIFORMANCES3R15C2" localSheetId="49" hidden="1">#REF!</definedName>
    <definedName name="UNIFORMANCES3R15C2" localSheetId="57" hidden="1">#REF!</definedName>
    <definedName name="UNIFORMANCES3R15C2" localSheetId="59" hidden="1">#REF!</definedName>
    <definedName name="UNIFORMANCES3R15C2" localSheetId="40" hidden="1">#REF!</definedName>
    <definedName name="UNIFORMANCES3R15C2" localSheetId="43" hidden="1">#REF!</definedName>
    <definedName name="UNIFORMANCES3R15C2" localSheetId="55" hidden="1">#REF!</definedName>
    <definedName name="UNIFORMANCES3R15C2" localSheetId="13" hidden="1">#REF!</definedName>
    <definedName name="UNIFORMANCES3R15C2" localSheetId="11" hidden="1">#REF!</definedName>
    <definedName name="UNIFORMANCES3R15C2" localSheetId="38" hidden="1">#REF!</definedName>
    <definedName name="UNIFORMANCES3R15C2" localSheetId="41" hidden="1">#REF!</definedName>
    <definedName name="UNIFORMANCES3R15C2" localSheetId="101" hidden="1">#REF!</definedName>
    <definedName name="UNIFORMANCES3R15C2" localSheetId="102" hidden="1">#REF!</definedName>
    <definedName name="UNIFORMANCES3R15C2" localSheetId="103" hidden="1">#REF!</definedName>
    <definedName name="UNIFORMANCES3R15C2" localSheetId="97" hidden="1">#REF!</definedName>
    <definedName name="UNIFORMANCES3R15C2" localSheetId="42" hidden="1">#REF!</definedName>
    <definedName name="UNIFORMANCES3R15C2" localSheetId="12" hidden="1">#REF!</definedName>
    <definedName name="UNIFORMANCES3R15C2" localSheetId="73" hidden="1">#REF!</definedName>
    <definedName name="UNIFORMANCES3R15C2" localSheetId="74" hidden="1">#REF!</definedName>
    <definedName name="UNIFORMANCES3R15C2" hidden="1">#REF!</definedName>
    <definedName name="UNIFORMANCES3R15C20" localSheetId="3" hidden="1">#REF!</definedName>
    <definedName name="UNIFORMANCES3R15C20" localSheetId="7" hidden="1">#REF!</definedName>
    <definedName name="UNIFORMANCES3R15C20" localSheetId="9" hidden="1">#REF!</definedName>
    <definedName name="UNIFORMANCES3R15C20" localSheetId="10" hidden="1">#REF!</definedName>
    <definedName name="UNIFORMANCES3R15C20" localSheetId="15" hidden="1">#REF!</definedName>
    <definedName name="UNIFORMANCES3R15C20" localSheetId="18" hidden="1">#REF!</definedName>
    <definedName name="UNIFORMANCES3R15C20" localSheetId="19" hidden="1">#REF!</definedName>
    <definedName name="UNIFORMANCES3R15C20" localSheetId="20" hidden="1">#REF!</definedName>
    <definedName name="UNIFORMANCES3R15C20" localSheetId="23" hidden="1">#REF!</definedName>
    <definedName name="UNIFORMANCES3R15C20" localSheetId="24" hidden="1">#REF!</definedName>
    <definedName name="UNIFORMANCES3R15C20" localSheetId="35" hidden="1">#REF!</definedName>
    <definedName name="UNIFORMANCES3R15C20" localSheetId="58" hidden="1">#REF!</definedName>
    <definedName name="UNIFORMANCES3R15C20" localSheetId="60" hidden="1">#REF!</definedName>
    <definedName name="UNIFORMANCES3R15C20" localSheetId="51" hidden="1">#REF!</definedName>
    <definedName name="UNIFORMANCES3R15C20" localSheetId="54" hidden="1">#REF!</definedName>
    <definedName name="UNIFORMANCES3R15C20" localSheetId="47" hidden="1">#REF!</definedName>
    <definedName name="UNIFORMANCES3R15C20" localSheetId="105" hidden="1">#REF!</definedName>
    <definedName name="UNIFORMANCES3R15C20" localSheetId="104" hidden="1">#REF!</definedName>
    <definedName name="UNIFORMANCES3R15C20" localSheetId="88" hidden="1">#REF!</definedName>
    <definedName name="UNIFORMANCES3R15C20" localSheetId="89" hidden="1">#REF!</definedName>
    <definedName name="UNIFORMANCES3R15C20" localSheetId="87" hidden="1">#REF!</definedName>
    <definedName name="UNIFORMANCES3R15C20" localSheetId="90" hidden="1">#REF!</definedName>
    <definedName name="UNIFORMANCES3R15C20" localSheetId="70" hidden="1">#REF!</definedName>
    <definedName name="UNIFORMANCES3R15C20" localSheetId="65" hidden="1">#REF!</definedName>
    <definedName name="UNIFORMANCES3R15C20" localSheetId="64" hidden="1">#REF!</definedName>
    <definedName name="UNIFORMANCES3R15C20" localSheetId="77" hidden="1">#REF!</definedName>
    <definedName name="UNIFORMANCES3R15C20" localSheetId="49" hidden="1">#REF!</definedName>
    <definedName name="UNIFORMANCES3R15C20" localSheetId="57" hidden="1">#REF!</definedName>
    <definedName name="UNIFORMANCES3R15C20" localSheetId="59" hidden="1">#REF!</definedName>
    <definedName name="UNIFORMANCES3R15C20" localSheetId="40" hidden="1">#REF!</definedName>
    <definedName name="UNIFORMANCES3R15C20" localSheetId="43" hidden="1">#REF!</definedName>
    <definedName name="UNIFORMANCES3R15C20" localSheetId="55" hidden="1">#REF!</definedName>
    <definedName name="UNIFORMANCES3R15C20" localSheetId="13" hidden="1">#REF!</definedName>
    <definedName name="UNIFORMANCES3R15C20" localSheetId="11" hidden="1">#REF!</definedName>
    <definedName name="UNIFORMANCES3R15C20" localSheetId="38" hidden="1">#REF!</definedName>
    <definedName name="UNIFORMANCES3R15C20" localSheetId="41" hidden="1">#REF!</definedName>
    <definedName name="UNIFORMANCES3R15C20" localSheetId="101" hidden="1">#REF!</definedName>
    <definedName name="UNIFORMANCES3R15C20" localSheetId="102" hidden="1">#REF!</definedName>
    <definedName name="UNIFORMANCES3R15C20" localSheetId="103" hidden="1">#REF!</definedName>
    <definedName name="UNIFORMANCES3R15C20" localSheetId="97" hidden="1">#REF!</definedName>
    <definedName name="UNIFORMANCES3R15C20" localSheetId="42" hidden="1">#REF!</definedName>
    <definedName name="UNIFORMANCES3R15C20" localSheetId="12" hidden="1">#REF!</definedName>
    <definedName name="UNIFORMANCES3R15C20" localSheetId="73" hidden="1">#REF!</definedName>
    <definedName name="UNIFORMANCES3R15C20" localSheetId="74" hidden="1">#REF!</definedName>
    <definedName name="UNIFORMANCES3R15C20" hidden="1">#REF!</definedName>
    <definedName name="UNIFORMANCES3R15C21" localSheetId="3" hidden="1">#REF!</definedName>
    <definedName name="UNIFORMANCES3R15C21" localSheetId="7" hidden="1">#REF!</definedName>
    <definedName name="UNIFORMANCES3R15C21" localSheetId="9" hidden="1">#REF!</definedName>
    <definedName name="UNIFORMANCES3R15C21" localSheetId="10" hidden="1">#REF!</definedName>
    <definedName name="UNIFORMANCES3R15C21" localSheetId="15" hidden="1">#REF!</definedName>
    <definedName name="UNIFORMANCES3R15C21" localSheetId="18" hidden="1">#REF!</definedName>
    <definedName name="UNIFORMANCES3R15C21" localSheetId="19" hidden="1">#REF!</definedName>
    <definedName name="UNIFORMANCES3R15C21" localSheetId="20" hidden="1">#REF!</definedName>
    <definedName name="UNIFORMANCES3R15C21" localSheetId="23" hidden="1">#REF!</definedName>
    <definedName name="UNIFORMANCES3R15C21" localSheetId="24" hidden="1">#REF!</definedName>
    <definedName name="UNIFORMANCES3R15C21" localSheetId="35" hidden="1">#REF!</definedName>
    <definedName name="UNIFORMANCES3R15C21" localSheetId="58" hidden="1">#REF!</definedName>
    <definedName name="UNIFORMANCES3R15C21" localSheetId="60" hidden="1">#REF!</definedName>
    <definedName name="UNIFORMANCES3R15C21" localSheetId="51" hidden="1">#REF!</definedName>
    <definedName name="UNIFORMANCES3R15C21" localSheetId="54" hidden="1">#REF!</definedName>
    <definedName name="UNIFORMANCES3R15C21" localSheetId="47" hidden="1">#REF!</definedName>
    <definedName name="UNIFORMANCES3R15C21" localSheetId="105" hidden="1">#REF!</definedName>
    <definedName name="UNIFORMANCES3R15C21" localSheetId="104" hidden="1">#REF!</definedName>
    <definedName name="UNIFORMANCES3R15C21" localSheetId="88" hidden="1">#REF!</definedName>
    <definedName name="UNIFORMANCES3R15C21" localSheetId="89" hidden="1">#REF!</definedName>
    <definedName name="UNIFORMANCES3R15C21" localSheetId="87" hidden="1">#REF!</definedName>
    <definedName name="UNIFORMANCES3R15C21" localSheetId="90" hidden="1">#REF!</definedName>
    <definedName name="UNIFORMANCES3R15C21" localSheetId="70" hidden="1">#REF!</definedName>
    <definedName name="UNIFORMANCES3R15C21" localSheetId="65" hidden="1">#REF!</definedName>
    <definedName name="UNIFORMANCES3R15C21" localSheetId="64" hidden="1">#REF!</definedName>
    <definedName name="UNIFORMANCES3R15C21" localSheetId="77" hidden="1">#REF!</definedName>
    <definedName name="UNIFORMANCES3R15C21" localSheetId="49" hidden="1">#REF!</definedName>
    <definedName name="UNIFORMANCES3R15C21" localSheetId="57" hidden="1">#REF!</definedName>
    <definedName name="UNIFORMANCES3R15C21" localSheetId="59" hidden="1">#REF!</definedName>
    <definedName name="UNIFORMANCES3R15C21" localSheetId="40" hidden="1">#REF!</definedName>
    <definedName name="UNIFORMANCES3R15C21" localSheetId="43" hidden="1">#REF!</definedName>
    <definedName name="UNIFORMANCES3R15C21" localSheetId="55" hidden="1">#REF!</definedName>
    <definedName name="UNIFORMANCES3R15C21" localSheetId="13" hidden="1">#REF!</definedName>
    <definedName name="UNIFORMANCES3R15C21" localSheetId="11" hidden="1">#REF!</definedName>
    <definedName name="UNIFORMANCES3R15C21" localSheetId="38" hidden="1">#REF!</definedName>
    <definedName name="UNIFORMANCES3R15C21" localSheetId="41" hidden="1">#REF!</definedName>
    <definedName name="UNIFORMANCES3R15C21" localSheetId="101" hidden="1">#REF!</definedName>
    <definedName name="UNIFORMANCES3R15C21" localSheetId="102" hidden="1">#REF!</definedName>
    <definedName name="UNIFORMANCES3R15C21" localSheetId="103" hidden="1">#REF!</definedName>
    <definedName name="UNIFORMANCES3R15C21" localSheetId="97" hidden="1">#REF!</definedName>
    <definedName name="UNIFORMANCES3R15C21" localSheetId="42" hidden="1">#REF!</definedName>
    <definedName name="UNIFORMANCES3R15C21" localSheetId="12" hidden="1">#REF!</definedName>
    <definedName name="UNIFORMANCES3R15C21" localSheetId="73" hidden="1">#REF!</definedName>
    <definedName name="UNIFORMANCES3R15C21" localSheetId="74" hidden="1">#REF!</definedName>
    <definedName name="UNIFORMANCES3R15C21" hidden="1">#REF!</definedName>
    <definedName name="UNIFORMANCES3R15C22" localSheetId="3" hidden="1">#REF!</definedName>
    <definedName name="UNIFORMANCES3R15C22" localSheetId="7" hidden="1">#REF!</definedName>
    <definedName name="UNIFORMANCES3R15C22" localSheetId="9" hidden="1">#REF!</definedName>
    <definedName name="UNIFORMANCES3R15C22" localSheetId="10" hidden="1">#REF!</definedName>
    <definedName name="UNIFORMANCES3R15C22" localSheetId="15" hidden="1">#REF!</definedName>
    <definedName name="UNIFORMANCES3R15C22" localSheetId="18" hidden="1">#REF!</definedName>
    <definedName name="UNIFORMANCES3R15C22" localSheetId="19" hidden="1">#REF!</definedName>
    <definedName name="UNIFORMANCES3R15C22" localSheetId="20" hidden="1">#REF!</definedName>
    <definedName name="UNIFORMANCES3R15C22" localSheetId="23" hidden="1">#REF!</definedName>
    <definedName name="UNIFORMANCES3R15C22" localSheetId="24" hidden="1">#REF!</definedName>
    <definedName name="UNIFORMANCES3R15C22" localSheetId="35" hidden="1">#REF!</definedName>
    <definedName name="UNIFORMANCES3R15C22" localSheetId="58" hidden="1">#REF!</definedName>
    <definedName name="UNIFORMANCES3R15C22" localSheetId="60" hidden="1">#REF!</definedName>
    <definedName name="UNIFORMANCES3R15C22" localSheetId="51" hidden="1">#REF!</definedName>
    <definedName name="UNIFORMANCES3R15C22" localSheetId="54" hidden="1">#REF!</definedName>
    <definedName name="UNIFORMANCES3R15C22" localSheetId="47" hidden="1">#REF!</definedName>
    <definedName name="UNIFORMANCES3R15C22" localSheetId="105" hidden="1">#REF!</definedName>
    <definedName name="UNIFORMANCES3R15C22" localSheetId="104" hidden="1">#REF!</definedName>
    <definedName name="UNIFORMANCES3R15C22" localSheetId="88" hidden="1">#REF!</definedName>
    <definedName name="UNIFORMANCES3R15C22" localSheetId="89" hidden="1">#REF!</definedName>
    <definedName name="UNIFORMANCES3R15C22" localSheetId="87" hidden="1">#REF!</definedName>
    <definedName name="UNIFORMANCES3R15C22" localSheetId="90" hidden="1">#REF!</definedName>
    <definedName name="UNIFORMANCES3R15C22" localSheetId="70" hidden="1">#REF!</definedName>
    <definedName name="UNIFORMANCES3R15C22" localSheetId="65" hidden="1">#REF!</definedName>
    <definedName name="UNIFORMANCES3R15C22" localSheetId="64" hidden="1">#REF!</definedName>
    <definedName name="UNIFORMANCES3R15C22" localSheetId="77" hidden="1">#REF!</definedName>
    <definedName name="UNIFORMANCES3R15C22" localSheetId="49" hidden="1">#REF!</definedName>
    <definedName name="UNIFORMANCES3R15C22" localSheetId="57" hidden="1">#REF!</definedName>
    <definedName name="UNIFORMANCES3R15C22" localSheetId="59" hidden="1">#REF!</definedName>
    <definedName name="UNIFORMANCES3R15C22" localSheetId="40" hidden="1">#REF!</definedName>
    <definedName name="UNIFORMANCES3R15C22" localSheetId="43" hidden="1">#REF!</definedName>
    <definedName name="UNIFORMANCES3R15C22" localSheetId="55" hidden="1">#REF!</definedName>
    <definedName name="UNIFORMANCES3R15C22" localSheetId="13" hidden="1">#REF!</definedName>
    <definedName name="UNIFORMANCES3R15C22" localSheetId="11" hidden="1">#REF!</definedName>
    <definedName name="UNIFORMANCES3R15C22" localSheetId="38" hidden="1">#REF!</definedName>
    <definedName name="UNIFORMANCES3R15C22" localSheetId="41" hidden="1">#REF!</definedName>
    <definedName name="UNIFORMANCES3R15C22" localSheetId="101" hidden="1">#REF!</definedName>
    <definedName name="UNIFORMANCES3R15C22" localSheetId="102" hidden="1">#REF!</definedName>
    <definedName name="UNIFORMANCES3R15C22" localSheetId="103" hidden="1">#REF!</definedName>
    <definedName name="UNIFORMANCES3R15C22" localSheetId="97" hidden="1">#REF!</definedName>
    <definedName name="UNIFORMANCES3R15C22" localSheetId="42" hidden="1">#REF!</definedName>
    <definedName name="UNIFORMANCES3R15C22" localSheetId="12" hidden="1">#REF!</definedName>
    <definedName name="UNIFORMANCES3R15C22" localSheetId="73" hidden="1">#REF!</definedName>
    <definedName name="UNIFORMANCES3R15C22" localSheetId="74" hidden="1">#REF!</definedName>
    <definedName name="UNIFORMANCES3R15C22" hidden="1">#REF!</definedName>
    <definedName name="UNIFORMANCES3R15C23" localSheetId="3" hidden="1">#REF!</definedName>
    <definedName name="UNIFORMANCES3R15C23" localSheetId="7" hidden="1">#REF!</definedName>
    <definedName name="UNIFORMANCES3R15C23" localSheetId="9" hidden="1">#REF!</definedName>
    <definedName name="UNIFORMANCES3R15C23" localSheetId="10" hidden="1">#REF!</definedName>
    <definedName name="UNIFORMANCES3R15C23" localSheetId="15" hidden="1">#REF!</definedName>
    <definedName name="UNIFORMANCES3R15C23" localSheetId="18" hidden="1">#REF!</definedName>
    <definedName name="UNIFORMANCES3R15C23" localSheetId="19" hidden="1">#REF!</definedName>
    <definedName name="UNIFORMANCES3R15C23" localSheetId="20" hidden="1">#REF!</definedName>
    <definedName name="UNIFORMANCES3R15C23" localSheetId="23" hidden="1">#REF!</definedName>
    <definedName name="UNIFORMANCES3R15C23" localSheetId="24" hidden="1">#REF!</definedName>
    <definedName name="UNIFORMANCES3R15C23" localSheetId="35" hidden="1">#REF!</definedName>
    <definedName name="UNIFORMANCES3R15C23" localSheetId="58" hidden="1">#REF!</definedName>
    <definedName name="UNIFORMANCES3R15C23" localSheetId="60" hidden="1">#REF!</definedName>
    <definedName name="UNIFORMANCES3R15C23" localSheetId="51" hidden="1">#REF!</definedName>
    <definedName name="UNIFORMANCES3R15C23" localSheetId="54" hidden="1">#REF!</definedName>
    <definedName name="UNIFORMANCES3R15C23" localSheetId="47" hidden="1">#REF!</definedName>
    <definedName name="UNIFORMANCES3R15C23" localSheetId="105" hidden="1">#REF!</definedName>
    <definedName name="UNIFORMANCES3R15C23" localSheetId="104" hidden="1">#REF!</definedName>
    <definedName name="UNIFORMANCES3R15C23" localSheetId="88" hidden="1">#REF!</definedName>
    <definedName name="UNIFORMANCES3R15C23" localSheetId="89" hidden="1">#REF!</definedName>
    <definedName name="UNIFORMANCES3R15C23" localSheetId="87" hidden="1">#REF!</definedName>
    <definedName name="UNIFORMANCES3R15C23" localSheetId="90" hidden="1">#REF!</definedName>
    <definedName name="UNIFORMANCES3R15C23" localSheetId="70" hidden="1">#REF!</definedName>
    <definedName name="UNIFORMANCES3R15C23" localSheetId="65" hidden="1">#REF!</definedName>
    <definedName name="UNIFORMANCES3R15C23" localSheetId="64" hidden="1">#REF!</definedName>
    <definedName name="UNIFORMANCES3R15C23" localSheetId="77" hidden="1">#REF!</definedName>
    <definedName name="UNIFORMANCES3R15C23" localSheetId="49" hidden="1">#REF!</definedName>
    <definedName name="UNIFORMANCES3R15C23" localSheetId="57" hidden="1">#REF!</definedName>
    <definedName name="UNIFORMANCES3R15C23" localSheetId="59" hidden="1">#REF!</definedName>
    <definedName name="UNIFORMANCES3R15C23" localSheetId="40" hidden="1">#REF!</definedName>
    <definedName name="UNIFORMANCES3R15C23" localSheetId="43" hidden="1">#REF!</definedName>
    <definedName name="UNIFORMANCES3R15C23" localSheetId="55" hidden="1">#REF!</definedName>
    <definedName name="UNIFORMANCES3R15C23" localSheetId="13" hidden="1">#REF!</definedName>
    <definedName name="UNIFORMANCES3R15C23" localSheetId="11" hidden="1">#REF!</definedName>
    <definedName name="UNIFORMANCES3R15C23" localSheetId="38" hidden="1">#REF!</definedName>
    <definedName name="UNIFORMANCES3R15C23" localSheetId="41" hidden="1">#REF!</definedName>
    <definedName name="UNIFORMANCES3R15C23" localSheetId="101" hidden="1">#REF!</definedName>
    <definedName name="UNIFORMANCES3R15C23" localSheetId="102" hidden="1">#REF!</definedName>
    <definedName name="UNIFORMANCES3R15C23" localSheetId="103" hidden="1">#REF!</definedName>
    <definedName name="UNIFORMANCES3R15C23" localSheetId="97" hidden="1">#REF!</definedName>
    <definedName name="UNIFORMANCES3R15C23" localSheetId="42" hidden="1">#REF!</definedName>
    <definedName name="UNIFORMANCES3R15C23" localSheetId="12" hidden="1">#REF!</definedName>
    <definedName name="UNIFORMANCES3R15C23" localSheetId="73" hidden="1">#REF!</definedName>
    <definedName name="UNIFORMANCES3R15C23" localSheetId="74" hidden="1">#REF!</definedName>
    <definedName name="UNIFORMANCES3R15C23" hidden="1">#REF!</definedName>
    <definedName name="UNIFORMANCES3R15C24" localSheetId="3" hidden="1">#REF!</definedName>
    <definedName name="UNIFORMANCES3R15C24" localSheetId="7" hidden="1">#REF!</definedName>
    <definedName name="UNIFORMANCES3R15C24" localSheetId="9" hidden="1">#REF!</definedName>
    <definedName name="UNIFORMANCES3R15C24" localSheetId="10" hidden="1">#REF!</definedName>
    <definedName name="UNIFORMANCES3R15C24" localSheetId="15" hidden="1">#REF!</definedName>
    <definedName name="UNIFORMANCES3R15C24" localSheetId="18" hidden="1">#REF!</definedName>
    <definedName name="UNIFORMANCES3R15C24" localSheetId="19" hidden="1">#REF!</definedName>
    <definedName name="UNIFORMANCES3R15C24" localSheetId="20" hidden="1">#REF!</definedName>
    <definedName name="UNIFORMANCES3R15C24" localSheetId="23" hidden="1">#REF!</definedName>
    <definedName name="UNIFORMANCES3R15C24" localSheetId="24" hidden="1">#REF!</definedName>
    <definedName name="UNIFORMANCES3R15C24" localSheetId="35" hidden="1">#REF!</definedName>
    <definedName name="UNIFORMANCES3R15C24" localSheetId="58" hidden="1">#REF!</definedName>
    <definedName name="UNIFORMANCES3R15C24" localSheetId="60" hidden="1">#REF!</definedName>
    <definedName name="UNIFORMANCES3R15C24" localSheetId="51" hidden="1">#REF!</definedName>
    <definedName name="UNIFORMANCES3R15C24" localSheetId="54" hidden="1">#REF!</definedName>
    <definedName name="UNIFORMANCES3R15C24" localSheetId="47" hidden="1">#REF!</definedName>
    <definedName name="UNIFORMANCES3R15C24" localSheetId="105" hidden="1">#REF!</definedName>
    <definedName name="UNIFORMANCES3R15C24" localSheetId="104" hidden="1">#REF!</definedName>
    <definedName name="UNIFORMANCES3R15C24" localSheetId="88" hidden="1">#REF!</definedName>
    <definedName name="UNIFORMANCES3R15C24" localSheetId="89" hidden="1">#REF!</definedName>
    <definedName name="UNIFORMANCES3R15C24" localSheetId="87" hidden="1">#REF!</definedName>
    <definedName name="UNIFORMANCES3R15C24" localSheetId="90" hidden="1">#REF!</definedName>
    <definedName name="UNIFORMANCES3R15C24" localSheetId="70" hidden="1">#REF!</definedName>
    <definedName name="UNIFORMANCES3R15C24" localSheetId="65" hidden="1">#REF!</definedName>
    <definedName name="UNIFORMANCES3R15C24" localSheetId="64" hidden="1">#REF!</definedName>
    <definedName name="UNIFORMANCES3R15C24" localSheetId="77" hidden="1">#REF!</definedName>
    <definedName name="UNIFORMANCES3R15C24" localSheetId="49" hidden="1">#REF!</definedName>
    <definedName name="UNIFORMANCES3R15C24" localSheetId="57" hidden="1">#REF!</definedName>
    <definedName name="UNIFORMANCES3R15C24" localSheetId="59" hidden="1">#REF!</definedName>
    <definedName name="UNIFORMANCES3R15C24" localSheetId="40" hidden="1">#REF!</definedName>
    <definedName name="UNIFORMANCES3R15C24" localSheetId="43" hidden="1">#REF!</definedName>
    <definedName name="UNIFORMANCES3R15C24" localSheetId="55" hidden="1">#REF!</definedName>
    <definedName name="UNIFORMANCES3R15C24" localSheetId="13" hidden="1">#REF!</definedName>
    <definedName name="UNIFORMANCES3R15C24" localSheetId="11" hidden="1">#REF!</definedName>
    <definedName name="UNIFORMANCES3R15C24" localSheetId="38" hidden="1">#REF!</definedName>
    <definedName name="UNIFORMANCES3R15C24" localSheetId="41" hidden="1">#REF!</definedName>
    <definedName name="UNIFORMANCES3R15C24" localSheetId="101" hidden="1">#REF!</definedName>
    <definedName name="UNIFORMANCES3R15C24" localSheetId="102" hidden="1">#REF!</definedName>
    <definedName name="UNIFORMANCES3R15C24" localSheetId="103" hidden="1">#REF!</definedName>
    <definedName name="UNIFORMANCES3R15C24" localSheetId="97" hidden="1">#REF!</definedName>
    <definedName name="UNIFORMANCES3R15C24" localSheetId="42" hidden="1">#REF!</definedName>
    <definedName name="UNIFORMANCES3R15C24" localSheetId="12" hidden="1">#REF!</definedName>
    <definedName name="UNIFORMANCES3R15C24" localSheetId="73" hidden="1">#REF!</definedName>
    <definedName name="UNIFORMANCES3R15C24" localSheetId="74" hidden="1">#REF!</definedName>
    <definedName name="UNIFORMANCES3R15C24" hidden="1">#REF!</definedName>
    <definedName name="UNIFORMANCES3R15C25" localSheetId="3" hidden="1">#REF!</definedName>
    <definedName name="UNIFORMANCES3R15C25" localSheetId="7" hidden="1">#REF!</definedName>
    <definedName name="UNIFORMANCES3R15C25" localSheetId="9" hidden="1">#REF!</definedName>
    <definedName name="UNIFORMANCES3R15C25" localSheetId="10" hidden="1">#REF!</definedName>
    <definedName name="UNIFORMANCES3R15C25" localSheetId="15" hidden="1">#REF!</definedName>
    <definedName name="UNIFORMANCES3R15C25" localSheetId="18" hidden="1">#REF!</definedName>
    <definedName name="UNIFORMANCES3R15C25" localSheetId="19" hidden="1">#REF!</definedName>
    <definedName name="UNIFORMANCES3R15C25" localSheetId="20" hidden="1">#REF!</definedName>
    <definedName name="UNIFORMANCES3R15C25" localSheetId="23" hidden="1">#REF!</definedName>
    <definedName name="UNIFORMANCES3R15C25" localSheetId="24" hidden="1">#REF!</definedName>
    <definedName name="UNIFORMANCES3R15C25" localSheetId="35" hidden="1">#REF!</definedName>
    <definedName name="UNIFORMANCES3R15C25" localSheetId="58" hidden="1">#REF!</definedName>
    <definedName name="UNIFORMANCES3R15C25" localSheetId="60" hidden="1">#REF!</definedName>
    <definedName name="UNIFORMANCES3R15C25" localSheetId="51" hidden="1">#REF!</definedName>
    <definedName name="UNIFORMANCES3R15C25" localSheetId="54" hidden="1">#REF!</definedName>
    <definedName name="UNIFORMANCES3R15C25" localSheetId="47" hidden="1">#REF!</definedName>
    <definedName name="UNIFORMANCES3R15C25" localSheetId="105" hidden="1">#REF!</definedName>
    <definedName name="UNIFORMANCES3R15C25" localSheetId="104" hidden="1">#REF!</definedName>
    <definedName name="UNIFORMANCES3R15C25" localSheetId="88" hidden="1">#REF!</definedName>
    <definedName name="UNIFORMANCES3R15C25" localSheetId="89" hidden="1">#REF!</definedName>
    <definedName name="UNIFORMANCES3R15C25" localSheetId="87" hidden="1">#REF!</definedName>
    <definedName name="UNIFORMANCES3R15C25" localSheetId="90" hidden="1">#REF!</definedName>
    <definedName name="UNIFORMANCES3R15C25" localSheetId="70" hidden="1">#REF!</definedName>
    <definedName name="UNIFORMANCES3R15C25" localSheetId="65" hidden="1">#REF!</definedName>
    <definedName name="UNIFORMANCES3R15C25" localSheetId="64" hidden="1">#REF!</definedName>
    <definedName name="UNIFORMANCES3R15C25" localSheetId="77" hidden="1">#REF!</definedName>
    <definedName name="UNIFORMANCES3R15C25" localSheetId="49" hidden="1">#REF!</definedName>
    <definedName name="UNIFORMANCES3R15C25" localSheetId="57" hidden="1">#REF!</definedName>
    <definedName name="UNIFORMANCES3R15C25" localSheetId="59" hidden="1">#REF!</definedName>
    <definedName name="UNIFORMANCES3R15C25" localSheetId="40" hidden="1">#REF!</definedName>
    <definedName name="UNIFORMANCES3R15C25" localSheetId="43" hidden="1">#REF!</definedName>
    <definedName name="UNIFORMANCES3R15C25" localSheetId="55" hidden="1">#REF!</definedName>
    <definedName name="UNIFORMANCES3R15C25" localSheetId="13" hidden="1">#REF!</definedName>
    <definedName name="UNIFORMANCES3R15C25" localSheetId="11" hidden="1">#REF!</definedName>
    <definedName name="UNIFORMANCES3R15C25" localSheetId="38" hidden="1">#REF!</definedName>
    <definedName name="UNIFORMANCES3R15C25" localSheetId="41" hidden="1">#REF!</definedName>
    <definedName name="UNIFORMANCES3R15C25" localSheetId="101" hidden="1">#REF!</definedName>
    <definedName name="UNIFORMANCES3R15C25" localSheetId="102" hidden="1">#REF!</definedName>
    <definedName name="UNIFORMANCES3R15C25" localSheetId="103" hidden="1">#REF!</definedName>
    <definedName name="UNIFORMANCES3R15C25" localSheetId="97" hidden="1">#REF!</definedName>
    <definedName name="UNIFORMANCES3R15C25" localSheetId="42" hidden="1">#REF!</definedName>
    <definedName name="UNIFORMANCES3R15C25" localSheetId="12" hidden="1">#REF!</definedName>
    <definedName name="UNIFORMANCES3R15C25" localSheetId="73" hidden="1">#REF!</definedName>
    <definedName name="UNIFORMANCES3R15C25" localSheetId="74" hidden="1">#REF!</definedName>
    <definedName name="UNIFORMANCES3R15C25" hidden="1">#REF!</definedName>
    <definedName name="UNIFORMANCES3R15C26" localSheetId="3" hidden="1">#REF!</definedName>
    <definedName name="UNIFORMANCES3R15C26" localSheetId="7" hidden="1">#REF!</definedName>
    <definedName name="UNIFORMANCES3R15C26" localSheetId="9" hidden="1">#REF!</definedName>
    <definedName name="UNIFORMANCES3R15C26" localSheetId="10" hidden="1">#REF!</definedName>
    <definedName name="UNIFORMANCES3R15C26" localSheetId="15" hidden="1">#REF!</definedName>
    <definedName name="UNIFORMANCES3R15C26" localSheetId="18" hidden="1">#REF!</definedName>
    <definedName name="UNIFORMANCES3R15C26" localSheetId="19" hidden="1">#REF!</definedName>
    <definedName name="UNIFORMANCES3R15C26" localSheetId="20" hidden="1">#REF!</definedName>
    <definedName name="UNIFORMANCES3R15C26" localSheetId="23" hidden="1">#REF!</definedName>
    <definedName name="UNIFORMANCES3R15C26" localSheetId="24" hidden="1">#REF!</definedName>
    <definedName name="UNIFORMANCES3R15C26" localSheetId="35" hidden="1">#REF!</definedName>
    <definedName name="UNIFORMANCES3R15C26" localSheetId="58" hidden="1">#REF!</definedName>
    <definedName name="UNIFORMANCES3R15C26" localSheetId="60" hidden="1">#REF!</definedName>
    <definedName name="UNIFORMANCES3R15C26" localSheetId="51" hidden="1">#REF!</definedName>
    <definedName name="UNIFORMANCES3R15C26" localSheetId="54" hidden="1">#REF!</definedName>
    <definedName name="UNIFORMANCES3R15C26" localSheetId="47" hidden="1">#REF!</definedName>
    <definedName name="UNIFORMANCES3R15C26" localSheetId="105" hidden="1">#REF!</definedName>
    <definedName name="UNIFORMANCES3R15C26" localSheetId="104" hidden="1">#REF!</definedName>
    <definedName name="UNIFORMANCES3R15C26" localSheetId="88" hidden="1">#REF!</definedName>
    <definedName name="UNIFORMANCES3R15C26" localSheetId="89" hidden="1">#REF!</definedName>
    <definedName name="UNIFORMANCES3R15C26" localSheetId="87" hidden="1">#REF!</definedName>
    <definedName name="UNIFORMANCES3R15C26" localSheetId="90" hidden="1">#REF!</definedName>
    <definedName name="UNIFORMANCES3R15C26" localSheetId="70" hidden="1">#REF!</definedName>
    <definedName name="UNIFORMANCES3R15C26" localSheetId="65" hidden="1">#REF!</definedName>
    <definedName name="UNIFORMANCES3R15C26" localSheetId="64" hidden="1">#REF!</definedName>
    <definedName name="UNIFORMANCES3R15C26" localSheetId="77" hidden="1">#REF!</definedName>
    <definedName name="UNIFORMANCES3R15C26" localSheetId="49" hidden="1">#REF!</definedName>
    <definedName name="UNIFORMANCES3R15C26" localSheetId="57" hidden="1">#REF!</definedName>
    <definedName name="UNIFORMANCES3R15C26" localSheetId="59" hidden="1">#REF!</definedName>
    <definedName name="UNIFORMANCES3R15C26" localSheetId="40" hidden="1">#REF!</definedName>
    <definedName name="UNIFORMANCES3R15C26" localSheetId="43" hidden="1">#REF!</definedName>
    <definedName name="UNIFORMANCES3R15C26" localSheetId="55" hidden="1">#REF!</definedName>
    <definedName name="UNIFORMANCES3R15C26" localSheetId="13" hidden="1">#REF!</definedName>
    <definedName name="UNIFORMANCES3R15C26" localSheetId="11" hidden="1">#REF!</definedName>
    <definedName name="UNIFORMANCES3R15C26" localSheetId="38" hidden="1">#REF!</definedName>
    <definedName name="UNIFORMANCES3R15C26" localSheetId="41" hidden="1">#REF!</definedName>
    <definedName name="UNIFORMANCES3R15C26" localSheetId="101" hidden="1">#REF!</definedName>
    <definedName name="UNIFORMANCES3R15C26" localSheetId="102" hidden="1">#REF!</definedName>
    <definedName name="UNIFORMANCES3R15C26" localSheetId="103" hidden="1">#REF!</definedName>
    <definedName name="UNIFORMANCES3R15C26" localSheetId="97" hidden="1">#REF!</definedName>
    <definedName name="UNIFORMANCES3R15C26" localSheetId="42" hidden="1">#REF!</definedName>
    <definedName name="UNIFORMANCES3R15C26" localSheetId="12" hidden="1">#REF!</definedName>
    <definedName name="UNIFORMANCES3R15C26" localSheetId="73" hidden="1">#REF!</definedName>
    <definedName name="UNIFORMANCES3R15C26" localSheetId="74" hidden="1">#REF!</definedName>
    <definedName name="UNIFORMANCES3R15C26" hidden="1">#REF!</definedName>
    <definedName name="UNIFORMANCES3R15C27" localSheetId="3" hidden="1">#REF!</definedName>
    <definedName name="UNIFORMANCES3R15C27" localSheetId="7" hidden="1">#REF!</definedName>
    <definedName name="UNIFORMANCES3R15C27" localSheetId="9" hidden="1">#REF!</definedName>
    <definedName name="UNIFORMANCES3R15C27" localSheetId="10" hidden="1">#REF!</definedName>
    <definedName name="UNIFORMANCES3R15C27" localSheetId="15" hidden="1">#REF!</definedName>
    <definedName name="UNIFORMANCES3R15C27" localSheetId="18" hidden="1">#REF!</definedName>
    <definedName name="UNIFORMANCES3R15C27" localSheetId="19" hidden="1">#REF!</definedName>
    <definedName name="UNIFORMANCES3R15C27" localSheetId="20" hidden="1">#REF!</definedName>
    <definedName name="UNIFORMANCES3R15C27" localSheetId="23" hidden="1">#REF!</definedName>
    <definedName name="UNIFORMANCES3R15C27" localSheetId="24" hidden="1">#REF!</definedName>
    <definedName name="UNIFORMANCES3R15C27" localSheetId="35" hidden="1">#REF!</definedName>
    <definedName name="UNIFORMANCES3R15C27" localSheetId="58" hidden="1">#REF!</definedName>
    <definedName name="UNIFORMANCES3R15C27" localSheetId="60" hidden="1">#REF!</definedName>
    <definedName name="UNIFORMANCES3R15C27" localSheetId="51" hidden="1">#REF!</definedName>
    <definedName name="UNIFORMANCES3R15C27" localSheetId="54" hidden="1">#REF!</definedName>
    <definedName name="UNIFORMANCES3R15C27" localSheetId="47" hidden="1">#REF!</definedName>
    <definedName name="UNIFORMANCES3R15C27" localSheetId="105" hidden="1">#REF!</definedName>
    <definedName name="UNIFORMANCES3R15C27" localSheetId="104" hidden="1">#REF!</definedName>
    <definedName name="UNIFORMANCES3R15C27" localSheetId="88" hidden="1">#REF!</definedName>
    <definedName name="UNIFORMANCES3R15C27" localSheetId="89" hidden="1">#REF!</definedName>
    <definedName name="UNIFORMANCES3R15C27" localSheetId="87" hidden="1">#REF!</definedName>
    <definedName name="UNIFORMANCES3R15C27" localSheetId="90" hidden="1">#REF!</definedName>
    <definedName name="UNIFORMANCES3R15C27" localSheetId="70" hidden="1">#REF!</definedName>
    <definedName name="UNIFORMANCES3R15C27" localSheetId="65" hidden="1">#REF!</definedName>
    <definedName name="UNIFORMANCES3R15C27" localSheetId="64" hidden="1">#REF!</definedName>
    <definedName name="UNIFORMANCES3R15C27" localSheetId="77" hidden="1">#REF!</definedName>
    <definedName name="UNIFORMANCES3R15C27" localSheetId="49" hidden="1">#REF!</definedName>
    <definedName name="UNIFORMANCES3R15C27" localSheetId="57" hidden="1">#REF!</definedName>
    <definedName name="UNIFORMANCES3R15C27" localSheetId="59" hidden="1">#REF!</definedName>
    <definedName name="UNIFORMANCES3R15C27" localSheetId="40" hidden="1">#REF!</definedName>
    <definedName name="UNIFORMANCES3R15C27" localSheetId="43" hidden="1">#REF!</definedName>
    <definedName name="UNIFORMANCES3R15C27" localSheetId="55" hidden="1">#REF!</definedName>
    <definedName name="UNIFORMANCES3R15C27" localSheetId="13" hidden="1">#REF!</definedName>
    <definedName name="UNIFORMANCES3R15C27" localSheetId="11" hidden="1">#REF!</definedName>
    <definedName name="UNIFORMANCES3R15C27" localSheetId="38" hidden="1">#REF!</definedName>
    <definedName name="UNIFORMANCES3R15C27" localSheetId="41" hidden="1">#REF!</definedName>
    <definedName name="UNIFORMANCES3R15C27" localSheetId="101" hidden="1">#REF!</definedName>
    <definedName name="UNIFORMANCES3R15C27" localSheetId="102" hidden="1">#REF!</definedName>
    <definedName name="UNIFORMANCES3R15C27" localSheetId="103" hidden="1">#REF!</definedName>
    <definedName name="UNIFORMANCES3R15C27" localSheetId="97" hidden="1">#REF!</definedName>
    <definedName name="UNIFORMANCES3R15C27" localSheetId="42" hidden="1">#REF!</definedName>
    <definedName name="UNIFORMANCES3R15C27" localSheetId="12" hidden="1">#REF!</definedName>
    <definedName name="UNIFORMANCES3R15C27" localSheetId="73" hidden="1">#REF!</definedName>
    <definedName name="UNIFORMANCES3R15C27" localSheetId="74" hidden="1">#REF!</definedName>
    <definedName name="UNIFORMANCES3R15C27" hidden="1">#REF!</definedName>
    <definedName name="UNIFORMANCES3R15C28" localSheetId="3" hidden="1">#REF!</definedName>
    <definedName name="UNIFORMANCES3R15C28" localSheetId="7" hidden="1">#REF!</definedName>
    <definedName name="UNIFORMANCES3R15C28" localSheetId="9" hidden="1">#REF!</definedName>
    <definedName name="UNIFORMANCES3R15C28" localSheetId="10" hidden="1">#REF!</definedName>
    <definedName name="UNIFORMANCES3R15C28" localSheetId="15" hidden="1">#REF!</definedName>
    <definedName name="UNIFORMANCES3R15C28" localSheetId="18" hidden="1">#REF!</definedName>
    <definedName name="UNIFORMANCES3R15C28" localSheetId="19" hidden="1">#REF!</definedName>
    <definedName name="UNIFORMANCES3R15C28" localSheetId="20" hidden="1">#REF!</definedName>
    <definedName name="UNIFORMANCES3R15C28" localSheetId="23" hidden="1">#REF!</definedName>
    <definedName name="UNIFORMANCES3R15C28" localSheetId="24" hidden="1">#REF!</definedName>
    <definedName name="UNIFORMANCES3R15C28" localSheetId="35" hidden="1">#REF!</definedName>
    <definedName name="UNIFORMANCES3R15C28" localSheetId="58" hidden="1">#REF!</definedName>
    <definedName name="UNIFORMANCES3R15C28" localSheetId="60" hidden="1">#REF!</definedName>
    <definedName name="UNIFORMANCES3R15C28" localSheetId="51" hidden="1">#REF!</definedName>
    <definedName name="UNIFORMANCES3R15C28" localSheetId="54" hidden="1">#REF!</definedName>
    <definedName name="UNIFORMANCES3R15C28" localSheetId="47" hidden="1">#REF!</definedName>
    <definedName name="UNIFORMANCES3R15C28" localSheetId="105" hidden="1">#REF!</definedName>
    <definedName name="UNIFORMANCES3R15C28" localSheetId="104" hidden="1">#REF!</definedName>
    <definedName name="UNIFORMANCES3R15C28" localSheetId="88" hidden="1">#REF!</definedName>
    <definedName name="UNIFORMANCES3R15C28" localSheetId="89" hidden="1">#REF!</definedName>
    <definedName name="UNIFORMANCES3R15C28" localSheetId="87" hidden="1">#REF!</definedName>
    <definedName name="UNIFORMANCES3R15C28" localSheetId="90" hidden="1">#REF!</definedName>
    <definedName name="UNIFORMANCES3R15C28" localSheetId="70" hidden="1">#REF!</definedName>
    <definedName name="UNIFORMANCES3R15C28" localSheetId="65" hidden="1">#REF!</definedName>
    <definedName name="UNIFORMANCES3R15C28" localSheetId="64" hidden="1">#REF!</definedName>
    <definedName name="UNIFORMANCES3R15C28" localSheetId="77" hidden="1">#REF!</definedName>
    <definedName name="UNIFORMANCES3R15C28" localSheetId="49" hidden="1">#REF!</definedName>
    <definedName name="UNIFORMANCES3R15C28" localSheetId="57" hidden="1">#REF!</definedName>
    <definedName name="UNIFORMANCES3R15C28" localSheetId="59" hidden="1">#REF!</definedName>
    <definedName name="UNIFORMANCES3R15C28" localSheetId="40" hidden="1">#REF!</definedName>
    <definedName name="UNIFORMANCES3R15C28" localSheetId="43" hidden="1">#REF!</definedName>
    <definedName name="UNIFORMANCES3R15C28" localSheetId="55" hidden="1">#REF!</definedName>
    <definedName name="UNIFORMANCES3R15C28" localSheetId="13" hidden="1">#REF!</definedName>
    <definedName name="UNIFORMANCES3R15C28" localSheetId="11" hidden="1">#REF!</definedName>
    <definedName name="UNIFORMANCES3R15C28" localSheetId="38" hidden="1">#REF!</definedName>
    <definedName name="UNIFORMANCES3R15C28" localSheetId="41" hidden="1">#REF!</definedName>
    <definedName name="UNIFORMANCES3R15C28" localSheetId="101" hidden="1">#REF!</definedName>
    <definedName name="UNIFORMANCES3R15C28" localSheetId="102" hidden="1">#REF!</definedName>
    <definedName name="UNIFORMANCES3R15C28" localSheetId="103" hidden="1">#REF!</definedName>
    <definedName name="UNIFORMANCES3R15C28" localSheetId="97" hidden="1">#REF!</definedName>
    <definedName name="UNIFORMANCES3R15C28" localSheetId="42" hidden="1">#REF!</definedName>
    <definedName name="UNIFORMANCES3R15C28" localSheetId="12" hidden="1">#REF!</definedName>
    <definedName name="UNIFORMANCES3R15C28" localSheetId="73" hidden="1">#REF!</definedName>
    <definedName name="UNIFORMANCES3R15C28" localSheetId="74" hidden="1">#REF!</definedName>
    <definedName name="UNIFORMANCES3R15C28" hidden="1">#REF!</definedName>
    <definedName name="UNIFORMANCES3R15C29" localSheetId="3" hidden="1">#REF!</definedName>
    <definedName name="UNIFORMANCES3R15C29" localSheetId="7" hidden="1">#REF!</definedName>
    <definedName name="UNIFORMANCES3R15C29" localSheetId="9" hidden="1">#REF!</definedName>
    <definedName name="UNIFORMANCES3R15C29" localSheetId="10" hidden="1">#REF!</definedName>
    <definedName name="UNIFORMANCES3R15C29" localSheetId="15" hidden="1">#REF!</definedName>
    <definedName name="UNIFORMANCES3R15C29" localSheetId="18" hidden="1">#REF!</definedName>
    <definedName name="UNIFORMANCES3R15C29" localSheetId="19" hidden="1">#REF!</definedName>
    <definedName name="UNIFORMANCES3R15C29" localSheetId="20" hidden="1">#REF!</definedName>
    <definedName name="UNIFORMANCES3R15C29" localSheetId="23" hidden="1">#REF!</definedName>
    <definedName name="UNIFORMANCES3R15C29" localSheetId="24" hidden="1">#REF!</definedName>
    <definedName name="UNIFORMANCES3R15C29" localSheetId="35" hidden="1">#REF!</definedName>
    <definedName name="UNIFORMANCES3R15C29" localSheetId="58" hidden="1">#REF!</definedName>
    <definedName name="UNIFORMANCES3R15C29" localSheetId="60" hidden="1">#REF!</definedName>
    <definedName name="UNIFORMANCES3R15C29" localSheetId="51" hidden="1">#REF!</definedName>
    <definedName name="UNIFORMANCES3R15C29" localSheetId="54" hidden="1">#REF!</definedName>
    <definedName name="UNIFORMANCES3R15C29" localSheetId="47" hidden="1">#REF!</definedName>
    <definedName name="UNIFORMANCES3R15C29" localSheetId="105" hidden="1">#REF!</definedName>
    <definedName name="UNIFORMANCES3R15C29" localSheetId="104" hidden="1">#REF!</definedName>
    <definedName name="UNIFORMANCES3R15C29" localSheetId="88" hidden="1">#REF!</definedName>
    <definedName name="UNIFORMANCES3R15C29" localSheetId="89" hidden="1">#REF!</definedName>
    <definedName name="UNIFORMANCES3R15C29" localSheetId="87" hidden="1">#REF!</definedName>
    <definedName name="UNIFORMANCES3R15C29" localSheetId="90" hidden="1">#REF!</definedName>
    <definedName name="UNIFORMANCES3R15C29" localSheetId="70" hidden="1">#REF!</definedName>
    <definedName name="UNIFORMANCES3R15C29" localSheetId="65" hidden="1">#REF!</definedName>
    <definedName name="UNIFORMANCES3R15C29" localSheetId="64" hidden="1">#REF!</definedName>
    <definedName name="UNIFORMANCES3R15C29" localSheetId="77" hidden="1">#REF!</definedName>
    <definedName name="UNIFORMANCES3R15C29" localSheetId="49" hidden="1">#REF!</definedName>
    <definedName name="UNIFORMANCES3R15C29" localSheetId="57" hidden="1">#REF!</definedName>
    <definedName name="UNIFORMANCES3R15C29" localSheetId="59" hidden="1">#REF!</definedName>
    <definedName name="UNIFORMANCES3R15C29" localSheetId="40" hidden="1">#REF!</definedName>
    <definedName name="UNIFORMANCES3R15C29" localSheetId="43" hidden="1">#REF!</definedName>
    <definedName name="UNIFORMANCES3R15C29" localSheetId="55" hidden="1">#REF!</definedName>
    <definedName name="UNIFORMANCES3R15C29" localSheetId="13" hidden="1">#REF!</definedName>
    <definedName name="UNIFORMANCES3R15C29" localSheetId="11" hidden="1">#REF!</definedName>
    <definedName name="UNIFORMANCES3R15C29" localSheetId="38" hidden="1">#REF!</definedName>
    <definedName name="UNIFORMANCES3R15C29" localSheetId="41" hidden="1">#REF!</definedName>
    <definedName name="UNIFORMANCES3R15C29" localSheetId="101" hidden="1">#REF!</definedName>
    <definedName name="UNIFORMANCES3R15C29" localSheetId="102" hidden="1">#REF!</definedName>
    <definedName name="UNIFORMANCES3R15C29" localSheetId="103" hidden="1">#REF!</definedName>
    <definedName name="UNIFORMANCES3R15C29" localSheetId="97" hidden="1">#REF!</definedName>
    <definedName name="UNIFORMANCES3R15C29" localSheetId="42" hidden="1">#REF!</definedName>
    <definedName name="UNIFORMANCES3R15C29" localSheetId="12" hidden="1">#REF!</definedName>
    <definedName name="UNIFORMANCES3R15C29" localSheetId="73" hidden="1">#REF!</definedName>
    <definedName name="UNIFORMANCES3R15C29" localSheetId="74" hidden="1">#REF!</definedName>
    <definedName name="UNIFORMANCES3R15C29" hidden="1">#REF!</definedName>
    <definedName name="UNIFORMANCES3R15C30" localSheetId="3" hidden="1">#REF!</definedName>
    <definedName name="UNIFORMANCES3R15C30" localSheetId="7" hidden="1">#REF!</definedName>
    <definedName name="UNIFORMANCES3R15C30" localSheetId="9" hidden="1">#REF!</definedName>
    <definedName name="UNIFORMANCES3R15C30" localSheetId="10" hidden="1">#REF!</definedName>
    <definedName name="UNIFORMANCES3R15C30" localSheetId="15" hidden="1">#REF!</definedName>
    <definedName name="UNIFORMANCES3R15C30" localSheetId="18" hidden="1">#REF!</definedName>
    <definedName name="UNIFORMANCES3R15C30" localSheetId="19" hidden="1">#REF!</definedName>
    <definedName name="UNIFORMANCES3R15C30" localSheetId="20" hidden="1">#REF!</definedName>
    <definedName name="UNIFORMANCES3R15C30" localSheetId="23" hidden="1">#REF!</definedName>
    <definedName name="UNIFORMANCES3R15C30" localSheetId="24" hidden="1">#REF!</definedName>
    <definedName name="UNIFORMANCES3R15C30" localSheetId="35" hidden="1">#REF!</definedName>
    <definedName name="UNIFORMANCES3R15C30" localSheetId="58" hidden="1">#REF!</definedName>
    <definedName name="UNIFORMANCES3R15C30" localSheetId="60" hidden="1">#REF!</definedName>
    <definedName name="UNIFORMANCES3R15C30" localSheetId="51" hidden="1">#REF!</definedName>
    <definedName name="UNIFORMANCES3R15C30" localSheetId="54" hidden="1">#REF!</definedName>
    <definedName name="UNIFORMANCES3R15C30" localSheetId="47" hidden="1">#REF!</definedName>
    <definedName name="UNIFORMANCES3R15C30" localSheetId="105" hidden="1">#REF!</definedName>
    <definedName name="UNIFORMANCES3R15C30" localSheetId="104" hidden="1">#REF!</definedName>
    <definedName name="UNIFORMANCES3R15C30" localSheetId="88" hidden="1">#REF!</definedName>
    <definedName name="UNIFORMANCES3R15C30" localSheetId="89" hidden="1">#REF!</definedName>
    <definedName name="UNIFORMANCES3R15C30" localSheetId="87" hidden="1">#REF!</definedName>
    <definedName name="UNIFORMANCES3R15C30" localSheetId="90" hidden="1">#REF!</definedName>
    <definedName name="UNIFORMANCES3R15C30" localSheetId="70" hidden="1">#REF!</definedName>
    <definedName name="UNIFORMANCES3R15C30" localSheetId="65" hidden="1">#REF!</definedName>
    <definedName name="UNIFORMANCES3R15C30" localSheetId="64" hidden="1">#REF!</definedName>
    <definedName name="UNIFORMANCES3R15C30" localSheetId="77" hidden="1">#REF!</definedName>
    <definedName name="UNIFORMANCES3R15C30" localSheetId="49" hidden="1">#REF!</definedName>
    <definedName name="UNIFORMANCES3R15C30" localSheetId="57" hidden="1">#REF!</definedName>
    <definedName name="UNIFORMANCES3R15C30" localSheetId="59" hidden="1">#REF!</definedName>
    <definedName name="UNIFORMANCES3R15C30" localSheetId="40" hidden="1">#REF!</definedName>
    <definedName name="UNIFORMANCES3R15C30" localSheetId="43" hidden="1">#REF!</definedName>
    <definedName name="UNIFORMANCES3R15C30" localSheetId="55" hidden="1">#REF!</definedName>
    <definedName name="UNIFORMANCES3R15C30" localSheetId="13" hidden="1">#REF!</definedName>
    <definedName name="UNIFORMANCES3R15C30" localSheetId="11" hidden="1">#REF!</definedName>
    <definedName name="UNIFORMANCES3R15C30" localSheetId="38" hidden="1">#REF!</definedName>
    <definedName name="UNIFORMANCES3R15C30" localSheetId="41" hidden="1">#REF!</definedName>
    <definedName name="UNIFORMANCES3R15C30" localSheetId="101" hidden="1">#REF!</definedName>
    <definedName name="UNIFORMANCES3R15C30" localSheetId="102" hidden="1">#REF!</definedName>
    <definedName name="UNIFORMANCES3R15C30" localSheetId="103" hidden="1">#REF!</definedName>
    <definedName name="UNIFORMANCES3R15C30" localSheetId="97" hidden="1">#REF!</definedName>
    <definedName name="UNIFORMANCES3R15C30" localSheetId="42" hidden="1">#REF!</definedName>
    <definedName name="UNIFORMANCES3R15C30" localSheetId="12" hidden="1">#REF!</definedName>
    <definedName name="UNIFORMANCES3R15C30" localSheetId="73" hidden="1">#REF!</definedName>
    <definedName name="UNIFORMANCES3R15C30" localSheetId="74" hidden="1">#REF!</definedName>
    <definedName name="UNIFORMANCES3R15C30" hidden="1">#REF!</definedName>
    <definedName name="UNIFORMANCES3R15C31" localSheetId="3" hidden="1">#REF!</definedName>
    <definedName name="UNIFORMANCES3R15C31" localSheetId="7" hidden="1">#REF!</definedName>
    <definedName name="UNIFORMANCES3R15C31" localSheetId="9" hidden="1">#REF!</definedName>
    <definedName name="UNIFORMANCES3R15C31" localSheetId="10" hidden="1">#REF!</definedName>
    <definedName name="UNIFORMANCES3R15C31" localSheetId="15" hidden="1">#REF!</definedName>
    <definedName name="UNIFORMANCES3R15C31" localSheetId="18" hidden="1">#REF!</definedName>
    <definedName name="UNIFORMANCES3R15C31" localSheetId="19" hidden="1">#REF!</definedName>
    <definedName name="UNIFORMANCES3R15C31" localSheetId="20" hidden="1">#REF!</definedName>
    <definedName name="UNIFORMANCES3R15C31" localSheetId="23" hidden="1">#REF!</definedName>
    <definedName name="UNIFORMANCES3R15C31" localSheetId="24" hidden="1">#REF!</definedName>
    <definedName name="UNIFORMANCES3R15C31" localSheetId="35" hidden="1">#REF!</definedName>
    <definedName name="UNIFORMANCES3R15C31" localSheetId="58" hidden="1">#REF!</definedName>
    <definedName name="UNIFORMANCES3R15C31" localSheetId="60" hidden="1">#REF!</definedName>
    <definedName name="UNIFORMANCES3R15C31" localSheetId="51" hidden="1">#REF!</definedName>
    <definedName name="UNIFORMANCES3R15C31" localSheetId="54" hidden="1">#REF!</definedName>
    <definedName name="UNIFORMANCES3R15C31" localSheetId="47" hidden="1">#REF!</definedName>
    <definedName name="UNIFORMANCES3R15C31" localSheetId="105" hidden="1">#REF!</definedName>
    <definedName name="UNIFORMANCES3R15C31" localSheetId="104" hidden="1">#REF!</definedName>
    <definedName name="UNIFORMANCES3R15C31" localSheetId="88" hidden="1">#REF!</definedName>
    <definedName name="UNIFORMANCES3R15C31" localSheetId="89" hidden="1">#REF!</definedName>
    <definedName name="UNIFORMANCES3R15C31" localSheetId="87" hidden="1">#REF!</definedName>
    <definedName name="UNIFORMANCES3R15C31" localSheetId="90" hidden="1">#REF!</definedName>
    <definedName name="UNIFORMANCES3R15C31" localSheetId="70" hidden="1">#REF!</definedName>
    <definedName name="UNIFORMANCES3R15C31" localSheetId="65" hidden="1">#REF!</definedName>
    <definedName name="UNIFORMANCES3R15C31" localSheetId="64" hidden="1">#REF!</definedName>
    <definedName name="UNIFORMANCES3R15C31" localSheetId="77" hidden="1">#REF!</definedName>
    <definedName name="UNIFORMANCES3R15C31" localSheetId="49" hidden="1">#REF!</definedName>
    <definedName name="UNIFORMANCES3R15C31" localSheetId="57" hidden="1">#REF!</definedName>
    <definedName name="UNIFORMANCES3R15C31" localSheetId="59" hidden="1">#REF!</definedName>
    <definedName name="UNIFORMANCES3R15C31" localSheetId="40" hidden="1">#REF!</definedName>
    <definedName name="UNIFORMANCES3R15C31" localSheetId="43" hidden="1">#REF!</definedName>
    <definedName name="UNIFORMANCES3R15C31" localSheetId="55" hidden="1">#REF!</definedName>
    <definedName name="UNIFORMANCES3R15C31" localSheetId="13" hidden="1">#REF!</definedName>
    <definedName name="UNIFORMANCES3R15C31" localSheetId="11" hidden="1">#REF!</definedName>
    <definedName name="UNIFORMANCES3R15C31" localSheetId="38" hidden="1">#REF!</definedName>
    <definedName name="UNIFORMANCES3R15C31" localSheetId="41" hidden="1">#REF!</definedName>
    <definedName name="UNIFORMANCES3R15C31" localSheetId="101" hidden="1">#REF!</definedName>
    <definedName name="UNIFORMANCES3R15C31" localSheetId="102" hidden="1">#REF!</definedName>
    <definedName name="UNIFORMANCES3R15C31" localSheetId="103" hidden="1">#REF!</definedName>
    <definedName name="UNIFORMANCES3R15C31" localSheetId="97" hidden="1">#REF!</definedName>
    <definedName name="UNIFORMANCES3R15C31" localSheetId="42" hidden="1">#REF!</definedName>
    <definedName name="UNIFORMANCES3R15C31" localSheetId="12" hidden="1">#REF!</definedName>
    <definedName name="UNIFORMANCES3R15C31" localSheetId="73" hidden="1">#REF!</definedName>
    <definedName name="UNIFORMANCES3R15C31" localSheetId="74" hidden="1">#REF!</definedName>
    <definedName name="UNIFORMANCES3R15C31" hidden="1">#REF!</definedName>
    <definedName name="UNIFORMANCES3R15C32" localSheetId="3" hidden="1">#REF!</definedName>
    <definedName name="UNIFORMANCES3R15C32" localSheetId="7" hidden="1">#REF!</definedName>
    <definedName name="UNIFORMANCES3R15C32" localSheetId="9" hidden="1">#REF!</definedName>
    <definedName name="UNIFORMANCES3R15C32" localSheetId="10" hidden="1">#REF!</definedName>
    <definedName name="UNIFORMANCES3R15C32" localSheetId="15" hidden="1">#REF!</definedName>
    <definedName name="UNIFORMANCES3R15C32" localSheetId="18" hidden="1">#REF!</definedName>
    <definedName name="UNIFORMANCES3R15C32" localSheetId="19" hidden="1">#REF!</definedName>
    <definedName name="UNIFORMANCES3R15C32" localSheetId="20" hidden="1">#REF!</definedName>
    <definedName name="UNIFORMANCES3R15C32" localSheetId="23" hidden="1">#REF!</definedName>
    <definedName name="UNIFORMANCES3R15C32" localSheetId="24" hidden="1">#REF!</definedName>
    <definedName name="UNIFORMANCES3R15C32" localSheetId="35" hidden="1">#REF!</definedName>
    <definedName name="UNIFORMANCES3R15C32" localSheetId="58" hidden="1">#REF!</definedName>
    <definedName name="UNIFORMANCES3R15C32" localSheetId="60" hidden="1">#REF!</definedName>
    <definedName name="UNIFORMANCES3R15C32" localSheetId="51" hidden="1">#REF!</definedName>
    <definedName name="UNIFORMANCES3R15C32" localSheetId="54" hidden="1">#REF!</definedName>
    <definedName name="UNIFORMANCES3R15C32" localSheetId="47" hidden="1">#REF!</definedName>
    <definedName name="UNIFORMANCES3R15C32" localSheetId="105" hidden="1">#REF!</definedName>
    <definedName name="UNIFORMANCES3R15C32" localSheetId="104" hidden="1">#REF!</definedName>
    <definedName name="UNIFORMANCES3R15C32" localSheetId="88" hidden="1">#REF!</definedName>
    <definedName name="UNIFORMANCES3R15C32" localSheetId="89" hidden="1">#REF!</definedName>
    <definedName name="UNIFORMANCES3R15C32" localSheetId="87" hidden="1">#REF!</definedName>
    <definedName name="UNIFORMANCES3R15C32" localSheetId="90" hidden="1">#REF!</definedName>
    <definedName name="UNIFORMANCES3R15C32" localSheetId="70" hidden="1">#REF!</definedName>
    <definedName name="UNIFORMANCES3R15C32" localSheetId="65" hidden="1">#REF!</definedName>
    <definedName name="UNIFORMANCES3R15C32" localSheetId="64" hidden="1">#REF!</definedName>
    <definedName name="UNIFORMANCES3R15C32" localSheetId="77" hidden="1">#REF!</definedName>
    <definedName name="UNIFORMANCES3R15C32" localSheetId="49" hidden="1">#REF!</definedName>
    <definedName name="UNIFORMANCES3R15C32" localSheetId="57" hidden="1">#REF!</definedName>
    <definedName name="UNIFORMANCES3R15C32" localSheetId="59" hidden="1">#REF!</definedName>
    <definedName name="UNIFORMANCES3R15C32" localSheetId="40" hidden="1">#REF!</definedName>
    <definedName name="UNIFORMANCES3R15C32" localSheetId="43" hidden="1">#REF!</definedName>
    <definedName name="UNIFORMANCES3R15C32" localSheetId="55" hidden="1">#REF!</definedName>
    <definedName name="UNIFORMANCES3R15C32" localSheetId="13" hidden="1">#REF!</definedName>
    <definedName name="UNIFORMANCES3R15C32" localSheetId="11" hidden="1">#REF!</definedName>
    <definedName name="UNIFORMANCES3R15C32" localSheetId="38" hidden="1">#REF!</definedName>
    <definedName name="UNIFORMANCES3R15C32" localSheetId="41" hidden="1">#REF!</definedName>
    <definedName name="UNIFORMANCES3R15C32" localSheetId="101" hidden="1">#REF!</definedName>
    <definedName name="UNIFORMANCES3R15C32" localSheetId="102" hidden="1">#REF!</definedName>
    <definedName name="UNIFORMANCES3R15C32" localSheetId="103" hidden="1">#REF!</definedName>
    <definedName name="UNIFORMANCES3R15C32" localSheetId="97" hidden="1">#REF!</definedName>
    <definedName name="UNIFORMANCES3R15C32" localSheetId="42" hidden="1">#REF!</definedName>
    <definedName name="UNIFORMANCES3R15C32" localSheetId="12" hidden="1">#REF!</definedName>
    <definedName name="UNIFORMANCES3R15C32" localSheetId="73" hidden="1">#REF!</definedName>
    <definedName name="UNIFORMANCES3R15C32" localSheetId="74" hidden="1">#REF!</definedName>
    <definedName name="UNIFORMANCES3R15C32" hidden="1">#REF!</definedName>
    <definedName name="UNIFORMANCES3R15C33" localSheetId="3" hidden="1">#REF!</definedName>
    <definedName name="UNIFORMANCES3R15C33" localSheetId="7" hidden="1">#REF!</definedName>
    <definedName name="UNIFORMANCES3R15C33" localSheetId="9" hidden="1">#REF!</definedName>
    <definedName name="UNIFORMANCES3R15C33" localSheetId="10" hidden="1">#REF!</definedName>
    <definedName name="UNIFORMANCES3R15C33" localSheetId="15" hidden="1">#REF!</definedName>
    <definedName name="UNIFORMANCES3R15C33" localSheetId="18" hidden="1">#REF!</definedName>
    <definedName name="UNIFORMANCES3R15C33" localSheetId="19" hidden="1">#REF!</definedName>
    <definedName name="UNIFORMANCES3R15C33" localSheetId="20" hidden="1">#REF!</definedName>
    <definedName name="UNIFORMANCES3R15C33" localSheetId="23" hidden="1">#REF!</definedName>
    <definedName name="UNIFORMANCES3R15C33" localSheetId="24" hidden="1">#REF!</definedName>
    <definedName name="UNIFORMANCES3R15C33" localSheetId="35" hidden="1">#REF!</definedName>
    <definedName name="UNIFORMANCES3R15C33" localSheetId="58" hidden="1">#REF!</definedName>
    <definedName name="UNIFORMANCES3R15C33" localSheetId="60" hidden="1">#REF!</definedName>
    <definedName name="UNIFORMANCES3R15C33" localSheetId="51" hidden="1">#REF!</definedName>
    <definedName name="UNIFORMANCES3R15C33" localSheetId="54" hidden="1">#REF!</definedName>
    <definedName name="UNIFORMANCES3R15C33" localSheetId="47" hidden="1">#REF!</definedName>
    <definedName name="UNIFORMANCES3R15C33" localSheetId="105" hidden="1">#REF!</definedName>
    <definedName name="UNIFORMANCES3R15C33" localSheetId="104" hidden="1">#REF!</definedName>
    <definedName name="UNIFORMANCES3R15C33" localSheetId="88" hidden="1">#REF!</definedName>
    <definedName name="UNIFORMANCES3R15C33" localSheetId="89" hidden="1">#REF!</definedName>
    <definedName name="UNIFORMANCES3R15C33" localSheetId="87" hidden="1">#REF!</definedName>
    <definedName name="UNIFORMANCES3R15C33" localSheetId="90" hidden="1">#REF!</definedName>
    <definedName name="UNIFORMANCES3R15C33" localSheetId="70" hidden="1">#REF!</definedName>
    <definedName name="UNIFORMANCES3R15C33" localSheetId="65" hidden="1">#REF!</definedName>
    <definedName name="UNIFORMANCES3R15C33" localSheetId="64" hidden="1">#REF!</definedName>
    <definedName name="UNIFORMANCES3R15C33" localSheetId="77" hidden="1">#REF!</definedName>
    <definedName name="UNIFORMANCES3R15C33" localSheetId="49" hidden="1">#REF!</definedName>
    <definedName name="UNIFORMANCES3R15C33" localSheetId="57" hidden="1">#REF!</definedName>
    <definedName name="UNIFORMANCES3R15C33" localSheetId="59" hidden="1">#REF!</definedName>
    <definedName name="UNIFORMANCES3R15C33" localSheetId="40" hidden="1">#REF!</definedName>
    <definedName name="UNIFORMANCES3R15C33" localSheetId="43" hidden="1">#REF!</definedName>
    <definedName name="UNIFORMANCES3R15C33" localSheetId="55" hidden="1">#REF!</definedName>
    <definedName name="UNIFORMANCES3R15C33" localSheetId="13" hidden="1">#REF!</definedName>
    <definedName name="UNIFORMANCES3R15C33" localSheetId="11" hidden="1">#REF!</definedName>
    <definedName name="UNIFORMANCES3R15C33" localSheetId="38" hidden="1">#REF!</definedName>
    <definedName name="UNIFORMANCES3R15C33" localSheetId="41" hidden="1">#REF!</definedName>
    <definedName name="UNIFORMANCES3R15C33" localSheetId="101" hidden="1">#REF!</definedName>
    <definedName name="UNIFORMANCES3R15C33" localSheetId="102" hidden="1">#REF!</definedName>
    <definedName name="UNIFORMANCES3R15C33" localSheetId="103" hidden="1">#REF!</definedName>
    <definedName name="UNIFORMANCES3R15C33" localSheetId="97" hidden="1">#REF!</definedName>
    <definedName name="UNIFORMANCES3R15C33" localSheetId="42" hidden="1">#REF!</definedName>
    <definedName name="UNIFORMANCES3R15C33" localSheetId="12" hidden="1">#REF!</definedName>
    <definedName name="UNIFORMANCES3R15C33" localSheetId="73" hidden="1">#REF!</definedName>
    <definedName name="UNIFORMANCES3R15C33" localSheetId="74" hidden="1">#REF!</definedName>
    <definedName name="UNIFORMANCES3R15C33" hidden="1">#REF!</definedName>
    <definedName name="UNIFORMANCES3R15C34" localSheetId="3" hidden="1">#REF!</definedName>
    <definedName name="UNIFORMANCES3R15C34" localSheetId="7" hidden="1">#REF!</definedName>
    <definedName name="UNIFORMANCES3R15C34" localSheetId="9" hidden="1">#REF!</definedName>
    <definedName name="UNIFORMANCES3R15C34" localSheetId="10" hidden="1">#REF!</definedName>
    <definedName name="UNIFORMANCES3R15C34" localSheetId="15" hidden="1">#REF!</definedName>
    <definedName name="UNIFORMANCES3R15C34" localSheetId="18" hidden="1">#REF!</definedName>
    <definedName name="UNIFORMANCES3R15C34" localSheetId="19" hidden="1">#REF!</definedName>
    <definedName name="UNIFORMANCES3R15C34" localSheetId="20" hidden="1">#REF!</definedName>
    <definedName name="UNIFORMANCES3R15C34" localSheetId="23" hidden="1">#REF!</definedName>
    <definedName name="UNIFORMANCES3R15C34" localSheetId="24" hidden="1">#REF!</definedName>
    <definedName name="UNIFORMANCES3R15C34" localSheetId="35" hidden="1">#REF!</definedName>
    <definedName name="UNIFORMANCES3R15C34" localSheetId="58" hidden="1">#REF!</definedName>
    <definedName name="UNIFORMANCES3R15C34" localSheetId="60" hidden="1">#REF!</definedName>
    <definedName name="UNIFORMANCES3R15C34" localSheetId="51" hidden="1">#REF!</definedName>
    <definedName name="UNIFORMANCES3R15C34" localSheetId="54" hidden="1">#REF!</definedName>
    <definedName name="UNIFORMANCES3R15C34" localSheetId="47" hidden="1">#REF!</definedName>
    <definedName name="UNIFORMANCES3R15C34" localSheetId="105" hidden="1">#REF!</definedName>
    <definedName name="UNIFORMANCES3R15C34" localSheetId="104" hidden="1">#REF!</definedName>
    <definedName name="UNIFORMANCES3R15C34" localSheetId="88" hidden="1">#REF!</definedName>
    <definedName name="UNIFORMANCES3R15C34" localSheetId="89" hidden="1">#REF!</definedName>
    <definedName name="UNIFORMANCES3R15C34" localSheetId="87" hidden="1">#REF!</definedName>
    <definedName name="UNIFORMANCES3R15C34" localSheetId="90" hidden="1">#REF!</definedName>
    <definedName name="UNIFORMANCES3R15C34" localSheetId="70" hidden="1">#REF!</definedName>
    <definedName name="UNIFORMANCES3R15C34" localSheetId="65" hidden="1">#REF!</definedName>
    <definedName name="UNIFORMANCES3R15C34" localSheetId="64" hidden="1">#REF!</definedName>
    <definedName name="UNIFORMANCES3R15C34" localSheetId="77" hidden="1">#REF!</definedName>
    <definedName name="UNIFORMANCES3R15C34" localSheetId="49" hidden="1">#REF!</definedName>
    <definedName name="UNIFORMANCES3R15C34" localSheetId="57" hidden="1">#REF!</definedName>
    <definedName name="UNIFORMANCES3R15C34" localSheetId="59" hidden="1">#REF!</definedName>
    <definedName name="UNIFORMANCES3R15C34" localSheetId="40" hidden="1">#REF!</definedName>
    <definedName name="UNIFORMANCES3R15C34" localSheetId="43" hidden="1">#REF!</definedName>
    <definedName name="UNIFORMANCES3R15C34" localSheetId="55" hidden="1">#REF!</definedName>
    <definedName name="UNIFORMANCES3R15C34" localSheetId="13" hidden="1">#REF!</definedName>
    <definedName name="UNIFORMANCES3R15C34" localSheetId="11" hidden="1">#REF!</definedName>
    <definedName name="UNIFORMANCES3R15C34" localSheetId="38" hidden="1">#REF!</definedName>
    <definedName name="UNIFORMANCES3R15C34" localSheetId="41" hidden="1">#REF!</definedName>
    <definedName name="UNIFORMANCES3R15C34" localSheetId="101" hidden="1">#REF!</definedName>
    <definedName name="UNIFORMANCES3R15C34" localSheetId="102" hidden="1">#REF!</definedName>
    <definedName name="UNIFORMANCES3R15C34" localSheetId="103" hidden="1">#REF!</definedName>
    <definedName name="UNIFORMANCES3R15C34" localSheetId="97" hidden="1">#REF!</definedName>
    <definedName name="UNIFORMANCES3R15C34" localSheetId="42" hidden="1">#REF!</definedName>
    <definedName name="UNIFORMANCES3R15C34" localSheetId="12" hidden="1">#REF!</definedName>
    <definedName name="UNIFORMANCES3R15C34" localSheetId="73" hidden="1">#REF!</definedName>
    <definedName name="UNIFORMANCES3R15C34" localSheetId="74" hidden="1">#REF!</definedName>
    <definedName name="UNIFORMANCES3R15C34" hidden="1">#REF!</definedName>
    <definedName name="UNIFORMANCES3R15C35" localSheetId="3" hidden="1">#REF!</definedName>
    <definedName name="UNIFORMANCES3R15C35" localSheetId="7" hidden="1">#REF!</definedName>
    <definedName name="UNIFORMANCES3R15C35" localSheetId="9" hidden="1">#REF!</definedName>
    <definedName name="UNIFORMANCES3R15C35" localSheetId="10" hidden="1">#REF!</definedName>
    <definedName name="UNIFORMANCES3R15C35" localSheetId="15" hidden="1">#REF!</definedName>
    <definedName name="UNIFORMANCES3R15C35" localSheetId="18" hidden="1">#REF!</definedName>
    <definedName name="UNIFORMANCES3R15C35" localSheetId="19" hidden="1">#REF!</definedName>
    <definedName name="UNIFORMANCES3R15C35" localSheetId="20" hidden="1">#REF!</definedName>
    <definedName name="UNIFORMANCES3R15C35" localSheetId="23" hidden="1">#REF!</definedName>
    <definedName name="UNIFORMANCES3R15C35" localSheetId="24" hidden="1">#REF!</definedName>
    <definedName name="UNIFORMANCES3R15C35" localSheetId="35" hidden="1">#REF!</definedName>
    <definedName name="UNIFORMANCES3R15C35" localSheetId="58" hidden="1">#REF!</definedName>
    <definedName name="UNIFORMANCES3R15C35" localSheetId="60" hidden="1">#REF!</definedName>
    <definedName name="UNIFORMANCES3R15C35" localSheetId="51" hidden="1">#REF!</definedName>
    <definedName name="UNIFORMANCES3R15C35" localSheetId="54" hidden="1">#REF!</definedName>
    <definedName name="UNIFORMANCES3R15C35" localSheetId="47" hidden="1">#REF!</definedName>
    <definedName name="UNIFORMANCES3R15C35" localSheetId="105" hidden="1">#REF!</definedName>
    <definedName name="UNIFORMANCES3R15C35" localSheetId="104" hidden="1">#REF!</definedName>
    <definedName name="UNIFORMANCES3R15C35" localSheetId="88" hidden="1">#REF!</definedName>
    <definedName name="UNIFORMANCES3R15C35" localSheetId="89" hidden="1">#REF!</definedName>
    <definedName name="UNIFORMANCES3R15C35" localSheetId="87" hidden="1">#REF!</definedName>
    <definedName name="UNIFORMANCES3R15C35" localSheetId="90" hidden="1">#REF!</definedName>
    <definedName name="UNIFORMANCES3R15C35" localSheetId="70" hidden="1">#REF!</definedName>
    <definedName name="UNIFORMANCES3R15C35" localSheetId="65" hidden="1">#REF!</definedName>
    <definedName name="UNIFORMANCES3R15C35" localSheetId="64" hidden="1">#REF!</definedName>
    <definedName name="UNIFORMANCES3R15C35" localSheetId="77" hidden="1">#REF!</definedName>
    <definedName name="UNIFORMANCES3R15C35" localSheetId="49" hidden="1">#REF!</definedName>
    <definedName name="UNIFORMANCES3R15C35" localSheetId="57" hidden="1">#REF!</definedName>
    <definedName name="UNIFORMANCES3R15C35" localSheetId="59" hidden="1">#REF!</definedName>
    <definedName name="UNIFORMANCES3R15C35" localSheetId="40" hidden="1">#REF!</definedName>
    <definedName name="UNIFORMANCES3R15C35" localSheetId="43" hidden="1">#REF!</definedName>
    <definedName name="UNIFORMANCES3R15C35" localSheetId="55" hidden="1">#REF!</definedName>
    <definedName name="UNIFORMANCES3R15C35" localSheetId="13" hidden="1">#REF!</definedName>
    <definedName name="UNIFORMANCES3R15C35" localSheetId="11" hidden="1">#REF!</definedName>
    <definedName name="UNIFORMANCES3R15C35" localSheetId="38" hidden="1">#REF!</definedName>
    <definedName name="UNIFORMANCES3R15C35" localSheetId="41" hidden="1">#REF!</definedName>
    <definedName name="UNIFORMANCES3R15C35" localSheetId="101" hidden="1">#REF!</definedName>
    <definedName name="UNIFORMANCES3R15C35" localSheetId="102" hidden="1">#REF!</definedName>
    <definedName name="UNIFORMANCES3R15C35" localSheetId="103" hidden="1">#REF!</definedName>
    <definedName name="UNIFORMANCES3R15C35" localSheetId="97" hidden="1">#REF!</definedName>
    <definedName name="UNIFORMANCES3R15C35" localSheetId="42" hidden="1">#REF!</definedName>
    <definedName name="UNIFORMANCES3R15C35" localSheetId="12" hidden="1">#REF!</definedName>
    <definedName name="UNIFORMANCES3R15C35" localSheetId="73" hidden="1">#REF!</definedName>
    <definedName name="UNIFORMANCES3R15C35" localSheetId="74" hidden="1">#REF!</definedName>
    <definedName name="UNIFORMANCES3R15C35" hidden="1">#REF!</definedName>
    <definedName name="UNIFORMANCES3R15C36" localSheetId="3" hidden="1">#REF!</definedName>
    <definedName name="UNIFORMANCES3R15C36" localSheetId="7" hidden="1">#REF!</definedName>
    <definedName name="UNIFORMANCES3R15C36" localSheetId="9" hidden="1">#REF!</definedName>
    <definedName name="UNIFORMANCES3R15C36" localSheetId="10" hidden="1">#REF!</definedName>
    <definedName name="UNIFORMANCES3R15C36" localSheetId="15" hidden="1">#REF!</definedName>
    <definedName name="UNIFORMANCES3R15C36" localSheetId="18" hidden="1">#REF!</definedName>
    <definedName name="UNIFORMANCES3R15C36" localSheetId="19" hidden="1">#REF!</definedName>
    <definedName name="UNIFORMANCES3R15C36" localSheetId="20" hidden="1">#REF!</definedName>
    <definedName name="UNIFORMANCES3R15C36" localSheetId="23" hidden="1">#REF!</definedName>
    <definedName name="UNIFORMANCES3R15C36" localSheetId="24" hidden="1">#REF!</definedName>
    <definedName name="UNIFORMANCES3R15C36" localSheetId="35" hidden="1">#REF!</definedName>
    <definedName name="UNIFORMANCES3R15C36" localSheetId="58" hidden="1">#REF!</definedName>
    <definedName name="UNIFORMANCES3R15C36" localSheetId="60" hidden="1">#REF!</definedName>
    <definedName name="UNIFORMANCES3R15C36" localSheetId="51" hidden="1">#REF!</definedName>
    <definedName name="UNIFORMANCES3R15C36" localSheetId="54" hidden="1">#REF!</definedName>
    <definedName name="UNIFORMANCES3R15C36" localSheetId="47" hidden="1">#REF!</definedName>
    <definedName name="UNIFORMANCES3R15C36" localSheetId="105" hidden="1">#REF!</definedName>
    <definedName name="UNIFORMANCES3R15C36" localSheetId="104" hidden="1">#REF!</definedName>
    <definedName name="UNIFORMANCES3R15C36" localSheetId="88" hidden="1">#REF!</definedName>
    <definedName name="UNIFORMANCES3R15C36" localSheetId="89" hidden="1">#REF!</definedName>
    <definedName name="UNIFORMANCES3R15C36" localSheetId="87" hidden="1">#REF!</definedName>
    <definedName name="UNIFORMANCES3R15C36" localSheetId="90" hidden="1">#REF!</definedName>
    <definedName name="UNIFORMANCES3R15C36" localSheetId="70" hidden="1">#REF!</definedName>
    <definedName name="UNIFORMANCES3R15C36" localSheetId="65" hidden="1">#REF!</definedName>
    <definedName name="UNIFORMANCES3R15C36" localSheetId="64" hidden="1">#REF!</definedName>
    <definedName name="UNIFORMANCES3R15C36" localSheetId="77" hidden="1">#REF!</definedName>
    <definedName name="UNIFORMANCES3R15C36" localSheetId="49" hidden="1">#REF!</definedName>
    <definedName name="UNIFORMANCES3R15C36" localSheetId="57" hidden="1">#REF!</definedName>
    <definedName name="UNIFORMANCES3R15C36" localSheetId="59" hidden="1">#REF!</definedName>
    <definedName name="UNIFORMANCES3R15C36" localSheetId="40" hidden="1">#REF!</definedName>
    <definedName name="UNIFORMANCES3R15C36" localSheetId="43" hidden="1">#REF!</definedName>
    <definedName name="UNIFORMANCES3R15C36" localSheetId="55" hidden="1">#REF!</definedName>
    <definedName name="UNIFORMANCES3R15C36" localSheetId="13" hidden="1">#REF!</definedName>
    <definedName name="UNIFORMANCES3R15C36" localSheetId="11" hidden="1">#REF!</definedName>
    <definedName name="UNIFORMANCES3R15C36" localSheetId="38" hidden="1">#REF!</definedName>
    <definedName name="UNIFORMANCES3R15C36" localSheetId="41" hidden="1">#REF!</definedName>
    <definedName name="UNIFORMANCES3R15C36" localSheetId="101" hidden="1">#REF!</definedName>
    <definedName name="UNIFORMANCES3R15C36" localSheetId="102" hidden="1">#REF!</definedName>
    <definedName name="UNIFORMANCES3R15C36" localSheetId="103" hidden="1">#REF!</definedName>
    <definedName name="UNIFORMANCES3R15C36" localSheetId="97" hidden="1">#REF!</definedName>
    <definedName name="UNIFORMANCES3R15C36" localSheetId="42" hidden="1">#REF!</definedName>
    <definedName name="UNIFORMANCES3R15C36" localSheetId="12" hidden="1">#REF!</definedName>
    <definedName name="UNIFORMANCES3R15C36" localSheetId="73" hidden="1">#REF!</definedName>
    <definedName name="UNIFORMANCES3R15C36" localSheetId="74" hidden="1">#REF!</definedName>
    <definedName name="UNIFORMANCES3R15C36" hidden="1">#REF!</definedName>
    <definedName name="UNIFORMANCES3R15C37" localSheetId="3" hidden="1">#REF!</definedName>
    <definedName name="UNIFORMANCES3R15C37" localSheetId="7" hidden="1">#REF!</definedName>
    <definedName name="UNIFORMANCES3R15C37" localSheetId="9" hidden="1">#REF!</definedName>
    <definedName name="UNIFORMANCES3R15C37" localSheetId="10" hidden="1">#REF!</definedName>
    <definedName name="UNIFORMANCES3R15C37" localSheetId="15" hidden="1">#REF!</definedName>
    <definedName name="UNIFORMANCES3R15C37" localSheetId="18" hidden="1">#REF!</definedName>
    <definedName name="UNIFORMANCES3R15C37" localSheetId="19" hidden="1">#REF!</definedName>
    <definedName name="UNIFORMANCES3R15C37" localSheetId="20" hidden="1">#REF!</definedName>
    <definedName name="UNIFORMANCES3R15C37" localSheetId="23" hidden="1">#REF!</definedName>
    <definedName name="UNIFORMANCES3R15C37" localSheetId="24" hidden="1">#REF!</definedName>
    <definedName name="UNIFORMANCES3R15C37" localSheetId="35" hidden="1">#REF!</definedName>
    <definedName name="UNIFORMANCES3R15C37" localSheetId="58" hidden="1">#REF!</definedName>
    <definedName name="UNIFORMANCES3R15C37" localSheetId="60" hidden="1">#REF!</definedName>
    <definedName name="UNIFORMANCES3R15C37" localSheetId="51" hidden="1">#REF!</definedName>
    <definedName name="UNIFORMANCES3R15C37" localSheetId="54" hidden="1">#REF!</definedName>
    <definedName name="UNIFORMANCES3R15C37" localSheetId="47" hidden="1">#REF!</definedName>
    <definedName name="UNIFORMANCES3R15C37" localSheetId="105" hidden="1">#REF!</definedName>
    <definedName name="UNIFORMANCES3R15C37" localSheetId="104" hidden="1">#REF!</definedName>
    <definedName name="UNIFORMANCES3R15C37" localSheetId="88" hidden="1">#REF!</definedName>
    <definedName name="UNIFORMANCES3R15C37" localSheetId="89" hidden="1">#REF!</definedName>
    <definedName name="UNIFORMANCES3R15C37" localSheetId="87" hidden="1">#REF!</definedName>
    <definedName name="UNIFORMANCES3R15C37" localSheetId="90" hidden="1">#REF!</definedName>
    <definedName name="UNIFORMANCES3R15C37" localSheetId="70" hidden="1">#REF!</definedName>
    <definedName name="UNIFORMANCES3R15C37" localSheetId="65" hidden="1">#REF!</definedName>
    <definedName name="UNIFORMANCES3R15C37" localSheetId="64" hidden="1">#REF!</definedName>
    <definedName name="UNIFORMANCES3R15C37" localSheetId="77" hidden="1">#REF!</definedName>
    <definedName name="UNIFORMANCES3R15C37" localSheetId="49" hidden="1">#REF!</definedName>
    <definedName name="UNIFORMANCES3R15C37" localSheetId="57" hidden="1">#REF!</definedName>
    <definedName name="UNIFORMANCES3R15C37" localSheetId="59" hidden="1">#REF!</definedName>
    <definedName name="UNIFORMANCES3R15C37" localSheetId="40" hidden="1">#REF!</definedName>
    <definedName name="UNIFORMANCES3R15C37" localSheetId="43" hidden="1">#REF!</definedName>
    <definedName name="UNIFORMANCES3R15C37" localSheetId="55" hidden="1">#REF!</definedName>
    <definedName name="UNIFORMANCES3R15C37" localSheetId="13" hidden="1">#REF!</definedName>
    <definedName name="UNIFORMANCES3R15C37" localSheetId="11" hidden="1">#REF!</definedName>
    <definedName name="UNIFORMANCES3R15C37" localSheetId="38" hidden="1">#REF!</definedName>
    <definedName name="UNIFORMANCES3R15C37" localSheetId="41" hidden="1">#REF!</definedName>
    <definedName name="UNIFORMANCES3R15C37" localSheetId="101" hidden="1">#REF!</definedName>
    <definedName name="UNIFORMANCES3R15C37" localSheetId="102" hidden="1">#REF!</definedName>
    <definedName name="UNIFORMANCES3R15C37" localSheetId="103" hidden="1">#REF!</definedName>
    <definedName name="UNIFORMANCES3R15C37" localSheetId="97" hidden="1">#REF!</definedName>
    <definedName name="UNIFORMANCES3R15C37" localSheetId="42" hidden="1">#REF!</definedName>
    <definedName name="UNIFORMANCES3R15C37" localSheetId="12" hidden="1">#REF!</definedName>
    <definedName name="UNIFORMANCES3R15C37" localSheetId="73" hidden="1">#REF!</definedName>
    <definedName name="UNIFORMANCES3R15C37" localSheetId="74" hidden="1">#REF!</definedName>
    <definedName name="UNIFORMANCES3R15C37" hidden="1">#REF!</definedName>
    <definedName name="UNIFORMANCES3R15C38" localSheetId="3" hidden="1">#REF!</definedName>
    <definedName name="UNIFORMANCES3R15C38" localSheetId="7" hidden="1">#REF!</definedName>
    <definedName name="UNIFORMANCES3R15C38" localSheetId="9" hidden="1">#REF!</definedName>
    <definedName name="UNIFORMANCES3R15C38" localSheetId="10" hidden="1">#REF!</definedName>
    <definedName name="UNIFORMANCES3R15C38" localSheetId="15" hidden="1">#REF!</definedName>
    <definedName name="UNIFORMANCES3R15C38" localSheetId="18" hidden="1">#REF!</definedName>
    <definedName name="UNIFORMANCES3R15C38" localSheetId="19" hidden="1">#REF!</definedName>
    <definedName name="UNIFORMANCES3R15C38" localSheetId="20" hidden="1">#REF!</definedName>
    <definedName name="UNIFORMANCES3R15C38" localSheetId="23" hidden="1">#REF!</definedName>
    <definedName name="UNIFORMANCES3R15C38" localSheetId="24" hidden="1">#REF!</definedName>
    <definedName name="UNIFORMANCES3R15C38" localSheetId="35" hidden="1">#REF!</definedName>
    <definedName name="UNIFORMANCES3R15C38" localSheetId="58" hidden="1">#REF!</definedName>
    <definedName name="UNIFORMANCES3R15C38" localSheetId="60" hidden="1">#REF!</definedName>
    <definedName name="UNIFORMANCES3R15C38" localSheetId="51" hidden="1">#REF!</definedName>
    <definedName name="UNIFORMANCES3R15C38" localSheetId="54" hidden="1">#REF!</definedName>
    <definedName name="UNIFORMANCES3R15C38" localSheetId="47" hidden="1">#REF!</definedName>
    <definedName name="UNIFORMANCES3R15C38" localSheetId="105" hidden="1">#REF!</definedName>
    <definedName name="UNIFORMANCES3R15C38" localSheetId="104" hidden="1">#REF!</definedName>
    <definedName name="UNIFORMANCES3R15C38" localSheetId="88" hidden="1">#REF!</definedName>
    <definedName name="UNIFORMANCES3R15C38" localSheetId="89" hidden="1">#REF!</definedName>
    <definedName name="UNIFORMANCES3R15C38" localSheetId="87" hidden="1">#REF!</definedName>
    <definedName name="UNIFORMANCES3R15C38" localSheetId="90" hidden="1">#REF!</definedName>
    <definedName name="UNIFORMANCES3R15C38" localSheetId="70" hidden="1">#REF!</definedName>
    <definedName name="UNIFORMANCES3R15C38" localSheetId="65" hidden="1">#REF!</definedName>
    <definedName name="UNIFORMANCES3R15C38" localSheetId="64" hidden="1">#REF!</definedName>
    <definedName name="UNIFORMANCES3R15C38" localSheetId="77" hidden="1">#REF!</definedName>
    <definedName name="UNIFORMANCES3R15C38" localSheetId="49" hidden="1">#REF!</definedName>
    <definedName name="UNIFORMANCES3R15C38" localSheetId="57" hidden="1">#REF!</definedName>
    <definedName name="UNIFORMANCES3R15C38" localSheetId="59" hidden="1">#REF!</definedName>
    <definedName name="UNIFORMANCES3R15C38" localSheetId="40" hidden="1">#REF!</definedName>
    <definedName name="UNIFORMANCES3R15C38" localSheetId="43" hidden="1">#REF!</definedName>
    <definedName name="UNIFORMANCES3R15C38" localSheetId="55" hidden="1">#REF!</definedName>
    <definedName name="UNIFORMANCES3R15C38" localSheetId="13" hidden="1">#REF!</definedName>
    <definedName name="UNIFORMANCES3R15C38" localSheetId="11" hidden="1">#REF!</definedName>
    <definedName name="UNIFORMANCES3R15C38" localSheetId="38" hidden="1">#REF!</definedName>
    <definedName name="UNIFORMANCES3R15C38" localSheetId="41" hidden="1">#REF!</definedName>
    <definedName name="UNIFORMANCES3R15C38" localSheetId="101" hidden="1">#REF!</definedName>
    <definedName name="UNIFORMANCES3R15C38" localSheetId="102" hidden="1">#REF!</definedName>
    <definedName name="UNIFORMANCES3R15C38" localSheetId="103" hidden="1">#REF!</definedName>
    <definedName name="UNIFORMANCES3R15C38" localSheetId="97" hidden="1">#REF!</definedName>
    <definedName name="UNIFORMANCES3R15C38" localSheetId="42" hidden="1">#REF!</definedName>
    <definedName name="UNIFORMANCES3R15C38" localSheetId="12" hidden="1">#REF!</definedName>
    <definedName name="UNIFORMANCES3R15C38" localSheetId="73" hidden="1">#REF!</definedName>
    <definedName name="UNIFORMANCES3R15C38" localSheetId="74" hidden="1">#REF!</definedName>
    <definedName name="UNIFORMANCES3R15C38" hidden="1">#REF!</definedName>
    <definedName name="UNIFORMANCES3R15C39" localSheetId="3" hidden="1">#REF!</definedName>
    <definedName name="UNIFORMANCES3R15C39" localSheetId="7" hidden="1">#REF!</definedName>
    <definedName name="UNIFORMANCES3R15C39" localSheetId="9" hidden="1">#REF!</definedName>
    <definedName name="UNIFORMANCES3R15C39" localSheetId="10" hidden="1">#REF!</definedName>
    <definedName name="UNIFORMANCES3R15C39" localSheetId="15" hidden="1">#REF!</definedName>
    <definedName name="UNIFORMANCES3R15C39" localSheetId="18" hidden="1">#REF!</definedName>
    <definedName name="UNIFORMANCES3R15C39" localSheetId="19" hidden="1">#REF!</definedName>
    <definedName name="UNIFORMANCES3R15C39" localSheetId="20" hidden="1">#REF!</definedName>
    <definedName name="UNIFORMANCES3R15C39" localSheetId="23" hidden="1">#REF!</definedName>
    <definedName name="UNIFORMANCES3R15C39" localSheetId="24" hidden="1">#REF!</definedName>
    <definedName name="UNIFORMANCES3R15C39" localSheetId="35" hidden="1">#REF!</definedName>
    <definedName name="UNIFORMANCES3R15C39" localSheetId="58" hidden="1">#REF!</definedName>
    <definedName name="UNIFORMANCES3R15C39" localSheetId="60" hidden="1">#REF!</definedName>
    <definedName name="UNIFORMANCES3R15C39" localSheetId="51" hidden="1">#REF!</definedName>
    <definedName name="UNIFORMANCES3R15C39" localSheetId="54" hidden="1">#REF!</definedName>
    <definedName name="UNIFORMANCES3R15C39" localSheetId="47" hidden="1">#REF!</definedName>
    <definedName name="UNIFORMANCES3R15C39" localSheetId="105" hidden="1">#REF!</definedName>
    <definedName name="UNIFORMANCES3R15C39" localSheetId="104" hidden="1">#REF!</definedName>
    <definedName name="UNIFORMANCES3R15C39" localSheetId="88" hidden="1">#REF!</definedName>
    <definedName name="UNIFORMANCES3R15C39" localSheetId="89" hidden="1">#REF!</definedName>
    <definedName name="UNIFORMANCES3R15C39" localSheetId="87" hidden="1">#REF!</definedName>
    <definedName name="UNIFORMANCES3R15C39" localSheetId="90" hidden="1">#REF!</definedName>
    <definedName name="UNIFORMANCES3R15C39" localSheetId="70" hidden="1">#REF!</definedName>
    <definedName name="UNIFORMANCES3R15C39" localSheetId="65" hidden="1">#REF!</definedName>
    <definedName name="UNIFORMANCES3R15C39" localSheetId="64" hidden="1">#REF!</definedName>
    <definedName name="UNIFORMANCES3R15C39" localSheetId="77" hidden="1">#REF!</definedName>
    <definedName name="UNIFORMANCES3R15C39" localSheetId="49" hidden="1">#REF!</definedName>
    <definedName name="UNIFORMANCES3R15C39" localSheetId="57" hidden="1">#REF!</definedName>
    <definedName name="UNIFORMANCES3R15C39" localSheetId="59" hidden="1">#REF!</definedName>
    <definedName name="UNIFORMANCES3R15C39" localSheetId="40" hidden="1">#REF!</definedName>
    <definedName name="UNIFORMANCES3R15C39" localSheetId="43" hidden="1">#REF!</definedName>
    <definedName name="UNIFORMANCES3R15C39" localSheetId="55" hidden="1">#REF!</definedName>
    <definedName name="UNIFORMANCES3R15C39" localSheetId="13" hidden="1">#REF!</definedName>
    <definedName name="UNIFORMANCES3R15C39" localSheetId="11" hidden="1">#REF!</definedName>
    <definedName name="UNIFORMANCES3R15C39" localSheetId="38" hidden="1">#REF!</definedName>
    <definedName name="UNIFORMANCES3R15C39" localSheetId="41" hidden="1">#REF!</definedName>
    <definedName name="UNIFORMANCES3R15C39" localSheetId="101" hidden="1">#REF!</definedName>
    <definedName name="UNIFORMANCES3R15C39" localSheetId="102" hidden="1">#REF!</definedName>
    <definedName name="UNIFORMANCES3R15C39" localSheetId="103" hidden="1">#REF!</definedName>
    <definedName name="UNIFORMANCES3R15C39" localSheetId="97" hidden="1">#REF!</definedName>
    <definedName name="UNIFORMANCES3R15C39" localSheetId="42" hidden="1">#REF!</definedName>
    <definedName name="UNIFORMANCES3R15C39" localSheetId="12" hidden="1">#REF!</definedName>
    <definedName name="UNIFORMANCES3R15C39" localSheetId="73" hidden="1">#REF!</definedName>
    <definedName name="UNIFORMANCES3R15C39" localSheetId="74" hidden="1">#REF!</definedName>
    <definedName name="UNIFORMANCES3R15C39" hidden="1">#REF!</definedName>
    <definedName name="UNIFORMANCES3R15C4" localSheetId="3" hidden="1">#REF!</definedName>
    <definedName name="UNIFORMANCES3R15C4" localSheetId="7" hidden="1">#REF!</definedName>
    <definedName name="UNIFORMANCES3R15C4" localSheetId="9" hidden="1">#REF!</definedName>
    <definedName name="UNIFORMANCES3R15C4" localSheetId="10" hidden="1">#REF!</definedName>
    <definedName name="UNIFORMANCES3R15C4" localSheetId="15" hidden="1">#REF!</definedName>
    <definedName name="UNIFORMANCES3R15C4" localSheetId="18" hidden="1">#REF!</definedName>
    <definedName name="UNIFORMANCES3R15C4" localSheetId="19" hidden="1">#REF!</definedName>
    <definedName name="UNIFORMANCES3R15C4" localSheetId="20" hidden="1">#REF!</definedName>
    <definedName name="UNIFORMANCES3R15C4" localSheetId="23" hidden="1">#REF!</definedName>
    <definedName name="UNIFORMANCES3R15C4" localSheetId="24" hidden="1">#REF!</definedName>
    <definedName name="UNIFORMANCES3R15C4" localSheetId="35" hidden="1">#REF!</definedName>
    <definedName name="UNIFORMANCES3R15C4" localSheetId="58" hidden="1">#REF!</definedName>
    <definedName name="UNIFORMANCES3R15C4" localSheetId="60" hidden="1">#REF!</definedName>
    <definedName name="UNIFORMANCES3R15C4" localSheetId="51" hidden="1">#REF!</definedName>
    <definedName name="UNIFORMANCES3R15C4" localSheetId="54" hidden="1">#REF!</definedName>
    <definedName name="UNIFORMANCES3R15C4" localSheetId="47" hidden="1">#REF!</definedName>
    <definedName name="UNIFORMANCES3R15C4" localSheetId="105" hidden="1">#REF!</definedName>
    <definedName name="UNIFORMANCES3R15C4" localSheetId="104" hidden="1">#REF!</definedName>
    <definedName name="UNIFORMANCES3R15C4" localSheetId="88" hidden="1">#REF!</definedName>
    <definedName name="UNIFORMANCES3R15C4" localSheetId="89" hidden="1">#REF!</definedName>
    <definedName name="UNIFORMANCES3R15C4" localSheetId="87" hidden="1">#REF!</definedName>
    <definedName name="UNIFORMANCES3R15C4" localSheetId="90" hidden="1">#REF!</definedName>
    <definedName name="UNIFORMANCES3R15C4" localSheetId="70" hidden="1">#REF!</definedName>
    <definedName name="UNIFORMANCES3R15C4" localSheetId="65" hidden="1">#REF!</definedName>
    <definedName name="UNIFORMANCES3R15C4" localSheetId="64" hidden="1">#REF!</definedName>
    <definedName name="UNIFORMANCES3R15C4" localSheetId="77" hidden="1">#REF!</definedName>
    <definedName name="UNIFORMANCES3R15C4" localSheetId="49" hidden="1">#REF!</definedName>
    <definedName name="UNIFORMANCES3R15C4" localSheetId="57" hidden="1">#REF!</definedName>
    <definedName name="UNIFORMANCES3R15C4" localSheetId="59" hidden="1">#REF!</definedName>
    <definedName name="UNIFORMANCES3R15C4" localSheetId="40" hidden="1">#REF!</definedName>
    <definedName name="UNIFORMANCES3R15C4" localSheetId="43" hidden="1">#REF!</definedName>
    <definedName name="UNIFORMANCES3R15C4" localSheetId="55" hidden="1">#REF!</definedName>
    <definedName name="UNIFORMANCES3R15C4" localSheetId="13" hidden="1">#REF!</definedName>
    <definedName name="UNIFORMANCES3R15C4" localSheetId="11" hidden="1">#REF!</definedName>
    <definedName name="UNIFORMANCES3R15C4" localSheetId="38" hidden="1">#REF!</definedName>
    <definedName name="UNIFORMANCES3R15C4" localSheetId="41" hidden="1">#REF!</definedName>
    <definedName name="UNIFORMANCES3R15C4" localSheetId="101" hidden="1">#REF!</definedName>
    <definedName name="UNIFORMANCES3R15C4" localSheetId="102" hidden="1">#REF!</definedName>
    <definedName name="UNIFORMANCES3R15C4" localSheetId="103" hidden="1">#REF!</definedName>
    <definedName name="UNIFORMANCES3R15C4" localSheetId="97" hidden="1">#REF!</definedName>
    <definedName name="UNIFORMANCES3R15C4" localSheetId="42" hidden="1">#REF!</definedName>
    <definedName name="UNIFORMANCES3R15C4" localSheetId="12" hidden="1">#REF!</definedName>
    <definedName name="UNIFORMANCES3R15C4" localSheetId="73" hidden="1">#REF!</definedName>
    <definedName name="UNIFORMANCES3R15C4" localSheetId="74" hidden="1">#REF!</definedName>
    <definedName name="UNIFORMANCES3R15C4" hidden="1">#REF!</definedName>
    <definedName name="UNIFORMANCES3R15C40" localSheetId="3" hidden="1">#REF!</definedName>
    <definedName name="UNIFORMANCES3R15C40" localSheetId="7" hidden="1">#REF!</definedName>
    <definedName name="UNIFORMANCES3R15C40" localSheetId="9" hidden="1">#REF!</definedName>
    <definedName name="UNIFORMANCES3R15C40" localSheetId="10" hidden="1">#REF!</definedName>
    <definedName name="UNIFORMANCES3R15C40" localSheetId="15" hidden="1">#REF!</definedName>
    <definedName name="UNIFORMANCES3R15C40" localSheetId="18" hidden="1">#REF!</definedName>
    <definedName name="UNIFORMANCES3R15C40" localSheetId="19" hidden="1">#REF!</definedName>
    <definedName name="UNIFORMANCES3R15C40" localSheetId="20" hidden="1">#REF!</definedName>
    <definedName name="UNIFORMANCES3R15C40" localSheetId="23" hidden="1">#REF!</definedName>
    <definedName name="UNIFORMANCES3R15C40" localSheetId="24" hidden="1">#REF!</definedName>
    <definedName name="UNIFORMANCES3R15C40" localSheetId="35" hidden="1">#REF!</definedName>
    <definedName name="UNIFORMANCES3R15C40" localSheetId="58" hidden="1">#REF!</definedName>
    <definedName name="UNIFORMANCES3R15C40" localSheetId="60" hidden="1">#REF!</definedName>
    <definedName name="UNIFORMANCES3R15C40" localSheetId="51" hidden="1">#REF!</definedName>
    <definedName name="UNIFORMANCES3R15C40" localSheetId="54" hidden="1">#REF!</definedName>
    <definedName name="UNIFORMANCES3R15C40" localSheetId="47" hidden="1">#REF!</definedName>
    <definedName name="UNIFORMANCES3R15C40" localSheetId="105" hidden="1">#REF!</definedName>
    <definedName name="UNIFORMANCES3R15C40" localSheetId="104" hidden="1">#REF!</definedName>
    <definedName name="UNIFORMANCES3R15C40" localSheetId="88" hidden="1">#REF!</definedName>
    <definedName name="UNIFORMANCES3R15C40" localSheetId="89" hidden="1">#REF!</definedName>
    <definedName name="UNIFORMANCES3R15C40" localSheetId="87" hidden="1">#REF!</definedName>
    <definedName name="UNIFORMANCES3R15C40" localSheetId="90" hidden="1">#REF!</definedName>
    <definedName name="UNIFORMANCES3R15C40" localSheetId="70" hidden="1">#REF!</definedName>
    <definedName name="UNIFORMANCES3R15C40" localSheetId="65" hidden="1">#REF!</definedName>
    <definedName name="UNIFORMANCES3R15C40" localSheetId="64" hidden="1">#REF!</definedName>
    <definedName name="UNIFORMANCES3R15C40" localSheetId="77" hidden="1">#REF!</definedName>
    <definedName name="UNIFORMANCES3R15C40" localSheetId="49" hidden="1">#REF!</definedName>
    <definedName name="UNIFORMANCES3R15C40" localSheetId="57" hidden="1">#REF!</definedName>
    <definedName name="UNIFORMANCES3R15C40" localSheetId="59" hidden="1">#REF!</definedName>
    <definedName name="UNIFORMANCES3R15C40" localSheetId="40" hidden="1">#REF!</definedName>
    <definedName name="UNIFORMANCES3R15C40" localSheetId="43" hidden="1">#REF!</definedName>
    <definedName name="UNIFORMANCES3R15C40" localSheetId="55" hidden="1">#REF!</definedName>
    <definedName name="UNIFORMANCES3R15C40" localSheetId="13" hidden="1">#REF!</definedName>
    <definedName name="UNIFORMANCES3R15C40" localSheetId="11" hidden="1">#REF!</definedName>
    <definedName name="UNIFORMANCES3R15C40" localSheetId="38" hidden="1">#REF!</definedName>
    <definedName name="UNIFORMANCES3R15C40" localSheetId="41" hidden="1">#REF!</definedName>
    <definedName name="UNIFORMANCES3R15C40" localSheetId="101" hidden="1">#REF!</definedName>
    <definedName name="UNIFORMANCES3R15C40" localSheetId="102" hidden="1">#REF!</definedName>
    <definedName name="UNIFORMANCES3R15C40" localSheetId="103" hidden="1">#REF!</definedName>
    <definedName name="UNIFORMANCES3R15C40" localSheetId="97" hidden="1">#REF!</definedName>
    <definedName name="UNIFORMANCES3R15C40" localSheetId="42" hidden="1">#REF!</definedName>
    <definedName name="UNIFORMANCES3R15C40" localSheetId="12" hidden="1">#REF!</definedName>
    <definedName name="UNIFORMANCES3R15C40" localSheetId="73" hidden="1">#REF!</definedName>
    <definedName name="UNIFORMANCES3R15C40" localSheetId="74" hidden="1">#REF!</definedName>
    <definedName name="UNIFORMANCES3R15C40" hidden="1">#REF!</definedName>
    <definedName name="UNIFORMANCES3R15C41" localSheetId="3" hidden="1">#REF!</definedName>
    <definedName name="UNIFORMANCES3R15C41" localSheetId="7" hidden="1">#REF!</definedName>
    <definedName name="UNIFORMANCES3R15C41" localSheetId="9" hidden="1">#REF!</definedName>
    <definedName name="UNIFORMANCES3R15C41" localSheetId="10" hidden="1">#REF!</definedName>
    <definedName name="UNIFORMANCES3R15C41" localSheetId="15" hidden="1">#REF!</definedName>
    <definedName name="UNIFORMANCES3R15C41" localSheetId="18" hidden="1">#REF!</definedName>
    <definedName name="UNIFORMANCES3R15C41" localSheetId="19" hidden="1">#REF!</definedName>
    <definedName name="UNIFORMANCES3R15C41" localSheetId="20" hidden="1">#REF!</definedName>
    <definedName name="UNIFORMANCES3R15C41" localSheetId="23" hidden="1">#REF!</definedName>
    <definedName name="UNIFORMANCES3R15C41" localSheetId="24" hidden="1">#REF!</definedName>
    <definedName name="UNIFORMANCES3R15C41" localSheetId="35" hidden="1">#REF!</definedName>
    <definedName name="UNIFORMANCES3R15C41" localSheetId="58" hidden="1">#REF!</definedName>
    <definedName name="UNIFORMANCES3R15C41" localSheetId="60" hidden="1">#REF!</definedName>
    <definedName name="UNIFORMANCES3R15C41" localSheetId="51" hidden="1">#REF!</definedName>
    <definedName name="UNIFORMANCES3R15C41" localSheetId="54" hidden="1">#REF!</definedName>
    <definedName name="UNIFORMANCES3R15C41" localSheetId="47" hidden="1">#REF!</definedName>
    <definedName name="UNIFORMANCES3R15C41" localSheetId="105" hidden="1">#REF!</definedName>
    <definedName name="UNIFORMANCES3R15C41" localSheetId="104" hidden="1">#REF!</definedName>
    <definedName name="UNIFORMANCES3R15C41" localSheetId="88" hidden="1">#REF!</definedName>
    <definedName name="UNIFORMANCES3R15C41" localSheetId="89" hidden="1">#REF!</definedName>
    <definedName name="UNIFORMANCES3R15C41" localSheetId="87" hidden="1">#REF!</definedName>
    <definedName name="UNIFORMANCES3R15C41" localSheetId="90" hidden="1">#REF!</definedName>
    <definedName name="UNIFORMANCES3R15C41" localSheetId="70" hidden="1">#REF!</definedName>
    <definedName name="UNIFORMANCES3R15C41" localSheetId="65" hidden="1">#REF!</definedName>
    <definedName name="UNIFORMANCES3R15C41" localSheetId="64" hidden="1">#REF!</definedName>
    <definedName name="UNIFORMANCES3R15C41" localSheetId="77" hidden="1">#REF!</definedName>
    <definedName name="UNIFORMANCES3R15C41" localSheetId="49" hidden="1">#REF!</definedName>
    <definedName name="UNIFORMANCES3R15C41" localSheetId="57" hidden="1">#REF!</definedName>
    <definedName name="UNIFORMANCES3R15C41" localSheetId="59" hidden="1">#REF!</definedName>
    <definedName name="UNIFORMANCES3R15C41" localSheetId="40" hidden="1">#REF!</definedName>
    <definedName name="UNIFORMANCES3R15C41" localSheetId="43" hidden="1">#REF!</definedName>
    <definedName name="UNIFORMANCES3R15C41" localSheetId="55" hidden="1">#REF!</definedName>
    <definedName name="UNIFORMANCES3R15C41" localSheetId="13" hidden="1">#REF!</definedName>
    <definedName name="UNIFORMANCES3R15C41" localSheetId="11" hidden="1">#REF!</definedName>
    <definedName name="UNIFORMANCES3R15C41" localSheetId="38" hidden="1">#REF!</definedName>
    <definedName name="UNIFORMANCES3R15C41" localSheetId="41" hidden="1">#REF!</definedName>
    <definedName name="UNIFORMANCES3R15C41" localSheetId="101" hidden="1">#REF!</definedName>
    <definedName name="UNIFORMANCES3R15C41" localSheetId="102" hidden="1">#REF!</definedName>
    <definedName name="UNIFORMANCES3R15C41" localSheetId="103" hidden="1">#REF!</definedName>
    <definedName name="UNIFORMANCES3R15C41" localSheetId="97" hidden="1">#REF!</definedName>
    <definedName name="UNIFORMANCES3R15C41" localSheetId="42" hidden="1">#REF!</definedName>
    <definedName name="UNIFORMANCES3R15C41" localSheetId="12" hidden="1">#REF!</definedName>
    <definedName name="UNIFORMANCES3R15C41" localSheetId="73" hidden="1">#REF!</definedName>
    <definedName name="UNIFORMANCES3R15C41" localSheetId="74" hidden="1">#REF!</definedName>
    <definedName name="UNIFORMANCES3R15C41" hidden="1">#REF!</definedName>
    <definedName name="UNIFORMANCES3R15C42" localSheetId="3" hidden="1">#REF!</definedName>
    <definedName name="UNIFORMANCES3R15C42" localSheetId="7" hidden="1">#REF!</definedName>
    <definedName name="UNIFORMANCES3R15C42" localSheetId="9" hidden="1">#REF!</definedName>
    <definedName name="UNIFORMANCES3R15C42" localSheetId="10" hidden="1">#REF!</definedName>
    <definedName name="UNIFORMANCES3R15C42" localSheetId="15" hidden="1">#REF!</definedName>
    <definedName name="UNIFORMANCES3R15C42" localSheetId="18" hidden="1">#REF!</definedName>
    <definedName name="UNIFORMANCES3R15C42" localSheetId="19" hidden="1">#REF!</definedName>
    <definedName name="UNIFORMANCES3R15C42" localSheetId="20" hidden="1">#REF!</definedName>
    <definedName name="UNIFORMANCES3R15C42" localSheetId="23" hidden="1">#REF!</definedName>
    <definedName name="UNIFORMANCES3R15C42" localSheetId="24" hidden="1">#REF!</definedName>
    <definedName name="UNIFORMANCES3R15C42" localSheetId="35" hidden="1">#REF!</definedName>
    <definedName name="UNIFORMANCES3R15C42" localSheetId="58" hidden="1">#REF!</definedName>
    <definedName name="UNIFORMANCES3R15C42" localSheetId="60" hidden="1">#REF!</definedName>
    <definedName name="UNIFORMANCES3R15C42" localSheetId="51" hidden="1">#REF!</definedName>
    <definedName name="UNIFORMANCES3R15C42" localSheetId="54" hidden="1">#REF!</definedName>
    <definedName name="UNIFORMANCES3R15C42" localSheetId="47" hidden="1">#REF!</definedName>
    <definedName name="UNIFORMANCES3R15C42" localSheetId="105" hidden="1">#REF!</definedName>
    <definedName name="UNIFORMANCES3R15C42" localSheetId="104" hidden="1">#REF!</definedName>
    <definedName name="UNIFORMANCES3R15C42" localSheetId="88" hidden="1">#REF!</definedName>
    <definedName name="UNIFORMANCES3R15C42" localSheetId="89" hidden="1">#REF!</definedName>
    <definedName name="UNIFORMANCES3R15C42" localSheetId="87" hidden="1">#REF!</definedName>
    <definedName name="UNIFORMANCES3R15C42" localSheetId="90" hidden="1">#REF!</definedName>
    <definedName name="UNIFORMANCES3R15C42" localSheetId="70" hidden="1">#REF!</definedName>
    <definedName name="UNIFORMANCES3R15C42" localSheetId="65" hidden="1">#REF!</definedName>
    <definedName name="UNIFORMANCES3R15C42" localSheetId="64" hidden="1">#REF!</definedName>
    <definedName name="UNIFORMANCES3R15C42" localSheetId="77" hidden="1">#REF!</definedName>
    <definedName name="UNIFORMANCES3R15C42" localSheetId="49" hidden="1">#REF!</definedName>
    <definedName name="UNIFORMANCES3R15C42" localSheetId="57" hidden="1">#REF!</definedName>
    <definedName name="UNIFORMANCES3R15C42" localSheetId="59" hidden="1">#REF!</definedName>
    <definedName name="UNIFORMANCES3R15C42" localSheetId="40" hidden="1">#REF!</definedName>
    <definedName name="UNIFORMANCES3R15C42" localSheetId="43" hidden="1">#REF!</definedName>
    <definedName name="UNIFORMANCES3R15C42" localSheetId="55" hidden="1">#REF!</definedName>
    <definedName name="UNIFORMANCES3R15C42" localSheetId="13" hidden="1">#REF!</definedName>
    <definedName name="UNIFORMANCES3R15C42" localSheetId="11" hidden="1">#REF!</definedName>
    <definedName name="UNIFORMANCES3R15C42" localSheetId="38" hidden="1">#REF!</definedName>
    <definedName name="UNIFORMANCES3R15C42" localSheetId="41" hidden="1">#REF!</definedName>
    <definedName name="UNIFORMANCES3R15C42" localSheetId="101" hidden="1">#REF!</definedName>
    <definedName name="UNIFORMANCES3R15C42" localSheetId="102" hidden="1">#REF!</definedName>
    <definedName name="UNIFORMANCES3R15C42" localSheetId="103" hidden="1">#REF!</definedName>
    <definedName name="UNIFORMANCES3R15C42" localSheetId="97" hidden="1">#REF!</definedName>
    <definedName name="UNIFORMANCES3R15C42" localSheetId="42" hidden="1">#REF!</definedName>
    <definedName name="UNIFORMANCES3R15C42" localSheetId="12" hidden="1">#REF!</definedName>
    <definedName name="UNIFORMANCES3R15C42" localSheetId="73" hidden="1">#REF!</definedName>
    <definedName name="UNIFORMANCES3R15C42" localSheetId="74" hidden="1">#REF!</definedName>
    <definedName name="UNIFORMANCES3R15C42" hidden="1">#REF!</definedName>
    <definedName name="UNIFORMANCES3R15C43" localSheetId="3" hidden="1">#REF!</definedName>
    <definedName name="UNIFORMANCES3R15C43" localSheetId="7" hidden="1">#REF!</definedName>
    <definedName name="UNIFORMANCES3R15C43" localSheetId="9" hidden="1">#REF!</definedName>
    <definedName name="UNIFORMANCES3R15C43" localSheetId="10" hidden="1">#REF!</definedName>
    <definedName name="UNIFORMANCES3R15C43" localSheetId="15" hidden="1">#REF!</definedName>
    <definedName name="UNIFORMANCES3R15C43" localSheetId="18" hidden="1">#REF!</definedName>
    <definedName name="UNIFORMANCES3R15C43" localSheetId="19" hidden="1">#REF!</definedName>
    <definedName name="UNIFORMANCES3R15C43" localSheetId="20" hidden="1">#REF!</definedName>
    <definedName name="UNIFORMANCES3R15C43" localSheetId="23" hidden="1">#REF!</definedName>
    <definedName name="UNIFORMANCES3R15C43" localSheetId="24" hidden="1">#REF!</definedName>
    <definedName name="UNIFORMANCES3R15C43" localSheetId="35" hidden="1">#REF!</definedName>
    <definedName name="UNIFORMANCES3R15C43" localSheetId="58" hidden="1">#REF!</definedName>
    <definedName name="UNIFORMANCES3R15C43" localSheetId="60" hidden="1">#REF!</definedName>
    <definedName name="UNIFORMANCES3R15C43" localSheetId="51" hidden="1">#REF!</definedName>
    <definedName name="UNIFORMANCES3R15C43" localSheetId="54" hidden="1">#REF!</definedName>
    <definedName name="UNIFORMANCES3R15C43" localSheetId="47" hidden="1">#REF!</definedName>
    <definedName name="UNIFORMANCES3R15C43" localSheetId="105" hidden="1">#REF!</definedName>
    <definedName name="UNIFORMANCES3R15C43" localSheetId="104" hidden="1">#REF!</definedName>
    <definedName name="UNIFORMANCES3R15C43" localSheetId="88" hidden="1">#REF!</definedName>
    <definedName name="UNIFORMANCES3R15C43" localSheetId="89" hidden="1">#REF!</definedName>
    <definedName name="UNIFORMANCES3R15C43" localSheetId="87" hidden="1">#REF!</definedName>
    <definedName name="UNIFORMANCES3R15C43" localSheetId="90" hidden="1">#REF!</definedName>
    <definedName name="UNIFORMANCES3R15C43" localSheetId="70" hidden="1">#REF!</definedName>
    <definedName name="UNIFORMANCES3R15C43" localSheetId="65" hidden="1">#REF!</definedName>
    <definedName name="UNIFORMANCES3R15C43" localSheetId="64" hidden="1">#REF!</definedName>
    <definedName name="UNIFORMANCES3R15C43" localSheetId="77" hidden="1">#REF!</definedName>
    <definedName name="UNIFORMANCES3R15C43" localSheetId="49" hidden="1">#REF!</definedName>
    <definedName name="UNIFORMANCES3R15C43" localSheetId="57" hidden="1">#REF!</definedName>
    <definedName name="UNIFORMANCES3R15C43" localSheetId="59" hidden="1">#REF!</definedName>
    <definedName name="UNIFORMANCES3R15C43" localSheetId="40" hidden="1">#REF!</definedName>
    <definedName name="UNIFORMANCES3R15C43" localSheetId="43" hidden="1">#REF!</definedName>
    <definedName name="UNIFORMANCES3R15C43" localSheetId="55" hidden="1">#REF!</definedName>
    <definedName name="UNIFORMANCES3R15C43" localSheetId="13" hidden="1">#REF!</definedName>
    <definedName name="UNIFORMANCES3R15C43" localSheetId="11" hidden="1">#REF!</definedName>
    <definedName name="UNIFORMANCES3R15C43" localSheetId="38" hidden="1">#REF!</definedName>
    <definedName name="UNIFORMANCES3R15C43" localSheetId="41" hidden="1">#REF!</definedName>
    <definedName name="UNIFORMANCES3R15C43" localSheetId="101" hidden="1">#REF!</definedName>
    <definedName name="UNIFORMANCES3R15C43" localSheetId="102" hidden="1">#REF!</definedName>
    <definedName name="UNIFORMANCES3R15C43" localSheetId="103" hidden="1">#REF!</definedName>
    <definedName name="UNIFORMANCES3R15C43" localSheetId="97" hidden="1">#REF!</definedName>
    <definedName name="UNIFORMANCES3R15C43" localSheetId="42" hidden="1">#REF!</definedName>
    <definedName name="UNIFORMANCES3R15C43" localSheetId="12" hidden="1">#REF!</definedName>
    <definedName name="UNIFORMANCES3R15C43" localSheetId="73" hidden="1">#REF!</definedName>
    <definedName name="UNIFORMANCES3R15C43" localSheetId="74" hidden="1">#REF!</definedName>
    <definedName name="UNIFORMANCES3R15C43" hidden="1">#REF!</definedName>
    <definedName name="UNIFORMANCES3R15C44" localSheetId="3" hidden="1">#REF!</definedName>
    <definedName name="UNIFORMANCES3R15C44" localSheetId="7" hidden="1">#REF!</definedName>
    <definedName name="UNIFORMANCES3R15C44" localSheetId="9" hidden="1">#REF!</definedName>
    <definedName name="UNIFORMANCES3R15C44" localSheetId="10" hidden="1">#REF!</definedName>
    <definedName name="UNIFORMANCES3R15C44" localSheetId="15" hidden="1">#REF!</definedName>
    <definedName name="UNIFORMANCES3R15C44" localSheetId="18" hidden="1">#REF!</definedName>
    <definedName name="UNIFORMANCES3R15C44" localSheetId="19" hidden="1">#REF!</definedName>
    <definedName name="UNIFORMANCES3R15C44" localSheetId="20" hidden="1">#REF!</definedName>
    <definedName name="UNIFORMANCES3R15C44" localSheetId="23" hidden="1">#REF!</definedName>
    <definedName name="UNIFORMANCES3R15C44" localSheetId="24" hidden="1">#REF!</definedName>
    <definedName name="UNIFORMANCES3R15C44" localSheetId="35" hidden="1">#REF!</definedName>
    <definedName name="UNIFORMANCES3R15C44" localSheetId="58" hidden="1">#REF!</definedName>
    <definedName name="UNIFORMANCES3R15C44" localSheetId="60" hidden="1">#REF!</definedName>
    <definedName name="UNIFORMANCES3R15C44" localSheetId="51" hidden="1">#REF!</definedName>
    <definedName name="UNIFORMANCES3R15C44" localSheetId="54" hidden="1">#REF!</definedName>
    <definedName name="UNIFORMANCES3R15C44" localSheetId="47" hidden="1">#REF!</definedName>
    <definedName name="UNIFORMANCES3R15C44" localSheetId="105" hidden="1">#REF!</definedName>
    <definedName name="UNIFORMANCES3R15C44" localSheetId="104" hidden="1">#REF!</definedName>
    <definedName name="UNIFORMANCES3R15C44" localSheetId="88" hidden="1">#REF!</definedName>
    <definedName name="UNIFORMANCES3R15C44" localSheetId="89" hidden="1">#REF!</definedName>
    <definedName name="UNIFORMANCES3R15C44" localSheetId="87" hidden="1">#REF!</definedName>
    <definedName name="UNIFORMANCES3R15C44" localSheetId="90" hidden="1">#REF!</definedName>
    <definedName name="UNIFORMANCES3R15C44" localSheetId="70" hidden="1">#REF!</definedName>
    <definedName name="UNIFORMANCES3R15C44" localSheetId="65" hidden="1">#REF!</definedName>
    <definedName name="UNIFORMANCES3R15C44" localSheetId="64" hidden="1">#REF!</definedName>
    <definedName name="UNIFORMANCES3R15C44" localSheetId="77" hidden="1">#REF!</definedName>
    <definedName name="UNIFORMANCES3R15C44" localSheetId="49" hidden="1">#REF!</definedName>
    <definedName name="UNIFORMANCES3R15C44" localSheetId="57" hidden="1">#REF!</definedName>
    <definedName name="UNIFORMANCES3R15C44" localSheetId="59" hidden="1">#REF!</definedName>
    <definedName name="UNIFORMANCES3R15C44" localSheetId="40" hidden="1">#REF!</definedName>
    <definedName name="UNIFORMANCES3R15C44" localSheetId="43" hidden="1">#REF!</definedName>
    <definedName name="UNIFORMANCES3R15C44" localSheetId="55" hidden="1">#REF!</definedName>
    <definedName name="UNIFORMANCES3R15C44" localSheetId="13" hidden="1">#REF!</definedName>
    <definedName name="UNIFORMANCES3R15C44" localSheetId="11" hidden="1">#REF!</definedName>
    <definedName name="UNIFORMANCES3R15C44" localSheetId="38" hidden="1">#REF!</definedName>
    <definedName name="UNIFORMANCES3R15C44" localSheetId="41" hidden="1">#REF!</definedName>
    <definedName name="UNIFORMANCES3R15C44" localSheetId="101" hidden="1">#REF!</definedName>
    <definedName name="UNIFORMANCES3R15C44" localSheetId="102" hidden="1">#REF!</definedName>
    <definedName name="UNIFORMANCES3R15C44" localSheetId="103" hidden="1">#REF!</definedName>
    <definedName name="UNIFORMANCES3R15C44" localSheetId="97" hidden="1">#REF!</definedName>
    <definedName name="UNIFORMANCES3R15C44" localSheetId="42" hidden="1">#REF!</definedName>
    <definedName name="UNIFORMANCES3R15C44" localSheetId="12" hidden="1">#REF!</definedName>
    <definedName name="UNIFORMANCES3R15C44" localSheetId="73" hidden="1">#REF!</definedName>
    <definedName name="UNIFORMANCES3R15C44" localSheetId="74" hidden="1">#REF!</definedName>
    <definedName name="UNIFORMANCES3R15C44" hidden="1">#REF!</definedName>
    <definedName name="UNIFORMANCES3R15C45" localSheetId="3" hidden="1">#REF!</definedName>
    <definedName name="UNIFORMANCES3R15C45" localSheetId="7" hidden="1">#REF!</definedName>
    <definedName name="UNIFORMANCES3R15C45" localSheetId="9" hidden="1">#REF!</definedName>
    <definedName name="UNIFORMANCES3R15C45" localSheetId="10" hidden="1">#REF!</definedName>
    <definedName name="UNIFORMANCES3R15C45" localSheetId="15" hidden="1">#REF!</definedName>
    <definedName name="UNIFORMANCES3R15C45" localSheetId="18" hidden="1">#REF!</definedName>
    <definedName name="UNIFORMANCES3R15C45" localSheetId="19" hidden="1">#REF!</definedName>
    <definedName name="UNIFORMANCES3R15C45" localSheetId="20" hidden="1">#REF!</definedName>
    <definedName name="UNIFORMANCES3R15C45" localSheetId="23" hidden="1">#REF!</definedName>
    <definedName name="UNIFORMANCES3R15C45" localSheetId="24" hidden="1">#REF!</definedName>
    <definedName name="UNIFORMANCES3R15C45" localSheetId="35" hidden="1">#REF!</definedName>
    <definedName name="UNIFORMANCES3R15C45" localSheetId="58" hidden="1">#REF!</definedName>
    <definedName name="UNIFORMANCES3R15C45" localSheetId="60" hidden="1">#REF!</definedName>
    <definedName name="UNIFORMANCES3R15C45" localSheetId="51" hidden="1">#REF!</definedName>
    <definedName name="UNIFORMANCES3R15C45" localSheetId="54" hidden="1">#REF!</definedName>
    <definedName name="UNIFORMANCES3R15C45" localSheetId="47" hidden="1">#REF!</definedName>
    <definedName name="UNIFORMANCES3R15C45" localSheetId="105" hidden="1">#REF!</definedName>
    <definedName name="UNIFORMANCES3R15C45" localSheetId="104" hidden="1">#REF!</definedName>
    <definedName name="UNIFORMANCES3R15C45" localSheetId="88" hidden="1">#REF!</definedName>
    <definedName name="UNIFORMANCES3R15C45" localSheetId="89" hidden="1">#REF!</definedName>
    <definedName name="UNIFORMANCES3R15C45" localSheetId="87" hidden="1">#REF!</definedName>
    <definedName name="UNIFORMANCES3R15C45" localSheetId="90" hidden="1">#REF!</definedName>
    <definedName name="UNIFORMANCES3R15C45" localSheetId="70" hidden="1">#REF!</definedName>
    <definedName name="UNIFORMANCES3R15C45" localSheetId="65" hidden="1">#REF!</definedName>
    <definedName name="UNIFORMANCES3R15C45" localSheetId="64" hidden="1">#REF!</definedName>
    <definedName name="UNIFORMANCES3R15C45" localSheetId="77" hidden="1">#REF!</definedName>
    <definedName name="UNIFORMANCES3R15C45" localSheetId="49" hidden="1">#REF!</definedName>
    <definedName name="UNIFORMANCES3R15C45" localSheetId="57" hidden="1">#REF!</definedName>
    <definedName name="UNIFORMANCES3R15C45" localSheetId="59" hidden="1">#REF!</definedName>
    <definedName name="UNIFORMANCES3R15C45" localSheetId="40" hidden="1">#REF!</definedName>
    <definedName name="UNIFORMANCES3R15C45" localSheetId="43" hidden="1">#REF!</definedName>
    <definedName name="UNIFORMANCES3R15C45" localSheetId="55" hidden="1">#REF!</definedName>
    <definedName name="UNIFORMANCES3R15C45" localSheetId="13" hidden="1">#REF!</definedName>
    <definedName name="UNIFORMANCES3R15C45" localSheetId="11" hidden="1">#REF!</definedName>
    <definedName name="UNIFORMANCES3R15C45" localSheetId="38" hidden="1">#REF!</definedName>
    <definedName name="UNIFORMANCES3R15C45" localSheetId="41" hidden="1">#REF!</definedName>
    <definedName name="UNIFORMANCES3R15C45" localSheetId="101" hidden="1">#REF!</definedName>
    <definedName name="UNIFORMANCES3R15C45" localSheetId="102" hidden="1">#REF!</definedName>
    <definedName name="UNIFORMANCES3R15C45" localSheetId="103" hidden="1">#REF!</definedName>
    <definedName name="UNIFORMANCES3R15C45" localSheetId="97" hidden="1">#REF!</definedName>
    <definedName name="UNIFORMANCES3R15C45" localSheetId="42" hidden="1">#REF!</definedName>
    <definedName name="UNIFORMANCES3R15C45" localSheetId="12" hidden="1">#REF!</definedName>
    <definedName name="UNIFORMANCES3R15C45" localSheetId="73" hidden="1">#REF!</definedName>
    <definedName name="UNIFORMANCES3R15C45" localSheetId="74" hidden="1">#REF!</definedName>
    <definedName name="UNIFORMANCES3R15C45" hidden="1">#REF!</definedName>
    <definedName name="UNIFORMANCES3R15C46" localSheetId="3" hidden="1">#REF!</definedName>
    <definedName name="UNIFORMANCES3R15C46" localSheetId="7" hidden="1">#REF!</definedName>
    <definedName name="UNIFORMANCES3R15C46" localSheetId="9" hidden="1">#REF!</definedName>
    <definedName name="UNIFORMANCES3R15C46" localSheetId="10" hidden="1">#REF!</definedName>
    <definedName name="UNIFORMANCES3R15C46" localSheetId="15" hidden="1">#REF!</definedName>
    <definedName name="UNIFORMANCES3R15C46" localSheetId="18" hidden="1">#REF!</definedName>
    <definedName name="UNIFORMANCES3R15C46" localSheetId="19" hidden="1">#REF!</definedName>
    <definedName name="UNIFORMANCES3R15C46" localSheetId="20" hidden="1">#REF!</definedName>
    <definedName name="UNIFORMANCES3R15C46" localSheetId="23" hidden="1">#REF!</definedName>
    <definedName name="UNIFORMANCES3R15C46" localSheetId="24" hidden="1">#REF!</definedName>
    <definedName name="UNIFORMANCES3R15C46" localSheetId="35" hidden="1">#REF!</definedName>
    <definedName name="UNIFORMANCES3R15C46" localSheetId="58" hidden="1">#REF!</definedName>
    <definedName name="UNIFORMANCES3R15C46" localSheetId="60" hidden="1">#REF!</definedName>
    <definedName name="UNIFORMANCES3R15C46" localSheetId="51" hidden="1">#REF!</definedName>
    <definedName name="UNIFORMANCES3R15C46" localSheetId="54" hidden="1">#REF!</definedName>
    <definedName name="UNIFORMANCES3R15C46" localSheetId="47" hidden="1">#REF!</definedName>
    <definedName name="UNIFORMANCES3R15C46" localSheetId="105" hidden="1">#REF!</definedName>
    <definedName name="UNIFORMANCES3R15C46" localSheetId="104" hidden="1">#REF!</definedName>
    <definedName name="UNIFORMANCES3R15C46" localSheetId="88" hidden="1">#REF!</definedName>
    <definedName name="UNIFORMANCES3R15C46" localSheetId="89" hidden="1">#REF!</definedName>
    <definedName name="UNIFORMANCES3R15C46" localSheetId="87" hidden="1">#REF!</definedName>
    <definedName name="UNIFORMANCES3R15C46" localSheetId="90" hidden="1">#REF!</definedName>
    <definedName name="UNIFORMANCES3R15C46" localSheetId="70" hidden="1">#REF!</definedName>
    <definedName name="UNIFORMANCES3R15C46" localSheetId="65" hidden="1">#REF!</definedName>
    <definedName name="UNIFORMANCES3R15C46" localSheetId="64" hidden="1">#REF!</definedName>
    <definedName name="UNIFORMANCES3R15C46" localSheetId="77" hidden="1">#REF!</definedName>
    <definedName name="UNIFORMANCES3R15C46" localSheetId="49" hidden="1">#REF!</definedName>
    <definedName name="UNIFORMANCES3R15C46" localSheetId="57" hidden="1">#REF!</definedName>
    <definedName name="UNIFORMANCES3R15C46" localSheetId="59" hidden="1">#REF!</definedName>
    <definedName name="UNIFORMANCES3R15C46" localSheetId="40" hidden="1">#REF!</definedName>
    <definedName name="UNIFORMANCES3R15C46" localSheetId="43" hidden="1">#REF!</definedName>
    <definedName name="UNIFORMANCES3R15C46" localSheetId="55" hidden="1">#REF!</definedName>
    <definedName name="UNIFORMANCES3R15C46" localSheetId="13" hidden="1">#REF!</definedName>
    <definedName name="UNIFORMANCES3R15C46" localSheetId="11" hidden="1">#REF!</definedName>
    <definedName name="UNIFORMANCES3R15C46" localSheetId="38" hidden="1">#REF!</definedName>
    <definedName name="UNIFORMANCES3R15C46" localSheetId="41" hidden="1">#REF!</definedName>
    <definedName name="UNIFORMANCES3R15C46" localSheetId="101" hidden="1">#REF!</definedName>
    <definedName name="UNIFORMANCES3R15C46" localSheetId="102" hidden="1">#REF!</definedName>
    <definedName name="UNIFORMANCES3R15C46" localSheetId="103" hidden="1">#REF!</definedName>
    <definedName name="UNIFORMANCES3R15C46" localSheetId="97" hidden="1">#REF!</definedName>
    <definedName name="UNIFORMANCES3R15C46" localSheetId="42" hidden="1">#REF!</definedName>
    <definedName name="UNIFORMANCES3R15C46" localSheetId="12" hidden="1">#REF!</definedName>
    <definedName name="UNIFORMANCES3R15C46" localSheetId="73" hidden="1">#REF!</definedName>
    <definedName name="UNIFORMANCES3R15C46" localSheetId="74" hidden="1">#REF!</definedName>
    <definedName name="UNIFORMANCES3R15C46" hidden="1">#REF!</definedName>
    <definedName name="UNIFORMANCES3R15C47" localSheetId="3" hidden="1">#REF!</definedName>
    <definedName name="UNIFORMANCES3R15C47" localSheetId="7" hidden="1">#REF!</definedName>
    <definedName name="UNIFORMANCES3R15C47" localSheetId="9" hidden="1">#REF!</definedName>
    <definedName name="UNIFORMANCES3R15C47" localSheetId="10" hidden="1">#REF!</definedName>
    <definedName name="UNIFORMANCES3R15C47" localSheetId="15" hidden="1">#REF!</definedName>
    <definedName name="UNIFORMANCES3R15C47" localSheetId="18" hidden="1">#REF!</definedName>
    <definedName name="UNIFORMANCES3R15C47" localSheetId="19" hidden="1">#REF!</definedName>
    <definedName name="UNIFORMANCES3R15C47" localSheetId="20" hidden="1">#REF!</definedName>
    <definedName name="UNIFORMANCES3R15C47" localSheetId="23" hidden="1">#REF!</definedName>
    <definedName name="UNIFORMANCES3R15C47" localSheetId="24" hidden="1">#REF!</definedName>
    <definedName name="UNIFORMANCES3R15C47" localSheetId="35" hidden="1">#REF!</definedName>
    <definedName name="UNIFORMANCES3R15C47" localSheetId="58" hidden="1">#REF!</definedName>
    <definedName name="UNIFORMANCES3R15C47" localSheetId="60" hidden="1">#REF!</definedName>
    <definedName name="UNIFORMANCES3R15C47" localSheetId="51" hidden="1">#REF!</definedName>
    <definedName name="UNIFORMANCES3R15C47" localSheetId="54" hidden="1">#REF!</definedName>
    <definedName name="UNIFORMANCES3R15C47" localSheetId="47" hidden="1">#REF!</definedName>
    <definedName name="UNIFORMANCES3R15C47" localSheetId="105" hidden="1">#REF!</definedName>
    <definedName name="UNIFORMANCES3R15C47" localSheetId="104" hidden="1">#REF!</definedName>
    <definedName name="UNIFORMANCES3R15C47" localSheetId="88" hidden="1">#REF!</definedName>
    <definedName name="UNIFORMANCES3R15C47" localSheetId="89" hidden="1">#REF!</definedName>
    <definedName name="UNIFORMANCES3R15C47" localSheetId="87" hidden="1">#REF!</definedName>
    <definedName name="UNIFORMANCES3R15C47" localSheetId="90" hidden="1">#REF!</definedName>
    <definedName name="UNIFORMANCES3R15C47" localSheetId="70" hidden="1">#REF!</definedName>
    <definedName name="UNIFORMANCES3R15C47" localSheetId="65" hidden="1">#REF!</definedName>
    <definedName name="UNIFORMANCES3R15C47" localSheetId="64" hidden="1">#REF!</definedName>
    <definedName name="UNIFORMANCES3R15C47" localSheetId="77" hidden="1">#REF!</definedName>
    <definedName name="UNIFORMANCES3R15C47" localSheetId="49" hidden="1">#REF!</definedName>
    <definedName name="UNIFORMANCES3R15C47" localSheetId="57" hidden="1">#REF!</definedName>
    <definedName name="UNIFORMANCES3R15C47" localSheetId="59" hidden="1">#REF!</definedName>
    <definedName name="UNIFORMANCES3R15C47" localSheetId="40" hidden="1">#REF!</definedName>
    <definedName name="UNIFORMANCES3R15C47" localSheetId="43" hidden="1">#REF!</definedName>
    <definedName name="UNIFORMANCES3R15C47" localSheetId="55" hidden="1">#REF!</definedName>
    <definedName name="UNIFORMANCES3R15C47" localSheetId="13" hidden="1">#REF!</definedName>
    <definedName name="UNIFORMANCES3R15C47" localSheetId="11" hidden="1">#REF!</definedName>
    <definedName name="UNIFORMANCES3R15C47" localSheetId="38" hidden="1">#REF!</definedName>
    <definedName name="UNIFORMANCES3R15C47" localSheetId="41" hidden="1">#REF!</definedName>
    <definedName name="UNIFORMANCES3R15C47" localSheetId="101" hidden="1">#REF!</definedName>
    <definedName name="UNIFORMANCES3R15C47" localSheetId="102" hidden="1">#REF!</definedName>
    <definedName name="UNIFORMANCES3R15C47" localSheetId="103" hidden="1">#REF!</definedName>
    <definedName name="UNIFORMANCES3R15C47" localSheetId="97" hidden="1">#REF!</definedName>
    <definedName name="UNIFORMANCES3R15C47" localSheetId="42" hidden="1">#REF!</definedName>
    <definedName name="UNIFORMANCES3R15C47" localSheetId="12" hidden="1">#REF!</definedName>
    <definedName name="UNIFORMANCES3R15C47" localSheetId="73" hidden="1">#REF!</definedName>
    <definedName name="UNIFORMANCES3R15C47" localSheetId="74" hidden="1">#REF!</definedName>
    <definedName name="UNIFORMANCES3R15C47" hidden="1">#REF!</definedName>
    <definedName name="UNIFORMANCES3R15C48" localSheetId="3" hidden="1">#REF!</definedName>
    <definedName name="UNIFORMANCES3R15C48" localSheetId="7" hidden="1">#REF!</definedName>
    <definedName name="UNIFORMANCES3R15C48" localSheetId="9" hidden="1">#REF!</definedName>
    <definedName name="UNIFORMANCES3R15C48" localSheetId="10" hidden="1">#REF!</definedName>
    <definedName name="UNIFORMANCES3R15C48" localSheetId="15" hidden="1">#REF!</definedName>
    <definedName name="UNIFORMANCES3R15C48" localSheetId="18" hidden="1">#REF!</definedName>
    <definedName name="UNIFORMANCES3R15C48" localSheetId="19" hidden="1">#REF!</definedName>
    <definedName name="UNIFORMANCES3R15C48" localSheetId="20" hidden="1">#REF!</definedName>
    <definedName name="UNIFORMANCES3R15C48" localSheetId="23" hidden="1">#REF!</definedName>
    <definedName name="UNIFORMANCES3R15C48" localSheetId="24" hidden="1">#REF!</definedName>
    <definedName name="UNIFORMANCES3R15C48" localSheetId="35" hidden="1">#REF!</definedName>
    <definedName name="UNIFORMANCES3R15C48" localSheetId="58" hidden="1">#REF!</definedName>
    <definedName name="UNIFORMANCES3R15C48" localSheetId="60" hidden="1">#REF!</definedName>
    <definedName name="UNIFORMANCES3R15C48" localSheetId="51" hidden="1">#REF!</definedName>
    <definedName name="UNIFORMANCES3R15C48" localSheetId="54" hidden="1">#REF!</definedName>
    <definedName name="UNIFORMANCES3R15C48" localSheetId="47" hidden="1">#REF!</definedName>
    <definedName name="UNIFORMANCES3R15C48" localSheetId="105" hidden="1">#REF!</definedName>
    <definedName name="UNIFORMANCES3R15C48" localSheetId="104" hidden="1">#REF!</definedName>
    <definedName name="UNIFORMANCES3R15C48" localSheetId="88" hidden="1">#REF!</definedName>
    <definedName name="UNIFORMANCES3R15C48" localSheetId="89" hidden="1">#REF!</definedName>
    <definedName name="UNIFORMANCES3R15C48" localSheetId="87" hidden="1">#REF!</definedName>
    <definedName name="UNIFORMANCES3R15C48" localSheetId="90" hidden="1">#REF!</definedName>
    <definedName name="UNIFORMANCES3R15C48" localSheetId="70" hidden="1">#REF!</definedName>
    <definedName name="UNIFORMANCES3R15C48" localSheetId="65" hidden="1">#REF!</definedName>
    <definedName name="UNIFORMANCES3R15C48" localSheetId="64" hidden="1">#REF!</definedName>
    <definedName name="UNIFORMANCES3R15C48" localSheetId="77" hidden="1">#REF!</definedName>
    <definedName name="UNIFORMANCES3R15C48" localSheetId="49" hidden="1">#REF!</definedName>
    <definedName name="UNIFORMANCES3R15C48" localSheetId="57" hidden="1">#REF!</definedName>
    <definedName name="UNIFORMANCES3R15C48" localSheetId="59" hidden="1">#REF!</definedName>
    <definedName name="UNIFORMANCES3R15C48" localSheetId="40" hidden="1">#REF!</definedName>
    <definedName name="UNIFORMANCES3R15C48" localSheetId="43" hidden="1">#REF!</definedName>
    <definedName name="UNIFORMANCES3R15C48" localSheetId="55" hidden="1">#REF!</definedName>
    <definedName name="UNIFORMANCES3R15C48" localSheetId="13" hidden="1">#REF!</definedName>
    <definedName name="UNIFORMANCES3R15C48" localSheetId="11" hidden="1">#REF!</definedName>
    <definedName name="UNIFORMANCES3R15C48" localSheetId="38" hidden="1">#REF!</definedName>
    <definedName name="UNIFORMANCES3R15C48" localSheetId="41" hidden="1">#REF!</definedName>
    <definedName name="UNIFORMANCES3R15C48" localSheetId="101" hidden="1">#REF!</definedName>
    <definedName name="UNIFORMANCES3R15C48" localSheetId="102" hidden="1">#REF!</definedName>
    <definedName name="UNIFORMANCES3R15C48" localSheetId="103" hidden="1">#REF!</definedName>
    <definedName name="UNIFORMANCES3R15C48" localSheetId="97" hidden="1">#REF!</definedName>
    <definedName name="UNIFORMANCES3R15C48" localSheetId="42" hidden="1">#REF!</definedName>
    <definedName name="UNIFORMANCES3R15C48" localSheetId="12" hidden="1">#REF!</definedName>
    <definedName name="UNIFORMANCES3R15C48" localSheetId="73" hidden="1">#REF!</definedName>
    <definedName name="UNIFORMANCES3R15C48" localSheetId="74" hidden="1">#REF!</definedName>
    <definedName name="UNIFORMANCES3R15C48" hidden="1">#REF!</definedName>
    <definedName name="UNIFORMANCES3R15C49" localSheetId="3" hidden="1">#REF!</definedName>
    <definedName name="UNIFORMANCES3R15C49" localSheetId="7" hidden="1">#REF!</definedName>
    <definedName name="UNIFORMANCES3R15C49" localSheetId="9" hidden="1">#REF!</definedName>
    <definedName name="UNIFORMANCES3R15C49" localSheetId="10" hidden="1">#REF!</definedName>
    <definedName name="UNIFORMANCES3R15C49" localSheetId="15" hidden="1">#REF!</definedName>
    <definedName name="UNIFORMANCES3R15C49" localSheetId="18" hidden="1">#REF!</definedName>
    <definedName name="UNIFORMANCES3R15C49" localSheetId="19" hidden="1">#REF!</definedName>
    <definedName name="UNIFORMANCES3R15C49" localSheetId="20" hidden="1">#REF!</definedName>
    <definedName name="UNIFORMANCES3R15C49" localSheetId="23" hidden="1">#REF!</definedName>
    <definedName name="UNIFORMANCES3R15C49" localSheetId="24" hidden="1">#REF!</definedName>
    <definedName name="UNIFORMANCES3R15C49" localSheetId="35" hidden="1">#REF!</definedName>
    <definedName name="UNIFORMANCES3R15C49" localSheetId="58" hidden="1">#REF!</definedName>
    <definedName name="UNIFORMANCES3R15C49" localSheetId="60" hidden="1">#REF!</definedName>
    <definedName name="UNIFORMANCES3R15C49" localSheetId="51" hidden="1">#REF!</definedName>
    <definedName name="UNIFORMANCES3R15C49" localSheetId="54" hidden="1">#REF!</definedName>
    <definedName name="UNIFORMANCES3R15C49" localSheetId="47" hidden="1">#REF!</definedName>
    <definedName name="UNIFORMANCES3R15C49" localSheetId="105" hidden="1">#REF!</definedName>
    <definedName name="UNIFORMANCES3R15C49" localSheetId="104" hidden="1">#REF!</definedName>
    <definedName name="UNIFORMANCES3R15C49" localSheetId="88" hidden="1">#REF!</definedName>
    <definedName name="UNIFORMANCES3R15C49" localSheetId="89" hidden="1">#REF!</definedName>
    <definedName name="UNIFORMANCES3R15C49" localSheetId="87" hidden="1">#REF!</definedName>
    <definedName name="UNIFORMANCES3R15C49" localSheetId="90" hidden="1">#REF!</definedName>
    <definedName name="UNIFORMANCES3R15C49" localSheetId="70" hidden="1">#REF!</definedName>
    <definedName name="UNIFORMANCES3R15C49" localSheetId="65" hidden="1">#REF!</definedName>
    <definedName name="UNIFORMANCES3R15C49" localSheetId="64" hidden="1">#REF!</definedName>
    <definedName name="UNIFORMANCES3R15C49" localSheetId="77" hidden="1">#REF!</definedName>
    <definedName name="UNIFORMANCES3R15C49" localSheetId="49" hidden="1">#REF!</definedName>
    <definedName name="UNIFORMANCES3R15C49" localSheetId="57" hidden="1">#REF!</definedName>
    <definedName name="UNIFORMANCES3R15C49" localSheetId="59" hidden="1">#REF!</definedName>
    <definedName name="UNIFORMANCES3R15C49" localSheetId="40" hidden="1">#REF!</definedName>
    <definedName name="UNIFORMANCES3R15C49" localSheetId="43" hidden="1">#REF!</definedName>
    <definedName name="UNIFORMANCES3R15C49" localSheetId="55" hidden="1">#REF!</definedName>
    <definedName name="UNIFORMANCES3R15C49" localSheetId="13" hidden="1">#REF!</definedName>
    <definedName name="UNIFORMANCES3R15C49" localSheetId="11" hidden="1">#REF!</definedName>
    <definedName name="UNIFORMANCES3R15C49" localSheetId="38" hidden="1">#REF!</definedName>
    <definedName name="UNIFORMANCES3R15C49" localSheetId="41" hidden="1">#REF!</definedName>
    <definedName name="UNIFORMANCES3R15C49" localSheetId="101" hidden="1">#REF!</definedName>
    <definedName name="UNIFORMANCES3R15C49" localSheetId="102" hidden="1">#REF!</definedName>
    <definedName name="UNIFORMANCES3R15C49" localSheetId="103" hidden="1">#REF!</definedName>
    <definedName name="UNIFORMANCES3R15C49" localSheetId="97" hidden="1">#REF!</definedName>
    <definedName name="UNIFORMANCES3R15C49" localSheetId="42" hidden="1">#REF!</definedName>
    <definedName name="UNIFORMANCES3R15C49" localSheetId="12" hidden="1">#REF!</definedName>
    <definedName name="UNIFORMANCES3R15C49" localSheetId="73" hidden="1">#REF!</definedName>
    <definedName name="UNIFORMANCES3R15C49" localSheetId="74" hidden="1">#REF!</definedName>
    <definedName name="UNIFORMANCES3R15C49" hidden="1">#REF!</definedName>
    <definedName name="UNIFORMANCES3R15C5" localSheetId="3" hidden="1">#REF!</definedName>
    <definedName name="UNIFORMANCES3R15C5" localSheetId="7" hidden="1">#REF!</definedName>
    <definedName name="UNIFORMANCES3R15C5" localSheetId="9" hidden="1">#REF!</definedName>
    <definedName name="UNIFORMANCES3R15C5" localSheetId="10" hidden="1">#REF!</definedName>
    <definedName name="UNIFORMANCES3R15C5" localSheetId="15" hidden="1">#REF!</definedName>
    <definedName name="UNIFORMANCES3R15C5" localSheetId="18" hidden="1">#REF!</definedName>
    <definedName name="UNIFORMANCES3R15C5" localSheetId="19" hidden="1">#REF!</definedName>
    <definedName name="UNIFORMANCES3R15C5" localSheetId="20" hidden="1">#REF!</definedName>
    <definedName name="UNIFORMANCES3R15C5" localSheetId="23" hidden="1">#REF!</definedName>
    <definedName name="UNIFORMANCES3R15C5" localSheetId="24" hidden="1">#REF!</definedName>
    <definedName name="UNIFORMANCES3R15C5" localSheetId="35" hidden="1">#REF!</definedName>
    <definedName name="UNIFORMANCES3R15C5" localSheetId="58" hidden="1">#REF!</definedName>
    <definedName name="UNIFORMANCES3R15C5" localSheetId="60" hidden="1">#REF!</definedName>
    <definedName name="UNIFORMANCES3R15C5" localSheetId="51" hidden="1">#REF!</definedName>
    <definedName name="UNIFORMANCES3R15C5" localSheetId="54" hidden="1">#REF!</definedName>
    <definedName name="UNIFORMANCES3R15C5" localSheetId="47" hidden="1">#REF!</definedName>
    <definedName name="UNIFORMANCES3R15C5" localSheetId="105" hidden="1">#REF!</definedName>
    <definedName name="UNIFORMANCES3R15C5" localSheetId="104" hidden="1">#REF!</definedName>
    <definedName name="UNIFORMANCES3R15C5" localSheetId="88" hidden="1">#REF!</definedName>
    <definedName name="UNIFORMANCES3R15C5" localSheetId="89" hidden="1">#REF!</definedName>
    <definedName name="UNIFORMANCES3R15C5" localSheetId="87" hidden="1">#REF!</definedName>
    <definedName name="UNIFORMANCES3R15C5" localSheetId="90" hidden="1">#REF!</definedName>
    <definedName name="UNIFORMANCES3R15C5" localSheetId="70" hidden="1">#REF!</definedName>
    <definedName name="UNIFORMANCES3R15C5" localSheetId="65" hidden="1">#REF!</definedName>
    <definedName name="UNIFORMANCES3R15C5" localSheetId="64" hidden="1">#REF!</definedName>
    <definedName name="UNIFORMANCES3R15C5" localSheetId="77" hidden="1">#REF!</definedName>
    <definedName name="UNIFORMANCES3R15C5" localSheetId="49" hidden="1">#REF!</definedName>
    <definedName name="UNIFORMANCES3R15C5" localSheetId="57" hidden="1">#REF!</definedName>
    <definedName name="UNIFORMANCES3R15C5" localSheetId="59" hidden="1">#REF!</definedName>
    <definedName name="UNIFORMANCES3R15C5" localSheetId="40" hidden="1">#REF!</definedName>
    <definedName name="UNIFORMANCES3R15C5" localSheetId="43" hidden="1">#REF!</definedName>
    <definedName name="UNIFORMANCES3R15C5" localSheetId="55" hidden="1">#REF!</definedName>
    <definedName name="UNIFORMANCES3R15C5" localSheetId="13" hidden="1">#REF!</definedName>
    <definedName name="UNIFORMANCES3R15C5" localSheetId="11" hidden="1">#REF!</definedName>
    <definedName name="UNIFORMANCES3R15C5" localSheetId="38" hidden="1">#REF!</definedName>
    <definedName name="UNIFORMANCES3R15C5" localSheetId="41" hidden="1">#REF!</definedName>
    <definedName name="UNIFORMANCES3R15C5" localSheetId="101" hidden="1">#REF!</definedName>
    <definedName name="UNIFORMANCES3R15C5" localSheetId="102" hidden="1">#REF!</definedName>
    <definedName name="UNIFORMANCES3R15C5" localSheetId="103" hidden="1">#REF!</definedName>
    <definedName name="UNIFORMANCES3R15C5" localSheetId="97" hidden="1">#REF!</definedName>
    <definedName name="UNIFORMANCES3R15C5" localSheetId="42" hidden="1">#REF!</definedName>
    <definedName name="UNIFORMANCES3R15C5" localSheetId="12" hidden="1">#REF!</definedName>
    <definedName name="UNIFORMANCES3R15C5" localSheetId="73" hidden="1">#REF!</definedName>
    <definedName name="UNIFORMANCES3R15C5" localSheetId="74" hidden="1">#REF!</definedName>
    <definedName name="UNIFORMANCES3R15C5" hidden="1">#REF!</definedName>
    <definedName name="UNIFORMANCES3R15C52" localSheetId="3" hidden="1">#REF!</definedName>
    <definedName name="UNIFORMANCES3R15C52" localSheetId="7" hidden="1">#REF!</definedName>
    <definedName name="UNIFORMANCES3R15C52" localSheetId="9" hidden="1">#REF!</definedName>
    <definedName name="UNIFORMANCES3R15C52" localSheetId="10" hidden="1">#REF!</definedName>
    <definedName name="UNIFORMANCES3R15C52" localSheetId="15" hidden="1">#REF!</definedName>
    <definedName name="UNIFORMANCES3R15C52" localSheetId="18" hidden="1">#REF!</definedName>
    <definedName name="UNIFORMANCES3R15C52" localSheetId="19" hidden="1">#REF!</definedName>
    <definedName name="UNIFORMANCES3R15C52" localSheetId="20" hidden="1">#REF!</definedName>
    <definedName name="UNIFORMANCES3R15C52" localSheetId="23" hidden="1">#REF!</definedName>
    <definedName name="UNIFORMANCES3R15C52" localSheetId="24" hidden="1">#REF!</definedName>
    <definedName name="UNIFORMANCES3R15C52" localSheetId="35" hidden="1">#REF!</definedName>
    <definedName name="UNIFORMANCES3R15C52" localSheetId="58" hidden="1">#REF!</definedName>
    <definedName name="UNIFORMANCES3R15C52" localSheetId="60" hidden="1">#REF!</definedName>
    <definedName name="UNIFORMANCES3R15C52" localSheetId="51" hidden="1">#REF!</definedName>
    <definedName name="UNIFORMANCES3R15C52" localSheetId="54" hidden="1">#REF!</definedName>
    <definedName name="UNIFORMANCES3R15C52" localSheetId="47" hidden="1">#REF!</definedName>
    <definedName name="UNIFORMANCES3R15C52" localSheetId="105" hidden="1">#REF!</definedName>
    <definedName name="UNIFORMANCES3R15C52" localSheetId="104" hidden="1">#REF!</definedName>
    <definedName name="UNIFORMANCES3R15C52" localSheetId="88" hidden="1">#REF!</definedName>
    <definedName name="UNIFORMANCES3R15C52" localSheetId="89" hidden="1">#REF!</definedName>
    <definedName name="UNIFORMANCES3R15C52" localSheetId="87" hidden="1">#REF!</definedName>
    <definedName name="UNIFORMANCES3R15C52" localSheetId="90" hidden="1">#REF!</definedName>
    <definedName name="UNIFORMANCES3R15C52" localSheetId="70" hidden="1">#REF!</definedName>
    <definedName name="UNIFORMANCES3R15C52" localSheetId="65" hidden="1">#REF!</definedName>
    <definedName name="UNIFORMANCES3R15C52" localSheetId="64" hidden="1">#REF!</definedName>
    <definedName name="UNIFORMANCES3R15C52" localSheetId="77" hidden="1">#REF!</definedName>
    <definedName name="UNIFORMANCES3R15C52" localSheetId="49" hidden="1">#REF!</definedName>
    <definedName name="UNIFORMANCES3R15C52" localSheetId="57" hidden="1">#REF!</definedName>
    <definedName name="UNIFORMANCES3R15C52" localSheetId="59" hidden="1">#REF!</definedName>
    <definedName name="UNIFORMANCES3R15C52" localSheetId="40" hidden="1">#REF!</definedName>
    <definedName name="UNIFORMANCES3R15C52" localSheetId="43" hidden="1">#REF!</definedName>
    <definedName name="UNIFORMANCES3R15C52" localSheetId="55" hidden="1">#REF!</definedName>
    <definedName name="UNIFORMANCES3R15C52" localSheetId="13" hidden="1">#REF!</definedName>
    <definedName name="UNIFORMANCES3R15C52" localSheetId="11" hidden="1">#REF!</definedName>
    <definedName name="UNIFORMANCES3R15C52" localSheetId="38" hidden="1">#REF!</definedName>
    <definedName name="UNIFORMANCES3R15C52" localSheetId="41" hidden="1">#REF!</definedName>
    <definedName name="UNIFORMANCES3R15C52" localSheetId="101" hidden="1">#REF!</definedName>
    <definedName name="UNIFORMANCES3R15C52" localSheetId="102" hidden="1">#REF!</definedName>
    <definedName name="UNIFORMANCES3R15C52" localSheetId="103" hidden="1">#REF!</definedName>
    <definedName name="UNIFORMANCES3R15C52" localSheetId="97" hidden="1">#REF!</definedName>
    <definedName name="UNIFORMANCES3R15C52" localSheetId="42" hidden="1">#REF!</definedName>
    <definedName name="UNIFORMANCES3R15C52" localSheetId="12" hidden="1">#REF!</definedName>
    <definedName name="UNIFORMANCES3R15C52" localSheetId="73" hidden="1">#REF!</definedName>
    <definedName name="UNIFORMANCES3R15C52" localSheetId="74" hidden="1">#REF!</definedName>
    <definedName name="UNIFORMANCES3R15C52" hidden="1">#REF!</definedName>
    <definedName name="UNIFORMANCES3R15C53" localSheetId="3" hidden="1">#REF!</definedName>
    <definedName name="UNIFORMANCES3R15C53" localSheetId="7" hidden="1">#REF!</definedName>
    <definedName name="UNIFORMANCES3R15C53" localSheetId="9" hidden="1">#REF!</definedName>
    <definedName name="UNIFORMANCES3R15C53" localSheetId="10" hidden="1">#REF!</definedName>
    <definedName name="UNIFORMANCES3R15C53" localSheetId="15" hidden="1">#REF!</definedName>
    <definedName name="UNIFORMANCES3R15C53" localSheetId="18" hidden="1">#REF!</definedName>
    <definedName name="UNIFORMANCES3R15C53" localSheetId="19" hidden="1">#REF!</definedName>
    <definedName name="UNIFORMANCES3R15C53" localSheetId="20" hidden="1">#REF!</definedName>
    <definedName name="UNIFORMANCES3R15C53" localSheetId="23" hidden="1">#REF!</definedName>
    <definedName name="UNIFORMANCES3R15C53" localSheetId="24" hidden="1">#REF!</definedName>
    <definedName name="UNIFORMANCES3R15C53" localSheetId="35" hidden="1">#REF!</definedName>
    <definedName name="UNIFORMANCES3R15C53" localSheetId="58" hidden="1">#REF!</definedName>
    <definedName name="UNIFORMANCES3R15C53" localSheetId="60" hidden="1">#REF!</definedName>
    <definedName name="UNIFORMANCES3R15C53" localSheetId="51" hidden="1">#REF!</definedName>
    <definedName name="UNIFORMANCES3R15C53" localSheetId="54" hidden="1">#REF!</definedName>
    <definedName name="UNIFORMANCES3R15C53" localSheetId="47" hidden="1">#REF!</definedName>
    <definedName name="UNIFORMANCES3R15C53" localSheetId="105" hidden="1">#REF!</definedName>
    <definedName name="UNIFORMANCES3R15C53" localSheetId="104" hidden="1">#REF!</definedName>
    <definedName name="UNIFORMANCES3R15C53" localSheetId="88" hidden="1">#REF!</definedName>
    <definedName name="UNIFORMANCES3R15C53" localSheetId="89" hidden="1">#REF!</definedName>
    <definedName name="UNIFORMANCES3R15C53" localSheetId="87" hidden="1">#REF!</definedName>
    <definedName name="UNIFORMANCES3R15C53" localSheetId="90" hidden="1">#REF!</definedName>
    <definedName name="UNIFORMANCES3R15C53" localSheetId="70" hidden="1">#REF!</definedName>
    <definedName name="UNIFORMANCES3R15C53" localSheetId="65" hidden="1">#REF!</definedName>
    <definedName name="UNIFORMANCES3R15C53" localSheetId="64" hidden="1">#REF!</definedName>
    <definedName name="UNIFORMANCES3R15C53" localSheetId="77" hidden="1">#REF!</definedName>
    <definedName name="UNIFORMANCES3R15C53" localSheetId="49" hidden="1">#REF!</definedName>
    <definedName name="UNIFORMANCES3R15C53" localSheetId="57" hidden="1">#REF!</definedName>
    <definedName name="UNIFORMANCES3R15C53" localSheetId="59" hidden="1">#REF!</definedName>
    <definedName name="UNIFORMANCES3R15C53" localSheetId="40" hidden="1">#REF!</definedName>
    <definedName name="UNIFORMANCES3R15C53" localSheetId="43" hidden="1">#REF!</definedName>
    <definedName name="UNIFORMANCES3R15C53" localSheetId="55" hidden="1">#REF!</definedName>
    <definedName name="UNIFORMANCES3R15C53" localSheetId="13" hidden="1">#REF!</definedName>
    <definedName name="UNIFORMANCES3R15C53" localSheetId="11" hidden="1">#REF!</definedName>
    <definedName name="UNIFORMANCES3R15C53" localSheetId="38" hidden="1">#REF!</definedName>
    <definedName name="UNIFORMANCES3R15C53" localSheetId="41" hidden="1">#REF!</definedName>
    <definedName name="UNIFORMANCES3R15C53" localSheetId="101" hidden="1">#REF!</definedName>
    <definedName name="UNIFORMANCES3R15C53" localSheetId="102" hidden="1">#REF!</definedName>
    <definedName name="UNIFORMANCES3R15C53" localSheetId="103" hidden="1">#REF!</definedName>
    <definedName name="UNIFORMANCES3R15C53" localSheetId="97" hidden="1">#REF!</definedName>
    <definedName name="UNIFORMANCES3R15C53" localSheetId="42" hidden="1">#REF!</definedName>
    <definedName name="UNIFORMANCES3R15C53" localSheetId="12" hidden="1">#REF!</definedName>
    <definedName name="UNIFORMANCES3R15C53" localSheetId="73" hidden="1">#REF!</definedName>
    <definedName name="UNIFORMANCES3R15C53" localSheetId="74" hidden="1">#REF!</definedName>
    <definedName name="UNIFORMANCES3R15C53" hidden="1">#REF!</definedName>
    <definedName name="UNIFORMANCES3R15C54" localSheetId="3" hidden="1">#REF!</definedName>
    <definedName name="UNIFORMANCES3R15C54" localSheetId="7" hidden="1">#REF!</definedName>
    <definedName name="UNIFORMANCES3R15C54" localSheetId="9" hidden="1">#REF!</definedName>
    <definedName name="UNIFORMANCES3R15C54" localSheetId="10" hidden="1">#REF!</definedName>
    <definedName name="UNIFORMANCES3R15C54" localSheetId="15" hidden="1">#REF!</definedName>
    <definedName name="UNIFORMANCES3R15C54" localSheetId="18" hidden="1">#REF!</definedName>
    <definedName name="UNIFORMANCES3R15C54" localSheetId="19" hidden="1">#REF!</definedName>
    <definedName name="UNIFORMANCES3R15C54" localSheetId="20" hidden="1">#REF!</definedName>
    <definedName name="UNIFORMANCES3R15C54" localSheetId="23" hidden="1">#REF!</definedName>
    <definedName name="UNIFORMANCES3R15C54" localSheetId="24" hidden="1">#REF!</definedName>
    <definedName name="UNIFORMANCES3R15C54" localSheetId="35" hidden="1">#REF!</definedName>
    <definedName name="UNIFORMANCES3R15C54" localSheetId="58" hidden="1">#REF!</definedName>
    <definedName name="UNIFORMANCES3R15C54" localSheetId="60" hidden="1">#REF!</definedName>
    <definedName name="UNIFORMANCES3R15C54" localSheetId="51" hidden="1">#REF!</definedName>
    <definedName name="UNIFORMANCES3R15C54" localSheetId="54" hidden="1">#REF!</definedName>
    <definedName name="UNIFORMANCES3R15C54" localSheetId="47" hidden="1">#REF!</definedName>
    <definedName name="UNIFORMANCES3R15C54" localSheetId="105" hidden="1">#REF!</definedName>
    <definedName name="UNIFORMANCES3R15C54" localSheetId="104" hidden="1">#REF!</definedName>
    <definedName name="UNIFORMANCES3R15C54" localSheetId="88" hidden="1">#REF!</definedName>
    <definedName name="UNIFORMANCES3R15C54" localSheetId="89" hidden="1">#REF!</definedName>
    <definedName name="UNIFORMANCES3R15C54" localSheetId="87" hidden="1">#REF!</definedName>
    <definedName name="UNIFORMANCES3R15C54" localSheetId="90" hidden="1">#REF!</definedName>
    <definedName name="UNIFORMANCES3R15C54" localSheetId="70" hidden="1">#REF!</definedName>
    <definedName name="UNIFORMANCES3R15C54" localSheetId="65" hidden="1">#REF!</definedName>
    <definedName name="UNIFORMANCES3R15C54" localSheetId="64" hidden="1">#REF!</definedName>
    <definedName name="UNIFORMANCES3R15C54" localSheetId="77" hidden="1">#REF!</definedName>
    <definedName name="UNIFORMANCES3R15C54" localSheetId="49" hidden="1">#REF!</definedName>
    <definedName name="UNIFORMANCES3R15C54" localSheetId="57" hidden="1">#REF!</definedName>
    <definedName name="UNIFORMANCES3R15C54" localSheetId="59" hidden="1">#REF!</definedName>
    <definedName name="UNIFORMANCES3R15C54" localSheetId="40" hidden="1">#REF!</definedName>
    <definedName name="UNIFORMANCES3R15C54" localSheetId="43" hidden="1">#REF!</definedName>
    <definedName name="UNIFORMANCES3R15C54" localSheetId="55" hidden="1">#REF!</definedName>
    <definedName name="UNIFORMANCES3R15C54" localSheetId="13" hidden="1">#REF!</definedName>
    <definedName name="UNIFORMANCES3R15C54" localSheetId="11" hidden="1">#REF!</definedName>
    <definedName name="UNIFORMANCES3R15C54" localSheetId="38" hidden="1">#REF!</definedName>
    <definedName name="UNIFORMANCES3R15C54" localSheetId="41" hidden="1">#REF!</definedName>
    <definedName name="UNIFORMANCES3R15C54" localSheetId="101" hidden="1">#REF!</definedName>
    <definedName name="UNIFORMANCES3R15C54" localSheetId="102" hidden="1">#REF!</definedName>
    <definedName name="UNIFORMANCES3R15C54" localSheetId="103" hidden="1">#REF!</definedName>
    <definedName name="UNIFORMANCES3R15C54" localSheetId="97" hidden="1">#REF!</definedName>
    <definedName name="UNIFORMANCES3R15C54" localSheetId="42" hidden="1">#REF!</definedName>
    <definedName name="UNIFORMANCES3R15C54" localSheetId="12" hidden="1">#REF!</definedName>
    <definedName name="UNIFORMANCES3R15C54" localSheetId="73" hidden="1">#REF!</definedName>
    <definedName name="UNIFORMANCES3R15C54" localSheetId="74" hidden="1">#REF!</definedName>
    <definedName name="UNIFORMANCES3R15C54" hidden="1">#REF!</definedName>
    <definedName name="UNIFORMANCES3R15C55" localSheetId="3" hidden="1">#REF!</definedName>
    <definedName name="UNIFORMANCES3R15C55" localSheetId="7" hidden="1">#REF!</definedName>
    <definedName name="UNIFORMANCES3R15C55" localSheetId="9" hidden="1">#REF!</definedName>
    <definedName name="UNIFORMANCES3R15C55" localSheetId="10" hidden="1">#REF!</definedName>
    <definedName name="UNIFORMANCES3R15C55" localSheetId="15" hidden="1">#REF!</definedName>
    <definedName name="UNIFORMANCES3R15C55" localSheetId="18" hidden="1">#REF!</definedName>
    <definedName name="UNIFORMANCES3R15C55" localSheetId="19" hidden="1">#REF!</definedName>
    <definedName name="UNIFORMANCES3R15C55" localSheetId="20" hidden="1">#REF!</definedName>
    <definedName name="UNIFORMANCES3R15C55" localSheetId="23" hidden="1">#REF!</definedName>
    <definedName name="UNIFORMANCES3R15C55" localSheetId="24" hidden="1">#REF!</definedName>
    <definedName name="UNIFORMANCES3R15C55" localSheetId="35" hidden="1">#REF!</definedName>
    <definedName name="UNIFORMANCES3R15C55" localSheetId="58" hidden="1">#REF!</definedName>
    <definedName name="UNIFORMANCES3R15C55" localSheetId="60" hidden="1">#REF!</definedName>
    <definedName name="UNIFORMANCES3R15C55" localSheetId="51" hidden="1">#REF!</definedName>
    <definedName name="UNIFORMANCES3R15C55" localSheetId="54" hidden="1">#REF!</definedName>
    <definedName name="UNIFORMANCES3R15C55" localSheetId="47" hidden="1">#REF!</definedName>
    <definedName name="UNIFORMANCES3R15C55" localSheetId="105" hidden="1">#REF!</definedName>
    <definedName name="UNIFORMANCES3R15C55" localSheetId="104" hidden="1">#REF!</definedName>
    <definedName name="UNIFORMANCES3R15C55" localSheetId="88" hidden="1">#REF!</definedName>
    <definedName name="UNIFORMANCES3R15C55" localSheetId="89" hidden="1">#REF!</definedName>
    <definedName name="UNIFORMANCES3R15C55" localSheetId="87" hidden="1">#REF!</definedName>
    <definedName name="UNIFORMANCES3R15C55" localSheetId="90" hidden="1">#REF!</definedName>
    <definedName name="UNIFORMANCES3R15C55" localSheetId="70" hidden="1">#REF!</definedName>
    <definedName name="UNIFORMANCES3R15C55" localSheetId="65" hidden="1">#REF!</definedName>
    <definedName name="UNIFORMANCES3R15C55" localSheetId="64" hidden="1">#REF!</definedName>
    <definedName name="UNIFORMANCES3R15C55" localSheetId="77" hidden="1">#REF!</definedName>
    <definedName name="UNIFORMANCES3R15C55" localSheetId="49" hidden="1">#REF!</definedName>
    <definedName name="UNIFORMANCES3R15C55" localSheetId="57" hidden="1">#REF!</definedName>
    <definedName name="UNIFORMANCES3R15C55" localSheetId="59" hidden="1">#REF!</definedName>
    <definedName name="UNIFORMANCES3R15C55" localSheetId="40" hidden="1">#REF!</definedName>
    <definedName name="UNIFORMANCES3R15C55" localSheetId="43" hidden="1">#REF!</definedName>
    <definedName name="UNIFORMANCES3R15C55" localSheetId="55" hidden="1">#REF!</definedName>
    <definedName name="UNIFORMANCES3R15C55" localSheetId="13" hidden="1">#REF!</definedName>
    <definedName name="UNIFORMANCES3R15C55" localSheetId="11" hidden="1">#REF!</definedName>
    <definedName name="UNIFORMANCES3R15C55" localSheetId="38" hidden="1">#REF!</definedName>
    <definedName name="UNIFORMANCES3R15C55" localSheetId="41" hidden="1">#REF!</definedName>
    <definedName name="UNIFORMANCES3R15C55" localSheetId="101" hidden="1">#REF!</definedName>
    <definedName name="UNIFORMANCES3R15C55" localSheetId="102" hidden="1">#REF!</definedName>
    <definedName name="UNIFORMANCES3R15C55" localSheetId="103" hidden="1">#REF!</definedName>
    <definedName name="UNIFORMANCES3R15C55" localSheetId="97" hidden="1">#REF!</definedName>
    <definedName name="UNIFORMANCES3R15C55" localSheetId="42" hidden="1">#REF!</definedName>
    <definedName name="UNIFORMANCES3R15C55" localSheetId="12" hidden="1">#REF!</definedName>
    <definedName name="UNIFORMANCES3R15C55" localSheetId="73" hidden="1">#REF!</definedName>
    <definedName name="UNIFORMANCES3R15C55" localSheetId="74" hidden="1">#REF!</definedName>
    <definedName name="UNIFORMANCES3R15C55" hidden="1">#REF!</definedName>
    <definedName name="UNIFORMANCES3R15C56" localSheetId="3" hidden="1">#REF!</definedName>
    <definedName name="UNIFORMANCES3R15C56" localSheetId="7" hidden="1">#REF!</definedName>
    <definedName name="UNIFORMANCES3R15C56" localSheetId="9" hidden="1">#REF!</definedName>
    <definedName name="UNIFORMANCES3R15C56" localSheetId="10" hidden="1">#REF!</definedName>
    <definedName name="UNIFORMANCES3R15C56" localSheetId="15" hidden="1">#REF!</definedName>
    <definedName name="UNIFORMANCES3R15C56" localSheetId="18" hidden="1">#REF!</definedName>
    <definedName name="UNIFORMANCES3R15C56" localSheetId="19" hidden="1">#REF!</definedName>
    <definedName name="UNIFORMANCES3R15C56" localSheetId="20" hidden="1">#REF!</definedName>
    <definedName name="UNIFORMANCES3R15C56" localSheetId="23" hidden="1">#REF!</definedName>
    <definedName name="UNIFORMANCES3R15C56" localSheetId="24" hidden="1">#REF!</definedName>
    <definedName name="UNIFORMANCES3R15C56" localSheetId="35" hidden="1">#REF!</definedName>
    <definedName name="UNIFORMANCES3R15C56" localSheetId="58" hidden="1">#REF!</definedName>
    <definedName name="UNIFORMANCES3R15C56" localSheetId="60" hidden="1">#REF!</definedName>
    <definedName name="UNIFORMANCES3R15C56" localSheetId="51" hidden="1">#REF!</definedName>
    <definedName name="UNIFORMANCES3R15C56" localSheetId="54" hidden="1">#REF!</definedName>
    <definedName name="UNIFORMANCES3R15C56" localSheetId="47" hidden="1">#REF!</definedName>
    <definedName name="UNIFORMANCES3R15C56" localSheetId="105" hidden="1">#REF!</definedName>
    <definedName name="UNIFORMANCES3R15C56" localSheetId="104" hidden="1">#REF!</definedName>
    <definedName name="UNIFORMANCES3R15C56" localSheetId="88" hidden="1">#REF!</definedName>
    <definedName name="UNIFORMANCES3R15C56" localSheetId="89" hidden="1">#REF!</definedName>
    <definedName name="UNIFORMANCES3R15C56" localSheetId="87" hidden="1">#REF!</definedName>
    <definedName name="UNIFORMANCES3R15C56" localSheetId="90" hidden="1">#REF!</definedName>
    <definedName name="UNIFORMANCES3R15C56" localSheetId="70" hidden="1">#REF!</definedName>
    <definedName name="UNIFORMANCES3R15C56" localSheetId="65" hidden="1">#REF!</definedName>
    <definedName name="UNIFORMANCES3R15C56" localSheetId="64" hidden="1">#REF!</definedName>
    <definedName name="UNIFORMANCES3R15C56" localSheetId="77" hidden="1">#REF!</definedName>
    <definedName name="UNIFORMANCES3R15C56" localSheetId="49" hidden="1">#REF!</definedName>
    <definedName name="UNIFORMANCES3R15C56" localSheetId="57" hidden="1">#REF!</definedName>
    <definedName name="UNIFORMANCES3R15C56" localSheetId="59" hidden="1">#REF!</definedName>
    <definedName name="UNIFORMANCES3R15C56" localSheetId="40" hidden="1">#REF!</definedName>
    <definedName name="UNIFORMANCES3R15C56" localSheetId="43" hidden="1">#REF!</definedName>
    <definedName name="UNIFORMANCES3R15C56" localSheetId="55" hidden="1">#REF!</definedName>
    <definedName name="UNIFORMANCES3R15C56" localSheetId="13" hidden="1">#REF!</definedName>
    <definedName name="UNIFORMANCES3R15C56" localSheetId="11" hidden="1">#REF!</definedName>
    <definedName name="UNIFORMANCES3R15C56" localSheetId="38" hidden="1">#REF!</definedName>
    <definedName name="UNIFORMANCES3R15C56" localSheetId="41" hidden="1">#REF!</definedName>
    <definedName name="UNIFORMANCES3R15C56" localSheetId="101" hidden="1">#REF!</definedName>
    <definedName name="UNIFORMANCES3R15C56" localSheetId="102" hidden="1">#REF!</definedName>
    <definedName name="UNIFORMANCES3R15C56" localSheetId="103" hidden="1">#REF!</definedName>
    <definedName name="UNIFORMANCES3R15C56" localSheetId="97" hidden="1">#REF!</definedName>
    <definedName name="UNIFORMANCES3R15C56" localSheetId="42" hidden="1">#REF!</definedName>
    <definedName name="UNIFORMANCES3R15C56" localSheetId="12" hidden="1">#REF!</definedName>
    <definedName name="UNIFORMANCES3R15C56" localSheetId="73" hidden="1">#REF!</definedName>
    <definedName name="UNIFORMANCES3R15C56" localSheetId="74" hidden="1">#REF!</definedName>
    <definedName name="UNIFORMANCES3R15C56" hidden="1">#REF!</definedName>
    <definedName name="UNIFORMANCES3R15C57" localSheetId="3" hidden="1">#REF!</definedName>
    <definedName name="UNIFORMANCES3R15C57" localSheetId="7" hidden="1">#REF!</definedName>
    <definedName name="UNIFORMANCES3R15C57" localSheetId="9" hidden="1">#REF!</definedName>
    <definedName name="UNIFORMANCES3R15C57" localSheetId="10" hidden="1">#REF!</definedName>
    <definedName name="UNIFORMANCES3R15C57" localSheetId="15" hidden="1">#REF!</definedName>
    <definedName name="UNIFORMANCES3R15C57" localSheetId="18" hidden="1">#REF!</definedName>
    <definedName name="UNIFORMANCES3R15C57" localSheetId="19" hidden="1">#REF!</definedName>
    <definedName name="UNIFORMANCES3R15C57" localSheetId="20" hidden="1">#REF!</definedName>
    <definedName name="UNIFORMANCES3R15C57" localSheetId="23" hidden="1">#REF!</definedName>
    <definedName name="UNIFORMANCES3R15C57" localSheetId="24" hidden="1">#REF!</definedName>
    <definedName name="UNIFORMANCES3R15C57" localSheetId="35" hidden="1">#REF!</definedName>
    <definedName name="UNIFORMANCES3R15C57" localSheetId="58" hidden="1">#REF!</definedName>
    <definedName name="UNIFORMANCES3R15C57" localSheetId="60" hidden="1">#REF!</definedName>
    <definedName name="UNIFORMANCES3R15C57" localSheetId="51" hidden="1">#REF!</definedName>
    <definedName name="UNIFORMANCES3R15C57" localSheetId="54" hidden="1">#REF!</definedName>
    <definedName name="UNIFORMANCES3R15C57" localSheetId="47" hidden="1">#REF!</definedName>
    <definedName name="UNIFORMANCES3R15C57" localSheetId="105" hidden="1">#REF!</definedName>
    <definedName name="UNIFORMANCES3R15C57" localSheetId="104" hidden="1">#REF!</definedName>
    <definedName name="UNIFORMANCES3R15C57" localSheetId="88" hidden="1">#REF!</definedName>
    <definedName name="UNIFORMANCES3R15C57" localSheetId="89" hidden="1">#REF!</definedName>
    <definedName name="UNIFORMANCES3R15C57" localSheetId="87" hidden="1">#REF!</definedName>
    <definedName name="UNIFORMANCES3R15C57" localSheetId="90" hidden="1">#REF!</definedName>
    <definedName name="UNIFORMANCES3R15C57" localSheetId="70" hidden="1">#REF!</definedName>
    <definedName name="UNIFORMANCES3R15C57" localSheetId="65" hidden="1">#REF!</definedName>
    <definedName name="UNIFORMANCES3R15C57" localSheetId="64" hidden="1">#REF!</definedName>
    <definedName name="UNIFORMANCES3R15C57" localSheetId="77" hidden="1">#REF!</definedName>
    <definedName name="UNIFORMANCES3R15C57" localSheetId="49" hidden="1">#REF!</definedName>
    <definedName name="UNIFORMANCES3R15C57" localSheetId="57" hidden="1">#REF!</definedName>
    <definedName name="UNIFORMANCES3R15C57" localSheetId="59" hidden="1">#REF!</definedName>
    <definedName name="UNIFORMANCES3R15C57" localSheetId="40" hidden="1">#REF!</definedName>
    <definedName name="UNIFORMANCES3R15C57" localSheetId="43" hidden="1">#REF!</definedName>
    <definedName name="UNIFORMANCES3R15C57" localSheetId="55" hidden="1">#REF!</definedName>
    <definedName name="UNIFORMANCES3R15C57" localSheetId="13" hidden="1">#REF!</definedName>
    <definedName name="UNIFORMANCES3R15C57" localSheetId="11" hidden="1">#REF!</definedName>
    <definedName name="UNIFORMANCES3R15C57" localSheetId="38" hidden="1">#REF!</definedName>
    <definedName name="UNIFORMANCES3R15C57" localSheetId="41" hidden="1">#REF!</definedName>
    <definedName name="UNIFORMANCES3R15C57" localSheetId="101" hidden="1">#REF!</definedName>
    <definedName name="UNIFORMANCES3R15C57" localSheetId="102" hidden="1">#REF!</definedName>
    <definedName name="UNIFORMANCES3R15C57" localSheetId="103" hidden="1">#REF!</definedName>
    <definedName name="UNIFORMANCES3R15C57" localSheetId="97" hidden="1">#REF!</definedName>
    <definedName name="UNIFORMANCES3R15C57" localSheetId="42" hidden="1">#REF!</definedName>
    <definedName name="UNIFORMANCES3R15C57" localSheetId="12" hidden="1">#REF!</definedName>
    <definedName name="UNIFORMANCES3R15C57" localSheetId="73" hidden="1">#REF!</definedName>
    <definedName name="UNIFORMANCES3R15C57" localSheetId="74" hidden="1">#REF!</definedName>
    <definedName name="UNIFORMANCES3R15C57" hidden="1">#REF!</definedName>
    <definedName name="UNIFORMANCES3R15C58" localSheetId="3" hidden="1">#REF!</definedName>
    <definedName name="UNIFORMANCES3R15C58" localSheetId="7" hidden="1">#REF!</definedName>
    <definedName name="UNIFORMANCES3R15C58" localSheetId="9" hidden="1">#REF!</definedName>
    <definedName name="UNIFORMANCES3R15C58" localSheetId="10" hidden="1">#REF!</definedName>
    <definedName name="UNIFORMANCES3R15C58" localSheetId="15" hidden="1">#REF!</definedName>
    <definedName name="UNIFORMANCES3R15C58" localSheetId="18" hidden="1">#REF!</definedName>
    <definedName name="UNIFORMANCES3R15C58" localSheetId="19" hidden="1">#REF!</definedName>
    <definedName name="UNIFORMANCES3R15C58" localSheetId="20" hidden="1">#REF!</definedName>
    <definedName name="UNIFORMANCES3R15C58" localSheetId="23" hidden="1">#REF!</definedName>
    <definedName name="UNIFORMANCES3R15C58" localSheetId="24" hidden="1">#REF!</definedName>
    <definedName name="UNIFORMANCES3R15C58" localSheetId="35" hidden="1">#REF!</definedName>
    <definedName name="UNIFORMANCES3R15C58" localSheetId="58" hidden="1">#REF!</definedName>
    <definedName name="UNIFORMANCES3R15C58" localSheetId="60" hidden="1">#REF!</definedName>
    <definedName name="UNIFORMANCES3R15C58" localSheetId="51" hidden="1">#REF!</definedName>
    <definedName name="UNIFORMANCES3R15C58" localSheetId="54" hidden="1">#REF!</definedName>
    <definedName name="UNIFORMANCES3R15C58" localSheetId="47" hidden="1">#REF!</definedName>
    <definedName name="UNIFORMANCES3R15C58" localSheetId="105" hidden="1">#REF!</definedName>
    <definedName name="UNIFORMANCES3R15C58" localSheetId="104" hidden="1">#REF!</definedName>
    <definedName name="UNIFORMANCES3R15C58" localSheetId="88" hidden="1">#REF!</definedName>
    <definedName name="UNIFORMANCES3R15C58" localSheetId="89" hidden="1">#REF!</definedName>
    <definedName name="UNIFORMANCES3R15C58" localSheetId="87" hidden="1">#REF!</definedName>
    <definedName name="UNIFORMANCES3R15C58" localSheetId="90" hidden="1">#REF!</definedName>
    <definedName name="UNIFORMANCES3R15C58" localSheetId="70" hidden="1">#REF!</definedName>
    <definedName name="UNIFORMANCES3R15C58" localSheetId="65" hidden="1">#REF!</definedName>
    <definedName name="UNIFORMANCES3R15C58" localSheetId="64" hidden="1">#REF!</definedName>
    <definedName name="UNIFORMANCES3R15C58" localSheetId="77" hidden="1">#REF!</definedName>
    <definedName name="UNIFORMANCES3R15C58" localSheetId="49" hidden="1">#REF!</definedName>
    <definedName name="UNIFORMANCES3R15C58" localSheetId="57" hidden="1">#REF!</definedName>
    <definedName name="UNIFORMANCES3R15C58" localSheetId="59" hidden="1">#REF!</definedName>
    <definedName name="UNIFORMANCES3R15C58" localSheetId="40" hidden="1">#REF!</definedName>
    <definedName name="UNIFORMANCES3R15C58" localSheetId="43" hidden="1">#REF!</definedName>
    <definedName name="UNIFORMANCES3R15C58" localSheetId="55" hidden="1">#REF!</definedName>
    <definedName name="UNIFORMANCES3R15C58" localSheetId="13" hidden="1">#REF!</definedName>
    <definedName name="UNIFORMANCES3R15C58" localSheetId="11" hidden="1">#REF!</definedName>
    <definedName name="UNIFORMANCES3R15C58" localSheetId="38" hidden="1">#REF!</definedName>
    <definedName name="UNIFORMANCES3R15C58" localSheetId="41" hidden="1">#REF!</definedName>
    <definedName name="UNIFORMANCES3R15C58" localSheetId="101" hidden="1">#REF!</definedName>
    <definedName name="UNIFORMANCES3R15C58" localSheetId="102" hidden="1">#REF!</definedName>
    <definedName name="UNIFORMANCES3R15C58" localSheetId="103" hidden="1">#REF!</definedName>
    <definedName name="UNIFORMANCES3R15C58" localSheetId="97" hidden="1">#REF!</definedName>
    <definedName name="UNIFORMANCES3R15C58" localSheetId="42" hidden="1">#REF!</definedName>
    <definedName name="UNIFORMANCES3R15C58" localSheetId="12" hidden="1">#REF!</definedName>
    <definedName name="UNIFORMANCES3R15C58" localSheetId="73" hidden="1">#REF!</definedName>
    <definedName name="UNIFORMANCES3R15C58" localSheetId="74" hidden="1">#REF!</definedName>
    <definedName name="UNIFORMANCES3R15C58" hidden="1">#REF!</definedName>
    <definedName name="UNIFORMANCES3R15C59" localSheetId="3" hidden="1">#REF!</definedName>
    <definedName name="UNIFORMANCES3R15C59" localSheetId="7" hidden="1">#REF!</definedName>
    <definedName name="UNIFORMANCES3R15C59" localSheetId="9" hidden="1">#REF!</definedName>
    <definedName name="UNIFORMANCES3R15C59" localSheetId="10" hidden="1">#REF!</definedName>
    <definedName name="UNIFORMANCES3R15C59" localSheetId="15" hidden="1">#REF!</definedName>
    <definedName name="UNIFORMANCES3R15C59" localSheetId="18" hidden="1">#REF!</definedName>
    <definedName name="UNIFORMANCES3R15C59" localSheetId="19" hidden="1">#REF!</definedName>
    <definedName name="UNIFORMANCES3R15C59" localSheetId="20" hidden="1">#REF!</definedName>
    <definedName name="UNIFORMANCES3R15C59" localSheetId="23" hidden="1">#REF!</definedName>
    <definedName name="UNIFORMANCES3R15C59" localSheetId="24" hidden="1">#REF!</definedName>
    <definedName name="UNIFORMANCES3R15C59" localSheetId="35" hidden="1">#REF!</definedName>
    <definedName name="UNIFORMANCES3R15C59" localSheetId="58" hidden="1">#REF!</definedName>
    <definedName name="UNIFORMANCES3R15C59" localSheetId="60" hidden="1">#REF!</definedName>
    <definedName name="UNIFORMANCES3R15C59" localSheetId="51" hidden="1">#REF!</definedName>
    <definedName name="UNIFORMANCES3R15C59" localSheetId="54" hidden="1">#REF!</definedName>
    <definedName name="UNIFORMANCES3R15C59" localSheetId="47" hidden="1">#REF!</definedName>
    <definedName name="UNIFORMANCES3R15C59" localSheetId="105" hidden="1">#REF!</definedName>
    <definedName name="UNIFORMANCES3R15C59" localSheetId="104" hidden="1">#REF!</definedName>
    <definedName name="UNIFORMANCES3R15C59" localSheetId="88" hidden="1">#REF!</definedName>
    <definedName name="UNIFORMANCES3R15C59" localSheetId="89" hidden="1">#REF!</definedName>
    <definedName name="UNIFORMANCES3R15C59" localSheetId="87" hidden="1">#REF!</definedName>
    <definedName name="UNIFORMANCES3R15C59" localSheetId="90" hidden="1">#REF!</definedName>
    <definedName name="UNIFORMANCES3R15C59" localSheetId="70" hidden="1">#REF!</definedName>
    <definedName name="UNIFORMANCES3R15C59" localSheetId="65" hidden="1">#REF!</definedName>
    <definedName name="UNIFORMANCES3R15C59" localSheetId="64" hidden="1">#REF!</definedName>
    <definedName name="UNIFORMANCES3R15C59" localSheetId="77" hidden="1">#REF!</definedName>
    <definedName name="UNIFORMANCES3R15C59" localSheetId="49" hidden="1">#REF!</definedName>
    <definedName name="UNIFORMANCES3R15C59" localSheetId="57" hidden="1">#REF!</definedName>
    <definedName name="UNIFORMANCES3R15C59" localSheetId="59" hidden="1">#REF!</definedName>
    <definedName name="UNIFORMANCES3R15C59" localSheetId="40" hidden="1">#REF!</definedName>
    <definedName name="UNIFORMANCES3R15C59" localSheetId="43" hidden="1">#REF!</definedName>
    <definedName name="UNIFORMANCES3R15C59" localSheetId="55" hidden="1">#REF!</definedName>
    <definedName name="UNIFORMANCES3R15C59" localSheetId="13" hidden="1">#REF!</definedName>
    <definedName name="UNIFORMANCES3R15C59" localSheetId="11" hidden="1">#REF!</definedName>
    <definedName name="UNIFORMANCES3R15C59" localSheetId="38" hidden="1">#REF!</definedName>
    <definedName name="UNIFORMANCES3R15C59" localSheetId="41" hidden="1">#REF!</definedName>
    <definedName name="UNIFORMANCES3R15C59" localSheetId="101" hidden="1">#REF!</definedName>
    <definedName name="UNIFORMANCES3R15C59" localSheetId="102" hidden="1">#REF!</definedName>
    <definedName name="UNIFORMANCES3R15C59" localSheetId="103" hidden="1">#REF!</definedName>
    <definedName name="UNIFORMANCES3R15C59" localSheetId="97" hidden="1">#REF!</definedName>
    <definedName name="UNIFORMANCES3R15C59" localSheetId="42" hidden="1">#REF!</definedName>
    <definedName name="UNIFORMANCES3R15C59" localSheetId="12" hidden="1">#REF!</definedName>
    <definedName name="UNIFORMANCES3R15C59" localSheetId="73" hidden="1">#REF!</definedName>
    <definedName name="UNIFORMANCES3R15C59" localSheetId="74" hidden="1">#REF!</definedName>
    <definedName name="UNIFORMANCES3R15C59" hidden="1">#REF!</definedName>
    <definedName name="UNIFORMANCES3R15C6" localSheetId="3" hidden="1">#REF!</definedName>
    <definedName name="UNIFORMANCES3R15C6" localSheetId="7" hidden="1">#REF!</definedName>
    <definedName name="UNIFORMANCES3R15C6" localSheetId="9" hidden="1">#REF!</definedName>
    <definedName name="UNIFORMANCES3R15C6" localSheetId="10" hidden="1">#REF!</definedName>
    <definedName name="UNIFORMANCES3R15C6" localSheetId="15" hidden="1">#REF!</definedName>
    <definedName name="UNIFORMANCES3R15C6" localSheetId="18" hidden="1">#REF!</definedName>
    <definedName name="UNIFORMANCES3R15C6" localSheetId="19" hidden="1">#REF!</definedName>
    <definedName name="UNIFORMANCES3R15C6" localSheetId="20" hidden="1">#REF!</definedName>
    <definedName name="UNIFORMANCES3R15C6" localSheetId="23" hidden="1">#REF!</definedName>
    <definedName name="UNIFORMANCES3R15C6" localSheetId="24" hidden="1">#REF!</definedName>
    <definedName name="UNIFORMANCES3R15C6" localSheetId="35" hidden="1">#REF!</definedName>
    <definedName name="UNIFORMANCES3R15C6" localSheetId="58" hidden="1">#REF!</definedName>
    <definedName name="UNIFORMANCES3R15C6" localSheetId="60" hidden="1">#REF!</definedName>
    <definedName name="UNIFORMANCES3R15C6" localSheetId="51" hidden="1">#REF!</definedName>
    <definedName name="UNIFORMANCES3R15C6" localSheetId="54" hidden="1">#REF!</definedName>
    <definedName name="UNIFORMANCES3R15C6" localSheetId="47" hidden="1">#REF!</definedName>
    <definedName name="UNIFORMANCES3R15C6" localSheetId="105" hidden="1">#REF!</definedName>
    <definedName name="UNIFORMANCES3R15C6" localSheetId="104" hidden="1">#REF!</definedName>
    <definedName name="UNIFORMANCES3R15C6" localSheetId="88" hidden="1">#REF!</definedName>
    <definedName name="UNIFORMANCES3R15C6" localSheetId="89" hidden="1">#REF!</definedName>
    <definedName name="UNIFORMANCES3R15C6" localSheetId="87" hidden="1">#REF!</definedName>
    <definedName name="UNIFORMANCES3R15C6" localSheetId="90" hidden="1">#REF!</definedName>
    <definedName name="UNIFORMANCES3R15C6" localSheetId="70" hidden="1">#REF!</definedName>
    <definedName name="UNIFORMANCES3R15C6" localSheetId="65" hidden="1">#REF!</definedName>
    <definedName name="UNIFORMANCES3R15C6" localSheetId="64" hidden="1">#REF!</definedName>
    <definedName name="UNIFORMANCES3R15C6" localSheetId="77" hidden="1">#REF!</definedName>
    <definedName name="UNIFORMANCES3R15C6" localSheetId="49" hidden="1">#REF!</definedName>
    <definedName name="UNIFORMANCES3R15C6" localSheetId="57" hidden="1">#REF!</definedName>
    <definedName name="UNIFORMANCES3R15C6" localSheetId="59" hidden="1">#REF!</definedName>
    <definedName name="UNIFORMANCES3R15C6" localSheetId="40" hidden="1">#REF!</definedName>
    <definedName name="UNIFORMANCES3R15C6" localSheetId="43" hidden="1">#REF!</definedName>
    <definedName name="UNIFORMANCES3R15C6" localSheetId="55" hidden="1">#REF!</definedName>
    <definedName name="UNIFORMANCES3R15C6" localSheetId="13" hidden="1">#REF!</definedName>
    <definedName name="UNIFORMANCES3R15C6" localSheetId="11" hidden="1">#REF!</definedName>
    <definedName name="UNIFORMANCES3R15C6" localSheetId="38" hidden="1">#REF!</definedName>
    <definedName name="UNIFORMANCES3R15C6" localSheetId="41" hidden="1">#REF!</definedName>
    <definedName name="UNIFORMANCES3R15C6" localSheetId="101" hidden="1">#REF!</definedName>
    <definedName name="UNIFORMANCES3R15C6" localSheetId="102" hidden="1">#REF!</definedName>
    <definedName name="UNIFORMANCES3R15C6" localSheetId="103" hidden="1">#REF!</definedName>
    <definedName name="UNIFORMANCES3R15C6" localSheetId="97" hidden="1">#REF!</definedName>
    <definedName name="UNIFORMANCES3R15C6" localSheetId="42" hidden="1">#REF!</definedName>
    <definedName name="UNIFORMANCES3R15C6" localSheetId="12" hidden="1">#REF!</definedName>
    <definedName name="UNIFORMANCES3R15C6" localSheetId="73" hidden="1">#REF!</definedName>
    <definedName name="UNIFORMANCES3R15C6" localSheetId="74" hidden="1">#REF!</definedName>
    <definedName name="UNIFORMANCES3R15C6" hidden="1">#REF!</definedName>
    <definedName name="UNIFORMANCES3R15C60" localSheetId="3" hidden="1">#REF!</definedName>
    <definedName name="UNIFORMANCES3R15C60" localSheetId="7" hidden="1">#REF!</definedName>
    <definedName name="UNIFORMANCES3R15C60" localSheetId="9" hidden="1">#REF!</definedName>
    <definedName name="UNIFORMANCES3R15C60" localSheetId="10" hidden="1">#REF!</definedName>
    <definedName name="UNIFORMANCES3R15C60" localSheetId="15" hidden="1">#REF!</definedName>
    <definedName name="UNIFORMANCES3R15C60" localSheetId="18" hidden="1">#REF!</definedName>
    <definedName name="UNIFORMANCES3R15C60" localSheetId="19" hidden="1">#REF!</definedName>
    <definedName name="UNIFORMANCES3R15C60" localSheetId="20" hidden="1">#REF!</definedName>
    <definedName name="UNIFORMANCES3R15C60" localSheetId="23" hidden="1">#REF!</definedName>
    <definedName name="UNIFORMANCES3R15C60" localSheetId="24" hidden="1">#REF!</definedName>
    <definedName name="UNIFORMANCES3R15C60" localSheetId="35" hidden="1">#REF!</definedName>
    <definedName name="UNIFORMANCES3R15C60" localSheetId="58" hidden="1">#REF!</definedName>
    <definedName name="UNIFORMANCES3R15C60" localSheetId="60" hidden="1">#REF!</definedName>
    <definedName name="UNIFORMANCES3R15C60" localSheetId="51" hidden="1">#REF!</definedName>
    <definedName name="UNIFORMANCES3R15C60" localSheetId="54" hidden="1">#REF!</definedName>
    <definedName name="UNIFORMANCES3R15C60" localSheetId="47" hidden="1">#REF!</definedName>
    <definedName name="UNIFORMANCES3R15C60" localSheetId="105" hidden="1">#REF!</definedName>
    <definedName name="UNIFORMANCES3R15C60" localSheetId="104" hidden="1">#REF!</definedName>
    <definedName name="UNIFORMANCES3R15C60" localSheetId="88" hidden="1">#REF!</definedName>
    <definedName name="UNIFORMANCES3R15C60" localSheetId="89" hidden="1">#REF!</definedName>
    <definedName name="UNIFORMANCES3R15C60" localSheetId="87" hidden="1">#REF!</definedName>
    <definedName name="UNIFORMANCES3R15C60" localSheetId="90" hidden="1">#REF!</definedName>
    <definedName name="UNIFORMANCES3R15C60" localSheetId="70" hidden="1">#REF!</definedName>
    <definedName name="UNIFORMANCES3R15C60" localSheetId="65" hidden="1">#REF!</definedName>
    <definedName name="UNIFORMANCES3R15C60" localSheetId="64" hidden="1">#REF!</definedName>
    <definedName name="UNIFORMANCES3R15C60" localSheetId="77" hidden="1">#REF!</definedName>
    <definedName name="UNIFORMANCES3R15C60" localSheetId="49" hidden="1">#REF!</definedName>
    <definedName name="UNIFORMANCES3R15C60" localSheetId="57" hidden="1">#REF!</definedName>
    <definedName name="UNIFORMANCES3R15C60" localSheetId="59" hidden="1">#REF!</definedName>
    <definedName name="UNIFORMANCES3R15C60" localSheetId="40" hidden="1">#REF!</definedName>
    <definedName name="UNIFORMANCES3R15C60" localSheetId="43" hidden="1">#REF!</definedName>
    <definedName name="UNIFORMANCES3R15C60" localSheetId="55" hidden="1">#REF!</definedName>
    <definedName name="UNIFORMANCES3R15C60" localSheetId="13" hidden="1">#REF!</definedName>
    <definedName name="UNIFORMANCES3R15C60" localSheetId="11" hidden="1">#REF!</definedName>
    <definedName name="UNIFORMANCES3R15C60" localSheetId="38" hidden="1">#REF!</definedName>
    <definedName name="UNIFORMANCES3R15C60" localSheetId="41" hidden="1">#REF!</definedName>
    <definedName name="UNIFORMANCES3R15C60" localSheetId="101" hidden="1">#REF!</definedName>
    <definedName name="UNIFORMANCES3R15C60" localSheetId="102" hidden="1">#REF!</definedName>
    <definedName name="UNIFORMANCES3R15C60" localSheetId="103" hidden="1">#REF!</definedName>
    <definedName name="UNIFORMANCES3R15C60" localSheetId="97" hidden="1">#REF!</definedName>
    <definedName name="UNIFORMANCES3R15C60" localSheetId="42" hidden="1">#REF!</definedName>
    <definedName name="UNIFORMANCES3R15C60" localSheetId="12" hidden="1">#REF!</definedName>
    <definedName name="UNIFORMANCES3R15C60" localSheetId="73" hidden="1">#REF!</definedName>
    <definedName name="UNIFORMANCES3R15C60" localSheetId="74" hidden="1">#REF!</definedName>
    <definedName name="UNIFORMANCES3R15C60" hidden="1">#REF!</definedName>
    <definedName name="UNIFORMANCES3R15C61" localSheetId="3" hidden="1">#REF!</definedName>
    <definedName name="UNIFORMANCES3R15C61" localSheetId="7" hidden="1">#REF!</definedName>
    <definedName name="UNIFORMANCES3R15C61" localSheetId="9" hidden="1">#REF!</definedName>
    <definedName name="UNIFORMANCES3R15C61" localSheetId="10" hidden="1">#REF!</definedName>
    <definedName name="UNIFORMANCES3R15C61" localSheetId="15" hidden="1">#REF!</definedName>
    <definedName name="UNIFORMANCES3R15C61" localSheetId="18" hidden="1">#REF!</definedName>
    <definedName name="UNIFORMANCES3R15C61" localSheetId="19" hidden="1">#REF!</definedName>
    <definedName name="UNIFORMANCES3R15C61" localSheetId="20" hidden="1">#REF!</definedName>
    <definedName name="UNIFORMANCES3R15C61" localSheetId="23" hidden="1">#REF!</definedName>
    <definedName name="UNIFORMANCES3R15C61" localSheetId="24" hidden="1">#REF!</definedName>
    <definedName name="UNIFORMANCES3R15C61" localSheetId="35" hidden="1">#REF!</definedName>
    <definedName name="UNIFORMANCES3R15C61" localSheetId="58" hidden="1">#REF!</definedName>
    <definedName name="UNIFORMANCES3R15C61" localSheetId="60" hidden="1">#REF!</definedName>
    <definedName name="UNIFORMANCES3R15C61" localSheetId="51" hidden="1">#REF!</definedName>
    <definedName name="UNIFORMANCES3R15C61" localSheetId="54" hidden="1">#REF!</definedName>
    <definedName name="UNIFORMANCES3R15C61" localSheetId="47" hidden="1">#REF!</definedName>
    <definedName name="UNIFORMANCES3R15C61" localSheetId="105" hidden="1">#REF!</definedName>
    <definedName name="UNIFORMANCES3R15C61" localSheetId="104" hidden="1">#REF!</definedName>
    <definedName name="UNIFORMANCES3R15C61" localSheetId="88" hidden="1">#REF!</definedName>
    <definedName name="UNIFORMANCES3R15C61" localSheetId="89" hidden="1">#REF!</definedName>
    <definedName name="UNIFORMANCES3R15C61" localSheetId="87" hidden="1">#REF!</definedName>
    <definedName name="UNIFORMANCES3R15C61" localSheetId="90" hidden="1">#REF!</definedName>
    <definedName name="UNIFORMANCES3R15C61" localSheetId="70" hidden="1">#REF!</definedName>
    <definedName name="UNIFORMANCES3R15C61" localSheetId="65" hidden="1">#REF!</definedName>
    <definedName name="UNIFORMANCES3R15C61" localSheetId="64" hidden="1">#REF!</definedName>
    <definedName name="UNIFORMANCES3R15C61" localSheetId="77" hidden="1">#REF!</definedName>
    <definedName name="UNIFORMANCES3R15C61" localSheetId="49" hidden="1">#REF!</definedName>
    <definedName name="UNIFORMANCES3R15C61" localSheetId="57" hidden="1">#REF!</definedName>
    <definedName name="UNIFORMANCES3R15C61" localSheetId="59" hidden="1">#REF!</definedName>
    <definedName name="UNIFORMANCES3R15C61" localSheetId="40" hidden="1">#REF!</definedName>
    <definedName name="UNIFORMANCES3R15C61" localSheetId="43" hidden="1">#REF!</definedName>
    <definedName name="UNIFORMANCES3R15C61" localSheetId="55" hidden="1">#REF!</definedName>
    <definedName name="UNIFORMANCES3R15C61" localSheetId="13" hidden="1">#REF!</definedName>
    <definedName name="UNIFORMANCES3R15C61" localSheetId="11" hidden="1">#REF!</definedName>
    <definedName name="UNIFORMANCES3R15C61" localSheetId="38" hidden="1">#REF!</definedName>
    <definedName name="UNIFORMANCES3R15C61" localSheetId="41" hidden="1">#REF!</definedName>
    <definedName name="UNIFORMANCES3R15C61" localSheetId="101" hidden="1">#REF!</definedName>
    <definedName name="UNIFORMANCES3R15C61" localSheetId="102" hidden="1">#REF!</definedName>
    <definedName name="UNIFORMANCES3R15C61" localSheetId="103" hidden="1">#REF!</definedName>
    <definedName name="UNIFORMANCES3R15C61" localSheetId="97" hidden="1">#REF!</definedName>
    <definedName name="UNIFORMANCES3R15C61" localSheetId="42" hidden="1">#REF!</definedName>
    <definedName name="UNIFORMANCES3R15C61" localSheetId="12" hidden="1">#REF!</definedName>
    <definedName name="UNIFORMANCES3R15C61" localSheetId="73" hidden="1">#REF!</definedName>
    <definedName name="UNIFORMANCES3R15C61" localSheetId="74" hidden="1">#REF!</definedName>
    <definedName name="UNIFORMANCES3R15C61" hidden="1">#REF!</definedName>
    <definedName name="UNIFORMANCES3R15C62" localSheetId="3" hidden="1">#REF!</definedName>
    <definedName name="UNIFORMANCES3R15C62" localSheetId="7" hidden="1">#REF!</definedName>
    <definedName name="UNIFORMANCES3R15C62" localSheetId="9" hidden="1">#REF!</definedName>
    <definedName name="UNIFORMANCES3R15C62" localSheetId="10" hidden="1">#REF!</definedName>
    <definedName name="UNIFORMANCES3R15C62" localSheetId="15" hidden="1">#REF!</definedName>
    <definedName name="UNIFORMANCES3R15C62" localSheetId="18" hidden="1">#REF!</definedName>
    <definedName name="UNIFORMANCES3R15C62" localSheetId="19" hidden="1">#REF!</definedName>
    <definedName name="UNIFORMANCES3R15C62" localSheetId="20" hidden="1">#REF!</definedName>
    <definedName name="UNIFORMANCES3R15C62" localSheetId="23" hidden="1">#REF!</definedName>
    <definedName name="UNIFORMANCES3R15C62" localSheetId="24" hidden="1">#REF!</definedName>
    <definedName name="UNIFORMANCES3R15C62" localSheetId="35" hidden="1">#REF!</definedName>
    <definedName name="UNIFORMANCES3R15C62" localSheetId="58" hidden="1">#REF!</definedName>
    <definedName name="UNIFORMANCES3R15C62" localSheetId="60" hidden="1">#REF!</definedName>
    <definedName name="UNIFORMANCES3R15C62" localSheetId="51" hidden="1">#REF!</definedName>
    <definedName name="UNIFORMANCES3R15C62" localSheetId="54" hidden="1">#REF!</definedName>
    <definedName name="UNIFORMANCES3R15C62" localSheetId="47" hidden="1">#REF!</definedName>
    <definedName name="UNIFORMANCES3R15C62" localSheetId="105" hidden="1">#REF!</definedName>
    <definedName name="UNIFORMANCES3R15C62" localSheetId="104" hidden="1">#REF!</definedName>
    <definedName name="UNIFORMANCES3R15C62" localSheetId="88" hidden="1">#REF!</definedName>
    <definedName name="UNIFORMANCES3R15C62" localSheetId="89" hidden="1">#REF!</definedName>
    <definedName name="UNIFORMANCES3R15C62" localSheetId="87" hidden="1">#REF!</definedName>
    <definedName name="UNIFORMANCES3R15C62" localSheetId="90" hidden="1">#REF!</definedName>
    <definedName name="UNIFORMANCES3R15C62" localSheetId="70" hidden="1">#REF!</definedName>
    <definedName name="UNIFORMANCES3R15C62" localSheetId="65" hidden="1">#REF!</definedName>
    <definedName name="UNIFORMANCES3R15C62" localSheetId="64" hidden="1">#REF!</definedName>
    <definedName name="UNIFORMANCES3R15C62" localSheetId="77" hidden="1">#REF!</definedName>
    <definedName name="UNIFORMANCES3R15C62" localSheetId="49" hidden="1">#REF!</definedName>
    <definedName name="UNIFORMANCES3R15C62" localSheetId="57" hidden="1">#REF!</definedName>
    <definedName name="UNIFORMANCES3R15C62" localSheetId="59" hidden="1">#REF!</definedName>
    <definedName name="UNIFORMANCES3R15C62" localSheetId="40" hidden="1">#REF!</definedName>
    <definedName name="UNIFORMANCES3R15C62" localSheetId="43" hidden="1">#REF!</definedName>
    <definedName name="UNIFORMANCES3R15C62" localSheetId="55" hidden="1">#REF!</definedName>
    <definedName name="UNIFORMANCES3R15C62" localSheetId="13" hidden="1">#REF!</definedName>
    <definedName name="UNIFORMANCES3R15C62" localSheetId="11" hidden="1">#REF!</definedName>
    <definedName name="UNIFORMANCES3R15C62" localSheetId="38" hidden="1">#REF!</definedName>
    <definedName name="UNIFORMANCES3R15C62" localSheetId="41" hidden="1">#REF!</definedName>
    <definedName name="UNIFORMANCES3R15C62" localSheetId="101" hidden="1">#REF!</definedName>
    <definedName name="UNIFORMANCES3R15C62" localSheetId="102" hidden="1">#REF!</definedName>
    <definedName name="UNIFORMANCES3R15C62" localSheetId="103" hidden="1">#REF!</definedName>
    <definedName name="UNIFORMANCES3R15C62" localSheetId="97" hidden="1">#REF!</definedName>
    <definedName name="UNIFORMANCES3R15C62" localSheetId="42" hidden="1">#REF!</definedName>
    <definedName name="UNIFORMANCES3R15C62" localSheetId="12" hidden="1">#REF!</definedName>
    <definedName name="UNIFORMANCES3R15C62" localSheetId="73" hidden="1">#REF!</definedName>
    <definedName name="UNIFORMANCES3R15C62" localSheetId="74" hidden="1">#REF!</definedName>
    <definedName name="UNIFORMANCES3R15C62" hidden="1">#REF!</definedName>
    <definedName name="UNIFORMANCES3R15C63" localSheetId="3" hidden="1">#REF!</definedName>
    <definedName name="UNIFORMANCES3R15C63" localSheetId="7" hidden="1">#REF!</definedName>
    <definedName name="UNIFORMANCES3R15C63" localSheetId="9" hidden="1">#REF!</definedName>
    <definedName name="UNIFORMANCES3R15C63" localSheetId="10" hidden="1">#REF!</definedName>
    <definedName name="UNIFORMANCES3R15C63" localSheetId="15" hidden="1">#REF!</definedName>
    <definedName name="UNIFORMANCES3R15C63" localSheetId="18" hidden="1">#REF!</definedName>
    <definedName name="UNIFORMANCES3R15C63" localSheetId="19" hidden="1">#REF!</definedName>
    <definedName name="UNIFORMANCES3R15C63" localSheetId="20" hidden="1">#REF!</definedName>
    <definedName name="UNIFORMANCES3R15C63" localSheetId="23" hidden="1">#REF!</definedName>
    <definedName name="UNIFORMANCES3R15C63" localSheetId="24" hidden="1">#REF!</definedName>
    <definedName name="UNIFORMANCES3R15C63" localSheetId="35" hidden="1">#REF!</definedName>
    <definedName name="UNIFORMANCES3R15C63" localSheetId="58" hidden="1">#REF!</definedName>
    <definedName name="UNIFORMANCES3R15C63" localSheetId="60" hidden="1">#REF!</definedName>
    <definedName name="UNIFORMANCES3R15C63" localSheetId="51" hidden="1">#REF!</definedName>
    <definedName name="UNIFORMANCES3R15C63" localSheetId="54" hidden="1">#REF!</definedName>
    <definedName name="UNIFORMANCES3R15C63" localSheetId="47" hidden="1">#REF!</definedName>
    <definedName name="UNIFORMANCES3R15C63" localSheetId="105" hidden="1">#REF!</definedName>
    <definedName name="UNIFORMANCES3R15C63" localSheetId="104" hidden="1">#REF!</definedName>
    <definedName name="UNIFORMANCES3R15C63" localSheetId="88" hidden="1">#REF!</definedName>
    <definedName name="UNIFORMANCES3R15C63" localSheetId="89" hidden="1">#REF!</definedName>
    <definedName name="UNIFORMANCES3R15C63" localSheetId="87" hidden="1">#REF!</definedName>
    <definedName name="UNIFORMANCES3R15C63" localSheetId="90" hidden="1">#REF!</definedName>
    <definedName name="UNIFORMANCES3R15C63" localSheetId="70" hidden="1">#REF!</definedName>
    <definedName name="UNIFORMANCES3R15C63" localSheetId="65" hidden="1">#REF!</definedName>
    <definedName name="UNIFORMANCES3R15C63" localSheetId="64" hidden="1">#REF!</definedName>
    <definedName name="UNIFORMANCES3R15C63" localSheetId="77" hidden="1">#REF!</definedName>
    <definedName name="UNIFORMANCES3R15C63" localSheetId="49" hidden="1">#REF!</definedName>
    <definedName name="UNIFORMANCES3R15C63" localSheetId="57" hidden="1">#REF!</definedName>
    <definedName name="UNIFORMANCES3R15C63" localSheetId="59" hidden="1">#REF!</definedName>
    <definedName name="UNIFORMANCES3R15C63" localSheetId="40" hidden="1">#REF!</definedName>
    <definedName name="UNIFORMANCES3R15C63" localSheetId="43" hidden="1">#REF!</definedName>
    <definedName name="UNIFORMANCES3R15C63" localSheetId="55" hidden="1">#REF!</definedName>
    <definedName name="UNIFORMANCES3R15C63" localSheetId="13" hidden="1">#REF!</definedName>
    <definedName name="UNIFORMANCES3R15C63" localSheetId="11" hidden="1">#REF!</definedName>
    <definedName name="UNIFORMANCES3R15C63" localSheetId="38" hidden="1">#REF!</definedName>
    <definedName name="UNIFORMANCES3R15C63" localSheetId="41" hidden="1">#REF!</definedName>
    <definedName name="UNIFORMANCES3R15C63" localSheetId="101" hidden="1">#REF!</definedName>
    <definedName name="UNIFORMANCES3R15C63" localSheetId="102" hidden="1">#REF!</definedName>
    <definedName name="UNIFORMANCES3R15C63" localSheetId="103" hidden="1">#REF!</definedName>
    <definedName name="UNIFORMANCES3R15C63" localSheetId="97" hidden="1">#REF!</definedName>
    <definedName name="UNIFORMANCES3R15C63" localSheetId="42" hidden="1">#REF!</definedName>
    <definedName name="UNIFORMANCES3R15C63" localSheetId="12" hidden="1">#REF!</definedName>
    <definedName name="UNIFORMANCES3R15C63" localSheetId="73" hidden="1">#REF!</definedName>
    <definedName name="UNIFORMANCES3R15C63" localSheetId="74" hidden="1">#REF!</definedName>
    <definedName name="UNIFORMANCES3R15C63" hidden="1">#REF!</definedName>
    <definedName name="UNIFORMANCES3R15C64" localSheetId="3" hidden="1">#REF!</definedName>
    <definedName name="UNIFORMANCES3R15C64" localSheetId="7" hidden="1">#REF!</definedName>
    <definedName name="UNIFORMANCES3R15C64" localSheetId="9" hidden="1">#REF!</definedName>
    <definedName name="UNIFORMANCES3R15C64" localSheetId="10" hidden="1">#REF!</definedName>
    <definedName name="UNIFORMANCES3R15C64" localSheetId="15" hidden="1">#REF!</definedName>
    <definedName name="UNIFORMANCES3R15C64" localSheetId="18" hidden="1">#REF!</definedName>
    <definedName name="UNIFORMANCES3R15C64" localSheetId="19" hidden="1">#REF!</definedName>
    <definedName name="UNIFORMANCES3R15C64" localSheetId="20" hidden="1">#REF!</definedName>
    <definedName name="UNIFORMANCES3R15C64" localSheetId="23" hidden="1">#REF!</definedName>
    <definedName name="UNIFORMANCES3R15C64" localSheetId="24" hidden="1">#REF!</definedName>
    <definedName name="UNIFORMANCES3R15C64" localSheetId="35" hidden="1">#REF!</definedName>
    <definedName name="UNIFORMANCES3R15C64" localSheetId="58" hidden="1">#REF!</definedName>
    <definedName name="UNIFORMANCES3R15C64" localSheetId="60" hidden="1">#REF!</definedName>
    <definedName name="UNIFORMANCES3R15C64" localSheetId="51" hidden="1">#REF!</definedName>
    <definedName name="UNIFORMANCES3R15C64" localSheetId="54" hidden="1">#REF!</definedName>
    <definedName name="UNIFORMANCES3R15C64" localSheetId="47" hidden="1">#REF!</definedName>
    <definedName name="UNIFORMANCES3R15C64" localSheetId="105" hidden="1">#REF!</definedName>
    <definedName name="UNIFORMANCES3R15C64" localSheetId="104" hidden="1">#REF!</definedName>
    <definedName name="UNIFORMANCES3R15C64" localSheetId="88" hidden="1">#REF!</definedName>
    <definedName name="UNIFORMANCES3R15C64" localSheetId="89" hidden="1">#REF!</definedName>
    <definedName name="UNIFORMANCES3R15C64" localSheetId="87" hidden="1">#REF!</definedName>
    <definedName name="UNIFORMANCES3R15C64" localSheetId="90" hidden="1">#REF!</definedName>
    <definedName name="UNIFORMANCES3R15C64" localSheetId="70" hidden="1">#REF!</definedName>
    <definedName name="UNIFORMANCES3R15C64" localSheetId="65" hidden="1">#REF!</definedName>
    <definedName name="UNIFORMANCES3R15C64" localSheetId="64" hidden="1">#REF!</definedName>
    <definedName name="UNIFORMANCES3R15C64" localSheetId="77" hidden="1">#REF!</definedName>
    <definedName name="UNIFORMANCES3R15C64" localSheetId="49" hidden="1">#REF!</definedName>
    <definedName name="UNIFORMANCES3R15C64" localSheetId="57" hidden="1">#REF!</definedName>
    <definedName name="UNIFORMANCES3R15C64" localSheetId="59" hidden="1">#REF!</definedName>
    <definedName name="UNIFORMANCES3R15C64" localSheetId="40" hidden="1">#REF!</definedName>
    <definedName name="UNIFORMANCES3R15C64" localSheetId="43" hidden="1">#REF!</definedName>
    <definedName name="UNIFORMANCES3R15C64" localSheetId="55" hidden="1">#REF!</definedName>
    <definedName name="UNIFORMANCES3R15C64" localSheetId="13" hidden="1">#REF!</definedName>
    <definedName name="UNIFORMANCES3R15C64" localSheetId="11" hidden="1">#REF!</definedName>
    <definedName name="UNIFORMANCES3R15C64" localSheetId="38" hidden="1">#REF!</definedName>
    <definedName name="UNIFORMANCES3R15C64" localSheetId="41" hidden="1">#REF!</definedName>
    <definedName name="UNIFORMANCES3R15C64" localSheetId="101" hidden="1">#REF!</definedName>
    <definedName name="UNIFORMANCES3R15C64" localSheetId="102" hidden="1">#REF!</definedName>
    <definedName name="UNIFORMANCES3R15C64" localSheetId="103" hidden="1">#REF!</definedName>
    <definedName name="UNIFORMANCES3R15C64" localSheetId="97" hidden="1">#REF!</definedName>
    <definedName name="UNIFORMANCES3R15C64" localSheetId="42" hidden="1">#REF!</definedName>
    <definedName name="UNIFORMANCES3R15C64" localSheetId="12" hidden="1">#REF!</definedName>
    <definedName name="UNIFORMANCES3R15C64" localSheetId="73" hidden="1">#REF!</definedName>
    <definedName name="UNIFORMANCES3R15C64" localSheetId="74" hidden="1">#REF!</definedName>
    <definedName name="UNIFORMANCES3R15C64" hidden="1">#REF!</definedName>
    <definedName name="UNIFORMANCES3R15C65" localSheetId="3" hidden="1">#REF!</definedName>
    <definedName name="UNIFORMANCES3R15C65" localSheetId="7" hidden="1">#REF!</definedName>
    <definedName name="UNIFORMANCES3R15C65" localSheetId="9" hidden="1">#REF!</definedName>
    <definedName name="UNIFORMANCES3R15C65" localSheetId="10" hidden="1">#REF!</definedName>
    <definedName name="UNIFORMANCES3R15C65" localSheetId="15" hidden="1">#REF!</definedName>
    <definedName name="UNIFORMANCES3R15C65" localSheetId="18" hidden="1">#REF!</definedName>
    <definedName name="UNIFORMANCES3R15C65" localSheetId="19" hidden="1">#REF!</definedName>
    <definedName name="UNIFORMANCES3R15C65" localSheetId="20" hidden="1">#REF!</definedName>
    <definedName name="UNIFORMANCES3R15C65" localSheetId="23" hidden="1">#REF!</definedName>
    <definedName name="UNIFORMANCES3R15C65" localSheetId="24" hidden="1">#REF!</definedName>
    <definedName name="UNIFORMANCES3R15C65" localSheetId="35" hidden="1">#REF!</definedName>
    <definedName name="UNIFORMANCES3R15C65" localSheetId="58" hidden="1">#REF!</definedName>
    <definedName name="UNIFORMANCES3R15C65" localSheetId="60" hidden="1">#REF!</definedName>
    <definedName name="UNIFORMANCES3R15C65" localSheetId="51" hidden="1">#REF!</definedName>
    <definedName name="UNIFORMANCES3R15C65" localSheetId="54" hidden="1">#REF!</definedName>
    <definedName name="UNIFORMANCES3R15C65" localSheetId="47" hidden="1">#REF!</definedName>
    <definedName name="UNIFORMANCES3R15C65" localSheetId="105" hidden="1">#REF!</definedName>
    <definedName name="UNIFORMANCES3R15C65" localSheetId="104" hidden="1">#REF!</definedName>
    <definedName name="UNIFORMANCES3R15C65" localSheetId="88" hidden="1">#REF!</definedName>
    <definedName name="UNIFORMANCES3R15C65" localSheetId="89" hidden="1">#REF!</definedName>
    <definedName name="UNIFORMANCES3R15C65" localSheetId="87" hidden="1">#REF!</definedName>
    <definedName name="UNIFORMANCES3R15C65" localSheetId="90" hidden="1">#REF!</definedName>
    <definedName name="UNIFORMANCES3R15C65" localSheetId="70" hidden="1">#REF!</definedName>
    <definedName name="UNIFORMANCES3R15C65" localSheetId="65" hidden="1">#REF!</definedName>
    <definedName name="UNIFORMANCES3R15C65" localSheetId="64" hidden="1">#REF!</definedName>
    <definedName name="UNIFORMANCES3R15C65" localSheetId="77" hidden="1">#REF!</definedName>
    <definedName name="UNIFORMANCES3R15C65" localSheetId="49" hidden="1">#REF!</definedName>
    <definedName name="UNIFORMANCES3R15C65" localSheetId="57" hidden="1">#REF!</definedName>
    <definedName name="UNIFORMANCES3R15C65" localSheetId="59" hidden="1">#REF!</definedName>
    <definedName name="UNIFORMANCES3R15C65" localSheetId="40" hidden="1">#REF!</definedName>
    <definedName name="UNIFORMANCES3R15C65" localSheetId="43" hidden="1">#REF!</definedName>
    <definedName name="UNIFORMANCES3R15C65" localSheetId="55" hidden="1">#REF!</definedName>
    <definedName name="UNIFORMANCES3R15C65" localSheetId="13" hidden="1">#REF!</definedName>
    <definedName name="UNIFORMANCES3R15C65" localSheetId="11" hidden="1">#REF!</definedName>
    <definedName name="UNIFORMANCES3R15C65" localSheetId="38" hidden="1">#REF!</definedName>
    <definedName name="UNIFORMANCES3R15C65" localSheetId="41" hidden="1">#REF!</definedName>
    <definedName name="UNIFORMANCES3R15C65" localSheetId="101" hidden="1">#REF!</definedName>
    <definedName name="UNIFORMANCES3R15C65" localSheetId="102" hidden="1">#REF!</definedName>
    <definedName name="UNIFORMANCES3R15C65" localSheetId="103" hidden="1">#REF!</definedName>
    <definedName name="UNIFORMANCES3R15C65" localSheetId="97" hidden="1">#REF!</definedName>
    <definedName name="UNIFORMANCES3R15C65" localSheetId="42" hidden="1">#REF!</definedName>
    <definedName name="UNIFORMANCES3R15C65" localSheetId="12" hidden="1">#REF!</definedName>
    <definedName name="UNIFORMANCES3R15C65" localSheetId="73" hidden="1">#REF!</definedName>
    <definedName name="UNIFORMANCES3R15C65" localSheetId="74" hidden="1">#REF!</definedName>
    <definedName name="UNIFORMANCES3R15C65" hidden="1">#REF!</definedName>
    <definedName name="UNIFORMANCES3R15C66" localSheetId="3" hidden="1">#REF!</definedName>
    <definedName name="UNIFORMANCES3R15C66" localSheetId="7" hidden="1">#REF!</definedName>
    <definedName name="UNIFORMANCES3R15C66" localSheetId="9" hidden="1">#REF!</definedName>
    <definedName name="UNIFORMANCES3R15C66" localSheetId="10" hidden="1">#REF!</definedName>
    <definedName name="UNIFORMANCES3R15C66" localSheetId="15" hidden="1">#REF!</definedName>
    <definedName name="UNIFORMANCES3R15C66" localSheetId="18" hidden="1">#REF!</definedName>
    <definedName name="UNIFORMANCES3R15C66" localSheetId="19" hidden="1">#REF!</definedName>
    <definedName name="UNIFORMANCES3R15C66" localSheetId="20" hidden="1">#REF!</definedName>
    <definedName name="UNIFORMANCES3R15C66" localSheetId="23" hidden="1">#REF!</definedName>
    <definedName name="UNIFORMANCES3R15C66" localSheetId="24" hidden="1">#REF!</definedName>
    <definedName name="UNIFORMANCES3R15C66" localSheetId="35" hidden="1">#REF!</definedName>
    <definedName name="UNIFORMANCES3R15C66" localSheetId="58" hidden="1">#REF!</definedName>
    <definedName name="UNIFORMANCES3R15C66" localSheetId="60" hidden="1">#REF!</definedName>
    <definedName name="UNIFORMANCES3R15C66" localSheetId="51" hidden="1">#REF!</definedName>
    <definedName name="UNIFORMANCES3R15C66" localSheetId="54" hidden="1">#REF!</definedName>
    <definedName name="UNIFORMANCES3R15C66" localSheetId="47" hidden="1">#REF!</definedName>
    <definedName name="UNIFORMANCES3R15C66" localSheetId="105" hidden="1">#REF!</definedName>
    <definedName name="UNIFORMANCES3R15C66" localSheetId="104" hidden="1">#REF!</definedName>
    <definedName name="UNIFORMANCES3R15C66" localSheetId="88" hidden="1">#REF!</definedName>
    <definedName name="UNIFORMANCES3R15C66" localSheetId="89" hidden="1">#REF!</definedName>
    <definedName name="UNIFORMANCES3R15C66" localSheetId="87" hidden="1">#REF!</definedName>
    <definedName name="UNIFORMANCES3R15C66" localSheetId="90" hidden="1">#REF!</definedName>
    <definedName name="UNIFORMANCES3R15C66" localSheetId="70" hidden="1">#REF!</definedName>
    <definedName name="UNIFORMANCES3R15C66" localSheetId="65" hidden="1">#REF!</definedName>
    <definedName name="UNIFORMANCES3R15C66" localSheetId="64" hidden="1">#REF!</definedName>
    <definedName name="UNIFORMANCES3R15C66" localSheetId="77" hidden="1">#REF!</definedName>
    <definedName name="UNIFORMANCES3R15C66" localSheetId="49" hidden="1">#REF!</definedName>
    <definedName name="UNIFORMANCES3R15C66" localSheetId="57" hidden="1">#REF!</definedName>
    <definedName name="UNIFORMANCES3R15C66" localSheetId="59" hidden="1">#REF!</definedName>
    <definedName name="UNIFORMANCES3R15C66" localSheetId="40" hidden="1">#REF!</definedName>
    <definedName name="UNIFORMANCES3R15C66" localSheetId="43" hidden="1">#REF!</definedName>
    <definedName name="UNIFORMANCES3R15C66" localSheetId="55" hidden="1">#REF!</definedName>
    <definedName name="UNIFORMANCES3R15C66" localSheetId="13" hidden="1">#REF!</definedName>
    <definedName name="UNIFORMANCES3R15C66" localSheetId="11" hidden="1">#REF!</definedName>
    <definedName name="UNIFORMANCES3R15C66" localSheetId="38" hidden="1">#REF!</definedName>
    <definedName name="UNIFORMANCES3R15C66" localSheetId="41" hidden="1">#REF!</definedName>
    <definedName name="UNIFORMANCES3R15C66" localSheetId="101" hidden="1">#REF!</definedName>
    <definedName name="UNIFORMANCES3R15C66" localSheetId="102" hidden="1">#REF!</definedName>
    <definedName name="UNIFORMANCES3R15C66" localSheetId="103" hidden="1">#REF!</definedName>
    <definedName name="UNIFORMANCES3R15C66" localSheetId="97" hidden="1">#REF!</definedName>
    <definedName name="UNIFORMANCES3R15C66" localSheetId="42" hidden="1">#REF!</definedName>
    <definedName name="UNIFORMANCES3R15C66" localSheetId="12" hidden="1">#REF!</definedName>
    <definedName name="UNIFORMANCES3R15C66" localSheetId="73" hidden="1">#REF!</definedName>
    <definedName name="UNIFORMANCES3R15C66" localSheetId="74" hidden="1">#REF!</definedName>
    <definedName name="UNIFORMANCES3R15C66" hidden="1">#REF!</definedName>
    <definedName name="UNIFORMANCES3R15C67" localSheetId="3" hidden="1">#REF!</definedName>
    <definedName name="UNIFORMANCES3R15C67" localSheetId="7" hidden="1">#REF!</definedName>
    <definedName name="UNIFORMANCES3R15C67" localSheetId="9" hidden="1">#REF!</definedName>
    <definedName name="UNIFORMANCES3R15C67" localSheetId="10" hidden="1">#REF!</definedName>
    <definedName name="UNIFORMANCES3R15C67" localSheetId="15" hidden="1">#REF!</definedName>
    <definedName name="UNIFORMANCES3R15C67" localSheetId="18" hidden="1">#REF!</definedName>
    <definedName name="UNIFORMANCES3R15C67" localSheetId="19" hidden="1">#REF!</definedName>
    <definedName name="UNIFORMANCES3R15C67" localSheetId="20" hidden="1">#REF!</definedName>
    <definedName name="UNIFORMANCES3R15C67" localSheetId="23" hidden="1">#REF!</definedName>
    <definedName name="UNIFORMANCES3R15C67" localSheetId="24" hidden="1">#REF!</definedName>
    <definedName name="UNIFORMANCES3R15C67" localSheetId="35" hidden="1">#REF!</definedName>
    <definedName name="UNIFORMANCES3R15C67" localSheetId="58" hidden="1">#REF!</definedName>
    <definedName name="UNIFORMANCES3R15C67" localSheetId="60" hidden="1">#REF!</definedName>
    <definedName name="UNIFORMANCES3R15C67" localSheetId="51" hidden="1">#REF!</definedName>
    <definedName name="UNIFORMANCES3R15C67" localSheetId="54" hidden="1">#REF!</definedName>
    <definedName name="UNIFORMANCES3R15C67" localSheetId="47" hidden="1">#REF!</definedName>
    <definedName name="UNIFORMANCES3R15C67" localSheetId="105" hidden="1">#REF!</definedName>
    <definedName name="UNIFORMANCES3R15C67" localSheetId="104" hidden="1">#REF!</definedName>
    <definedName name="UNIFORMANCES3R15C67" localSheetId="88" hidden="1">#REF!</definedName>
    <definedName name="UNIFORMANCES3R15C67" localSheetId="89" hidden="1">#REF!</definedName>
    <definedName name="UNIFORMANCES3R15C67" localSheetId="87" hidden="1">#REF!</definedName>
    <definedName name="UNIFORMANCES3R15C67" localSheetId="90" hidden="1">#REF!</definedName>
    <definedName name="UNIFORMANCES3R15C67" localSheetId="70" hidden="1">#REF!</definedName>
    <definedName name="UNIFORMANCES3R15C67" localSheetId="65" hidden="1">#REF!</definedName>
    <definedName name="UNIFORMANCES3R15C67" localSheetId="64" hidden="1">#REF!</definedName>
    <definedName name="UNIFORMANCES3R15C67" localSheetId="77" hidden="1">#REF!</definedName>
    <definedName name="UNIFORMANCES3R15C67" localSheetId="49" hidden="1">#REF!</definedName>
    <definedName name="UNIFORMANCES3R15C67" localSheetId="57" hidden="1">#REF!</definedName>
    <definedName name="UNIFORMANCES3R15C67" localSheetId="59" hidden="1">#REF!</definedName>
    <definedName name="UNIFORMANCES3R15C67" localSheetId="40" hidden="1">#REF!</definedName>
    <definedName name="UNIFORMANCES3R15C67" localSheetId="43" hidden="1">#REF!</definedName>
    <definedName name="UNIFORMANCES3R15C67" localSheetId="55" hidden="1">#REF!</definedName>
    <definedName name="UNIFORMANCES3R15C67" localSheetId="13" hidden="1">#REF!</definedName>
    <definedName name="UNIFORMANCES3R15C67" localSheetId="11" hidden="1">#REF!</definedName>
    <definedName name="UNIFORMANCES3R15C67" localSheetId="38" hidden="1">#REF!</definedName>
    <definedName name="UNIFORMANCES3R15C67" localSheetId="41" hidden="1">#REF!</definedName>
    <definedName name="UNIFORMANCES3R15C67" localSheetId="101" hidden="1">#REF!</definedName>
    <definedName name="UNIFORMANCES3R15C67" localSheetId="102" hidden="1">#REF!</definedName>
    <definedName name="UNIFORMANCES3R15C67" localSheetId="103" hidden="1">#REF!</definedName>
    <definedName name="UNIFORMANCES3R15C67" localSheetId="97" hidden="1">#REF!</definedName>
    <definedName name="UNIFORMANCES3R15C67" localSheetId="42" hidden="1">#REF!</definedName>
    <definedName name="UNIFORMANCES3R15C67" localSheetId="12" hidden="1">#REF!</definedName>
    <definedName name="UNIFORMANCES3R15C67" localSheetId="73" hidden="1">#REF!</definedName>
    <definedName name="UNIFORMANCES3R15C67" localSheetId="74" hidden="1">#REF!</definedName>
    <definedName name="UNIFORMANCES3R15C67" hidden="1">#REF!</definedName>
    <definedName name="UNIFORMANCES3R15C68" localSheetId="3" hidden="1">#REF!</definedName>
    <definedName name="UNIFORMANCES3R15C68" localSheetId="7" hidden="1">#REF!</definedName>
    <definedName name="UNIFORMANCES3R15C68" localSheetId="9" hidden="1">#REF!</definedName>
    <definedName name="UNIFORMANCES3R15C68" localSheetId="10" hidden="1">#REF!</definedName>
    <definedName name="UNIFORMANCES3R15C68" localSheetId="15" hidden="1">#REF!</definedName>
    <definedName name="UNIFORMANCES3R15C68" localSheetId="18" hidden="1">#REF!</definedName>
    <definedName name="UNIFORMANCES3R15C68" localSheetId="19" hidden="1">#REF!</definedName>
    <definedName name="UNIFORMANCES3R15C68" localSheetId="20" hidden="1">#REF!</definedName>
    <definedName name="UNIFORMANCES3R15C68" localSheetId="23" hidden="1">#REF!</definedName>
    <definedName name="UNIFORMANCES3R15C68" localSheetId="24" hidden="1">#REF!</definedName>
    <definedName name="UNIFORMANCES3R15C68" localSheetId="35" hidden="1">#REF!</definedName>
    <definedName name="UNIFORMANCES3R15C68" localSheetId="58" hidden="1">#REF!</definedName>
    <definedName name="UNIFORMANCES3R15C68" localSheetId="60" hidden="1">#REF!</definedName>
    <definedName name="UNIFORMANCES3R15C68" localSheetId="51" hidden="1">#REF!</definedName>
    <definedName name="UNIFORMANCES3R15C68" localSheetId="54" hidden="1">#REF!</definedName>
    <definedName name="UNIFORMANCES3R15C68" localSheetId="47" hidden="1">#REF!</definedName>
    <definedName name="UNIFORMANCES3R15C68" localSheetId="105" hidden="1">#REF!</definedName>
    <definedName name="UNIFORMANCES3R15C68" localSheetId="104" hidden="1">#REF!</definedName>
    <definedName name="UNIFORMANCES3R15C68" localSheetId="88" hidden="1">#REF!</definedName>
    <definedName name="UNIFORMANCES3R15C68" localSheetId="89" hidden="1">#REF!</definedName>
    <definedName name="UNIFORMANCES3R15C68" localSheetId="87" hidden="1">#REF!</definedName>
    <definedName name="UNIFORMANCES3R15C68" localSheetId="90" hidden="1">#REF!</definedName>
    <definedName name="UNIFORMANCES3R15C68" localSheetId="70" hidden="1">#REF!</definedName>
    <definedName name="UNIFORMANCES3R15C68" localSheetId="65" hidden="1">#REF!</definedName>
    <definedName name="UNIFORMANCES3R15C68" localSheetId="64" hidden="1">#REF!</definedName>
    <definedName name="UNIFORMANCES3R15C68" localSheetId="77" hidden="1">#REF!</definedName>
    <definedName name="UNIFORMANCES3R15C68" localSheetId="49" hidden="1">#REF!</definedName>
    <definedName name="UNIFORMANCES3R15C68" localSheetId="57" hidden="1">#REF!</definedName>
    <definedName name="UNIFORMANCES3R15C68" localSheetId="59" hidden="1">#REF!</definedName>
    <definedName name="UNIFORMANCES3R15C68" localSheetId="40" hidden="1">#REF!</definedName>
    <definedName name="UNIFORMANCES3R15C68" localSheetId="43" hidden="1">#REF!</definedName>
    <definedName name="UNIFORMANCES3R15C68" localSheetId="55" hidden="1">#REF!</definedName>
    <definedName name="UNIFORMANCES3R15C68" localSheetId="13" hidden="1">#REF!</definedName>
    <definedName name="UNIFORMANCES3R15C68" localSheetId="11" hidden="1">#REF!</definedName>
    <definedName name="UNIFORMANCES3R15C68" localSheetId="38" hidden="1">#REF!</definedName>
    <definedName name="UNIFORMANCES3R15C68" localSheetId="41" hidden="1">#REF!</definedName>
    <definedName name="UNIFORMANCES3R15C68" localSheetId="101" hidden="1">#REF!</definedName>
    <definedName name="UNIFORMANCES3R15C68" localSheetId="102" hidden="1">#REF!</definedName>
    <definedName name="UNIFORMANCES3R15C68" localSheetId="103" hidden="1">#REF!</definedName>
    <definedName name="UNIFORMANCES3R15C68" localSheetId="97" hidden="1">#REF!</definedName>
    <definedName name="UNIFORMANCES3R15C68" localSheetId="42" hidden="1">#REF!</definedName>
    <definedName name="UNIFORMANCES3R15C68" localSheetId="12" hidden="1">#REF!</definedName>
    <definedName name="UNIFORMANCES3R15C68" localSheetId="73" hidden="1">#REF!</definedName>
    <definedName name="UNIFORMANCES3R15C68" localSheetId="74" hidden="1">#REF!</definedName>
    <definedName name="UNIFORMANCES3R15C68" hidden="1">#REF!</definedName>
    <definedName name="UNIFORMANCES3R15C69" localSheetId="3" hidden="1">#REF!</definedName>
    <definedName name="UNIFORMANCES3R15C69" localSheetId="7" hidden="1">#REF!</definedName>
    <definedName name="UNIFORMANCES3R15C69" localSheetId="9" hidden="1">#REF!</definedName>
    <definedName name="UNIFORMANCES3R15C69" localSheetId="10" hidden="1">#REF!</definedName>
    <definedName name="UNIFORMANCES3R15C69" localSheetId="15" hidden="1">#REF!</definedName>
    <definedName name="UNIFORMANCES3R15C69" localSheetId="18" hidden="1">#REF!</definedName>
    <definedName name="UNIFORMANCES3R15C69" localSheetId="19" hidden="1">#REF!</definedName>
    <definedName name="UNIFORMANCES3R15C69" localSheetId="20" hidden="1">#REF!</definedName>
    <definedName name="UNIFORMANCES3R15C69" localSheetId="23" hidden="1">#REF!</definedName>
    <definedName name="UNIFORMANCES3R15C69" localSheetId="24" hidden="1">#REF!</definedName>
    <definedName name="UNIFORMANCES3R15C69" localSheetId="35" hidden="1">#REF!</definedName>
    <definedName name="UNIFORMANCES3R15C69" localSheetId="58" hidden="1">#REF!</definedName>
    <definedName name="UNIFORMANCES3R15C69" localSheetId="60" hidden="1">#REF!</definedName>
    <definedName name="UNIFORMANCES3R15C69" localSheetId="51" hidden="1">#REF!</definedName>
    <definedName name="UNIFORMANCES3R15C69" localSheetId="54" hidden="1">#REF!</definedName>
    <definedName name="UNIFORMANCES3R15C69" localSheetId="47" hidden="1">#REF!</definedName>
    <definedName name="UNIFORMANCES3R15C69" localSheetId="105" hidden="1">#REF!</definedName>
    <definedName name="UNIFORMANCES3R15C69" localSheetId="104" hidden="1">#REF!</definedName>
    <definedName name="UNIFORMANCES3R15C69" localSheetId="88" hidden="1">#REF!</definedName>
    <definedName name="UNIFORMANCES3R15C69" localSheetId="89" hidden="1">#REF!</definedName>
    <definedName name="UNIFORMANCES3R15C69" localSheetId="87" hidden="1">#REF!</definedName>
    <definedName name="UNIFORMANCES3R15C69" localSheetId="90" hidden="1">#REF!</definedName>
    <definedName name="UNIFORMANCES3R15C69" localSheetId="70" hidden="1">#REF!</definedName>
    <definedName name="UNIFORMANCES3R15C69" localSheetId="65" hidden="1">#REF!</definedName>
    <definedName name="UNIFORMANCES3R15C69" localSheetId="64" hidden="1">#REF!</definedName>
    <definedName name="UNIFORMANCES3R15C69" localSheetId="77" hidden="1">#REF!</definedName>
    <definedName name="UNIFORMANCES3R15C69" localSheetId="49" hidden="1">#REF!</definedName>
    <definedName name="UNIFORMANCES3R15C69" localSheetId="57" hidden="1">#REF!</definedName>
    <definedName name="UNIFORMANCES3R15C69" localSheetId="59" hidden="1">#REF!</definedName>
    <definedName name="UNIFORMANCES3R15C69" localSheetId="40" hidden="1">#REF!</definedName>
    <definedName name="UNIFORMANCES3R15C69" localSheetId="43" hidden="1">#REF!</definedName>
    <definedName name="UNIFORMANCES3R15C69" localSheetId="55" hidden="1">#REF!</definedName>
    <definedName name="UNIFORMANCES3R15C69" localSheetId="13" hidden="1">#REF!</definedName>
    <definedName name="UNIFORMANCES3R15C69" localSheetId="11" hidden="1">#REF!</definedName>
    <definedName name="UNIFORMANCES3R15C69" localSheetId="38" hidden="1">#REF!</definedName>
    <definedName name="UNIFORMANCES3R15C69" localSheetId="41" hidden="1">#REF!</definedName>
    <definedName name="UNIFORMANCES3R15C69" localSheetId="101" hidden="1">#REF!</definedName>
    <definedName name="UNIFORMANCES3R15C69" localSheetId="102" hidden="1">#REF!</definedName>
    <definedName name="UNIFORMANCES3R15C69" localSheetId="103" hidden="1">#REF!</definedName>
    <definedName name="UNIFORMANCES3R15C69" localSheetId="97" hidden="1">#REF!</definedName>
    <definedName name="UNIFORMANCES3R15C69" localSheetId="42" hidden="1">#REF!</definedName>
    <definedName name="UNIFORMANCES3R15C69" localSheetId="12" hidden="1">#REF!</definedName>
    <definedName name="UNIFORMANCES3R15C69" localSheetId="73" hidden="1">#REF!</definedName>
    <definedName name="UNIFORMANCES3R15C69" localSheetId="74" hidden="1">#REF!</definedName>
    <definedName name="UNIFORMANCES3R15C69" hidden="1">#REF!</definedName>
    <definedName name="UNIFORMANCES3R15C7" localSheetId="3" hidden="1">#REF!</definedName>
    <definedName name="UNIFORMANCES3R15C7" localSheetId="7" hidden="1">#REF!</definedName>
    <definedName name="UNIFORMANCES3R15C7" localSheetId="9" hidden="1">#REF!</definedName>
    <definedName name="UNIFORMANCES3R15C7" localSheetId="10" hidden="1">#REF!</definedName>
    <definedName name="UNIFORMANCES3R15C7" localSheetId="15" hidden="1">#REF!</definedName>
    <definedName name="UNIFORMANCES3R15C7" localSheetId="18" hidden="1">#REF!</definedName>
    <definedName name="UNIFORMANCES3R15C7" localSheetId="19" hidden="1">#REF!</definedName>
    <definedName name="UNIFORMANCES3R15C7" localSheetId="20" hidden="1">#REF!</definedName>
    <definedName name="UNIFORMANCES3R15C7" localSheetId="23" hidden="1">#REF!</definedName>
    <definedName name="UNIFORMANCES3R15C7" localSheetId="24" hidden="1">#REF!</definedName>
    <definedName name="UNIFORMANCES3R15C7" localSheetId="35" hidden="1">#REF!</definedName>
    <definedName name="UNIFORMANCES3R15C7" localSheetId="58" hidden="1">#REF!</definedName>
    <definedName name="UNIFORMANCES3R15C7" localSheetId="60" hidden="1">#REF!</definedName>
    <definedName name="UNIFORMANCES3R15C7" localSheetId="51" hidden="1">#REF!</definedName>
    <definedName name="UNIFORMANCES3R15C7" localSheetId="54" hidden="1">#REF!</definedName>
    <definedName name="UNIFORMANCES3R15C7" localSheetId="47" hidden="1">#REF!</definedName>
    <definedName name="UNIFORMANCES3R15C7" localSheetId="105" hidden="1">#REF!</definedName>
    <definedName name="UNIFORMANCES3R15C7" localSheetId="104" hidden="1">#REF!</definedName>
    <definedName name="UNIFORMANCES3R15C7" localSheetId="88" hidden="1">#REF!</definedName>
    <definedName name="UNIFORMANCES3R15C7" localSheetId="89" hidden="1">#REF!</definedName>
    <definedName name="UNIFORMANCES3R15C7" localSheetId="87" hidden="1">#REF!</definedName>
    <definedName name="UNIFORMANCES3R15C7" localSheetId="90" hidden="1">#REF!</definedName>
    <definedName name="UNIFORMANCES3R15C7" localSheetId="70" hidden="1">#REF!</definedName>
    <definedName name="UNIFORMANCES3R15C7" localSheetId="65" hidden="1">#REF!</definedName>
    <definedName name="UNIFORMANCES3R15C7" localSheetId="64" hidden="1">#REF!</definedName>
    <definedName name="UNIFORMANCES3R15C7" localSheetId="77" hidden="1">#REF!</definedName>
    <definedName name="UNIFORMANCES3R15C7" localSheetId="49" hidden="1">#REF!</definedName>
    <definedName name="UNIFORMANCES3R15C7" localSheetId="57" hidden="1">#REF!</definedName>
    <definedName name="UNIFORMANCES3R15C7" localSheetId="59" hidden="1">#REF!</definedName>
    <definedName name="UNIFORMANCES3R15C7" localSheetId="40" hidden="1">#REF!</definedName>
    <definedName name="UNIFORMANCES3R15C7" localSheetId="43" hidden="1">#REF!</definedName>
    <definedName name="UNIFORMANCES3R15C7" localSheetId="55" hidden="1">#REF!</definedName>
    <definedName name="UNIFORMANCES3R15C7" localSheetId="13" hidden="1">#REF!</definedName>
    <definedName name="UNIFORMANCES3R15C7" localSheetId="11" hidden="1">#REF!</definedName>
    <definedName name="UNIFORMANCES3R15C7" localSheetId="38" hidden="1">#REF!</definedName>
    <definedName name="UNIFORMANCES3R15C7" localSheetId="41" hidden="1">#REF!</definedName>
    <definedName name="UNIFORMANCES3R15C7" localSheetId="101" hidden="1">#REF!</definedName>
    <definedName name="UNIFORMANCES3R15C7" localSheetId="102" hidden="1">#REF!</definedName>
    <definedName name="UNIFORMANCES3R15C7" localSheetId="103" hidden="1">#REF!</definedName>
    <definedName name="UNIFORMANCES3R15C7" localSheetId="97" hidden="1">#REF!</definedName>
    <definedName name="UNIFORMANCES3R15C7" localSheetId="42" hidden="1">#REF!</definedName>
    <definedName name="UNIFORMANCES3R15C7" localSheetId="12" hidden="1">#REF!</definedName>
    <definedName name="UNIFORMANCES3R15C7" localSheetId="73" hidden="1">#REF!</definedName>
    <definedName name="UNIFORMANCES3R15C7" localSheetId="74" hidden="1">#REF!</definedName>
    <definedName name="UNIFORMANCES3R15C7" hidden="1">#REF!</definedName>
    <definedName name="UNIFORMANCES3R15C70" localSheetId="3" hidden="1">#REF!</definedName>
    <definedName name="UNIFORMANCES3R15C70" localSheetId="7" hidden="1">#REF!</definedName>
    <definedName name="UNIFORMANCES3R15C70" localSheetId="9" hidden="1">#REF!</definedName>
    <definedName name="UNIFORMANCES3R15C70" localSheetId="10" hidden="1">#REF!</definedName>
    <definedName name="UNIFORMANCES3R15C70" localSheetId="15" hidden="1">#REF!</definedName>
    <definedName name="UNIFORMANCES3R15C70" localSheetId="18" hidden="1">#REF!</definedName>
    <definedName name="UNIFORMANCES3R15C70" localSheetId="19" hidden="1">#REF!</definedName>
    <definedName name="UNIFORMANCES3R15C70" localSheetId="20" hidden="1">#REF!</definedName>
    <definedName name="UNIFORMANCES3R15C70" localSheetId="23" hidden="1">#REF!</definedName>
    <definedName name="UNIFORMANCES3R15C70" localSheetId="24" hidden="1">#REF!</definedName>
    <definedName name="UNIFORMANCES3R15C70" localSheetId="35" hidden="1">#REF!</definedName>
    <definedName name="UNIFORMANCES3R15C70" localSheetId="58" hidden="1">#REF!</definedName>
    <definedName name="UNIFORMANCES3R15C70" localSheetId="60" hidden="1">#REF!</definedName>
    <definedName name="UNIFORMANCES3R15C70" localSheetId="51" hidden="1">#REF!</definedName>
    <definedName name="UNIFORMANCES3R15C70" localSheetId="54" hidden="1">#REF!</definedName>
    <definedName name="UNIFORMANCES3R15C70" localSheetId="47" hidden="1">#REF!</definedName>
    <definedName name="UNIFORMANCES3R15C70" localSheetId="105" hidden="1">#REF!</definedName>
    <definedName name="UNIFORMANCES3R15C70" localSheetId="104" hidden="1">#REF!</definedName>
    <definedName name="UNIFORMANCES3R15C70" localSheetId="88" hidden="1">#REF!</definedName>
    <definedName name="UNIFORMANCES3R15C70" localSheetId="89" hidden="1">#REF!</definedName>
    <definedName name="UNIFORMANCES3R15C70" localSheetId="87" hidden="1">#REF!</definedName>
    <definedName name="UNIFORMANCES3R15C70" localSheetId="90" hidden="1">#REF!</definedName>
    <definedName name="UNIFORMANCES3R15C70" localSheetId="70" hidden="1">#REF!</definedName>
    <definedName name="UNIFORMANCES3R15C70" localSheetId="65" hidden="1">#REF!</definedName>
    <definedName name="UNIFORMANCES3R15C70" localSheetId="64" hidden="1">#REF!</definedName>
    <definedName name="UNIFORMANCES3R15C70" localSheetId="77" hidden="1">#REF!</definedName>
    <definedName name="UNIFORMANCES3R15C70" localSheetId="49" hidden="1">#REF!</definedName>
    <definedName name="UNIFORMANCES3R15C70" localSheetId="57" hidden="1">#REF!</definedName>
    <definedName name="UNIFORMANCES3R15C70" localSheetId="59" hidden="1">#REF!</definedName>
    <definedName name="UNIFORMANCES3R15C70" localSheetId="40" hidden="1">#REF!</definedName>
    <definedName name="UNIFORMANCES3R15C70" localSheetId="43" hidden="1">#REF!</definedName>
    <definedName name="UNIFORMANCES3R15C70" localSheetId="55" hidden="1">#REF!</definedName>
    <definedName name="UNIFORMANCES3R15C70" localSheetId="13" hidden="1">#REF!</definedName>
    <definedName name="UNIFORMANCES3R15C70" localSheetId="11" hidden="1">#REF!</definedName>
    <definedName name="UNIFORMANCES3R15C70" localSheetId="38" hidden="1">#REF!</definedName>
    <definedName name="UNIFORMANCES3R15C70" localSheetId="41" hidden="1">#REF!</definedName>
    <definedName name="UNIFORMANCES3R15C70" localSheetId="101" hidden="1">#REF!</definedName>
    <definedName name="UNIFORMANCES3R15C70" localSheetId="102" hidden="1">#REF!</definedName>
    <definedName name="UNIFORMANCES3R15C70" localSheetId="103" hidden="1">#REF!</definedName>
    <definedName name="UNIFORMANCES3R15C70" localSheetId="97" hidden="1">#REF!</definedName>
    <definedName name="UNIFORMANCES3R15C70" localSheetId="42" hidden="1">#REF!</definedName>
    <definedName name="UNIFORMANCES3R15C70" localSheetId="12" hidden="1">#REF!</definedName>
    <definedName name="UNIFORMANCES3R15C70" localSheetId="73" hidden="1">#REF!</definedName>
    <definedName name="UNIFORMANCES3R15C70" localSheetId="74" hidden="1">#REF!</definedName>
    <definedName name="UNIFORMANCES3R15C70" hidden="1">#REF!</definedName>
    <definedName name="UNIFORMANCES3R15C8" localSheetId="3" hidden="1">#REF!</definedName>
    <definedName name="UNIFORMANCES3R15C8" localSheetId="7" hidden="1">#REF!</definedName>
    <definedName name="UNIFORMANCES3R15C8" localSheetId="9" hidden="1">#REF!</definedName>
    <definedName name="UNIFORMANCES3R15C8" localSheetId="10" hidden="1">#REF!</definedName>
    <definedName name="UNIFORMANCES3R15C8" localSheetId="15" hidden="1">#REF!</definedName>
    <definedName name="UNIFORMANCES3R15C8" localSheetId="18" hidden="1">#REF!</definedName>
    <definedName name="UNIFORMANCES3R15C8" localSheetId="19" hidden="1">#REF!</definedName>
    <definedName name="UNIFORMANCES3R15C8" localSheetId="20" hidden="1">#REF!</definedName>
    <definedName name="UNIFORMANCES3R15C8" localSheetId="23" hidden="1">#REF!</definedName>
    <definedName name="UNIFORMANCES3R15C8" localSheetId="24" hidden="1">#REF!</definedName>
    <definedName name="UNIFORMANCES3R15C8" localSheetId="35" hidden="1">#REF!</definedName>
    <definedName name="UNIFORMANCES3R15C8" localSheetId="58" hidden="1">#REF!</definedName>
    <definedName name="UNIFORMANCES3R15C8" localSheetId="60" hidden="1">#REF!</definedName>
    <definedName name="UNIFORMANCES3R15C8" localSheetId="51" hidden="1">#REF!</definedName>
    <definedName name="UNIFORMANCES3R15C8" localSheetId="54" hidden="1">#REF!</definedName>
    <definedName name="UNIFORMANCES3R15C8" localSheetId="47" hidden="1">#REF!</definedName>
    <definedName name="UNIFORMANCES3R15C8" localSheetId="105" hidden="1">#REF!</definedName>
    <definedName name="UNIFORMANCES3R15C8" localSheetId="104" hidden="1">#REF!</definedName>
    <definedName name="UNIFORMANCES3R15C8" localSheetId="88" hidden="1">#REF!</definedName>
    <definedName name="UNIFORMANCES3R15C8" localSheetId="89" hidden="1">#REF!</definedName>
    <definedName name="UNIFORMANCES3R15C8" localSheetId="87" hidden="1">#REF!</definedName>
    <definedName name="UNIFORMANCES3R15C8" localSheetId="90" hidden="1">#REF!</definedName>
    <definedName name="UNIFORMANCES3R15C8" localSheetId="70" hidden="1">#REF!</definedName>
    <definedName name="UNIFORMANCES3R15C8" localSheetId="65" hidden="1">#REF!</definedName>
    <definedName name="UNIFORMANCES3R15C8" localSheetId="64" hidden="1">#REF!</definedName>
    <definedName name="UNIFORMANCES3R15C8" localSheetId="77" hidden="1">#REF!</definedName>
    <definedName name="UNIFORMANCES3R15C8" localSheetId="49" hidden="1">#REF!</definedName>
    <definedName name="UNIFORMANCES3R15C8" localSheetId="57" hidden="1">#REF!</definedName>
    <definedName name="UNIFORMANCES3R15C8" localSheetId="59" hidden="1">#REF!</definedName>
    <definedName name="UNIFORMANCES3R15C8" localSheetId="40" hidden="1">#REF!</definedName>
    <definedName name="UNIFORMANCES3R15C8" localSheetId="43" hidden="1">#REF!</definedName>
    <definedName name="UNIFORMANCES3R15C8" localSheetId="55" hidden="1">#REF!</definedName>
    <definedName name="UNIFORMANCES3R15C8" localSheetId="13" hidden="1">#REF!</definedName>
    <definedName name="UNIFORMANCES3R15C8" localSheetId="11" hidden="1">#REF!</definedName>
    <definedName name="UNIFORMANCES3R15C8" localSheetId="38" hidden="1">#REF!</definedName>
    <definedName name="UNIFORMANCES3R15C8" localSheetId="41" hidden="1">#REF!</definedName>
    <definedName name="UNIFORMANCES3R15C8" localSheetId="101" hidden="1">#REF!</definedName>
    <definedName name="UNIFORMANCES3R15C8" localSheetId="102" hidden="1">#REF!</definedName>
    <definedName name="UNIFORMANCES3R15C8" localSheetId="103" hidden="1">#REF!</definedName>
    <definedName name="UNIFORMANCES3R15C8" localSheetId="97" hidden="1">#REF!</definedName>
    <definedName name="UNIFORMANCES3R15C8" localSheetId="42" hidden="1">#REF!</definedName>
    <definedName name="UNIFORMANCES3R15C8" localSheetId="12" hidden="1">#REF!</definedName>
    <definedName name="UNIFORMANCES3R15C8" localSheetId="73" hidden="1">#REF!</definedName>
    <definedName name="UNIFORMANCES3R15C8" localSheetId="74" hidden="1">#REF!</definedName>
    <definedName name="UNIFORMANCES3R15C8" hidden="1">#REF!</definedName>
    <definedName name="UNIFORMANCES3R15C9" localSheetId="3" hidden="1">#REF!</definedName>
    <definedName name="UNIFORMANCES3R15C9" localSheetId="7" hidden="1">#REF!</definedName>
    <definedName name="UNIFORMANCES3R15C9" localSheetId="9" hidden="1">#REF!</definedName>
    <definedName name="UNIFORMANCES3R15C9" localSheetId="10" hidden="1">#REF!</definedName>
    <definedName name="UNIFORMANCES3R15C9" localSheetId="15" hidden="1">#REF!</definedName>
    <definedName name="UNIFORMANCES3R15C9" localSheetId="18" hidden="1">#REF!</definedName>
    <definedName name="UNIFORMANCES3R15C9" localSheetId="19" hidden="1">#REF!</definedName>
    <definedName name="UNIFORMANCES3R15C9" localSheetId="20" hidden="1">#REF!</definedName>
    <definedName name="UNIFORMANCES3R15C9" localSheetId="23" hidden="1">#REF!</definedName>
    <definedName name="UNIFORMANCES3R15C9" localSheetId="24" hidden="1">#REF!</definedName>
    <definedName name="UNIFORMANCES3R15C9" localSheetId="35" hidden="1">#REF!</definedName>
    <definedName name="UNIFORMANCES3R15C9" localSheetId="58" hidden="1">#REF!</definedName>
    <definedName name="UNIFORMANCES3R15C9" localSheetId="60" hidden="1">#REF!</definedName>
    <definedName name="UNIFORMANCES3R15C9" localSheetId="51" hidden="1">#REF!</definedName>
    <definedName name="UNIFORMANCES3R15C9" localSheetId="54" hidden="1">#REF!</definedName>
    <definedName name="UNIFORMANCES3R15C9" localSheetId="47" hidden="1">#REF!</definedName>
    <definedName name="UNIFORMANCES3R15C9" localSheetId="105" hidden="1">#REF!</definedName>
    <definedName name="UNIFORMANCES3R15C9" localSheetId="104" hidden="1">#REF!</definedName>
    <definedName name="UNIFORMANCES3R15C9" localSheetId="88" hidden="1">#REF!</definedName>
    <definedName name="UNIFORMANCES3R15C9" localSheetId="89" hidden="1">#REF!</definedName>
    <definedName name="UNIFORMANCES3R15C9" localSheetId="87" hidden="1">#REF!</definedName>
    <definedName name="UNIFORMANCES3R15C9" localSheetId="90" hidden="1">#REF!</definedName>
    <definedName name="UNIFORMANCES3R15C9" localSheetId="70" hidden="1">#REF!</definedName>
    <definedName name="UNIFORMANCES3R15C9" localSheetId="65" hidden="1">#REF!</definedName>
    <definedName name="UNIFORMANCES3R15C9" localSheetId="64" hidden="1">#REF!</definedName>
    <definedName name="UNIFORMANCES3R15C9" localSheetId="77" hidden="1">#REF!</definedName>
    <definedName name="UNIFORMANCES3R15C9" localSheetId="49" hidden="1">#REF!</definedName>
    <definedName name="UNIFORMANCES3R15C9" localSheetId="57" hidden="1">#REF!</definedName>
    <definedName name="UNIFORMANCES3R15C9" localSheetId="59" hidden="1">#REF!</definedName>
    <definedName name="UNIFORMANCES3R15C9" localSheetId="40" hidden="1">#REF!</definedName>
    <definedName name="UNIFORMANCES3R15C9" localSheetId="43" hidden="1">#REF!</definedName>
    <definedName name="UNIFORMANCES3R15C9" localSheetId="55" hidden="1">#REF!</definedName>
    <definedName name="UNIFORMANCES3R15C9" localSheetId="13" hidden="1">#REF!</definedName>
    <definedName name="UNIFORMANCES3R15C9" localSheetId="11" hidden="1">#REF!</definedName>
    <definedName name="UNIFORMANCES3R15C9" localSheetId="38" hidden="1">#REF!</definedName>
    <definedName name="UNIFORMANCES3R15C9" localSheetId="41" hidden="1">#REF!</definedName>
    <definedName name="UNIFORMANCES3R15C9" localSheetId="101" hidden="1">#REF!</definedName>
    <definedName name="UNIFORMANCES3R15C9" localSheetId="102" hidden="1">#REF!</definedName>
    <definedName name="UNIFORMANCES3R15C9" localSheetId="103" hidden="1">#REF!</definedName>
    <definedName name="UNIFORMANCES3R15C9" localSheetId="97" hidden="1">#REF!</definedName>
    <definedName name="UNIFORMANCES3R15C9" localSheetId="42" hidden="1">#REF!</definedName>
    <definedName name="UNIFORMANCES3R15C9" localSheetId="12" hidden="1">#REF!</definedName>
    <definedName name="UNIFORMANCES3R15C9" localSheetId="73" hidden="1">#REF!</definedName>
    <definedName name="UNIFORMANCES3R15C9" localSheetId="74" hidden="1">#REF!</definedName>
    <definedName name="UNIFORMANCES3R15C9" hidden="1">#REF!</definedName>
    <definedName name="UNIFORMANCES4R5C11" localSheetId="3" hidden="1">#REF!</definedName>
    <definedName name="UNIFORMANCES4R5C11" localSheetId="7" hidden="1">#REF!</definedName>
    <definedName name="UNIFORMANCES4R5C11" localSheetId="9" hidden="1">#REF!</definedName>
    <definedName name="UNIFORMANCES4R5C11" localSheetId="10" hidden="1">#REF!</definedName>
    <definedName name="UNIFORMANCES4R5C11" localSheetId="15" hidden="1">#REF!</definedName>
    <definedName name="UNIFORMANCES4R5C11" localSheetId="18" hidden="1">#REF!</definedName>
    <definedName name="UNIFORMANCES4R5C11" localSheetId="19" hidden="1">#REF!</definedName>
    <definedName name="UNIFORMANCES4R5C11" localSheetId="20" hidden="1">#REF!</definedName>
    <definedName name="UNIFORMANCES4R5C11" localSheetId="23" hidden="1">#REF!</definedName>
    <definedName name="UNIFORMANCES4R5C11" localSheetId="24" hidden="1">#REF!</definedName>
    <definedName name="UNIFORMANCES4R5C11" localSheetId="35" hidden="1">#REF!</definedName>
    <definedName name="UNIFORMANCES4R5C11" localSheetId="58" hidden="1">#REF!</definedName>
    <definedName name="UNIFORMANCES4R5C11" localSheetId="60" hidden="1">#REF!</definedName>
    <definedName name="UNIFORMANCES4R5C11" localSheetId="51" hidden="1">#REF!</definedName>
    <definedName name="UNIFORMANCES4R5C11" localSheetId="54" hidden="1">#REF!</definedName>
    <definedName name="UNIFORMANCES4R5C11" localSheetId="47" hidden="1">#REF!</definedName>
    <definedName name="UNIFORMANCES4R5C11" localSheetId="105" hidden="1">#REF!</definedName>
    <definedName name="UNIFORMANCES4R5C11" localSheetId="104" hidden="1">#REF!</definedName>
    <definedName name="UNIFORMANCES4R5C11" localSheetId="88" hidden="1">#REF!</definedName>
    <definedName name="UNIFORMANCES4R5C11" localSheetId="89" hidden="1">#REF!</definedName>
    <definedName name="UNIFORMANCES4R5C11" localSheetId="87" hidden="1">#REF!</definedName>
    <definedName name="UNIFORMANCES4R5C11" localSheetId="90" hidden="1">#REF!</definedName>
    <definedName name="UNIFORMANCES4R5C11" localSheetId="70" hidden="1">#REF!</definedName>
    <definedName name="UNIFORMANCES4R5C11" localSheetId="65" hidden="1">#REF!</definedName>
    <definedName name="UNIFORMANCES4R5C11" localSheetId="64" hidden="1">#REF!</definedName>
    <definedName name="UNIFORMANCES4R5C11" localSheetId="77" hidden="1">#REF!</definedName>
    <definedName name="UNIFORMANCES4R5C11" localSheetId="49" hidden="1">#REF!</definedName>
    <definedName name="UNIFORMANCES4R5C11" localSheetId="57" hidden="1">#REF!</definedName>
    <definedName name="UNIFORMANCES4R5C11" localSheetId="59" hidden="1">#REF!</definedName>
    <definedName name="UNIFORMANCES4R5C11" localSheetId="40" hidden="1">#REF!</definedName>
    <definedName name="UNIFORMANCES4R5C11" localSheetId="43" hidden="1">#REF!</definedName>
    <definedName name="UNIFORMANCES4R5C11" localSheetId="55" hidden="1">#REF!</definedName>
    <definedName name="UNIFORMANCES4R5C11" localSheetId="13" hidden="1">#REF!</definedName>
    <definedName name="UNIFORMANCES4R5C11" localSheetId="11" hidden="1">#REF!</definedName>
    <definedName name="UNIFORMANCES4R5C11" localSheetId="38" hidden="1">#REF!</definedName>
    <definedName name="UNIFORMANCES4R5C11" localSheetId="41" hidden="1">#REF!</definedName>
    <definedName name="UNIFORMANCES4R5C11" localSheetId="101" hidden="1">#REF!</definedName>
    <definedName name="UNIFORMANCES4R5C11" localSheetId="102" hidden="1">#REF!</definedName>
    <definedName name="UNIFORMANCES4R5C11" localSheetId="103" hidden="1">#REF!</definedName>
    <definedName name="UNIFORMANCES4R5C11" localSheetId="97" hidden="1">#REF!</definedName>
    <definedName name="UNIFORMANCES4R5C11" localSheetId="42" hidden="1">#REF!</definedName>
    <definedName name="UNIFORMANCES4R5C11" localSheetId="12" hidden="1">#REF!</definedName>
    <definedName name="UNIFORMANCES4R5C11" localSheetId="73" hidden="1">#REF!</definedName>
    <definedName name="UNIFORMANCES4R5C11" localSheetId="74" hidden="1">#REF!</definedName>
    <definedName name="UNIFORMANCES4R5C11" hidden="1">#REF!</definedName>
    <definedName name="UNIFORMANCES4R5C22" localSheetId="3" hidden="1">#REF!</definedName>
    <definedName name="UNIFORMANCES4R5C22" localSheetId="7" hidden="1">#REF!</definedName>
    <definedName name="UNIFORMANCES4R5C22" localSheetId="9" hidden="1">#REF!</definedName>
    <definedName name="UNIFORMANCES4R5C22" localSheetId="10" hidden="1">#REF!</definedName>
    <definedName name="UNIFORMANCES4R5C22" localSheetId="15" hidden="1">#REF!</definedName>
    <definedName name="UNIFORMANCES4R5C22" localSheetId="18" hidden="1">#REF!</definedName>
    <definedName name="UNIFORMANCES4R5C22" localSheetId="19" hidden="1">#REF!</definedName>
    <definedName name="UNIFORMANCES4R5C22" localSheetId="20" hidden="1">#REF!</definedName>
    <definedName name="UNIFORMANCES4R5C22" localSheetId="23" hidden="1">#REF!</definedName>
    <definedName name="UNIFORMANCES4R5C22" localSheetId="24" hidden="1">#REF!</definedName>
    <definedName name="UNIFORMANCES4R5C22" localSheetId="35" hidden="1">#REF!</definedName>
    <definedName name="UNIFORMANCES4R5C22" localSheetId="58" hidden="1">#REF!</definedName>
    <definedName name="UNIFORMANCES4R5C22" localSheetId="60" hidden="1">#REF!</definedName>
    <definedName name="UNIFORMANCES4R5C22" localSheetId="51" hidden="1">#REF!</definedName>
    <definedName name="UNIFORMANCES4R5C22" localSheetId="54" hidden="1">#REF!</definedName>
    <definedName name="UNIFORMANCES4R5C22" localSheetId="47" hidden="1">#REF!</definedName>
    <definedName name="UNIFORMANCES4R5C22" localSheetId="105" hidden="1">#REF!</definedName>
    <definedName name="UNIFORMANCES4R5C22" localSheetId="104" hidden="1">#REF!</definedName>
    <definedName name="UNIFORMANCES4R5C22" localSheetId="88" hidden="1">#REF!</definedName>
    <definedName name="UNIFORMANCES4R5C22" localSheetId="89" hidden="1">#REF!</definedName>
    <definedName name="UNIFORMANCES4R5C22" localSheetId="87" hidden="1">#REF!</definedName>
    <definedName name="UNIFORMANCES4R5C22" localSheetId="90" hidden="1">#REF!</definedName>
    <definedName name="UNIFORMANCES4R5C22" localSheetId="70" hidden="1">#REF!</definedName>
    <definedName name="UNIFORMANCES4R5C22" localSheetId="65" hidden="1">#REF!</definedName>
    <definedName name="UNIFORMANCES4R5C22" localSheetId="64" hidden="1">#REF!</definedName>
    <definedName name="UNIFORMANCES4R5C22" localSheetId="77" hidden="1">#REF!</definedName>
    <definedName name="UNIFORMANCES4R5C22" localSheetId="49" hidden="1">#REF!</definedName>
    <definedName name="UNIFORMANCES4R5C22" localSheetId="57" hidden="1">#REF!</definedName>
    <definedName name="UNIFORMANCES4R5C22" localSheetId="59" hidden="1">#REF!</definedName>
    <definedName name="UNIFORMANCES4R5C22" localSheetId="40" hidden="1">#REF!</definedName>
    <definedName name="UNIFORMANCES4R5C22" localSheetId="43" hidden="1">#REF!</definedName>
    <definedName name="UNIFORMANCES4R5C22" localSheetId="55" hidden="1">#REF!</definedName>
    <definedName name="UNIFORMANCES4R5C22" localSheetId="13" hidden="1">#REF!</definedName>
    <definedName name="UNIFORMANCES4R5C22" localSheetId="11" hidden="1">#REF!</definedName>
    <definedName name="UNIFORMANCES4R5C22" localSheetId="38" hidden="1">#REF!</definedName>
    <definedName name="UNIFORMANCES4R5C22" localSheetId="41" hidden="1">#REF!</definedName>
    <definedName name="UNIFORMANCES4R5C22" localSheetId="101" hidden="1">#REF!</definedName>
    <definedName name="UNIFORMANCES4R5C22" localSheetId="102" hidden="1">#REF!</definedName>
    <definedName name="UNIFORMANCES4R5C22" localSheetId="103" hidden="1">#REF!</definedName>
    <definedName name="UNIFORMANCES4R5C22" localSheetId="97" hidden="1">#REF!</definedName>
    <definedName name="UNIFORMANCES4R5C22" localSheetId="42" hidden="1">#REF!</definedName>
    <definedName name="UNIFORMANCES4R5C22" localSheetId="12" hidden="1">#REF!</definedName>
    <definedName name="UNIFORMANCES4R5C22" localSheetId="73" hidden="1">#REF!</definedName>
    <definedName name="UNIFORMANCES4R5C22" localSheetId="74" hidden="1">#REF!</definedName>
    <definedName name="UNIFORMANCES4R5C22" hidden="1">#REF!</definedName>
    <definedName name="UNIFORMANCES6R355C1" localSheetId="3" hidden="1">#REF!</definedName>
    <definedName name="UNIFORMANCES6R355C1" localSheetId="7" hidden="1">#REF!</definedName>
    <definedName name="UNIFORMANCES6R355C1" localSheetId="9" hidden="1">#REF!</definedName>
    <definedName name="UNIFORMANCES6R355C1" localSheetId="10" hidden="1">#REF!</definedName>
    <definedName name="UNIFORMANCES6R355C1" localSheetId="15" hidden="1">#REF!</definedName>
    <definedName name="UNIFORMANCES6R355C1" localSheetId="18" hidden="1">#REF!</definedName>
    <definedName name="UNIFORMANCES6R355C1" localSheetId="19" hidden="1">#REF!</definedName>
    <definedName name="UNIFORMANCES6R355C1" localSheetId="20" hidden="1">#REF!</definedName>
    <definedName name="UNIFORMANCES6R355C1" localSheetId="23" hidden="1">#REF!</definedName>
    <definedName name="UNIFORMANCES6R355C1" localSheetId="24" hidden="1">#REF!</definedName>
    <definedName name="UNIFORMANCES6R355C1" localSheetId="35" hidden="1">#REF!</definedName>
    <definedName name="UNIFORMANCES6R355C1" localSheetId="58" hidden="1">#REF!</definedName>
    <definedName name="UNIFORMANCES6R355C1" localSheetId="60" hidden="1">#REF!</definedName>
    <definedName name="UNIFORMANCES6R355C1" localSheetId="51" hidden="1">#REF!</definedName>
    <definedName name="UNIFORMANCES6R355C1" localSheetId="54" hidden="1">#REF!</definedName>
    <definedName name="UNIFORMANCES6R355C1" localSheetId="47" hidden="1">#REF!</definedName>
    <definedName name="UNIFORMANCES6R355C1" localSheetId="105" hidden="1">#REF!</definedName>
    <definedName name="UNIFORMANCES6R355C1" localSheetId="104" hidden="1">#REF!</definedName>
    <definedName name="UNIFORMANCES6R355C1" localSheetId="88" hidden="1">#REF!</definedName>
    <definedName name="UNIFORMANCES6R355C1" localSheetId="89" hidden="1">#REF!</definedName>
    <definedName name="UNIFORMANCES6R355C1" localSheetId="87" hidden="1">#REF!</definedName>
    <definedName name="UNIFORMANCES6R355C1" localSheetId="90" hidden="1">#REF!</definedName>
    <definedName name="UNIFORMANCES6R355C1" localSheetId="70" hidden="1">#REF!</definedName>
    <definedName name="UNIFORMANCES6R355C1" localSheetId="63" hidden="1">#REF!</definedName>
    <definedName name="UNIFORMANCES6R355C1" localSheetId="65" hidden="1">#REF!</definedName>
    <definedName name="UNIFORMANCES6R355C1" localSheetId="64" hidden="1">#REF!</definedName>
    <definedName name="UNIFORMANCES6R355C1" localSheetId="77" hidden="1">#REF!</definedName>
    <definedName name="UNIFORMANCES6R355C1" localSheetId="49" hidden="1">#REF!</definedName>
    <definedName name="UNIFORMANCES6R355C1" localSheetId="48" hidden="1">#REF!</definedName>
    <definedName name="UNIFORMANCES6R355C1" localSheetId="57" hidden="1">#REF!</definedName>
    <definedName name="UNIFORMANCES6R355C1" localSheetId="59" hidden="1">#REF!</definedName>
    <definedName name="UNIFORMANCES6R355C1" localSheetId="52" hidden="1">#REF!</definedName>
    <definedName name="UNIFORMANCES6R355C1" localSheetId="67" hidden="1">#REF!</definedName>
    <definedName name="UNIFORMANCES6R355C1" localSheetId="80" hidden="1">#REF!</definedName>
    <definedName name="UNIFORMANCES6R355C1" localSheetId="40" hidden="1">#REF!</definedName>
    <definedName name="UNIFORMANCES6R355C1" localSheetId="43" hidden="1">#REF!</definedName>
    <definedName name="UNIFORMANCES6R355C1" localSheetId="55" hidden="1">#REF!</definedName>
    <definedName name="UNIFORMANCES6R355C1" localSheetId="81" hidden="1">#REF!</definedName>
    <definedName name="UNIFORMANCES6R355C1" localSheetId="53" hidden="1">#REF!</definedName>
    <definedName name="UNIFORMANCES6R355C1" localSheetId="13" hidden="1">#REF!</definedName>
    <definedName name="UNIFORMANCES6R355C1" localSheetId="11" hidden="1">#REF!</definedName>
    <definedName name="UNIFORMANCES6R355C1" localSheetId="38" hidden="1">#REF!</definedName>
    <definedName name="UNIFORMANCES6R355C1" localSheetId="41" hidden="1">#REF!</definedName>
    <definedName name="UNIFORMANCES6R355C1" localSheetId="101" hidden="1">#REF!</definedName>
    <definedName name="UNIFORMANCES6R355C1" localSheetId="102" hidden="1">#REF!</definedName>
    <definedName name="UNIFORMANCES6R355C1" localSheetId="103" hidden="1">#REF!</definedName>
    <definedName name="UNIFORMANCES6R355C1" localSheetId="97" hidden="1">#REF!</definedName>
    <definedName name="UNIFORMANCES6R355C1" localSheetId="42" hidden="1">#REF!</definedName>
    <definedName name="UNIFORMANCES6R355C1" localSheetId="12" hidden="1">#REF!</definedName>
    <definedName name="UNIFORMANCES6R355C1" localSheetId="73" hidden="1">#REF!</definedName>
    <definedName name="UNIFORMANCES6R355C1" localSheetId="74" hidden="1">#REF!</definedName>
    <definedName name="UNIFORMANCES6R355C1" hidden="1">#REF!</definedName>
    <definedName name="UNIFORMANCES7R375C1" localSheetId="3" hidden="1">#REF!</definedName>
    <definedName name="UNIFORMANCES7R375C1" localSheetId="7" hidden="1">#REF!</definedName>
    <definedName name="UNIFORMANCES7R375C1" localSheetId="9" hidden="1">#REF!</definedName>
    <definedName name="UNIFORMANCES7R375C1" localSheetId="10" hidden="1">#REF!</definedName>
    <definedName name="UNIFORMANCES7R375C1" localSheetId="15" hidden="1">#REF!</definedName>
    <definedName name="UNIFORMANCES7R375C1" localSheetId="18" hidden="1">#REF!</definedName>
    <definedName name="UNIFORMANCES7R375C1" localSheetId="19" hidden="1">#REF!</definedName>
    <definedName name="UNIFORMANCES7R375C1" localSheetId="20" hidden="1">#REF!</definedName>
    <definedName name="UNIFORMANCES7R375C1" localSheetId="23" hidden="1">#REF!</definedName>
    <definedName name="UNIFORMANCES7R375C1" localSheetId="24" hidden="1">#REF!</definedName>
    <definedName name="UNIFORMANCES7R375C1" localSheetId="35" hidden="1">#REF!</definedName>
    <definedName name="UNIFORMANCES7R375C1" localSheetId="58" hidden="1">#REF!</definedName>
    <definedName name="UNIFORMANCES7R375C1" localSheetId="60" hidden="1">#REF!</definedName>
    <definedName name="UNIFORMANCES7R375C1" localSheetId="51" hidden="1">#REF!</definedName>
    <definedName name="UNIFORMANCES7R375C1" localSheetId="54" hidden="1">#REF!</definedName>
    <definedName name="UNIFORMANCES7R375C1" localSheetId="47" hidden="1">#REF!</definedName>
    <definedName name="UNIFORMANCES7R375C1" localSheetId="105" hidden="1">#REF!</definedName>
    <definedName name="UNIFORMANCES7R375C1" localSheetId="104" hidden="1">#REF!</definedName>
    <definedName name="UNIFORMANCES7R375C1" localSheetId="88" hidden="1">#REF!</definedName>
    <definedName name="UNIFORMANCES7R375C1" localSheetId="89" hidden="1">#REF!</definedName>
    <definedName name="UNIFORMANCES7R375C1" localSheetId="87" hidden="1">#REF!</definedName>
    <definedName name="UNIFORMANCES7R375C1" localSheetId="90" hidden="1">#REF!</definedName>
    <definedName name="UNIFORMANCES7R375C1" localSheetId="70" hidden="1">#REF!</definedName>
    <definedName name="UNIFORMANCES7R375C1" localSheetId="63" hidden="1">#REF!</definedName>
    <definedName name="UNIFORMANCES7R375C1" localSheetId="65" hidden="1">#REF!</definedName>
    <definedName name="UNIFORMANCES7R375C1" localSheetId="64" hidden="1">#REF!</definedName>
    <definedName name="UNIFORMANCES7R375C1" localSheetId="77" hidden="1">#REF!</definedName>
    <definedName name="UNIFORMANCES7R375C1" localSheetId="49" hidden="1">#REF!</definedName>
    <definedName name="UNIFORMANCES7R375C1" localSheetId="48" hidden="1">#REF!</definedName>
    <definedName name="UNIFORMANCES7R375C1" localSheetId="57" hidden="1">#REF!</definedName>
    <definedName name="UNIFORMANCES7R375C1" localSheetId="59" hidden="1">#REF!</definedName>
    <definedName name="UNIFORMANCES7R375C1" localSheetId="52" hidden="1">#REF!</definedName>
    <definedName name="UNIFORMANCES7R375C1" localSheetId="67" hidden="1">#REF!</definedName>
    <definedName name="UNIFORMANCES7R375C1" localSheetId="80" hidden="1">#REF!</definedName>
    <definedName name="UNIFORMANCES7R375C1" localSheetId="40" hidden="1">#REF!</definedName>
    <definedName name="UNIFORMANCES7R375C1" localSheetId="43" hidden="1">#REF!</definedName>
    <definedName name="UNIFORMANCES7R375C1" localSheetId="55" hidden="1">#REF!</definedName>
    <definedName name="UNIFORMANCES7R375C1" localSheetId="81" hidden="1">#REF!</definedName>
    <definedName name="UNIFORMANCES7R375C1" localSheetId="53" hidden="1">#REF!</definedName>
    <definedName name="UNIFORMANCES7R375C1" localSheetId="13" hidden="1">#REF!</definedName>
    <definedName name="UNIFORMANCES7R375C1" localSheetId="11" hidden="1">#REF!</definedName>
    <definedName name="UNIFORMANCES7R375C1" localSheetId="38" hidden="1">#REF!</definedName>
    <definedName name="UNIFORMANCES7R375C1" localSheetId="41" hidden="1">#REF!</definedName>
    <definedName name="UNIFORMANCES7R375C1" localSheetId="101" hidden="1">#REF!</definedName>
    <definedName name="UNIFORMANCES7R375C1" localSheetId="102" hidden="1">#REF!</definedName>
    <definedName name="UNIFORMANCES7R375C1" localSheetId="103" hidden="1">#REF!</definedName>
    <definedName name="UNIFORMANCES7R375C1" localSheetId="97" hidden="1">#REF!</definedName>
    <definedName name="UNIFORMANCES7R375C1" localSheetId="42" hidden="1">#REF!</definedName>
    <definedName name="UNIFORMANCES7R375C1" localSheetId="12" hidden="1">#REF!</definedName>
    <definedName name="UNIFORMANCES7R375C1" localSheetId="73" hidden="1">#REF!</definedName>
    <definedName name="UNIFORMANCES7R375C1" localSheetId="74" hidden="1">#REF!</definedName>
    <definedName name="UNIFORMANCES7R375C1" hidden="1">#REF!</definedName>
    <definedName name="UNIFORMANCES7R415C1" localSheetId="3" hidden="1">#REF!</definedName>
    <definedName name="UNIFORMANCES7R415C1" localSheetId="7" hidden="1">#REF!</definedName>
    <definedName name="UNIFORMANCES7R415C1" localSheetId="9" hidden="1">#REF!</definedName>
    <definedName name="UNIFORMANCES7R415C1" localSheetId="10" hidden="1">#REF!</definedName>
    <definedName name="UNIFORMANCES7R415C1" localSheetId="15" hidden="1">#REF!</definedName>
    <definedName name="UNIFORMANCES7R415C1" localSheetId="18" hidden="1">#REF!</definedName>
    <definedName name="UNIFORMANCES7R415C1" localSheetId="19" hidden="1">#REF!</definedName>
    <definedName name="UNIFORMANCES7R415C1" localSheetId="20" hidden="1">#REF!</definedName>
    <definedName name="UNIFORMANCES7R415C1" localSheetId="23" hidden="1">#REF!</definedName>
    <definedName name="UNIFORMANCES7R415C1" localSheetId="24" hidden="1">#REF!</definedName>
    <definedName name="UNIFORMANCES7R415C1" localSheetId="35" hidden="1">#REF!</definedName>
    <definedName name="UNIFORMANCES7R415C1" localSheetId="58" hidden="1">#REF!</definedName>
    <definedName name="UNIFORMANCES7R415C1" localSheetId="60" hidden="1">#REF!</definedName>
    <definedName name="UNIFORMANCES7R415C1" localSheetId="51" hidden="1">#REF!</definedName>
    <definedName name="UNIFORMANCES7R415C1" localSheetId="54" hidden="1">#REF!</definedName>
    <definedName name="UNIFORMANCES7R415C1" localSheetId="47" hidden="1">#REF!</definedName>
    <definedName name="UNIFORMANCES7R415C1" localSheetId="105" hidden="1">#REF!</definedName>
    <definedName name="UNIFORMANCES7R415C1" localSheetId="104" hidden="1">#REF!</definedName>
    <definedName name="UNIFORMANCES7R415C1" localSheetId="88" hidden="1">#REF!</definedName>
    <definedName name="UNIFORMANCES7R415C1" localSheetId="89" hidden="1">#REF!</definedName>
    <definedName name="UNIFORMANCES7R415C1" localSheetId="87" hidden="1">#REF!</definedName>
    <definedName name="UNIFORMANCES7R415C1" localSheetId="90" hidden="1">#REF!</definedName>
    <definedName name="UNIFORMANCES7R415C1" localSheetId="70" hidden="1">#REF!</definedName>
    <definedName name="UNIFORMANCES7R415C1" localSheetId="63" hidden="1">#REF!</definedName>
    <definedName name="UNIFORMANCES7R415C1" localSheetId="65" hidden="1">#REF!</definedName>
    <definedName name="UNIFORMANCES7R415C1" localSheetId="64" hidden="1">#REF!</definedName>
    <definedName name="UNIFORMANCES7R415C1" localSheetId="77" hidden="1">#REF!</definedName>
    <definedName name="UNIFORMANCES7R415C1" localSheetId="49" hidden="1">#REF!</definedName>
    <definedName name="UNIFORMANCES7R415C1" localSheetId="48" hidden="1">#REF!</definedName>
    <definedName name="UNIFORMANCES7R415C1" localSheetId="57" hidden="1">#REF!</definedName>
    <definedName name="UNIFORMANCES7R415C1" localSheetId="59" hidden="1">#REF!</definedName>
    <definedName name="UNIFORMANCES7R415C1" localSheetId="52" hidden="1">#REF!</definedName>
    <definedName name="UNIFORMANCES7R415C1" localSheetId="67" hidden="1">#REF!</definedName>
    <definedName name="UNIFORMANCES7R415C1" localSheetId="80" hidden="1">#REF!</definedName>
    <definedName name="UNIFORMANCES7R415C1" localSheetId="40" hidden="1">#REF!</definedName>
    <definedName name="UNIFORMANCES7R415C1" localSheetId="43" hidden="1">#REF!</definedName>
    <definedName name="UNIFORMANCES7R415C1" localSheetId="55" hidden="1">#REF!</definedName>
    <definedName name="UNIFORMANCES7R415C1" localSheetId="81" hidden="1">#REF!</definedName>
    <definedName name="UNIFORMANCES7R415C1" localSheetId="53" hidden="1">#REF!</definedName>
    <definedName name="UNIFORMANCES7R415C1" localSheetId="13" hidden="1">#REF!</definedName>
    <definedName name="UNIFORMANCES7R415C1" localSheetId="11" hidden="1">#REF!</definedName>
    <definedName name="UNIFORMANCES7R415C1" localSheetId="38" hidden="1">#REF!</definedName>
    <definedName name="UNIFORMANCES7R415C1" localSheetId="41" hidden="1">#REF!</definedName>
    <definedName name="UNIFORMANCES7R415C1" localSheetId="101" hidden="1">#REF!</definedName>
    <definedName name="UNIFORMANCES7R415C1" localSheetId="102" hidden="1">#REF!</definedName>
    <definedName name="UNIFORMANCES7R415C1" localSheetId="103" hidden="1">#REF!</definedName>
    <definedName name="UNIFORMANCES7R415C1" localSheetId="97" hidden="1">#REF!</definedName>
    <definedName name="UNIFORMANCES7R415C1" localSheetId="42" hidden="1">#REF!</definedName>
    <definedName name="UNIFORMANCES7R415C1" localSheetId="12" hidden="1">#REF!</definedName>
    <definedName name="UNIFORMANCES7R415C1" localSheetId="73" hidden="1">#REF!</definedName>
    <definedName name="UNIFORMANCES7R415C1" localSheetId="74" hidden="1">#REF!</definedName>
    <definedName name="UNIFORMANCES7R415C1" hidden="1">#REF!</definedName>
    <definedName name="UNIFORMANCES7R463C1" localSheetId="3" hidden="1">#REF!</definedName>
    <definedName name="UNIFORMANCES7R463C1" localSheetId="7" hidden="1">#REF!</definedName>
    <definedName name="UNIFORMANCES7R463C1" localSheetId="9" hidden="1">#REF!</definedName>
    <definedName name="UNIFORMANCES7R463C1" localSheetId="10" hidden="1">#REF!</definedName>
    <definedName name="UNIFORMANCES7R463C1" localSheetId="15" hidden="1">#REF!</definedName>
    <definedName name="UNIFORMANCES7R463C1" localSheetId="18" hidden="1">#REF!</definedName>
    <definedName name="UNIFORMANCES7R463C1" localSheetId="19" hidden="1">#REF!</definedName>
    <definedName name="UNIFORMANCES7R463C1" localSheetId="20" hidden="1">#REF!</definedName>
    <definedName name="UNIFORMANCES7R463C1" localSheetId="23" hidden="1">#REF!</definedName>
    <definedName name="UNIFORMANCES7R463C1" localSheetId="24" hidden="1">#REF!</definedName>
    <definedName name="UNIFORMANCES7R463C1" localSheetId="35" hidden="1">#REF!</definedName>
    <definedName name="UNIFORMANCES7R463C1" localSheetId="58" hidden="1">#REF!</definedName>
    <definedName name="UNIFORMANCES7R463C1" localSheetId="60" hidden="1">#REF!</definedName>
    <definedName name="UNIFORMANCES7R463C1" localSheetId="51" hidden="1">#REF!</definedName>
    <definedName name="UNIFORMANCES7R463C1" localSheetId="54" hidden="1">#REF!</definedName>
    <definedName name="UNIFORMANCES7R463C1" localSheetId="47" hidden="1">#REF!</definedName>
    <definedName name="UNIFORMANCES7R463C1" localSheetId="105" hidden="1">#REF!</definedName>
    <definedName name="UNIFORMANCES7R463C1" localSheetId="104" hidden="1">#REF!</definedName>
    <definedName name="UNIFORMANCES7R463C1" localSheetId="88" hidden="1">#REF!</definedName>
    <definedName name="UNIFORMANCES7R463C1" localSheetId="89" hidden="1">#REF!</definedName>
    <definedName name="UNIFORMANCES7R463C1" localSheetId="87" hidden="1">#REF!</definedName>
    <definedName name="UNIFORMANCES7R463C1" localSheetId="90" hidden="1">#REF!</definedName>
    <definedName name="UNIFORMANCES7R463C1" localSheetId="70" hidden="1">#REF!</definedName>
    <definedName name="UNIFORMANCES7R463C1" localSheetId="63" hidden="1">#REF!</definedName>
    <definedName name="UNIFORMANCES7R463C1" localSheetId="65" hidden="1">#REF!</definedName>
    <definedName name="UNIFORMANCES7R463C1" localSheetId="64" hidden="1">#REF!</definedName>
    <definedName name="UNIFORMANCES7R463C1" localSheetId="77" hidden="1">#REF!</definedName>
    <definedName name="UNIFORMANCES7R463C1" localSheetId="49" hidden="1">#REF!</definedName>
    <definedName name="UNIFORMANCES7R463C1" localSheetId="48" hidden="1">#REF!</definedName>
    <definedName name="UNIFORMANCES7R463C1" localSheetId="57" hidden="1">#REF!</definedName>
    <definedName name="UNIFORMANCES7R463C1" localSheetId="59" hidden="1">#REF!</definedName>
    <definedName name="UNIFORMANCES7R463C1" localSheetId="52" hidden="1">#REF!</definedName>
    <definedName name="UNIFORMANCES7R463C1" localSheetId="67" hidden="1">#REF!</definedName>
    <definedName name="UNIFORMANCES7R463C1" localSheetId="80" hidden="1">#REF!</definedName>
    <definedName name="UNIFORMANCES7R463C1" localSheetId="40" hidden="1">#REF!</definedName>
    <definedName name="UNIFORMANCES7R463C1" localSheetId="43" hidden="1">#REF!</definedName>
    <definedName name="UNIFORMANCES7R463C1" localSheetId="55" hidden="1">#REF!</definedName>
    <definedName name="UNIFORMANCES7R463C1" localSheetId="81" hidden="1">#REF!</definedName>
    <definedName name="UNIFORMANCES7R463C1" localSheetId="53" hidden="1">#REF!</definedName>
    <definedName name="UNIFORMANCES7R463C1" localSheetId="13" hidden="1">#REF!</definedName>
    <definedName name="UNIFORMANCES7R463C1" localSheetId="11" hidden="1">#REF!</definedName>
    <definedName name="UNIFORMANCES7R463C1" localSheetId="38" hidden="1">#REF!</definedName>
    <definedName name="UNIFORMANCES7R463C1" localSheetId="41" hidden="1">#REF!</definedName>
    <definedName name="UNIFORMANCES7R463C1" localSheetId="101" hidden="1">#REF!</definedName>
    <definedName name="UNIFORMANCES7R463C1" localSheetId="102" hidden="1">#REF!</definedName>
    <definedName name="UNIFORMANCES7R463C1" localSheetId="103" hidden="1">#REF!</definedName>
    <definedName name="UNIFORMANCES7R463C1" localSheetId="97" hidden="1">#REF!</definedName>
    <definedName name="UNIFORMANCES7R463C1" localSheetId="42" hidden="1">#REF!</definedName>
    <definedName name="UNIFORMANCES7R463C1" localSheetId="12" hidden="1">#REF!</definedName>
    <definedName name="UNIFORMANCES7R463C1" localSheetId="73" hidden="1">#REF!</definedName>
    <definedName name="UNIFORMANCES7R463C1" localSheetId="74" hidden="1">#REF!</definedName>
    <definedName name="UNIFORMANCES7R463C1" hidden="1">#REF!</definedName>
    <definedName name="UNIFORMANCES7R467C1" localSheetId="3" hidden="1">#REF!</definedName>
    <definedName name="UNIFORMANCES7R467C1" localSheetId="7" hidden="1">#REF!</definedName>
    <definedName name="UNIFORMANCES7R467C1" localSheetId="9" hidden="1">#REF!</definedName>
    <definedName name="UNIFORMANCES7R467C1" localSheetId="10" hidden="1">#REF!</definedName>
    <definedName name="UNIFORMANCES7R467C1" localSheetId="15" hidden="1">#REF!</definedName>
    <definedName name="UNIFORMANCES7R467C1" localSheetId="18" hidden="1">#REF!</definedName>
    <definedName name="UNIFORMANCES7R467C1" localSheetId="19" hidden="1">#REF!</definedName>
    <definedName name="UNIFORMANCES7R467C1" localSheetId="20" hidden="1">#REF!</definedName>
    <definedName name="UNIFORMANCES7R467C1" localSheetId="23" hidden="1">#REF!</definedName>
    <definedName name="UNIFORMANCES7R467C1" localSheetId="24" hidden="1">#REF!</definedName>
    <definedName name="UNIFORMANCES7R467C1" localSheetId="35" hidden="1">#REF!</definedName>
    <definedName name="UNIFORMANCES7R467C1" localSheetId="58" hidden="1">#REF!</definedName>
    <definedName name="UNIFORMANCES7R467C1" localSheetId="60" hidden="1">#REF!</definedName>
    <definedName name="UNIFORMANCES7R467C1" localSheetId="51" hidden="1">#REF!</definedName>
    <definedName name="UNIFORMANCES7R467C1" localSheetId="54" hidden="1">#REF!</definedName>
    <definedName name="UNIFORMANCES7R467C1" localSheetId="47" hidden="1">#REF!</definedName>
    <definedName name="UNIFORMANCES7R467C1" localSheetId="105" hidden="1">#REF!</definedName>
    <definedName name="UNIFORMANCES7R467C1" localSheetId="104" hidden="1">#REF!</definedName>
    <definedName name="UNIFORMANCES7R467C1" localSheetId="88" hidden="1">#REF!</definedName>
    <definedName name="UNIFORMANCES7R467C1" localSheetId="89" hidden="1">#REF!</definedName>
    <definedName name="UNIFORMANCES7R467C1" localSheetId="87" hidden="1">#REF!</definedName>
    <definedName name="UNIFORMANCES7R467C1" localSheetId="90" hidden="1">#REF!</definedName>
    <definedName name="UNIFORMANCES7R467C1" localSheetId="70" hidden="1">#REF!</definedName>
    <definedName name="UNIFORMANCES7R467C1" localSheetId="63" hidden="1">#REF!</definedName>
    <definedName name="UNIFORMANCES7R467C1" localSheetId="65" hidden="1">#REF!</definedName>
    <definedName name="UNIFORMANCES7R467C1" localSheetId="64" hidden="1">#REF!</definedName>
    <definedName name="UNIFORMANCES7R467C1" localSheetId="77" hidden="1">#REF!</definedName>
    <definedName name="UNIFORMANCES7R467C1" localSheetId="49" hidden="1">#REF!</definedName>
    <definedName name="UNIFORMANCES7R467C1" localSheetId="48" hidden="1">#REF!</definedName>
    <definedName name="UNIFORMANCES7R467C1" localSheetId="57" hidden="1">#REF!</definedName>
    <definedName name="UNIFORMANCES7R467C1" localSheetId="59" hidden="1">#REF!</definedName>
    <definedName name="UNIFORMANCES7R467C1" localSheetId="52" hidden="1">#REF!</definedName>
    <definedName name="UNIFORMANCES7R467C1" localSheetId="67" hidden="1">#REF!</definedName>
    <definedName name="UNIFORMANCES7R467C1" localSheetId="80" hidden="1">#REF!</definedName>
    <definedName name="UNIFORMANCES7R467C1" localSheetId="40" hidden="1">#REF!</definedName>
    <definedName name="UNIFORMANCES7R467C1" localSheetId="43" hidden="1">#REF!</definedName>
    <definedName name="UNIFORMANCES7R467C1" localSheetId="55" hidden="1">#REF!</definedName>
    <definedName name="UNIFORMANCES7R467C1" localSheetId="81" hidden="1">#REF!</definedName>
    <definedName name="UNIFORMANCES7R467C1" localSheetId="53" hidden="1">#REF!</definedName>
    <definedName name="UNIFORMANCES7R467C1" localSheetId="13" hidden="1">#REF!</definedName>
    <definedName name="UNIFORMANCES7R467C1" localSheetId="11" hidden="1">#REF!</definedName>
    <definedName name="UNIFORMANCES7R467C1" localSheetId="38" hidden="1">#REF!</definedName>
    <definedName name="UNIFORMANCES7R467C1" localSheetId="41" hidden="1">#REF!</definedName>
    <definedName name="UNIFORMANCES7R467C1" localSheetId="101" hidden="1">#REF!</definedName>
    <definedName name="UNIFORMANCES7R467C1" localSheetId="102" hidden="1">#REF!</definedName>
    <definedName name="UNIFORMANCES7R467C1" localSheetId="103" hidden="1">#REF!</definedName>
    <definedName name="UNIFORMANCES7R467C1" localSheetId="97" hidden="1">#REF!</definedName>
    <definedName name="UNIFORMANCES7R467C1" localSheetId="42" hidden="1">#REF!</definedName>
    <definedName name="UNIFORMANCES7R467C1" localSheetId="12" hidden="1">#REF!</definedName>
    <definedName name="UNIFORMANCES7R467C1" localSheetId="73" hidden="1">#REF!</definedName>
    <definedName name="UNIFORMANCES7R467C1" localSheetId="74" hidden="1">#REF!</definedName>
    <definedName name="UNIFORMANCES7R467C1" hidden="1">#REF!</definedName>
    <definedName name="UNIFORMANCES7R515C1" localSheetId="3" hidden="1">#REF!</definedName>
    <definedName name="UNIFORMANCES7R515C1" localSheetId="7" hidden="1">#REF!</definedName>
    <definedName name="UNIFORMANCES7R515C1" localSheetId="9" hidden="1">#REF!</definedName>
    <definedName name="UNIFORMANCES7R515C1" localSheetId="10" hidden="1">#REF!</definedName>
    <definedName name="UNIFORMANCES7R515C1" localSheetId="15" hidden="1">#REF!</definedName>
    <definedName name="UNIFORMANCES7R515C1" localSheetId="18" hidden="1">#REF!</definedName>
    <definedName name="UNIFORMANCES7R515C1" localSheetId="19" hidden="1">#REF!</definedName>
    <definedName name="UNIFORMANCES7R515C1" localSheetId="20" hidden="1">#REF!</definedName>
    <definedName name="UNIFORMANCES7R515C1" localSheetId="23" hidden="1">#REF!</definedName>
    <definedName name="UNIFORMANCES7R515C1" localSheetId="24" hidden="1">#REF!</definedName>
    <definedName name="UNIFORMANCES7R515C1" localSheetId="35" hidden="1">#REF!</definedName>
    <definedName name="UNIFORMANCES7R515C1" localSheetId="58" hidden="1">#REF!</definedName>
    <definedName name="UNIFORMANCES7R515C1" localSheetId="60" hidden="1">#REF!</definedName>
    <definedName name="UNIFORMANCES7R515C1" localSheetId="51" hidden="1">#REF!</definedName>
    <definedName name="UNIFORMANCES7R515C1" localSheetId="54" hidden="1">#REF!</definedName>
    <definedName name="UNIFORMANCES7R515C1" localSheetId="47" hidden="1">#REF!</definedName>
    <definedName name="UNIFORMANCES7R515C1" localSheetId="105" hidden="1">#REF!</definedName>
    <definedName name="UNIFORMANCES7R515C1" localSheetId="104" hidden="1">#REF!</definedName>
    <definedName name="UNIFORMANCES7R515C1" localSheetId="88" hidden="1">#REF!</definedName>
    <definedName name="UNIFORMANCES7R515C1" localSheetId="89" hidden="1">#REF!</definedName>
    <definedName name="UNIFORMANCES7R515C1" localSheetId="87" hidden="1">#REF!</definedName>
    <definedName name="UNIFORMANCES7R515C1" localSheetId="90" hidden="1">#REF!</definedName>
    <definedName name="UNIFORMANCES7R515C1" localSheetId="70" hidden="1">#REF!</definedName>
    <definedName name="UNIFORMANCES7R515C1" localSheetId="63" hidden="1">#REF!</definedName>
    <definedName name="UNIFORMANCES7R515C1" localSheetId="65" hidden="1">#REF!</definedName>
    <definedName name="UNIFORMANCES7R515C1" localSheetId="64" hidden="1">#REF!</definedName>
    <definedName name="UNIFORMANCES7R515C1" localSheetId="77" hidden="1">#REF!</definedName>
    <definedName name="UNIFORMANCES7R515C1" localSheetId="49" hidden="1">#REF!</definedName>
    <definedName name="UNIFORMANCES7R515C1" localSheetId="48" hidden="1">#REF!</definedName>
    <definedName name="UNIFORMANCES7R515C1" localSheetId="57" hidden="1">#REF!</definedName>
    <definedName name="UNIFORMANCES7R515C1" localSheetId="59" hidden="1">#REF!</definedName>
    <definedName name="UNIFORMANCES7R515C1" localSheetId="52" hidden="1">#REF!</definedName>
    <definedName name="UNIFORMANCES7R515C1" localSheetId="67" hidden="1">#REF!</definedName>
    <definedName name="UNIFORMANCES7R515C1" localSheetId="80" hidden="1">#REF!</definedName>
    <definedName name="UNIFORMANCES7R515C1" localSheetId="40" hidden="1">#REF!</definedName>
    <definedName name="UNIFORMANCES7R515C1" localSheetId="43" hidden="1">#REF!</definedName>
    <definedName name="UNIFORMANCES7R515C1" localSheetId="55" hidden="1">#REF!</definedName>
    <definedName name="UNIFORMANCES7R515C1" localSheetId="81" hidden="1">#REF!</definedName>
    <definedName name="UNIFORMANCES7R515C1" localSheetId="53" hidden="1">#REF!</definedName>
    <definedName name="UNIFORMANCES7R515C1" localSheetId="13" hidden="1">#REF!</definedName>
    <definedName name="UNIFORMANCES7R515C1" localSheetId="11" hidden="1">#REF!</definedName>
    <definedName name="UNIFORMANCES7R515C1" localSheetId="38" hidden="1">#REF!</definedName>
    <definedName name="UNIFORMANCES7R515C1" localSheetId="41" hidden="1">#REF!</definedName>
    <definedName name="UNIFORMANCES7R515C1" localSheetId="101" hidden="1">#REF!</definedName>
    <definedName name="UNIFORMANCES7R515C1" localSheetId="102" hidden="1">#REF!</definedName>
    <definedName name="UNIFORMANCES7R515C1" localSheetId="103" hidden="1">#REF!</definedName>
    <definedName name="UNIFORMANCES7R515C1" localSheetId="97" hidden="1">#REF!</definedName>
    <definedName name="UNIFORMANCES7R515C1" localSheetId="42" hidden="1">#REF!</definedName>
    <definedName name="UNIFORMANCES7R515C1" localSheetId="12" hidden="1">#REF!</definedName>
    <definedName name="UNIFORMANCES7R515C1" localSheetId="73" hidden="1">#REF!</definedName>
    <definedName name="UNIFORMANCES7R515C1" localSheetId="74" hidden="1">#REF!</definedName>
    <definedName name="UNIFORMANCES7R515C1" hidden="1">#REF!</definedName>
    <definedName name="Unit" localSheetId="3">#REF!</definedName>
    <definedName name="Unit" localSheetId="7">#REF!</definedName>
    <definedName name="Unit" localSheetId="9">#REF!</definedName>
    <definedName name="Unit" localSheetId="10">#REF!</definedName>
    <definedName name="Unit" localSheetId="15">#REF!</definedName>
    <definedName name="Unit" localSheetId="19">#REF!</definedName>
    <definedName name="Unit" localSheetId="20">#REF!</definedName>
    <definedName name="Unit" localSheetId="24">#REF!</definedName>
    <definedName name="Unit" localSheetId="104">#REF!</definedName>
    <definedName name="Unit" localSheetId="65">#REF!</definedName>
    <definedName name="Unit" localSheetId="64">#REF!</definedName>
    <definedName name="Unit" localSheetId="77">#REF!</definedName>
    <definedName name="Unit" localSheetId="49">#REF!</definedName>
    <definedName name="Unit" localSheetId="40">#REF!</definedName>
    <definedName name="Unit" localSheetId="43">#REF!</definedName>
    <definedName name="Unit" localSheetId="13">#REF!</definedName>
    <definedName name="Unit" localSheetId="38">#REF!</definedName>
    <definedName name="Unit">#REF!</definedName>
    <definedName name="UNIT_LBHR">"(lb/hr)"</definedName>
    <definedName name="UNIT_LBTON">"(lb/ton)"</definedName>
    <definedName name="UPLEXOP1" localSheetId="3">#REF!</definedName>
    <definedName name="UPLEXOP1" localSheetId="7">#REF!</definedName>
    <definedName name="UPLEXOP1" localSheetId="9">#REF!</definedName>
    <definedName name="UPLEXOP1" localSheetId="10">#REF!</definedName>
    <definedName name="UPLEXOP1" localSheetId="15">#REF!</definedName>
    <definedName name="UPLEXOP1" localSheetId="19">#REF!</definedName>
    <definedName name="UPLEXOP1" localSheetId="20">#REF!</definedName>
    <definedName name="UPLEXOP1" localSheetId="24">#REF!</definedName>
    <definedName name="UPLEXOP1" localSheetId="104">#REF!</definedName>
    <definedName name="UPLEXOP1" localSheetId="65">#REF!</definedName>
    <definedName name="UPLEXOP1" localSheetId="64">#REF!</definedName>
    <definedName name="UPLEXOP1" localSheetId="77">#REF!</definedName>
    <definedName name="UPLEXOP1" localSheetId="49">#REF!</definedName>
    <definedName name="UPLEXOP1" localSheetId="40">#REF!</definedName>
    <definedName name="UPLEXOP1" localSheetId="43">#REF!</definedName>
    <definedName name="UPLEXOP1" localSheetId="13">#REF!</definedName>
    <definedName name="UPLEXOP1" localSheetId="38">#REF!</definedName>
    <definedName name="UPLEXOP1">#REF!</definedName>
    <definedName name="UPLEXOP2" localSheetId="3">#REF!</definedName>
    <definedName name="UPLEXOP2" localSheetId="7">#REF!</definedName>
    <definedName name="UPLEXOP2" localSheetId="9">#REF!</definedName>
    <definedName name="UPLEXOP2" localSheetId="10">#REF!</definedName>
    <definedName name="UPLEXOP2" localSheetId="15">#REF!</definedName>
    <definedName name="UPLEXOP2" localSheetId="19">#REF!</definedName>
    <definedName name="UPLEXOP2" localSheetId="20">#REF!</definedName>
    <definedName name="UPLEXOP2" localSheetId="24">#REF!</definedName>
    <definedName name="UPLEXOP2" localSheetId="104">#REF!</definedName>
    <definedName name="UPLEXOP2" localSheetId="65">#REF!</definedName>
    <definedName name="UPLEXOP2" localSheetId="64">#REF!</definedName>
    <definedName name="UPLEXOP2" localSheetId="77">#REF!</definedName>
    <definedName name="UPLEXOP2" localSheetId="49">#REF!</definedName>
    <definedName name="UPLEXOP2" localSheetId="40">#REF!</definedName>
    <definedName name="UPLEXOP2" localSheetId="43">#REF!</definedName>
    <definedName name="UPLEXOP2" localSheetId="13">#REF!</definedName>
    <definedName name="UPLEXOP2" localSheetId="38">#REF!</definedName>
    <definedName name="UPLEXOP2">#REF!</definedName>
    <definedName name="UPLOP1" localSheetId="3">#REF!</definedName>
    <definedName name="UPLOP1" localSheetId="7">#REF!</definedName>
    <definedName name="UPLOP1" localSheetId="9">#REF!</definedName>
    <definedName name="UPLOP1" localSheetId="10">#REF!</definedName>
    <definedName name="UPLOP1" localSheetId="15">#REF!</definedName>
    <definedName name="UPLOP1" localSheetId="19">#REF!</definedName>
    <definedName name="UPLOP1" localSheetId="20">#REF!</definedName>
    <definedName name="UPLOP1" localSheetId="24">#REF!</definedName>
    <definedName name="UPLOP1" localSheetId="104">#REF!</definedName>
    <definedName name="UPLOP1" localSheetId="65">#REF!</definedName>
    <definedName name="UPLOP1" localSheetId="64">#REF!</definedName>
    <definedName name="UPLOP1" localSheetId="77">#REF!</definedName>
    <definedName name="UPLOP1" localSheetId="49">#REF!</definedName>
    <definedName name="UPLOP1" localSheetId="40">#REF!</definedName>
    <definedName name="UPLOP1" localSheetId="43">#REF!</definedName>
    <definedName name="UPLOP1" localSheetId="13">#REF!</definedName>
    <definedName name="UPLOP1" localSheetId="38">#REF!</definedName>
    <definedName name="UPLOP1">#REF!</definedName>
    <definedName name="UPLOP10" localSheetId="3">#REF!</definedName>
    <definedName name="UPLOP10" localSheetId="7">#REF!</definedName>
    <definedName name="UPLOP10" localSheetId="9">#REF!</definedName>
    <definedName name="UPLOP10" localSheetId="10">#REF!</definedName>
    <definedName name="UPLOP10" localSheetId="15">#REF!</definedName>
    <definedName name="UPLOP10" localSheetId="19">#REF!</definedName>
    <definedName name="UPLOP10" localSheetId="20">#REF!</definedName>
    <definedName name="UPLOP10" localSheetId="24">#REF!</definedName>
    <definedName name="UPLOP10" localSheetId="104">#REF!</definedName>
    <definedName name="UPLOP10" localSheetId="65">#REF!</definedName>
    <definedName name="UPLOP10" localSheetId="64">#REF!</definedName>
    <definedName name="UPLOP10" localSheetId="77">#REF!</definedName>
    <definedName name="UPLOP10" localSheetId="49">#REF!</definedName>
    <definedName name="UPLOP10" localSheetId="40">#REF!</definedName>
    <definedName name="UPLOP10" localSheetId="43">#REF!</definedName>
    <definedName name="UPLOP10" localSheetId="13">#REF!</definedName>
    <definedName name="UPLOP10" localSheetId="38">#REF!</definedName>
    <definedName name="UPLOP10">#REF!</definedName>
    <definedName name="UPLOP11" localSheetId="3">#REF!</definedName>
    <definedName name="UPLOP11" localSheetId="7">#REF!</definedName>
    <definedName name="UPLOP11" localSheetId="9">#REF!</definedName>
    <definedName name="UPLOP11" localSheetId="10">#REF!</definedName>
    <definedName name="UPLOP11" localSheetId="15">#REF!</definedName>
    <definedName name="UPLOP11" localSheetId="19">#REF!</definedName>
    <definedName name="UPLOP11" localSheetId="20">#REF!</definedName>
    <definedName name="UPLOP11" localSheetId="24">#REF!</definedName>
    <definedName name="UPLOP11" localSheetId="104">#REF!</definedName>
    <definedName name="UPLOP11" localSheetId="65">#REF!</definedName>
    <definedName name="UPLOP11" localSheetId="64">#REF!</definedName>
    <definedName name="UPLOP11" localSheetId="77">#REF!</definedName>
    <definedName name="UPLOP11" localSheetId="49">#REF!</definedName>
    <definedName name="UPLOP11" localSheetId="40">#REF!</definedName>
    <definedName name="UPLOP11" localSheetId="43">#REF!</definedName>
    <definedName name="UPLOP11" localSheetId="13">#REF!</definedName>
    <definedName name="UPLOP11" localSheetId="38">#REF!</definedName>
    <definedName name="UPLOP11">#REF!</definedName>
    <definedName name="UPLOP12" localSheetId="3">#REF!</definedName>
    <definedName name="UPLOP12" localSheetId="7">#REF!</definedName>
    <definedName name="UPLOP12" localSheetId="9">#REF!</definedName>
    <definedName name="UPLOP12" localSheetId="10">#REF!</definedName>
    <definedName name="UPLOP12" localSheetId="15">#REF!</definedName>
    <definedName name="UPLOP12" localSheetId="19">#REF!</definedName>
    <definedName name="UPLOP12" localSheetId="20">#REF!</definedName>
    <definedName name="UPLOP12" localSheetId="24">#REF!</definedName>
    <definedName name="UPLOP12" localSheetId="104">#REF!</definedName>
    <definedName name="UPLOP12" localSheetId="65">#REF!</definedName>
    <definedName name="UPLOP12" localSheetId="64">#REF!</definedName>
    <definedName name="UPLOP12" localSheetId="77">#REF!</definedName>
    <definedName name="UPLOP12" localSheetId="49">#REF!</definedName>
    <definedName name="UPLOP12" localSheetId="40">#REF!</definedName>
    <definedName name="UPLOP12" localSheetId="43">#REF!</definedName>
    <definedName name="UPLOP12" localSheetId="13">#REF!</definedName>
    <definedName name="UPLOP12" localSheetId="38">#REF!</definedName>
    <definedName name="UPLOP12">#REF!</definedName>
    <definedName name="UPLOP13" localSheetId="3">#REF!</definedName>
    <definedName name="UPLOP13" localSheetId="7">#REF!</definedName>
    <definedName name="UPLOP13" localSheetId="9">#REF!</definedName>
    <definedName name="UPLOP13" localSheetId="10">#REF!</definedName>
    <definedName name="UPLOP13" localSheetId="15">#REF!</definedName>
    <definedName name="UPLOP13" localSheetId="19">#REF!</definedName>
    <definedName name="UPLOP13" localSheetId="20">#REF!</definedName>
    <definedName name="UPLOP13" localSheetId="24">#REF!</definedName>
    <definedName name="UPLOP13" localSheetId="104">#REF!</definedName>
    <definedName name="UPLOP13" localSheetId="65">#REF!</definedName>
    <definedName name="UPLOP13" localSheetId="64">#REF!</definedName>
    <definedName name="UPLOP13" localSheetId="77">#REF!</definedName>
    <definedName name="UPLOP13" localSheetId="49">#REF!</definedName>
    <definedName name="UPLOP13" localSheetId="40">#REF!</definedName>
    <definedName name="UPLOP13" localSheetId="43">#REF!</definedName>
    <definedName name="UPLOP13" localSheetId="13">#REF!</definedName>
    <definedName name="UPLOP13" localSheetId="38">#REF!</definedName>
    <definedName name="UPLOP13">#REF!</definedName>
    <definedName name="UPLOP14" localSheetId="3">#REF!</definedName>
    <definedName name="UPLOP14" localSheetId="7">#REF!</definedName>
    <definedName name="UPLOP14" localSheetId="9">#REF!</definedName>
    <definedName name="UPLOP14" localSheetId="10">#REF!</definedName>
    <definedName name="UPLOP14" localSheetId="15">#REF!</definedName>
    <definedName name="UPLOP14" localSheetId="19">#REF!</definedName>
    <definedName name="UPLOP14" localSheetId="20">#REF!</definedName>
    <definedName name="UPLOP14" localSheetId="24">#REF!</definedName>
    <definedName name="UPLOP14" localSheetId="104">#REF!</definedName>
    <definedName name="UPLOP14" localSheetId="65">#REF!</definedName>
    <definedName name="UPLOP14" localSheetId="64">#REF!</definedName>
    <definedName name="UPLOP14" localSheetId="77">#REF!</definedName>
    <definedName name="UPLOP14" localSheetId="49">#REF!</definedName>
    <definedName name="UPLOP14" localSheetId="40">#REF!</definedName>
    <definedName name="UPLOP14" localSheetId="43">#REF!</definedName>
    <definedName name="UPLOP14" localSheetId="13">#REF!</definedName>
    <definedName name="UPLOP14" localSheetId="38">#REF!</definedName>
    <definedName name="UPLOP14">#REF!</definedName>
    <definedName name="UPLOP15" localSheetId="3">#REF!</definedName>
    <definedName name="UPLOP15" localSheetId="7">#REF!</definedName>
    <definedName name="UPLOP15" localSheetId="9">#REF!</definedName>
    <definedName name="UPLOP15" localSheetId="10">#REF!</definedName>
    <definedName name="UPLOP15" localSheetId="15">#REF!</definedName>
    <definedName name="UPLOP15" localSheetId="19">#REF!</definedName>
    <definedName name="UPLOP15" localSheetId="20">#REF!</definedName>
    <definedName name="UPLOP15" localSheetId="24">#REF!</definedName>
    <definedName name="UPLOP15" localSheetId="104">#REF!</definedName>
    <definedName name="UPLOP15" localSheetId="65">#REF!</definedName>
    <definedName name="UPLOP15" localSheetId="64">#REF!</definedName>
    <definedName name="UPLOP15" localSheetId="77">#REF!</definedName>
    <definedName name="UPLOP15" localSheetId="49">#REF!</definedName>
    <definedName name="UPLOP15" localSheetId="40">#REF!</definedName>
    <definedName name="UPLOP15" localSheetId="43">#REF!</definedName>
    <definedName name="UPLOP15" localSheetId="13">#REF!</definedName>
    <definedName name="UPLOP15" localSheetId="38">#REF!</definedName>
    <definedName name="UPLOP15">#REF!</definedName>
    <definedName name="UPLOP2" localSheetId="3">#REF!</definedName>
    <definedName name="UPLOP2" localSheetId="7">#REF!</definedName>
    <definedName name="UPLOP2" localSheetId="9">#REF!</definedName>
    <definedName name="UPLOP2" localSheetId="10">#REF!</definedName>
    <definedName name="UPLOP2" localSheetId="15">#REF!</definedName>
    <definedName name="UPLOP2" localSheetId="19">#REF!</definedName>
    <definedName name="UPLOP2" localSheetId="20">#REF!</definedName>
    <definedName name="UPLOP2" localSheetId="24">#REF!</definedName>
    <definedName name="UPLOP2" localSheetId="104">#REF!</definedName>
    <definedName name="UPLOP2" localSheetId="65">#REF!</definedName>
    <definedName name="UPLOP2" localSheetId="64">#REF!</definedName>
    <definedName name="UPLOP2" localSheetId="77">#REF!</definedName>
    <definedName name="UPLOP2" localSheetId="49">#REF!</definedName>
    <definedName name="UPLOP2" localSheetId="40">#REF!</definedName>
    <definedName name="UPLOP2" localSheetId="43">#REF!</definedName>
    <definedName name="UPLOP2" localSheetId="13">#REF!</definedName>
    <definedName name="UPLOP2" localSheetId="38">#REF!</definedName>
    <definedName name="UPLOP2">#REF!</definedName>
    <definedName name="UPLOP3" localSheetId="3">#REF!</definedName>
    <definedName name="UPLOP3" localSheetId="7">#REF!</definedName>
    <definedName name="UPLOP3" localSheetId="9">#REF!</definedName>
    <definedName name="UPLOP3" localSheetId="10">#REF!</definedName>
    <definedName name="UPLOP3" localSheetId="15">#REF!</definedName>
    <definedName name="UPLOP3" localSheetId="19">#REF!</definedName>
    <definedName name="UPLOP3" localSheetId="20">#REF!</definedName>
    <definedName name="UPLOP3" localSheetId="24">#REF!</definedName>
    <definedName name="UPLOP3" localSheetId="104">#REF!</definedName>
    <definedName name="UPLOP3" localSheetId="65">#REF!</definedName>
    <definedName name="UPLOP3" localSheetId="64">#REF!</definedName>
    <definedName name="UPLOP3" localSheetId="77">#REF!</definedName>
    <definedName name="UPLOP3" localSheetId="49">#REF!</definedName>
    <definedName name="UPLOP3" localSheetId="40">#REF!</definedName>
    <definedName name="UPLOP3" localSheetId="43">#REF!</definedName>
    <definedName name="UPLOP3" localSheetId="13">#REF!</definedName>
    <definedName name="UPLOP3" localSheetId="38">#REF!</definedName>
    <definedName name="UPLOP3">#REF!</definedName>
    <definedName name="UPLOP4" localSheetId="3">#REF!</definedName>
    <definedName name="UPLOP4" localSheetId="7">#REF!</definedName>
    <definedName name="UPLOP4" localSheetId="9">#REF!</definedName>
    <definedName name="UPLOP4" localSheetId="10">#REF!</definedName>
    <definedName name="UPLOP4" localSheetId="15">#REF!</definedName>
    <definedName name="UPLOP4" localSheetId="19">#REF!</definedName>
    <definedName name="UPLOP4" localSheetId="20">#REF!</definedName>
    <definedName name="UPLOP4" localSheetId="24">#REF!</definedName>
    <definedName name="UPLOP4" localSheetId="104">#REF!</definedName>
    <definedName name="UPLOP4" localSheetId="65">#REF!</definedName>
    <definedName name="UPLOP4" localSheetId="64">#REF!</definedName>
    <definedName name="UPLOP4" localSheetId="77">#REF!</definedName>
    <definedName name="UPLOP4" localSheetId="49">#REF!</definedName>
    <definedName name="UPLOP4" localSheetId="40">#REF!</definedName>
    <definedName name="UPLOP4" localSheetId="43">#REF!</definedName>
    <definedName name="UPLOP4" localSheetId="13">#REF!</definedName>
    <definedName name="UPLOP4" localSheetId="38">#REF!</definedName>
    <definedName name="UPLOP4">#REF!</definedName>
    <definedName name="UPLOP5" localSheetId="3">#REF!</definedName>
    <definedName name="UPLOP5" localSheetId="7">#REF!</definedName>
    <definedName name="UPLOP5" localSheetId="9">#REF!</definedName>
    <definedName name="UPLOP5" localSheetId="10">#REF!</definedName>
    <definedName name="UPLOP5" localSheetId="15">#REF!</definedName>
    <definedName name="UPLOP5" localSheetId="19">#REF!</definedName>
    <definedName name="UPLOP5" localSheetId="20">#REF!</definedName>
    <definedName name="UPLOP5" localSheetId="24">#REF!</definedName>
    <definedName name="UPLOP5" localSheetId="104">#REF!</definedName>
    <definedName name="UPLOP5" localSheetId="65">#REF!</definedName>
    <definedName name="UPLOP5" localSheetId="64">#REF!</definedName>
    <definedName name="UPLOP5" localSheetId="77">#REF!</definedName>
    <definedName name="UPLOP5" localSheetId="49">#REF!</definedName>
    <definedName name="UPLOP5" localSheetId="40">#REF!</definedName>
    <definedName name="UPLOP5" localSheetId="43">#REF!</definedName>
    <definedName name="UPLOP5" localSheetId="13">#REF!</definedName>
    <definedName name="UPLOP5" localSheetId="38">#REF!</definedName>
    <definedName name="UPLOP5">#REF!</definedName>
    <definedName name="UPLOP6" localSheetId="3">#REF!</definedName>
    <definedName name="UPLOP6" localSheetId="7">#REF!</definedName>
    <definedName name="UPLOP6" localSheetId="9">#REF!</definedName>
    <definedName name="UPLOP6" localSheetId="10">#REF!</definedName>
    <definedName name="UPLOP6" localSheetId="15">#REF!</definedName>
    <definedName name="UPLOP6" localSheetId="19">#REF!</definedName>
    <definedName name="UPLOP6" localSheetId="20">#REF!</definedName>
    <definedName name="UPLOP6" localSheetId="24">#REF!</definedName>
    <definedName name="UPLOP6" localSheetId="104">#REF!</definedName>
    <definedName name="UPLOP6" localSheetId="65">#REF!</definedName>
    <definedName name="UPLOP6" localSheetId="64">#REF!</definedName>
    <definedName name="UPLOP6" localSheetId="77">#REF!</definedName>
    <definedName name="UPLOP6" localSheetId="49">#REF!</definedName>
    <definedName name="UPLOP6" localSheetId="40">#REF!</definedName>
    <definedName name="UPLOP6" localSheetId="43">#REF!</definedName>
    <definedName name="UPLOP6" localSheetId="13">#REF!</definedName>
    <definedName name="UPLOP6" localSheetId="38">#REF!</definedName>
    <definedName name="UPLOP6">#REF!</definedName>
    <definedName name="UPLOP7" localSheetId="3">#REF!</definedName>
    <definedName name="UPLOP7" localSheetId="7">#REF!</definedName>
    <definedName name="UPLOP7" localSheetId="9">#REF!</definedName>
    <definedName name="UPLOP7" localSheetId="10">#REF!</definedName>
    <definedName name="UPLOP7" localSheetId="15">#REF!</definedName>
    <definedName name="UPLOP7" localSheetId="19">#REF!</definedName>
    <definedName name="UPLOP7" localSheetId="20">#REF!</definedName>
    <definedName name="UPLOP7" localSheetId="24">#REF!</definedName>
    <definedName name="UPLOP7" localSheetId="104">#REF!</definedName>
    <definedName name="UPLOP7" localSheetId="65">#REF!</definedName>
    <definedName name="UPLOP7" localSheetId="64">#REF!</definedName>
    <definedName name="UPLOP7" localSheetId="77">#REF!</definedName>
    <definedName name="UPLOP7" localSheetId="49">#REF!</definedName>
    <definedName name="UPLOP7" localSheetId="40">#REF!</definedName>
    <definedName name="UPLOP7" localSheetId="43">#REF!</definedName>
    <definedName name="UPLOP7" localSheetId="13">#REF!</definedName>
    <definedName name="UPLOP7" localSheetId="38">#REF!</definedName>
    <definedName name="UPLOP7">#REF!</definedName>
    <definedName name="UPLOP8" localSheetId="3">#REF!</definedName>
    <definedName name="UPLOP8" localSheetId="7">#REF!</definedName>
    <definedName name="UPLOP8" localSheetId="9">#REF!</definedName>
    <definedName name="UPLOP8" localSheetId="10">#REF!</definedName>
    <definedName name="UPLOP8" localSheetId="15">#REF!</definedName>
    <definedName name="UPLOP8" localSheetId="19">#REF!</definedName>
    <definedName name="UPLOP8" localSheetId="20">#REF!</definedName>
    <definedName name="UPLOP8" localSheetId="24">#REF!</definedName>
    <definedName name="UPLOP8" localSheetId="104">#REF!</definedName>
    <definedName name="UPLOP8" localSheetId="65">#REF!</definedName>
    <definedName name="UPLOP8" localSheetId="64">#REF!</definedName>
    <definedName name="UPLOP8" localSheetId="77">#REF!</definedName>
    <definedName name="UPLOP8" localSheetId="49">#REF!</definedName>
    <definedName name="UPLOP8" localSheetId="40">#REF!</definedName>
    <definedName name="UPLOP8" localSheetId="43">#REF!</definedName>
    <definedName name="UPLOP8" localSheetId="13">#REF!</definedName>
    <definedName name="UPLOP8" localSheetId="38">#REF!</definedName>
    <definedName name="UPLOP8">#REF!</definedName>
    <definedName name="UPLOP9" localSheetId="3">#REF!</definedName>
    <definedName name="UPLOP9" localSheetId="7">#REF!</definedName>
    <definedName name="UPLOP9" localSheetId="9">#REF!</definedName>
    <definedName name="UPLOP9" localSheetId="10">#REF!</definedName>
    <definedName name="UPLOP9" localSheetId="15">#REF!</definedName>
    <definedName name="UPLOP9" localSheetId="19">#REF!</definedName>
    <definedName name="UPLOP9" localSheetId="20">#REF!</definedName>
    <definedName name="UPLOP9" localSheetId="24">#REF!</definedName>
    <definedName name="UPLOP9" localSheetId="104">#REF!</definedName>
    <definedName name="UPLOP9" localSheetId="65">#REF!</definedName>
    <definedName name="UPLOP9" localSheetId="64">#REF!</definedName>
    <definedName name="UPLOP9" localSheetId="77">#REF!</definedName>
    <definedName name="UPLOP9" localSheetId="49">#REF!</definedName>
    <definedName name="UPLOP9" localSheetId="40">#REF!</definedName>
    <definedName name="UPLOP9" localSheetId="43">#REF!</definedName>
    <definedName name="UPLOP9" localSheetId="13">#REF!</definedName>
    <definedName name="UPLOP9" localSheetId="38">#REF!</definedName>
    <definedName name="UPLOP9">#REF!</definedName>
    <definedName name="UPSEXOP1" localSheetId="3">#REF!</definedName>
    <definedName name="UPSEXOP1" localSheetId="7">#REF!</definedName>
    <definedName name="UPSEXOP1" localSheetId="9">#REF!</definedName>
    <definedName name="UPSEXOP1" localSheetId="10">#REF!</definedName>
    <definedName name="UPSEXOP1" localSheetId="15">#REF!</definedName>
    <definedName name="UPSEXOP1" localSheetId="19">#REF!</definedName>
    <definedName name="UPSEXOP1" localSheetId="20">#REF!</definedName>
    <definedName name="UPSEXOP1" localSheetId="24">#REF!</definedName>
    <definedName name="UPSEXOP1" localSheetId="104">#REF!</definedName>
    <definedName name="UPSEXOP1" localSheetId="65">#REF!</definedName>
    <definedName name="UPSEXOP1" localSheetId="64">#REF!</definedName>
    <definedName name="UPSEXOP1" localSheetId="77">#REF!</definedName>
    <definedName name="UPSEXOP1" localSheetId="49">#REF!</definedName>
    <definedName name="UPSEXOP1" localSheetId="40">#REF!</definedName>
    <definedName name="UPSEXOP1" localSheetId="43">#REF!</definedName>
    <definedName name="UPSEXOP1" localSheetId="13">#REF!</definedName>
    <definedName name="UPSEXOP1" localSheetId="38">#REF!</definedName>
    <definedName name="UPSEXOP1">#REF!</definedName>
    <definedName name="UPSEXOP2" localSheetId="3">#REF!</definedName>
    <definedName name="UPSEXOP2" localSheetId="7">#REF!</definedName>
    <definedName name="UPSEXOP2" localSheetId="9">#REF!</definedName>
    <definedName name="UPSEXOP2" localSheetId="10">#REF!</definedName>
    <definedName name="UPSEXOP2" localSheetId="15">#REF!</definedName>
    <definedName name="UPSEXOP2" localSheetId="19">#REF!</definedName>
    <definedName name="UPSEXOP2" localSheetId="20">#REF!</definedName>
    <definedName name="UPSEXOP2" localSheetId="24">#REF!</definedName>
    <definedName name="UPSEXOP2" localSheetId="104">#REF!</definedName>
    <definedName name="UPSEXOP2" localSheetId="65">#REF!</definedName>
    <definedName name="UPSEXOP2" localSheetId="64">#REF!</definedName>
    <definedName name="UPSEXOP2" localSheetId="77">#REF!</definedName>
    <definedName name="UPSEXOP2" localSheetId="49">#REF!</definedName>
    <definedName name="UPSEXOP2" localSheetId="40">#REF!</definedName>
    <definedName name="UPSEXOP2" localSheetId="43">#REF!</definedName>
    <definedName name="UPSEXOP2" localSheetId="13">#REF!</definedName>
    <definedName name="UPSEXOP2" localSheetId="38">#REF!</definedName>
    <definedName name="UPSEXOP2">#REF!</definedName>
    <definedName name="UPSOP1" localSheetId="3">#REF!</definedName>
    <definedName name="UPSOP1" localSheetId="7">#REF!</definedName>
    <definedName name="UPSOP1" localSheetId="9">#REF!</definedName>
    <definedName name="UPSOP1" localSheetId="10">#REF!</definedName>
    <definedName name="UPSOP1" localSheetId="15">#REF!</definedName>
    <definedName name="UPSOP1" localSheetId="19">#REF!</definedName>
    <definedName name="UPSOP1" localSheetId="20">#REF!</definedName>
    <definedName name="UPSOP1" localSheetId="24">#REF!</definedName>
    <definedName name="UPSOP1" localSheetId="104">#REF!</definedName>
    <definedName name="UPSOP1" localSheetId="65">#REF!</definedName>
    <definedName name="UPSOP1" localSheetId="64">#REF!</definedName>
    <definedName name="UPSOP1" localSheetId="77">#REF!</definedName>
    <definedName name="UPSOP1" localSheetId="49">#REF!</definedName>
    <definedName name="UPSOP1" localSheetId="40">#REF!</definedName>
    <definedName name="UPSOP1" localSheetId="43">#REF!</definedName>
    <definedName name="UPSOP1" localSheetId="13">#REF!</definedName>
    <definedName name="UPSOP1" localSheetId="38">#REF!</definedName>
    <definedName name="UPSOP1">#REF!</definedName>
    <definedName name="UPSOP10" localSheetId="3">#REF!</definedName>
    <definedName name="UPSOP10" localSheetId="7">#REF!</definedName>
    <definedName name="UPSOP10" localSheetId="9">#REF!</definedName>
    <definedName name="UPSOP10" localSheetId="10">#REF!</definedName>
    <definedName name="UPSOP10" localSheetId="15">#REF!</definedName>
    <definedName name="UPSOP10" localSheetId="19">#REF!</definedName>
    <definedName name="UPSOP10" localSheetId="20">#REF!</definedName>
    <definedName name="UPSOP10" localSheetId="24">#REF!</definedName>
    <definedName name="UPSOP10" localSheetId="104">#REF!</definedName>
    <definedName name="UPSOP10" localSheetId="65">#REF!</definedName>
    <definedName name="UPSOP10" localSheetId="64">#REF!</definedName>
    <definedName name="UPSOP10" localSheetId="77">#REF!</definedName>
    <definedName name="UPSOP10" localSheetId="49">#REF!</definedName>
    <definedName name="UPSOP10" localSheetId="40">#REF!</definedName>
    <definedName name="UPSOP10" localSheetId="43">#REF!</definedName>
    <definedName name="UPSOP10" localSheetId="13">#REF!</definedName>
    <definedName name="UPSOP10" localSheetId="38">#REF!</definedName>
    <definedName name="UPSOP10">#REF!</definedName>
    <definedName name="UPSOP11" localSheetId="3">#REF!</definedName>
    <definedName name="UPSOP11" localSheetId="7">#REF!</definedName>
    <definedName name="UPSOP11" localSheetId="9">#REF!</definedName>
    <definedName name="UPSOP11" localSheetId="10">#REF!</definedName>
    <definedName name="UPSOP11" localSheetId="15">#REF!</definedName>
    <definedName name="UPSOP11" localSheetId="19">#REF!</definedName>
    <definedName name="UPSOP11" localSheetId="20">#REF!</definedName>
    <definedName name="UPSOP11" localSheetId="24">#REF!</definedName>
    <definedName name="UPSOP11" localSheetId="104">#REF!</definedName>
    <definedName name="UPSOP11" localSheetId="65">#REF!</definedName>
    <definedName name="UPSOP11" localSheetId="64">#REF!</definedName>
    <definedName name="UPSOP11" localSheetId="77">#REF!</definedName>
    <definedName name="UPSOP11" localSheetId="49">#REF!</definedName>
    <definedName name="UPSOP11" localSheetId="40">#REF!</definedName>
    <definedName name="UPSOP11" localSheetId="43">#REF!</definedName>
    <definedName name="UPSOP11" localSheetId="13">#REF!</definedName>
    <definedName name="UPSOP11" localSheetId="38">#REF!</definedName>
    <definedName name="UPSOP11">#REF!</definedName>
    <definedName name="UPSOP12" localSheetId="3">#REF!</definedName>
    <definedName name="UPSOP12" localSheetId="7">#REF!</definedName>
    <definedName name="UPSOP12" localSheetId="9">#REF!</definedName>
    <definedName name="UPSOP12" localSheetId="10">#REF!</definedName>
    <definedName name="UPSOP12" localSheetId="15">#REF!</definedName>
    <definedName name="UPSOP12" localSheetId="19">#REF!</definedName>
    <definedName name="UPSOP12" localSheetId="20">#REF!</definedName>
    <definedName name="UPSOP12" localSheetId="24">#REF!</definedName>
    <definedName name="UPSOP12" localSheetId="104">#REF!</definedName>
    <definedName name="UPSOP12" localSheetId="65">#REF!</definedName>
    <definedName name="UPSOP12" localSheetId="64">#REF!</definedName>
    <definedName name="UPSOP12" localSheetId="77">#REF!</definedName>
    <definedName name="UPSOP12" localSheetId="49">#REF!</definedName>
    <definedName name="UPSOP12" localSheetId="40">#REF!</definedName>
    <definedName name="UPSOP12" localSheetId="43">#REF!</definedName>
    <definedName name="UPSOP12" localSheetId="13">#REF!</definedName>
    <definedName name="UPSOP12" localSheetId="38">#REF!</definedName>
    <definedName name="UPSOP12">#REF!</definedName>
    <definedName name="UPSOP13" localSheetId="3">#REF!</definedName>
    <definedName name="UPSOP13" localSheetId="7">#REF!</definedName>
    <definedName name="UPSOP13" localSheetId="9">#REF!</definedName>
    <definedName name="UPSOP13" localSheetId="10">#REF!</definedName>
    <definedName name="UPSOP13" localSheetId="15">#REF!</definedName>
    <definedName name="UPSOP13" localSheetId="19">#REF!</definedName>
    <definedName name="UPSOP13" localSheetId="20">#REF!</definedName>
    <definedName name="UPSOP13" localSheetId="24">#REF!</definedName>
    <definedName name="UPSOP13" localSheetId="104">#REF!</definedName>
    <definedName name="UPSOP13" localSheetId="65">#REF!</definedName>
    <definedName name="UPSOP13" localSheetId="64">#REF!</definedName>
    <definedName name="UPSOP13" localSheetId="77">#REF!</definedName>
    <definedName name="UPSOP13" localSheetId="49">#REF!</definedName>
    <definedName name="UPSOP13" localSheetId="40">#REF!</definedName>
    <definedName name="UPSOP13" localSheetId="43">#REF!</definedName>
    <definedName name="UPSOP13" localSheetId="13">#REF!</definedName>
    <definedName name="UPSOP13" localSheetId="38">#REF!</definedName>
    <definedName name="UPSOP13">#REF!</definedName>
    <definedName name="UPSOP14" localSheetId="3">#REF!</definedName>
    <definedName name="UPSOP14" localSheetId="7">#REF!</definedName>
    <definedName name="UPSOP14" localSheetId="9">#REF!</definedName>
    <definedName name="UPSOP14" localSheetId="10">#REF!</definedName>
    <definedName name="UPSOP14" localSheetId="15">#REF!</definedName>
    <definedName name="UPSOP14" localSheetId="19">#REF!</definedName>
    <definedName name="UPSOP14" localSheetId="20">#REF!</definedName>
    <definedName name="UPSOP14" localSheetId="24">#REF!</definedName>
    <definedName name="UPSOP14" localSheetId="104">#REF!</definedName>
    <definedName name="UPSOP14" localSheetId="65">#REF!</definedName>
    <definedName name="UPSOP14" localSheetId="64">#REF!</definedName>
    <definedName name="UPSOP14" localSheetId="77">#REF!</definedName>
    <definedName name="UPSOP14" localSheetId="49">#REF!</definedName>
    <definedName name="UPSOP14" localSheetId="40">#REF!</definedName>
    <definedName name="UPSOP14" localSheetId="43">#REF!</definedName>
    <definedName name="UPSOP14" localSheetId="13">#REF!</definedName>
    <definedName name="UPSOP14" localSheetId="38">#REF!</definedName>
    <definedName name="UPSOP14">#REF!</definedName>
    <definedName name="UPSOP15" localSheetId="3">#REF!</definedName>
    <definedName name="UPSOP15" localSheetId="7">#REF!</definedName>
    <definedName name="UPSOP15" localSheetId="9">#REF!</definedName>
    <definedName name="UPSOP15" localSheetId="10">#REF!</definedName>
    <definedName name="UPSOP15" localSheetId="15">#REF!</definedName>
    <definedName name="UPSOP15" localSheetId="19">#REF!</definedName>
    <definedName name="UPSOP15" localSheetId="20">#REF!</definedName>
    <definedName name="UPSOP15" localSheetId="24">#REF!</definedName>
    <definedName name="UPSOP15" localSheetId="104">#REF!</definedName>
    <definedName name="UPSOP15" localSheetId="65">#REF!</definedName>
    <definedName name="UPSOP15" localSheetId="64">#REF!</definedName>
    <definedName name="UPSOP15" localSheetId="77">#REF!</definedName>
    <definedName name="UPSOP15" localSheetId="49">#REF!</definedName>
    <definedName name="UPSOP15" localSheetId="40">#REF!</definedName>
    <definedName name="UPSOP15" localSheetId="43">#REF!</definedName>
    <definedName name="UPSOP15" localSheetId="13">#REF!</definedName>
    <definedName name="UPSOP15" localSheetId="38">#REF!</definedName>
    <definedName name="UPSOP15">#REF!</definedName>
    <definedName name="UPSOP2" localSheetId="3">#REF!</definedName>
    <definedName name="UPSOP2" localSheetId="7">#REF!</definedName>
    <definedName name="UPSOP2" localSheetId="9">#REF!</definedName>
    <definedName name="UPSOP2" localSheetId="10">#REF!</definedName>
    <definedName name="UPSOP2" localSheetId="15">#REF!</definedName>
    <definedName name="UPSOP2" localSheetId="19">#REF!</definedName>
    <definedName name="UPSOP2" localSheetId="20">#REF!</definedName>
    <definedName name="UPSOP2" localSheetId="24">#REF!</definedName>
    <definedName name="UPSOP2" localSheetId="104">#REF!</definedName>
    <definedName name="UPSOP2" localSheetId="65">#REF!</definedName>
    <definedName name="UPSOP2" localSheetId="64">#REF!</definedName>
    <definedName name="UPSOP2" localSheetId="77">#REF!</definedName>
    <definedName name="UPSOP2" localSheetId="49">#REF!</definedName>
    <definedName name="UPSOP2" localSheetId="40">#REF!</definedName>
    <definedName name="UPSOP2" localSheetId="43">#REF!</definedName>
    <definedName name="UPSOP2" localSheetId="13">#REF!</definedName>
    <definedName name="UPSOP2" localSheetId="38">#REF!</definedName>
    <definedName name="UPSOP2">#REF!</definedName>
    <definedName name="UPSOP3" localSheetId="3">#REF!</definedName>
    <definedName name="UPSOP3" localSheetId="7">#REF!</definedName>
    <definedName name="UPSOP3" localSheetId="9">#REF!</definedName>
    <definedName name="UPSOP3" localSheetId="10">#REF!</definedName>
    <definedName name="UPSOP3" localSheetId="15">#REF!</definedName>
    <definedName name="UPSOP3" localSheetId="19">#REF!</definedName>
    <definedName name="UPSOP3" localSheetId="20">#REF!</definedName>
    <definedName name="UPSOP3" localSheetId="24">#REF!</definedName>
    <definedName name="UPSOP3" localSheetId="104">#REF!</definedName>
    <definedName name="UPSOP3" localSheetId="65">#REF!</definedName>
    <definedName name="UPSOP3" localSheetId="64">#REF!</definedName>
    <definedName name="UPSOP3" localSheetId="77">#REF!</definedName>
    <definedName name="UPSOP3" localSheetId="49">#REF!</definedName>
    <definedName name="UPSOP3" localSheetId="40">#REF!</definedName>
    <definedName name="UPSOP3" localSheetId="43">#REF!</definedName>
    <definedName name="UPSOP3" localSheetId="13">#REF!</definedName>
    <definedName name="UPSOP3" localSheetId="38">#REF!</definedName>
    <definedName name="UPSOP3">#REF!</definedName>
    <definedName name="UPSOP4" localSheetId="3">#REF!</definedName>
    <definedName name="UPSOP4" localSheetId="7">#REF!</definedName>
    <definedName name="UPSOP4" localSheetId="9">#REF!</definedName>
    <definedName name="UPSOP4" localSheetId="10">#REF!</definedName>
    <definedName name="UPSOP4" localSheetId="15">#REF!</definedName>
    <definedName name="UPSOP4" localSheetId="19">#REF!</definedName>
    <definedName name="UPSOP4" localSheetId="20">#REF!</definedName>
    <definedName name="UPSOP4" localSheetId="24">#REF!</definedName>
    <definedName name="UPSOP4" localSheetId="104">#REF!</definedName>
    <definedName name="UPSOP4" localSheetId="65">#REF!</definedName>
    <definedName name="UPSOP4" localSheetId="64">#REF!</definedName>
    <definedName name="UPSOP4" localSheetId="77">#REF!</definedName>
    <definedName name="UPSOP4" localSheetId="49">#REF!</definedName>
    <definedName name="UPSOP4" localSheetId="40">#REF!</definedName>
    <definedName name="UPSOP4" localSheetId="43">#REF!</definedName>
    <definedName name="UPSOP4" localSheetId="13">#REF!</definedName>
    <definedName name="UPSOP4" localSheetId="38">#REF!</definedName>
    <definedName name="UPSOP4">#REF!</definedName>
    <definedName name="UPSOP5" localSheetId="3">#REF!</definedName>
    <definedName name="UPSOP5" localSheetId="7">#REF!</definedName>
    <definedName name="UPSOP5" localSheetId="9">#REF!</definedName>
    <definedName name="UPSOP5" localSheetId="10">#REF!</definedName>
    <definedName name="UPSOP5" localSheetId="15">#REF!</definedName>
    <definedName name="UPSOP5" localSheetId="19">#REF!</definedName>
    <definedName name="UPSOP5" localSheetId="20">#REF!</definedName>
    <definedName name="UPSOP5" localSheetId="24">#REF!</definedName>
    <definedName name="UPSOP5" localSheetId="104">#REF!</definedName>
    <definedName name="UPSOP5" localSheetId="65">#REF!</definedName>
    <definedName name="UPSOP5" localSheetId="64">#REF!</definedName>
    <definedName name="UPSOP5" localSheetId="77">#REF!</definedName>
    <definedName name="UPSOP5" localSheetId="49">#REF!</definedName>
    <definedName name="UPSOP5" localSheetId="40">#REF!</definedName>
    <definedName name="UPSOP5" localSheetId="43">#REF!</definedName>
    <definedName name="UPSOP5" localSheetId="13">#REF!</definedName>
    <definedName name="UPSOP5" localSheetId="38">#REF!</definedName>
    <definedName name="UPSOP5">#REF!</definedName>
    <definedName name="UPSOP6" localSheetId="3">#REF!</definedName>
    <definedName name="UPSOP6" localSheetId="7">#REF!</definedName>
    <definedName name="UPSOP6" localSheetId="9">#REF!</definedName>
    <definedName name="UPSOP6" localSheetId="10">#REF!</definedName>
    <definedName name="UPSOP6" localSheetId="15">#REF!</definedName>
    <definedName name="UPSOP6" localSheetId="19">#REF!</definedName>
    <definedName name="UPSOP6" localSheetId="20">#REF!</definedName>
    <definedName name="UPSOP6" localSheetId="24">#REF!</definedName>
    <definedName name="UPSOP6" localSheetId="104">#REF!</definedName>
    <definedName name="UPSOP6" localSheetId="65">#REF!</definedName>
    <definedName name="UPSOP6" localSheetId="64">#REF!</definedName>
    <definedName name="UPSOP6" localSheetId="77">#REF!</definedName>
    <definedName name="UPSOP6" localSheetId="49">#REF!</definedName>
    <definedName name="UPSOP6" localSheetId="40">#REF!</definedName>
    <definedName name="UPSOP6" localSheetId="43">#REF!</definedName>
    <definedName name="UPSOP6" localSheetId="13">#REF!</definedName>
    <definedName name="UPSOP6" localSheetId="38">#REF!</definedName>
    <definedName name="UPSOP6">#REF!</definedName>
    <definedName name="UPSOP7" localSheetId="3">#REF!</definedName>
    <definedName name="UPSOP7" localSheetId="7">#REF!</definedName>
    <definedName name="UPSOP7" localSheetId="9">#REF!</definedName>
    <definedName name="UPSOP7" localSheetId="10">#REF!</definedName>
    <definedName name="UPSOP7" localSheetId="15">#REF!</definedName>
    <definedName name="UPSOP7" localSheetId="19">#REF!</definedName>
    <definedName name="UPSOP7" localSheetId="20">#REF!</definedName>
    <definedName name="UPSOP7" localSheetId="24">#REF!</definedName>
    <definedName name="UPSOP7" localSheetId="104">#REF!</definedName>
    <definedName name="UPSOP7" localSheetId="65">#REF!</definedName>
    <definedName name="UPSOP7" localSheetId="64">#REF!</definedName>
    <definedName name="UPSOP7" localSheetId="77">#REF!</definedName>
    <definedName name="UPSOP7" localSheetId="49">#REF!</definedName>
    <definedName name="UPSOP7" localSheetId="40">#REF!</definedName>
    <definedName name="UPSOP7" localSheetId="43">#REF!</definedName>
    <definedName name="UPSOP7" localSheetId="13">#REF!</definedName>
    <definedName name="UPSOP7" localSheetId="38">#REF!</definedName>
    <definedName name="UPSOP7">#REF!</definedName>
    <definedName name="UPSOP8" localSheetId="3">#REF!</definedName>
    <definedName name="UPSOP8" localSheetId="7">#REF!</definedName>
    <definedName name="UPSOP8" localSheetId="9">#REF!</definedName>
    <definedName name="UPSOP8" localSheetId="10">#REF!</definedName>
    <definedName name="UPSOP8" localSheetId="15">#REF!</definedName>
    <definedName name="UPSOP8" localSheetId="19">#REF!</definedName>
    <definedName name="UPSOP8" localSheetId="20">#REF!</definedName>
    <definedName name="UPSOP8" localSheetId="24">#REF!</definedName>
    <definedName name="UPSOP8" localSheetId="104">#REF!</definedName>
    <definedName name="UPSOP8" localSheetId="65">#REF!</definedName>
    <definedName name="UPSOP8" localSheetId="64">#REF!</definedName>
    <definedName name="UPSOP8" localSheetId="77">#REF!</definedName>
    <definedName name="UPSOP8" localSheetId="49">#REF!</definedName>
    <definedName name="UPSOP8" localSheetId="40">#REF!</definedName>
    <definedName name="UPSOP8" localSheetId="43">#REF!</definedName>
    <definedName name="UPSOP8" localSheetId="13">#REF!</definedName>
    <definedName name="UPSOP8" localSheetId="38">#REF!</definedName>
    <definedName name="UPSOP8">#REF!</definedName>
    <definedName name="UPSOP9" localSheetId="3">#REF!</definedName>
    <definedName name="UPSOP9" localSheetId="7">#REF!</definedName>
    <definedName name="UPSOP9" localSheetId="9">#REF!</definedName>
    <definedName name="UPSOP9" localSheetId="10">#REF!</definedName>
    <definedName name="UPSOP9" localSheetId="15">#REF!</definedName>
    <definedName name="UPSOP9" localSheetId="19">#REF!</definedName>
    <definedName name="UPSOP9" localSheetId="20">#REF!</definedName>
    <definedName name="UPSOP9" localSheetId="24">#REF!</definedName>
    <definedName name="UPSOP9" localSheetId="104">#REF!</definedName>
    <definedName name="UPSOP9" localSheetId="65">#REF!</definedName>
    <definedName name="UPSOP9" localSheetId="64">#REF!</definedName>
    <definedName name="UPSOP9" localSheetId="77">#REF!</definedName>
    <definedName name="UPSOP9" localSheetId="49">#REF!</definedName>
    <definedName name="UPSOP9" localSheetId="40">#REF!</definedName>
    <definedName name="UPSOP9" localSheetId="43">#REF!</definedName>
    <definedName name="UPSOP9" localSheetId="13">#REF!</definedName>
    <definedName name="UPSOP9" localSheetId="38">#REF!</definedName>
    <definedName name="UPSOP9">#REF!</definedName>
    <definedName name="Uptime" localSheetId="3">#REF!</definedName>
    <definedName name="Uptime" localSheetId="7">#REF!</definedName>
    <definedName name="Uptime" localSheetId="9">#REF!</definedName>
    <definedName name="Uptime" localSheetId="10">#REF!</definedName>
    <definedName name="Uptime" localSheetId="15">#REF!</definedName>
    <definedName name="Uptime" localSheetId="19">#REF!</definedName>
    <definedName name="Uptime" localSheetId="20">#REF!</definedName>
    <definedName name="Uptime" localSheetId="24">#REF!</definedName>
    <definedName name="Uptime" localSheetId="104">#REF!</definedName>
    <definedName name="Uptime" localSheetId="65">#REF!</definedName>
    <definedName name="Uptime" localSheetId="64">#REF!</definedName>
    <definedName name="Uptime" localSheetId="77">#REF!</definedName>
    <definedName name="Uptime" localSheetId="49">#REF!</definedName>
    <definedName name="Uptime" localSheetId="40">#REF!</definedName>
    <definedName name="Uptime" localSheetId="43">#REF!</definedName>
    <definedName name="Uptime" localSheetId="13">#REF!</definedName>
    <definedName name="Uptime" localSheetId="38">#REF!</definedName>
    <definedName name="Uptime">#REF!</definedName>
    <definedName name="UVDEXOP1" localSheetId="3">#REF!</definedName>
    <definedName name="UVDEXOP1" localSheetId="7">#REF!</definedName>
    <definedName name="UVDEXOP1" localSheetId="9">#REF!</definedName>
    <definedName name="UVDEXOP1" localSheetId="10">#REF!</definedName>
    <definedName name="UVDEXOP1" localSheetId="15">#REF!</definedName>
    <definedName name="UVDEXOP1" localSheetId="19">#REF!</definedName>
    <definedName name="UVDEXOP1" localSheetId="20">#REF!</definedName>
    <definedName name="UVDEXOP1" localSheetId="24">#REF!</definedName>
    <definedName name="UVDEXOP1" localSheetId="104">#REF!</definedName>
    <definedName name="UVDEXOP1" localSheetId="65">#REF!</definedName>
    <definedName name="UVDEXOP1" localSheetId="64">#REF!</definedName>
    <definedName name="UVDEXOP1" localSheetId="77">#REF!</definedName>
    <definedName name="UVDEXOP1" localSheetId="49">#REF!</definedName>
    <definedName name="UVDEXOP1" localSheetId="40">#REF!</definedName>
    <definedName name="UVDEXOP1" localSheetId="43">#REF!</definedName>
    <definedName name="UVDEXOP1" localSheetId="13">#REF!</definedName>
    <definedName name="UVDEXOP1" localSheetId="38">#REF!</definedName>
    <definedName name="UVDEXOP1">#REF!</definedName>
    <definedName name="UVDEXOP2" localSheetId="3">#REF!</definedName>
    <definedName name="UVDEXOP2" localSheetId="7">#REF!</definedName>
    <definedName name="UVDEXOP2" localSheetId="9">#REF!</definedName>
    <definedName name="UVDEXOP2" localSheetId="10">#REF!</definedName>
    <definedName name="UVDEXOP2" localSheetId="15">#REF!</definedName>
    <definedName name="UVDEXOP2" localSheetId="19">#REF!</definedName>
    <definedName name="UVDEXOP2" localSheetId="20">#REF!</definedName>
    <definedName name="UVDEXOP2" localSheetId="24">#REF!</definedName>
    <definedName name="UVDEXOP2" localSheetId="104">#REF!</definedName>
    <definedName name="UVDEXOP2" localSheetId="65">#REF!</definedName>
    <definedName name="UVDEXOP2" localSheetId="64">#REF!</definedName>
    <definedName name="UVDEXOP2" localSheetId="77">#REF!</definedName>
    <definedName name="UVDEXOP2" localSheetId="49">#REF!</definedName>
    <definedName name="UVDEXOP2" localSheetId="40">#REF!</definedName>
    <definedName name="UVDEXOP2" localSheetId="43">#REF!</definedName>
    <definedName name="UVDEXOP2" localSheetId="13">#REF!</definedName>
    <definedName name="UVDEXOP2" localSheetId="38">#REF!</definedName>
    <definedName name="UVDEXOP2">#REF!</definedName>
    <definedName name="UVLEXOP1" localSheetId="3">#REF!</definedName>
    <definedName name="UVLEXOP1" localSheetId="7">#REF!</definedName>
    <definedName name="UVLEXOP1" localSheetId="9">#REF!</definedName>
    <definedName name="UVLEXOP1" localSheetId="10">#REF!</definedName>
    <definedName name="UVLEXOP1" localSheetId="15">#REF!</definedName>
    <definedName name="UVLEXOP1" localSheetId="19">#REF!</definedName>
    <definedName name="UVLEXOP1" localSheetId="20">#REF!</definedName>
    <definedName name="UVLEXOP1" localSheetId="24">#REF!</definedName>
    <definedName name="UVLEXOP1" localSheetId="104">#REF!</definedName>
    <definedName name="UVLEXOP1" localSheetId="65">#REF!</definedName>
    <definedName name="UVLEXOP1" localSheetId="64">#REF!</definedName>
    <definedName name="UVLEXOP1" localSheetId="77">#REF!</definedName>
    <definedName name="UVLEXOP1" localSheetId="49">#REF!</definedName>
    <definedName name="UVLEXOP1" localSheetId="40">#REF!</definedName>
    <definedName name="UVLEXOP1" localSheetId="43">#REF!</definedName>
    <definedName name="UVLEXOP1" localSheetId="13">#REF!</definedName>
    <definedName name="UVLEXOP1" localSheetId="38">#REF!</definedName>
    <definedName name="UVLEXOP1">#REF!</definedName>
    <definedName name="UVLEXOP2" localSheetId="3">#REF!</definedName>
    <definedName name="UVLEXOP2" localSheetId="7">#REF!</definedName>
    <definedName name="UVLEXOP2" localSheetId="9">#REF!</definedName>
    <definedName name="UVLEXOP2" localSheetId="10">#REF!</definedName>
    <definedName name="UVLEXOP2" localSheetId="15">#REF!</definedName>
    <definedName name="UVLEXOP2" localSheetId="19">#REF!</definedName>
    <definedName name="UVLEXOP2" localSheetId="20">#REF!</definedName>
    <definedName name="UVLEXOP2" localSheetId="24">#REF!</definedName>
    <definedName name="UVLEXOP2" localSheetId="104">#REF!</definedName>
    <definedName name="UVLEXOP2" localSheetId="65">#REF!</definedName>
    <definedName name="UVLEXOP2" localSheetId="64">#REF!</definedName>
    <definedName name="UVLEXOP2" localSheetId="77">#REF!</definedName>
    <definedName name="UVLEXOP2" localSheetId="49">#REF!</definedName>
    <definedName name="UVLEXOP2" localSheetId="40">#REF!</definedName>
    <definedName name="UVLEXOP2" localSheetId="43">#REF!</definedName>
    <definedName name="UVLEXOP2" localSheetId="13">#REF!</definedName>
    <definedName name="UVLEXOP2" localSheetId="38">#REF!</definedName>
    <definedName name="UVLEXOP2">#REF!</definedName>
    <definedName name="UVLOP1" localSheetId="3">#REF!</definedName>
    <definedName name="UVLOP1" localSheetId="7">#REF!</definedName>
    <definedName name="UVLOP1" localSheetId="9">#REF!</definedName>
    <definedName name="UVLOP1" localSheetId="10">#REF!</definedName>
    <definedName name="UVLOP1" localSheetId="15">#REF!</definedName>
    <definedName name="UVLOP1" localSheetId="19">#REF!</definedName>
    <definedName name="UVLOP1" localSheetId="20">#REF!</definedName>
    <definedName name="UVLOP1" localSheetId="24">#REF!</definedName>
    <definedName name="UVLOP1" localSheetId="104">#REF!</definedName>
    <definedName name="UVLOP1" localSheetId="65">#REF!</definedName>
    <definedName name="UVLOP1" localSheetId="64">#REF!</definedName>
    <definedName name="UVLOP1" localSheetId="77">#REF!</definedName>
    <definedName name="UVLOP1" localSheetId="49">#REF!</definedName>
    <definedName name="UVLOP1" localSheetId="40">#REF!</definedName>
    <definedName name="UVLOP1" localSheetId="43">#REF!</definedName>
    <definedName name="UVLOP1" localSheetId="13">#REF!</definedName>
    <definedName name="UVLOP1" localSheetId="38">#REF!</definedName>
    <definedName name="UVLOP1">#REF!</definedName>
    <definedName name="UVLOP10" localSheetId="3">#REF!</definedName>
    <definedName name="UVLOP10" localSheetId="7">#REF!</definedName>
    <definedName name="UVLOP10" localSheetId="9">#REF!</definedName>
    <definedName name="UVLOP10" localSheetId="10">#REF!</definedName>
    <definedName name="UVLOP10" localSheetId="15">#REF!</definedName>
    <definedName name="UVLOP10" localSheetId="19">#REF!</definedName>
    <definedName name="UVLOP10" localSheetId="20">#REF!</definedName>
    <definedName name="UVLOP10" localSheetId="24">#REF!</definedName>
    <definedName name="UVLOP10" localSheetId="104">#REF!</definedName>
    <definedName name="UVLOP10" localSheetId="65">#REF!</definedName>
    <definedName name="UVLOP10" localSheetId="64">#REF!</definedName>
    <definedName name="UVLOP10" localSheetId="77">#REF!</definedName>
    <definedName name="UVLOP10" localSheetId="49">#REF!</definedName>
    <definedName name="UVLOP10" localSheetId="40">#REF!</definedName>
    <definedName name="UVLOP10" localSheetId="43">#REF!</definedName>
    <definedName name="UVLOP10" localSheetId="13">#REF!</definedName>
    <definedName name="UVLOP10" localSheetId="38">#REF!</definedName>
    <definedName name="UVLOP10">#REF!</definedName>
    <definedName name="UVLOP11" localSheetId="3">#REF!</definedName>
    <definedName name="UVLOP11" localSheetId="7">#REF!</definedName>
    <definedName name="UVLOP11" localSheetId="9">#REF!</definedName>
    <definedName name="UVLOP11" localSheetId="10">#REF!</definedName>
    <definedName name="UVLOP11" localSheetId="15">#REF!</definedName>
    <definedName name="UVLOP11" localSheetId="19">#REF!</definedName>
    <definedName name="UVLOP11" localSheetId="20">#REF!</definedName>
    <definedName name="UVLOP11" localSheetId="24">#REF!</definedName>
    <definedName name="UVLOP11" localSheetId="104">#REF!</definedName>
    <definedName name="UVLOP11" localSheetId="65">#REF!</definedName>
    <definedName name="UVLOP11" localSheetId="64">#REF!</definedName>
    <definedName name="UVLOP11" localSheetId="77">#REF!</definedName>
    <definedName name="UVLOP11" localSheetId="49">#REF!</definedName>
    <definedName name="UVLOP11" localSheetId="40">#REF!</definedName>
    <definedName name="UVLOP11" localSheetId="43">#REF!</definedName>
    <definedName name="UVLOP11" localSheetId="13">#REF!</definedName>
    <definedName name="UVLOP11" localSheetId="38">#REF!</definedName>
    <definedName name="UVLOP11">#REF!</definedName>
    <definedName name="UVLOP12" localSheetId="3">#REF!</definedName>
    <definedName name="UVLOP12" localSheetId="7">#REF!</definedName>
    <definedName name="UVLOP12" localSheetId="9">#REF!</definedName>
    <definedName name="UVLOP12" localSheetId="10">#REF!</definedName>
    <definedName name="UVLOP12" localSheetId="15">#REF!</definedName>
    <definedName name="UVLOP12" localSheetId="19">#REF!</definedName>
    <definedName name="UVLOP12" localSheetId="20">#REF!</definedName>
    <definedName name="UVLOP12" localSheetId="24">#REF!</definedName>
    <definedName name="UVLOP12" localSheetId="104">#REF!</definedName>
    <definedName name="UVLOP12" localSheetId="65">#REF!</definedName>
    <definedName name="UVLOP12" localSheetId="64">#REF!</definedName>
    <definedName name="UVLOP12" localSheetId="77">#REF!</definedName>
    <definedName name="UVLOP12" localSheetId="49">#REF!</definedName>
    <definedName name="UVLOP12" localSheetId="40">#REF!</definedName>
    <definedName name="UVLOP12" localSheetId="43">#REF!</definedName>
    <definedName name="UVLOP12" localSheetId="13">#REF!</definedName>
    <definedName name="UVLOP12" localSheetId="38">#REF!</definedName>
    <definedName name="UVLOP12">#REF!</definedName>
    <definedName name="UVLOP13" localSheetId="3">#REF!</definedName>
    <definedName name="UVLOP13" localSheetId="7">#REF!</definedName>
    <definedName name="UVLOP13" localSheetId="9">#REF!</definedName>
    <definedName name="UVLOP13" localSheetId="10">#REF!</definedName>
    <definedName name="UVLOP13" localSheetId="15">#REF!</definedName>
    <definedName name="UVLOP13" localSheetId="19">#REF!</definedName>
    <definedName name="UVLOP13" localSheetId="20">#REF!</definedName>
    <definedName name="UVLOP13" localSheetId="24">#REF!</definedName>
    <definedName name="UVLOP13" localSheetId="104">#REF!</definedName>
    <definedName name="UVLOP13" localSheetId="65">#REF!</definedName>
    <definedName name="UVLOP13" localSheetId="64">#REF!</definedName>
    <definedName name="UVLOP13" localSheetId="77">#REF!</definedName>
    <definedName name="UVLOP13" localSheetId="49">#REF!</definedName>
    <definedName name="UVLOP13" localSheetId="40">#REF!</definedName>
    <definedName name="UVLOP13" localSheetId="43">#REF!</definedName>
    <definedName name="UVLOP13" localSheetId="13">#REF!</definedName>
    <definedName name="UVLOP13" localSheetId="38">#REF!</definedName>
    <definedName name="UVLOP13">#REF!</definedName>
    <definedName name="UVLOP14" localSheetId="3">#REF!</definedName>
    <definedName name="UVLOP14" localSheetId="7">#REF!</definedName>
    <definedName name="UVLOP14" localSheetId="9">#REF!</definedName>
    <definedName name="UVLOP14" localSheetId="10">#REF!</definedName>
    <definedName name="UVLOP14" localSheetId="15">#REF!</definedName>
    <definedName name="UVLOP14" localSheetId="19">#REF!</definedName>
    <definedName name="UVLOP14" localSheetId="20">#REF!</definedName>
    <definedName name="UVLOP14" localSheetId="24">#REF!</definedName>
    <definedName name="UVLOP14" localSheetId="104">#REF!</definedName>
    <definedName name="UVLOP14" localSheetId="65">#REF!</definedName>
    <definedName name="UVLOP14" localSheetId="64">#REF!</definedName>
    <definedName name="UVLOP14" localSheetId="77">#REF!</definedName>
    <definedName name="UVLOP14" localSheetId="49">#REF!</definedName>
    <definedName name="UVLOP14" localSheetId="40">#REF!</definedName>
    <definedName name="UVLOP14" localSheetId="43">#REF!</definedName>
    <definedName name="UVLOP14" localSheetId="13">#REF!</definedName>
    <definedName name="UVLOP14" localSheetId="38">#REF!</definedName>
    <definedName name="UVLOP14">#REF!</definedName>
    <definedName name="UVLOP15" localSheetId="3">#REF!</definedName>
    <definedName name="UVLOP15" localSheetId="7">#REF!</definedName>
    <definedName name="UVLOP15" localSheetId="9">#REF!</definedName>
    <definedName name="UVLOP15" localSheetId="10">#REF!</definedName>
    <definedName name="UVLOP15" localSheetId="15">#REF!</definedName>
    <definedName name="UVLOP15" localSheetId="19">#REF!</definedName>
    <definedName name="UVLOP15" localSheetId="20">#REF!</definedName>
    <definedName name="UVLOP15" localSheetId="24">#REF!</definedName>
    <definedName name="UVLOP15" localSheetId="104">#REF!</definedName>
    <definedName name="UVLOP15" localSheetId="65">#REF!</definedName>
    <definedName name="UVLOP15" localSheetId="64">#REF!</definedName>
    <definedName name="UVLOP15" localSheetId="77">#REF!</definedName>
    <definedName name="UVLOP15" localSheetId="49">#REF!</definedName>
    <definedName name="UVLOP15" localSheetId="40">#REF!</definedName>
    <definedName name="UVLOP15" localSheetId="43">#REF!</definedName>
    <definedName name="UVLOP15" localSheetId="13">#REF!</definedName>
    <definedName name="UVLOP15" localSheetId="38">#REF!</definedName>
    <definedName name="UVLOP15">#REF!</definedName>
    <definedName name="UVLOP2" localSheetId="3">#REF!</definedName>
    <definedName name="UVLOP2" localSheetId="7">#REF!</definedName>
    <definedName name="UVLOP2" localSheetId="9">#REF!</definedName>
    <definedName name="UVLOP2" localSheetId="10">#REF!</definedName>
    <definedName name="UVLOP2" localSheetId="15">#REF!</definedName>
    <definedName name="UVLOP2" localSheetId="19">#REF!</definedName>
    <definedName name="UVLOP2" localSheetId="20">#REF!</definedName>
    <definedName name="UVLOP2" localSheetId="24">#REF!</definedName>
    <definedName name="UVLOP2" localSheetId="104">#REF!</definedName>
    <definedName name="UVLOP2" localSheetId="65">#REF!</definedName>
    <definedName name="UVLOP2" localSheetId="64">#REF!</definedName>
    <definedName name="UVLOP2" localSheetId="77">#REF!</definedName>
    <definedName name="UVLOP2" localSheetId="49">#REF!</definedName>
    <definedName name="UVLOP2" localSheetId="40">#REF!</definedName>
    <definedName name="UVLOP2" localSheetId="43">#REF!</definedName>
    <definedName name="UVLOP2" localSheetId="13">#REF!</definedName>
    <definedName name="UVLOP2" localSheetId="38">#REF!</definedName>
    <definedName name="UVLOP2">#REF!</definedName>
    <definedName name="UVLOP3" localSheetId="3">#REF!</definedName>
    <definedName name="UVLOP3" localSheetId="7">#REF!</definedName>
    <definedName name="UVLOP3" localSheetId="9">#REF!</definedName>
    <definedName name="UVLOP3" localSheetId="10">#REF!</definedName>
    <definedName name="UVLOP3" localSheetId="15">#REF!</definedName>
    <definedName name="UVLOP3" localSheetId="19">#REF!</definedName>
    <definedName name="UVLOP3" localSheetId="20">#REF!</definedName>
    <definedName name="UVLOP3" localSheetId="24">#REF!</definedName>
    <definedName name="UVLOP3" localSheetId="104">#REF!</definedName>
    <definedName name="UVLOP3" localSheetId="65">#REF!</definedName>
    <definedName name="UVLOP3" localSheetId="64">#REF!</definedName>
    <definedName name="UVLOP3" localSheetId="77">#REF!</definedName>
    <definedName name="UVLOP3" localSheetId="49">#REF!</definedName>
    <definedName name="UVLOP3" localSheetId="40">#REF!</definedName>
    <definedName name="UVLOP3" localSheetId="43">#REF!</definedName>
    <definedName name="UVLOP3" localSheetId="13">#REF!</definedName>
    <definedName name="UVLOP3" localSheetId="38">#REF!</definedName>
    <definedName name="UVLOP3">#REF!</definedName>
    <definedName name="UVLOP4" localSheetId="3">#REF!</definedName>
    <definedName name="UVLOP4" localSheetId="7">#REF!</definedName>
    <definedName name="UVLOP4" localSheetId="9">#REF!</definedName>
    <definedName name="UVLOP4" localSheetId="10">#REF!</definedName>
    <definedName name="UVLOP4" localSheetId="15">#REF!</definedName>
    <definedName name="UVLOP4" localSheetId="19">#REF!</definedName>
    <definedName name="UVLOP4" localSheetId="20">#REF!</definedName>
    <definedName name="UVLOP4" localSheetId="24">#REF!</definedName>
    <definedName name="UVLOP4" localSheetId="104">#REF!</definedName>
    <definedName name="UVLOP4" localSheetId="65">#REF!</definedName>
    <definedName name="UVLOP4" localSheetId="64">#REF!</definedName>
    <definedName name="UVLOP4" localSheetId="77">#REF!</definedName>
    <definedName name="UVLOP4" localSheetId="49">#REF!</definedName>
    <definedName name="UVLOP4" localSheetId="40">#REF!</definedName>
    <definedName name="UVLOP4" localSheetId="43">#REF!</definedName>
    <definedName name="UVLOP4" localSheetId="13">#REF!</definedName>
    <definedName name="UVLOP4" localSheetId="38">#REF!</definedName>
    <definedName name="UVLOP4">#REF!</definedName>
    <definedName name="UVLOP5" localSheetId="3">#REF!</definedName>
    <definedName name="UVLOP5" localSheetId="7">#REF!</definedName>
    <definedName name="UVLOP5" localSheetId="9">#REF!</definedName>
    <definedName name="UVLOP5" localSheetId="10">#REF!</definedName>
    <definedName name="UVLOP5" localSheetId="15">#REF!</definedName>
    <definedName name="UVLOP5" localSheetId="19">#REF!</definedName>
    <definedName name="UVLOP5" localSheetId="20">#REF!</definedName>
    <definedName name="UVLOP5" localSheetId="24">#REF!</definedName>
    <definedName name="UVLOP5" localSheetId="104">#REF!</definedName>
    <definedName name="UVLOP5" localSheetId="65">#REF!</definedName>
    <definedName name="UVLOP5" localSheetId="64">#REF!</definedName>
    <definedName name="UVLOP5" localSheetId="77">#REF!</definedName>
    <definedName name="UVLOP5" localSheetId="49">#REF!</definedName>
    <definedName name="UVLOP5" localSheetId="40">#REF!</definedName>
    <definedName name="UVLOP5" localSheetId="43">#REF!</definedName>
    <definedName name="UVLOP5" localSheetId="13">#REF!</definedName>
    <definedName name="UVLOP5" localSheetId="38">#REF!</definedName>
    <definedName name="UVLOP5">#REF!</definedName>
    <definedName name="UVLOP6" localSheetId="3">#REF!</definedName>
    <definedName name="UVLOP6" localSheetId="7">#REF!</definedName>
    <definedName name="UVLOP6" localSheetId="9">#REF!</definedName>
    <definedName name="UVLOP6" localSheetId="10">#REF!</definedName>
    <definedName name="UVLOP6" localSheetId="15">#REF!</definedName>
    <definedName name="UVLOP6" localSheetId="19">#REF!</definedName>
    <definedName name="UVLOP6" localSheetId="20">#REF!</definedName>
    <definedName name="UVLOP6" localSheetId="24">#REF!</definedName>
    <definedName name="UVLOP6" localSheetId="104">#REF!</definedName>
    <definedName name="UVLOP6" localSheetId="65">#REF!</definedName>
    <definedName name="UVLOP6" localSheetId="64">#REF!</definedName>
    <definedName name="UVLOP6" localSheetId="77">#REF!</definedName>
    <definedName name="UVLOP6" localSheetId="49">#REF!</definedName>
    <definedName name="UVLOP6" localSheetId="40">#REF!</definedName>
    <definedName name="UVLOP6" localSheetId="43">#REF!</definedName>
    <definedName name="UVLOP6" localSheetId="13">#REF!</definedName>
    <definedName name="UVLOP6" localSheetId="38">#REF!</definedName>
    <definedName name="UVLOP6">#REF!</definedName>
    <definedName name="UVLOP7" localSheetId="3">#REF!</definedName>
    <definedName name="UVLOP7" localSheetId="7">#REF!</definedName>
    <definedName name="UVLOP7" localSheetId="9">#REF!</definedName>
    <definedName name="UVLOP7" localSheetId="10">#REF!</definedName>
    <definedName name="UVLOP7" localSheetId="15">#REF!</definedName>
    <definedName name="UVLOP7" localSheetId="19">#REF!</definedName>
    <definedName name="UVLOP7" localSheetId="20">#REF!</definedName>
    <definedName name="UVLOP7" localSheetId="24">#REF!</definedName>
    <definedName name="UVLOP7" localSheetId="104">#REF!</definedName>
    <definedName name="UVLOP7" localSheetId="65">#REF!</definedName>
    <definedName name="UVLOP7" localSheetId="64">#REF!</definedName>
    <definedName name="UVLOP7" localSheetId="77">#REF!</definedName>
    <definedName name="UVLOP7" localSheetId="49">#REF!</definedName>
    <definedName name="UVLOP7" localSheetId="40">#REF!</definedName>
    <definedName name="UVLOP7" localSheetId="43">#REF!</definedName>
    <definedName name="UVLOP7" localSheetId="13">#REF!</definedName>
    <definedName name="UVLOP7" localSheetId="38">#REF!</definedName>
    <definedName name="UVLOP7">#REF!</definedName>
    <definedName name="UVLOP8" localSheetId="3">#REF!</definedName>
    <definedName name="UVLOP8" localSheetId="7">#REF!</definedName>
    <definedName name="UVLOP8" localSheetId="9">#REF!</definedName>
    <definedName name="UVLOP8" localSheetId="10">#REF!</definedName>
    <definedName name="UVLOP8" localSheetId="15">#REF!</definedName>
    <definedName name="UVLOP8" localSheetId="19">#REF!</definedName>
    <definedName name="UVLOP8" localSheetId="20">#REF!</definedName>
    <definedName name="UVLOP8" localSheetId="24">#REF!</definedName>
    <definedName name="UVLOP8" localSheetId="104">#REF!</definedName>
    <definedName name="UVLOP8" localSheetId="65">#REF!</definedName>
    <definedName name="UVLOP8" localSheetId="64">#REF!</definedName>
    <definedName name="UVLOP8" localSheetId="77">#REF!</definedName>
    <definedName name="UVLOP8" localSheetId="49">#REF!</definedName>
    <definedName name="UVLOP8" localSheetId="40">#REF!</definedName>
    <definedName name="UVLOP8" localSheetId="43">#REF!</definedName>
    <definedName name="UVLOP8" localSheetId="13">#REF!</definedName>
    <definedName name="UVLOP8" localSheetId="38">#REF!</definedName>
    <definedName name="UVLOP8">#REF!</definedName>
    <definedName name="UVLOP9" localSheetId="3">#REF!</definedName>
    <definedName name="UVLOP9" localSheetId="7">#REF!</definedName>
    <definedName name="UVLOP9" localSheetId="9">#REF!</definedName>
    <definedName name="UVLOP9" localSheetId="10">#REF!</definedName>
    <definedName name="UVLOP9" localSheetId="15">#REF!</definedName>
    <definedName name="UVLOP9" localSheetId="19">#REF!</definedName>
    <definedName name="UVLOP9" localSheetId="20">#REF!</definedName>
    <definedName name="UVLOP9" localSheetId="24">#REF!</definedName>
    <definedName name="UVLOP9" localSheetId="104">#REF!</definedName>
    <definedName name="UVLOP9" localSheetId="65">#REF!</definedName>
    <definedName name="UVLOP9" localSheetId="64">#REF!</definedName>
    <definedName name="UVLOP9" localSheetId="77">#REF!</definedName>
    <definedName name="UVLOP9" localSheetId="49">#REF!</definedName>
    <definedName name="UVLOP9" localSheetId="40">#REF!</definedName>
    <definedName name="UVLOP9" localSheetId="43">#REF!</definedName>
    <definedName name="UVLOP9" localSheetId="13">#REF!</definedName>
    <definedName name="UVLOP9" localSheetId="38">#REF!</definedName>
    <definedName name="UVLOP9">#REF!</definedName>
    <definedName name="UVSEXOP1" localSheetId="3">#REF!</definedName>
    <definedName name="UVSEXOP1" localSheetId="7">#REF!</definedName>
    <definedName name="UVSEXOP1" localSheetId="9">#REF!</definedName>
    <definedName name="UVSEXOP1" localSheetId="10">#REF!</definedName>
    <definedName name="UVSEXOP1" localSheetId="15">#REF!</definedName>
    <definedName name="UVSEXOP1" localSheetId="19">#REF!</definedName>
    <definedName name="UVSEXOP1" localSheetId="20">#REF!</definedName>
    <definedName name="UVSEXOP1" localSheetId="24">#REF!</definedName>
    <definedName name="UVSEXOP1" localSheetId="104">#REF!</definedName>
    <definedName name="UVSEXOP1" localSheetId="65">#REF!</definedName>
    <definedName name="UVSEXOP1" localSheetId="64">#REF!</definedName>
    <definedName name="UVSEXOP1" localSheetId="77">#REF!</definedName>
    <definedName name="UVSEXOP1" localSheetId="49">#REF!</definedName>
    <definedName name="UVSEXOP1" localSheetId="40">#REF!</definedName>
    <definedName name="UVSEXOP1" localSheetId="43">#REF!</definedName>
    <definedName name="UVSEXOP1" localSheetId="13">#REF!</definedName>
    <definedName name="UVSEXOP1" localSheetId="38">#REF!</definedName>
    <definedName name="UVSEXOP1">#REF!</definedName>
    <definedName name="UVSEXOP2" localSheetId="3">#REF!</definedName>
    <definedName name="UVSEXOP2" localSheetId="7">#REF!</definedName>
    <definedName name="UVSEXOP2" localSheetId="9">#REF!</definedName>
    <definedName name="UVSEXOP2" localSheetId="10">#REF!</definedName>
    <definedName name="UVSEXOP2" localSheetId="15">#REF!</definedName>
    <definedName name="UVSEXOP2" localSheetId="19">#REF!</definedName>
    <definedName name="UVSEXOP2" localSheetId="20">#REF!</definedName>
    <definedName name="UVSEXOP2" localSheetId="24">#REF!</definedName>
    <definedName name="UVSEXOP2" localSheetId="104">#REF!</definedName>
    <definedName name="UVSEXOP2" localSheetId="65">#REF!</definedName>
    <definedName name="UVSEXOP2" localSheetId="64">#REF!</definedName>
    <definedName name="UVSEXOP2" localSheetId="77">#REF!</definedName>
    <definedName name="UVSEXOP2" localSheetId="49">#REF!</definedName>
    <definedName name="UVSEXOP2" localSheetId="40">#REF!</definedName>
    <definedName name="UVSEXOP2" localSheetId="43">#REF!</definedName>
    <definedName name="UVSEXOP2" localSheetId="13">#REF!</definedName>
    <definedName name="UVSEXOP2" localSheetId="38">#REF!</definedName>
    <definedName name="UVSEXOP2">#REF!</definedName>
    <definedName name="UVSOP1" localSheetId="3">#REF!</definedName>
    <definedName name="UVSOP1" localSheetId="7">#REF!</definedName>
    <definedName name="UVSOP1" localSheetId="9">#REF!</definedName>
    <definedName name="UVSOP1" localSheetId="10">#REF!</definedName>
    <definedName name="UVSOP1" localSheetId="15">#REF!</definedName>
    <definedName name="UVSOP1" localSheetId="19">#REF!</definedName>
    <definedName name="UVSOP1" localSheetId="20">#REF!</definedName>
    <definedName name="UVSOP1" localSheetId="24">#REF!</definedName>
    <definedName name="UVSOP1" localSheetId="104">#REF!</definedName>
    <definedName name="UVSOP1" localSheetId="65">#REF!</definedName>
    <definedName name="UVSOP1" localSheetId="64">#REF!</definedName>
    <definedName name="UVSOP1" localSheetId="77">#REF!</definedName>
    <definedName name="UVSOP1" localSheetId="49">#REF!</definedName>
    <definedName name="UVSOP1" localSheetId="40">#REF!</definedName>
    <definedName name="UVSOP1" localSheetId="43">#REF!</definedName>
    <definedName name="UVSOP1" localSheetId="13">#REF!</definedName>
    <definedName name="UVSOP1" localSheetId="38">#REF!</definedName>
    <definedName name="UVSOP1">#REF!</definedName>
    <definedName name="UVSOP10" localSheetId="3">#REF!</definedName>
    <definedName name="UVSOP10" localSheetId="7">#REF!</definedName>
    <definedName name="UVSOP10" localSheetId="9">#REF!</definedName>
    <definedName name="UVSOP10" localSheetId="10">#REF!</definedName>
    <definedName name="UVSOP10" localSheetId="15">#REF!</definedName>
    <definedName name="UVSOP10" localSheetId="19">#REF!</definedName>
    <definedName name="UVSOP10" localSheetId="20">#REF!</definedName>
    <definedName name="UVSOP10" localSheetId="24">#REF!</definedName>
    <definedName name="UVSOP10" localSheetId="104">#REF!</definedName>
    <definedName name="UVSOP10" localSheetId="65">#REF!</definedName>
    <definedName name="UVSOP10" localSheetId="64">#REF!</definedName>
    <definedName name="UVSOP10" localSheetId="77">#REF!</definedName>
    <definedName name="UVSOP10" localSheetId="49">#REF!</definedName>
    <definedName name="UVSOP10" localSheetId="40">#REF!</definedName>
    <definedName name="UVSOP10" localSheetId="43">#REF!</definedName>
    <definedName name="UVSOP10" localSheetId="13">#REF!</definedName>
    <definedName name="UVSOP10" localSheetId="38">#REF!</definedName>
    <definedName name="UVSOP10">#REF!</definedName>
    <definedName name="UVSOP11" localSheetId="3">#REF!</definedName>
    <definedName name="UVSOP11" localSheetId="7">#REF!</definedName>
    <definedName name="UVSOP11" localSheetId="9">#REF!</definedName>
    <definedName name="UVSOP11" localSheetId="10">#REF!</definedName>
    <definedName name="UVSOP11" localSheetId="15">#REF!</definedName>
    <definedName name="UVSOP11" localSheetId="19">#REF!</definedName>
    <definedName name="UVSOP11" localSheetId="20">#REF!</definedName>
    <definedName name="UVSOP11" localSheetId="24">#REF!</definedName>
    <definedName name="UVSOP11" localSheetId="104">#REF!</definedName>
    <definedName name="UVSOP11" localSheetId="65">#REF!</definedName>
    <definedName name="UVSOP11" localSheetId="64">#REF!</definedName>
    <definedName name="UVSOP11" localSheetId="77">#REF!</definedName>
    <definedName name="UVSOP11" localSheetId="49">#REF!</definedName>
    <definedName name="UVSOP11" localSheetId="40">#REF!</definedName>
    <definedName name="UVSOP11" localSheetId="43">#REF!</definedName>
    <definedName name="UVSOP11" localSheetId="13">#REF!</definedName>
    <definedName name="UVSOP11" localSheetId="38">#REF!</definedName>
    <definedName name="UVSOP11">#REF!</definedName>
    <definedName name="UVSOP12" localSheetId="3">#REF!</definedName>
    <definedName name="UVSOP12" localSheetId="7">#REF!</definedName>
    <definedName name="UVSOP12" localSheetId="9">#REF!</definedName>
    <definedName name="UVSOP12" localSheetId="10">#REF!</definedName>
    <definedName name="UVSOP12" localSheetId="15">#REF!</definedName>
    <definedName name="UVSOP12" localSheetId="19">#REF!</definedName>
    <definedName name="UVSOP12" localSheetId="20">#REF!</definedName>
    <definedName name="UVSOP12" localSheetId="24">#REF!</definedName>
    <definedName name="UVSOP12" localSheetId="104">#REF!</definedName>
    <definedName name="UVSOP12" localSheetId="65">#REF!</definedName>
    <definedName name="UVSOP12" localSheetId="64">#REF!</definedName>
    <definedName name="UVSOP12" localSheetId="77">#REF!</definedName>
    <definedName name="UVSOP12" localSheetId="49">#REF!</definedName>
    <definedName name="UVSOP12" localSheetId="40">#REF!</definedName>
    <definedName name="UVSOP12" localSheetId="43">#REF!</definedName>
    <definedName name="UVSOP12" localSheetId="13">#REF!</definedName>
    <definedName name="UVSOP12" localSheetId="38">#REF!</definedName>
    <definedName name="UVSOP12">#REF!</definedName>
    <definedName name="UVSOP13" localSheetId="3">#REF!</definedName>
    <definedName name="UVSOP13" localSheetId="7">#REF!</definedName>
    <definedName name="UVSOP13" localSheetId="9">#REF!</definedName>
    <definedName name="UVSOP13" localSheetId="10">#REF!</definedName>
    <definedName name="UVSOP13" localSheetId="15">#REF!</definedName>
    <definedName name="UVSOP13" localSheetId="19">#REF!</definedName>
    <definedName name="UVSOP13" localSheetId="20">#REF!</definedName>
    <definedName name="UVSOP13" localSheetId="24">#REF!</definedName>
    <definedName name="UVSOP13" localSheetId="104">#REF!</definedName>
    <definedName name="UVSOP13" localSheetId="65">#REF!</definedName>
    <definedName name="UVSOP13" localSheetId="64">#REF!</definedName>
    <definedName name="UVSOP13" localSheetId="77">#REF!</definedName>
    <definedName name="UVSOP13" localSheetId="49">#REF!</definedName>
    <definedName name="UVSOP13" localSheetId="40">#REF!</definedName>
    <definedName name="UVSOP13" localSheetId="43">#REF!</definedName>
    <definedName name="UVSOP13" localSheetId="13">#REF!</definedName>
    <definedName name="UVSOP13" localSheetId="38">#REF!</definedName>
    <definedName name="UVSOP13">#REF!</definedName>
    <definedName name="UVSOP14" localSheetId="3">#REF!</definedName>
    <definedName name="UVSOP14" localSheetId="7">#REF!</definedName>
    <definedName name="UVSOP14" localSheetId="9">#REF!</definedName>
    <definedName name="UVSOP14" localSheetId="10">#REF!</definedName>
    <definedName name="UVSOP14" localSheetId="15">#REF!</definedName>
    <definedName name="UVSOP14" localSheetId="19">#REF!</definedName>
    <definedName name="UVSOP14" localSheetId="20">#REF!</definedName>
    <definedName name="UVSOP14" localSheetId="24">#REF!</definedName>
    <definedName name="UVSOP14" localSheetId="104">#REF!</definedName>
    <definedName name="UVSOP14" localSheetId="65">#REF!</definedName>
    <definedName name="UVSOP14" localSheetId="64">#REF!</definedName>
    <definedName name="UVSOP14" localSheetId="77">#REF!</definedName>
    <definedName name="UVSOP14" localSheetId="49">#REF!</definedName>
    <definedName name="UVSOP14" localSheetId="40">#REF!</definedName>
    <definedName name="UVSOP14" localSheetId="43">#REF!</definedName>
    <definedName name="UVSOP14" localSheetId="13">#REF!</definedName>
    <definedName name="UVSOP14" localSheetId="38">#REF!</definedName>
    <definedName name="UVSOP14">#REF!</definedName>
    <definedName name="UVSOP15" localSheetId="3">#REF!</definedName>
    <definedName name="UVSOP15" localSheetId="7">#REF!</definedName>
    <definedName name="UVSOP15" localSheetId="9">#REF!</definedName>
    <definedName name="UVSOP15" localSheetId="10">#REF!</definedName>
    <definedName name="UVSOP15" localSheetId="15">#REF!</definedName>
    <definedName name="UVSOP15" localSheetId="19">#REF!</definedName>
    <definedName name="UVSOP15" localSheetId="20">#REF!</definedName>
    <definedName name="UVSOP15" localSheetId="24">#REF!</definedName>
    <definedName name="UVSOP15" localSheetId="104">#REF!</definedName>
    <definedName name="UVSOP15" localSheetId="65">#REF!</definedName>
    <definedName name="UVSOP15" localSheetId="64">#REF!</definedName>
    <definedName name="UVSOP15" localSheetId="77">#REF!</definedName>
    <definedName name="UVSOP15" localSheetId="49">#REF!</definedName>
    <definedName name="UVSOP15" localSheetId="40">#REF!</definedName>
    <definedName name="UVSOP15" localSheetId="43">#REF!</definedName>
    <definedName name="UVSOP15" localSheetId="13">#REF!</definedName>
    <definedName name="UVSOP15" localSheetId="38">#REF!</definedName>
    <definedName name="UVSOP15">#REF!</definedName>
    <definedName name="UVSOP2" localSheetId="3">#REF!</definedName>
    <definedName name="UVSOP2" localSheetId="7">#REF!</definedName>
    <definedName name="UVSOP2" localSheetId="9">#REF!</definedName>
    <definedName name="UVSOP2" localSheetId="10">#REF!</definedName>
    <definedName name="UVSOP2" localSheetId="15">#REF!</definedName>
    <definedName name="UVSOP2" localSheetId="19">#REF!</definedName>
    <definedName name="UVSOP2" localSheetId="20">#REF!</definedName>
    <definedName name="UVSOP2" localSheetId="24">#REF!</definedName>
    <definedName name="UVSOP2" localSheetId="104">#REF!</definedName>
    <definedName name="UVSOP2" localSheetId="65">#REF!</definedName>
    <definedName name="UVSOP2" localSheetId="64">#REF!</definedName>
    <definedName name="UVSOP2" localSheetId="77">#REF!</definedName>
    <definedName name="UVSOP2" localSheetId="49">#REF!</definedName>
    <definedName name="UVSOP2" localSheetId="40">#REF!</definedName>
    <definedName name="UVSOP2" localSheetId="43">#REF!</definedName>
    <definedName name="UVSOP2" localSheetId="13">#REF!</definedName>
    <definedName name="UVSOP2" localSheetId="38">#REF!</definedName>
    <definedName name="UVSOP2">#REF!</definedName>
    <definedName name="UVSOP3" localSheetId="3">#REF!</definedName>
    <definedName name="UVSOP3" localSheetId="7">#REF!</definedName>
    <definedName name="UVSOP3" localSheetId="9">#REF!</definedName>
    <definedName name="UVSOP3" localSheetId="10">#REF!</definedName>
    <definedName name="UVSOP3" localSheetId="15">#REF!</definedName>
    <definedName name="UVSOP3" localSheetId="19">#REF!</definedName>
    <definedName name="UVSOP3" localSheetId="20">#REF!</definedName>
    <definedName name="UVSOP3" localSheetId="24">#REF!</definedName>
    <definedName name="UVSOP3" localSheetId="104">#REF!</definedName>
    <definedName name="UVSOP3" localSheetId="65">#REF!</definedName>
    <definedName name="UVSOP3" localSheetId="64">#REF!</definedName>
    <definedName name="UVSOP3" localSheetId="77">#REF!</definedName>
    <definedName name="UVSOP3" localSheetId="49">#REF!</definedName>
    <definedName name="UVSOP3" localSheetId="40">#REF!</definedName>
    <definedName name="UVSOP3" localSheetId="43">#REF!</definedName>
    <definedName name="UVSOP3" localSheetId="13">#REF!</definedName>
    <definedName name="UVSOP3" localSheetId="38">#REF!</definedName>
    <definedName name="UVSOP3">#REF!</definedName>
    <definedName name="UVSOP4" localSheetId="3">#REF!</definedName>
    <definedName name="UVSOP4" localSheetId="7">#REF!</definedName>
    <definedName name="UVSOP4" localSheetId="9">#REF!</definedName>
    <definedName name="UVSOP4" localSheetId="10">#REF!</definedName>
    <definedName name="UVSOP4" localSheetId="15">#REF!</definedName>
    <definedName name="UVSOP4" localSheetId="19">#REF!</definedName>
    <definedName name="UVSOP4" localSheetId="20">#REF!</definedName>
    <definedName name="UVSOP4" localSheetId="24">#REF!</definedName>
    <definedName name="UVSOP4" localSheetId="104">#REF!</definedName>
    <definedName name="UVSOP4" localSheetId="65">#REF!</definedName>
    <definedName name="UVSOP4" localSheetId="64">#REF!</definedName>
    <definedName name="UVSOP4" localSheetId="77">#REF!</definedName>
    <definedName name="UVSOP4" localSheetId="49">#REF!</definedName>
    <definedName name="UVSOP4" localSheetId="40">#REF!</definedName>
    <definedName name="UVSOP4" localSheetId="43">#REF!</definedName>
    <definedName name="UVSOP4" localSheetId="13">#REF!</definedName>
    <definedName name="UVSOP4" localSheetId="38">#REF!</definedName>
    <definedName name="UVSOP4">#REF!</definedName>
    <definedName name="UVSOP5" localSheetId="3">#REF!</definedName>
    <definedName name="UVSOP5" localSheetId="7">#REF!</definedName>
    <definedName name="UVSOP5" localSheetId="9">#REF!</definedName>
    <definedName name="UVSOP5" localSheetId="10">#REF!</definedName>
    <definedName name="UVSOP5" localSheetId="15">#REF!</definedName>
    <definedName name="UVSOP5" localSheetId="19">#REF!</definedName>
    <definedName name="UVSOP5" localSheetId="20">#REF!</definedName>
    <definedName name="UVSOP5" localSheetId="24">#REF!</definedName>
    <definedName name="UVSOP5" localSheetId="104">#REF!</definedName>
    <definedName name="UVSOP5" localSheetId="65">#REF!</definedName>
    <definedName name="UVSOP5" localSheetId="64">#REF!</definedName>
    <definedName name="UVSOP5" localSheetId="77">#REF!</definedName>
    <definedName name="UVSOP5" localSheetId="49">#REF!</definedName>
    <definedName name="UVSOP5" localSheetId="40">#REF!</definedName>
    <definedName name="UVSOP5" localSheetId="43">#REF!</definedName>
    <definedName name="UVSOP5" localSheetId="13">#REF!</definedName>
    <definedName name="UVSOP5" localSheetId="38">#REF!</definedName>
    <definedName name="UVSOP5">#REF!</definedName>
    <definedName name="UVSOP6" localSheetId="3">#REF!</definedName>
    <definedName name="UVSOP6" localSheetId="7">#REF!</definedName>
    <definedName name="UVSOP6" localSheetId="9">#REF!</definedName>
    <definedName name="UVSOP6" localSheetId="10">#REF!</definedName>
    <definedName name="UVSOP6" localSheetId="15">#REF!</definedName>
    <definedName name="UVSOP6" localSheetId="19">#REF!</definedName>
    <definedName name="UVSOP6" localSheetId="20">#REF!</definedName>
    <definedName name="UVSOP6" localSheetId="24">#REF!</definedName>
    <definedName name="UVSOP6" localSheetId="104">#REF!</definedName>
    <definedName name="UVSOP6" localSheetId="65">#REF!</definedName>
    <definedName name="UVSOP6" localSheetId="64">#REF!</definedName>
    <definedName name="UVSOP6" localSheetId="77">#REF!</definedName>
    <definedName name="UVSOP6" localSheetId="49">#REF!</definedName>
    <definedName name="UVSOP6" localSheetId="40">#REF!</definedName>
    <definedName name="UVSOP6" localSheetId="43">#REF!</definedName>
    <definedName name="UVSOP6" localSheetId="13">#REF!</definedName>
    <definedName name="UVSOP6" localSheetId="38">#REF!</definedName>
    <definedName name="UVSOP6">#REF!</definedName>
    <definedName name="UVSOP7" localSheetId="3">#REF!</definedName>
    <definedName name="UVSOP7" localSheetId="7">#REF!</definedName>
    <definedName name="UVSOP7" localSheetId="9">#REF!</definedName>
    <definedName name="UVSOP7" localSheetId="10">#REF!</definedName>
    <definedName name="UVSOP7" localSheetId="15">#REF!</definedName>
    <definedName name="UVSOP7" localSheetId="19">#REF!</definedName>
    <definedName name="UVSOP7" localSheetId="20">#REF!</definedName>
    <definedName name="UVSOP7" localSheetId="24">#REF!</definedName>
    <definedName name="UVSOP7" localSheetId="104">#REF!</definedName>
    <definedName name="UVSOP7" localSheetId="65">#REF!</definedName>
    <definedName name="UVSOP7" localSheetId="64">#REF!</definedName>
    <definedName name="UVSOP7" localSheetId="77">#REF!</definedName>
    <definedName name="UVSOP7" localSheetId="49">#REF!</definedName>
    <definedName name="UVSOP7" localSheetId="40">#REF!</definedName>
    <definedName name="UVSOP7" localSheetId="43">#REF!</definedName>
    <definedName name="UVSOP7" localSheetId="13">#REF!</definedName>
    <definedName name="UVSOP7" localSheetId="38">#REF!</definedName>
    <definedName name="UVSOP7">#REF!</definedName>
    <definedName name="UVSOP8" localSheetId="3">#REF!</definedName>
    <definedName name="UVSOP8" localSheetId="7">#REF!</definedName>
    <definedName name="UVSOP8" localSheetId="9">#REF!</definedName>
    <definedName name="UVSOP8" localSheetId="10">#REF!</definedName>
    <definedName name="UVSOP8" localSheetId="15">#REF!</definedName>
    <definedName name="UVSOP8" localSheetId="19">#REF!</definedName>
    <definedName name="UVSOP8" localSheetId="20">#REF!</definedName>
    <definedName name="UVSOP8" localSheetId="24">#REF!</definedName>
    <definedName name="UVSOP8" localSheetId="104">#REF!</definedName>
    <definedName name="UVSOP8" localSheetId="65">#REF!</definedName>
    <definedName name="UVSOP8" localSheetId="64">#REF!</definedName>
    <definedName name="UVSOP8" localSheetId="77">#REF!</definedName>
    <definedName name="UVSOP8" localSheetId="49">#REF!</definedName>
    <definedName name="UVSOP8" localSheetId="40">#REF!</definedName>
    <definedName name="UVSOP8" localSheetId="43">#REF!</definedName>
    <definedName name="UVSOP8" localSheetId="13">#REF!</definedName>
    <definedName name="UVSOP8" localSheetId="38">#REF!</definedName>
    <definedName name="UVSOP8">#REF!</definedName>
    <definedName name="UVSOP9" localSheetId="3">#REF!</definedName>
    <definedName name="UVSOP9" localSheetId="7">#REF!</definedName>
    <definedName name="UVSOP9" localSheetId="9">#REF!</definedName>
    <definedName name="UVSOP9" localSheetId="10">#REF!</definedName>
    <definedName name="UVSOP9" localSheetId="15">#REF!</definedName>
    <definedName name="UVSOP9" localSheetId="19">#REF!</definedName>
    <definedName name="UVSOP9" localSheetId="20">#REF!</definedName>
    <definedName name="UVSOP9" localSheetId="24">#REF!</definedName>
    <definedName name="UVSOP9" localSheetId="104">#REF!</definedName>
    <definedName name="UVSOP9" localSheetId="65">#REF!</definedName>
    <definedName name="UVSOP9" localSheetId="64">#REF!</definedName>
    <definedName name="UVSOP9" localSheetId="77">#REF!</definedName>
    <definedName name="UVSOP9" localSheetId="49">#REF!</definedName>
    <definedName name="UVSOP9" localSheetId="40">#REF!</definedName>
    <definedName name="UVSOP9" localSheetId="43">#REF!</definedName>
    <definedName name="UVSOP9" localSheetId="13">#REF!</definedName>
    <definedName name="UVSOP9" localSheetId="38">#REF!</definedName>
    <definedName name="UVSOP9">#REF!</definedName>
    <definedName name="uz" localSheetId="3">#REF!</definedName>
    <definedName name="uz" localSheetId="7">#REF!</definedName>
    <definedName name="uz" localSheetId="9">#REF!</definedName>
    <definedName name="uz" localSheetId="10">#REF!</definedName>
    <definedName name="uz" localSheetId="15">#REF!</definedName>
    <definedName name="uz" localSheetId="19">#REF!</definedName>
    <definedName name="uz" localSheetId="20">#REF!</definedName>
    <definedName name="uz" localSheetId="24">#REF!</definedName>
    <definedName name="uz" localSheetId="104">#REF!</definedName>
    <definedName name="uz" localSheetId="65">#REF!</definedName>
    <definedName name="uz" localSheetId="64">#REF!</definedName>
    <definedName name="uz" localSheetId="77">#REF!</definedName>
    <definedName name="uz" localSheetId="49">#REF!</definedName>
    <definedName name="uz" localSheetId="40">#REF!</definedName>
    <definedName name="uz" localSheetId="43">#REF!</definedName>
    <definedName name="uz" localSheetId="13">#REF!</definedName>
    <definedName name="uz" localSheetId="38">#REF!</definedName>
    <definedName name="uz">#REF!</definedName>
    <definedName name="V" localSheetId="3">#REF!</definedName>
    <definedName name="V" localSheetId="7">#REF!</definedName>
    <definedName name="V" localSheetId="9">#REF!</definedName>
    <definedName name="V" localSheetId="10">#REF!</definedName>
    <definedName name="V" localSheetId="15">#REF!</definedName>
    <definedName name="V" localSheetId="19">#REF!</definedName>
    <definedName name="V" localSheetId="20">#REF!</definedName>
    <definedName name="V" localSheetId="24">#REF!</definedName>
    <definedName name="V" localSheetId="104">#REF!</definedName>
    <definedName name="V" localSheetId="65">#REF!</definedName>
    <definedName name="V" localSheetId="64">#REF!</definedName>
    <definedName name="V" localSheetId="77">#REF!</definedName>
    <definedName name="V" localSheetId="49">#REF!</definedName>
    <definedName name="V" localSheetId="40">#REF!</definedName>
    <definedName name="V" localSheetId="43">#REF!</definedName>
    <definedName name="V" localSheetId="13">#REF!</definedName>
    <definedName name="V" localSheetId="38">#REF!</definedName>
    <definedName name="V">#REF!</definedName>
    <definedName name="V_MW_67" localSheetId="3">#REF!</definedName>
    <definedName name="V_MW_67" localSheetId="7">#REF!</definedName>
    <definedName name="V_MW_67" localSheetId="9">#REF!</definedName>
    <definedName name="V_MW_67" localSheetId="10">#REF!</definedName>
    <definedName name="V_MW_67" localSheetId="15">#REF!</definedName>
    <definedName name="V_MW_67" localSheetId="19">#REF!</definedName>
    <definedName name="V_MW_67" localSheetId="20">#REF!</definedName>
    <definedName name="V_MW_67" localSheetId="24">#REF!</definedName>
    <definedName name="V_MW_67" localSheetId="104">#REF!</definedName>
    <definedName name="V_MW_67" localSheetId="65">#REF!</definedName>
    <definedName name="V_MW_67" localSheetId="64">#REF!</definedName>
    <definedName name="V_MW_67" localSheetId="77">#REF!</definedName>
    <definedName name="V_MW_67" localSheetId="49">#REF!</definedName>
    <definedName name="V_MW_67" localSheetId="40">#REF!</definedName>
    <definedName name="V_MW_67" localSheetId="43">#REF!</definedName>
    <definedName name="V_MW_67" localSheetId="13">#REF!</definedName>
    <definedName name="V_MW_67" localSheetId="38">#REF!</definedName>
    <definedName name="V_MW_67">#REF!</definedName>
    <definedName name="V_MW2_" localSheetId="3">#REF!</definedName>
    <definedName name="V_MW2_" localSheetId="7">#REF!</definedName>
    <definedName name="V_MW2_" localSheetId="9">#REF!</definedName>
    <definedName name="V_MW2_" localSheetId="10">#REF!</definedName>
    <definedName name="V_MW2_" localSheetId="15">#REF!</definedName>
    <definedName name="V_MW2_" localSheetId="19">#REF!</definedName>
    <definedName name="V_MW2_" localSheetId="20">#REF!</definedName>
    <definedName name="V_MW2_" localSheetId="24">#REF!</definedName>
    <definedName name="V_MW2_" localSheetId="104">#REF!</definedName>
    <definedName name="V_MW2_" localSheetId="65">#REF!</definedName>
    <definedName name="V_MW2_" localSheetId="64">#REF!</definedName>
    <definedName name="V_MW2_" localSheetId="77">#REF!</definedName>
    <definedName name="V_MW2_" localSheetId="49">#REF!</definedName>
    <definedName name="V_MW2_" localSheetId="40">#REF!</definedName>
    <definedName name="V_MW2_" localSheetId="43">#REF!</definedName>
    <definedName name="V_MW2_" localSheetId="13">#REF!</definedName>
    <definedName name="V_MW2_" localSheetId="38">#REF!</definedName>
    <definedName name="V_MW2_">#REF!</definedName>
    <definedName name="V1L" localSheetId="3">'[4]Process Tanks'!#REF!</definedName>
    <definedName name="V1L" localSheetId="7">'[4]Process Tanks'!#REF!</definedName>
    <definedName name="V1L" localSheetId="9">'[4]Process Tanks'!#REF!</definedName>
    <definedName name="V1L" localSheetId="10">'[4]Process Tanks'!#REF!</definedName>
    <definedName name="V1L" localSheetId="15">'[4]Process Tanks'!#REF!</definedName>
    <definedName name="V1L" localSheetId="19">'[4]Process Tanks'!#REF!</definedName>
    <definedName name="V1L" localSheetId="20">'[4]Process Tanks'!#REF!</definedName>
    <definedName name="V1L" localSheetId="24">'[4]Process Tanks'!#REF!</definedName>
    <definedName name="V1L" localSheetId="104">'[4]Process Tanks'!#REF!</definedName>
    <definedName name="V1L" localSheetId="75">'[4]Process Tanks'!#REF!</definedName>
    <definedName name="V1L" localSheetId="65">'[4]Process Tanks'!#REF!</definedName>
    <definedName name="V1L" localSheetId="64">'[4]Process Tanks'!#REF!</definedName>
    <definedName name="V1L" localSheetId="77">'[4]Process Tanks'!#REF!</definedName>
    <definedName name="V1L" localSheetId="49">'[4]Process Tanks'!#REF!</definedName>
    <definedName name="V1L" localSheetId="48">'[4]Process Tanks'!#REF!</definedName>
    <definedName name="V1L" localSheetId="40">'[4]Process Tanks'!#REF!</definedName>
    <definedName name="V1L" localSheetId="43">'[4]Process Tanks'!#REF!</definedName>
    <definedName name="V1L" localSheetId="13">'[4]Process Tanks'!#REF!</definedName>
    <definedName name="V1L" localSheetId="38">'[4]Process Tanks'!#REF!</definedName>
    <definedName name="V1L">'[4]Process Tanks'!#REF!</definedName>
    <definedName name="V2L" localSheetId="3">'[4]Process Tanks'!#REF!</definedName>
    <definedName name="V2L" localSheetId="7">'[4]Process Tanks'!#REF!</definedName>
    <definedName name="V2L" localSheetId="9">'[4]Process Tanks'!#REF!</definedName>
    <definedName name="V2L" localSheetId="10">'[4]Process Tanks'!#REF!</definedName>
    <definedName name="V2L" localSheetId="15">'[4]Process Tanks'!#REF!</definedName>
    <definedName name="V2L" localSheetId="19">'[4]Process Tanks'!#REF!</definedName>
    <definedName name="V2L" localSheetId="20">'[4]Process Tanks'!#REF!</definedName>
    <definedName name="V2L" localSheetId="24">'[4]Process Tanks'!#REF!</definedName>
    <definedName name="V2L" localSheetId="104">'[4]Process Tanks'!#REF!</definedName>
    <definedName name="V2L" localSheetId="75">'[4]Process Tanks'!#REF!</definedName>
    <definedName name="V2L" localSheetId="65">'[4]Process Tanks'!#REF!</definedName>
    <definedName name="V2L" localSheetId="64">'[4]Process Tanks'!#REF!</definedName>
    <definedName name="V2L" localSheetId="77">'[4]Process Tanks'!#REF!</definedName>
    <definedName name="V2L" localSheetId="49">'[4]Process Tanks'!#REF!</definedName>
    <definedName name="V2L" localSheetId="48">'[4]Process Tanks'!#REF!</definedName>
    <definedName name="V2L" localSheetId="40">'[4]Process Tanks'!#REF!</definedName>
    <definedName name="V2L" localSheetId="43">'[4]Process Tanks'!#REF!</definedName>
    <definedName name="V2L" localSheetId="13">'[4]Process Tanks'!#REF!</definedName>
    <definedName name="V2L" localSheetId="38">'[4]Process Tanks'!#REF!</definedName>
    <definedName name="V2L">'[4]Process Tanks'!#REF!</definedName>
    <definedName name="valve_ct" localSheetId="3">#REF!</definedName>
    <definedName name="valve_ct" localSheetId="7">#REF!</definedName>
    <definedName name="valve_ct" localSheetId="9">#REF!</definedName>
    <definedName name="valve_ct" localSheetId="10">#REF!</definedName>
    <definedName name="valve_ct" localSheetId="15">#REF!</definedName>
    <definedName name="valve_ct" localSheetId="19">#REF!</definedName>
    <definedName name="valve_ct" localSheetId="20">#REF!</definedName>
    <definedName name="valve_ct" localSheetId="24">#REF!</definedName>
    <definedName name="valve_ct" localSheetId="104">#REF!</definedName>
    <definedName name="valve_ct" localSheetId="65">#REF!</definedName>
    <definedName name="valve_ct" localSheetId="64">#REF!</definedName>
    <definedName name="valve_ct" localSheetId="77">#REF!</definedName>
    <definedName name="valve_ct" localSheetId="49">#REF!</definedName>
    <definedName name="valve_ct" localSheetId="40">#REF!</definedName>
    <definedName name="valve_ct" localSheetId="43">#REF!</definedName>
    <definedName name="valve_ct" localSheetId="13">#REF!</definedName>
    <definedName name="valve_ct" localSheetId="38">#REF!</definedName>
    <definedName name="valve_ct">#REF!</definedName>
    <definedName name="VAP_P_67" localSheetId="3">#REF!</definedName>
    <definedName name="VAP_P_67" localSheetId="7">#REF!</definedName>
    <definedName name="VAP_P_67" localSheetId="9">#REF!</definedName>
    <definedName name="VAP_P_67" localSheetId="10">#REF!</definedName>
    <definedName name="VAP_P_67" localSheetId="15">#REF!</definedName>
    <definedName name="VAP_P_67" localSheetId="19">#REF!</definedName>
    <definedName name="VAP_P_67" localSheetId="20">#REF!</definedName>
    <definedName name="VAP_P_67" localSheetId="24">#REF!</definedName>
    <definedName name="VAP_P_67" localSheetId="104">#REF!</definedName>
    <definedName name="VAP_P_67" localSheetId="65">#REF!</definedName>
    <definedName name="VAP_P_67" localSheetId="64">#REF!</definedName>
    <definedName name="VAP_P_67" localSheetId="77">#REF!</definedName>
    <definedName name="VAP_P_67" localSheetId="49">#REF!</definedName>
    <definedName name="VAP_P_67" localSheetId="40">#REF!</definedName>
    <definedName name="VAP_P_67" localSheetId="43">#REF!</definedName>
    <definedName name="VAP_P_67" localSheetId="13">#REF!</definedName>
    <definedName name="VAP_P_67" localSheetId="38">#REF!</definedName>
    <definedName name="VAP_P_67">#REF!</definedName>
    <definedName name="VEL" localSheetId="3">#REF!</definedName>
    <definedName name="VEL" localSheetId="7">#REF!</definedName>
    <definedName name="VEL" localSheetId="9">#REF!</definedName>
    <definedName name="VEL" localSheetId="10">#REF!</definedName>
    <definedName name="VEL" localSheetId="15">#REF!</definedName>
    <definedName name="VEL" localSheetId="19">#REF!</definedName>
    <definedName name="VEL" localSheetId="20">#REF!</definedName>
    <definedName name="VEL" localSheetId="24">#REF!</definedName>
    <definedName name="VEL" localSheetId="104">#REF!</definedName>
    <definedName name="VEL" localSheetId="65">#REF!</definedName>
    <definedName name="VEL" localSheetId="64">#REF!</definedName>
    <definedName name="VEL" localSheetId="77">#REF!</definedName>
    <definedName name="VEL" localSheetId="49">#REF!</definedName>
    <definedName name="VEL" localSheetId="40">#REF!</definedName>
    <definedName name="VEL" localSheetId="43">#REF!</definedName>
    <definedName name="VEL" localSheetId="13">#REF!</definedName>
    <definedName name="VEL" localSheetId="38">#REF!</definedName>
    <definedName name="VEL">#REF!</definedName>
    <definedName name="vibr1" localSheetId="3">#REF!</definedName>
    <definedName name="vibr1" localSheetId="7">#REF!</definedName>
    <definedName name="vibr1" localSheetId="9">#REF!</definedName>
    <definedName name="vibr1" localSheetId="10">#REF!</definedName>
    <definedName name="vibr1" localSheetId="15">#REF!</definedName>
    <definedName name="vibr1" localSheetId="19">#REF!</definedName>
    <definedName name="vibr1" localSheetId="20">#REF!</definedName>
    <definedName name="vibr1" localSheetId="24">#REF!</definedName>
    <definedName name="vibr1" localSheetId="104">#REF!</definedName>
    <definedName name="vibr1" localSheetId="65">#REF!</definedName>
    <definedName name="vibr1" localSheetId="64">#REF!</definedName>
    <definedName name="vibr1" localSheetId="77">#REF!</definedName>
    <definedName name="vibr1" localSheetId="49">#REF!</definedName>
    <definedName name="vibr1" localSheetId="40">#REF!</definedName>
    <definedName name="vibr1" localSheetId="43">#REF!</definedName>
    <definedName name="vibr1" localSheetId="13">#REF!</definedName>
    <definedName name="vibr1" localSheetId="38">#REF!</definedName>
    <definedName name="vibr1">#REF!</definedName>
    <definedName name="vibr2" localSheetId="3">#REF!</definedName>
    <definedName name="vibr2" localSheetId="7">#REF!</definedName>
    <definedName name="vibr2" localSheetId="9">#REF!</definedName>
    <definedName name="vibr2" localSheetId="10">#REF!</definedName>
    <definedName name="vibr2" localSheetId="15">#REF!</definedName>
    <definedName name="vibr2" localSheetId="19">#REF!</definedName>
    <definedName name="vibr2" localSheetId="20">#REF!</definedName>
    <definedName name="vibr2" localSheetId="24">#REF!</definedName>
    <definedName name="vibr2" localSheetId="104">#REF!</definedName>
    <definedName name="vibr2" localSheetId="65">#REF!</definedName>
    <definedName name="vibr2" localSheetId="64">#REF!</definedName>
    <definedName name="vibr2" localSheetId="77">#REF!</definedName>
    <definedName name="vibr2" localSheetId="49">#REF!</definedName>
    <definedName name="vibr2" localSheetId="40">#REF!</definedName>
    <definedName name="vibr2" localSheetId="43">#REF!</definedName>
    <definedName name="vibr2" localSheetId="13">#REF!</definedName>
    <definedName name="vibr2" localSheetId="38">#REF!</definedName>
    <definedName name="vibr2">#REF!</definedName>
    <definedName name="vibr3" localSheetId="3">#REF!</definedName>
    <definedName name="vibr3" localSheetId="7">#REF!</definedName>
    <definedName name="vibr3" localSheetId="9">#REF!</definedName>
    <definedName name="vibr3" localSheetId="10">#REF!</definedName>
    <definedName name="vibr3" localSheetId="15">#REF!</definedName>
    <definedName name="vibr3" localSheetId="19">#REF!</definedName>
    <definedName name="vibr3" localSheetId="20">#REF!</definedName>
    <definedName name="vibr3" localSheetId="24">#REF!</definedName>
    <definedName name="vibr3" localSheetId="104">#REF!</definedName>
    <definedName name="vibr3" localSheetId="65">#REF!</definedName>
    <definedName name="vibr3" localSheetId="64">#REF!</definedName>
    <definedName name="vibr3" localSheetId="77">#REF!</definedName>
    <definedName name="vibr3" localSheetId="49">#REF!</definedName>
    <definedName name="vibr3" localSheetId="40">#REF!</definedName>
    <definedName name="vibr3" localSheetId="43">#REF!</definedName>
    <definedName name="vibr3" localSheetId="13">#REF!</definedName>
    <definedName name="vibr3" localSheetId="38">#REF!</definedName>
    <definedName name="vibr3">#REF!</definedName>
    <definedName name="vibr4" localSheetId="3">#REF!</definedName>
    <definedName name="vibr4" localSheetId="7">#REF!</definedName>
    <definedName name="vibr4" localSheetId="9">#REF!</definedName>
    <definedName name="vibr4" localSheetId="10">#REF!</definedName>
    <definedName name="vibr4" localSheetId="15">#REF!</definedName>
    <definedName name="vibr4" localSheetId="19">#REF!</definedName>
    <definedName name="vibr4" localSheetId="20">#REF!</definedName>
    <definedName name="vibr4" localSheetId="24">#REF!</definedName>
    <definedName name="vibr4" localSheetId="104">#REF!</definedName>
    <definedName name="vibr4" localSheetId="65">#REF!</definedName>
    <definedName name="vibr4" localSheetId="64">#REF!</definedName>
    <definedName name="vibr4" localSheetId="77">#REF!</definedName>
    <definedName name="vibr4" localSheetId="49">#REF!</definedName>
    <definedName name="vibr4" localSheetId="40">#REF!</definedName>
    <definedName name="vibr4" localSheetId="43">#REF!</definedName>
    <definedName name="vibr4" localSheetId="13">#REF!</definedName>
    <definedName name="vibr4" localSheetId="38">#REF!</definedName>
    <definedName name="vibr4">#REF!</definedName>
    <definedName name="vibrtot" localSheetId="3">#REF!</definedName>
    <definedName name="vibrtot" localSheetId="7">#REF!</definedName>
    <definedName name="vibrtot" localSheetId="9">#REF!</definedName>
    <definedName name="vibrtot" localSheetId="10">#REF!</definedName>
    <definedName name="vibrtot" localSheetId="15">#REF!</definedName>
    <definedName name="vibrtot" localSheetId="19">#REF!</definedName>
    <definedName name="vibrtot" localSheetId="20">#REF!</definedName>
    <definedName name="vibrtot" localSheetId="24">#REF!</definedName>
    <definedName name="vibrtot" localSheetId="104">#REF!</definedName>
    <definedName name="vibrtot" localSheetId="65">#REF!</definedName>
    <definedName name="vibrtot" localSheetId="64">#REF!</definedName>
    <definedName name="vibrtot" localSheetId="77">#REF!</definedName>
    <definedName name="vibrtot" localSheetId="49">#REF!</definedName>
    <definedName name="vibrtot" localSheetId="40">#REF!</definedName>
    <definedName name="vibrtot" localSheetId="43">#REF!</definedName>
    <definedName name="vibrtot" localSheetId="13">#REF!</definedName>
    <definedName name="vibrtot" localSheetId="38">#REF!</definedName>
    <definedName name="vibrtot">#REF!</definedName>
    <definedName name="Vlx" localSheetId="3">#REF!</definedName>
    <definedName name="Vlx" localSheetId="7">#REF!</definedName>
    <definedName name="Vlx" localSheetId="9">#REF!</definedName>
    <definedName name="Vlx" localSheetId="10">#REF!</definedName>
    <definedName name="Vlx" localSheetId="15">#REF!</definedName>
    <definedName name="Vlx" localSheetId="19">#REF!</definedName>
    <definedName name="Vlx" localSheetId="20">#REF!</definedName>
    <definedName name="Vlx" localSheetId="24">#REF!</definedName>
    <definedName name="Vlx" localSheetId="104">#REF!</definedName>
    <definedName name="Vlx" localSheetId="65">#REF!</definedName>
    <definedName name="Vlx" localSheetId="64">#REF!</definedName>
    <definedName name="Vlx" localSheetId="77">#REF!</definedName>
    <definedName name="Vlx" localSheetId="49">#REF!</definedName>
    <definedName name="Vlx" localSheetId="40">#REF!</definedName>
    <definedName name="Vlx" localSheetId="43">#REF!</definedName>
    <definedName name="Vlx" localSheetId="13">#REF!</definedName>
    <definedName name="Vlx" localSheetId="38">#REF!</definedName>
    <definedName name="Vlx">#REF!</definedName>
    <definedName name="VOC">[6]Flashing!$F$18</definedName>
    <definedName name="VOC_combustion_factor" localSheetId="3">#REF!</definedName>
    <definedName name="VOC_combustion_factor" localSheetId="7">#REF!</definedName>
    <definedName name="VOC_combustion_factor" localSheetId="9">#REF!</definedName>
    <definedName name="VOC_combustion_factor" localSheetId="10">#REF!</definedName>
    <definedName name="VOC_combustion_factor" localSheetId="15">#REF!</definedName>
    <definedName name="VOC_combustion_factor" localSheetId="19">#REF!</definedName>
    <definedName name="VOC_combustion_factor" localSheetId="20">#REF!</definedName>
    <definedName name="VOC_combustion_factor" localSheetId="24">#REF!</definedName>
    <definedName name="VOC_combustion_factor" localSheetId="104">#REF!</definedName>
    <definedName name="VOC_combustion_factor" localSheetId="65">#REF!</definedName>
    <definedName name="VOC_combustion_factor" localSheetId="64">#REF!</definedName>
    <definedName name="VOC_combustion_factor" localSheetId="77">#REF!</definedName>
    <definedName name="VOC_combustion_factor" localSheetId="49">#REF!</definedName>
    <definedName name="VOC_combustion_factor" localSheetId="40">#REF!</definedName>
    <definedName name="VOC_combustion_factor" localSheetId="43">#REF!</definedName>
    <definedName name="VOC_combustion_factor" localSheetId="13">#REF!</definedName>
    <definedName name="VOC_combustion_factor" localSheetId="38">#REF!</definedName>
    <definedName name="VOC_combustion_factor">#REF!</definedName>
    <definedName name="VOC_DRYER" localSheetId="3">#REF!</definedName>
    <definedName name="VOC_DRYER" localSheetId="7">#REF!</definedName>
    <definedName name="VOC_DRYER" localSheetId="9">#REF!</definedName>
    <definedName name="VOC_DRYER" localSheetId="10">#REF!</definedName>
    <definedName name="VOC_DRYER" localSheetId="15">#REF!</definedName>
    <definedName name="VOC_DRYER" localSheetId="19">#REF!</definedName>
    <definedName name="VOC_DRYER" localSheetId="20">#REF!</definedName>
    <definedName name="VOC_DRYER" localSheetId="24">#REF!</definedName>
    <definedName name="VOC_DRYER" localSheetId="104">#REF!</definedName>
    <definedName name="VOC_DRYER" localSheetId="65">#REF!</definedName>
    <definedName name="VOC_DRYER" localSheetId="64">#REF!</definedName>
    <definedName name="VOC_DRYER" localSheetId="77">#REF!</definedName>
    <definedName name="VOC_DRYER" localSheetId="49">#REF!</definedName>
    <definedName name="VOC_DRYER" localSheetId="48">#REF!</definedName>
    <definedName name="VOC_DRYER" localSheetId="40">#REF!</definedName>
    <definedName name="VOC_DRYER" localSheetId="43">#REF!</definedName>
    <definedName name="VOC_DRYER" localSheetId="13">#REF!</definedName>
    <definedName name="VOC_DRYER" localSheetId="38">#REF!</definedName>
    <definedName name="VOC_DRYER">#REF!</definedName>
    <definedName name="VOCdata" localSheetId="3">#REF!</definedName>
    <definedName name="VOCdata" localSheetId="7">#REF!</definedName>
    <definedName name="VOCdata" localSheetId="9">#REF!</definedName>
    <definedName name="VOCdata" localSheetId="10">#REF!</definedName>
    <definedName name="VOCdata" localSheetId="15">#REF!</definedName>
    <definedName name="VOCdata" localSheetId="19">#REF!</definedName>
    <definedName name="VOCdata" localSheetId="20">#REF!</definedName>
    <definedName name="VOCdata" localSheetId="24">#REF!</definedName>
    <definedName name="VOCdata" localSheetId="104">#REF!</definedName>
    <definedName name="VOCdata" localSheetId="65">#REF!</definedName>
    <definedName name="VOCdata" localSheetId="64">#REF!</definedName>
    <definedName name="VOCdata" localSheetId="77">#REF!</definedName>
    <definedName name="VOCdata" localSheetId="49">#REF!</definedName>
    <definedName name="VOCdata" localSheetId="40">#REF!</definedName>
    <definedName name="VOCdata" localSheetId="43">#REF!</definedName>
    <definedName name="VOCdata" localSheetId="13">#REF!</definedName>
    <definedName name="VOCdata" localSheetId="38">#REF!</definedName>
    <definedName name="VOCdata">#REF!</definedName>
    <definedName name="VOCfields" localSheetId="3">#REF!</definedName>
    <definedName name="VOCfields" localSheetId="7">#REF!</definedName>
    <definedName name="VOCfields" localSheetId="9">#REF!</definedName>
    <definedName name="VOCfields" localSheetId="10">#REF!</definedName>
    <definedName name="VOCfields" localSheetId="15">#REF!</definedName>
    <definedName name="VOCfields" localSheetId="19">#REF!</definedName>
    <definedName name="VOCfields" localSheetId="20">#REF!</definedName>
    <definedName name="VOCfields" localSheetId="24">#REF!</definedName>
    <definedName name="VOCfields" localSheetId="104">#REF!</definedName>
    <definedName name="VOCfields" localSheetId="65">#REF!</definedName>
    <definedName name="VOCfields" localSheetId="64">#REF!</definedName>
    <definedName name="VOCfields" localSheetId="77">#REF!</definedName>
    <definedName name="VOCfields" localSheetId="49">#REF!</definedName>
    <definedName name="VOCfields" localSheetId="40">#REF!</definedName>
    <definedName name="VOCfields" localSheetId="43">#REF!</definedName>
    <definedName name="VOCfields" localSheetId="13">#REF!</definedName>
    <definedName name="VOCfields" localSheetId="38">#REF!</definedName>
    <definedName name="VOCfields">#REF!</definedName>
    <definedName name="VOCfuel" localSheetId="3">#REF!</definedName>
    <definedName name="VOCfuel" localSheetId="7">#REF!</definedName>
    <definedName name="VOCfuel" localSheetId="9">#REF!</definedName>
    <definedName name="VOCfuel" localSheetId="10">#REF!</definedName>
    <definedName name="VOCfuel" localSheetId="15">#REF!</definedName>
    <definedName name="VOCfuel" localSheetId="19">#REF!</definedName>
    <definedName name="VOCfuel" localSheetId="20">#REF!</definedName>
    <definedName name="VOCfuel" localSheetId="24">#REF!</definedName>
    <definedName name="VOCfuel" localSheetId="104">#REF!</definedName>
    <definedName name="VOCfuel" localSheetId="65">#REF!</definedName>
    <definedName name="VOCfuel" localSheetId="64">#REF!</definedName>
    <definedName name="VOCfuel" localSheetId="77">#REF!</definedName>
    <definedName name="VOCfuel" localSheetId="49">#REF!</definedName>
    <definedName name="VOCfuel" localSheetId="40">#REF!</definedName>
    <definedName name="VOCfuel" localSheetId="43">#REF!</definedName>
    <definedName name="VOCfuel" localSheetId="13">#REF!</definedName>
    <definedName name="VOCfuel" localSheetId="38">#REF!</definedName>
    <definedName name="VOCfuel">#REF!</definedName>
    <definedName name="vom" localSheetId="3">#REF!</definedName>
    <definedName name="vom" localSheetId="7">#REF!</definedName>
    <definedName name="vom" localSheetId="9">#REF!</definedName>
    <definedName name="vom" localSheetId="10">#REF!</definedName>
    <definedName name="vom" localSheetId="15">#REF!</definedName>
    <definedName name="vom" localSheetId="19">#REF!</definedName>
    <definedName name="vom" localSheetId="20">#REF!</definedName>
    <definedName name="vom" localSheetId="24">#REF!</definedName>
    <definedName name="vom" localSheetId="104">#REF!</definedName>
    <definedName name="vom" localSheetId="65">#REF!</definedName>
    <definedName name="vom" localSheetId="64">#REF!</definedName>
    <definedName name="vom" localSheetId="77">#REF!</definedName>
    <definedName name="vom" localSheetId="49">#REF!</definedName>
    <definedName name="vom" localSheetId="40">#REF!</definedName>
    <definedName name="vom" localSheetId="43">#REF!</definedName>
    <definedName name="vom" localSheetId="13">#REF!</definedName>
    <definedName name="vom" localSheetId="38">#REF!</definedName>
    <definedName name="vom">#REF!</definedName>
    <definedName name="VOMEF" localSheetId="3">#REF!</definedName>
    <definedName name="VOMEF" localSheetId="7">#REF!</definedName>
    <definedName name="VOMEF" localSheetId="9">#REF!</definedName>
    <definedName name="VOMEF" localSheetId="10">#REF!</definedName>
    <definedName name="VOMEF" localSheetId="15">#REF!</definedName>
    <definedName name="VOMEF" localSheetId="19">#REF!</definedName>
    <definedName name="VOMEF" localSheetId="20">#REF!</definedName>
    <definedName name="VOMEF" localSheetId="24">#REF!</definedName>
    <definedName name="VOMEF" localSheetId="104">#REF!</definedName>
    <definedName name="VOMEF" localSheetId="65">#REF!</definedName>
    <definedName name="VOMEF" localSheetId="64">#REF!</definedName>
    <definedName name="VOMEF" localSheetId="77">#REF!</definedName>
    <definedName name="VOMEF" localSheetId="49">#REF!</definedName>
    <definedName name="VOMEF" localSheetId="40">#REF!</definedName>
    <definedName name="VOMEF" localSheetId="43">#REF!</definedName>
    <definedName name="VOMEF" localSheetId="13">#REF!</definedName>
    <definedName name="VOMEF" localSheetId="38">#REF!</definedName>
    <definedName name="VOMEF">#REF!</definedName>
    <definedName name="vomrate" localSheetId="3">#REF!</definedName>
    <definedName name="vomrate" localSheetId="7">#REF!</definedName>
    <definedName name="vomrate" localSheetId="9">#REF!</definedName>
    <definedName name="vomrate" localSheetId="10">#REF!</definedName>
    <definedName name="vomrate" localSheetId="15">#REF!</definedName>
    <definedName name="vomrate" localSheetId="19">#REF!</definedName>
    <definedName name="vomrate" localSheetId="20">#REF!</definedName>
    <definedName name="vomrate" localSheetId="24">#REF!</definedName>
    <definedName name="vomrate" localSheetId="104">#REF!</definedName>
    <definedName name="vomrate" localSheetId="65">#REF!</definedName>
    <definedName name="vomrate" localSheetId="64">#REF!</definedName>
    <definedName name="vomrate" localSheetId="77">#REF!</definedName>
    <definedName name="vomrate" localSheetId="49">#REF!</definedName>
    <definedName name="vomrate" localSheetId="40">#REF!</definedName>
    <definedName name="vomrate" localSheetId="43">#REF!</definedName>
    <definedName name="vomrate" localSheetId="13">#REF!</definedName>
    <definedName name="vomrate" localSheetId="38">#REF!</definedName>
    <definedName name="vomrate">#REF!</definedName>
    <definedName name="VPA" localSheetId="3">#REF!</definedName>
    <definedName name="VPA" localSheetId="7">#REF!</definedName>
    <definedName name="VPA" localSheetId="9">#REF!</definedName>
    <definedName name="VPA" localSheetId="10">#REF!</definedName>
    <definedName name="VPA" localSheetId="15">#REF!</definedName>
    <definedName name="VPA" localSheetId="19">#REF!</definedName>
    <definedName name="VPA" localSheetId="20">#REF!</definedName>
    <definedName name="VPA" localSheetId="24">#REF!</definedName>
    <definedName name="VPA" localSheetId="104">#REF!</definedName>
    <definedName name="VPA" localSheetId="65">#REF!</definedName>
    <definedName name="VPA" localSheetId="64">#REF!</definedName>
    <definedName name="VPA" localSheetId="77">#REF!</definedName>
    <definedName name="VPA" localSheetId="49">#REF!</definedName>
    <definedName name="VPA" localSheetId="40">#REF!</definedName>
    <definedName name="VPA" localSheetId="43">#REF!</definedName>
    <definedName name="VPA" localSheetId="13">#REF!</definedName>
    <definedName name="VPA" localSheetId="38">#REF!</definedName>
    <definedName name="VPA">#REF!</definedName>
    <definedName name="VPB" localSheetId="3">#REF!</definedName>
    <definedName name="VPB" localSheetId="7">#REF!</definedName>
    <definedName name="VPB" localSheetId="9">#REF!</definedName>
    <definedName name="VPB" localSheetId="10">#REF!</definedName>
    <definedName name="VPB" localSheetId="15">#REF!</definedName>
    <definedName name="VPB" localSheetId="19">#REF!</definedName>
    <definedName name="VPB" localSheetId="20">#REF!</definedName>
    <definedName name="VPB" localSheetId="24">#REF!</definedName>
    <definedName name="VPB" localSheetId="104">#REF!</definedName>
    <definedName name="VPB" localSheetId="65">#REF!</definedName>
    <definedName name="VPB" localSheetId="64">#REF!</definedName>
    <definedName name="VPB" localSheetId="77">#REF!</definedName>
    <definedName name="VPB" localSheetId="49">#REF!</definedName>
    <definedName name="VPB" localSheetId="40">#REF!</definedName>
    <definedName name="VPB" localSheetId="43">#REF!</definedName>
    <definedName name="VPB" localSheetId="13">#REF!</definedName>
    <definedName name="VPB" localSheetId="38">#REF!</definedName>
    <definedName name="VPB">#REF!</definedName>
    <definedName name="VPC" localSheetId="3">#REF!</definedName>
    <definedName name="VPC" localSheetId="7">#REF!</definedName>
    <definedName name="VPC" localSheetId="9">#REF!</definedName>
    <definedName name="VPC" localSheetId="10">#REF!</definedName>
    <definedName name="VPC" localSheetId="15">#REF!</definedName>
    <definedName name="VPC" localSheetId="19">#REF!</definedName>
    <definedName name="VPC" localSheetId="20">#REF!</definedName>
    <definedName name="VPC" localSheetId="24">#REF!</definedName>
    <definedName name="VPC" localSheetId="104">#REF!</definedName>
    <definedName name="VPC" localSheetId="65">#REF!</definedName>
    <definedName name="VPC" localSheetId="64">#REF!</definedName>
    <definedName name="VPC" localSheetId="77">#REF!</definedName>
    <definedName name="VPC" localSheetId="49">#REF!</definedName>
    <definedName name="VPC" localSheetId="40">#REF!</definedName>
    <definedName name="VPC" localSheetId="43">#REF!</definedName>
    <definedName name="VPC" localSheetId="13">#REF!</definedName>
    <definedName name="VPC" localSheetId="38">#REF!</definedName>
    <definedName name="VPC">#REF!</definedName>
    <definedName name="VPL" localSheetId="3">#REF!</definedName>
    <definedName name="VPL" localSheetId="7">#REF!</definedName>
    <definedName name="VPL" localSheetId="9">#REF!</definedName>
    <definedName name="VPL" localSheetId="10">#REF!</definedName>
    <definedName name="VPL" localSheetId="15">#REF!</definedName>
    <definedName name="VPL" localSheetId="19">#REF!</definedName>
    <definedName name="VPL" localSheetId="20">#REF!</definedName>
    <definedName name="VPL" localSheetId="24">#REF!</definedName>
    <definedName name="VPL" localSheetId="104">#REF!</definedName>
    <definedName name="VPL" localSheetId="65">#REF!</definedName>
    <definedName name="VPL" localSheetId="64">#REF!</definedName>
    <definedName name="VPL" localSheetId="77">#REF!</definedName>
    <definedName name="VPL" localSheetId="49">#REF!</definedName>
    <definedName name="VPL" localSheetId="40">#REF!</definedName>
    <definedName name="VPL" localSheetId="43">#REF!</definedName>
    <definedName name="VPL" localSheetId="13">#REF!</definedName>
    <definedName name="VPL" localSheetId="38">#REF!</definedName>
    <definedName name="VPL">#REF!</definedName>
    <definedName name="VPLPERTON" localSheetId="3">#REF!</definedName>
    <definedName name="VPLPERTON" localSheetId="7">#REF!</definedName>
    <definedName name="VPLPERTON" localSheetId="9">#REF!</definedName>
    <definedName name="VPLPERTON" localSheetId="10">#REF!</definedName>
    <definedName name="VPLPERTON" localSheetId="15">#REF!</definedName>
    <definedName name="VPLPERTON" localSheetId="19">#REF!</definedName>
    <definedName name="VPLPERTON" localSheetId="20">#REF!</definedName>
    <definedName name="VPLPERTON" localSheetId="24">#REF!</definedName>
    <definedName name="VPLPERTON" localSheetId="104">#REF!</definedName>
    <definedName name="VPLPERTON" localSheetId="65">#REF!</definedName>
    <definedName name="VPLPERTON" localSheetId="64">#REF!</definedName>
    <definedName name="VPLPERTON" localSheetId="77">#REF!</definedName>
    <definedName name="VPLPERTON" localSheetId="49">#REF!</definedName>
    <definedName name="VPLPERTON" localSheetId="40">#REF!</definedName>
    <definedName name="VPLPERTON" localSheetId="43">#REF!</definedName>
    <definedName name="VPLPERTON" localSheetId="13">#REF!</definedName>
    <definedName name="VPLPERTON" localSheetId="38">#REF!</definedName>
    <definedName name="VPLPERTON">#REF!</definedName>
    <definedName name="VPLPERTONYTD" localSheetId="3">#REF!</definedName>
    <definedName name="VPLPERTONYTD" localSheetId="7">#REF!</definedName>
    <definedName name="VPLPERTONYTD" localSheetId="9">#REF!</definedName>
    <definedName name="VPLPERTONYTD" localSheetId="10">#REF!</definedName>
    <definedName name="VPLPERTONYTD" localSheetId="15">#REF!</definedName>
    <definedName name="VPLPERTONYTD" localSheetId="19">#REF!</definedName>
    <definedName name="VPLPERTONYTD" localSheetId="20">#REF!</definedName>
    <definedName name="VPLPERTONYTD" localSheetId="24">#REF!</definedName>
    <definedName name="VPLPERTONYTD" localSheetId="104">#REF!</definedName>
    <definedName name="VPLPERTONYTD" localSheetId="65">#REF!</definedName>
    <definedName name="VPLPERTONYTD" localSheetId="64">#REF!</definedName>
    <definedName name="VPLPERTONYTD" localSheetId="77">#REF!</definedName>
    <definedName name="VPLPERTONYTD" localSheetId="49">#REF!</definedName>
    <definedName name="VPLPERTONYTD" localSheetId="40">#REF!</definedName>
    <definedName name="VPLPERTONYTD" localSheetId="43">#REF!</definedName>
    <definedName name="VPLPERTONYTD" localSheetId="13">#REF!</definedName>
    <definedName name="VPLPERTONYTD" localSheetId="38">#REF!</definedName>
    <definedName name="VPLPERTONYTD">#REF!</definedName>
    <definedName name="VPLYTD" localSheetId="3">#REF!</definedName>
    <definedName name="VPLYTD" localSheetId="7">#REF!</definedName>
    <definedName name="VPLYTD" localSheetId="9">#REF!</definedName>
    <definedName name="VPLYTD" localSheetId="10">#REF!</definedName>
    <definedName name="VPLYTD" localSheetId="15">#REF!</definedName>
    <definedName name="VPLYTD" localSheetId="19">#REF!</definedName>
    <definedName name="VPLYTD" localSheetId="20">#REF!</definedName>
    <definedName name="VPLYTD" localSheetId="24">#REF!</definedName>
    <definedName name="VPLYTD" localSheetId="104">#REF!</definedName>
    <definedName name="VPLYTD" localSheetId="65">#REF!</definedName>
    <definedName name="VPLYTD" localSheetId="64">#REF!</definedName>
    <definedName name="VPLYTD" localSheetId="77">#REF!</definedName>
    <definedName name="VPLYTD" localSheetId="49">#REF!</definedName>
    <definedName name="VPLYTD" localSheetId="40">#REF!</definedName>
    <definedName name="VPLYTD" localSheetId="43">#REF!</definedName>
    <definedName name="VPLYTD" localSheetId="13">#REF!</definedName>
    <definedName name="VPLYTD" localSheetId="38">#REF!</definedName>
    <definedName name="VPLYTD">#REF!</definedName>
    <definedName name="VRUCaptEff" localSheetId="3">#REF!</definedName>
    <definedName name="VRUCaptEff" localSheetId="7">#REF!</definedName>
    <definedName name="VRUCaptEff" localSheetId="9">#REF!</definedName>
    <definedName name="VRUCaptEff" localSheetId="10">#REF!</definedName>
    <definedName name="VRUCaptEff" localSheetId="15">#REF!</definedName>
    <definedName name="VRUCaptEff" localSheetId="19">#REF!</definedName>
    <definedName name="VRUCaptEff" localSheetId="20">#REF!</definedName>
    <definedName name="VRUCaptEff" localSheetId="24">#REF!</definedName>
    <definedName name="VRUCaptEff" localSheetId="104">#REF!</definedName>
    <definedName name="VRUCaptEff" localSheetId="65">#REF!</definedName>
    <definedName name="VRUCaptEff" localSheetId="64">#REF!</definedName>
    <definedName name="VRUCaptEff" localSheetId="77">#REF!</definedName>
    <definedName name="VRUCaptEff" localSheetId="49">#REF!</definedName>
    <definedName name="VRUCaptEff" localSheetId="40">#REF!</definedName>
    <definedName name="VRUCaptEff" localSheetId="43">#REF!</definedName>
    <definedName name="VRUCaptEff" localSheetId="13">#REF!</definedName>
    <definedName name="VRUCaptEff" localSheetId="38">#REF!</definedName>
    <definedName name="VRUCaptEff">#REF!</definedName>
    <definedName name="Vv" localSheetId="3">#REF!</definedName>
    <definedName name="Vv" localSheetId="7">#REF!</definedName>
    <definedName name="Vv" localSheetId="9">#REF!</definedName>
    <definedName name="Vv" localSheetId="10">#REF!</definedName>
    <definedName name="Vv" localSheetId="15">#REF!</definedName>
    <definedName name="Vv" localSheetId="19">#REF!</definedName>
    <definedName name="Vv" localSheetId="20">#REF!</definedName>
    <definedName name="Vv" localSheetId="24">#REF!</definedName>
    <definedName name="Vv" localSheetId="104">#REF!</definedName>
    <definedName name="Vv" localSheetId="65">#REF!</definedName>
    <definedName name="Vv" localSheetId="64">#REF!</definedName>
    <definedName name="Vv" localSheetId="77">#REF!</definedName>
    <definedName name="Vv" localSheetId="49">#REF!</definedName>
    <definedName name="Vv" localSheetId="40">#REF!</definedName>
    <definedName name="Vv" localSheetId="43">#REF!</definedName>
    <definedName name="Vv" localSheetId="13">#REF!</definedName>
    <definedName name="Vv" localSheetId="38">#REF!</definedName>
    <definedName name="Vv">#REF!</definedName>
    <definedName name="w" localSheetId="105" hidden="1">{#N/A,#N/A,FALSE,"Annual Summary";#N/A,#N/A,FALSE,"Hourly Summary";#N/A,#N/A,FALSE,"Flare Combustion";#N/A,#N/A,FALSE,"Shipping";#N/A,#N/A,FALSE,"Process Turnaround";#N/A,#N/A,FALSE,"Lab Samples";#N/A,#N/A,FALSE,"Product Cycles 5-4";#N/A,#N/A,FALSE,"5-4.1";#N/A,#N/A,FALSE,"5-4.2";#N/A,#N/A,FALSE,"Physical Prop Data"}</definedName>
    <definedName name="w" localSheetId="96" hidden="1">{#N/A,#N/A,FALSE,"Annual Summary";#N/A,#N/A,FALSE,"Hourly Summary";#N/A,#N/A,FALSE,"Flare Combustion";#N/A,#N/A,FALSE,"Shipping";#N/A,#N/A,FALSE,"Process Turnaround";#N/A,#N/A,FALSE,"Lab Samples";#N/A,#N/A,FALSE,"Product Cycles 5-4";#N/A,#N/A,FALSE,"5-4.1";#N/A,#N/A,FALSE,"5-4.2";#N/A,#N/A,FALSE,"Physical Prop Data"}</definedName>
    <definedName name="w" localSheetId="44" hidden="1">{#N/A,#N/A,FALSE,"Annual Summary";#N/A,#N/A,FALSE,"Hourly Summary";#N/A,#N/A,FALSE,"Flare Combustion";#N/A,#N/A,FALSE,"Shipping";#N/A,#N/A,FALSE,"Process Turnaround";#N/A,#N/A,FALSE,"Lab Samples";#N/A,#N/A,FALSE,"Product Cycles 5-4";#N/A,#N/A,FALSE,"5-4.1";#N/A,#N/A,FALSE,"5-4.2";#N/A,#N/A,FALSE,"Physical Prop Data"}</definedName>
    <definedName name="w" hidden="1">{#N/A,#N/A,FALSE,"Annual Summary";#N/A,#N/A,FALSE,"Hourly Summary";#N/A,#N/A,FALSE,"Flare Combustion";#N/A,#N/A,FALSE,"Shipping";#N/A,#N/A,FALSE,"Process Turnaround";#N/A,#N/A,FALSE,"Lab Samples";#N/A,#N/A,FALSE,"Product Cycles 5-4";#N/A,#N/A,FALSE,"5-4.1";#N/A,#N/A,FALSE,"5-4.2";#N/A,#N/A,FALSE,"Physical Prop Data"}</definedName>
    <definedName name="wellthenmayne" localSheetId="3" hidden="1">[1]LOAD!#REF!</definedName>
    <definedName name="wellthenmayne" localSheetId="7" hidden="1">[1]LOAD!#REF!</definedName>
    <definedName name="wellthenmayne" localSheetId="9" hidden="1">[1]LOAD!#REF!</definedName>
    <definedName name="wellthenmayne" localSheetId="10" hidden="1">[1]LOAD!#REF!</definedName>
    <definedName name="wellthenmayne" localSheetId="15" hidden="1">[1]LOAD!#REF!</definedName>
    <definedName name="wellthenmayne" localSheetId="18" hidden="1">[1]LOAD!#REF!</definedName>
    <definedName name="wellthenmayne" localSheetId="19" hidden="1">[1]LOAD!#REF!</definedName>
    <definedName name="wellthenmayne" localSheetId="20" hidden="1">[1]LOAD!#REF!</definedName>
    <definedName name="wellthenmayne" localSheetId="23" hidden="1">[1]LOAD!#REF!</definedName>
    <definedName name="wellthenmayne" localSheetId="24" hidden="1">[1]LOAD!#REF!</definedName>
    <definedName name="wellthenmayne" localSheetId="35" hidden="1">[1]LOAD!#REF!</definedName>
    <definedName name="wellthenmayne" localSheetId="58" hidden="1">[1]LOAD!#REF!</definedName>
    <definedName name="wellthenmayne" localSheetId="60" hidden="1">[1]LOAD!#REF!</definedName>
    <definedName name="wellthenmayne" localSheetId="51" hidden="1">[1]LOAD!#REF!</definedName>
    <definedName name="wellthenmayne" localSheetId="54" hidden="1">[1]LOAD!#REF!</definedName>
    <definedName name="wellthenmayne" localSheetId="47" hidden="1">[1]LOAD!#REF!</definedName>
    <definedName name="wellthenmayne" localSheetId="104" hidden="1">[1]LOAD!#REF!</definedName>
    <definedName name="wellthenmayne" localSheetId="88" hidden="1">[1]LOAD!#REF!</definedName>
    <definedName name="wellthenmayne" localSheetId="89" hidden="1">[1]LOAD!#REF!</definedName>
    <definedName name="wellthenmayne" localSheetId="87" hidden="1">[1]LOAD!#REF!</definedName>
    <definedName name="wellthenmayne" localSheetId="90" hidden="1">[1]LOAD!#REF!</definedName>
    <definedName name="wellthenmayne" localSheetId="70" hidden="1">[1]LOAD!#REF!</definedName>
    <definedName name="wellthenmayne" localSheetId="65" hidden="1">[1]LOAD!#REF!</definedName>
    <definedName name="wellthenmayne" localSheetId="64" hidden="1">[1]LOAD!#REF!</definedName>
    <definedName name="wellthenmayne" localSheetId="77" hidden="1">[1]LOAD!#REF!</definedName>
    <definedName name="wellthenmayne" localSheetId="49" hidden="1">[1]LOAD!#REF!</definedName>
    <definedName name="wellthenmayne" localSheetId="48" hidden="1">[1]LOAD!#REF!</definedName>
    <definedName name="wellthenmayne" localSheetId="57" hidden="1">[1]LOAD!#REF!</definedName>
    <definedName name="wellthenmayne" localSheetId="59" hidden="1">[1]LOAD!#REF!</definedName>
    <definedName name="wellthenmayne" localSheetId="52" hidden="1">[1]LOAD!#REF!</definedName>
    <definedName name="wellthenmayne" localSheetId="80" hidden="1">[1]LOAD!#REF!</definedName>
    <definedName name="wellthenmayne" localSheetId="40" hidden="1">[1]LOAD!#REF!</definedName>
    <definedName name="wellthenmayne" localSheetId="43" hidden="1">[1]LOAD!#REF!</definedName>
    <definedName name="wellthenmayne" localSheetId="55" hidden="1">[1]LOAD!#REF!</definedName>
    <definedName name="wellthenmayne" localSheetId="81" hidden="1">[1]LOAD!#REF!</definedName>
    <definedName name="wellthenmayne" localSheetId="13" hidden="1">[1]LOAD!#REF!</definedName>
    <definedName name="wellthenmayne" localSheetId="11" hidden="1">[1]LOAD!#REF!</definedName>
    <definedName name="wellthenmayne" localSheetId="38" hidden="1">[1]LOAD!#REF!</definedName>
    <definedName name="wellthenmayne" localSheetId="41" hidden="1">[1]LOAD!#REF!</definedName>
    <definedName name="wellthenmayne" localSheetId="101" hidden="1">[1]LOAD!#REF!</definedName>
    <definedName name="wellthenmayne" localSheetId="102" hidden="1">[1]LOAD!#REF!</definedName>
    <definedName name="wellthenmayne" localSheetId="103" hidden="1">[1]LOAD!#REF!</definedName>
    <definedName name="wellthenmayne" localSheetId="97" hidden="1">[1]LOAD!#REF!</definedName>
    <definedName name="wellthenmayne" localSheetId="42" hidden="1">[1]LOAD!#REF!</definedName>
    <definedName name="wellthenmayne" localSheetId="12" hidden="1">[1]LOAD!#REF!</definedName>
    <definedName name="wellthenmayne" localSheetId="73" hidden="1">[1]LOAD!#REF!</definedName>
    <definedName name="wellthenmayne" localSheetId="74" hidden="1">[1]LOAD!#REF!</definedName>
    <definedName name="wellthenmayne" hidden="1">[1]LOAD!#REF!</definedName>
    <definedName name="wets1" localSheetId="3">#REF!</definedName>
    <definedName name="wets1" localSheetId="7">#REF!</definedName>
    <definedName name="wets1" localSheetId="9">#REF!</definedName>
    <definedName name="wets1" localSheetId="10">#REF!</definedName>
    <definedName name="wets1" localSheetId="15">#REF!</definedName>
    <definedName name="wets1" localSheetId="19">#REF!</definedName>
    <definedName name="wets1" localSheetId="20">#REF!</definedName>
    <definedName name="wets1" localSheetId="24">#REF!</definedName>
    <definedName name="wets1" localSheetId="104">#REF!</definedName>
    <definedName name="wets1" localSheetId="65">#REF!</definedName>
    <definedName name="wets1" localSheetId="64">#REF!</definedName>
    <definedName name="wets1" localSheetId="77">#REF!</definedName>
    <definedName name="wets1" localSheetId="49">#REF!</definedName>
    <definedName name="wets1" localSheetId="40">#REF!</definedName>
    <definedName name="wets1" localSheetId="43">#REF!</definedName>
    <definedName name="wets1" localSheetId="13">#REF!</definedName>
    <definedName name="wets1" localSheetId="38">#REF!</definedName>
    <definedName name="wets1">#REF!</definedName>
    <definedName name="wets2" localSheetId="3">#REF!</definedName>
    <definedName name="wets2" localSheetId="7">#REF!</definedName>
    <definedName name="wets2" localSheetId="9">#REF!</definedName>
    <definedName name="wets2" localSheetId="10">#REF!</definedName>
    <definedName name="wets2" localSheetId="15">#REF!</definedName>
    <definedName name="wets2" localSheetId="19">#REF!</definedName>
    <definedName name="wets2" localSheetId="20">#REF!</definedName>
    <definedName name="wets2" localSheetId="24">#REF!</definedName>
    <definedName name="wets2" localSheetId="104">#REF!</definedName>
    <definedName name="wets2" localSheetId="65">#REF!</definedName>
    <definedName name="wets2" localSheetId="64">#REF!</definedName>
    <definedName name="wets2" localSheetId="77">#REF!</definedName>
    <definedName name="wets2" localSheetId="49">#REF!</definedName>
    <definedName name="wets2" localSheetId="40">#REF!</definedName>
    <definedName name="wets2" localSheetId="43">#REF!</definedName>
    <definedName name="wets2" localSheetId="13">#REF!</definedName>
    <definedName name="wets2" localSheetId="38">#REF!</definedName>
    <definedName name="wets2">#REF!</definedName>
    <definedName name="wets3" localSheetId="3">#REF!</definedName>
    <definedName name="wets3" localSheetId="7">#REF!</definedName>
    <definedName name="wets3" localSheetId="9">#REF!</definedName>
    <definedName name="wets3" localSheetId="10">#REF!</definedName>
    <definedName name="wets3" localSheetId="15">#REF!</definedName>
    <definedName name="wets3" localSheetId="19">#REF!</definedName>
    <definedName name="wets3" localSheetId="20">#REF!</definedName>
    <definedName name="wets3" localSheetId="24">#REF!</definedName>
    <definedName name="wets3" localSheetId="104">#REF!</definedName>
    <definedName name="wets3" localSheetId="65">#REF!</definedName>
    <definedName name="wets3" localSheetId="64">#REF!</definedName>
    <definedName name="wets3" localSheetId="77">#REF!</definedName>
    <definedName name="wets3" localSheetId="49">#REF!</definedName>
    <definedName name="wets3" localSheetId="40">#REF!</definedName>
    <definedName name="wets3" localSheetId="43">#REF!</definedName>
    <definedName name="wets3" localSheetId="13">#REF!</definedName>
    <definedName name="wets3" localSheetId="38">#REF!</definedName>
    <definedName name="wets3">#REF!</definedName>
    <definedName name="wets4" localSheetId="3">#REF!</definedName>
    <definedName name="wets4" localSheetId="7">#REF!</definedName>
    <definedName name="wets4" localSheetId="9">#REF!</definedName>
    <definedName name="wets4" localSheetId="10">#REF!</definedName>
    <definedName name="wets4" localSheetId="15">#REF!</definedName>
    <definedName name="wets4" localSheetId="19">#REF!</definedName>
    <definedName name="wets4" localSheetId="20">#REF!</definedName>
    <definedName name="wets4" localSheetId="24">#REF!</definedName>
    <definedName name="wets4" localSheetId="104">#REF!</definedName>
    <definedName name="wets4" localSheetId="65">#REF!</definedName>
    <definedName name="wets4" localSheetId="64">#REF!</definedName>
    <definedName name="wets4" localSheetId="77">#REF!</definedName>
    <definedName name="wets4" localSheetId="49">#REF!</definedName>
    <definedName name="wets4" localSheetId="40">#REF!</definedName>
    <definedName name="wets4" localSheetId="43">#REF!</definedName>
    <definedName name="wets4" localSheetId="13">#REF!</definedName>
    <definedName name="wets4" localSheetId="38">#REF!</definedName>
    <definedName name="wets4">#REF!</definedName>
    <definedName name="wetstot" localSheetId="3">#REF!</definedName>
    <definedName name="wetstot" localSheetId="7">#REF!</definedName>
    <definedName name="wetstot" localSheetId="9">#REF!</definedName>
    <definedName name="wetstot" localSheetId="10">#REF!</definedName>
    <definedName name="wetstot" localSheetId="15">#REF!</definedName>
    <definedName name="wetstot" localSheetId="19">#REF!</definedName>
    <definedName name="wetstot" localSheetId="20">#REF!</definedName>
    <definedName name="wetstot" localSheetId="24">#REF!</definedName>
    <definedName name="wetstot" localSheetId="104">#REF!</definedName>
    <definedName name="wetstot" localSheetId="65">#REF!</definedName>
    <definedName name="wetstot" localSheetId="64">#REF!</definedName>
    <definedName name="wetstot" localSheetId="77">#REF!</definedName>
    <definedName name="wetstot" localSheetId="49">#REF!</definedName>
    <definedName name="wetstot" localSheetId="40">#REF!</definedName>
    <definedName name="wetstot" localSheetId="43">#REF!</definedName>
    <definedName name="wetstot" localSheetId="13">#REF!</definedName>
    <definedName name="wetstot" localSheetId="38">#REF!</definedName>
    <definedName name="wetstot">#REF!</definedName>
    <definedName name="WHB" localSheetId="3">#REF!</definedName>
    <definedName name="WHB" localSheetId="7">#REF!</definedName>
    <definedName name="WHB" localSheetId="9">#REF!</definedName>
    <definedName name="WHB" localSheetId="10">#REF!</definedName>
    <definedName name="WHB" localSheetId="15">#REF!</definedName>
    <definedName name="WHB" localSheetId="19">#REF!</definedName>
    <definedName name="WHB" localSheetId="20">#REF!</definedName>
    <definedName name="WHB" localSheetId="24">#REF!</definedName>
    <definedName name="WHB" localSheetId="104">#REF!</definedName>
    <definedName name="WHB" localSheetId="65">#REF!</definedName>
    <definedName name="WHB" localSheetId="64">#REF!</definedName>
    <definedName name="WHB" localSheetId="77">#REF!</definedName>
    <definedName name="WHB" localSheetId="49">#REF!</definedName>
    <definedName name="WHB" localSheetId="40">#REF!</definedName>
    <definedName name="WHB" localSheetId="43">#REF!</definedName>
    <definedName name="WHB" localSheetId="13">#REF!</definedName>
    <definedName name="WHB" localSheetId="38">#REF!</definedName>
    <definedName name="WHB">#REF!</definedName>
    <definedName name="Wi" localSheetId="105" hidden="1">{#N/A,#N/A,FALSE,"Summary";#N/A,#N/A,FALSE,"Fixed (94)";#N/A,#N/A,FALSE,"fixed (P)";#N/A,#N/A,FALSE,"ExtFloat(94)";#N/A,#N/A,FALSE,"ExtFloat(P)";#N/A,#N/A,FALSE,"IntFloat(94)";#N/A,#N/A,FALSE,"IntFloat(P)";#N/A,#N/A,FALSE,"LD(94)";#N/A,#N/A,FALSE,"LD(P)";#N/A,#N/A,FALSE,"Fugitives";#N/A,#N/A,FALSE,"Speciate (94)";#N/A,#N/A,FALSE,"Speciate (P)"}</definedName>
    <definedName name="Wi" localSheetId="96" hidden="1">{#N/A,#N/A,FALSE,"Summary";#N/A,#N/A,FALSE,"Fixed (94)";#N/A,#N/A,FALSE,"fixed (P)";#N/A,#N/A,FALSE,"ExtFloat(94)";#N/A,#N/A,FALSE,"ExtFloat(P)";#N/A,#N/A,FALSE,"IntFloat(94)";#N/A,#N/A,FALSE,"IntFloat(P)";#N/A,#N/A,FALSE,"LD(94)";#N/A,#N/A,FALSE,"LD(P)";#N/A,#N/A,FALSE,"Fugitives";#N/A,#N/A,FALSE,"Speciate (94)";#N/A,#N/A,FALSE,"Speciate (P)"}</definedName>
    <definedName name="Wi" localSheetId="44" hidden="1">{#N/A,#N/A,FALSE,"Summary";#N/A,#N/A,FALSE,"Fixed (94)";#N/A,#N/A,FALSE,"fixed (P)";#N/A,#N/A,FALSE,"ExtFloat(94)";#N/A,#N/A,FALSE,"ExtFloat(P)";#N/A,#N/A,FALSE,"IntFloat(94)";#N/A,#N/A,FALSE,"IntFloat(P)";#N/A,#N/A,FALSE,"LD(94)";#N/A,#N/A,FALSE,"LD(P)";#N/A,#N/A,FALSE,"Fugitives";#N/A,#N/A,FALSE,"Speciate (94)";#N/A,#N/A,FALSE,"Speciate (P)"}</definedName>
    <definedName name="Wi" hidden="1">{#N/A,#N/A,FALSE,"Summary";#N/A,#N/A,FALSE,"Fixed (94)";#N/A,#N/A,FALSE,"fixed (P)";#N/A,#N/A,FALSE,"ExtFloat(94)";#N/A,#N/A,FALSE,"ExtFloat(P)";#N/A,#N/A,FALSE,"IntFloat(94)";#N/A,#N/A,FALSE,"IntFloat(P)";#N/A,#N/A,FALSE,"LD(94)";#N/A,#N/A,FALSE,"LD(P)";#N/A,#N/A,FALSE,"Fugitives";#N/A,#N/A,FALSE,"Speciate (94)";#N/A,#N/A,FALSE,"Speciate (P)"}</definedName>
    <definedName name="wrn.1995._.TEDI._.Calcs." localSheetId="105" hidden="1">{#N/A,#N/A,TRUE,"TEDI Calc's (Summary)";#N/A,#N/A,TRUE,"TEDI Calc's (Detailed)"}</definedName>
    <definedName name="wrn.1995._.TEDI._.Calcs." localSheetId="96" hidden="1">{#N/A,#N/A,TRUE,"TEDI Calc's (Summary)";#N/A,#N/A,TRUE,"TEDI Calc's (Detailed)"}</definedName>
    <definedName name="wrn.1995._.TEDI._.Calcs." localSheetId="44" hidden="1">{#N/A,#N/A,TRUE,"TEDI Calc's (Summary)";#N/A,#N/A,TRUE,"TEDI Calc's (Detailed)"}</definedName>
    <definedName name="wrn.1995._.TEDI._.Calcs." hidden="1">{#N/A,#N/A,TRUE,"TEDI Calc's (Summary)";#N/A,#N/A,TRUE,"TEDI Calc's (Detailed)"}</definedName>
    <definedName name="wrn.1996._.EIS._.Report." localSheetId="105"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localSheetId="96"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localSheetId="44"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mission._.Inventory." localSheetId="5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5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10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7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70"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6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65"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6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9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5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6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4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8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73"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74"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_1"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all." localSheetId="105" hidden="1">{#N/A,#N/A,FALSE,"Results";#N/A,#N/A,FALSE,"Composition";#N/A,#N/A,FALSE,"Speciation"}</definedName>
    <definedName name="wrn.all." localSheetId="96" hidden="1">{#N/A,#N/A,FALSE,"Results";#N/A,#N/A,FALSE,"Composition";#N/A,#N/A,FALSE,"Speciation"}</definedName>
    <definedName name="wrn.all." localSheetId="44" hidden="1">{#N/A,#N/A,FALSE,"Results";#N/A,#N/A,FALSE,"Composition";#N/A,#N/A,FALSE,"Speciation"}</definedName>
    <definedName name="wrn.all." hidden="1">{#N/A,#N/A,FALSE,"Results";#N/A,#N/A,FALSE,"Composition";#N/A,#N/A,FALSE,"Speciation"}</definedName>
    <definedName name="wrn.ALL._.SHEETS." localSheetId="105"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wrn.ALL._.SHEETS." localSheetId="96"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wrn.ALL._.SHEETS." localSheetId="44"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wrn.ALL._.SHEETS." hidden="1">{#N/A,#N/A,FALSE,"Summary";#N/A,#N/A,FALSE,"VOC Distribution";#N/A,#N/A,FALSE,"VOC Distribution Summary";#N/A,#N/A,FALSE,"Chem Summary";#N/A,#N/A,FALSE,"Chemical Data";#N/A,#N/A,FALSE,"Chem Summary";#N/A,#N/A,FALSE,"Chemical Data";#N/A,#N/A,FALSE,"Bulk Tanks";#N/A,#N/A,FALSE,"filling";#N/A,#N/A,FALSE,"Consumption Data";#N/A,#N/A,FALSE,"Mixing";#N/A,#N/A,FALSE,"Product Storage";#N/A,#N/A,FALSE,"Packaging";#N/A,#N/A,FALSE,"Cleanup";#N/A,#N/A,FALSE,"Constants";#N/A,#N/A,FALSE,"boiler1";#N/A,#N/A,FALSE,"boiler2";#N/A,#N/A,FALSE,"space heat";#N/A,#N/A,FALSE,"Chem Info"}</definedName>
    <definedName name="wrn.Appendix._.A." localSheetId="105" hidden="1">{#N/A,#N/A,TRUE,"Kiln-NOx-OxRed Scrubber";#N/A,#N/A,TRUE,"Kiln-SO2-Wet Scrubber";#N/A,#N/A,TRUE,"Slaker-PM-Scrubber";#N/A,#N/A,TRUE,"Combo-SO2-Wet Scrubber";#N/A,#N/A,TRUE,"Combo-SO2-DualAlkali";#N/A,#N/A,TRUE,"Combo-SO2-Spray Dryer ESP";#N/A,#N/A,TRUE,"CRU-NOx-OxRed Scrubber";#N/A,#N/A,TRUE,"CRU-SO2-Wet Scrubber";#N/A,#N/A,TRUE,"SDT-PM-Wet ESP";#N/A,#N/A,TRUE,"SDT-VOC-TO";#N/A,#N/A,TRUE,"Package-CO-TO";#N/A,#N/A,TRUE,"Package-PM-Baghouse";#N/A,#N/A,TRUE,"Package-PM-ESP";#N/A,#N/A,TRUE,"Package-PM-Venturi";#N/A,#N/A,TRUE,"Package-NOx-OxRed Scrubber";#N/A,#N/A,TRUE,"Package-NOx-SCR";#N/A,#N/A,TRUE,"Package-SO2-Wet Scrubber";#N/A,#N/A,TRUE,"Package-SO2-Spray Drier ESP";#N/A,#N/A,TRUE,"Power-CO-TO";#N/A,#N/A,TRUE,"Power-PM-Baghouse";#N/A,#N/A,TRUE,"Power-PM-ESP";#N/A,#N/A,TRUE,"Power-PM-Venturi";#N/A,#N/A,TRUE,"Power-NOx-OxRed Scrubber";#N/A,#N/A,TRUE,"Power-NOx-SCR";#N/A,#N/A,TRUE,"Power-SO2-Wet Lime Scrubber";#N/A,#N/A,TRUE,"Power-SO2-Spray Drier ESP";#N/A,#N/A,TRUE,"No.1 PM-VOC-Super";#N/A,#N/A,TRUE,"No.1 PM-VOC-Enhanced"}</definedName>
    <definedName name="wrn.Appendix._.A." localSheetId="96" hidden="1">{#N/A,#N/A,TRUE,"Kiln-NOx-OxRed Scrubber";#N/A,#N/A,TRUE,"Kiln-SO2-Wet Scrubber";#N/A,#N/A,TRUE,"Slaker-PM-Scrubber";#N/A,#N/A,TRUE,"Combo-SO2-Wet Scrubber";#N/A,#N/A,TRUE,"Combo-SO2-DualAlkali";#N/A,#N/A,TRUE,"Combo-SO2-Spray Dryer ESP";#N/A,#N/A,TRUE,"CRU-NOx-OxRed Scrubber";#N/A,#N/A,TRUE,"CRU-SO2-Wet Scrubber";#N/A,#N/A,TRUE,"SDT-PM-Wet ESP";#N/A,#N/A,TRUE,"SDT-VOC-TO";#N/A,#N/A,TRUE,"Package-CO-TO";#N/A,#N/A,TRUE,"Package-PM-Baghouse";#N/A,#N/A,TRUE,"Package-PM-ESP";#N/A,#N/A,TRUE,"Package-PM-Venturi";#N/A,#N/A,TRUE,"Package-NOx-OxRed Scrubber";#N/A,#N/A,TRUE,"Package-NOx-SCR";#N/A,#N/A,TRUE,"Package-SO2-Wet Scrubber";#N/A,#N/A,TRUE,"Package-SO2-Spray Drier ESP";#N/A,#N/A,TRUE,"Power-CO-TO";#N/A,#N/A,TRUE,"Power-PM-Baghouse";#N/A,#N/A,TRUE,"Power-PM-ESP";#N/A,#N/A,TRUE,"Power-PM-Venturi";#N/A,#N/A,TRUE,"Power-NOx-OxRed Scrubber";#N/A,#N/A,TRUE,"Power-NOx-SCR";#N/A,#N/A,TRUE,"Power-SO2-Wet Lime Scrubber";#N/A,#N/A,TRUE,"Power-SO2-Spray Drier ESP";#N/A,#N/A,TRUE,"No.1 PM-VOC-Super";#N/A,#N/A,TRUE,"No.1 PM-VOC-Enhanced"}</definedName>
    <definedName name="wrn.Appendix._.A." localSheetId="44" hidden="1">{#N/A,#N/A,TRUE,"Kiln-NOx-OxRed Scrubber";#N/A,#N/A,TRUE,"Kiln-SO2-Wet Scrubber";#N/A,#N/A,TRUE,"Slaker-PM-Scrubber";#N/A,#N/A,TRUE,"Combo-SO2-Wet Scrubber";#N/A,#N/A,TRUE,"Combo-SO2-DualAlkali";#N/A,#N/A,TRUE,"Combo-SO2-Spray Dryer ESP";#N/A,#N/A,TRUE,"CRU-NOx-OxRed Scrubber";#N/A,#N/A,TRUE,"CRU-SO2-Wet Scrubber";#N/A,#N/A,TRUE,"SDT-PM-Wet ESP";#N/A,#N/A,TRUE,"SDT-VOC-TO";#N/A,#N/A,TRUE,"Package-CO-TO";#N/A,#N/A,TRUE,"Package-PM-Baghouse";#N/A,#N/A,TRUE,"Package-PM-ESP";#N/A,#N/A,TRUE,"Package-PM-Venturi";#N/A,#N/A,TRUE,"Package-NOx-OxRed Scrubber";#N/A,#N/A,TRUE,"Package-NOx-SCR";#N/A,#N/A,TRUE,"Package-SO2-Wet Scrubber";#N/A,#N/A,TRUE,"Package-SO2-Spray Drier ESP";#N/A,#N/A,TRUE,"Power-CO-TO";#N/A,#N/A,TRUE,"Power-PM-Baghouse";#N/A,#N/A,TRUE,"Power-PM-ESP";#N/A,#N/A,TRUE,"Power-PM-Venturi";#N/A,#N/A,TRUE,"Power-NOx-OxRed Scrubber";#N/A,#N/A,TRUE,"Power-NOx-SCR";#N/A,#N/A,TRUE,"Power-SO2-Wet Lime Scrubber";#N/A,#N/A,TRUE,"Power-SO2-Spray Drier ESP";#N/A,#N/A,TRUE,"No.1 PM-VOC-Super";#N/A,#N/A,TRUE,"No.1 PM-VOC-Enhanced"}</definedName>
    <definedName name="wrn.Appendix._.A." hidden="1">{#N/A,#N/A,TRUE,"Kiln-NOx-OxRed Scrubber";#N/A,#N/A,TRUE,"Kiln-SO2-Wet Scrubber";#N/A,#N/A,TRUE,"Slaker-PM-Scrubber";#N/A,#N/A,TRUE,"Combo-SO2-Wet Scrubber";#N/A,#N/A,TRUE,"Combo-SO2-DualAlkali";#N/A,#N/A,TRUE,"Combo-SO2-Spray Dryer ESP";#N/A,#N/A,TRUE,"CRU-NOx-OxRed Scrubber";#N/A,#N/A,TRUE,"CRU-SO2-Wet Scrubber";#N/A,#N/A,TRUE,"SDT-PM-Wet ESP";#N/A,#N/A,TRUE,"SDT-VOC-TO";#N/A,#N/A,TRUE,"Package-CO-TO";#N/A,#N/A,TRUE,"Package-PM-Baghouse";#N/A,#N/A,TRUE,"Package-PM-ESP";#N/A,#N/A,TRUE,"Package-PM-Venturi";#N/A,#N/A,TRUE,"Package-NOx-OxRed Scrubber";#N/A,#N/A,TRUE,"Package-NOx-SCR";#N/A,#N/A,TRUE,"Package-SO2-Wet Scrubber";#N/A,#N/A,TRUE,"Package-SO2-Spray Drier ESP";#N/A,#N/A,TRUE,"Power-CO-TO";#N/A,#N/A,TRUE,"Power-PM-Baghouse";#N/A,#N/A,TRUE,"Power-PM-ESP";#N/A,#N/A,TRUE,"Power-PM-Venturi";#N/A,#N/A,TRUE,"Power-NOx-OxRed Scrubber";#N/A,#N/A,TRUE,"Power-NOx-SCR";#N/A,#N/A,TRUE,"Power-SO2-Wet Lime Scrubber";#N/A,#N/A,TRUE,"Power-SO2-Spray Drier ESP";#N/A,#N/A,TRUE,"No.1 PM-VOC-Super";#N/A,#N/A,TRUE,"No.1 PM-VOC-Enhanced"}</definedName>
    <definedName name="wrn.Appendix._.B." localSheetId="105" hidden="1">{#N/A,#N/A,TRUE,"(B-1) LimeKiln";#N/A,#N/A,TRUE,"(B-2) LimeSlaker";#N/A,#N/A,TRUE,"(B-3) Combo";#N/A,#N/A,TRUE,"(B-4) CRF";#N/A,#N/A,TRUE,"(B-5) SDT";#N/A,#N/A,TRUE,"(B-6) Fuel Oil";#N/A,#N/A,TRUE,"(B-7) NaturalGas"}</definedName>
    <definedName name="wrn.Appendix._.B." localSheetId="96" hidden="1">{#N/A,#N/A,TRUE,"(B-1) LimeKiln";#N/A,#N/A,TRUE,"(B-2) LimeSlaker";#N/A,#N/A,TRUE,"(B-3) Combo";#N/A,#N/A,TRUE,"(B-4) CRF";#N/A,#N/A,TRUE,"(B-5) SDT";#N/A,#N/A,TRUE,"(B-6) Fuel Oil";#N/A,#N/A,TRUE,"(B-7) NaturalGas"}</definedName>
    <definedName name="wrn.Appendix._.B." localSheetId="44" hidden="1">{#N/A,#N/A,TRUE,"(B-1) LimeKiln";#N/A,#N/A,TRUE,"(B-2) LimeSlaker";#N/A,#N/A,TRUE,"(B-3) Combo";#N/A,#N/A,TRUE,"(B-4) CRF";#N/A,#N/A,TRUE,"(B-5) SDT";#N/A,#N/A,TRUE,"(B-6) Fuel Oil";#N/A,#N/A,TRUE,"(B-7) NaturalGas"}</definedName>
    <definedName name="wrn.Appendix._.B." hidden="1">{#N/A,#N/A,TRUE,"(B-1) LimeKiln";#N/A,#N/A,TRUE,"(B-2) LimeSlaker";#N/A,#N/A,TRUE,"(B-3) Combo";#N/A,#N/A,TRUE,"(B-4) CRF";#N/A,#N/A,TRUE,"(B-5) SDT";#N/A,#N/A,TRUE,"(B-6) Fuel Oil";#N/A,#N/A,TRUE,"(B-7) NaturalGas"}</definedName>
    <definedName name="wrn.Appendix._.S." localSheetId="105" hidden="1">{#N/A,#N/A,TRUE,"Introduction";#N/A,#N/A,TRUE,"Emissions Inventory";#N/A,#N/A,TRUE,"Source Data"}</definedName>
    <definedName name="wrn.Appendix._.S." localSheetId="96" hidden="1">{#N/A,#N/A,TRUE,"Introduction";#N/A,#N/A,TRUE,"Emissions Inventory";#N/A,#N/A,TRUE,"Source Data"}</definedName>
    <definedName name="wrn.Appendix._.S." localSheetId="44" hidden="1">{#N/A,#N/A,TRUE,"Introduction";#N/A,#N/A,TRUE,"Emissions Inventory";#N/A,#N/A,TRUE,"Source Data"}</definedName>
    <definedName name="wrn.Appendix._.S." hidden="1">{#N/A,#N/A,TRUE,"Introduction";#N/A,#N/A,TRUE,"Emissions Inventory";#N/A,#N/A,TRUE,"Source Data"}</definedName>
    <definedName name="wrn.COMPLETEPRINT." localSheetId="105" hidden="1">{#N/A,#N/A,FALSE,"Rates";#N/A,#N/A,FALSE,"Summary";#N/A,#N/A,FALSE,"Boilers";#N/A,#N/A,FALSE,"Cyclones";#N/A,#N/A,FALSE,"Saws";#N/A,#N/A,FALSE,"Drops";#N/A,#N/A,FALSE,"Piles";#N/A,#N/A,FALSE,"Roads";#N/A,#N/A,FALSE,"Tanks";#N/A,#N/A,FALSE,"Kilns";#N/A,#N/A,FALSE,"Model"}</definedName>
    <definedName name="wrn.COMPLETEPRINT." localSheetId="96" hidden="1">{#N/A,#N/A,FALSE,"Rates";#N/A,#N/A,FALSE,"Summary";#N/A,#N/A,FALSE,"Boilers";#N/A,#N/A,FALSE,"Cyclones";#N/A,#N/A,FALSE,"Saws";#N/A,#N/A,FALSE,"Drops";#N/A,#N/A,FALSE,"Piles";#N/A,#N/A,FALSE,"Roads";#N/A,#N/A,FALSE,"Tanks";#N/A,#N/A,FALSE,"Kilns";#N/A,#N/A,FALSE,"Model"}</definedName>
    <definedName name="wrn.COMPLETEPRINT." localSheetId="44" hidden="1">{#N/A,#N/A,FALSE,"Rates";#N/A,#N/A,FALSE,"Summary";#N/A,#N/A,FALSE,"Boilers";#N/A,#N/A,FALSE,"Cyclones";#N/A,#N/A,FALSE,"Saws";#N/A,#N/A,FALSE,"Drops";#N/A,#N/A,FALSE,"Piles";#N/A,#N/A,FALSE,"Roads";#N/A,#N/A,FALSE,"Tanks";#N/A,#N/A,FALSE,"Kilns";#N/A,#N/A,FALSE,"Model"}</definedName>
    <definedName name="wrn.COMPLETEPRINT." hidden="1">{#N/A,#N/A,FALSE,"Rates";#N/A,#N/A,FALSE,"Summary";#N/A,#N/A,FALSE,"Boilers";#N/A,#N/A,FALSE,"Cyclones";#N/A,#N/A,FALSE,"Saws";#N/A,#N/A,FALSE,"Drops";#N/A,#N/A,FALSE,"Piles";#N/A,#N/A,FALSE,"Roads";#N/A,#N/A,FALSE,"Tanks";#N/A,#N/A,FALSE,"Kilns";#N/A,#N/A,FALSE,"Model"}</definedName>
    <definedName name="wrn.Compositions." localSheetId="50" hidden="1">{"Compositions",#N/A,FALSE,"TTU Summary"}</definedName>
    <definedName name="wrn.Compositions." localSheetId="51" hidden="1">{"Compositions",#N/A,FALSE,"TTU Summary"}</definedName>
    <definedName name="wrn.Compositions." localSheetId="105" hidden="1">{"Compositions",#N/A,FALSE,"TTU Summary"}</definedName>
    <definedName name="wrn.Compositions." localSheetId="75" hidden="1">{"Compositions",#N/A,FALSE,"TTU Summary"}</definedName>
    <definedName name="wrn.Compositions." localSheetId="70" hidden="1">{"Compositions",#N/A,FALSE,"TTU Summary"}</definedName>
    <definedName name="wrn.Compositions." localSheetId="63" hidden="1">{"Compositions",#N/A,FALSE,"TTU Summary"}</definedName>
    <definedName name="wrn.Compositions." localSheetId="65" hidden="1">{"Compositions",#N/A,FALSE,"TTU Summary"}</definedName>
    <definedName name="wrn.Compositions." localSheetId="64" hidden="1">{"Compositions",#N/A,FALSE,"TTU Summary"}</definedName>
    <definedName name="wrn.Compositions." localSheetId="96" hidden="1">{"Compositions",#N/A,FALSE,"TTU Summary"}</definedName>
    <definedName name="wrn.Compositions." localSheetId="48" hidden="1">{"Compositions",#N/A,FALSE,"TTU Summary"}</definedName>
    <definedName name="wrn.Compositions." localSheetId="52" hidden="1">{"Compositions",#N/A,FALSE,"TTU Summary"}</definedName>
    <definedName name="wrn.Compositions." localSheetId="67" hidden="1">{"Compositions",#N/A,FALSE,"TTU Summary"}</definedName>
    <definedName name="wrn.Compositions." localSheetId="44" hidden="1">{"Compositions",#N/A,FALSE,"TTU Summary"}</definedName>
    <definedName name="wrn.Compositions." localSheetId="81" hidden="1">{"Compositions",#N/A,FALSE,"TTU Summary"}</definedName>
    <definedName name="wrn.Compositions." localSheetId="73" hidden="1">{"Compositions",#N/A,FALSE,"TTU Summary"}</definedName>
    <definedName name="wrn.Compositions." localSheetId="74" hidden="1">{"Compositions",#N/A,FALSE,"TTU Summary"}</definedName>
    <definedName name="wrn.Compositions." hidden="1">{"Compositions",#N/A,FALSE,"TTU Summary"}</definedName>
    <definedName name="wrn.Compositions._1" hidden="1">{"Compositions",#N/A,FALSE,"TTU Summary"}</definedName>
    <definedName name="wrn.Criteria._.Summary." localSheetId="105"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localSheetId="96"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localSheetId="44"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hidden="1">{"CO",#N/A,FALSE,"Criteria Summary";"H2S",#N/A,FALSE,"Criteria Summary";"NOx",#N/A,FALSE,"Criteria Summary";"Other TRS",#N/A,FALSE,"Criteria Summary";"PM10",#N/A,FALSE,"Criteria Summary";"SO2",#N/A,FALSE,"Criteria Summary";"VOC",#N/A,FALSE,"Criteria Summary";#N/A,#N/A,FALSE,"VOC Summary";#N/A,#N/A,FALSE,"Other Toxics"}</definedName>
    <definedName name="wrn.Crosby._.Modeling._.Summary." localSheetId="105" hidden="1">{#N/A,#N/A,FALSE,"Modeled Emissions";#N/A,#N/A,FALSE,"Modeling Results"}</definedName>
    <definedName name="wrn.Crosby._.Modeling._.Summary." localSheetId="96" hidden="1">{#N/A,#N/A,FALSE,"Modeled Emissions";#N/A,#N/A,FALSE,"Modeling Results"}</definedName>
    <definedName name="wrn.Crosby._.Modeling._.Summary." localSheetId="44" hidden="1">{#N/A,#N/A,FALSE,"Modeled Emissions";#N/A,#N/A,FALSE,"Modeling Results"}</definedName>
    <definedName name="wrn.Crosby._.Modeling._.Summary." hidden="1">{#N/A,#N/A,FALSE,"Modeled Emissions";#N/A,#N/A,FALSE,"Modeling Results"}</definedName>
    <definedName name="wrn.Data._.Base." localSheetId="105" hidden="1">{#N/A,#N/A,FALSE,"010021025.01";#N/A,#N/A,FALSE,"010021045.01";#N/A,#N/A,FALSE,"010981025";#N/A,#N/A,FALSE,"010981045";#N/A,#N/A,FALSE,"010984045"}</definedName>
    <definedName name="wrn.Data._.Base." localSheetId="96" hidden="1">{#N/A,#N/A,FALSE,"010021025.01";#N/A,#N/A,FALSE,"010021045.01";#N/A,#N/A,FALSE,"010981025";#N/A,#N/A,FALSE,"010981045";#N/A,#N/A,FALSE,"010984045"}</definedName>
    <definedName name="wrn.Data._.Base." localSheetId="44" hidden="1">{#N/A,#N/A,FALSE,"010021025.01";#N/A,#N/A,FALSE,"010021045.01";#N/A,#N/A,FALSE,"010981025";#N/A,#N/A,FALSE,"010981045";#N/A,#N/A,FALSE,"010984045"}</definedName>
    <definedName name="wrn.Data._.Base." hidden="1">{#N/A,#N/A,FALSE,"010021025.01";#N/A,#N/A,FALSE,"010021045.01";#N/A,#N/A,FALSE,"010981025";#N/A,#N/A,FALSE,"010981045";#N/A,#N/A,FALSE,"010984045"}</definedName>
    <definedName name="wrn.Data._.Reduction." localSheetId="105" hidden="1">{"Inputs",#N/A,FALSE,"Data Reduction";"Outputs",#N/A,FALSE,"Data Reduction";"Cycle Deck Comparison",#N/A,FALSE,"Data Reduction"}</definedName>
    <definedName name="wrn.Data._.Reduction." localSheetId="96" hidden="1">{"Inputs",#N/A,FALSE,"Data Reduction";"Outputs",#N/A,FALSE,"Data Reduction";"Cycle Deck Comparison",#N/A,FALSE,"Data Reduction"}</definedName>
    <definedName name="wrn.Data._.Reduction." localSheetId="44" hidden="1">{"Inputs",#N/A,FALSE,"Data Reduction";"Outputs",#N/A,FALSE,"Data Reduction";"Cycle Deck Comparison",#N/A,FALSE,"Data Reduction"}</definedName>
    <definedName name="wrn.Data._.Reduction." hidden="1">{"Inputs",#N/A,FALSE,"Data Reduction";"Outputs",#N/A,FALSE,"Data Reduction";"Cycle Deck Comparison",#N/A,FALSE,"Data Reduction"}</definedName>
    <definedName name="wrn.Detailed._.and._.Summary._.Report." localSheetId="105" hidden="1">{"Detailed",#N/A,FALSE,"GAS-COMB";"Summary",#N/A,FALSE,"GAS-COMB"}</definedName>
    <definedName name="wrn.Detailed._.and._.Summary._.Report." localSheetId="96" hidden="1">{"Detailed",#N/A,FALSE,"GAS-COMB";"Summary",#N/A,FALSE,"GAS-COMB"}</definedName>
    <definedName name="wrn.Detailed._.and._.Summary._.Report." localSheetId="44" hidden="1">{"Detailed",#N/A,FALSE,"GAS-COMB";"Summary",#N/A,FALSE,"GAS-COMB"}</definedName>
    <definedName name="wrn.Detailed._.and._.Summary._.Report." hidden="1">{"Detailed",#N/A,FALSE,"GAS-COMB";"Summary",#N/A,FALSE,"GAS-COMB"}</definedName>
    <definedName name="wrn.Detailed._.Report." localSheetId="105" hidden="1">{"Detailed",#N/A,FALSE,"GAS-COMB"}</definedName>
    <definedName name="wrn.Detailed._.Report." localSheetId="96" hidden="1">{"Detailed",#N/A,FALSE,"GAS-COMB"}</definedName>
    <definedName name="wrn.Detailed._.Report." localSheetId="44" hidden="1">{"Detailed",#N/A,FALSE,"GAS-COMB"}</definedName>
    <definedName name="wrn.Detailed._.Report." hidden="1">{"Detailed",#N/A,FALSE,"GAS-COMB"}</definedName>
    <definedName name="wrn.EPNs." localSheetId="50"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5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10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7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70"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63"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65"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6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96"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48"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5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6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4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8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73"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74"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_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Flare._.Permit._.Tables." localSheetId="50"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51"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105"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75"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70"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63"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65"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64"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96"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48"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52"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67"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44"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81"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73"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74" hidden="1">{#N/A,#N/A,FALSE,"Annual Summary";#N/A,#N/A,FALSE,"Hourly Summary";#N/A,#N/A,FALSE,"Flare Combustion";#N/A,#N/A,FALSE,"Shipping";#N/A,#N/A,FALSE,"Process Turnaround";#N/A,#N/A,FALSE,"Lab Samples";#N/A,#N/A,FALSE,"Product Cycles 5-4";#N/A,#N/A,FALSE,"5-4.1";#N/A,#N/A,FALSE,"5-4.2";#N/A,#N/A,FALSE,"Physical Prop Data"}</definedName>
    <definedName name="wrn.Flare._.Permit._.Tables." hidden="1">{#N/A,#N/A,FALSE,"Annual Summary";#N/A,#N/A,FALSE,"Hourly Summary";#N/A,#N/A,FALSE,"Flare Combustion";#N/A,#N/A,FALSE,"Shipping";#N/A,#N/A,FALSE,"Process Turnaround";#N/A,#N/A,FALSE,"Lab Samples";#N/A,#N/A,FALSE,"Product Cycles 5-4";#N/A,#N/A,FALSE,"5-4.1";#N/A,#N/A,FALSE,"5-4.2";#N/A,#N/A,FALSE,"Physical Prop Data"}</definedName>
    <definedName name="wrn.Flare._.Permit._.Tables._1" hidden="1">{#N/A,#N/A,FALSE,"Annual Summary";#N/A,#N/A,FALSE,"Hourly Summary";#N/A,#N/A,FALSE,"Flare Combustion";#N/A,#N/A,FALSE,"Shipping";#N/A,#N/A,FALSE,"Process Turnaround";#N/A,#N/A,FALSE,"Lab Samples";#N/A,#N/A,FALSE,"Product Cycles 5-4";#N/A,#N/A,FALSE,"5-4.1";#N/A,#N/A,FALSE,"5-4.2";#N/A,#N/A,FALSE,"Physical Prop Data"}</definedName>
    <definedName name="wrn.G6input." localSheetId="105" hidden="1">{#N/A,#N/A,FALSE,"Emission Calcs";#N/A,#N/A,FALSE,"Equipment Summary";#N/A,#N/A,FALSE,"PRODUCTION SUMMARY "}</definedName>
    <definedName name="wrn.G6input." localSheetId="96" hidden="1">{#N/A,#N/A,FALSE,"Emission Calcs";#N/A,#N/A,FALSE,"Equipment Summary";#N/A,#N/A,FALSE,"PRODUCTION SUMMARY "}</definedName>
    <definedName name="wrn.G6input." localSheetId="44" hidden="1">{#N/A,#N/A,FALSE,"Emission Calcs";#N/A,#N/A,FALSE,"Equipment Summary";#N/A,#N/A,FALSE,"PRODUCTION SUMMARY "}</definedName>
    <definedName name="wrn.G6input." hidden="1">{#N/A,#N/A,FALSE,"Emission Calcs";#N/A,#N/A,FALSE,"Equipment Summary";#N/A,#N/A,FALSE,"PRODUCTION SUMMARY "}</definedName>
    <definedName name="wrn.G6inputa." localSheetId="105" hidden="1">{#N/A,#N/A,FALSE,"Emission Calcs";#N/A,#N/A,FALSE,"Equipment Summary";#N/A,#N/A,FALSE,"PRODUCTION SUMMARY "}</definedName>
    <definedName name="wrn.G6inputa." localSheetId="96" hidden="1">{#N/A,#N/A,FALSE,"Emission Calcs";#N/A,#N/A,FALSE,"Equipment Summary";#N/A,#N/A,FALSE,"PRODUCTION SUMMARY "}</definedName>
    <definedName name="wrn.G6inputa." localSheetId="44" hidden="1">{#N/A,#N/A,FALSE,"Emission Calcs";#N/A,#N/A,FALSE,"Equipment Summary";#N/A,#N/A,FALSE,"PRODUCTION SUMMARY "}</definedName>
    <definedName name="wrn.G6inputa." hidden="1">{#N/A,#N/A,FALSE,"Emission Calcs";#N/A,#N/A,FALSE,"Equipment Summary";#N/A,#N/A,FALSE,"PRODUCTION SUMMARY "}</definedName>
    <definedName name="wrn.heater._.summary." localSheetId="50" hidden="1">{#N/A,#N/A,FALSE,"Heater summary";#N/A,#N/A,FALSE,"H-101 Post";#N/A,#N/A,FALSE,"H-102 Post";#N/A,#N/A,FALSE,"SG-1101A Post";#N/A,#N/A,FALSE,"SG-1101B Post";#N/A,#N/A,FALSE,"H-501 Post"}</definedName>
    <definedName name="wrn.heater._.summary." localSheetId="51" hidden="1">{#N/A,#N/A,FALSE,"Heater summary";#N/A,#N/A,FALSE,"H-101 Post";#N/A,#N/A,FALSE,"H-102 Post";#N/A,#N/A,FALSE,"SG-1101A Post";#N/A,#N/A,FALSE,"SG-1101B Post";#N/A,#N/A,FALSE,"H-501 Post"}</definedName>
    <definedName name="wrn.heater._.summary." localSheetId="105" hidden="1">{#N/A,#N/A,FALSE,"Heater summary";#N/A,#N/A,FALSE,"H-101 Post";#N/A,#N/A,FALSE,"H-102 Post";#N/A,#N/A,FALSE,"SG-1101A Post";#N/A,#N/A,FALSE,"SG-1101B Post";#N/A,#N/A,FALSE,"H-501 Post"}</definedName>
    <definedName name="wrn.heater._.summary." localSheetId="75" hidden="1">{#N/A,#N/A,FALSE,"Heater summary";#N/A,#N/A,FALSE,"H-101 Post";#N/A,#N/A,FALSE,"H-102 Post";#N/A,#N/A,FALSE,"SG-1101A Post";#N/A,#N/A,FALSE,"SG-1101B Post";#N/A,#N/A,FALSE,"H-501 Post"}</definedName>
    <definedName name="wrn.heater._.summary." localSheetId="70" hidden="1">{#N/A,#N/A,FALSE,"Heater summary";#N/A,#N/A,FALSE,"H-101 Post";#N/A,#N/A,FALSE,"H-102 Post";#N/A,#N/A,FALSE,"SG-1101A Post";#N/A,#N/A,FALSE,"SG-1101B Post";#N/A,#N/A,FALSE,"H-501 Post"}</definedName>
    <definedName name="wrn.heater._.summary." localSheetId="63" hidden="1">{#N/A,#N/A,FALSE,"Heater summary";#N/A,#N/A,FALSE,"H-101 Post";#N/A,#N/A,FALSE,"H-102 Post";#N/A,#N/A,FALSE,"SG-1101A Post";#N/A,#N/A,FALSE,"SG-1101B Post";#N/A,#N/A,FALSE,"H-501 Post"}</definedName>
    <definedName name="wrn.heater._.summary." localSheetId="65" hidden="1">{#N/A,#N/A,FALSE,"Heater summary";#N/A,#N/A,FALSE,"H-101 Post";#N/A,#N/A,FALSE,"H-102 Post";#N/A,#N/A,FALSE,"SG-1101A Post";#N/A,#N/A,FALSE,"SG-1101B Post";#N/A,#N/A,FALSE,"H-501 Post"}</definedName>
    <definedName name="wrn.heater._.summary." localSheetId="64" hidden="1">{#N/A,#N/A,FALSE,"Heater summary";#N/A,#N/A,FALSE,"H-101 Post";#N/A,#N/A,FALSE,"H-102 Post";#N/A,#N/A,FALSE,"SG-1101A Post";#N/A,#N/A,FALSE,"SG-1101B Post";#N/A,#N/A,FALSE,"H-501 Post"}</definedName>
    <definedName name="wrn.heater._.summary." localSheetId="48" hidden="1">{#N/A,#N/A,FALSE,"Heater summary";#N/A,#N/A,FALSE,"H-101 Post";#N/A,#N/A,FALSE,"H-102 Post";#N/A,#N/A,FALSE,"SG-1101A Post";#N/A,#N/A,FALSE,"SG-1101B Post";#N/A,#N/A,FALSE,"H-501 Post"}</definedName>
    <definedName name="wrn.heater._.summary." localSheetId="52" hidden="1">{#N/A,#N/A,FALSE,"Heater summary";#N/A,#N/A,FALSE,"H-101 Post";#N/A,#N/A,FALSE,"H-102 Post";#N/A,#N/A,FALSE,"SG-1101A Post";#N/A,#N/A,FALSE,"SG-1101B Post";#N/A,#N/A,FALSE,"H-501 Post"}</definedName>
    <definedName name="wrn.heater._.summary." localSheetId="67" hidden="1">{#N/A,#N/A,FALSE,"Heater summary";#N/A,#N/A,FALSE,"H-101 Post";#N/A,#N/A,FALSE,"H-102 Post";#N/A,#N/A,FALSE,"SG-1101A Post";#N/A,#N/A,FALSE,"SG-1101B Post";#N/A,#N/A,FALSE,"H-501 Post"}</definedName>
    <definedName name="wrn.heater._.summary." localSheetId="44" hidden="1">{#N/A,#N/A,FALSE,"Heater summary";#N/A,#N/A,FALSE,"H-101 Post";#N/A,#N/A,FALSE,"H-102 Post";#N/A,#N/A,FALSE,"SG-1101A Post";#N/A,#N/A,FALSE,"SG-1101B Post";#N/A,#N/A,FALSE,"H-501 Post"}</definedName>
    <definedName name="wrn.heater._.summary." localSheetId="81" hidden="1">{#N/A,#N/A,FALSE,"Heater summary";#N/A,#N/A,FALSE,"H-101 Post";#N/A,#N/A,FALSE,"H-102 Post";#N/A,#N/A,FALSE,"SG-1101A Post";#N/A,#N/A,FALSE,"SG-1101B Post";#N/A,#N/A,FALSE,"H-501 Post"}</definedName>
    <definedName name="wrn.heater._.summary." localSheetId="73" hidden="1">{#N/A,#N/A,FALSE,"Heater summary";#N/A,#N/A,FALSE,"H-101 Post";#N/A,#N/A,FALSE,"H-102 Post";#N/A,#N/A,FALSE,"SG-1101A Post";#N/A,#N/A,FALSE,"SG-1101B Post";#N/A,#N/A,FALSE,"H-501 Post"}</definedName>
    <definedName name="wrn.heater._.summary." localSheetId="74" hidden="1">{#N/A,#N/A,FALSE,"Heater summary";#N/A,#N/A,FALSE,"H-101 Post";#N/A,#N/A,FALSE,"H-102 Post";#N/A,#N/A,FALSE,"SG-1101A Post";#N/A,#N/A,FALSE,"SG-1101B Post";#N/A,#N/A,FALSE,"H-501 Post"}</definedName>
    <definedName name="wrn.heater._.summary." hidden="1">{#N/A,#N/A,FALSE,"Heater summary";#N/A,#N/A,FALSE,"H-101 Post";#N/A,#N/A,FALSE,"H-102 Post";#N/A,#N/A,FALSE,"SG-1101A Post";#N/A,#N/A,FALSE,"SG-1101B Post";#N/A,#N/A,FALSE,"H-501 Post"}</definedName>
    <definedName name="wrn.heater._.summary._1" hidden="1">{#N/A,#N/A,FALSE,"Heater summary";#N/A,#N/A,FALSE,"H-101 Post";#N/A,#N/A,FALSE,"H-102 Post";#N/A,#N/A,FALSE,"SG-1101A Post";#N/A,#N/A,FALSE,"SG-1101B Post";#N/A,#N/A,FALSE,"H-501 Post"}</definedName>
    <definedName name="wrn.Input._.Section." localSheetId="50" hidden="1">{"Input Section",#N/A,FALSE,"TTU Summary"}</definedName>
    <definedName name="wrn.Input._.Section." localSheetId="51" hidden="1">{"Input Section",#N/A,FALSE,"TTU Summary"}</definedName>
    <definedName name="wrn.Input._.Section." localSheetId="105" hidden="1">{"Input Section",#N/A,FALSE,"TTU Summary"}</definedName>
    <definedName name="wrn.Input._.Section." localSheetId="75" hidden="1">{"Input Section",#N/A,FALSE,"TTU Summary"}</definedName>
    <definedName name="wrn.Input._.Section." localSheetId="70" hidden="1">{"Input Section",#N/A,FALSE,"TTU Summary"}</definedName>
    <definedName name="wrn.Input._.Section." localSheetId="63" hidden="1">{"Input Section",#N/A,FALSE,"TTU Summary"}</definedName>
    <definedName name="wrn.Input._.Section." localSheetId="65" hidden="1">{"Input Section",#N/A,FALSE,"TTU Summary"}</definedName>
    <definedName name="wrn.Input._.Section." localSheetId="64" hidden="1">{"Input Section",#N/A,FALSE,"TTU Summary"}</definedName>
    <definedName name="wrn.Input._.Section." localSheetId="96" hidden="1">{"Input Section",#N/A,FALSE,"TTU Summary"}</definedName>
    <definedName name="wrn.Input._.Section." localSheetId="48" hidden="1">{"Input Section",#N/A,FALSE,"TTU Summary"}</definedName>
    <definedName name="wrn.Input._.Section." localSheetId="52" hidden="1">{"Input Section",#N/A,FALSE,"TTU Summary"}</definedName>
    <definedName name="wrn.Input._.Section." localSheetId="67" hidden="1">{"Input Section",#N/A,FALSE,"TTU Summary"}</definedName>
    <definedName name="wrn.Input._.Section." localSheetId="44" hidden="1">{"Input Section",#N/A,FALSE,"TTU Summary"}</definedName>
    <definedName name="wrn.Input._.Section." localSheetId="81" hidden="1">{"Input Section",#N/A,FALSE,"TTU Summary"}</definedName>
    <definedName name="wrn.Input._.Section." localSheetId="73" hidden="1">{"Input Section",#N/A,FALSE,"TTU Summary"}</definedName>
    <definedName name="wrn.Input._.Section." localSheetId="74" hidden="1">{"Input Section",#N/A,FALSE,"TTU Summary"}</definedName>
    <definedName name="wrn.Input._.Section." hidden="1">{"Input Section",#N/A,FALSE,"TTU Summary"}</definedName>
    <definedName name="wrn.Input._.Section._1" hidden="1">{"Input Section",#N/A,FALSE,"TTU Summary"}</definedName>
    <definedName name="wrn.Input._.Section1" localSheetId="50" hidden="1">{"Input Section",#N/A,FALSE,"TTU Summary"}</definedName>
    <definedName name="wrn.Input._.Section1" localSheetId="51" hidden="1">{"Input Section",#N/A,FALSE,"TTU Summary"}</definedName>
    <definedName name="wrn.Input._.Section1" localSheetId="105" hidden="1">{"Input Section",#N/A,FALSE,"TTU Summary"}</definedName>
    <definedName name="wrn.Input._.Section1" localSheetId="75" hidden="1">{"Input Section",#N/A,FALSE,"TTU Summary"}</definedName>
    <definedName name="wrn.Input._.Section1" localSheetId="70" hidden="1">{"Input Section",#N/A,FALSE,"TTU Summary"}</definedName>
    <definedName name="wrn.Input._.Section1" localSheetId="63" hidden="1">{"Input Section",#N/A,FALSE,"TTU Summary"}</definedName>
    <definedName name="wrn.Input._.Section1" localSheetId="65" hidden="1">{"Input Section",#N/A,FALSE,"TTU Summary"}</definedName>
    <definedName name="wrn.Input._.Section1" localSheetId="64" hidden="1">{"Input Section",#N/A,FALSE,"TTU Summary"}</definedName>
    <definedName name="wrn.Input._.Section1" localSheetId="96" hidden="1">{"Input Section",#N/A,FALSE,"TTU Summary"}</definedName>
    <definedName name="wrn.Input._.Section1" localSheetId="48" hidden="1">{"Input Section",#N/A,FALSE,"TTU Summary"}</definedName>
    <definedName name="wrn.Input._.Section1" localSheetId="52" hidden="1">{"Input Section",#N/A,FALSE,"TTU Summary"}</definedName>
    <definedName name="wrn.Input._.Section1" localSheetId="67" hidden="1">{"Input Section",#N/A,FALSE,"TTU Summary"}</definedName>
    <definedName name="wrn.Input._.Section1" localSheetId="44" hidden="1">{"Input Section",#N/A,FALSE,"TTU Summary"}</definedName>
    <definedName name="wrn.Input._.Section1" localSheetId="81" hidden="1">{"Input Section",#N/A,FALSE,"TTU Summary"}</definedName>
    <definedName name="wrn.Input._.Section1" localSheetId="73" hidden="1">{"Input Section",#N/A,FALSE,"TTU Summary"}</definedName>
    <definedName name="wrn.Input._.Section1" localSheetId="74" hidden="1">{"Input Section",#N/A,FALSE,"TTU Summary"}</definedName>
    <definedName name="wrn.Input._.Section1" hidden="1">{"Input Section",#N/A,FALSE,"TTU Summary"}</definedName>
    <definedName name="wrn.Input._.Section1_1" hidden="1">{"Input Section",#N/A,FALSE,"TTU Summary"}</definedName>
    <definedName name="wrn.Instructions." localSheetId="50" hidden="1">{"Instructions",#N/A,FALSE,"TTU Summary"}</definedName>
    <definedName name="wrn.Instructions." localSheetId="51" hidden="1">{"Instructions",#N/A,FALSE,"TTU Summary"}</definedName>
    <definedName name="wrn.Instructions." localSheetId="105" hidden="1">{"Instructions",#N/A,FALSE,"TTU Summary"}</definedName>
    <definedName name="wrn.Instructions." localSheetId="75" hidden="1">{"Instructions",#N/A,FALSE,"TTU Summary"}</definedName>
    <definedName name="wrn.Instructions." localSheetId="70" hidden="1">{"Instructions",#N/A,FALSE,"TTU Summary"}</definedName>
    <definedName name="wrn.Instructions." localSheetId="63" hidden="1">{"Instructions",#N/A,FALSE,"TTU Summary"}</definedName>
    <definedName name="wrn.Instructions." localSheetId="65" hidden="1">{"Instructions",#N/A,FALSE,"TTU Summary"}</definedName>
    <definedName name="wrn.Instructions." localSheetId="64" hidden="1">{"Instructions",#N/A,FALSE,"TTU Summary"}</definedName>
    <definedName name="wrn.Instructions." localSheetId="96" hidden="1">{"Instructions",#N/A,FALSE,"TTU Summary"}</definedName>
    <definedName name="wrn.Instructions." localSheetId="48" hidden="1">{"Instructions",#N/A,FALSE,"TTU Summary"}</definedName>
    <definedName name="wrn.Instructions." localSheetId="52" hidden="1">{"Instructions",#N/A,FALSE,"TTU Summary"}</definedName>
    <definedName name="wrn.Instructions." localSheetId="67" hidden="1">{"Instructions",#N/A,FALSE,"TTU Summary"}</definedName>
    <definedName name="wrn.Instructions." localSheetId="44" hidden="1">{"Instructions",#N/A,FALSE,"TTU Summary"}</definedName>
    <definedName name="wrn.Instructions." localSheetId="81" hidden="1">{"Instructions",#N/A,FALSE,"TTU Summary"}</definedName>
    <definedName name="wrn.Instructions." localSheetId="73" hidden="1">{"Instructions",#N/A,FALSE,"TTU Summary"}</definedName>
    <definedName name="wrn.Instructions." localSheetId="74" hidden="1">{"Instructions",#N/A,FALSE,"TTU Summary"}</definedName>
    <definedName name="wrn.Instructions." hidden="1">{"Instructions",#N/A,FALSE,"TTU Summary"}</definedName>
    <definedName name="wrn.Instructions._1" hidden="1">{"Instructions",#N/A,FALSE,"TTU Summary"}</definedName>
    <definedName name="wrn.NSR._.Calculations._.Report." localSheetId="105"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localSheetId="96"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localSheetId="44"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hidden="1">{#N/A,#N/A,FALSE,"PSD";"boiler criteria",#N/A,FALSE,"Boiler (T5)";"boiler toxic",#N/A,FALSE,"Boiler (T5)";#N/A,#N/A,FALSE,"Boiler (1994)";#N/A,#N/A,FALSE,"Boiler (1995)";#N/A,#N/A,FALSE,"Cyclones";"title v",#N/A,FALSE,"DRYERS1";"actual",#N/A,FALSE,"DRYERS1";"title v",#N/A,FALSE,"DRYERS2";"actual",#N/A,FALSE,"DRYERS2";#N/A,#N/A,FALSE,"Press"}</definedName>
    <definedName name="wrn.Output._.Area." localSheetId="50" hidden="1">{"Output Area",#N/A,FALSE,"Vacuum Truck Emissions"}</definedName>
    <definedName name="wrn.Output._.Area." localSheetId="51" hidden="1">{"Output Area",#N/A,FALSE,"Vacuum Truck Emissions"}</definedName>
    <definedName name="wrn.Output._.Area." localSheetId="105" hidden="1">{"Output Area",#N/A,FALSE,"Vacuum Truck Emissions"}</definedName>
    <definedName name="wrn.Output._.Area." localSheetId="75" hidden="1">{"Output Area",#N/A,FALSE,"Vacuum Truck Emissions"}</definedName>
    <definedName name="wrn.Output._.Area." localSheetId="70" hidden="1">{"Output Area",#N/A,FALSE,"Vacuum Truck Emissions"}</definedName>
    <definedName name="wrn.Output._.Area." localSheetId="63" hidden="1">{"Output Area",#N/A,FALSE,"Vacuum Truck Emissions"}</definedName>
    <definedName name="wrn.Output._.Area." localSheetId="65" hidden="1">{"Output Area",#N/A,FALSE,"Vacuum Truck Emissions"}</definedName>
    <definedName name="wrn.Output._.Area." localSheetId="64" hidden="1">{"Output Area",#N/A,FALSE,"Vacuum Truck Emissions"}</definedName>
    <definedName name="wrn.Output._.Area." localSheetId="96" hidden="1">{"Output Area",#N/A,FALSE,"Vacuum Truck Emissions"}</definedName>
    <definedName name="wrn.Output._.Area." localSheetId="48" hidden="1">{"Output Area",#N/A,FALSE,"Vacuum Truck Emissions"}</definedName>
    <definedName name="wrn.Output._.Area." localSheetId="52" hidden="1">{"Output Area",#N/A,FALSE,"Vacuum Truck Emissions"}</definedName>
    <definedName name="wrn.Output._.Area." localSheetId="67" hidden="1">{"Output Area",#N/A,FALSE,"Vacuum Truck Emissions"}</definedName>
    <definedName name="wrn.Output._.Area." localSheetId="44" hidden="1">{"Output Area",#N/A,FALSE,"Vacuum Truck Emissions"}</definedName>
    <definedName name="wrn.Output._.Area." localSheetId="81" hidden="1">{"Output Area",#N/A,FALSE,"Vacuum Truck Emissions"}</definedName>
    <definedName name="wrn.Output._.Area." localSheetId="73" hidden="1">{"Output Area",#N/A,FALSE,"Vacuum Truck Emissions"}</definedName>
    <definedName name="wrn.Output._.Area." localSheetId="74" hidden="1">{"Output Area",#N/A,FALSE,"Vacuum Truck Emissions"}</definedName>
    <definedName name="wrn.Output._.Area." hidden="1">{"Output Area",#N/A,FALSE,"Vacuum Truck Emissions"}</definedName>
    <definedName name="wrn.Output._.Area._1" hidden="1">{"Output Area",#N/A,FALSE,"Vacuum Truck Emissions"}</definedName>
    <definedName name="wrn.Output._.Reports." localSheetId="50" hidden="1">{"Total TTU Output",#N/A,FALSE,"TTU Summary";"B_68 OPN Output",#N/A,FALSE,"TTU Summary";"B_19 OPN Output",#N/A,FALSE,"TTU Summary"}</definedName>
    <definedName name="wrn.Output._.Reports." localSheetId="51" hidden="1">{"Total TTU Output",#N/A,FALSE,"TTU Summary";"B_68 OPN Output",#N/A,FALSE,"TTU Summary";"B_19 OPN Output",#N/A,FALSE,"TTU Summary"}</definedName>
    <definedName name="wrn.Output._.Reports." localSheetId="105" hidden="1">{"Total TTU Output",#N/A,FALSE,"TTU Summary";"B_68 OPN Output",#N/A,FALSE,"TTU Summary";"B_19 OPN Output",#N/A,FALSE,"TTU Summary"}</definedName>
    <definedName name="wrn.Output._.Reports." localSheetId="75" hidden="1">{"Total TTU Output",#N/A,FALSE,"TTU Summary";"B_68 OPN Output",#N/A,FALSE,"TTU Summary";"B_19 OPN Output",#N/A,FALSE,"TTU Summary"}</definedName>
    <definedName name="wrn.Output._.Reports." localSheetId="70" hidden="1">{"Total TTU Output",#N/A,FALSE,"TTU Summary";"B_68 OPN Output",#N/A,FALSE,"TTU Summary";"B_19 OPN Output",#N/A,FALSE,"TTU Summary"}</definedName>
    <definedName name="wrn.Output._.Reports." localSheetId="63" hidden="1">{"Total TTU Output",#N/A,FALSE,"TTU Summary";"B_68 OPN Output",#N/A,FALSE,"TTU Summary";"B_19 OPN Output",#N/A,FALSE,"TTU Summary"}</definedName>
    <definedName name="wrn.Output._.Reports." localSheetId="65" hidden="1">{"Total TTU Output",#N/A,FALSE,"TTU Summary";"B_68 OPN Output",#N/A,FALSE,"TTU Summary";"B_19 OPN Output",#N/A,FALSE,"TTU Summary"}</definedName>
    <definedName name="wrn.Output._.Reports." localSheetId="64" hidden="1">{"Total TTU Output",#N/A,FALSE,"TTU Summary";"B_68 OPN Output",#N/A,FALSE,"TTU Summary";"B_19 OPN Output",#N/A,FALSE,"TTU Summary"}</definedName>
    <definedName name="wrn.Output._.Reports." localSheetId="96" hidden="1">{"Total TTU Output",#N/A,FALSE,"TTU Summary";"B_68 OPN Output",#N/A,FALSE,"TTU Summary";"B_19 OPN Output",#N/A,FALSE,"TTU Summary"}</definedName>
    <definedName name="wrn.Output._.Reports." localSheetId="48" hidden="1">{"Total TTU Output",#N/A,FALSE,"TTU Summary";"B_68 OPN Output",#N/A,FALSE,"TTU Summary";"B_19 OPN Output",#N/A,FALSE,"TTU Summary"}</definedName>
    <definedName name="wrn.Output._.Reports." localSheetId="52" hidden="1">{"Total TTU Output",#N/A,FALSE,"TTU Summary";"B_68 OPN Output",#N/A,FALSE,"TTU Summary";"B_19 OPN Output",#N/A,FALSE,"TTU Summary"}</definedName>
    <definedName name="wrn.Output._.Reports." localSheetId="67" hidden="1">{"Total TTU Output",#N/A,FALSE,"TTU Summary";"B_68 OPN Output",#N/A,FALSE,"TTU Summary";"B_19 OPN Output",#N/A,FALSE,"TTU Summary"}</definedName>
    <definedName name="wrn.Output._.Reports." localSheetId="44" hidden="1">{"Total TTU Output",#N/A,FALSE,"TTU Summary";"B_68 OPN Output",#N/A,FALSE,"TTU Summary";"B_19 OPN Output",#N/A,FALSE,"TTU Summary"}</definedName>
    <definedName name="wrn.Output._.Reports." localSheetId="81" hidden="1">{"Total TTU Output",#N/A,FALSE,"TTU Summary";"B_68 OPN Output",#N/A,FALSE,"TTU Summary";"B_19 OPN Output",#N/A,FALSE,"TTU Summary"}</definedName>
    <definedName name="wrn.Output._.Reports." localSheetId="73" hidden="1">{"Total TTU Output",#N/A,FALSE,"TTU Summary";"B_68 OPN Output",#N/A,FALSE,"TTU Summary";"B_19 OPN Output",#N/A,FALSE,"TTU Summary"}</definedName>
    <definedName name="wrn.Output._.Reports." localSheetId="74" hidden="1">{"Total TTU Output",#N/A,FALSE,"TTU Summary";"B_68 OPN Output",#N/A,FALSE,"TTU Summary";"B_19 OPN Output",#N/A,FALSE,"TTU Summary"}</definedName>
    <definedName name="wrn.Output._.Reports." hidden="1">{"Total TTU Output",#N/A,FALSE,"TTU Summary";"B_68 OPN Output",#N/A,FALSE,"TTU Summary";"B_19 OPN Output",#N/A,FALSE,"TTU Summary"}</definedName>
    <definedName name="wrn.Output._.Reports._1" hidden="1">{"Total TTU Output",#N/A,FALSE,"TTU Summary";"B_68 OPN Output",#N/A,FALSE,"TTU Summary";"B_19 OPN Output",#N/A,FALSE,"TTU Summary"}</definedName>
    <definedName name="wrn.Permit._.Mod." localSheetId="105"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localSheetId="96"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localSheetId="44"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rint._.All." localSheetId="50"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51"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105"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75"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70"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63"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65"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64"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96"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48"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52"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67"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44"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81"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73"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74"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_1"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B19._.Detail." localSheetId="50" hidden="1">{"F210 detailed output",#N/A,FALSE,"F-210 TTU";"F11 detailed output",#N/A,FALSE,"F-11 TTU"}</definedName>
    <definedName name="wrn.Print._.B19._.Detail." localSheetId="51" hidden="1">{"F210 detailed output",#N/A,FALSE,"F-210 TTU";"F11 detailed output",#N/A,FALSE,"F-11 TTU"}</definedName>
    <definedName name="wrn.Print._.B19._.Detail." localSheetId="105" hidden="1">{"F210 detailed output",#N/A,FALSE,"F-210 TTU";"F11 detailed output",#N/A,FALSE,"F-11 TTU"}</definedName>
    <definedName name="wrn.Print._.B19._.Detail." localSheetId="75" hidden="1">{"F210 detailed output",#N/A,FALSE,"F-210 TTU";"F11 detailed output",#N/A,FALSE,"F-11 TTU"}</definedName>
    <definedName name="wrn.Print._.B19._.Detail." localSheetId="70" hidden="1">{"F210 detailed output",#N/A,FALSE,"F-210 TTU";"F11 detailed output",#N/A,FALSE,"F-11 TTU"}</definedName>
    <definedName name="wrn.Print._.B19._.Detail." localSheetId="63" hidden="1">{"F210 detailed output",#N/A,FALSE,"F-210 TTU";"F11 detailed output",#N/A,FALSE,"F-11 TTU"}</definedName>
    <definedName name="wrn.Print._.B19._.Detail." localSheetId="65" hidden="1">{"F210 detailed output",#N/A,FALSE,"F-210 TTU";"F11 detailed output",#N/A,FALSE,"F-11 TTU"}</definedName>
    <definedName name="wrn.Print._.B19._.Detail." localSheetId="64" hidden="1">{"F210 detailed output",#N/A,FALSE,"F-210 TTU";"F11 detailed output",#N/A,FALSE,"F-11 TTU"}</definedName>
    <definedName name="wrn.Print._.B19._.Detail." localSheetId="96" hidden="1">{"F210 detailed output",#N/A,FALSE,"F-210 TTU";"F11 detailed output",#N/A,FALSE,"F-11 TTU"}</definedName>
    <definedName name="wrn.Print._.B19._.Detail." localSheetId="48" hidden="1">{"F210 detailed output",#N/A,FALSE,"F-210 TTU";"F11 detailed output",#N/A,FALSE,"F-11 TTU"}</definedName>
    <definedName name="wrn.Print._.B19._.Detail." localSheetId="52" hidden="1">{"F210 detailed output",#N/A,FALSE,"F-210 TTU";"F11 detailed output",#N/A,FALSE,"F-11 TTU"}</definedName>
    <definedName name="wrn.Print._.B19._.Detail." localSheetId="67" hidden="1">{"F210 detailed output",#N/A,FALSE,"F-210 TTU";"F11 detailed output",#N/A,FALSE,"F-11 TTU"}</definedName>
    <definedName name="wrn.Print._.B19._.Detail." localSheetId="44" hidden="1">{"F210 detailed output",#N/A,FALSE,"F-210 TTU";"F11 detailed output",#N/A,FALSE,"F-11 TTU"}</definedName>
    <definedName name="wrn.Print._.B19._.Detail." localSheetId="81" hidden="1">{"F210 detailed output",#N/A,FALSE,"F-210 TTU";"F11 detailed output",#N/A,FALSE,"F-11 TTU"}</definedName>
    <definedName name="wrn.Print._.B19._.Detail." localSheetId="73" hidden="1">{"F210 detailed output",#N/A,FALSE,"F-210 TTU";"F11 detailed output",#N/A,FALSE,"F-11 TTU"}</definedName>
    <definedName name="wrn.Print._.B19._.Detail." localSheetId="74" hidden="1">{"F210 detailed output",#N/A,FALSE,"F-210 TTU";"F11 detailed output",#N/A,FALSE,"F-11 TTU"}</definedName>
    <definedName name="wrn.Print._.B19._.Detail." hidden="1">{"F210 detailed output",#N/A,FALSE,"F-210 TTU";"F11 detailed output",#N/A,FALSE,"F-11 TTU"}</definedName>
    <definedName name="wrn.Print._.B19._.Detail._1" hidden="1">{"F210 detailed output",#N/A,FALSE,"F-210 TTU";"F11 detailed output",#N/A,FALSE,"F-11 TTU"}</definedName>
    <definedName name="wrn.Print._.B68._.Details." localSheetId="50" hidden="1">{"f-603 detailed output",#N/A,FALSE,"FTB-603 TTU";"f-2 detailed output",#N/A,FALSE,"F-2 TTU"}</definedName>
    <definedName name="wrn.Print._.B68._.Details." localSheetId="51" hidden="1">{"f-603 detailed output",#N/A,FALSE,"FTB-603 TTU";"f-2 detailed output",#N/A,FALSE,"F-2 TTU"}</definedName>
    <definedName name="wrn.Print._.B68._.Details." localSheetId="105" hidden="1">{"f-603 detailed output",#N/A,FALSE,"FTB-603 TTU";"f-2 detailed output",#N/A,FALSE,"F-2 TTU"}</definedName>
    <definedName name="wrn.Print._.B68._.Details." localSheetId="75" hidden="1">{"f-603 detailed output",#N/A,FALSE,"FTB-603 TTU";"f-2 detailed output",#N/A,FALSE,"F-2 TTU"}</definedName>
    <definedName name="wrn.Print._.B68._.Details." localSheetId="70" hidden="1">{"f-603 detailed output",#N/A,FALSE,"FTB-603 TTU";"f-2 detailed output",#N/A,FALSE,"F-2 TTU"}</definedName>
    <definedName name="wrn.Print._.B68._.Details." localSheetId="63" hidden="1">{"f-603 detailed output",#N/A,FALSE,"FTB-603 TTU";"f-2 detailed output",#N/A,FALSE,"F-2 TTU"}</definedName>
    <definedName name="wrn.Print._.B68._.Details." localSheetId="65" hidden="1">{"f-603 detailed output",#N/A,FALSE,"FTB-603 TTU";"f-2 detailed output",#N/A,FALSE,"F-2 TTU"}</definedName>
    <definedName name="wrn.Print._.B68._.Details." localSheetId="64" hidden="1">{"f-603 detailed output",#N/A,FALSE,"FTB-603 TTU";"f-2 detailed output",#N/A,FALSE,"F-2 TTU"}</definedName>
    <definedName name="wrn.Print._.B68._.Details." localSheetId="96" hidden="1">{"f-603 detailed output",#N/A,FALSE,"FTB-603 TTU";"f-2 detailed output",#N/A,FALSE,"F-2 TTU"}</definedName>
    <definedName name="wrn.Print._.B68._.Details." localSheetId="48" hidden="1">{"f-603 detailed output",#N/A,FALSE,"FTB-603 TTU";"f-2 detailed output",#N/A,FALSE,"F-2 TTU"}</definedName>
    <definedName name="wrn.Print._.B68._.Details." localSheetId="52" hidden="1">{"f-603 detailed output",#N/A,FALSE,"FTB-603 TTU";"f-2 detailed output",#N/A,FALSE,"F-2 TTU"}</definedName>
    <definedName name="wrn.Print._.B68._.Details." localSheetId="67" hidden="1">{"f-603 detailed output",#N/A,FALSE,"FTB-603 TTU";"f-2 detailed output",#N/A,FALSE,"F-2 TTU"}</definedName>
    <definedName name="wrn.Print._.B68._.Details." localSheetId="44" hidden="1">{"f-603 detailed output",#N/A,FALSE,"FTB-603 TTU";"f-2 detailed output",#N/A,FALSE,"F-2 TTU"}</definedName>
    <definedName name="wrn.Print._.B68._.Details." localSheetId="81" hidden="1">{"f-603 detailed output",#N/A,FALSE,"FTB-603 TTU";"f-2 detailed output",#N/A,FALSE,"F-2 TTU"}</definedName>
    <definedName name="wrn.Print._.B68._.Details." localSheetId="73" hidden="1">{"f-603 detailed output",#N/A,FALSE,"FTB-603 TTU";"f-2 detailed output",#N/A,FALSE,"F-2 TTU"}</definedName>
    <definedName name="wrn.Print._.B68._.Details." localSheetId="74" hidden="1">{"f-603 detailed output",#N/A,FALSE,"FTB-603 TTU";"f-2 detailed output",#N/A,FALSE,"F-2 TTU"}</definedName>
    <definedName name="wrn.Print._.B68._.Details." hidden="1">{"f-603 detailed output",#N/A,FALSE,"FTB-603 TTU";"f-2 detailed output",#N/A,FALSE,"F-2 TTU"}</definedName>
    <definedName name="wrn.Print._.B68._.Details._1" hidden="1">{"f-603 detailed output",#N/A,FALSE,"FTB-603 TTU";"f-2 detailed output",#N/A,FALSE,"F-2 TTU"}</definedName>
    <definedName name="wrn.PSVReport." localSheetId="105" hidden="1">{#N/A,#N/A,FALSE,"PSVCALC";#N/A,#N/A,FALSE,"Cases";#N/A,#N/A,FALSE,"SKETCH";#N/A,#N/A,FALSE,"1900 series critical vapor";#N/A,#N/A,FALSE,"1900 series liquid";#N/A,#N/A,FALSE,"AGCO series D critical vapor";#N/A,#N/A,FALSE,"API vapor";#N/A,#N/A,FALSE,"API liquid";#N/A,#N/A,FALSE,"API noncertified liquid";#N/A,#N/A,FALSE,"Heat &amp; Mass Bal.- NORM &amp; RELIEF";#N/A,#N/A,FALSE,"Heat input from fire";#N/A,#N/A,FALSE,"Additional heat";#N/A,#N/A,FALSE,"Thermal Relief";#N/A,#N/A,FALSE,"Vapor control valve";#N/A,#N/A,FALSE,"Liquid control valve";#N/A,#N/A,FALSE,"Liquid Tube rupture";#N/A,#N/A,FALSE,"Vapor Tube rupture";#N/A,#N/A,FALSE,"isothermal";#N/A,#N/A,FALSE,"incompressible"}</definedName>
    <definedName name="wrn.PSVReport." localSheetId="96" hidden="1">{#N/A,#N/A,FALSE,"PSVCALC";#N/A,#N/A,FALSE,"Cases";#N/A,#N/A,FALSE,"SKETCH";#N/A,#N/A,FALSE,"1900 series critical vapor";#N/A,#N/A,FALSE,"1900 series liquid";#N/A,#N/A,FALSE,"AGCO series D critical vapor";#N/A,#N/A,FALSE,"API vapor";#N/A,#N/A,FALSE,"API liquid";#N/A,#N/A,FALSE,"API noncertified liquid";#N/A,#N/A,FALSE,"Heat &amp; Mass Bal.- NORM &amp; RELIEF";#N/A,#N/A,FALSE,"Heat input from fire";#N/A,#N/A,FALSE,"Additional heat";#N/A,#N/A,FALSE,"Thermal Relief";#N/A,#N/A,FALSE,"Vapor control valve";#N/A,#N/A,FALSE,"Liquid control valve";#N/A,#N/A,FALSE,"Liquid Tube rupture";#N/A,#N/A,FALSE,"Vapor Tube rupture";#N/A,#N/A,FALSE,"isothermal";#N/A,#N/A,FALSE,"incompressible"}</definedName>
    <definedName name="wrn.PSVReport." localSheetId="44" hidden="1">{#N/A,#N/A,FALSE,"PSVCALC";#N/A,#N/A,FALSE,"Cases";#N/A,#N/A,FALSE,"SKETCH";#N/A,#N/A,FALSE,"1900 series critical vapor";#N/A,#N/A,FALSE,"1900 series liquid";#N/A,#N/A,FALSE,"AGCO series D critical vapor";#N/A,#N/A,FALSE,"API vapor";#N/A,#N/A,FALSE,"API liquid";#N/A,#N/A,FALSE,"API noncertified liquid";#N/A,#N/A,FALSE,"Heat &amp; Mass Bal.- NORM &amp; RELIEF";#N/A,#N/A,FALSE,"Heat input from fire";#N/A,#N/A,FALSE,"Additional heat";#N/A,#N/A,FALSE,"Thermal Relief";#N/A,#N/A,FALSE,"Vapor control valve";#N/A,#N/A,FALSE,"Liquid control valve";#N/A,#N/A,FALSE,"Liquid Tube rupture";#N/A,#N/A,FALSE,"Vapor Tube rupture";#N/A,#N/A,FALSE,"isothermal";#N/A,#N/A,FALSE,"incompressible"}</definedName>
    <definedName name="wrn.PSVReport." hidden="1">{#N/A,#N/A,FALSE,"PSVCALC";#N/A,#N/A,FALSE,"Cases";#N/A,#N/A,FALSE,"SKETCH";#N/A,#N/A,FALSE,"1900 series critical vapor";#N/A,#N/A,FALSE,"1900 series liquid";#N/A,#N/A,FALSE,"AGCO series D critical vapor";#N/A,#N/A,FALSE,"API vapor";#N/A,#N/A,FALSE,"API liquid";#N/A,#N/A,FALSE,"API noncertified liquid";#N/A,#N/A,FALSE,"Heat &amp; Mass Bal.- NORM &amp; RELIEF";#N/A,#N/A,FALSE,"Heat input from fire";#N/A,#N/A,FALSE,"Additional heat";#N/A,#N/A,FALSE,"Thermal Relief";#N/A,#N/A,FALSE,"Vapor control valve";#N/A,#N/A,FALSE,"Liquid control valve";#N/A,#N/A,FALSE,"Liquid Tube rupture";#N/A,#N/A,FALSE,"Vapor Tube rupture";#N/A,#N/A,FALSE,"isothermal";#N/A,#N/A,FALSE,"incompressible"}</definedName>
    <definedName name="wrn.r1." localSheetId="105" hidden="1">{"boiler",#N/A,TRUE,"Hogged Fuel Boiler (B1)";"boiltox",#N/A,TRUE,"Hogged Fuel Boiler (B1)";"natgas",#N/A,TRUE,"Nat. Gas Package Boiler (B2)";"cyclones",#N/A,TRUE,"Cyclones";"dryview1",#N/A,TRUE,"Dryers (1-4)";"dryview2",#N/A,TRUE,"Dryers (1-4)";"glue",#N/A,TRUE,"Press Vents (PV)";"vc",#N/A,TRUE,"Press Vents (PV)"}</definedName>
    <definedName name="wrn.r1." localSheetId="96" hidden="1">{"boiler",#N/A,TRUE,"Hogged Fuel Boiler (B1)";"boiltox",#N/A,TRUE,"Hogged Fuel Boiler (B1)";"natgas",#N/A,TRUE,"Nat. Gas Package Boiler (B2)";"cyclones",#N/A,TRUE,"Cyclones";"dryview1",#N/A,TRUE,"Dryers (1-4)";"dryview2",#N/A,TRUE,"Dryers (1-4)";"glue",#N/A,TRUE,"Press Vents (PV)";"vc",#N/A,TRUE,"Press Vents (PV)"}</definedName>
    <definedName name="wrn.r1." localSheetId="44" hidden="1">{"boiler",#N/A,TRUE,"Hogged Fuel Boiler (B1)";"boiltox",#N/A,TRUE,"Hogged Fuel Boiler (B1)";"natgas",#N/A,TRUE,"Nat. Gas Package Boiler (B2)";"cyclones",#N/A,TRUE,"Cyclones";"dryview1",#N/A,TRUE,"Dryers (1-4)";"dryview2",#N/A,TRUE,"Dryers (1-4)";"glue",#N/A,TRUE,"Press Vents (PV)";"vc",#N/A,TRUE,"Press Vents (PV)"}</definedName>
    <definedName name="wrn.r1." hidden="1">{"boiler",#N/A,TRUE,"Hogged Fuel Boiler (B1)";"boiltox",#N/A,TRUE,"Hogged Fuel Boiler (B1)";"natgas",#N/A,TRUE,"Nat. Gas Package Boiler (B2)";"cyclones",#N/A,TRUE,"Cyclones";"dryview1",#N/A,TRUE,"Dryers (1-4)";"dryview2",#N/A,TRUE,"Dryers (1-4)";"glue",#N/A,TRUE,"Press Vents (PV)";"vc",#N/A,TRUE,"Press Vents (PV)"}</definedName>
    <definedName name="wrn.report" localSheetId="105" hidden="1">{"Page1",#N/A,FALSE,"Flare1"}</definedName>
    <definedName name="wrn.report" localSheetId="96" hidden="1">{"Page1",#N/A,FALSE,"Flare1"}</definedName>
    <definedName name="wrn.report" localSheetId="44" hidden="1">{"Page1",#N/A,FALSE,"Flare1"}</definedName>
    <definedName name="wrn.report" hidden="1">{"Page1",#N/A,FALSE,"Flare1"}</definedName>
    <definedName name="wrn.report." localSheetId="50" hidden="1">{#N/A,#N/A,FALSE,"F1-Currrent";#N/A,#N/A,FALSE,"F2-Current";#N/A,#N/A,FALSE,"F2-Proposed";#N/A,#N/A,FALSE,"F3-Current";#N/A,#N/A,FALSE,"F4-Current";#N/A,#N/A,FALSE,"F4-Proposed";#N/A,#N/A,FALSE,"Controls"}</definedName>
    <definedName name="wrn.report." localSheetId="51" hidden="1">{#N/A,#N/A,FALSE,"F1-Currrent";#N/A,#N/A,FALSE,"F2-Current";#N/A,#N/A,FALSE,"F2-Proposed";#N/A,#N/A,FALSE,"F3-Current";#N/A,#N/A,FALSE,"F4-Current";#N/A,#N/A,FALSE,"F4-Proposed";#N/A,#N/A,FALSE,"Controls"}</definedName>
    <definedName name="wrn.report." localSheetId="105" hidden="1">{#N/A,#N/A,FALSE,"F1-Currrent";#N/A,#N/A,FALSE,"F2-Current";#N/A,#N/A,FALSE,"F2-Proposed";#N/A,#N/A,FALSE,"F3-Current";#N/A,#N/A,FALSE,"F4-Current";#N/A,#N/A,FALSE,"F4-Proposed";#N/A,#N/A,FALSE,"Controls"}</definedName>
    <definedName name="wrn.report." localSheetId="75" hidden="1">{#N/A,#N/A,FALSE,"F1-Currrent";#N/A,#N/A,FALSE,"F2-Current";#N/A,#N/A,FALSE,"F2-Proposed";#N/A,#N/A,FALSE,"F3-Current";#N/A,#N/A,FALSE,"F4-Current";#N/A,#N/A,FALSE,"F4-Proposed";#N/A,#N/A,FALSE,"Controls"}</definedName>
    <definedName name="wrn.report." localSheetId="70" hidden="1">{#N/A,#N/A,FALSE,"F1-Currrent";#N/A,#N/A,FALSE,"F2-Current";#N/A,#N/A,FALSE,"F2-Proposed";#N/A,#N/A,FALSE,"F3-Current";#N/A,#N/A,FALSE,"F4-Current";#N/A,#N/A,FALSE,"F4-Proposed";#N/A,#N/A,FALSE,"Controls"}</definedName>
    <definedName name="wrn.report." localSheetId="63" hidden="1">{#N/A,#N/A,FALSE,"F1-Currrent";#N/A,#N/A,FALSE,"F2-Current";#N/A,#N/A,FALSE,"F2-Proposed";#N/A,#N/A,FALSE,"F3-Current";#N/A,#N/A,FALSE,"F4-Current";#N/A,#N/A,FALSE,"F4-Proposed";#N/A,#N/A,FALSE,"Controls"}</definedName>
    <definedName name="wrn.report." localSheetId="65" hidden="1">{#N/A,#N/A,FALSE,"F1-Currrent";#N/A,#N/A,FALSE,"F2-Current";#N/A,#N/A,FALSE,"F2-Proposed";#N/A,#N/A,FALSE,"F3-Current";#N/A,#N/A,FALSE,"F4-Current";#N/A,#N/A,FALSE,"F4-Proposed";#N/A,#N/A,FALSE,"Controls"}</definedName>
    <definedName name="wrn.report." localSheetId="64" hidden="1">{#N/A,#N/A,FALSE,"F1-Currrent";#N/A,#N/A,FALSE,"F2-Current";#N/A,#N/A,FALSE,"F2-Proposed";#N/A,#N/A,FALSE,"F3-Current";#N/A,#N/A,FALSE,"F4-Current";#N/A,#N/A,FALSE,"F4-Proposed";#N/A,#N/A,FALSE,"Controls"}</definedName>
    <definedName name="wrn.report." localSheetId="96" hidden="1">{#N/A,#N/A,FALSE,"F1-Currrent";#N/A,#N/A,FALSE,"F2-Current";#N/A,#N/A,FALSE,"F2-Proposed";#N/A,#N/A,FALSE,"F3-Current";#N/A,#N/A,FALSE,"F4-Current";#N/A,#N/A,FALSE,"F4-Proposed";#N/A,#N/A,FALSE,"Controls"}</definedName>
    <definedName name="wrn.report." localSheetId="48" hidden="1">{#N/A,#N/A,FALSE,"F1-Currrent";#N/A,#N/A,FALSE,"F2-Current";#N/A,#N/A,FALSE,"F2-Proposed";#N/A,#N/A,FALSE,"F3-Current";#N/A,#N/A,FALSE,"F4-Current";#N/A,#N/A,FALSE,"F4-Proposed";#N/A,#N/A,FALSE,"Controls"}</definedName>
    <definedName name="wrn.report." localSheetId="52" hidden="1">{#N/A,#N/A,FALSE,"F1-Currrent";#N/A,#N/A,FALSE,"F2-Current";#N/A,#N/A,FALSE,"F2-Proposed";#N/A,#N/A,FALSE,"F3-Current";#N/A,#N/A,FALSE,"F4-Current";#N/A,#N/A,FALSE,"F4-Proposed";#N/A,#N/A,FALSE,"Controls"}</definedName>
    <definedName name="wrn.report." localSheetId="67" hidden="1">{#N/A,#N/A,FALSE,"F1-Currrent";#N/A,#N/A,FALSE,"F2-Current";#N/A,#N/A,FALSE,"F2-Proposed";#N/A,#N/A,FALSE,"F3-Current";#N/A,#N/A,FALSE,"F4-Current";#N/A,#N/A,FALSE,"F4-Proposed";#N/A,#N/A,FALSE,"Controls"}</definedName>
    <definedName name="wrn.report." localSheetId="44" hidden="1">{#N/A,#N/A,FALSE,"F1-Currrent";#N/A,#N/A,FALSE,"F2-Current";#N/A,#N/A,FALSE,"F2-Proposed";#N/A,#N/A,FALSE,"F3-Current";#N/A,#N/A,FALSE,"F4-Current";#N/A,#N/A,FALSE,"F4-Proposed";#N/A,#N/A,FALSE,"Controls"}</definedName>
    <definedName name="wrn.report." localSheetId="81" hidden="1">{#N/A,#N/A,FALSE,"F1-Currrent";#N/A,#N/A,FALSE,"F2-Current";#N/A,#N/A,FALSE,"F2-Proposed";#N/A,#N/A,FALSE,"F3-Current";#N/A,#N/A,FALSE,"F4-Current";#N/A,#N/A,FALSE,"F4-Proposed";#N/A,#N/A,FALSE,"Controls"}</definedName>
    <definedName name="wrn.report." localSheetId="73" hidden="1">{#N/A,#N/A,FALSE,"F1-Currrent";#N/A,#N/A,FALSE,"F2-Current";#N/A,#N/A,FALSE,"F2-Proposed";#N/A,#N/A,FALSE,"F3-Current";#N/A,#N/A,FALSE,"F4-Current";#N/A,#N/A,FALSE,"F4-Proposed";#N/A,#N/A,FALSE,"Controls"}</definedName>
    <definedName name="wrn.report." localSheetId="74" hidden="1">{#N/A,#N/A,FALSE,"F1-Currrent";#N/A,#N/A,FALSE,"F2-Current";#N/A,#N/A,FALSE,"F2-Proposed";#N/A,#N/A,FALSE,"F3-Current";#N/A,#N/A,FALSE,"F4-Current";#N/A,#N/A,FALSE,"F4-Proposed";#N/A,#N/A,FALSE,"Controls"}</definedName>
    <definedName name="wrn.report." hidden="1">{#N/A,#N/A,FALSE,"F1-Currrent";#N/A,#N/A,FALSE,"F2-Current";#N/A,#N/A,FALSE,"F2-Proposed";#N/A,#N/A,FALSE,"F3-Current";#N/A,#N/A,FALSE,"F4-Current";#N/A,#N/A,FALSE,"F4-Proposed";#N/A,#N/A,FALSE,"Controls"}</definedName>
    <definedName name="wrn.report._1" hidden="1">{#N/A,#N/A,FALSE,"F1-Currrent";#N/A,#N/A,FALSE,"F2-Current";#N/A,#N/A,FALSE,"F2-Proposed";#N/A,#N/A,FALSE,"F3-Current";#N/A,#N/A,FALSE,"F4-Current";#N/A,#N/A,FALSE,"F4-Proposed";#N/A,#N/A,FALSE,"Controls"}</definedName>
    <definedName name="wrn.report1." localSheetId="105" hidden="1">{"Page1",#N/A,FALSE,"Flare1"}</definedName>
    <definedName name="wrn.report1." localSheetId="96" hidden="1">{"Page1",#N/A,FALSE,"Flare1"}</definedName>
    <definedName name="wrn.report1." localSheetId="44" hidden="1">{"Page1",#N/A,FALSE,"Flare1"}</definedName>
    <definedName name="wrn.report1." hidden="1">{"Page1",#N/A,FALSE,"Flare1"}</definedName>
    <definedName name="wrn.Report2." localSheetId="105" hidden="1">{"page2",#N/A,FALSE,"Flare1"}</definedName>
    <definedName name="wrn.Report2." localSheetId="96" hidden="1">{"page2",#N/A,FALSE,"Flare1"}</definedName>
    <definedName name="wrn.Report2." localSheetId="44" hidden="1">{"page2",#N/A,FALSE,"Flare1"}</definedName>
    <definedName name="wrn.Report2." hidden="1">{"page2",#N/A,FALSE,"Flare1"}</definedName>
    <definedName name="wrn.Reporting._.Responsibilites." localSheetId="50" hidden="1">{"Reporting Responsibilities",#N/A,FALSE,"TTU Summary"}</definedName>
    <definedName name="wrn.Reporting._.Responsibilites." localSheetId="51" hidden="1">{"Reporting Responsibilities",#N/A,FALSE,"TTU Summary"}</definedName>
    <definedName name="wrn.Reporting._.Responsibilites." localSheetId="105" hidden="1">{"Reporting Responsibilities",#N/A,FALSE,"TTU Summary"}</definedName>
    <definedName name="wrn.Reporting._.Responsibilites." localSheetId="75" hidden="1">{"Reporting Responsibilities",#N/A,FALSE,"TTU Summary"}</definedName>
    <definedName name="wrn.Reporting._.Responsibilites." localSheetId="70" hidden="1">{"Reporting Responsibilities",#N/A,FALSE,"TTU Summary"}</definedName>
    <definedName name="wrn.Reporting._.Responsibilites." localSheetId="63" hidden="1">{"Reporting Responsibilities",#N/A,FALSE,"TTU Summary"}</definedName>
    <definedName name="wrn.Reporting._.Responsibilites." localSheetId="65" hidden="1">{"Reporting Responsibilities",#N/A,FALSE,"TTU Summary"}</definedName>
    <definedName name="wrn.Reporting._.Responsibilites." localSheetId="64" hidden="1">{"Reporting Responsibilities",#N/A,FALSE,"TTU Summary"}</definedName>
    <definedName name="wrn.Reporting._.Responsibilites." localSheetId="96" hidden="1">{"Reporting Responsibilities",#N/A,FALSE,"TTU Summary"}</definedName>
    <definedName name="wrn.Reporting._.Responsibilites." localSheetId="48" hidden="1">{"Reporting Responsibilities",#N/A,FALSE,"TTU Summary"}</definedName>
    <definedName name="wrn.Reporting._.Responsibilites." localSheetId="52" hidden="1">{"Reporting Responsibilities",#N/A,FALSE,"TTU Summary"}</definedName>
    <definedName name="wrn.Reporting._.Responsibilites." localSheetId="67" hidden="1">{"Reporting Responsibilities",#N/A,FALSE,"TTU Summary"}</definedName>
    <definedName name="wrn.Reporting._.Responsibilites." localSheetId="44" hidden="1">{"Reporting Responsibilities",#N/A,FALSE,"TTU Summary"}</definedName>
    <definedName name="wrn.Reporting._.Responsibilites." localSheetId="81" hidden="1">{"Reporting Responsibilities",#N/A,FALSE,"TTU Summary"}</definedName>
    <definedName name="wrn.Reporting._.Responsibilites." localSheetId="73" hidden="1">{"Reporting Responsibilities",#N/A,FALSE,"TTU Summary"}</definedName>
    <definedName name="wrn.Reporting._.Responsibilites." localSheetId="74" hidden="1">{"Reporting Responsibilities",#N/A,FALSE,"TTU Summary"}</definedName>
    <definedName name="wrn.Reporting._.Responsibilites." hidden="1">{"Reporting Responsibilities",#N/A,FALSE,"TTU Summary"}</definedName>
    <definedName name="wrn.Reporting._.Responsibilites._1" hidden="1">{"Reporting Responsibilities",#N/A,FALSE,"TTU Summary"}</definedName>
    <definedName name="wrn.rp1." localSheetId="105" hidden="1">{"sum1",#N/A,TRUE,"Summary";"boil",#N/A,TRUE,"Boilers";"paints95",#N/A,TRUE,"Paints";"tanks95",#N/A,TRUE,"TANKINBD";"dock1",#N/A,TRUE,"DOCKS";"tcars1",#N/A,TRUE,"TCARS";"trucks1",#N/A,TRUE,"TTRUCKS";"sol1",#N/A,TRUE,"Solvents";"wwt1",#N/A,TRUE,"WWT";"fug",#N/A,TRUE,"Fugitives"}</definedName>
    <definedName name="wrn.rp1." localSheetId="96" hidden="1">{"sum1",#N/A,TRUE,"Summary";"boil",#N/A,TRUE,"Boilers";"paints95",#N/A,TRUE,"Paints";"tanks95",#N/A,TRUE,"TANKINBD";"dock1",#N/A,TRUE,"DOCKS";"tcars1",#N/A,TRUE,"TCARS";"trucks1",#N/A,TRUE,"TTRUCKS";"sol1",#N/A,TRUE,"Solvents";"wwt1",#N/A,TRUE,"WWT";"fug",#N/A,TRUE,"Fugitives"}</definedName>
    <definedName name="wrn.rp1." localSheetId="44" hidden="1">{"sum1",#N/A,TRUE,"Summary";"boil",#N/A,TRUE,"Boilers";"paints95",#N/A,TRUE,"Paints";"tanks95",#N/A,TRUE,"TANKINBD";"dock1",#N/A,TRUE,"DOCKS";"tcars1",#N/A,TRUE,"TCARS";"trucks1",#N/A,TRUE,"TTRUCKS";"sol1",#N/A,TRUE,"Solvents";"wwt1",#N/A,TRUE,"WWT";"fug",#N/A,TRUE,"Fugitives"}</definedName>
    <definedName name="wrn.rp1." hidden="1">{"sum1",#N/A,TRUE,"Summary";"boil",#N/A,TRUE,"Boilers";"paints95",#N/A,TRUE,"Paints";"tanks95",#N/A,TRUE,"TANKINBD";"dock1",#N/A,TRUE,"DOCKS";"tcars1",#N/A,TRUE,"TCARS";"trucks1",#N/A,TRUE,"TTRUCKS";"sol1",#N/A,TRUE,"Solvents";"wwt1",#N/A,TRUE,"WWT";"fug",#N/A,TRUE,"Fugitives"}</definedName>
    <definedName name="wrn.State._.Permit._.Modification." localSheetId="105"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localSheetId="96"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localSheetId="44"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UBMIT." localSheetId="105" hidden="1">{"MODELING",#N/A,TRUE,"BPIP"}</definedName>
    <definedName name="wrn.SUBMIT." localSheetId="96" hidden="1">{"MODELING",#N/A,TRUE,"BPIP"}</definedName>
    <definedName name="wrn.SUBMIT." localSheetId="44" hidden="1">{"MODELING",#N/A,TRUE,"BPIP"}</definedName>
    <definedName name="wrn.SUBMIT." hidden="1">{"MODELING",#N/A,TRUE,"BPIP"}</definedName>
    <definedName name="wrn.Summary." localSheetId="105" hidden="1">{"CO",#N/A,FALSE,"Summary Sheet";"H2S",#N/A,FALSE,"Summary Sheet";"NOx",#N/A,FALSE,"Summary Sheet";"SO2",#N/A,FALSE,"Summary Sheet";"PM",#N/A,FALSE,"Summary Sheet";"TRS",#N/A,FALSE,"Summary Sheet";"VOCs",#N/A,FALSE,"Summary Sheet"}</definedName>
    <definedName name="wrn.Summary." localSheetId="96" hidden="1">{"CO",#N/A,FALSE,"Summary Sheet";"H2S",#N/A,FALSE,"Summary Sheet";"NOx",#N/A,FALSE,"Summary Sheet";"SO2",#N/A,FALSE,"Summary Sheet";"PM",#N/A,FALSE,"Summary Sheet";"TRS",#N/A,FALSE,"Summary Sheet";"VOCs",#N/A,FALSE,"Summary Sheet"}</definedName>
    <definedName name="wrn.Summary." localSheetId="44" hidden="1">{"CO",#N/A,FALSE,"Summary Sheet";"H2S",#N/A,FALSE,"Summary Sheet";"NOx",#N/A,FALSE,"Summary Sheet";"SO2",#N/A,FALSE,"Summary Sheet";"PM",#N/A,FALSE,"Summary Sheet";"TRS",#N/A,FALSE,"Summary Sheet";"VOCs",#N/A,FALSE,"Summary Sheet"}</definedName>
    <definedName name="wrn.Summary." hidden="1">{"CO",#N/A,FALSE,"Summary Sheet";"H2S",#N/A,FALSE,"Summary Sheet";"NOx",#N/A,FALSE,"Summary Sheet";"SO2",#N/A,FALSE,"Summary Sheet";"PM",#N/A,FALSE,"Summary Sheet";"TRS",#N/A,FALSE,"Summary Sheet";"VOCs",#N/A,FALSE,"Summary Sheet"}</definedName>
    <definedName name="wrn.Summary._.Report." localSheetId="105" hidden="1">{"Summary",#N/A,FALSE,"GAS-COMB"}</definedName>
    <definedName name="wrn.Summary._.Report." localSheetId="96" hidden="1">{"Summary",#N/A,FALSE,"GAS-COMB"}</definedName>
    <definedName name="wrn.Summary._.Report." localSheetId="44" hidden="1">{"Summary",#N/A,FALSE,"GAS-COMB"}</definedName>
    <definedName name="wrn.Summary._.Report." hidden="1">{"Summary",#N/A,FALSE,"GAS-COMB"}</definedName>
    <definedName name="wrn.T5COMBO._.Report." localSheetId="105" hidden="1">{#N/A,#N/A,FALSE,"Reconciled Quantified Sources";#N/A,#N/A,FALSE,"Source Group Splitting";#N/A,#N/A,FALSE,"CO";#N/A,#N/A,FALSE,"H2S";#N/A,#N/A,FALSE,"NOx";#N/A,#N/A,FALSE,"Other TRS";#N/A,#N/A,FALSE,"SO2";#N/A,#N/A,FALSE,"PM";#N/A,#N/A,FALSE,"VOC";#N/A,#N/A,FALSE,"Other Toxics"}</definedName>
    <definedName name="wrn.T5COMBO._.Report." localSheetId="96" hidden="1">{#N/A,#N/A,FALSE,"Reconciled Quantified Sources";#N/A,#N/A,FALSE,"Source Group Splitting";#N/A,#N/A,FALSE,"CO";#N/A,#N/A,FALSE,"H2S";#N/A,#N/A,FALSE,"NOx";#N/A,#N/A,FALSE,"Other TRS";#N/A,#N/A,FALSE,"SO2";#N/A,#N/A,FALSE,"PM";#N/A,#N/A,FALSE,"VOC";#N/A,#N/A,FALSE,"Other Toxics"}</definedName>
    <definedName name="wrn.T5COMBO._.Report." localSheetId="44" hidden="1">{#N/A,#N/A,FALSE,"Reconciled Quantified Sources";#N/A,#N/A,FALSE,"Source Group Splitting";#N/A,#N/A,FALSE,"CO";#N/A,#N/A,FALSE,"H2S";#N/A,#N/A,FALSE,"NOx";#N/A,#N/A,FALSE,"Other TRS";#N/A,#N/A,FALSE,"SO2";#N/A,#N/A,FALSE,"PM";#N/A,#N/A,FALSE,"VOC";#N/A,#N/A,FALSE,"Other Toxics"}</definedName>
    <definedName name="wrn.T5COMBO._.Report." hidden="1">{#N/A,#N/A,FALSE,"Reconciled Quantified Sources";#N/A,#N/A,FALSE,"Source Group Splitting";#N/A,#N/A,FALSE,"CO";#N/A,#N/A,FALSE,"H2S";#N/A,#N/A,FALSE,"NOx";#N/A,#N/A,FALSE,"Other TRS";#N/A,#N/A,FALSE,"SO2";#N/A,#N/A,FALSE,"PM";#N/A,#N/A,FALSE,"VOC";#N/A,#N/A,FALSE,"Other Toxics"}</definedName>
    <definedName name="wrn.Tank._.Emissions." localSheetId="105"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localSheetId="96"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localSheetId="44"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itle._.V._.Emissions._.Report." localSheetId="105"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localSheetId="96"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localSheetId="44"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5." localSheetId="105" hidden="1">{"crudeheater",#N/A,FALSE,"1-74";"bargedock",#N/A,FALSE,"17-74";"flare",#N/A,FALSE,"18-74";"fcccracker",#N/A,FALSE,"1-77";"vacuumheater",#N/A,FALSE,"2-77";"boilers",#N/A,FALSE,"4-77 &amp; 5-77";"sru",#N/A,FALSE,"6-77";"fug1",#N/A,FALSE,"1-81";"hotoil",#N/A,FALSE,"2-82";"fccu",#N/A,FALSE,"1-85";"refheater",#N/A,FALSE,"2-85";"vaporcom",#N/A,FALSE,"1-91";"chargeheat",#N/A,FALSE,"2-91";"strippreb",#N/A,FALSE,"3-91";"tanks",#N/A,FALSE,"Tanks";"tank941",#N/A,FALSE,"Tank 941";"toxics",#N/A,FALSE,"Speciations";"summary",#N/A,FALSE,"Summary"}</definedName>
    <definedName name="wrn.title5." localSheetId="96" hidden="1">{"crudeheater",#N/A,FALSE,"1-74";"bargedock",#N/A,FALSE,"17-74";"flare",#N/A,FALSE,"18-74";"fcccracker",#N/A,FALSE,"1-77";"vacuumheater",#N/A,FALSE,"2-77";"boilers",#N/A,FALSE,"4-77 &amp; 5-77";"sru",#N/A,FALSE,"6-77";"fug1",#N/A,FALSE,"1-81";"hotoil",#N/A,FALSE,"2-82";"fccu",#N/A,FALSE,"1-85";"refheater",#N/A,FALSE,"2-85";"vaporcom",#N/A,FALSE,"1-91";"chargeheat",#N/A,FALSE,"2-91";"strippreb",#N/A,FALSE,"3-91";"tanks",#N/A,FALSE,"Tanks";"tank941",#N/A,FALSE,"Tank 941";"toxics",#N/A,FALSE,"Speciations";"summary",#N/A,FALSE,"Summary"}</definedName>
    <definedName name="wrn.title5." localSheetId="44" hidden="1">{"crudeheater",#N/A,FALSE,"1-74";"bargedock",#N/A,FALSE,"17-74";"flare",#N/A,FALSE,"18-74";"fcccracker",#N/A,FALSE,"1-77";"vacuumheater",#N/A,FALSE,"2-77";"boilers",#N/A,FALSE,"4-77 &amp; 5-77";"sru",#N/A,FALSE,"6-77";"fug1",#N/A,FALSE,"1-81";"hotoil",#N/A,FALSE,"2-82";"fccu",#N/A,FALSE,"1-85";"refheater",#N/A,FALSE,"2-85";"vaporcom",#N/A,FALSE,"1-91";"chargeheat",#N/A,FALSE,"2-91";"strippreb",#N/A,FALSE,"3-91";"tanks",#N/A,FALSE,"Tanks";"tank941",#N/A,FALSE,"Tank 941";"toxics",#N/A,FALSE,"Speciations";"summary",#N/A,FALSE,"Summary"}</definedName>
    <definedName name="wrn.title5." hidden="1">{"crudeheater",#N/A,FALSE,"1-74";"bargedock",#N/A,FALSE,"17-74";"flare",#N/A,FALSE,"18-74";"fcccracker",#N/A,FALSE,"1-77";"vacuumheater",#N/A,FALSE,"2-77";"boilers",#N/A,FALSE,"4-77 &amp; 5-77";"sru",#N/A,FALSE,"6-77";"fug1",#N/A,FALSE,"1-81";"hotoil",#N/A,FALSE,"2-82";"fccu",#N/A,FALSE,"1-85";"refheater",#N/A,FALSE,"2-85";"vaporcom",#N/A,FALSE,"1-91";"chargeheat",#N/A,FALSE,"2-91";"strippreb",#N/A,FALSE,"3-91";"tanks",#N/A,FALSE,"Tanks";"tank941",#N/A,FALSE,"Tank 941";"toxics",#N/A,FALSE,"Speciations";"summary",#N/A,FALSE,"Summary"}</definedName>
    <definedName name="wrn.TNRCC." localSheetId="105" hidden="1">{#N/A,#N/A,TRUE,"GUA-Gas-Fuel-Stoich";"tnrcc_etb",#N/A,TRUE,"GUA - E,T,B (95)";"sample_calcs",#N/A,TRUE,"GUA - E,T,B (95)";#N/A,#N/A,TRUE,"Exh (Wauk L5108GL)";#N/A,#N/A,TRUE,"Exh (GE Frame 5)";"tnrcc_other_emis",#N/A,TRUE,"GUA-OTHER Emissions (1995)"}</definedName>
    <definedName name="wrn.TNRCC." localSheetId="96" hidden="1">{#N/A,#N/A,TRUE,"GUA-Gas-Fuel-Stoich";"tnrcc_etb",#N/A,TRUE,"GUA - E,T,B (95)";"sample_calcs",#N/A,TRUE,"GUA - E,T,B (95)";#N/A,#N/A,TRUE,"Exh (Wauk L5108GL)";#N/A,#N/A,TRUE,"Exh (GE Frame 5)";"tnrcc_other_emis",#N/A,TRUE,"GUA-OTHER Emissions (1995)"}</definedName>
    <definedName name="wrn.TNRCC." localSheetId="44" hidden="1">{#N/A,#N/A,TRUE,"GUA-Gas-Fuel-Stoich";"tnrcc_etb",#N/A,TRUE,"GUA - E,T,B (95)";"sample_calcs",#N/A,TRUE,"GUA - E,T,B (95)";#N/A,#N/A,TRUE,"Exh (Wauk L5108GL)";#N/A,#N/A,TRUE,"Exh (GE Frame 5)";"tnrcc_other_emis",#N/A,TRUE,"GUA-OTHER Emissions (1995)"}</definedName>
    <definedName name="wrn.TNRCC." hidden="1">{#N/A,#N/A,TRUE,"GUA-Gas-Fuel-Stoich";"tnrcc_etb",#N/A,TRUE,"GUA - E,T,B (95)";"sample_calcs",#N/A,TRUE,"GUA - E,T,B (95)";#N/A,#N/A,TRUE,"Exh (Wauk L5108GL)";#N/A,#N/A,TRUE,"Exh (GE Frame 5)";"tnrcc_other_emis",#N/A,TRUE,"GUA-OTHER Emissions (1995)"}</definedName>
    <definedName name="wrn.Total._.Area." localSheetId="50" hidden="1">{"Total Area",#N/A,FALSE,"Vacuum Truck Emissions"}</definedName>
    <definedName name="wrn.Total._.Area." localSheetId="51" hidden="1">{"Total Area",#N/A,FALSE,"Vacuum Truck Emissions"}</definedName>
    <definedName name="wrn.Total._.Area." localSheetId="105" hidden="1">{"Total Area",#N/A,FALSE,"Vacuum Truck Emissions"}</definedName>
    <definedName name="wrn.Total._.Area." localSheetId="75" hidden="1">{"Total Area",#N/A,FALSE,"Vacuum Truck Emissions"}</definedName>
    <definedName name="wrn.Total._.Area." localSheetId="70" hidden="1">{"Total Area",#N/A,FALSE,"Vacuum Truck Emissions"}</definedName>
    <definedName name="wrn.Total._.Area." localSheetId="63" hidden="1">{"Total Area",#N/A,FALSE,"Vacuum Truck Emissions"}</definedName>
    <definedName name="wrn.Total._.Area." localSheetId="65" hidden="1">{"Total Area",#N/A,FALSE,"Vacuum Truck Emissions"}</definedName>
    <definedName name="wrn.Total._.Area." localSheetId="64" hidden="1">{"Total Area",#N/A,FALSE,"Vacuum Truck Emissions"}</definedName>
    <definedName name="wrn.Total._.Area." localSheetId="96" hidden="1">{"Total Area",#N/A,FALSE,"Vacuum Truck Emissions"}</definedName>
    <definedName name="wrn.Total._.Area." localSheetId="48" hidden="1">{"Total Area",#N/A,FALSE,"Vacuum Truck Emissions"}</definedName>
    <definedName name="wrn.Total._.Area." localSheetId="52" hidden="1">{"Total Area",#N/A,FALSE,"Vacuum Truck Emissions"}</definedName>
    <definedName name="wrn.Total._.Area." localSheetId="67" hidden="1">{"Total Area",#N/A,FALSE,"Vacuum Truck Emissions"}</definedName>
    <definedName name="wrn.Total._.Area." localSheetId="44" hidden="1">{"Total Area",#N/A,FALSE,"Vacuum Truck Emissions"}</definedName>
    <definedName name="wrn.Total._.Area." localSheetId="81" hidden="1">{"Total Area",#N/A,FALSE,"Vacuum Truck Emissions"}</definedName>
    <definedName name="wrn.Total._.Area." localSheetId="73" hidden="1">{"Total Area",#N/A,FALSE,"Vacuum Truck Emissions"}</definedName>
    <definedName name="wrn.Total._.Area." localSheetId="74" hidden="1">{"Total Area",#N/A,FALSE,"Vacuum Truck Emissions"}</definedName>
    <definedName name="wrn.Total._.Area." hidden="1">{"Total Area",#N/A,FALSE,"Vacuum Truck Emissions"}</definedName>
    <definedName name="wrn.Total._.Area._1" hidden="1">{"Total Area",#N/A,FALSE,"Vacuum Truck Emissions"}</definedName>
    <definedName name="wrn.TTU._.Detail." localSheetId="50" hidden="1">{"B68 TTU Detail",#N/A,FALSE,"TTU Summary";"B19 TTU Detail",#N/A,FALSE,"TTU Summary"}</definedName>
    <definedName name="wrn.TTU._.Detail." localSheetId="51" hidden="1">{"B68 TTU Detail",#N/A,FALSE,"TTU Summary";"B19 TTU Detail",#N/A,FALSE,"TTU Summary"}</definedName>
    <definedName name="wrn.TTU._.Detail." localSheetId="105" hidden="1">{"B68 TTU Detail",#N/A,FALSE,"TTU Summary";"B19 TTU Detail",#N/A,FALSE,"TTU Summary"}</definedName>
    <definedName name="wrn.TTU._.Detail." localSheetId="75" hidden="1">{"B68 TTU Detail",#N/A,FALSE,"TTU Summary";"B19 TTU Detail",#N/A,FALSE,"TTU Summary"}</definedName>
    <definedName name="wrn.TTU._.Detail." localSheetId="70" hidden="1">{"B68 TTU Detail",#N/A,FALSE,"TTU Summary";"B19 TTU Detail",#N/A,FALSE,"TTU Summary"}</definedName>
    <definedName name="wrn.TTU._.Detail." localSheetId="63" hidden="1">{"B68 TTU Detail",#N/A,FALSE,"TTU Summary";"B19 TTU Detail",#N/A,FALSE,"TTU Summary"}</definedName>
    <definedName name="wrn.TTU._.Detail." localSheetId="65" hidden="1">{"B68 TTU Detail",#N/A,FALSE,"TTU Summary";"B19 TTU Detail",#N/A,FALSE,"TTU Summary"}</definedName>
    <definedName name="wrn.TTU._.Detail." localSheetId="64" hidden="1">{"B68 TTU Detail",#N/A,FALSE,"TTU Summary";"B19 TTU Detail",#N/A,FALSE,"TTU Summary"}</definedName>
    <definedName name="wrn.TTU._.Detail." localSheetId="96" hidden="1">{"B68 TTU Detail",#N/A,FALSE,"TTU Summary";"B19 TTU Detail",#N/A,FALSE,"TTU Summary"}</definedName>
    <definedName name="wrn.TTU._.Detail." localSheetId="48" hidden="1">{"B68 TTU Detail",#N/A,FALSE,"TTU Summary";"B19 TTU Detail",#N/A,FALSE,"TTU Summary"}</definedName>
    <definedName name="wrn.TTU._.Detail." localSheetId="52" hidden="1">{"B68 TTU Detail",#N/A,FALSE,"TTU Summary";"B19 TTU Detail",#N/A,FALSE,"TTU Summary"}</definedName>
    <definedName name="wrn.TTU._.Detail." localSheetId="67" hidden="1">{"B68 TTU Detail",#N/A,FALSE,"TTU Summary";"B19 TTU Detail",#N/A,FALSE,"TTU Summary"}</definedName>
    <definedName name="wrn.TTU._.Detail." localSheetId="44" hidden="1">{"B68 TTU Detail",#N/A,FALSE,"TTU Summary";"B19 TTU Detail",#N/A,FALSE,"TTU Summary"}</definedName>
    <definedName name="wrn.TTU._.Detail." localSheetId="81" hidden="1">{"B68 TTU Detail",#N/A,FALSE,"TTU Summary";"B19 TTU Detail",#N/A,FALSE,"TTU Summary"}</definedName>
    <definedName name="wrn.TTU._.Detail." localSheetId="73" hidden="1">{"B68 TTU Detail",#N/A,FALSE,"TTU Summary";"B19 TTU Detail",#N/A,FALSE,"TTU Summary"}</definedName>
    <definedName name="wrn.TTU._.Detail." localSheetId="74" hidden="1">{"B68 TTU Detail",#N/A,FALSE,"TTU Summary";"B19 TTU Detail",#N/A,FALSE,"TTU Summary"}</definedName>
    <definedName name="wrn.TTU._.Detail." hidden="1">{"B68 TTU Detail",#N/A,FALSE,"TTU Summary";"B19 TTU Detail",#N/A,FALSE,"TTU Summary"}</definedName>
    <definedName name="wrn.TTU._.Detail._1" hidden="1">{"B68 TTU Detail",#N/A,FALSE,"TTU Summary";"B19 TTU Detail",#N/A,FALSE,"TTU Summary"}</definedName>
    <definedName name="wrn2.report." localSheetId="105" hidden="1">{#N/A,#N/A,FALSE,"Summary";#N/A,#N/A,FALSE,"Fixed (94)";#N/A,#N/A,FALSE,"fixed (P)";#N/A,#N/A,FALSE,"ExtFloat(94)";#N/A,#N/A,FALSE,"ExtFloat(P)";#N/A,#N/A,FALSE,"IntFloat(94)";#N/A,#N/A,FALSE,"IntFloat(P)";#N/A,#N/A,FALSE,"LD(94)";#N/A,#N/A,FALSE,"LD(P)";#N/A,#N/A,FALSE,"Fugitives";#N/A,#N/A,FALSE,"Speciate (94)";#N/A,#N/A,FALSE,"Speciate (P)"}</definedName>
    <definedName name="wrn2.report." localSheetId="96" hidden="1">{#N/A,#N/A,FALSE,"Summary";#N/A,#N/A,FALSE,"Fixed (94)";#N/A,#N/A,FALSE,"fixed (P)";#N/A,#N/A,FALSE,"ExtFloat(94)";#N/A,#N/A,FALSE,"ExtFloat(P)";#N/A,#N/A,FALSE,"IntFloat(94)";#N/A,#N/A,FALSE,"IntFloat(P)";#N/A,#N/A,FALSE,"LD(94)";#N/A,#N/A,FALSE,"LD(P)";#N/A,#N/A,FALSE,"Fugitives";#N/A,#N/A,FALSE,"Speciate (94)";#N/A,#N/A,FALSE,"Speciate (P)"}</definedName>
    <definedName name="wrn2.report." localSheetId="44" hidden="1">{#N/A,#N/A,FALSE,"Summary";#N/A,#N/A,FALSE,"Fixed (94)";#N/A,#N/A,FALSE,"fixed (P)";#N/A,#N/A,FALSE,"ExtFloat(94)";#N/A,#N/A,FALSE,"ExtFloat(P)";#N/A,#N/A,FALSE,"IntFloat(94)";#N/A,#N/A,FALSE,"IntFloat(P)";#N/A,#N/A,FALSE,"LD(94)";#N/A,#N/A,FALSE,"LD(P)";#N/A,#N/A,FALSE,"Fugitives";#N/A,#N/A,FALSE,"Speciate (94)";#N/A,#N/A,FALSE,"Speciate (P)"}</definedName>
    <definedName name="wrn2.report." hidden="1">{#N/A,#N/A,FALSE,"Summary";#N/A,#N/A,FALSE,"Fixed (94)";#N/A,#N/A,FALSE,"fixed (P)";#N/A,#N/A,FALSE,"ExtFloat(94)";#N/A,#N/A,FALSE,"ExtFloat(P)";#N/A,#N/A,FALSE,"IntFloat(94)";#N/A,#N/A,FALSE,"IntFloat(P)";#N/A,#N/A,FALSE,"LD(94)";#N/A,#N/A,FALSE,"LD(P)";#N/A,#N/A,FALSE,"Fugitives";#N/A,#N/A,FALSE,"Speciate (94)";#N/A,#N/A,FALSE,"Speciate (P)"}</definedName>
    <definedName name="wSheet.Name101" localSheetId="3">#REF!</definedName>
    <definedName name="wSheet.Name101" localSheetId="7">#REF!</definedName>
    <definedName name="wSheet.Name101" localSheetId="9">#REF!</definedName>
    <definedName name="wSheet.Name101" localSheetId="10">#REF!</definedName>
    <definedName name="wSheet.Name101" localSheetId="15">#REF!</definedName>
    <definedName name="wSheet.Name101" localSheetId="19">#REF!</definedName>
    <definedName name="wSheet.Name101" localSheetId="20">#REF!</definedName>
    <definedName name="wSheet.Name101" localSheetId="24">#REF!</definedName>
    <definedName name="wSheet.Name101" localSheetId="104">#REF!</definedName>
    <definedName name="wSheet.Name101" localSheetId="65">#REF!</definedName>
    <definedName name="wSheet.Name101" localSheetId="64">#REF!</definedName>
    <definedName name="wSheet.Name101" localSheetId="77">#REF!</definedName>
    <definedName name="wSheet.Name101" localSheetId="49">#REF!</definedName>
    <definedName name="wSheet.Name101" localSheetId="40">#REF!</definedName>
    <definedName name="wSheet.Name101" localSheetId="43">#REF!</definedName>
    <definedName name="wSheet.Name101" localSheetId="13">#REF!</definedName>
    <definedName name="wSheet.Name101" localSheetId="38">#REF!</definedName>
    <definedName name="wSheet.Name101">#REF!</definedName>
    <definedName name="wSheet.Name102" localSheetId="3">#REF!</definedName>
    <definedName name="wSheet.Name102" localSheetId="7">#REF!</definedName>
    <definedName name="wSheet.Name102" localSheetId="9">#REF!</definedName>
    <definedName name="wSheet.Name102" localSheetId="10">#REF!</definedName>
    <definedName name="wSheet.Name102" localSheetId="15">#REF!</definedName>
    <definedName name="wSheet.Name102" localSheetId="19">#REF!</definedName>
    <definedName name="wSheet.Name102" localSheetId="20">#REF!</definedName>
    <definedName name="wSheet.Name102" localSheetId="24">#REF!</definedName>
    <definedName name="wSheet.Name102" localSheetId="104">#REF!</definedName>
    <definedName name="wSheet.Name102" localSheetId="65">#REF!</definedName>
    <definedName name="wSheet.Name102" localSheetId="64">#REF!</definedName>
    <definedName name="wSheet.Name102" localSheetId="77">#REF!</definedName>
    <definedName name="wSheet.Name102" localSheetId="49">#REF!</definedName>
    <definedName name="wSheet.Name102" localSheetId="40">#REF!</definedName>
    <definedName name="wSheet.Name102" localSheetId="43">#REF!</definedName>
    <definedName name="wSheet.Name102" localSheetId="13">#REF!</definedName>
    <definedName name="wSheet.Name102" localSheetId="38">#REF!</definedName>
    <definedName name="wSheet.Name102">#REF!</definedName>
    <definedName name="wSheet.Name108" localSheetId="3">#REF!</definedName>
    <definedName name="wSheet.Name108" localSheetId="7">#REF!</definedName>
    <definedName name="wSheet.Name108" localSheetId="9">#REF!</definedName>
    <definedName name="wSheet.Name108" localSheetId="10">#REF!</definedName>
    <definedName name="wSheet.Name108" localSheetId="15">#REF!</definedName>
    <definedName name="wSheet.Name108" localSheetId="19">#REF!</definedName>
    <definedName name="wSheet.Name108" localSheetId="20">#REF!</definedName>
    <definedName name="wSheet.Name108" localSheetId="24">#REF!</definedName>
    <definedName name="wSheet.Name108" localSheetId="104">#REF!</definedName>
    <definedName name="wSheet.Name108" localSheetId="65">#REF!</definedName>
    <definedName name="wSheet.Name108" localSheetId="64">#REF!</definedName>
    <definedName name="wSheet.Name108" localSheetId="77">#REF!</definedName>
    <definedName name="wSheet.Name108" localSheetId="49">#REF!</definedName>
    <definedName name="wSheet.Name108" localSheetId="40">#REF!</definedName>
    <definedName name="wSheet.Name108" localSheetId="43">#REF!</definedName>
    <definedName name="wSheet.Name108" localSheetId="13">#REF!</definedName>
    <definedName name="wSheet.Name108" localSheetId="38">#REF!</definedName>
    <definedName name="wSheet.Name108">#REF!</definedName>
    <definedName name="wSheet.Name111" localSheetId="3">#REF!</definedName>
    <definedName name="wSheet.Name111" localSheetId="7">#REF!</definedName>
    <definedName name="wSheet.Name111" localSheetId="9">#REF!</definedName>
    <definedName name="wSheet.Name111" localSheetId="10">#REF!</definedName>
    <definedName name="wSheet.Name111" localSheetId="15">#REF!</definedName>
    <definedName name="wSheet.Name111" localSheetId="19">#REF!</definedName>
    <definedName name="wSheet.Name111" localSheetId="20">#REF!</definedName>
    <definedName name="wSheet.Name111" localSheetId="24">#REF!</definedName>
    <definedName name="wSheet.Name111" localSheetId="104">#REF!</definedName>
    <definedName name="wSheet.Name111" localSheetId="65">#REF!</definedName>
    <definedName name="wSheet.Name111" localSheetId="64">#REF!</definedName>
    <definedName name="wSheet.Name111" localSheetId="77">#REF!</definedName>
    <definedName name="wSheet.Name111" localSheetId="49">#REF!</definedName>
    <definedName name="wSheet.Name111" localSheetId="40">#REF!</definedName>
    <definedName name="wSheet.Name111" localSheetId="43">#REF!</definedName>
    <definedName name="wSheet.Name111" localSheetId="13">#REF!</definedName>
    <definedName name="wSheet.Name111" localSheetId="38">#REF!</definedName>
    <definedName name="wSheet.Name111">#REF!</definedName>
    <definedName name="wSheet.Name112" localSheetId="3">#REF!</definedName>
    <definedName name="wSheet.Name112" localSheetId="7">#REF!</definedName>
    <definedName name="wSheet.Name112" localSheetId="9">#REF!</definedName>
    <definedName name="wSheet.Name112" localSheetId="10">#REF!</definedName>
    <definedName name="wSheet.Name112" localSheetId="15">#REF!</definedName>
    <definedName name="wSheet.Name112" localSheetId="19">#REF!</definedName>
    <definedName name="wSheet.Name112" localSheetId="20">#REF!</definedName>
    <definedName name="wSheet.Name112" localSheetId="24">#REF!</definedName>
    <definedName name="wSheet.Name112" localSheetId="104">#REF!</definedName>
    <definedName name="wSheet.Name112" localSheetId="65">#REF!</definedName>
    <definedName name="wSheet.Name112" localSheetId="64">#REF!</definedName>
    <definedName name="wSheet.Name112" localSheetId="77">#REF!</definedName>
    <definedName name="wSheet.Name112" localSheetId="49">#REF!</definedName>
    <definedName name="wSheet.Name112" localSheetId="40">#REF!</definedName>
    <definedName name="wSheet.Name112" localSheetId="43">#REF!</definedName>
    <definedName name="wSheet.Name112" localSheetId="13">#REF!</definedName>
    <definedName name="wSheet.Name112" localSheetId="38">#REF!</definedName>
    <definedName name="wSheet.Name112">#REF!</definedName>
    <definedName name="wSheet.Name113" localSheetId="3">#REF!</definedName>
    <definedName name="wSheet.Name113" localSheetId="7">#REF!</definedName>
    <definedName name="wSheet.Name113" localSheetId="9">#REF!</definedName>
    <definedName name="wSheet.Name113" localSheetId="10">#REF!</definedName>
    <definedName name="wSheet.Name113" localSheetId="15">#REF!</definedName>
    <definedName name="wSheet.Name113" localSheetId="19">#REF!</definedName>
    <definedName name="wSheet.Name113" localSheetId="20">#REF!</definedName>
    <definedName name="wSheet.Name113" localSheetId="24">#REF!</definedName>
    <definedName name="wSheet.Name113" localSheetId="104">#REF!</definedName>
    <definedName name="wSheet.Name113" localSheetId="65">#REF!</definedName>
    <definedName name="wSheet.Name113" localSheetId="64">#REF!</definedName>
    <definedName name="wSheet.Name113" localSheetId="77">#REF!</definedName>
    <definedName name="wSheet.Name113" localSheetId="49">#REF!</definedName>
    <definedName name="wSheet.Name113" localSheetId="40">#REF!</definedName>
    <definedName name="wSheet.Name113" localSheetId="43">#REF!</definedName>
    <definedName name="wSheet.Name113" localSheetId="13">#REF!</definedName>
    <definedName name="wSheet.Name113" localSheetId="38">#REF!</definedName>
    <definedName name="wSheet.Name113">#REF!</definedName>
    <definedName name="wSheet.Name114" localSheetId="3">#REF!</definedName>
    <definedName name="wSheet.Name114" localSheetId="7">#REF!</definedName>
    <definedName name="wSheet.Name114" localSheetId="9">#REF!</definedName>
    <definedName name="wSheet.Name114" localSheetId="10">#REF!</definedName>
    <definedName name="wSheet.Name114" localSheetId="15">#REF!</definedName>
    <definedName name="wSheet.Name114" localSheetId="19">#REF!</definedName>
    <definedName name="wSheet.Name114" localSheetId="20">#REF!</definedName>
    <definedName name="wSheet.Name114" localSheetId="24">#REF!</definedName>
    <definedName name="wSheet.Name114" localSheetId="104">#REF!</definedName>
    <definedName name="wSheet.Name114" localSheetId="65">#REF!</definedName>
    <definedName name="wSheet.Name114" localSheetId="64">#REF!</definedName>
    <definedName name="wSheet.Name114" localSheetId="77">#REF!</definedName>
    <definedName name="wSheet.Name114" localSheetId="49">#REF!</definedName>
    <definedName name="wSheet.Name114" localSheetId="40">#REF!</definedName>
    <definedName name="wSheet.Name114" localSheetId="43">#REF!</definedName>
    <definedName name="wSheet.Name114" localSheetId="13">#REF!</definedName>
    <definedName name="wSheet.Name114" localSheetId="38">#REF!</definedName>
    <definedName name="wSheet.Name114">#REF!</definedName>
    <definedName name="wSheet.Name115" localSheetId="3">#REF!</definedName>
    <definedName name="wSheet.Name115" localSheetId="7">#REF!</definedName>
    <definedName name="wSheet.Name115" localSheetId="9">#REF!</definedName>
    <definedName name="wSheet.Name115" localSheetId="10">#REF!</definedName>
    <definedName name="wSheet.Name115" localSheetId="15">#REF!</definedName>
    <definedName name="wSheet.Name115" localSheetId="19">#REF!</definedName>
    <definedName name="wSheet.Name115" localSheetId="20">#REF!</definedName>
    <definedName name="wSheet.Name115" localSheetId="24">#REF!</definedName>
    <definedName name="wSheet.Name115" localSheetId="104">#REF!</definedName>
    <definedName name="wSheet.Name115" localSheetId="65">#REF!</definedName>
    <definedName name="wSheet.Name115" localSheetId="64">#REF!</definedName>
    <definedName name="wSheet.Name115" localSheetId="77">#REF!</definedName>
    <definedName name="wSheet.Name115" localSheetId="49">#REF!</definedName>
    <definedName name="wSheet.Name115" localSheetId="40">#REF!</definedName>
    <definedName name="wSheet.Name115" localSheetId="43">#REF!</definedName>
    <definedName name="wSheet.Name115" localSheetId="13">#REF!</definedName>
    <definedName name="wSheet.Name115" localSheetId="38">#REF!</definedName>
    <definedName name="wSheet.Name115">#REF!</definedName>
    <definedName name="wSheet.Name116" localSheetId="3">#REF!</definedName>
    <definedName name="wSheet.Name116" localSheetId="7">#REF!</definedName>
    <definedName name="wSheet.Name116" localSheetId="9">#REF!</definedName>
    <definedName name="wSheet.Name116" localSheetId="10">#REF!</definedName>
    <definedName name="wSheet.Name116" localSheetId="15">#REF!</definedName>
    <definedName name="wSheet.Name116" localSheetId="19">#REF!</definedName>
    <definedName name="wSheet.Name116" localSheetId="20">#REF!</definedName>
    <definedName name="wSheet.Name116" localSheetId="24">#REF!</definedName>
    <definedName name="wSheet.Name116" localSheetId="104">#REF!</definedName>
    <definedName name="wSheet.Name116" localSheetId="65">#REF!</definedName>
    <definedName name="wSheet.Name116" localSheetId="64">#REF!</definedName>
    <definedName name="wSheet.Name116" localSheetId="77">#REF!</definedName>
    <definedName name="wSheet.Name116" localSheetId="49">#REF!</definedName>
    <definedName name="wSheet.Name116" localSheetId="40">#REF!</definedName>
    <definedName name="wSheet.Name116" localSheetId="43">#REF!</definedName>
    <definedName name="wSheet.Name116" localSheetId="13">#REF!</definedName>
    <definedName name="wSheet.Name116" localSheetId="38">#REF!</definedName>
    <definedName name="wSheet.Name116">#REF!</definedName>
    <definedName name="wSheet.Name117" localSheetId="3">#REF!</definedName>
    <definedName name="wSheet.Name117" localSheetId="7">#REF!</definedName>
    <definedName name="wSheet.Name117" localSheetId="9">#REF!</definedName>
    <definedName name="wSheet.Name117" localSheetId="10">#REF!</definedName>
    <definedName name="wSheet.Name117" localSheetId="15">#REF!</definedName>
    <definedName name="wSheet.Name117" localSheetId="19">#REF!</definedName>
    <definedName name="wSheet.Name117" localSheetId="20">#REF!</definedName>
    <definedName name="wSheet.Name117" localSheetId="24">#REF!</definedName>
    <definedName name="wSheet.Name117" localSheetId="104">#REF!</definedName>
    <definedName name="wSheet.Name117" localSheetId="65">#REF!</definedName>
    <definedName name="wSheet.Name117" localSheetId="64">#REF!</definedName>
    <definedName name="wSheet.Name117" localSheetId="77">#REF!</definedName>
    <definedName name="wSheet.Name117" localSheetId="49">#REF!</definedName>
    <definedName name="wSheet.Name117" localSheetId="40">#REF!</definedName>
    <definedName name="wSheet.Name117" localSheetId="43">#REF!</definedName>
    <definedName name="wSheet.Name117" localSheetId="13">#REF!</definedName>
    <definedName name="wSheet.Name117" localSheetId="38">#REF!</definedName>
    <definedName name="wSheet.Name117">#REF!</definedName>
    <definedName name="wSheet.Name118" localSheetId="3">#REF!</definedName>
    <definedName name="wSheet.Name118" localSheetId="7">#REF!</definedName>
    <definedName name="wSheet.Name118" localSheetId="9">#REF!</definedName>
    <definedName name="wSheet.Name118" localSheetId="10">#REF!</definedName>
    <definedName name="wSheet.Name118" localSheetId="15">#REF!</definedName>
    <definedName name="wSheet.Name118" localSheetId="19">#REF!</definedName>
    <definedName name="wSheet.Name118" localSheetId="20">#REF!</definedName>
    <definedName name="wSheet.Name118" localSheetId="24">#REF!</definedName>
    <definedName name="wSheet.Name118" localSheetId="104">#REF!</definedName>
    <definedName name="wSheet.Name118" localSheetId="65">#REF!</definedName>
    <definedName name="wSheet.Name118" localSheetId="64">#REF!</definedName>
    <definedName name="wSheet.Name118" localSheetId="77">#REF!</definedName>
    <definedName name="wSheet.Name118" localSheetId="49">#REF!</definedName>
    <definedName name="wSheet.Name118" localSheetId="40">#REF!</definedName>
    <definedName name="wSheet.Name118" localSheetId="43">#REF!</definedName>
    <definedName name="wSheet.Name118" localSheetId="13">#REF!</definedName>
    <definedName name="wSheet.Name118" localSheetId="38">#REF!</definedName>
    <definedName name="wSheet.Name118">#REF!</definedName>
    <definedName name="wSheet.Name25" localSheetId="3">#REF!</definedName>
    <definedName name="wSheet.Name25" localSheetId="7">#REF!</definedName>
    <definedName name="wSheet.Name25" localSheetId="9">#REF!</definedName>
    <definedName name="wSheet.Name25" localSheetId="10">#REF!</definedName>
    <definedName name="wSheet.Name25" localSheetId="15">#REF!</definedName>
    <definedName name="wSheet.Name25" localSheetId="19">#REF!</definedName>
    <definedName name="wSheet.Name25" localSheetId="20">#REF!</definedName>
    <definedName name="wSheet.Name25" localSheetId="24">#REF!</definedName>
    <definedName name="wSheet.Name25" localSheetId="104">#REF!</definedName>
    <definedName name="wSheet.Name25" localSheetId="65">#REF!</definedName>
    <definedName name="wSheet.Name25" localSheetId="64">#REF!</definedName>
    <definedName name="wSheet.Name25" localSheetId="77">#REF!</definedName>
    <definedName name="wSheet.Name25" localSheetId="49">#REF!</definedName>
    <definedName name="wSheet.Name25" localSheetId="40">#REF!</definedName>
    <definedName name="wSheet.Name25" localSheetId="43">#REF!</definedName>
    <definedName name="wSheet.Name25" localSheetId="13">#REF!</definedName>
    <definedName name="wSheet.Name25" localSheetId="38">#REF!</definedName>
    <definedName name="wSheet.Name25">#REF!</definedName>
    <definedName name="wSheet.Name26" localSheetId="3">#REF!</definedName>
    <definedName name="wSheet.Name26" localSheetId="7">#REF!</definedName>
    <definedName name="wSheet.Name26" localSheetId="9">#REF!</definedName>
    <definedName name="wSheet.Name26" localSheetId="10">#REF!</definedName>
    <definedName name="wSheet.Name26" localSheetId="15">#REF!</definedName>
    <definedName name="wSheet.Name26" localSheetId="19">#REF!</definedName>
    <definedName name="wSheet.Name26" localSheetId="20">#REF!</definedName>
    <definedName name="wSheet.Name26" localSheetId="24">#REF!</definedName>
    <definedName name="wSheet.Name26" localSheetId="104">#REF!</definedName>
    <definedName name="wSheet.Name26" localSheetId="65">#REF!</definedName>
    <definedName name="wSheet.Name26" localSheetId="64">#REF!</definedName>
    <definedName name="wSheet.Name26" localSheetId="77">#REF!</definedName>
    <definedName name="wSheet.Name26" localSheetId="49">#REF!</definedName>
    <definedName name="wSheet.Name26" localSheetId="40">#REF!</definedName>
    <definedName name="wSheet.Name26" localSheetId="43">#REF!</definedName>
    <definedName name="wSheet.Name26" localSheetId="13">#REF!</definedName>
    <definedName name="wSheet.Name26" localSheetId="38">#REF!</definedName>
    <definedName name="wSheet.Name26">#REF!</definedName>
    <definedName name="wSheet.Name27" localSheetId="3">#REF!</definedName>
    <definedName name="wSheet.Name27" localSheetId="7">#REF!</definedName>
    <definedName name="wSheet.Name27" localSheetId="9">#REF!</definedName>
    <definedName name="wSheet.Name27" localSheetId="10">#REF!</definedName>
    <definedName name="wSheet.Name27" localSheetId="15">#REF!</definedName>
    <definedName name="wSheet.Name27" localSheetId="19">#REF!</definedName>
    <definedName name="wSheet.Name27" localSheetId="20">#REF!</definedName>
    <definedName name="wSheet.Name27" localSheetId="24">#REF!</definedName>
    <definedName name="wSheet.Name27" localSheetId="104">#REF!</definedName>
    <definedName name="wSheet.Name27" localSheetId="65">#REF!</definedName>
    <definedName name="wSheet.Name27" localSheetId="64">#REF!</definedName>
    <definedName name="wSheet.Name27" localSheetId="77">#REF!</definedName>
    <definedName name="wSheet.Name27" localSheetId="49">#REF!</definedName>
    <definedName name="wSheet.Name27" localSheetId="40">#REF!</definedName>
    <definedName name="wSheet.Name27" localSheetId="43">#REF!</definedName>
    <definedName name="wSheet.Name27" localSheetId="13">#REF!</definedName>
    <definedName name="wSheet.Name27" localSheetId="38">#REF!</definedName>
    <definedName name="wSheet.Name27">#REF!</definedName>
    <definedName name="wSheet.Name28" localSheetId="3">#REF!</definedName>
    <definedName name="wSheet.Name28" localSheetId="7">#REF!</definedName>
    <definedName name="wSheet.Name28" localSheetId="9">#REF!</definedName>
    <definedName name="wSheet.Name28" localSheetId="10">#REF!</definedName>
    <definedName name="wSheet.Name28" localSheetId="15">#REF!</definedName>
    <definedName name="wSheet.Name28" localSheetId="19">#REF!</definedName>
    <definedName name="wSheet.Name28" localSheetId="20">#REF!</definedName>
    <definedName name="wSheet.Name28" localSheetId="24">#REF!</definedName>
    <definedName name="wSheet.Name28" localSheetId="104">#REF!</definedName>
    <definedName name="wSheet.Name28" localSheetId="65">#REF!</definedName>
    <definedName name="wSheet.Name28" localSheetId="64">#REF!</definedName>
    <definedName name="wSheet.Name28" localSheetId="77">#REF!</definedName>
    <definedName name="wSheet.Name28" localSheetId="49">#REF!</definedName>
    <definedName name="wSheet.Name28" localSheetId="40">#REF!</definedName>
    <definedName name="wSheet.Name28" localSheetId="43">#REF!</definedName>
    <definedName name="wSheet.Name28" localSheetId="13">#REF!</definedName>
    <definedName name="wSheet.Name28" localSheetId="38">#REF!</definedName>
    <definedName name="wSheet.Name28">#REF!</definedName>
    <definedName name="wSheet.Name29" localSheetId="3">#REF!</definedName>
    <definedName name="wSheet.Name29" localSheetId="7">#REF!</definedName>
    <definedName name="wSheet.Name29" localSheetId="9">#REF!</definedName>
    <definedName name="wSheet.Name29" localSheetId="10">#REF!</definedName>
    <definedName name="wSheet.Name29" localSheetId="15">#REF!</definedName>
    <definedName name="wSheet.Name29" localSheetId="19">#REF!</definedName>
    <definedName name="wSheet.Name29" localSheetId="20">#REF!</definedName>
    <definedName name="wSheet.Name29" localSheetId="24">#REF!</definedName>
    <definedName name="wSheet.Name29" localSheetId="104">#REF!</definedName>
    <definedName name="wSheet.Name29" localSheetId="65">#REF!</definedName>
    <definedName name="wSheet.Name29" localSheetId="64">#REF!</definedName>
    <definedName name="wSheet.Name29" localSheetId="77">#REF!</definedName>
    <definedName name="wSheet.Name29" localSheetId="49">#REF!</definedName>
    <definedName name="wSheet.Name29" localSheetId="40">#REF!</definedName>
    <definedName name="wSheet.Name29" localSheetId="43">#REF!</definedName>
    <definedName name="wSheet.Name29" localSheetId="13">#REF!</definedName>
    <definedName name="wSheet.Name29" localSheetId="38">#REF!</definedName>
    <definedName name="wSheet.Name29">#REF!</definedName>
    <definedName name="wSheet.Name30" localSheetId="3">#REF!</definedName>
    <definedName name="wSheet.Name30" localSheetId="7">#REF!</definedName>
    <definedName name="wSheet.Name30" localSheetId="9">#REF!</definedName>
    <definedName name="wSheet.Name30" localSheetId="10">#REF!</definedName>
    <definedName name="wSheet.Name30" localSheetId="15">#REF!</definedName>
    <definedName name="wSheet.Name30" localSheetId="19">#REF!</definedName>
    <definedName name="wSheet.Name30" localSheetId="20">#REF!</definedName>
    <definedName name="wSheet.Name30" localSheetId="24">#REF!</definedName>
    <definedName name="wSheet.Name30" localSheetId="104">#REF!</definedName>
    <definedName name="wSheet.Name30" localSheetId="65">#REF!</definedName>
    <definedName name="wSheet.Name30" localSheetId="64">#REF!</definedName>
    <definedName name="wSheet.Name30" localSheetId="77">#REF!</definedName>
    <definedName name="wSheet.Name30" localSheetId="49">#REF!</definedName>
    <definedName name="wSheet.Name30" localSheetId="40">#REF!</definedName>
    <definedName name="wSheet.Name30" localSheetId="43">#REF!</definedName>
    <definedName name="wSheet.Name30" localSheetId="13">#REF!</definedName>
    <definedName name="wSheet.Name30" localSheetId="38">#REF!</definedName>
    <definedName name="wSheet.Name30">#REF!</definedName>
    <definedName name="wSheet.Name32" localSheetId="3">#REF!</definedName>
    <definedName name="wSheet.Name32" localSheetId="7">#REF!</definedName>
    <definedName name="wSheet.Name32" localSheetId="9">#REF!</definedName>
    <definedName name="wSheet.Name32" localSheetId="10">#REF!</definedName>
    <definedName name="wSheet.Name32" localSheetId="15">#REF!</definedName>
    <definedName name="wSheet.Name32" localSheetId="19">#REF!</definedName>
    <definedName name="wSheet.Name32" localSheetId="20">#REF!</definedName>
    <definedName name="wSheet.Name32" localSheetId="24">#REF!</definedName>
    <definedName name="wSheet.Name32" localSheetId="104">#REF!</definedName>
    <definedName name="wSheet.Name32" localSheetId="65">#REF!</definedName>
    <definedName name="wSheet.Name32" localSheetId="64">#REF!</definedName>
    <definedName name="wSheet.Name32" localSheetId="77">#REF!</definedName>
    <definedName name="wSheet.Name32" localSheetId="49">#REF!</definedName>
    <definedName name="wSheet.Name32" localSheetId="40">#REF!</definedName>
    <definedName name="wSheet.Name32" localSheetId="43">#REF!</definedName>
    <definedName name="wSheet.Name32" localSheetId="13">#REF!</definedName>
    <definedName name="wSheet.Name32" localSheetId="38">#REF!</definedName>
    <definedName name="wSheet.Name32">#REF!</definedName>
    <definedName name="wSheet.Name33" localSheetId="3">#REF!</definedName>
    <definedName name="wSheet.Name33" localSheetId="7">#REF!</definedName>
    <definedName name="wSheet.Name33" localSheetId="9">#REF!</definedName>
    <definedName name="wSheet.Name33" localSheetId="10">#REF!</definedName>
    <definedName name="wSheet.Name33" localSheetId="15">#REF!</definedName>
    <definedName name="wSheet.Name33" localSheetId="19">#REF!</definedName>
    <definedName name="wSheet.Name33" localSheetId="20">#REF!</definedName>
    <definedName name="wSheet.Name33" localSheetId="24">#REF!</definedName>
    <definedName name="wSheet.Name33" localSheetId="104">#REF!</definedName>
    <definedName name="wSheet.Name33" localSheetId="65">#REF!</definedName>
    <definedName name="wSheet.Name33" localSheetId="64">#REF!</definedName>
    <definedName name="wSheet.Name33" localSheetId="77">#REF!</definedName>
    <definedName name="wSheet.Name33" localSheetId="49">#REF!</definedName>
    <definedName name="wSheet.Name33" localSheetId="40">#REF!</definedName>
    <definedName name="wSheet.Name33" localSheetId="43">#REF!</definedName>
    <definedName name="wSheet.Name33" localSheetId="13">#REF!</definedName>
    <definedName name="wSheet.Name33" localSheetId="38">#REF!</definedName>
    <definedName name="wSheet.Name33">#REF!</definedName>
    <definedName name="wSheet.Name34" localSheetId="3">#REF!</definedName>
    <definedName name="wSheet.Name34" localSheetId="7">#REF!</definedName>
    <definedName name="wSheet.Name34" localSheetId="9">#REF!</definedName>
    <definedName name="wSheet.Name34" localSheetId="10">#REF!</definedName>
    <definedName name="wSheet.Name34" localSheetId="15">#REF!</definedName>
    <definedName name="wSheet.Name34" localSheetId="19">#REF!</definedName>
    <definedName name="wSheet.Name34" localSheetId="20">#REF!</definedName>
    <definedName name="wSheet.Name34" localSheetId="24">#REF!</definedName>
    <definedName name="wSheet.Name34" localSheetId="104">#REF!</definedName>
    <definedName name="wSheet.Name34" localSheetId="65">#REF!</definedName>
    <definedName name="wSheet.Name34" localSheetId="64">#REF!</definedName>
    <definedName name="wSheet.Name34" localSheetId="77">#REF!</definedName>
    <definedName name="wSheet.Name34" localSheetId="49">#REF!</definedName>
    <definedName name="wSheet.Name34" localSheetId="40">#REF!</definedName>
    <definedName name="wSheet.Name34" localSheetId="43">#REF!</definedName>
    <definedName name="wSheet.Name34" localSheetId="13">#REF!</definedName>
    <definedName name="wSheet.Name34" localSheetId="38">#REF!</definedName>
    <definedName name="wSheet.Name34">#REF!</definedName>
    <definedName name="wSheet.Name35" localSheetId="3">#REF!</definedName>
    <definedName name="wSheet.Name35" localSheetId="7">#REF!</definedName>
    <definedName name="wSheet.Name35" localSheetId="9">#REF!</definedName>
    <definedName name="wSheet.Name35" localSheetId="10">#REF!</definedName>
    <definedName name="wSheet.Name35" localSheetId="15">#REF!</definedName>
    <definedName name="wSheet.Name35" localSheetId="19">#REF!</definedName>
    <definedName name="wSheet.Name35" localSheetId="20">#REF!</definedName>
    <definedName name="wSheet.Name35" localSheetId="24">#REF!</definedName>
    <definedName name="wSheet.Name35" localSheetId="104">#REF!</definedName>
    <definedName name="wSheet.Name35" localSheetId="65">#REF!</definedName>
    <definedName name="wSheet.Name35" localSheetId="64">#REF!</definedName>
    <definedName name="wSheet.Name35" localSheetId="77">#REF!</definedName>
    <definedName name="wSheet.Name35" localSheetId="49">#REF!</definedName>
    <definedName name="wSheet.Name35" localSheetId="40">#REF!</definedName>
    <definedName name="wSheet.Name35" localSheetId="43">#REF!</definedName>
    <definedName name="wSheet.Name35" localSheetId="13">#REF!</definedName>
    <definedName name="wSheet.Name35" localSheetId="38">#REF!</definedName>
    <definedName name="wSheet.Name35">#REF!</definedName>
    <definedName name="wSheet.Name39" localSheetId="3">#REF!</definedName>
    <definedName name="wSheet.Name39" localSheetId="7">#REF!</definedName>
    <definedName name="wSheet.Name39" localSheetId="9">#REF!</definedName>
    <definedName name="wSheet.Name39" localSheetId="10">#REF!</definedName>
    <definedName name="wSheet.Name39" localSheetId="15">#REF!</definedName>
    <definedName name="wSheet.Name39" localSheetId="19">#REF!</definedName>
    <definedName name="wSheet.Name39" localSheetId="20">#REF!</definedName>
    <definedName name="wSheet.Name39" localSheetId="24">#REF!</definedName>
    <definedName name="wSheet.Name39" localSheetId="104">#REF!</definedName>
    <definedName name="wSheet.Name39" localSheetId="65">#REF!</definedName>
    <definedName name="wSheet.Name39" localSheetId="64">#REF!</definedName>
    <definedName name="wSheet.Name39" localSheetId="77">#REF!</definedName>
    <definedName name="wSheet.Name39" localSheetId="49">#REF!</definedName>
    <definedName name="wSheet.Name39" localSheetId="40">#REF!</definedName>
    <definedName name="wSheet.Name39" localSheetId="43">#REF!</definedName>
    <definedName name="wSheet.Name39" localSheetId="13">#REF!</definedName>
    <definedName name="wSheet.Name39" localSheetId="38">#REF!</definedName>
    <definedName name="wSheet.Name39">#REF!</definedName>
    <definedName name="wSheet.Name4" localSheetId="3">#REF!</definedName>
    <definedName name="wSheet.Name4" localSheetId="7">#REF!</definedName>
    <definedName name="wSheet.Name4" localSheetId="9">#REF!</definedName>
    <definedName name="wSheet.Name4" localSheetId="10">#REF!</definedName>
    <definedName name="wSheet.Name4" localSheetId="15">#REF!</definedName>
    <definedName name="wSheet.Name4" localSheetId="19">#REF!</definedName>
    <definedName name="wSheet.Name4" localSheetId="20">#REF!</definedName>
    <definedName name="wSheet.Name4" localSheetId="24">#REF!</definedName>
    <definedName name="wSheet.Name4" localSheetId="104">#REF!</definedName>
    <definedName name="wSheet.Name4" localSheetId="65">#REF!</definedName>
    <definedName name="wSheet.Name4" localSheetId="64">#REF!</definedName>
    <definedName name="wSheet.Name4" localSheetId="77">#REF!</definedName>
    <definedName name="wSheet.Name4" localSheetId="49">#REF!</definedName>
    <definedName name="wSheet.Name4" localSheetId="40">#REF!</definedName>
    <definedName name="wSheet.Name4" localSheetId="43">#REF!</definedName>
    <definedName name="wSheet.Name4" localSheetId="13">#REF!</definedName>
    <definedName name="wSheet.Name4" localSheetId="38">#REF!</definedName>
    <definedName name="wSheet.Name4">#REF!</definedName>
    <definedName name="wSheet.Name42" localSheetId="3">#REF!</definedName>
    <definedName name="wSheet.Name42" localSheetId="7">#REF!</definedName>
    <definedName name="wSheet.Name42" localSheetId="9">#REF!</definedName>
    <definedName name="wSheet.Name42" localSheetId="10">#REF!</definedName>
    <definedName name="wSheet.Name42" localSheetId="15">#REF!</definedName>
    <definedName name="wSheet.Name42" localSheetId="19">#REF!</definedName>
    <definedName name="wSheet.Name42" localSheetId="20">#REF!</definedName>
    <definedName name="wSheet.Name42" localSheetId="24">#REF!</definedName>
    <definedName name="wSheet.Name42" localSheetId="104">#REF!</definedName>
    <definedName name="wSheet.Name42" localSheetId="65">#REF!</definedName>
    <definedName name="wSheet.Name42" localSheetId="64">#REF!</definedName>
    <definedName name="wSheet.Name42" localSheetId="77">#REF!</definedName>
    <definedName name="wSheet.Name42" localSheetId="49">#REF!</definedName>
    <definedName name="wSheet.Name42" localSheetId="40">#REF!</definedName>
    <definedName name="wSheet.Name42" localSheetId="43">#REF!</definedName>
    <definedName name="wSheet.Name42" localSheetId="13">#REF!</definedName>
    <definedName name="wSheet.Name42" localSheetId="38">#REF!</definedName>
    <definedName name="wSheet.Name42">#REF!</definedName>
    <definedName name="wSheet.Name48" localSheetId="3">#REF!</definedName>
    <definedName name="wSheet.Name48" localSheetId="7">#REF!</definedName>
    <definedName name="wSheet.Name48" localSheetId="9">#REF!</definedName>
    <definedName name="wSheet.Name48" localSheetId="10">#REF!</definedName>
    <definedName name="wSheet.Name48" localSheetId="15">#REF!</definedName>
    <definedName name="wSheet.Name48" localSheetId="19">#REF!</definedName>
    <definedName name="wSheet.Name48" localSheetId="20">#REF!</definedName>
    <definedName name="wSheet.Name48" localSheetId="24">#REF!</definedName>
    <definedName name="wSheet.Name48" localSheetId="104">#REF!</definedName>
    <definedName name="wSheet.Name48" localSheetId="65">#REF!</definedName>
    <definedName name="wSheet.Name48" localSheetId="64">#REF!</definedName>
    <definedName name="wSheet.Name48" localSheetId="77">#REF!</definedName>
    <definedName name="wSheet.Name48" localSheetId="49">#REF!</definedName>
    <definedName name="wSheet.Name48" localSheetId="40">#REF!</definedName>
    <definedName name="wSheet.Name48" localSheetId="43">#REF!</definedName>
    <definedName name="wSheet.Name48" localSheetId="13">#REF!</definedName>
    <definedName name="wSheet.Name48" localSheetId="38">#REF!</definedName>
    <definedName name="wSheet.Name48">#REF!</definedName>
    <definedName name="wSheet.Name49" localSheetId="3">#REF!</definedName>
    <definedName name="wSheet.Name49" localSheetId="7">#REF!</definedName>
    <definedName name="wSheet.Name49" localSheetId="9">#REF!</definedName>
    <definedName name="wSheet.Name49" localSheetId="10">#REF!</definedName>
    <definedName name="wSheet.Name49" localSheetId="15">#REF!</definedName>
    <definedName name="wSheet.Name49" localSheetId="19">#REF!</definedName>
    <definedName name="wSheet.Name49" localSheetId="20">#REF!</definedName>
    <definedName name="wSheet.Name49" localSheetId="24">#REF!</definedName>
    <definedName name="wSheet.Name49" localSheetId="104">#REF!</definedName>
    <definedName name="wSheet.Name49" localSheetId="65">#REF!</definedName>
    <definedName name="wSheet.Name49" localSheetId="64">#REF!</definedName>
    <definedName name="wSheet.Name49" localSheetId="77">#REF!</definedName>
    <definedName name="wSheet.Name49" localSheetId="49">#REF!</definedName>
    <definedName name="wSheet.Name49" localSheetId="40">#REF!</definedName>
    <definedName name="wSheet.Name49" localSheetId="43">#REF!</definedName>
    <definedName name="wSheet.Name49" localSheetId="13">#REF!</definedName>
    <definedName name="wSheet.Name49" localSheetId="38">#REF!</definedName>
    <definedName name="wSheet.Name49">#REF!</definedName>
    <definedName name="wSheet.Name50" localSheetId="3">#REF!</definedName>
    <definedName name="wSheet.Name50" localSheetId="7">#REF!</definedName>
    <definedName name="wSheet.Name50" localSheetId="9">#REF!</definedName>
    <definedName name="wSheet.Name50" localSheetId="10">#REF!</definedName>
    <definedName name="wSheet.Name50" localSheetId="15">#REF!</definedName>
    <definedName name="wSheet.Name50" localSheetId="19">#REF!</definedName>
    <definedName name="wSheet.Name50" localSheetId="20">#REF!</definedName>
    <definedName name="wSheet.Name50" localSheetId="24">#REF!</definedName>
    <definedName name="wSheet.Name50" localSheetId="104">#REF!</definedName>
    <definedName name="wSheet.Name50" localSheetId="65">#REF!</definedName>
    <definedName name="wSheet.Name50" localSheetId="64">#REF!</definedName>
    <definedName name="wSheet.Name50" localSheetId="77">#REF!</definedName>
    <definedName name="wSheet.Name50" localSheetId="49">#REF!</definedName>
    <definedName name="wSheet.Name50" localSheetId="40">#REF!</definedName>
    <definedName name="wSheet.Name50" localSheetId="43">#REF!</definedName>
    <definedName name="wSheet.Name50" localSheetId="13">#REF!</definedName>
    <definedName name="wSheet.Name50" localSheetId="38">#REF!</definedName>
    <definedName name="wSheet.Name50">#REF!</definedName>
    <definedName name="wSheet.Name51" localSheetId="3">#REF!</definedName>
    <definedName name="wSheet.Name51" localSheetId="7">#REF!</definedName>
    <definedName name="wSheet.Name51" localSheetId="9">#REF!</definedName>
    <definedName name="wSheet.Name51" localSheetId="10">#REF!</definedName>
    <definedName name="wSheet.Name51" localSheetId="15">#REF!</definedName>
    <definedName name="wSheet.Name51" localSheetId="19">#REF!</definedName>
    <definedName name="wSheet.Name51" localSheetId="20">#REF!</definedName>
    <definedName name="wSheet.Name51" localSheetId="24">#REF!</definedName>
    <definedName name="wSheet.Name51" localSheetId="104">#REF!</definedName>
    <definedName name="wSheet.Name51" localSheetId="65">#REF!</definedName>
    <definedName name="wSheet.Name51" localSheetId="64">#REF!</definedName>
    <definedName name="wSheet.Name51" localSheetId="77">#REF!</definedName>
    <definedName name="wSheet.Name51" localSheetId="49">#REF!</definedName>
    <definedName name="wSheet.Name51" localSheetId="40">#REF!</definedName>
    <definedName name="wSheet.Name51" localSheetId="43">#REF!</definedName>
    <definedName name="wSheet.Name51" localSheetId="13">#REF!</definedName>
    <definedName name="wSheet.Name51" localSheetId="38">#REF!</definedName>
    <definedName name="wSheet.Name51">#REF!</definedName>
    <definedName name="wSheet.Name52" localSheetId="3">#REF!</definedName>
    <definedName name="wSheet.Name52" localSheetId="7">#REF!</definedName>
    <definedName name="wSheet.Name52" localSheetId="9">#REF!</definedName>
    <definedName name="wSheet.Name52" localSheetId="10">#REF!</definedName>
    <definedName name="wSheet.Name52" localSheetId="15">#REF!</definedName>
    <definedName name="wSheet.Name52" localSheetId="19">#REF!</definedName>
    <definedName name="wSheet.Name52" localSheetId="20">#REF!</definedName>
    <definedName name="wSheet.Name52" localSheetId="24">#REF!</definedName>
    <definedName name="wSheet.Name52" localSheetId="104">#REF!</definedName>
    <definedName name="wSheet.Name52" localSheetId="65">#REF!</definedName>
    <definedName name="wSheet.Name52" localSheetId="64">#REF!</definedName>
    <definedName name="wSheet.Name52" localSheetId="77">#REF!</definedName>
    <definedName name="wSheet.Name52" localSheetId="49">#REF!</definedName>
    <definedName name="wSheet.Name52" localSheetId="40">#REF!</definedName>
    <definedName name="wSheet.Name52" localSheetId="43">#REF!</definedName>
    <definedName name="wSheet.Name52" localSheetId="13">#REF!</definedName>
    <definedName name="wSheet.Name52" localSheetId="38">#REF!</definedName>
    <definedName name="wSheet.Name52">#REF!</definedName>
    <definedName name="wSheet.Name53" localSheetId="3">#REF!</definedName>
    <definedName name="wSheet.Name53" localSheetId="7">#REF!</definedName>
    <definedName name="wSheet.Name53" localSheetId="9">#REF!</definedName>
    <definedName name="wSheet.Name53" localSheetId="10">#REF!</definedName>
    <definedName name="wSheet.Name53" localSheetId="15">#REF!</definedName>
    <definedName name="wSheet.Name53" localSheetId="19">#REF!</definedName>
    <definedName name="wSheet.Name53" localSheetId="20">#REF!</definedName>
    <definedName name="wSheet.Name53" localSheetId="24">#REF!</definedName>
    <definedName name="wSheet.Name53" localSheetId="104">#REF!</definedName>
    <definedName name="wSheet.Name53" localSheetId="65">#REF!</definedName>
    <definedName name="wSheet.Name53" localSheetId="64">#REF!</definedName>
    <definedName name="wSheet.Name53" localSheetId="77">#REF!</definedName>
    <definedName name="wSheet.Name53" localSheetId="49">#REF!</definedName>
    <definedName name="wSheet.Name53" localSheetId="40">#REF!</definedName>
    <definedName name="wSheet.Name53" localSheetId="43">#REF!</definedName>
    <definedName name="wSheet.Name53" localSheetId="13">#REF!</definedName>
    <definedName name="wSheet.Name53" localSheetId="38">#REF!</definedName>
    <definedName name="wSheet.Name53">#REF!</definedName>
    <definedName name="wSheet.Name54" localSheetId="3">#REF!</definedName>
    <definedName name="wSheet.Name54" localSheetId="7">#REF!</definedName>
    <definedName name="wSheet.Name54" localSheetId="9">#REF!</definedName>
    <definedName name="wSheet.Name54" localSheetId="10">#REF!</definedName>
    <definedName name="wSheet.Name54" localSheetId="15">#REF!</definedName>
    <definedName name="wSheet.Name54" localSheetId="19">#REF!</definedName>
    <definedName name="wSheet.Name54" localSheetId="20">#REF!</definedName>
    <definedName name="wSheet.Name54" localSheetId="24">#REF!</definedName>
    <definedName name="wSheet.Name54" localSheetId="104">#REF!</definedName>
    <definedName name="wSheet.Name54" localSheetId="65">#REF!</definedName>
    <definedName name="wSheet.Name54" localSheetId="64">#REF!</definedName>
    <definedName name="wSheet.Name54" localSheetId="77">#REF!</definedName>
    <definedName name="wSheet.Name54" localSheetId="49">#REF!</definedName>
    <definedName name="wSheet.Name54" localSheetId="40">#REF!</definedName>
    <definedName name="wSheet.Name54" localSheetId="43">#REF!</definedName>
    <definedName name="wSheet.Name54" localSheetId="13">#REF!</definedName>
    <definedName name="wSheet.Name54" localSheetId="38">#REF!</definedName>
    <definedName name="wSheet.Name54">#REF!</definedName>
    <definedName name="wSheet.Name55" localSheetId="3">#REF!</definedName>
    <definedName name="wSheet.Name55" localSheetId="7">#REF!</definedName>
    <definedName name="wSheet.Name55" localSheetId="9">#REF!</definedName>
    <definedName name="wSheet.Name55" localSheetId="10">#REF!</definedName>
    <definedName name="wSheet.Name55" localSheetId="15">#REF!</definedName>
    <definedName name="wSheet.Name55" localSheetId="19">#REF!</definedName>
    <definedName name="wSheet.Name55" localSheetId="20">#REF!</definedName>
    <definedName name="wSheet.Name55" localSheetId="24">#REF!</definedName>
    <definedName name="wSheet.Name55" localSheetId="104">#REF!</definedName>
    <definedName name="wSheet.Name55" localSheetId="65">#REF!</definedName>
    <definedName name="wSheet.Name55" localSheetId="64">#REF!</definedName>
    <definedName name="wSheet.Name55" localSheetId="77">#REF!</definedName>
    <definedName name="wSheet.Name55" localSheetId="49">#REF!</definedName>
    <definedName name="wSheet.Name55" localSheetId="40">#REF!</definedName>
    <definedName name="wSheet.Name55" localSheetId="43">#REF!</definedName>
    <definedName name="wSheet.Name55" localSheetId="13">#REF!</definedName>
    <definedName name="wSheet.Name55" localSheetId="38">#REF!</definedName>
    <definedName name="wSheet.Name55">#REF!</definedName>
    <definedName name="wSheet.Name56" localSheetId="3">#REF!</definedName>
    <definedName name="wSheet.Name56" localSheetId="7">#REF!</definedName>
    <definedName name="wSheet.Name56" localSheetId="9">#REF!</definedName>
    <definedName name="wSheet.Name56" localSheetId="10">#REF!</definedName>
    <definedName name="wSheet.Name56" localSheetId="15">#REF!</definedName>
    <definedName name="wSheet.Name56" localSheetId="19">#REF!</definedName>
    <definedName name="wSheet.Name56" localSheetId="20">#REF!</definedName>
    <definedName name="wSheet.Name56" localSheetId="24">#REF!</definedName>
    <definedName name="wSheet.Name56" localSheetId="104">#REF!</definedName>
    <definedName name="wSheet.Name56" localSheetId="65">#REF!</definedName>
    <definedName name="wSheet.Name56" localSheetId="64">#REF!</definedName>
    <definedName name="wSheet.Name56" localSheetId="77">#REF!</definedName>
    <definedName name="wSheet.Name56" localSheetId="49">#REF!</definedName>
    <definedName name="wSheet.Name56" localSheetId="40">#REF!</definedName>
    <definedName name="wSheet.Name56" localSheetId="43">#REF!</definedName>
    <definedName name="wSheet.Name56" localSheetId="13">#REF!</definedName>
    <definedName name="wSheet.Name56" localSheetId="38">#REF!</definedName>
    <definedName name="wSheet.Name56">#REF!</definedName>
    <definedName name="wSheet.Name57" localSheetId="3">#REF!</definedName>
    <definedName name="wSheet.Name57" localSheetId="7">#REF!</definedName>
    <definedName name="wSheet.Name57" localSheetId="9">#REF!</definedName>
    <definedName name="wSheet.Name57" localSheetId="10">#REF!</definedName>
    <definedName name="wSheet.Name57" localSheetId="15">#REF!</definedName>
    <definedName name="wSheet.Name57" localSheetId="19">#REF!</definedName>
    <definedName name="wSheet.Name57" localSheetId="20">#REF!</definedName>
    <definedName name="wSheet.Name57" localSheetId="24">#REF!</definedName>
    <definedName name="wSheet.Name57" localSheetId="104">#REF!</definedName>
    <definedName name="wSheet.Name57" localSheetId="65">#REF!</definedName>
    <definedName name="wSheet.Name57" localSheetId="64">#REF!</definedName>
    <definedName name="wSheet.Name57" localSheetId="77">#REF!</definedName>
    <definedName name="wSheet.Name57" localSheetId="49">#REF!</definedName>
    <definedName name="wSheet.Name57" localSheetId="40">#REF!</definedName>
    <definedName name="wSheet.Name57" localSheetId="43">#REF!</definedName>
    <definedName name="wSheet.Name57" localSheetId="13">#REF!</definedName>
    <definedName name="wSheet.Name57" localSheetId="38">#REF!</definedName>
    <definedName name="wSheet.Name57">#REF!</definedName>
    <definedName name="wSheet.Name58" localSheetId="3">#REF!</definedName>
    <definedName name="wSheet.Name58" localSheetId="7">#REF!</definedName>
    <definedName name="wSheet.Name58" localSheetId="9">#REF!</definedName>
    <definedName name="wSheet.Name58" localSheetId="10">#REF!</definedName>
    <definedName name="wSheet.Name58" localSheetId="15">#REF!</definedName>
    <definedName name="wSheet.Name58" localSheetId="19">#REF!</definedName>
    <definedName name="wSheet.Name58" localSheetId="20">#REF!</definedName>
    <definedName name="wSheet.Name58" localSheetId="24">#REF!</definedName>
    <definedName name="wSheet.Name58" localSheetId="104">#REF!</definedName>
    <definedName name="wSheet.Name58" localSheetId="65">#REF!</definedName>
    <definedName name="wSheet.Name58" localSheetId="64">#REF!</definedName>
    <definedName name="wSheet.Name58" localSheetId="77">#REF!</definedName>
    <definedName name="wSheet.Name58" localSheetId="49">#REF!</definedName>
    <definedName name="wSheet.Name58" localSheetId="40">#REF!</definedName>
    <definedName name="wSheet.Name58" localSheetId="43">#REF!</definedName>
    <definedName name="wSheet.Name58" localSheetId="13">#REF!</definedName>
    <definedName name="wSheet.Name58" localSheetId="38">#REF!</definedName>
    <definedName name="wSheet.Name58">#REF!</definedName>
    <definedName name="wSheet.Name59" localSheetId="3">#REF!</definedName>
    <definedName name="wSheet.Name59" localSheetId="7">#REF!</definedName>
    <definedName name="wSheet.Name59" localSheetId="9">#REF!</definedName>
    <definedName name="wSheet.Name59" localSheetId="10">#REF!</definedName>
    <definedName name="wSheet.Name59" localSheetId="15">#REF!</definedName>
    <definedName name="wSheet.Name59" localSheetId="19">#REF!</definedName>
    <definedName name="wSheet.Name59" localSheetId="20">#REF!</definedName>
    <definedName name="wSheet.Name59" localSheetId="24">#REF!</definedName>
    <definedName name="wSheet.Name59" localSheetId="104">#REF!</definedName>
    <definedName name="wSheet.Name59" localSheetId="65">#REF!</definedName>
    <definedName name="wSheet.Name59" localSheetId="64">#REF!</definedName>
    <definedName name="wSheet.Name59" localSheetId="77">#REF!</definedName>
    <definedName name="wSheet.Name59" localSheetId="49">#REF!</definedName>
    <definedName name="wSheet.Name59" localSheetId="40">#REF!</definedName>
    <definedName name="wSheet.Name59" localSheetId="43">#REF!</definedName>
    <definedName name="wSheet.Name59" localSheetId="13">#REF!</definedName>
    <definedName name="wSheet.Name59" localSheetId="38">#REF!</definedName>
    <definedName name="wSheet.Name59">#REF!</definedName>
    <definedName name="wSheet.Name6" localSheetId="3">#REF!</definedName>
    <definedName name="wSheet.Name6" localSheetId="7">#REF!</definedName>
    <definedName name="wSheet.Name6" localSheetId="9">#REF!</definedName>
    <definedName name="wSheet.Name6" localSheetId="10">#REF!</definedName>
    <definedName name="wSheet.Name6" localSheetId="15">#REF!</definedName>
    <definedName name="wSheet.Name6" localSheetId="19">#REF!</definedName>
    <definedName name="wSheet.Name6" localSheetId="20">#REF!</definedName>
    <definedName name="wSheet.Name6" localSheetId="24">#REF!</definedName>
    <definedName name="wSheet.Name6" localSheetId="104">#REF!</definedName>
    <definedName name="wSheet.Name6" localSheetId="65">#REF!</definedName>
    <definedName name="wSheet.Name6" localSheetId="64">#REF!</definedName>
    <definedName name="wSheet.Name6" localSheetId="77">#REF!</definedName>
    <definedName name="wSheet.Name6" localSheetId="49">#REF!</definedName>
    <definedName name="wSheet.Name6" localSheetId="40">#REF!</definedName>
    <definedName name="wSheet.Name6" localSheetId="43">#REF!</definedName>
    <definedName name="wSheet.Name6" localSheetId="13">#REF!</definedName>
    <definedName name="wSheet.Name6" localSheetId="38">#REF!</definedName>
    <definedName name="wSheet.Name6">#REF!</definedName>
    <definedName name="wSheet.Name60" localSheetId="3">#REF!</definedName>
    <definedName name="wSheet.Name60" localSheetId="7">#REF!</definedName>
    <definedName name="wSheet.Name60" localSheetId="9">#REF!</definedName>
    <definedName name="wSheet.Name60" localSheetId="10">#REF!</definedName>
    <definedName name="wSheet.Name60" localSheetId="15">#REF!</definedName>
    <definedName name="wSheet.Name60" localSheetId="19">#REF!</definedName>
    <definedName name="wSheet.Name60" localSheetId="20">#REF!</definedName>
    <definedName name="wSheet.Name60" localSheetId="24">#REF!</definedName>
    <definedName name="wSheet.Name60" localSheetId="104">#REF!</definedName>
    <definedName name="wSheet.Name60" localSheetId="65">#REF!</definedName>
    <definedName name="wSheet.Name60" localSheetId="64">#REF!</definedName>
    <definedName name="wSheet.Name60" localSheetId="77">#REF!</definedName>
    <definedName name="wSheet.Name60" localSheetId="49">#REF!</definedName>
    <definedName name="wSheet.Name60" localSheetId="40">#REF!</definedName>
    <definedName name="wSheet.Name60" localSheetId="43">#REF!</definedName>
    <definedName name="wSheet.Name60" localSheetId="13">#REF!</definedName>
    <definedName name="wSheet.Name60" localSheetId="38">#REF!</definedName>
    <definedName name="wSheet.Name60">#REF!</definedName>
    <definedName name="wSheet.Name61" localSheetId="3">#REF!</definedName>
    <definedName name="wSheet.Name61" localSheetId="7">#REF!</definedName>
    <definedName name="wSheet.Name61" localSheetId="9">#REF!</definedName>
    <definedName name="wSheet.Name61" localSheetId="10">#REF!</definedName>
    <definedName name="wSheet.Name61" localSheetId="15">#REF!</definedName>
    <definedName name="wSheet.Name61" localSheetId="19">#REF!</definedName>
    <definedName name="wSheet.Name61" localSheetId="20">#REF!</definedName>
    <definedName name="wSheet.Name61" localSheetId="24">#REF!</definedName>
    <definedName name="wSheet.Name61" localSheetId="104">#REF!</definedName>
    <definedName name="wSheet.Name61" localSheetId="65">#REF!</definedName>
    <definedName name="wSheet.Name61" localSheetId="64">#REF!</definedName>
    <definedName name="wSheet.Name61" localSheetId="77">#REF!</definedName>
    <definedName name="wSheet.Name61" localSheetId="49">#REF!</definedName>
    <definedName name="wSheet.Name61" localSheetId="40">#REF!</definedName>
    <definedName name="wSheet.Name61" localSheetId="43">#REF!</definedName>
    <definedName name="wSheet.Name61" localSheetId="13">#REF!</definedName>
    <definedName name="wSheet.Name61" localSheetId="38">#REF!</definedName>
    <definedName name="wSheet.Name61">#REF!</definedName>
    <definedName name="wSheet.Name64" localSheetId="3">#REF!</definedName>
    <definedName name="wSheet.Name64" localSheetId="7">#REF!</definedName>
    <definedName name="wSheet.Name64" localSheetId="9">#REF!</definedName>
    <definedName name="wSheet.Name64" localSheetId="10">#REF!</definedName>
    <definedName name="wSheet.Name64" localSheetId="15">#REF!</definedName>
    <definedName name="wSheet.Name64" localSheetId="19">#REF!</definedName>
    <definedName name="wSheet.Name64" localSheetId="20">#REF!</definedName>
    <definedName name="wSheet.Name64" localSheetId="24">#REF!</definedName>
    <definedName name="wSheet.Name64" localSheetId="104">#REF!</definedName>
    <definedName name="wSheet.Name64" localSheetId="65">#REF!</definedName>
    <definedName name="wSheet.Name64" localSheetId="64">#REF!</definedName>
    <definedName name="wSheet.Name64" localSheetId="77">#REF!</definedName>
    <definedName name="wSheet.Name64" localSheetId="49">#REF!</definedName>
    <definedName name="wSheet.Name64" localSheetId="40">#REF!</definedName>
    <definedName name="wSheet.Name64" localSheetId="43">#REF!</definedName>
    <definedName name="wSheet.Name64" localSheetId="13">#REF!</definedName>
    <definedName name="wSheet.Name64" localSheetId="38">#REF!</definedName>
    <definedName name="wSheet.Name64">#REF!</definedName>
    <definedName name="wSheet.Name68" localSheetId="3">#REF!</definedName>
    <definedName name="wSheet.Name68" localSheetId="7">#REF!</definedName>
    <definedName name="wSheet.Name68" localSheetId="9">#REF!</definedName>
    <definedName name="wSheet.Name68" localSheetId="10">#REF!</definedName>
    <definedName name="wSheet.Name68" localSheetId="15">#REF!</definedName>
    <definedName name="wSheet.Name68" localSheetId="19">#REF!</definedName>
    <definedName name="wSheet.Name68" localSheetId="20">#REF!</definedName>
    <definedName name="wSheet.Name68" localSheetId="24">#REF!</definedName>
    <definedName name="wSheet.Name68" localSheetId="104">#REF!</definedName>
    <definedName name="wSheet.Name68" localSheetId="65">#REF!</definedName>
    <definedName name="wSheet.Name68" localSheetId="64">#REF!</definedName>
    <definedName name="wSheet.Name68" localSheetId="77">#REF!</definedName>
    <definedName name="wSheet.Name68" localSheetId="49">#REF!</definedName>
    <definedName name="wSheet.Name68" localSheetId="40">#REF!</definedName>
    <definedName name="wSheet.Name68" localSheetId="43">#REF!</definedName>
    <definedName name="wSheet.Name68" localSheetId="13">#REF!</definedName>
    <definedName name="wSheet.Name68" localSheetId="38">#REF!</definedName>
    <definedName name="wSheet.Name68">#REF!</definedName>
    <definedName name="wSheet.Name7" localSheetId="3">#REF!</definedName>
    <definedName name="wSheet.Name7" localSheetId="7">#REF!</definedName>
    <definedName name="wSheet.Name7" localSheetId="9">#REF!</definedName>
    <definedName name="wSheet.Name7" localSheetId="10">#REF!</definedName>
    <definedName name="wSheet.Name7" localSheetId="15">#REF!</definedName>
    <definedName name="wSheet.Name7" localSheetId="19">#REF!</definedName>
    <definedName name="wSheet.Name7" localSheetId="20">#REF!</definedName>
    <definedName name="wSheet.Name7" localSheetId="24">#REF!</definedName>
    <definedName name="wSheet.Name7" localSheetId="104">#REF!</definedName>
    <definedName name="wSheet.Name7" localSheetId="65">#REF!</definedName>
    <definedName name="wSheet.Name7" localSheetId="64">#REF!</definedName>
    <definedName name="wSheet.Name7" localSheetId="77">#REF!</definedName>
    <definedName name="wSheet.Name7" localSheetId="49">#REF!</definedName>
    <definedName name="wSheet.Name7" localSheetId="40">#REF!</definedName>
    <definedName name="wSheet.Name7" localSheetId="43">#REF!</definedName>
    <definedName name="wSheet.Name7" localSheetId="13">#REF!</definedName>
    <definedName name="wSheet.Name7" localSheetId="38">#REF!</definedName>
    <definedName name="wSheet.Name7">#REF!</definedName>
    <definedName name="wSheet.Name77" localSheetId="3">#REF!</definedName>
    <definedName name="wSheet.Name77" localSheetId="7">#REF!</definedName>
    <definedName name="wSheet.Name77" localSheetId="9">#REF!</definedName>
    <definedName name="wSheet.Name77" localSheetId="10">#REF!</definedName>
    <definedName name="wSheet.Name77" localSheetId="15">#REF!</definedName>
    <definedName name="wSheet.Name77" localSheetId="19">#REF!</definedName>
    <definedName name="wSheet.Name77" localSheetId="20">#REF!</definedName>
    <definedName name="wSheet.Name77" localSheetId="24">#REF!</definedName>
    <definedName name="wSheet.Name77" localSheetId="104">#REF!</definedName>
    <definedName name="wSheet.Name77" localSheetId="65">#REF!</definedName>
    <definedName name="wSheet.Name77" localSheetId="64">#REF!</definedName>
    <definedName name="wSheet.Name77" localSheetId="77">#REF!</definedName>
    <definedName name="wSheet.Name77" localSheetId="49">#REF!</definedName>
    <definedName name="wSheet.Name77" localSheetId="40">#REF!</definedName>
    <definedName name="wSheet.Name77" localSheetId="43">#REF!</definedName>
    <definedName name="wSheet.Name77" localSheetId="13">#REF!</definedName>
    <definedName name="wSheet.Name77" localSheetId="38">#REF!</definedName>
    <definedName name="wSheet.Name77">#REF!</definedName>
    <definedName name="wSheet.Name87" localSheetId="3">#REF!</definedName>
    <definedName name="wSheet.Name87" localSheetId="7">#REF!</definedName>
    <definedName name="wSheet.Name87" localSheetId="9">#REF!</definedName>
    <definedName name="wSheet.Name87" localSheetId="10">#REF!</definedName>
    <definedName name="wSheet.Name87" localSheetId="15">#REF!</definedName>
    <definedName name="wSheet.Name87" localSheetId="19">#REF!</definedName>
    <definedName name="wSheet.Name87" localSheetId="20">#REF!</definedName>
    <definedName name="wSheet.Name87" localSheetId="24">#REF!</definedName>
    <definedName name="wSheet.Name87" localSheetId="104">#REF!</definedName>
    <definedName name="wSheet.Name87" localSheetId="65">#REF!</definedName>
    <definedName name="wSheet.Name87" localSheetId="64">#REF!</definedName>
    <definedName name="wSheet.Name87" localSheetId="77">#REF!</definedName>
    <definedName name="wSheet.Name87" localSheetId="49">#REF!</definedName>
    <definedName name="wSheet.Name87" localSheetId="40">#REF!</definedName>
    <definedName name="wSheet.Name87" localSheetId="43">#REF!</definedName>
    <definedName name="wSheet.Name87" localSheetId="13">#REF!</definedName>
    <definedName name="wSheet.Name87" localSheetId="38">#REF!</definedName>
    <definedName name="wSheet.Name87">#REF!</definedName>
    <definedName name="wSheet.Name88" localSheetId="3">#REF!</definedName>
    <definedName name="wSheet.Name88" localSheetId="7">#REF!</definedName>
    <definedName name="wSheet.Name88" localSheetId="9">#REF!</definedName>
    <definedName name="wSheet.Name88" localSheetId="10">#REF!</definedName>
    <definedName name="wSheet.Name88" localSheetId="15">#REF!</definedName>
    <definedName name="wSheet.Name88" localSheetId="19">#REF!</definedName>
    <definedName name="wSheet.Name88" localSheetId="20">#REF!</definedName>
    <definedName name="wSheet.Name88" localSheetId="24">#REF!</definedName>
    <definedName name="wSheet.Name88" localSheetId="104">#REF!</definedName>
    <definedName name="wSheet.Name88" localSheetId="65">#REF!</definedName>
    <definedName name="wSheet.Name88" localSheetId="64">#REF!</definedName>
    <definedName name="wSheet.Name88" localSheetId="77">#REF!</definedName>
    <definedName name="wSheet.Name88" localSheetId="49">#REF!</definedName>
    <definedName name="wSheet.Name88" localSheetId="40">#REF!</definedName>
    <definedName name="wSheet.Name88" localSheetId="43">#REF!</definedName>
    <definedName name="wSheet.Name88" localSheetId="13">#REF!</definedName>
    <definedName name="wSheet.Name88" localSheetId="38">#REF!</definedName>
    <definedName name="wSheet.Name88">#REF!</definedName>
    <definedName name="wSheet.Name89" localSheetId="3">#REF!</definedName>
    <definedName name="wSheet.Name89" localSheetId="7">#REF!</definedName>
    <definedName name="wSheet.Name89" localSheetId="9">#REF!</definedName>
    <definedName name="wSheet.Name89" localSheetId="10">#REF!</definedName>
    <definedName name="wSheet.Name89" localSheetId="15">#REF!</definedName>
    <definedName name="wSheet.Name89" localSheetId="19">#REF!</definedName>
    <definedName name="wSheet.Name89" localSheetId="20">#REF!</definedName>
    <definedName name="wSheet.Name89" localSheetId="24">#REF!</definedName>
    <definedName name="wSheet.Name89" localSheetId="104">#REF!</definedName>
    <definedName name="wSheet.Name89" localSheetId="65">#REF!</definedName>
    <definedName name="wSheet.Name89" localSheetId="64">#REF!</definedName>
    <definedName name="wSheet.Name89" localSheetId="77">#REF!</definedName>
    <definedName name="wSheet.Name89" localSheetId="49">#REF!</definedName>
    <definedName name="wSheet.Name89" localSheetId="40">#REF!</definedName>
    <definedName name="wSheet.Name89" localSheetId="43">#REF!</definedName>
    <definedName name="wSheet.Name89" localSheetId="13">#REF!</definedName>
    <definedName name="wSheet.Name89" localSheetId="38">#REF!</definedName>
    <definedName name="wSheet.Name89">#REF!</definedName>
    <definedName name="wSheet.Name91" localSheetId="3">#REF!</definedName>
    <definedName name="wSheet.Name91" localSheetId="7">#REF!</definedName>
    <definedName name="wSheet.Name91" localSheetId="9">#REF!</definedName>
    <definedName name="wSheet.Name91" localSheetId="10">#REF!</definedName>
    <definedName name="wSheet.Name91" localSheetId="15">#REF!</definedName>
    <definedName name="wSheet.Name91" localSheetId="19">#REF!</definedName>
    <definedName name="wSheet.Name91" localSheetId="20">#REF!</definedName>
    <definedName name="wSheet.Name91" localSheetId="24">#REF!</definedName>
    <definedName name="wSheet.Name91" localSheetId="104">#REF!</definedName>
    <definedName name="wSheet.Name91" localSheetId="65">#REF!</definedName>
    <definedName name="wSheet.Name91" localSheetId="64">#REF!</definedName>
    <definedName name="wSheet.Name91" localSheetId="77">#REF!</definedName>
    <definedName name="wSheet.Name91" localSheetId="49">#REF!</definedName>
    <definedName name="wSheet.Name91" localSheetId="40">#REF!</definedName>
    <definedName name="wSheet.Name91" localSheetId="43">#REF!</definedName>
    <definedName name="wSheet.Name91" localSheetId="13">#REF!</definedName>
    <definedName name="wSheet.Name91" localSheetId="38">#REF!</definedName>
    <definedName name="wSheet.Name91">#REF!</definedName>
    <definedName name="wtperc_or_volperc" localSheetId="3">#REF!</definedName>
    <definedName name="wtperc_or_volperc" localSheetId="7">#REF!</definedName>
    <definedName name="wtperc_or_volperc" localSheetId="9">#REF!</definedName>
    <definedName name="wtperc_or_volperc" localSheetId="10">#REF!</definedName>
    <definedName name="wtperc_or_volperc" localSheetId="15">#REF!</definedName>
    <definedName name="wtperc_or_volperc" localSheetId="19">#REF!</definedName>
    <definedName name="wtperc_or_volperc" localSheetId="20">#REF!</definedName>
    <definedName name="wtperc_or_volperc" localSheetId="24">#REF!</definedName>
    <definedName name="wtperc_or_volperc" localSheetId="104">#REF!</definedName>
    <definedName name="wtperc_or_volperc" localSheetId="65">#REF!</definedName>
    <definedName name="wtperc_or_volperc" localSheetId="64">#REF!</definedName>
    <definedName name="wtperc_or_volperc" localSheetId="77">#REF!</definedName>
    <definedName name="wtperc_or_volperc" localSheetId="49">#REF!</definedName>
    <definedName name="wtperc_or_volperc" localSheetId="40">#REF!</definedName>
    <definedName name="wtperc_or_volperc" localSheetId="43">#REF!</definedName>
    <definedName name="wtperc_or_volperc" localSheetId="13">#REF!</definedName>
    <definedName name="wtperc_or_volperc" localSheetId="38">#REF!</definedName>
    <definedName name="wtperc_or_volperc">#REF!</definedName>
    <definedName name="Wv" localSheetId="3">#REF!</definedName>
    <definedName name="Wv" localSheetId="7">#REF!</definedName>
    <definedName name="Wv" localSheetId="9">#REF!</definedName>
    <definedName name="Wv" localSheetId="10">#REF!</definedName>
    <definedName name="Wv" localSheetId="15">#REF!</definedName>
    <definedName name="Wv" localSheetId="19">#REF!</definedName>
    <definedName name="Wv" localSheetId="20">#REF!</definedName>
    <definedName name="Wv" localSheetId="24">#REF!</definedName>
    <definedName name="Wv" localSheetId="104">#REF!</definedName>
    <definedName name="Wv" localSheetId="65">#REF!</definedName>
    <definedName name="Wv" localSheetId="64">#REF!</definedName>
    <definedName name="Wv" localSheetId="77">#REF!</definedName>
    <definedName name="Wv" localSheetId="49">#REF!</definedName>
    <definedName name="Wv" localSheetId="40">#REF!</definedName>
    <definedName name="Wv" localSheetId="43">#REF!</definedName>
    <definedName name="Wv" localSheetId="13">#REF!</definedName>
    <definedName name="Wv" localSheetId="38">#REF!</definedName>
    <definedName name="Wv">#REF!</definedName>
    <definedName name="wvu.Detailed." localSheetId="105"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localSheetId="96"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localSheetId="44"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_.and._.Summary." localSheetId="105"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localSheetId="96"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localSheetId="44"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Summary." localSheetId="105"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localSheetId="96"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localSheetId="44"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WTP" localSheetId="3">#REF!</definedName>
    <definedName name="WWTP" localSheetId="7">#REF!</definedName>
    <definedName name="WWTP" localSheetId="9">#REF!</definedName>
    <definedName name="WWTP" localSheetId="10">#REF!</definedName>
    <definedName name="WWTP" localSheetId="15">#REF!</definedName>
    <definedName name="WWTP" localSheetId="19">#REF!</definedName>
    <definedName name="WWTP" localSheetId="20">#REF!</definedName>
    <definedName name="WWTP" localSheetId="24">#REF!</definedName>
    <definedName name="WWTP" localSheetId="104">#REF!</definedName>
    <definedName name="WWTP" localSheetId="65">#REF!</definedName>
    <definedName name="WWTP" localSheetId="64">#REF!</definedName>
    <definedName name="WWTP" localSheetId="77">#REF!</definedName>
    <definedName name="WWTP" localSheetId="49">#REF!</definedName>
    <definedName name="WWTP" localSheetId="40">#REF!</definedName>
    <definedName name="WWTP" localSheetId="43">#REF!</definedName>
    <definedName name="WWTP" localSheetId="13">#REF!</definedName>
    <definedName name="WWTP" localSheetId="38">#REF!</definedName>
    <definedName name="WWTP">#REF!</definedName>
    <definedName name="wwww" localSheetId="3" hidden="1">[1]LOAD!#REF!</definedName>
    <definedName name="wwww" localSheetId="7" hidden="1">[1]LOAD!#REF!</definedName>
    <definedName name="wwww" localSheetId="9" hidden="1">[1]LOAD!#REF!</definedName>
    <definedName name="wwww" localSheetId="10" hidden="1">[1]LOAD!#REF!</definedName>
    <definedName name="wwww" localSheetId="15" hidden="1">[1]LOAD!#REF!</definedName>
    <definedName name="wwww" localSheetId="18" hidden="1">[1]LOAD!#REF!</definedName>
    <definedName name="wwww" localSheetId="19" hidden="1">[1]LOAD!#REF!</definedName>
    <definedName name="wwww" localSheetId="20" hidden="1">[1]LOAD!#REF!</definedName>
    <definedName name="wwww" localSheetId="23" hidden="1">[1]LOAD!#REF!</definedName>
    <definedName name="wwww" localSheetId="24" hidden="1">[1]LOAD!#REF!</definedName>
    <definedName name="wwww" localSheetId="35" hidden="1">[1]LOAD!#REF!</definedName>
    <definedName name="wwww" localSheetId="58" hidden="1">[1]LOAD!#REF!</definedName>
    <definedName name="wwww" localSheetId="60" hidden="1">[1]LOAD!#REF!</definedName>
    <definedName name="wwww" localSheetId="51" hidden="1">[1]LOAD!#REF!</definedName>
    <definedName name="wwww" localSheetId="54" hidden="1">[1]LOAD!#REF!</definedName>
    <definedName name="wwww" localSheetId="47" hidden="1">[1]LOAD!#REF!</definedName>
    <definedName name="wwww" localSheetId="104" hidden="1">[1]LOAD!#REF!</definedName>
    <definedName name="wwww" localSheetId="88" hidden="1">[1]LOAD!#REF!</definedName>
    <definedName name="wwww" localSheetId="89" hidden="1">[1]LOAD!#REF!</definedName>
    <definedName name="wwww" localSheetId="87" hidden="1">[1]LOAD!#REF!</definedName>
    <definedName name="wwww" localSheetId="90" hidden="1">[1]LOAD!#REF!</definedName>
    <definedName name="wwww" localSheetId="70" hidden="1">[1]LOAD!#REF!</definedName>
    <definedName name="wwww" localSheetId="65" hidden="1">[1]LOAD!#REF!</definedName>
    <definedName name="wwww" localSheetId="64" hidden="1">[1]LOAD!#REF!</definedName>
    <definedName name="wwww" localSheetId="77" hidden="1">[1]LOAD!#REF!</definedName>
    <definedName name="wwww" localSheetId="49" hidden="1">[1]LOAD!#REF!</definedName>
    <definedName name="wwww" localSheetId="48" hidden="1">[1]LOAD!#REF!</definedName>
    <definedName name="wwww" localSheetId="57" hidden="1">[1]LOAD!#REF!</definedName>
    <definedName name="wwww" localSheetId="59" hidden="1">[1]LOAD!#REF!</definedName>
    <definedName name="wwww" localSheetId="80" hidden="1">[1]LOAD!#REF!</definedName>
    <definedName name="wwww" localSheetId="40" hidden="1">[1]LOAD!#REF!</definedName>
    <definedName name="wwww" localSheetId="43" hidden="1">[1]LOAD!#REF!</definedName>
    <definedName name="wwww" localSheetId="55" hidden="1">[1]LOAD!#REF!</definedName>
    <definedName name="wwww" localSheetId="81" hidden="1">[1]LOAD!#REF!</definedName>
    <definedName name="wwww" localSheetId="13" hidden="1">[1]LOAD!#REF!</definedName>
    <definedName name="wwww" localSheetId="11" hidden="1">[1]LOAD!#REF!</definedName>
    <definedName name="wwww" localSheetId="38" hidden="1">[1]LOAD!#REF!</definedName>
    <definedName name="wwww" localSheetId="41" hidden="1">[1]LOAD!#REF!</definedName>
    <definedName name="wwww" localSheetId="101" hidden="1">[1]LOAD!#REF!</definedName>
    <definedName name="wwww" localSheetId="102" hidden="1">[1]LOAD!#REF!</definedName>
    <definedName name="wwww" localSheetId="103" hidden="1">[1]LOAD!#REF!</definedName>
    <definedName name="wwww" localSheetId="97" hidden="1">[1]LOAD!#REF!</definedName>
    <definedName name="wwww" localSheetId="42" hidden="1">[1]LOAD!#REF!</definedName>
    <definedName name="wwww" localSheetId="12" hidden="1">[1]LOAD!#REF!</definedName>
    <definedName name="wwww" localSheetId="73" hidden="1">[1]LOAD!#REF!</definedName>
    <definedName name="wwww" localSheetId="74" hidden="1">[1]LOAD!#REF!</definedName>
    <definedName name="wwww" hidden="1">[1]LOAD!#REF!</definedName>
    <definedName name="x">#N/A</definedName>
    <definedName name="X_1" localSheetId="3">'[4]Process Tanks'!#REF!</definedName>
    <definedName name="X_1" localSheetId="7">'[4]Process Tanks'!#REF!</definedName>
    <definedName name="X_1" localSheetId="9">'[4]Process Tanks'!#REF!</definedName>
    <definedName name="X_1" localSheetId="10">'[4]Process Tanks'!#REF!</definedName>
    <definedName name="X_1" localSheetId="15">'[4]Process Tanks'!#REF!</definedName>
    <definedName name="X_1" localSheetId="19">'[4]Process Tanks'!#REF!</definedName>
    <definedName name="X_1" localSheetId="20">'[4]Process Tanks'!#REF!</definedName>
    <definedName name="X_1" localSheetId="24">'[4]Process Tanks'!#REF!</definedName>
    <definedName name="X_1" localSheetId="104">'[4]Process Tanks'!#REF!</definedName>
    <definedName name="X_1" localSheetId="75">'[4]Process Tanks'!#REF!</definedName>
    <definedName name="X_1" localSheetId="65">'[4]Process Tanks'!#REF!</definedName>
    <definedName name="X_1" localSheetId="64">'[4]Process Tanks'!#REF!</definedName>
    <definedName name="X_1" localSheetId="77">'[4]Process Tanks'!#REF!</definedName>
    <definedName name="X_1" localSheetId="49">'[4]Process Tanks'!#REF!</definedName>
    <definedName name="X_1" localSheetId="48">'[4]Process Tanks'!#REF!</definedName>
    <definedName name="X_1" localSheetId="40">'[4]Process Tanks'!#REF!</definedName>
    <definedName name="X_1" localSheetId="43">'[4]Process Tanks'!#REF!</definedName>
    <definedName name="X_1" localSheetId="13">'[4]Process Tanks'!#REF!</definedName>
    <definedName name="X_1" localSheetId="38">'[4]Process Tanks'!#REF!</definedName>
    <definedName name="X_1">'[4]Process Tanks'!#REF!</definedName>
    <definedName name="X_2" localSheetId="3">'[4]Process Tanks'!#REF!</definedName>
    <definedName name="X_2" localSheetId="7">'[4]Process Tanks'!#REF!</definedName>
    <definedName name="X_2" localSheetId="9">'[4]Process Tanks'!#REF!</definedName>
    <definedName name="X_2" localSheetId="10">'[4]Process Tanks'!#REF!</definedName>
    <definedName name="X_2" localSheetId="15">'[4]Process Tanks'!#REF!</definedName>
    <definedName name="X_2" localSheetId="19">'[4]Process Tanks'!#REF!</definedName>
    <definedName name="X_2" localSheetId="20">'[4]Process Tanks'!#REF!</definedName>
    <definedName name="X_2" localSheetId="24">'[4]Process Tanks'!#REF!</definedName>
    <definedName name="X_2" localSheetId="104">'[4]Process Tanks'!#REF!</definedName>
    <definedName name="X_2" localSheetId="75">'[4]Process Tanks'!#REF!</definedName>
    <definedName name="X_2" localSheetId="65">'[4]Process Tanks'!#REF!</definedName>
    <definedName name="X_2" localSheetId="64">'[4]Process Tanks'!#REF!</definedName>
    <definedName name="X_2" localSheetId="77">'[4]Process Tanks'!#REF!</definedName>
    <definedName name="X_2" localSheetId="49">'[4]Process Tanks'!#REF!</definedName>
    <definedName name="X_2" localSheetId="48">'[4]Process Tanks'!#REF!</definedName>
    <definedName name="X_2" localSheetId="40">'[4]Process Tanks'!#REF!</definedName>
    <definedName name="X_2" localSheetId="43">'[4]Process Tanks'!#REF!</definedName>
    <definedName name="X_2" localSheetId="13">'[4]Process Tanks'!#REF!</definedName>
    <definedName name="X_2" localSheetId="38">'[4]Process Tanks'!#REF!</definedName>
    <definedName name="X_2">'[4]Process Tanks'!#REF!</definedName>
    <definedName name="XAxisTitle">"Edit Box 32"</definedName>
    <definedName name="XFERA" localSheetId="3">#REF!</definedName>
    <definedName name="XFERA" localSheetId="7">#REF!</definedName>
    <definedName name="XFERA" localSheetId="9">#REF!</definedName>
    <definedName name="XFERA" localSheetId="10">#REF!</definedName>
    <definedName name="XFERA" localSheetId="15">#REF!</definedName>
    <definedName name="XFERA" localSheetId="19">#REF!</definedName>
    <definedName name="XFERA" localSheetId="20">#REF!</definedName>
    <definedName name="XFERA" localSheetId="24">#REF!</definedName>
    <definedName name="XFERA" localSheetId="104">#REF!</definedName>
    <definedName name="XFERA" localSheetId="65">#REF!</definedName>
    <definedName name="XFERA" localSheetId="64">#REF!</definedName>
    <definedName name="XFERA" localSheetId="77">#REF!</definedName>
    <definedName name="XFERA" localSheetId="49">#REF!</definedName>
    <definedName name="XFERA" localSheetId="40">#REF!</definedName>
    <definedName name="XFERA" localSheetId="43">#REF!</definedName>
    <definedName name="XFERA" localSheetId="13">#REF!</definedName>
    <definedName name="XFERA" localSheetId="38">#REF!</definedName>
    <definedName name="XFERA">#REF!</definedName>
    <definedName name="XFERC" localSheetId="3">#REF!</definedName>
    <definedName name="XFERC" localSheetId="7">#REF!</definedName>
    <definedName name="XFERC" localSheetId="9">#REF!</definedName>
    <definedName name="XFERC" localSheetId="10">#REF!</definedName>
    <definedName name="XFERC" localSheetId="15">#REF!</definedName>
    <definedName name="XFERC" localSheetId="19">#REF!</definedName>
    <definedName name="XFERC" localSheetId="20">#REF!</definedName>
    <definedName name="XFERC" localSheetId="24">#REF!</definedName>
    <definedName name="XFERC" localSheetId="104">#REF!</definedName>
    <definedName name="XFERC" localSheetId="65">#REF!</definedName>
    <definedName name="XFERC" localSheetId="64">#REF!</definedName>
    <definedName name="XFERC" localSheetId="77">#REF!</definedName>
    <definedName name="XFERC" localSheetId="49">#REF!</definedName>
    <definedName name="XFERC" localSheetId="40">#REF!</definedName>
    <definedName name="XFERC" localSheetId="43">#REF!</definedName>
    <definedName name="XFERC" localSheetId="13">#REF!</definedName>
    <definedName name="XFERC" localSheetId="38">#REF!</definedName>
    <definedName name="XFERC">#REF!</definedName>
    <definedName name="XXStd" localSheetId="3">#REF!</definedName>
    <definedName name="XXStd" localSheetId="7">#REF!</definedName>
    <definedName name="XXStd" localSheetId="9">#REF!</definedName>
    <definedName name="XXStd" localSheetId="10">#REF!</definedName>
    <definedName name="XXStd" localSheetId="15">#REF!</definedName>
    <definedName name="XXStd" localSheetId="19">#REF!</definedName>
    <definedName name="XXStd" localSheetId="20">#REF!</definedName>
    <definedName name="XXStd" localSheetId="24">#REF!</definedName>
    <definedName name="XXStd" localSheetId="104">#REF!</definedName>
    <definedName name="XXStd" localSheetId="65">#REF!</definedName>
    <definedName name="XXStd" localSheetId="64">#REF!</definedName>
    <definedName name="XXStd" localSheetId="77">#REF!</definedName>
    <definedName name="XXStd" localSheetId="49">#REF!</definedName>
    <definedName name="XXStd" localSheetId="40">#REF!</definedName>
    <definedName name="XXStd" localSheetId="43">#REF!</definedName>
    <definedName name="XXStd" localSheetId="13">#REF!</definedName>
    <definedName name="XXStd" localSheetId="38">#REF!</definedName>
    <definedName name="XXStd">#REF!</definedName>
    <definedName name="xxx" localSheetId="105" hidden="1">{#N/A,#N/A,FALSE,"F1-Currrent";#N/A,#N/A,FALSE,"F2-Current";#N/A,#N/A,FALSE,"F2-Proposed";#N/A,#N/A,FALSE,"F3-Current";#N/A,#N/A,FALSE,"F4-Current";#N/A,#N/A,FALSE,"F4-Proposed";#N/A,#N/A,FALSE,"Controls"}</definedName>
    <definedName name="xxx" localSheetId="96" hidden="1">{#N/A,#N/A,FALSE,"F1-Currrent";#N/A,#N/A,FALSE,"F2-Current";#N/A,#N/A,FALSE,"F2-Proposed";#N/A,#N/A,FALSE,"F3-Current";#N/A,#N/A,FALSE,"F4-Current";#N/A,#N/A,FALSE,"F4-Proposed";#N/A,#N/A,FALSE,"Controls"}</definedName>
    <definedName name="xxx" localSheetId="44" hidden="1">{#N/A,#N/A,FALSE,"F1-Currrent";#N/A,#N/A,FALSE,"F2-Current";#N/A,#N/A,FALSE,"F2-Proposed";#N/A,#N/A,FALSE,"F3-Current";#N/A,#N/A,FALSE,"F4-Current";#N/A,#N/A,FALSE,"F4-Proposed";#N/A,#N/A,FALSE,"Controls"}</definedName>
    <definedName name="xxx" hidden="1">{#N/A,#N/A,FALSE,"F1-Currrent";#N/A,#N/A,FALSE,"F2-Current";#N/A,#N/A,FALSE,"F2-Proposed";#N/A,#N/A,FALSE,"F3-Current";#N/A,#N/A,FALSE,"F4-Current";#N/A,#N/A,FALSE,"F4-Proposed";#N/A,#N/A,FALSE,"Controls"}</definedName>
    <definedName name="xxxxxx" localSheetId="105" hidden="1">{"Detailed",#N/A,FALSE,"GAS-COMB";"Summary",#N/A,FALSE,"GAS-COMB"}</definedName>
    <definedName name="xxxxxx" localSheetId="96" hidden="1">{"Detailed",#N/A,FALSE,"GAS-COMB";"Summary",#N/A,FALSE,"GAS-COMB"}</definedName>
    <definedName name="xxxxxx" localSheetId="44" hidden="1">{"Detailed",#N/A,FALSE,"GAS-COMB";"Summary",#N/A,FALSE,"GAS-COMB"}</definedName>
    <definedName name="xxxxxx" hidden="1">{"Detailed",#N/A,FALSE,"GAS-COMB";"Summary",#N/A,FALSE,"GAS-COMB"}</definedName>
    <definedName name="xxxxxxxxxxxxxxxxxxxxx">#N/A</definedName>
    <definedName name="xxxxxxxxxxxxxxxxxxxxxx" localSheetId="105" hidden="1">{#N/A,#N/A,FALSE,"F1-Currrent";#N/A,#N/A,FALSE,"F2-Current";#N/A,#N/A,FALSE,"F2-Proposed";#N/A,#N/A,FALSE,"F3-Current";#N/A,#N/A,FALSE,"F4-Current";#N/A,#N/A,FALSE,"F4-Proposed";#N/A,#N/A,FALSE,"Controls"}</definedName>
    <definedName name="xxxxxxxxxxxxxxxxxxxxxx" localSheetId="96" hidden="1">{#N/A,#N/A,FALSE,"F1-Currrent";#N/A,#N/A,FALSE,"F2-Current";#N/A,#N/A,FALSE,"F2-Proposed";#N/A,#N/A,FALSE,"F3-Current";#N/A,#N/A,FALSE,"F4-Current";#N/A,#N/A,FALSE,"F4-Proposed";#N/A,#N/A,FALSE,"Controls"}</definedName>
    <definedName name="xxxxxxxxxxxxxxxxxxxxxx" localSheetId="44" hidden="1">{#N/A,#N/A,FALSE,"F1-Currrent";#N/A,#N/A,FALSE,"F2-Current";#N/A,#N/A,FALSE,"F2-Proposed";#N/A,#N/A,FALSE,"F3-Current";#N/A,#N/A,FALSE,"F4-Current";#N/A,#N/A,FALSE,"F4-Proposed";#N/A,#N/A,FALSE,"Controls"}</definedName>
    <definedName name="xxxxxxxxxxxxxxxxxxxxxx" hidden="1">{#N/A,#N/A,FALSE,"F1-Currrent";#N/A,#N/A,FALSE,"F2-Current";#N/A,#N/A,FALSE,"F2-Proposed";#N/A,#N/A,FALSE,"F3-Current";#N/A,#N/A,FALSE,"F4-Current";#N/A,#N/A,FALSE,"F4-Proposed";#N/A,#N/A,FALSE,"Controls"}</definedName>
    <definedName name="XYLE_Gas" localSheetId="3">#REF!</definedName>
    <definedName name="XYLE_Gas" localSheetId="7">#REF!</definedName>
    <definedName name="XYLE_Gas" localSheetId="9">#REF!</definedName>
    <definedName name="XYLE_Gas" localSheetId="10">#REF!</definedName>
    <definedName name="XYLE_Gas" localSheetId="15">#REF!</definedName>
    <definedName name="XYLE_Gas" localSheetId="19">#REF!</definedName>
    <definedName name="XYLE_Gas" localSheetId="20">#REF!</definedName>
    <definedName name="XYLE_Gas" localSheetId="24">#REF!</definedName>
    <definedName name="XYLE_Gas" localSheetId="104">#REF!</definedName>
    <definedName name="XYLE_Gas" localSheetId="65">#REF!</definedName>
    <definedName name="XYLE_Gas" localSheetId="64">#REF!</definedName>
    <definedName name="XYLE_Gas" localSheetId="77">#REF!</definedName>
    <definedName name="XYLE_Gas" localSheetId="49">#REF!</definedName>
    <definedName name="XYLE_Gas" localSheetId="40">#REF!</definedName>
    <definedName name="XYLE_Gas" localSheetId="43">#REF!</definedName>
    <definedName name="XYLE_Gas" localSheetId="13">#REF!</definedName>
    <definedName name="XYLE_Gas" localSheetId="38">#REF!</definedName>
    <definedName name="XYLE_Gas">#REF!</definedName>
    <definedName name="XYLE_Liq" localSheetId="3">#REF!</definedName>
    <definedName name="XYLE_Liq" localSheetId="7">#REF!</definedName>
    <definedName name="XYLE_Liq" localSheetId="9">#REF!</definedName>
    <definedName name="XYLE_Liq" localSheetId="10">#REF!</definedName>
    <definedName name="XYLE_Liq" localSheetId="15">#REF!</definedName>
    <definedName name="XYLE_Liq" localSheetId="19">#REF!</definedName>
    <definedName name="XYLE_Liq" localSheetId="20">#REF!</definedName>
    <definedName name="XYLE_Liq" localSheetId="24">#REF!</definedName>
    <definedName name="XYLE_Liq" localSheetId="104">#REF!</definedName>
    <definedName name="XYLE_Liq" localSheetId="65">#REF!</definedName>
    <definedName name="XYLE_Liq" localSheetId="64">#REF!</definedName>
    <definedName name="XYLE_Liq" localSheetId="77">#REF!</definedName>
    <definedName name="XYLE_Liq" localSheetId="49">#REF!</definedName>
    <definedName name="XYLE_Liq" localSheetId="40">#REF!</definedName>
    <definedName name="XYLE_Liq" localSheetId="43">#REF!</definedName>
    <definedName name="XYLE_Liq" localSheetId="13">#REF!</definedName>
    <definedName name="XYLE_Liq" localSheetId="38">#REF!</definedName>
    <definedName name="XYLE_Liq">#REF!</definedName>
    <definedName name="y" localSheetId="3">'Generator Insig'!#REF!</definedName>
    <definedName name="y" localSheetId="7">'Generator Insig'!#REF!</definedName>
    <definedName name="y" localSheetId="9">'Generator Insig'!#REF!</definedName>
    <definedName name="y" localSheetId="10">'Generator Insig'!#REF!</definedName>
    <definedName name="y" localSheetId="15">'Generator Insig'!#REF!</definedName>
    <definedName name="y" localSheetId="19">'Generator Insig'!#REF!</definedName>
    <definedName name="y" localSheetId="20">'Generator Insig'!#REF!</definedName>
    <definedName name="y" localSheetId="24">'Generator Insig'!#REF!</definedName>
    <definedName name="y" localSheetId="104">'Generator Insig'!#REF!</definedName>
    <definedName name="y" localSheetId="65">'Generator Insig'!#REF!</definedName>
    <definedName name="y" localSheetId="64">'Generator Insig'!#REF!</definedName>
    <definedName name="y" localSheetId="77">'Generator Insig'!#REF!</definedName>
    <definedName name="y" localSheetId="49">'Generator Insig'!#REF!</definedName>
    <definedName name="y" localSheetId="40">'Generator Insig'!#REF!</definedName>
    <definedName name="y" localSheetId="43">'Generator Insig'!#REF!</definedName>
    <definedName name="y" localSheetId="44">'[32]Generator Insig'!#REF!</definedName>
    <definedName name="y" localSheetId="13">'Generator Insig'!#REF!</definedName>
    <definedName name="y" localSheetId="38">'Generator Insig'!#REF!</definedName>
    <definedName name="y">'Generator Insig'!#REF!</definedName>
    <definedName name="YAxisTitle">"Edit Box 33"</definedName>
    <definedName name="Yes">[10]Compliance_NS!$E$21:$E$23</definedName>
    <definedName name="yt" localSheetId="3">#REF!</definedName>
    <definedName name="yt" localSheetId="7">#REF!</definedName>
    <definedName name="yt" localSheetId="9">#REF!</definedName>
    <definedName name="yt" localSheetId="10">#REF!</definedName>
    <definedName name="yt" localSheetId="15">#REF!</definedName>
    <definedName name="yt" localSheetId="19">#REF!</definedName>
    <definedName name="yt" localSheetId="20">#REF!</definedName>
    <definedName name="yt" localSheetId="24">#REF!</definedName>
    <definedName name="yt" localSheetId="104">#REF!</definedName>
    <definedName name="yt" localSheetId="65">#REF!</definedName>
    <definedName name="yt" localSheetId="64">#REF!</definedName>
    <definedName name="yt" localSheetId="77">#REF!</definedName>
    <definedName name="yt" localSheetId="49">#REF!</definedName>
    <definedName name="yt" localSheetId="40">#REF!</definedName>
    <definedName name="yt" localSheetId="43">#REF!</definedName>
    <definedName name="yt" localSheetId="13">#REF!</definedName>
    <definedName name="yt" localSheetId="38">#REF!</definedName>
    <definedName name="yt">#REF!</definedName>
    <definedName name="YTDVPL" localSheetId="3">#REF!</definedName>
    <definedName name="YTDVPL" localSheetId="7">#REF!</definedName>
    <definedName name="YTDVPL" localSheetId="9">#REF!</definedName>
    <definedName name="YTDVPL" localSheetId="10">#REF!</definedName>
    <definedName name="YTDVPL" localSheetId="15">#REF!</definedName>
    <definedName name="YTDVPL" localSheetId="19">#REF!</definedName>
    <definedName name="YTDVPL" localSheetId="20">#REF!</definedName>
    <definedName name="YTDVPL" localSheetId="24">#REF!</definedName>
    <definedName name="YTDVPL" localSheetId="104">#REF!</definedName>
    <definedName name="YTDVPL" localSheetId="65">#REF!</definedName>
    <definedName name="YTDVPL" localSheetId="64">#REF!</definedName>
    <definedName name="YTDVPL" localSheetId="77">#REF!</definedName>
    <definedName name="YTDVPL" localSheetId="49">#REF!</definedName>
    <definedName name="YTDVPL" localSheetId="40">#REF!</definedName>
    <definedName name="YTDVPL" localSheetId="43">#REF!</definedName>
    <definedName name="YTDVPL" localSheetId="13">#REF!</definedName>
    <definedName name="YTDVPL" localSheetId="38">#REF!</definedName>
    <definedName name="YTDVPL">#REF!</definedName>
    <definedName name="yyy" localSheetId="105" hidden="1">{#N/A,#N/A,FALSE,"F1-Currrent";#N/A,#N/A,FALSE,"F2-Current";#N/A,#N/A,FALSE,"F2-Proposed";#N/A,#N/A,FALSE,"F3-Current";#N/A,#N/A,FALSE,"F4-Current";#N/A,#N/A,FALSE,"F4-Proposed";#N/A,#N/A,FALSE,"Controls"}</definedName>
    <definedName name="yyy" localSheetId="96" hidden="1">{#N/A,#N/A,FALSE,"F1-Currrent";#N/A,#N/A,FALSE,"F2-Current";#N/A,#N/A,FALSE,"F2-Proposed";#N/A,#N/A,FALSE,"F3-Current";#N/A,#N/A,FALSE,"F4-Current";#N/A,#N/A,FALSE,"F4-Proposed";#N/A,#N/A,FALSE,"Controls"}</definedName>
    <definedName name="yyy" localSheetId="44" hidden="1">{#N/A,#N/A,FALSE,"F1-Currrent";#N/A,#N/A,FALSE,"F2-Current";#N/A,#N/A,FALSE,"F2-Proposed";#N/A,#N/A,FALSE,"F3-Current";#N/A,#N/A,FALSE,"F4-Current";#N/A,#N/A,FALSE,"F4-Proposed";#N/A,#N/A,FALSE,"Controls"}</definedName>
    <definedName name="yyy" hidden="1">{#N/A,#N/A,FALSE,"F1-Currrent";#N/A,#N/A,FALSE,"F2-Current";#N/A,#N/A,FALSE,"F2-Proposed";#N/A,#N/A,FALSE,"F3-Current";#N/A,#N/A,FALSE,"F4-Current";#N/A,#N/A,FALSE,"F4-Proposed";#N/A,#N/A,FALSE,"Controls"}</definedName>
    <definedName name="yyyyyyyyyyyyyyyyy" localSheetId="3">#REF!</definedName>
    <definedName name="yyyyyyyyyyyyyyyyy" localSheetId="7">#REF!</definedName>
    <definedName name="yyyyyyyyyyyyyyyyy" localSheetId="9">#REF!</definedName>
    <definedName name="yyyyyyyyyyyyyyyyy" localSheetId="10">#REF!</definedName>
    <definedName name="yyyyyyyyyyyyyyyyy" localSheetId="15">#REF!</definedName>
    <definedName name="yyyyyyyyyyyyyyyyy" localSheetId="19">#REF!</definedName>
    <definedName name="yyyyyyyyyyyyyyyyy" localSheetId="20">#REF!</definedName>
    <definedName name="yyyyyyyyyyyyyyyyy" localSheetId="24">#REF!</definedName>
    <definedName name="yyyyyyyyyyyyyyyyy" localSheetId="104">#REF!</definedName>
    <definedName name="yyyyyyyyyyyyyyyyy" localSheetId="65">#REF!</definedName>
    <definedName name="yyyyyyyyyyyyyyyyy" localSheetId="64">#REF!</definedName>
    <definedName name="yyyyyyyyyyyyyyyyy" localSheetId="77">#REF!</definedName>
    <definedName name="yyyyyyyyyyyyyyyyy" localSheetId="49">#REF!</definedName>
    <definedName name="yyyyyyyyyyyyyyyyy" localSheetId="40">#REF!</definedName>
    <definedName name="yyyyyyyyyyyyyyyyy" localSheetId="43">#REF!</definedName>
    <definedName name="yyyyyyyyyyyyyyyyy" localSheetId="13">#REF!</definedName>
    <definedName name="yyyyyyyyyyyyyyyyy" localSheetId="38">#REF!</definedName>
    <definedName name="yyyyyyyyyyyyyyyyy">#REF!</definedName>
    <definedName name="z" localSheetId="3">#REF!</definedName>
    <definedName name="z" localSheetId="7">#REF!</definedName>
    <definedName name="z" localSheetId="9">#REF!</definedName>
    <definedName name="z" localSheetId="10">#REF!</definedName>
    <definedName name="z" localSheetId="15">#REF!</definedName>
    <definedName name="z" localSheetId="19">#REF!</definedName>
    <definedName name="z" localSheetId="20">#REF!</definedName>
    <definedName name="z" localSheetId="24">#REF!</definedName>
    <definedName name="z" localSheetId="104">#REF!</definedName>
    <definedName name="z" localSheetId="65">#REF!</definedName>
    <definedName name="z" localSheetId="64">#REF!</definedName>
    <definedName name="z" localSheetId="77">#REF!</definedName>
    <definedName name="z" localSheetId="49">#REF!</definedName>
    <definedName name="z" localSheetId="40">#REF!</definedName>
    <definedName name="z" localSheetId="43">#REF!</definedName>
    <definedName name="z" localSheetId="13">#REF!</definedName>
    <definedName name="z" localSheetId="38">#REF!</definedName>
    <definedName name="z">#REF!</definedName>
    <definedName name="Z_7EECEA86_8D89_42F2_BCED_43692B4A0FC9_.wvu.Cols" localSheetId="3" hidden="1">'2-A All'!$P:$P</definedName>
    <definedName name="Z_7EECEA86_8D89_42F2_BCED_43692B4A0FC9_.wvu.Cols" localSheetId="7" hidden="1">'2-A_1TURB'!$P:$P</definedName>
    <definedName name="Z_7EECEA86_8D89_42F2_BCED_43692B4A0FC9_.wvu.Cols" localSheetId="8" hidden="1">'2-A_4TURB'!$P:$P</definedName>
    <definedName name="Z_7EECEA86_8D89_42F2_BCED_43692B4A0FC9_.wvu.Cols" localSheetId="9" hidden="1">'2-B'!$L:$L</definedName>
    <definedName name="Z_7EECEA86_8D89_42F2_BCED_43692B4A0FC9_.wvu.Cols" localSheetId="32" hidden="1">'2-B-Co'!$L:$L</definedName>
    <definedName name="Z_7EECEA86_8D89_42F2_BCED_43692B4A0FC9_.wvu.Cols" localSheetId="10" hidden="1">'2-C'!$L:$L</definedName>
    <definedName name="Z_7EECEA86_8D89_42F2_BCED_43692B4A0FC9_.wvu.Cols" localSheetId="33" hidden="1">'2-C-Co'!$L:$L</definedName>
    <definedName name="Z_7EECEA86_8D89_42F2_BCED_43692B4A0FC9_.wvu.Cols" localSheetId="27" hidden="1">'2-K'!$O:$O</definedName>
    <definedName name="Z_7EECEA86_8D89_42F2_BCED_43692B4A0FC9_.wvu.Cols" localSheetId="28" hidden="1">'2-L'!$R:$R</definedName>
    <definedName name="Z_7EECEA86_8D89_42F2_BCED_43692B4A0FC9_.wvu.PrintArea" localSheetId="10" hidden="1">'2-C'!$A$1:$G$29</definedName>
    <definedName name="Z_7EECEA86_8D89_42F2_BCED_43692B4A0FC9_.wvu.PrintArea" localSheetId="33" hidden="1">'2-C-Co'!$A$1:$G$31</definedName>
    <definedName name="Z_7EECEA86_8D89_42F2_BCED_43692B4A0FC9_.wvu.PrintTitles" localSheetId="3" hidden="1">'2-A All'!$3:$6</definedName>
    <definedName name="Z_7EECEA86_8D89_42F2_BCED_43692B4A0FC9_.wvu.PrintTitles" localSheetId="7" hidden="1">'2-A_1TURB'!$3:$6</definedName>
    <definedName name="Z_7EECEA86_8D89_42F2_BCED_43692B4A0FC9_.wvu.PrintTitles" localSheetId="8" hidden="1">'2-A_4TURB'!$3:$6</definedName>
    <definedName name="Z_7EECEA86_8D89_42F2_BCED_43692B4A0FC9_.wvu.PrintTitles" localSheetId="9" hidden="1">'2-B'!$3:$6</definedName>
    <definedName name="Z_7EECEA86_8D89_42F2_BCED_43692B4A0FC9_.wvu.PrintTitles" localSheetId="32" hidden="1">'2-B-Co'!$3:$6</definedName>
    <definedName name="Z_7EECEA86_8D89_42F2_BCED_43692B4A0FC9_.wvu.PrintTitles" localSheetId="10" hidden="1">'2-C'!$3:$4</definedName>
    <definedName name="Z_7EECEA86_8D89_42F2_BCED_43692B4A0FC9_.wvu.PrintTitles" localSheetId="33" hidden="1">'2-C-Co'!$3:$4</definedName>
    <definedName name="Z_7EECEA86_8D89_42F2_BCED_43692B4A0FC9_.wvu.PrintTitles" localSheetId="15" hidden="1">'2-D-Co'!$3:$4</definedName>
    <definedName name="Z_7EECEA86_8D89_42F2_BCED_43692B4A0FC9_.wvu.PrintTitles" localSheetId="16" hidden="1">'2-D-NoCo'!$3:$4</definedName>
    <definedName name="Z_7EECEA86_8D89_42F2_BCED_43692B4A0FC9_.wvu.PrintTitles" localSheetId="17" hidden="1">'2-E-Co'!$3:$4</definedName>
    <definedName name="Z_7EECEA86_8D89_42F2_BCED_43692B4A0FC9_.wvu.PrintTitles" localSheetId="18" hidden="1">'2-E-NoCo'!$3:$4</definedName>
    <definedName name="Z_7EECEA86_8D89_42F2_BCED_43692B4A0FC9_.wvu.PrintTitles" localSheetId="19" hidden="1">'2-F'!$3:$4</definedName>
    <definedName name="Z_7EECEA86_8D89_42F2_BCED_43692B4A0FC9_.wvu.PrintTitles" localSheetId="34" hidden="1">'2-F-Co'!$3:$4</definedName>
    <definedName name="Z_7EECEA86_8D89_42F2_BCED_43692B4A0FC9_.wvu.PrintTitles" localSheetId="20" hidden="1">'2-G'!$4:$5</definedName>
    <definedName name="Z_7EECEA86_8D89_42F2_BCED_43692B4A0FC9_.wvu.PrintTitles" localSheetId="21" hidden="1">'2-G-Co'!$4:$5</definedName>
    <definedName name="Z_7EECEA86_8D89_42F2_BCED_43692B4A0FC9_.wvu.PrintTitles" localSheetId="23" hidden="1">'2-H'!$3:$4</definedName>
    <definedName name="Z_7EECEA86_8D89_42F2_BCED_43692B4A0FC9_.wvu.PrintTitles" localSheetId="22" hidden="1">'2-H-Co'!$3:$4</definedName>
    <definedName name="Z_7EECEA86_8D89_42F2_BCED_43692B4A0FC9_.wvu.PrintTitles" localSheetId="24" hidden="1">'2-I-Co'!$3:$5</definedName>
    <definedName name="Z_7EECEA86_8D89_42F2_BCED_43692B4A0FC9_.wvu.PrintTitles" localSheetId="26" hidden="1">'2-J'!$3:$5</definedName>
    <definedName name="Z_7EECEA86_8D89_42F2_BCED_43692B4A0FC9_.wvu.PrintTitles" localSheetId="27" hidden="1">'2-K'!$3:$6</definedName>
    <definedName name="Z_7EECEA86_8D89_42F2_BCED_43692B4A0FC9_.wvu.PrintTitles" localSheetId="28" hidden="1">'2-L'!$3:$6</definedName>
    <definedName name="Z_7EECEA86_8D89_42F2_BCED_43692B4A0FC9_.wvu.PrintTitles" localSheetId="29" hidden="1">'2-M'!$12:$14</definedName>
    <definedName name="Z_7EECEA86_8D89_42F2_BCED_43692B4A0FC9_.wvu.PrintTitles" localSheetId="30" hidden="1">'2-N'!$3:$4</definedName>
    <definedName name="Z_7EECEA86_8D89_42F2_BCED_43692B4A0FC9_.wvu.PrintTitles" localSheetId="31" hidden="1">'2-O'!$3:$4</definedName>
    <definedName name="z1006760qry_rpt_qa_StreamCompositionTagCount" localSheetId="3">#REF!</definedName>
    <definedName name="z1006760qry_rpt_qa_StreamCompositionTagCount" localSheetId="7">#REF!</definedName>
    <definedName name="z1006760qry_rpt_qa_StreamCompositionTagCount" localSheetId="9">#REF!</definedName>
    <definedName name="z1006760qry_rpt_qa_StreamCompositionTagCount" localSheetId="10">#REF!</definedName>
    <definedName name="z1006760qry_rpt_qa_StreamCompositionTagCount" localSheetId="15">#REF!</definedName>
    <definedName name="z1006760qry_rpt_qa_StreamCompositionTagCount" localSheetId="19">#REF!</definedName>
    <definedName name="z1006760qry_rpt_qa_StreamCompositionTagCount" localSheetId="20">#REF!</definedName>
    <definedName name="z1006760qry_rpt_qa_StreamCompositionTagCount" localSheetId="24">#REF!</definedName>
    <definedName name="z1006760qry_rpt_qa_StreamCompositionTagCount" localSheetId="104">#REF!</definedName>
    <definedName name="z1006760qry_rpt_qa_StreamCompositionTagCount" localSheetId="65">#REF!</definedName>
    <definedName name="z1006760qry_rpt_qa_StreamCompositionTagCount" localSheetId="64">#REF!</definedName>
    <definedName name="z1006760qry_rpt_qa_StreamCompositionTagCount" localSheetId="77">#REF!</definedName>
    <definedName name="z1006760qry_rpt_qa_StreamCompositionTagCount" localSheetId="49">#REF!</definedName>
    <definedName name="z1006760qry_rpt_qa_StreamCompositionTagCount" localSheetId="40">#REF!</definedName>
    <definedName name="z1006760qry_rpt_qa_StreamCompositionTagCount" localSheetId="43">#REF!</definedName>
    <definedName name="z1006760qry_rpt_qa_StreamCompositionTagCount" localSheetId="13">#REF!</definedName>
    <definedName name="z1006760qry_rpt_qa_StreamCompositionTagCount" localSheetId="38">#REF!</definedName>
    <definedName name="z1006760qry_rpt_qa_StreamCompositionTagCount">#REF!</definedName>
    <definedName name="Zero" localSheetId="3">#REF!</definedName>
    <definedName name="Zero" localSheetId="7">#REF!</definedName>
    <definedName name="Zero" localSheetId="9">#REF!</definedName>
    <definedName name="Zero" localSheetId="10">#REF!</definedName>
    <definedName name="Zero" localSheetId="15">#REF!</definedName>
    <definedName name="Zero" localSheetId="19">#REF!</definedName>
    <definedName name="Zero" localSheetId="20">#REF!</definedName>
    <definedName name="Zero" localSheetId="24">#REF!</definedName>
    <definedName name="Zero" localSheetId="104">#REF!</definedName>
    <definedName name="Zero" localSheetId="65">#REF!</definedName>
    <definedName name="Zero" localSheetId="64">#REF!</definedName>
    <definedName name="Zero" localSheetId="77">#REF!</definedName>
    <definedName name="Zero" localSheetId="49">#REF!</definedName>
    <definedName name="Zero" localSheetId="40">#REF!</definedName>
    <definedName name="Zero" localSheetId="43">#REF!</definedName>
    <definedName name="Zero" localSheetId="13">#REF!</definedName>
    <definedName name="Zero" localSheetId="38">#REF!</definedName>
    <definedName name="Zero">#REF!</definedName>
    <definedName name="Zip" localSheetId="3">#REF!</definedName>
    <definedName name="Zip" localSheetId="7">#REF!</definedName>
    <definedName name="Zip" localSheetId="9">#REF!</definedName>
    <definedName name="Zip" localSheetId="10">#REF!</definedName>
    <definedName name="Zip" localSheetId="15">#REF!</definedName>
    <definedName name="Zip" localSheetId="19">#REF!</definedName>
    <definedName name="Zip" localSheetId="20">#REF!</definedName>
    <definedName name="Zip" localSheetId="24">#REF!</definedName>
    <definedName name="Zip" localSheetId="104">#REF!</definedName>
    <definedName name="Zip" localSheetId="65">#REF!</definedName>
    <definedName name="Zip" localSheetId="64">#REF!</definedName>
    <definedName name="Zip" localSheetId="77">#REF!</definedName>
    <definedName name="Zip" localSheetId="49">#REF!</definedName>
    <definedName name="Zip" localSheetId="48">#REF!</definedName>
    <definedName name="Zip" localSheetId="40">#REF!</definedName>
    <definedName name="Zip" localSheetId="43">#REF!</definedName>
    <definedName name="Zip" localSheetId="13">#REF!</definedName>
    <definedName name="Zip" localSheetId="38">#REF!</definedName>
    <definedName name="Zip">#REF!</definedName>
    <definedName name="zprime" localSheetId="3">#REF!</definedName>
    <definedName name="zprime" localSheetId="7">#REF!</definedName>
    <definedName name="zprime" localSheetId="9">#REF!</definedName>
    <definedName name="zprime" localSheetId="10">#REF!</definedName>
    <definedName name="zprime" localSheetId="15">#REF!</definedName>
    <definedName name="zprime" localSheetId="19">#REF!</definedName>
    <definedName name="zprime" localSheetId="20">#REF!</definedName>
    <definedName name="zprime" localSheetId="24">#REF!</definedName>
    <definedName name="zprime" localSheetId="104">#REF!</definedName>
    <definedName name="zprime" localSheetId="65">#REF!</definedName>
    <definedName name="zprime" localSheetId="64">#REF!</definedName>
    <definedName name="zprime" localSheetId="77">#REF!</definedName>
    <definedName name="zprime" localSheetId="49">#REF!</definedName>
    <definedName name="zprime" localSheetId="40">#REF!</definedName>
    <definedName name="zprime" localSheetId="43">#REF!</definedName>
    <definedName name="zprime" localSheetId="13">#REF!</definedName>
    <definedName name="zprime" localSheetId="38">#REF!</definedName>
    <definedName name="zprime">#REF!</definedName>
    <definedName name="zz" localSheetId="3">#REF!</definedName>
    <definedName name="zz" localSheetId="7">#REF!</definedName>
    <definedName name="zz" localSheetId="9">#REF!</definedName>
    <definedName name="zz" localSheetId="10">#REF!</definedName>
    <definedName name="zz" localSheetId="15">#REF!</definedName>
    <definedName name="zz" localSheetId="19">#REF!</definedName>
    <definedName name="zz" localSheetId="20">#REF!</definedName>
    <definedName name="zz" localSheetId="24">#REF!</definedName>
    <definedName name="zz" localSheetId="104">#REF!</definedName>
    <definedName name="zz" localSheetId="65">#REF!</definedName>
    <definedName name="zz" localSheetId="64">#REF!</definedName>
    <definedName name="zz" localSheetId="77">#REF!</definedName>
    <definedName name="zz" localSheetId="49">#REF!</definedName>
    <definedName name="zz" localSheetId="40">#REF!</definedName>
    <definedName name="zz" localSheetId="43">#REF!</definedName>
    <definedName name="zz" localSheetId="13">#REF!</definedName>
    <definedName name="zz" localSheetId="38">#REF!</definedName>
    <definedName name="zz">#REF!</definedName>
    <definedName name="zzzzz">#N/A</definedName>
    <definedName name="図_10" localSheetId="3">#REF!</definedName>
    <definedName name="図_10" localSheetId="7">#REF!</definedName>
    <definedName name="図_10" localSheetId="9">#REF!</definedName>
    <definedName name="図_10" localSheetId="10">#REF!</definedName>
    <definedName name="図_10" localSheetId="15">#REF!</definedName>
    <definedName name="図_10" localSheetId="19">#REF!</definedName>
    <definedName name="図_10" localSheetId="20">#REF!</definedName>
    <definedName name="図_10" localSheetId="24">#REF!</definedName>
    <definedName name="図_10" localSheetId="104">#REF!</definedName>
    <definedName name="図_10" localSheetId="65">#REF!</definedName>
    <definedName name="図_10" localSheetId="64">#REF!</definedName>
    <definedName name="図_10" localSheetId="77">#REF!</definedName>
    <definedName name="図_10" localSheetId="49">#REF!</definedName>
    <definedName name="図_10" localSheetId="40">#REF!</definedName>
    <definedName name="図_10" localSheetId="43">#REF!</definedName>
    <definedName name="図_10" localSheetId="13">#REF!</definedName>
    <definedName name="図_10" localSheetId="38">#REF!</definedName>
    <definedName name="図_10">#REF!</definedName>
    <definedName name="図_11" localSheetId="3">#REF!</definedName>
    <definedName name="図_11" localSheetId="7">#REF!</definedName>
    <definedName name="図_11" localSheetId="9">#REF!</definedName>
    <definedName name="図_11" localSheetId="10">#REF!</definedName>
    <definedName name="図_11" localSheetId="15">#REF!</definedName>
    <definedName name="図_11" localSheetId="19">#REF!</definedName>
    <definedName name="図_11" localSheetId="20">#REF!</definedName>
    <definedName name="図_11" localSheetId="24">#REF!</definedName>
    <definedName name="図_11" localSheetId="104">#REF!</definedName>
    <definedName name="図_11" localSheetId="65">#REF!</definedName>
    <definedName name="図_11" localSheetId="64">#REF!</definedName>
    <definedName name="図_11" localSheetId="77">#REF!</definedName>
    <definedName name="図_11" localSheetId="49">#REF!</definedName>
    <definedName name="図_11" localSheetId="40">#REF!</definedName>
    <definedName name="図_11" localSheetId="43">#REF!</definedName>
    <definedName name="図_11" localSheetId="13">#REF!</definedName>
    <definedName name="図_11" localSheetId="38">#REF!</definedName>
    <definedName name="図_11">#REF!</definedName>
    <definedName name="図_12" localSheetId="3">#REF!</definedName>
    <definedName name="図_12" localSheetId="7">#REF!</definedName>
    <definedName name="図_12" localSheetId="9">#REF!</definedName>
    <definedName name="図_12" localSheetId="10">#REF!</definedName>
    <definedName name="図_12" localSheetId="15">#REF!</definedName>
    <definedName name="図_12" localSheetId="19">#REF!</definedName>
    <definedName name="図_12" localSheetId="20">#REF!</definedName>
    <definedName name="図_12" localSheetId="24">#REF!</definedName>
    <definedName name="図_12" localSheetId="104">#REF!</definedName>
    <definedName name="図_12" localSheetId="65">#REF!</definedName>
    <definedName name="図_12" localSheetId="64">#REF!</definedName>
    <definedName name="図_12" localSheetId="77">#REF!</definedName>
    <definedName name="図_12" localSheetId="49">#REF!</definedName>
    <definedName name="図_12" localSheetId="40">#REF!</definedName>
    <definedName name="図_12" localSheetId="43">#REF!</definedName>
    <definedName name="図_12" localSheetId="13">#REF!</definedName>
    <definedName name="図_12" localSheetId="38">#REF!</definedName>
    <definedName name="図_12">#REF!</definedName>
    <definedName name="図_13" localSheetId="3">#REF!</definedName>
    <definedName name="図_13" localSheetId="7">#REF!</definedName>
    <definedName name="図_13" localSheetId="9">#REF!</definedName>
    <definedName name="図_13" localSheetId="10">#REF!</definedName>
    <definedName name="図_13" localSheetId="15">#REF!</definedName>
    <definedName name="図_13" localSheetId="19">#REF!</definedName>
    <definedName name="図_13" localSheetId="20">#REF!</definedName>
    <definedName name="図_13" localSheetId="24">#REF!</definedName>
    <definedName name="図_13" localSheetId="104">#REF!</definedName>
    <definedName name="図_13" localSheetId="65">#REF!</definedName>
    <definedName name="図_13" localSheetId="64">#REF!</definedName>
    <definedName name="図_13" localSheetId="77">#REF!</definedName>
    <definedName name="図_13" localSheetId="49">#REF!</definedName>
    <definedName name="図_13" localSheetId="40">#REF!</definedName>
    <definedName name="図_13" localSheetId="43">#REF!</definedName>
    <definedName name="図_13" localSheetId="13">#REF!</definedName>
    <definedName name="図_13" localSheetId="38">#REF!</definedName>
    <definedName name="図_13">#REF!</definedName>
    <definedName name="図_14" localSheetId="3">#REF!</definedName>
    <definedName name="図_14" localSheetId="7">#REF!</definedName>
    <definedName name="図_14" localSheetId="9">#REF!</definedName>
    <definedName name="図_14" localSheetId="10">#REF!</definedName>
    <definedName name="図_14" localSheetId="15">#REF!</definedName>
    <definedName name="図_14" localSheetId="19">#REF!</definedName>
    <definedName name="図_14" localSheetId="20">#REF!</definedName>
    <definedName name="図_14" localSheetId="24">#REF!</definedName>
    <definedName name="図_14" localSheetId="104">#REF!</definedName>
    <definedName name="図_14" localSheetId="65">#REF!</definedName>
    <definedName name="図_14" localSheetId="64">#REF!</definedName>
    <definedName name="図_14" localSheetId="77">#REF!</definedName>
    <definedName name="図_14" localSheetId="49">#REF!</definedName>
    <definedName name="図_14" localSheetId="40">#REF!</definedName>
    <definedName name="図_14" localSheetId="43">#REF!</definedName>
    <definedName name="図_14" localSheetId="13">#REF!</definedName>
    <definedName name="図_14" localSheetId="38">#REF!</definedName>
    <definedName name="図_14">#REF!</definedName>
    <definedName name="図_15" localSheetId="3">#REF!</definedName>
    <definedName name="図_15" localSheetId="7">#REF!</definedName>
    <definedName name="図_15" localSheetId="9">#REF!</definedName>
    <definedName name="図_15" localSheetId="10">#REF!</definedName>
    <definedName name="図_15" localSheetId="15">#REF!</definedName>
    <definedName name="図_15" localSheetId="19">#REF!</definedName>
    <definedName name="図_15" localSheetId="20">#REF!</definedName>
    <definedName name="図_15" localSheetId="24">#REF!</definedName>
    <definedName name="図_15" localSheetId="104">#REF!</definedName>
    <definedName name="図_15" localSheetId="65">#REF!</definedName>
    <definedName name="図_15" localSheetId="64">#REF!</definedName>
    <definedName name="図_15" localSheetId="77">#REF!</definedName>
    <definedName name="図_15" localSheetId="49">#REF!</definedName>
    <definedName name="図_15" localSheetId="40">#REF!</definedName>
    <definedName name="図_15" localSheetId="43">#REF!</definedName>
    <definedName name="図_15" localSheetId="13">#REF!</definedName>
    <definedName name="図_15" localSheetId="38">#REF!</definedName>
    <definedName name="図_15">#REF!</definedName>
    <definedName name="図_16" localSheetId="3">#REF!</definedName>
    <definedName name="図_16" localSheetId="7">#REF!</definedName>
    <definedName name="図_16" localSheetId="9">#REF!</definedName>
    <definedName name="図_16" localSheetId="10">#REF!</definedName>
    <definedName name="図_16" localSheetId="15">#REF!</definedName>
    <definedName name="図_16" localSheetId="19">#REF!</definedName>
    <definedName name="図_16" localSheetId="20">#REF!</definedName>
    <definedName name="図_16" localSheetId="24">#REF!</definedName>
    <definedName name="図_16" localSheetId="104">#REF!</definedName>
    <definedName name="図_16" localSheetId="65">#REF!</definedName>
    <definedName name="図_16" localSheetId="64">#REF!</definedName>
    <definedName name="図_16" localSheetId="77">#REF!</definedName>
    <definedName name="図_16" localSheetId="49">#REF!</definedName>
    <definedName name="図_16" localSheetId="40">#REF!</definedName>
    <definedName name="図_16" localSheetId="43">#REF!</definedName>
    <definedName name="図_16" localSheetId="13">#REF!</definedName>
    <definedName name="図_16" localSheetId="38">#REF!</definedName>
    <definedName name="図_16">#REF!</definedName>
    <definedName name="図_18" localSheetId="3">#REF!</definedName>
    <definedName name="図_18" localSheetId="7">#REF!</definedName>
    <definedName name="図_18" localSheetId="9">#REF!</definedName>
    <definedName name="図_18" localSheetId="10">#REF!</definedName>
    <definedName name="図_18" localSheetId="15">#REF!</definedName>
    <definedName name="図_18" localSheetId="19">#REF!</definedName>
    <definedName name="図_18" localSheetId="20">#REF!</definedName>
    <definedName name="図_18" localSheetId="24">#REF!</definedName>
    <definedName name="図_18" localSheetId="104">#REF!</definedName>
    <definedName name="図_18" localSheetId="65">#REF!</definedName>
    <definedName name="図_18" localSheetId="64">#REF!</definedName>
    <definedName name="図_18" localSheetId="77">#REF!</definedName>
    <definedName name="図_18" localSheetId="49">#REF!</definedName>
    <definedName name="図_18" localSheetId="40">#REF!</definedName>
    <definedName name="図_18" localSheetId="43">#REF!</definedName>
    <definedName name="図_18" localSheetId="13">#REF!</definedName>
    <definedName name="図_18" localSheetId="38">#REF!</definedName>
    <definedName name="図_18">#REF!</definedName>
    <definedName name="図_19" localSheetId="3">#REF!</definedName>
    <definedName name="図_19" localSheetId="7">#REF!</definedName>
    <definedName name="図_19" localSheetId="9">#REF!</definedName>
    <definedName name="図_19" localSheetId="10">#REF!</definedName>
    <definedName name="図_19" localSheetId="15">#REF!</definedName>
    <definedName name="図_19" localSheetId="19">#REF!</definedName>
    <definedName name="図_19" localSheetId="20">#REF!</definedName>
    <definedName name="図_19" localSheetId="24">#REF!</definedName>
    <definedName name="図_19" localSheetId="104">#REF!</definedName>
    <definedName name="図_19" localSheetId="65">#REF!</definedName>
    <definedName name="図_19" localSheetId="64">#REF!</definedName>
    <definedName name="図_19" localSheetId="77">#REF!</definedName>
    <definedName name="図_19" localSheetId="49">#REF!</definedName>
    <definedName name="図_19" localSheetId="40">#REF!</definedName>
    <definedName name="図_19" localSheetId="43">#REF!</definedName>
    <definedName name="図_19" localSheetId="13">#REF!</definedName>
    <definedName name="図_19" localSheetId="38">#REF!</definedName>
    <definedName name="図_19">#REF!</definedName>
    <definedName name="図_20" localSheetId="3">#REF!</definedName>
    <definedName name="図_20" localSheetId="7">#REF!</definedName>
    <definedName name="図_20" localSheetId="9">#REF!</definedName>
    <definedName name="図_20" localSheetId="10">#REF!</definedName>
    <definedName name="図_20" localSheetId="15">#REF!</definedName>
    <definedName name="図_20" localSheetId="19">#REF!</definedName>
    <definedName name="図_20" localSheetId="20">#REF!</definedName>
    <definedName name="図_20" localSheetId="24">#REF!</definedName>
    <definedName name="図_20" localSheetId="104">#REF!</definedName>
    <definedName name="図_20" localSheetId="65">#REF!</definedName>
    <definedName name="図_20" localSheetId="64">#REF!</definedName>
    <definedName name="図_20" localSheetId="77">#REF!</definedName>
    <definedName name="図_20" localSheetId="49">#REF!</definedName>
    <definedName name="図_20" localSheetId="40">#REF!</definedName>
    <definedName name="図_20" localSheetId="43">#REF!</definedName>
    <definedName name="図_20" localSheetId="13">#REF!</definedName>
    <definedName name="図_20" localSheetId="38">#REF!</definedName>
    <definedName name="図_20">#REF!</definedName>
    <definedName name="図_22" localSheetId="3">#REF!</definedName>
    <definedName name="図_22" localSheetId="7">#REF!</definedName>
    <definedName name="図_22" localSheetId="9">#REF!</definedName>
    <definedName name="図_22" localSheetId="10">#REF!</definedName>
    <definedName name="図_22" localSheetId="15">#REF!</definedName>
    <definedName name="図_22" localSheetId="19">#REF!</definedName>
    <definedName name="図_22" localSheetId="20">#REF!</definedName>
    <definedName name="図_22" localSheetId="24">#REF!</definedName>
    <definedName name="図_22" localSheetId="104">#REF!</definedName>
    <definedName name="図_22" localSheetId="65">#REF!</definedName>
    <definedName name="図_22" localSheetId="64">#REF!</definedName>
    <definedName name="図_22" localSheetId="77">#REF!</definedName>
    <definedName name="図_22" localSheetId="49">#REF!</definedName>
    <definedName name="図_22" localSheetId="40">#REF!</definedName>
    <definedName name="図_22" localSheetId="43">#REF!</definedName>
    <definedName name="図_22" localSheetId="13">#REF!</definedName>
    <definedName name="図_22" localSheetId="38">#REF!</definedName>
    <definedName name="図_22">#REF!</definedName>
    <definedName name="図_23" localSheetId="3">#REF!</definedName>
    <definedName name="図_23" localSheetId="7">#REF!</definedName>
    <definedName name="図_23" localSheetId="9">#REF!</definedName>
    <definedName name="図_23" localSheetId="10">#REF!</definedName>
    <definedName name="図_23" localSheetId="15">#REF!</definedName>
    <definedName name="図_23" localSheetId="19">#REF!</definedName>
    <definedName name="図_23" localSheetId="20">#REF!</definedName>
    <definedName name="図_23" localSheetId="24">#REF!</definedName>
    <definedName name="図_23" localSheetId="104">#REF!</definedName>
    <definedName name="図_23" localSheetId="65">#REF!</definedName>
    <definedName name="図_23" localSheetId="64">#REF!</definedName>
    <definedName name="図_23" localSheetId="77">#REF!</definedName>
    <definedName name="図_23" localSheetId="49">#REF!</definedName>
    <definedName name="図_23" localSheetId="40">#REF!</definedName>
    <definedName name="図_23" localSheetId="43">#REF!</definedName>
    <definedName name="図_23" localSheetId="13">#REF!</definedName>
    <definedName name="図_23" localSheetId="38">#REF!</definedName>
    <definedName name="図_23">#REF!</definedName>
    <definedName name="図_24" localSheetId="3">#REF!</definedName>
    <definedName name="図_24" localSheetId="7">#REF!</definedName>
    <definedName name="図_24" localSheetId="9">#REF!</definedName>
    <definedName name="図_24" localSheetId="10">#REF!</definedName>
    <definedName name="図_24" localSheetId="15">#REF!</definedName>
    <definedName name="図_24" localSheetId="19">#REF!</definedName>
    <definedName name="図_24" localSheetId="20">#REF!</definedName>
    <definedName name="図_24" localSheetId="24">#REF!</definedName>
    <definedName name="図_24" localSheetId="104">#REF!</definedName>
    <definedName name="図_24" localSheetId="65">#REF!</definedName>
    <definedName name="図_24" localSheetId="64">#REF!</definedName>
    <definedName name="図_24" localSheetId="77">#REF!</definedName>
    <definedName name="図_24" localSheetId="49">#REF!</definedName>
    <definedName name="図_24" localSheetId="40">#REF!</definedName>
    <definedName name="図_24" localSheetId="43">#REF!</definedName>
    <definedName name="図_24" localSheetId="13">#REF!</definedName>
    <definedName name="図_24" localSheetId="38">#REF!</definedName>
    <definedName name="図_24">#REF!</definedName>
    <definedName name="図_25" localSheetId="3">#REF!</definedName>
    <definedName name="図_25" localSheetId="7">#REF!</definedName>
    <definedName name="図_25" localSheetId="9">#REF!</definedName>
    <definedName name="図_25" localSheetId="10">#REF!</definedName>
    <definedName name="図_25" localSheetId="15">#REF!</definedName>
    <definedName name="図_25" localSheetId="19">#REF!</definedName>
    <definedName name="図_25" localSheetId="20">#REF!</definedName>
    <definedName name="図_25" localSheetId="24">#REF!</definedName>
    <definedName name="図_25" localSheetId="104">#REF!</definedName>
    <definedName name="図_25" localSheetId="65">#REF!</definedName>
    <definedName name="図_25" localSheetId="64">#REF!</definedName>
    <definedName name="図_25" localSheetId="77">#REF!</definedName>
    <definedName name="図_25" localSheetId="49">#REF!</definedName>
    <definedName name="図_25" localSheetId="40">#REF!</definedName>
    <definedName name="図_25" localSheetId="43">#REF!</definedName>
    <definedName name="図_25" localSheetId="13">#REF!</definedName>
    <definedName name="図_25" localSheetId="38">#REF!</definedName>
    <definedName name="図_25">#REF!</definedName>
    <definedName name="図_26" localSheetId="3">#REF!</definedName>
    <definedName name="図_26" localSheetId="7">#REF!</definedName>
    <definedName name="図_26" localSheetId="9">#REF!</definedName>
    <definedName name="図_26" localSheetId="10">#REF!</definedName>
    <definedName name="図_26" localSheetId="15">#REF!</definedName>
    <definedName name="図_26" localSheetId="19">#REF!</definedName>
    <definedName name="図_26" localSheetId="20">#REF!</definedName>
    <definedName name="図_26" localSheetId="24">#REF!</definedName>
    <definedName name="図_26" localSheetId="104">#REF!</definedName>
    <definedName name="図_26" localSheetId="65">#REF!</definedName>
    <definedName name="図_26" localSheetId="64">#REF!</definedName>
    <definedName name="図_26" localSheetId="77">#REF!</definedName>
    <definedName name="図_26" localSheetId="49">#REF!</definedName>
    <definedName name="図_26" localSheetId="40">#REF!</definedName>
    <definedName name="図_26" localSheetId="43">#REF!</definedName>
    <definedName name="図_26" localSheetId="13">#REF!</definedName>
    <definedName name="図_26" localSheetId="38">#REF!</definedName>
    <definedName name="図_26">#REF!</definedName>
    <definedName name="図_27" localSheetId="3">#REF!</definedName>
    <definedName name="図_27" localSheetId="7">#REF!</definedName>
    <definedName name="図_27" localSheetId="9">#REF!</definedName>
    <definedName name="図_27" localSheetId="10">#REF!</definedName>
    <definedName name="図_27" localSheetId="15">#REF!</definedName>
    <definedName name="図_27" localSheetId="19">#REF!</definedName>
    <definedName name="図_27" localSheetId="20">#REF!</definedName>
    <definedName name="図_27" localSheetId="24">#REF!</definedName>
    <definedName name="図_27" localSheetId="104">#REF!</definedName>
    <definedName name="図_27" localSheetId="65">#REF!</definedName>
    <definedName name="図_27" localSheetId="64">#REF!</definedName>
    <definedName name="図_27" localSheetId="77">#REF!</definedName>
    <definedName name="図_27" localSheetId="49">#REF!</definedName>
    <definedName name="図_27" localSheetId="40">#REF!</definedName>
    <definedName name="図_27" localSheetId="43">#REF!</definedName>
    <definedName name="図_27" localSheetId="13">#REF!</definedName>
    <definedName name="図_27" localSheetId="38">#REF!</definedName>
    <definedName name="図_27">#REF!</definedName>
    <definedName name="図_7" localSheetId="3">#REF!</definedName>
    <definedName name="図_7" localSheetId="7">#REF!</definedName>
    <definedName name="図_7" localSheetId="9">#REF!</definedName>
    <definedName name="図_7" localSheetId="10">#REF!</definedName>
    <definedName name="図_7" localSheetId="15">#REF!</definedName>
    <definedName name="図_7" localSheetId="19">#REF!</definedName>
    <definedName name="図_7" localSheetId="20">#REF!</definedName>
    <definedName name="図_7" localSheetId="24">#REF!</definedName>
    <definedName name="図_7" localSheetId="104">#REF!</definedName>
    <definedName name="図_7" localSheetId="65">#REF!</definedName>
    <definedName name="図_7" localSheetId="64">#REF!</definedName>
    <definedName name="図_7" localSheetId="77">#REF!</definedName>
    <definedName name="図_7" localSheetId="49">#REF!</definedName>
    <definedName name="図_7" localSheetId="40">#REF!</definedName>
    <definedName name="図_7" localSheetId="43">#REF!</definedName>
    <definedName name="図_7" localSheetId="13">#REF!</definedName>
    <definedName name="図_7" localSheetId="38">#REF!</definedName>
    <definedName name="図_7">#REF!</definedName>
    <definedName name="図_8" localSheetId="3">#REF!</definedName>
    <definedName name="図_8" localSheetId="7">#REF!</definedName>
    <definedName name="図_8" localSheetId="9">#REF!</definedName>
    <definedName name="図_8" localSheetId="10">#REF!</definedName>
    <definedName name="図_8" localSheetId="15">#REF!</definedName>
    <definedName name="図_8" localSheetId="19">#REF!</definedName>
    <definedName name="図_8" localSheetId="20">#REF!</definedName>
    <definedName name="図_8" localSheetId="24">#REF!</definedName>
    <definedName name="図_8" localSheetId="104">#REF!</definedName>
    <definedName name="図_8" localSheetId="65">#REF!</definedName>
    <definedName name="図_8" localSheetId="64">#REF!</definedName>
    <definedName name="図_8" localSheetId="77">#REF!</definedName>
    <definedName name="図_8" localSheetId="49">#REF!</definedName>
    <definedName name="図_8" localSheetId="40">#REF!</definedName>
    <definedName name="図_8" localSheetId="43">#REF!</definedName>
    <definedName name="図_8" localSheetId="13">#REF!</definedName>
    <definedName name="図_8" localSheetId="38">#REF!</definedName>
    <definedName name="図_8">#REF!</definedName>
    <definedName name="図_9" localSheetId="3">#REF!</definedName>
    <definedName name="図_9" localSheetId="7">#REF!</definedName>
    <definedName name="図_9" localSheetId="9">#REF!</definedName>
    <definedName name="図_9" localSheetId="10">#REF!</definedName>
    <definedName name="図_9" localSheetId="15">#REF!</definedName>
    <definedName name="図_9" localSheetId="19">#REF!</definedName>
    <definedName name="図_9" localSheetId="20">#REF!</definedName>
    <definedName name="図_9" localSheetId="24">#REF!</definedName>
    <definedName name="図_9" localSheetId="104">#REF!</definedName>
    <definedName name="図_9" localSheetId="65">#REF!</definedName>
    <definedName name="図_9" localSheetId="64">#REF!</definedName>
    <definedName name="図_9" localSheetId="77">#REF!</definedName>
    <definedName name="図_9" localSheetId="49">#REF!</definedName>
    <definedName name="図_9" localSheetId="40">#REF!</definedName>
    <definedName name="図_9" localSheetId="43">#REF!</definedName>
    <definedName name="図_9" localSheetId="13">#REF!</definedName>
    <definedName name="図_9" localSheetId="38">#REF!</definedName>
    <definedName name="図_9">#REF!</definedName>
    <definedName name="圧損２" localSheetId="3">#REF!</definedName>
    <definedName name="圧損２" localSheetId="7">#REF!</definedName>
    <definedName name="圧損２" localSheetId="9">#REF!</definedName>
    <definedName name="圧損２" localSheetId="10">#REF!</definedName>
    <definedName name="圧損２" localSheetId="15">#REF!</definedName>
    <definedName name="圧損２" localSheetId="19">#REF!</definedName>
    <definedName name="圧損２" localSheetId="20">#REF!</definedName>
    <definedName name="圧損２" localSheetId="24">#REF!</definedName>
    <definedName name="圧損２" localSheetId="104">#REF!</definedName>
    <definedName name="圧損２" localSheetId="65">#REF!</definedName>
    <definedName name="圧損２" localSheetId="64">#REF!</definedName>
    <definedName name="圧損２" localSheetId="77">#REF!</definedName>
    <definedName name="圧損２" localSheetId="49">#REF!</definedName>
    <definedName name="圧損２" localSheetId="40">#REF!</definedName>
    <definedName name="圧損２" localSheetId="43">#REF!</definedName>
    <definedName name="圧損２" localSheetId="13">#REF!</definedName>
    <definedName name="圧損２" localSheetId="38">#REF!</definedName>
    <definedName name="圧損２">#REF!</definedName>
    <definedName name="圧損３" localSheetId="3">#REF!</definedName>
    <definedName name="圧損３" localSheetId="7">#REF!</definedName>
    <definedName name="圧損３" localSheetId="9">#REF!</definedName>
    <definedName name="圧損３" localSheetId="10">#REF!</definedName>
    <definedName name="圧損３" localSheetId="15">#REF!</definedName>
    <definedName name="圧損３" localSheetId="19">#REF!</definedName>
    <definedName name="圧損３" localSheetId="20">#REF!</definedName>
    <definedName name="圧損３" localSheetId="24">#REF!</definedName>
    <definedName name="圧損３" localSheetId="104">#REF!</definedName>
    <definedName name="圧損３" localSheetId="65">#REF!</definedName>
    <definedName name="圧損３" localSheetId="64">#REF!</definedName>
    <definedName name="圧損３" localSheetId="77">#REF!</definedName>
    <definedName name="圧損３" localSheetId="49">#REF!</definedName>
    <definedName name="圧損３" localSheetId="40">#REF!</definedName>
    <definedName name="圧損３" localSheetId="43">#REF!</definedName>
    <definedName name="圧損３" localSheetId="13">#REF!</definedName>
    <definedName name="圧損３" localSheetId="38">#REF!</definedName>
    <definedName name="圧損３">#REF!</definedName>
    <definedName name="圧損４" localSheetId="3">#REF!</definedName>
    <definedName name="圧損４" localSheetId="7">#REF!</definedName>
    <definedName name="圧損４" localSheetId="9">#REF!</definedName>
    <definedName name="圧損４" localSheetId="10">#REF!</definedName>
    <definedName name="圧損４" localSheetId="15">#REF!</definedName>
    <definedName name="圧損４" localSheetId="19">#REF!</definedName>
    <definedName name="圧損４" localSheetId="20">#REF!</definedName>
    <definedName name="圧損４" localSheetId="24">#REF!</definedName>
    <definedName name="圧損４" localSheetId="104">#REF!</definedName>
    <definedName name="圧損４" localSheetId="65">#REF!</definedName>
    <definedName name="圧損４" localSheetId="64">#REF!</definedName>
    <definedName name="圧損４" localSheetId="77">#REF!</definedName>
    <definedName name="圧損４" localSheetId="49">#REF!</definedName>
    <definedName name="圧損４" localSheetId="40">#REF!</definedName>
    <definedName name="圧損４" localSheetId="43">#REF!</definedName>
    <definedName name="圧損４" localSheetId="13">#REF!</definedName>
    <definedName name="圧損４" localSheetId="38">#REF!</definedName>
    <definedName name="圧損４">#REF!</definedName>
    <definedName name="応力MITI">#N/A</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2" i="571" l="1"/>
  <c r="N52" i="571"/>
  <c r="C50" i="571" l="1"/>
  <c r="E64" i="90"/>
  <c r="E64" i="517"/>
  <c r="A702" i="150" l="1"/>
  <c r="A701" i="150"/>
  <c r="I52" i="543"/>
  <c r="D21" i="542" l="1"/>
  <c r="D35" i="501"/>
  <c r="D35" i="517"/>
  <c r="B20" i="577"/>
  <c r="B19" i="577"/>
  <c r="B18" i="577"/>
  <c r="B17" i="577"/>
  <c r="B16" i="577"/>
  <c r="B15" i="577"/>
  <c r="B14" i="577"/>
  <c r="B13" i="577"/>
  <c r="O32" i="550"/>
  <c r="N32" i="550"/>
  <c r="M32" i="550"/>
  <c r="L32" i="550"/>
  <c r="K32" i="550"/>
  <c r="J32" i="550"/>
  <c r="I32" i="550"/>
  <c r="H32" i="550"/>
  <c r="G32" i="550"/>
  <c r="F32" i="550"/>
  <c r="E32" i="550"/>
  <c r="D32" i="550"/>
  <c r="A8" i="550"/>
  <c r="C32" i="550"/>
  <c r="B32" i="550"/>
  <c r="O12" i="550"/>
  <c r="N12" i="550"/>
  <c r="M12" i="550"/>
  <c r="L12" i="550"/>
  <c r="K12" i="550"/>
  <c r="J12" i="550"/>
  <c r="I12" i="550"/>
  <c r="H12" i="550"/>
  <c r="G12" i="550"/>
  <c r="F12" i="550"/>
  <c r="E12" i="550"/>
  <c r="D12" i="550"/>
  <c r="O9" i="550"/>
  <c r="N9" i="550"/>
  <c r="M9" i="550"/>
  <c r="L9" i="550"/>
  <c r="K9" i="550"/>
  <c r="J9" i="550"/>
  <c r="I9" i="550"/>
  <c r="H9" i="550"/>
  <c r="G9" i="550"/>
  <c r="F9" i="550"/>
  <c r="E9" i="550"/>
  <c r="D9" i="550"/>
  <c r="C12" i="550"/>
  <c r="C9" i="550"/>
  <c r="B12" i="550"/>
  <c r="B9" i="550"/>
  <c r="A9" i="550"/>
  <c r="M47" i="525"/>
  <c r="F79" i="543"/>
  <c r="G79" i="543"/>
  <c r="G77" i="543"/>
  <c r="F77" i="543"/>
  <c r="G75" i="543"/>
  <c r="J70" i="90"/>
  <c r="J12" i="547"/>
  <c r="E33" i="402"/>
  <c r="G51" i="543" l="1"/>
  <c r="G49" i="543"/>
  <c r="K15" i="485" l="1"/>
  <c r="Y16" i="451"/>
  <c r="R22" i="451"/>
  <c r="S22" i="451"/>
  <c r="T22" i="451"/>
  <c r="U22" i="451"/>
  <c r="V22" i="451"/>
  <c r="K16" i="487" l="1"/>
  <c r="K15" i="487"/>
  <c r="I16" i="525"/>
  <c r="I15" i="525"/>
  <c r="I16" i="568"/>
  <c r="I15" i="568"/>
  <c r="R16" i="495"/>
  <c r="R15" i="495"/>
  <c r="K15" i="486"/>
  <c r="K16" i="486"/>
  <c r="K16" i="485"/>
  <c r="B51" i="531" l="1"/>
  <c r="B50" i="531"/>
  <c r="B44" i="531"/>
  <c r="B43" i="531"/>
  <c r="B35" i="531"/>
  <c r="B34" i="531"/>
  <c r="B33" i="531"/>
  <c r="B32" i="531"/>
  <c r="B31" i="531"/>
  <c r="F22" i="579" l="1"/>
  <c r="C31" i="579"/>
  <c r="E34" i="485"/>
  <c r="D34" i="485"/>
  <c r="M13" i="533"/>
  <c r="D48" i="533"/>
  <c r="F18" i="579"/>
  <c r="F19" i="579"/>
  <c r="F20" i="579"/>
  <c r="F21" i="579"/>
  <c r="F17" i="579"/>
  <c r="F16" i="579"/>
  <c r="F15" i="579"/>
  <c r="F14" i="579"/>
  <c r="F13" i="579"/>
  <c r="B2" i="579"/>
  <c r="F28" i="579" l="1"/>
  <c r="I28" i="579"/>
  <c r="S20" i="536"/>
  <c r="T65" i="536"/>
  <c r="C46" i="568" l="1"/>
  <c r="J23" i="569" s="1"/>
  <c r="F13" i="577" l="1"/>
  <c r="C12" i="578" s="1"/>
  <c r="D31" i="411"/>
  <c r="D32" i="411" s="1"/>
  <c r="D33" i="411" s="1"/>
  <c r="D34" i="411" s="1"/>
  <c r="D35" i="411" s="1"/>
  <c r="D36" i="411" s="1"/>
  <c r="D37" i="411" s="1"/>
  <c r="D38" i="411" s="1"/>
  <c r="G34" i="532"/>
  <c r="J34" i="532" s="1"/>
  <c r="J36" i="532" s="1"/>
  <c r="K35" i="532"/>
  <c r="K41" i="532"/>
  <c r="H41" i="532"/>
  <c r="F41" i="532"/>
  <c r="H40" i="532"/>
  <c r="F40" i="532"/>
  <c r="K39" i="532"/>
  <c r="H39" i="532"/>
  <c r="F39" i="532"/>
  <c r="H38" i="532"/>
  <c r="F38" i="532"/>
  <c r="K37" i="532"/>
  <c r="H37" i="532"/>
  <c r="F37" i="532"/>
  <c r="H36" i="532"/>
  <c r="F36" i="532"/>
  <c r="H35" i="532"/>
  <c r="F35" i="532"/>
  <c r="E41" i="532"/>
  <c r="E40" i="532"/>
  <c r="E39" i="532"/>
  <c r="E38" i="532"/>
  <c r="E37" i="532"/>
  <c r="E36" i="532"/>
  <c r="E35" i="532"/>
  <c r="A56" i="406"/>
  <c r="A55" i="406"/>
  <c r="A49" i="544" s="1"/>
  <c r="A54" i="406"/>
  <c r="A48" i="544" s="1"/>
  <c r="E15" i="417"/>
  <c r="E16" i="417" s="1"/>
  <c r="E13" i="417"/>
  <c r="E14" i="417" s="1"/>
  <c r="B33" i="417"/>
  <c r="E14" i="535"/>
  <c r="E12" i="535"/>
  <c r="C27" i="578"/>
  <c r="C43" i="578" s="1"/>
  <c r="I13" i="577"/>
  <c r="A41" i="532" l="1"/>
  <c r="B41" i="532" s="1"/>
  <c r="A50" i="544"/>
  <c r="A39" i="532"/>
  <c r="B39" i="532" s="1"/>
  <c r="A40" i="532"/>
  <c r="B40" i="532" s="1"/>
  <c r="J41" i="532"/>
  <c r="J38" i="532"/>
  <c r="J40" i="532"/>
  <c r="J35" i="532"/>
  <c r="J37" i="532"/>
  <c r="J39" i="532"/>
  <c r="K40" i="532"/>
  <c r="K38" i="532"/>
  <c r="K36" i="532"/>
  <c r="J43" i="231"/>
  <c r="G43" i="231"/>
  <c r="D44" i="231"/>
  <c r="D43" i="231"/>
  <c r="G39" i="532" l="1"/>
  <c r="G40" i="532"/>
  <c r="G41" i="532"/>
  <c r="G37" i="532"/>
  <c r="G38" i="532"/>
  <c r="G35" i="532"/>
  <c r="G36" i="532"/>
  <c r="C69" i="501" l="1"/>
  <c r="D69" i="501" s="1"/>
  <c r="C68" i="501"/>
  <c r="D68" i="501" s="1"/>
  <c r="C67" i="501"/>
  <c r="D67" i="501" s="1"/>
  <c r="B69" i="501"/>
  <c r="B68" i="501"/>
  <c r="B67" i="501"/>
  <c r="C69" i="517"/>
  <c r="A59" i="405" s="1"/>
  <c r="C68" i="517"/>
  <c r="A58" i="405" s="1"/>
  <c r="C67" i="517"/>
  <c r="A57" i="405" s="1"/>
  <c r="B69" i="517"/>
  <c r="B68" i="517"/>
  <c r="B67" i="517"/>
  <c r="B33" i="501"/>
  <c r="B32" i="501"/>
  <c r="B31" i="501"/>
  <c r="B33" i="517"/>
  <c r="B32" i="517"/>
  <c r="B31" i="517"/>
  <c r="B31" i="571"/>
  <c r="G42" i="578"/>
  <c r="F42" i="578"/>
  <c r="E42" i="578"/>
  <c r="D42" i="578"/>
  <c r="C34" i="578"/>
  <c r="G29" i="578"/>
  <c r="F29" i="578"/>
  <c r="E29" i="578"/>
  <c r="D29" i="578"/>
  <c r="C29" i="578"/>
  <c r="C22" i="578"/>
  <c r="C21" i="578"/>
  <c r="C20" i="578"/>
  <c r="C19" i="578"/>
  <c r="B3" i="578"/>
  <c r="B2" i="578"/>
  <c r="D68" i="517" l="1"/>
  <c r="A58" i="531"/>
  <c r="D67" i="517"/>
  <c r="A57" i="531"/>
  <c r="D69" i="517"/>
  <c r="A59" i="531"/>
  <c r="D43" i="578"/>
  <c r="D44" i="578" s="1"/>
  <c r="F39" i="535" s="1"/>
  <c r="F43" i="578"/>
  <c r="F44" i="578" s="1"/>
  <c r="E39" i="535" s="1"/>
  <c r="E43" i="578"/>
  <c r="E44" i="578" s="1"/>
  <c r="C44" i="578"/>
  <c r="D39" i="535" s="1"/>
  <c r="G43" i="578"/>
  <c r="G44" i="578" s="1"/>
  <c r="A58" i="567"/>
  <c r="A59" i="567"/>
  <c r="C14" i="578"/>
  <c r="E31" i="411" s="1"/>
  <c r="E32" i="411" s="1"/>
  <c r="E33" i="411" s="1"/>
  <c r="E34" i="411" s="1"/>
  <c r="E35" i="411" s="1"/>
  <c r="E36" i="411" s="1"/>
  <c r="E37" i="411" s="1"/>
  <c r="E38" i="411" s="1"/>
  <c r="A60" i="567"/>
  <c r="C60" i="90"/>
  <c r="C59" i="90"/>
  <c r="C58" i="90"/>
  <c r="B60" i="90"/>
  <c r="B59" i="90"/>
  <c r="B58" i="90"/>
  <c r="H102" i="402"/>
  <c r="J101" i="402"/>
  <c r="I101" i="402"/>
  <c r="H101" i="402"/>
  <c r="G101" i="402"/>
  <c r="F101" i="402"/>
  <c r="E101" i="402"/>
  <c r="D101" i="402"/>
  <c r="C101" i="402"/>
  <c r="B101" i="402"/>
  <c r="A101" i="402"/>
  <c r="H100" i="402"/>
  <c r="J99" i="402"/>
  <c r="I99" i="402"/>
  <c r="H99" i="402"/>
  <c r="G99" i="402"/>
  <c r="F99" i="402"/>
  <c r="E99" i="402"/>
  <c r="D99" i="402"/>
  <c r="C99" i="402"/>
  <c r="B99" i="402"/>
  <c r="A99" i="402"/>
  <c r="H98" i="402"/>
  <c r="J97" i="402"/>
  <c r="I97" i="402"/>
  <c r="H97" i="402"/>
  <c r="G97" i="402"/>
  <c r="F97" i="402"/>
  <c r="E97" i="402"/>
  <c r="D97" i="402"/>
  <c r="C97" i="402"/>
  <c r="B97" i="402"/>
  <c r="A97" i="402"/>
  <c r="H120" i="565"/>
  <c r="L119" i="565"/>
  <c r="J119" i="565"/>
  <c r="I119" i="565"/>
  <c r="H119" i="565"/>
  <c r="G119" i="565"/>
  <c r="F119" i="565"/>
  <c r="E119" i="565"/>
  <c r="D119" i="565"/>
  <c r="C119" i="565"/>
  <c r="B119" i="565"/>
  <c r="A119" i="565"/>
  <c r="H118" i="565"/>
  <c r="L117" i="565"/>
  <c r="J117" i="565"/>
  <c r="I117" i="565"/>
  <c r="H117" i="565"/>
  <c r="G117" i="565"/>
  <c r="F117" i="565"/>
  <c r="E117" i="565"/>
  <c r="D117" i="565"/>
  <c r="C117" i="565"/>
  <c r="B117" i="565"/>
  <c r="A117" i="565"/>
  <c r="H116" i="565"/>
  <c r="L115" i="565"/>
  <c r="J115" i="565"/>
  <c r="I115" i="565"/>
  <c r="H115" i="565"/>
  <c r="G115" i="565"/>
  <c r="F115" i="565"/>
  <c r="E115" i="565"/>
  <c r="D115" i="565"/>
  <c r="C115" i="565"/>
  <c r="B115" i="565"/>
  <c r="A115" i="565"/>
  <c r="I128" i="543"/>
  <c r="I120" i="565" s="1"/>
  <c r="I126" i="543"/>
  <c r="I100" i="402" s="1"/>
  <c r="I124" i="543"/>
  <c r="I116" i="565" s="1"/>
  <c r="B47" i="571" l="1"/>
  <c r="B63" i="538"/>
  <c r="B61" i="537"/>
  <c r="B59" i="536"/>
  <c r="B64" i="538"/>
  <c r="B60" i="536"/>
  <c r="B62" i="537"/>
  <c r="C63" i="537"/>
  <c r="D63" i="537" s="1"/>
  <c r="C65" i="538"/>
  <c r="D65" i="538" s="1"/>
  <c r="C61" i="536"/>
  <c r="D61" i="536" s="1"/>
  <c r="B61" i="536"/>
  <c r="B63" i="537"/>
  <c r="B65" i="538"/>
  <c r="C59" i="536"/>
  <c r="D59" i="536" s="1"/>
  <c r="C63" i="538"/>
  <c r="D63" i="538" s="1"/>
  <c r="C61" i="537"/>
  <c r="D61" i="537" s="1"/>
  <c r="C64" i="538"/>
  <c r="D64" i="538" s="1"/>
  <c r="C62" i="537"/>
  <c r="D62" i="537" s="1"/>
  <c r="C60" i="536"/>
  <c r="D60" i="536" s="1"/>
  <c r="D40" i="535"/>
  <c r="D33" i="417"/>
  <c r="D34" i="417" s="1"/>
  <c r="F40" i="535"/>
  <c r="F33" i="417"/>
  <c r="F34" i="417" s="1"/>
  <c r="E33" i="417"/>
  <c r="E40" i="535"/>
  <c r="Q39" i="535"/>
  <c r="H43" i="578"/>
  <c r="H44" i="578"/>
  <c r="S53" i="90" s="1"/>
  <c r="I102" i="402"/>
  <c r="I118" i="565"/>
  <c r="D58" i="90"/>
  <c r="D57" i="542" s="1"/>
  <c r="C57" i="542"/>
  <c r="D59" i="90"/>
  <c r="D58" i="542" s="1"/>
  <c r="C58" i="542"/>
  <c r="B60" i="567"/>
  <c r="A51" i="552"/>
  <c r="B51" i="552" s="1"/>
  <c r="D60" i="90"/>
  <c r="D59" i="542" s="1"/>
  <c r="C59" i="542"/>
  <c r="D30" i="578"/>
  <c r="D31" i="578" s="1"/>
  <c r="C35" i="578"/>
  <c r="C36" i="578" s="1"/>
  <c r="F30" i="578"/>
  <c r="F31" i="578" s="1"/>
  <c r="C15" i="578"/>
  <c r="F31" i="411" s="1"/>
  <c r="F32" i="411" s="1"/>
  <c r="F33" i="411" s="1"/>
  <c r="F34" i="411" s="1"/>
  <c r="F35" i="411" s="1"/>
  <c r="F36" i="411" s="1"/>
  <c r="F37" i="411" s="1"/>
  <c r="F38" i="411" s="1"/>
  <c r="E30" i="578"/>
  <c r="E31" i="578" s="1"/>
  <c r="I98" i="402"/>
  <c r="A50" i="552"/>
  <c r="B50" i="552" s="1"/>
  <c r="B59" i="567"/>
  <c r="G30" i="578"/>
  <c r="G31" i="578" s="1"/>
  <c r="B58" i="567"/>
  <c r="A49" i="552"/>
  <c r="B49" i="552" s="1"/>
  <c r="B57" i="542"/>
  <c r="B48" i="571"/>
  <c r="C30" i="578"/>
  <c r="C31" i="578" s="1"/>
  <c r="B59" i="542"/>
  <c r="B58" i="542"/>
  <c r="B49" i="571"/>
  <c r="Y36" i="552"/>
  <c r="Z36" i="552"/>
  <c r="P12" i="552"/>
  <c r="O12" i="552"/>
  <c r="Q12" i="552"/>
  <c r="S58" i="538" l="1"/>
  <c r="S56" i="537"/>
  <c r="S54" i="536"/>
  <c r="S56" i="90"/>
  <c r="S57" i="90"/>
  <c r="S59" i="90"/>
  <c r="S55" i="90"/>
  <c r="S62" i="517"/>
  <c r="S54" i="90"/>
  <c r="R40" i="535"/>
  <c r="E34" i="417"/>
  <c r="R34" i="417" s="1"/>
  <c r="Q33" i="417"/>
  <c r="F51" i="571"/>
  <c r="G51" i="571" s="1"/>
  <c r="H51" i="571" s="1"/>
  <c r="S64" i="517" l="1"/>
  <c r="S60" i="538"/>
  <c r="S58" i="537"/>
  <c r="S56" i="536"/>
  <c r="S66" i="517"/>
  <c r="S62" i="538"/>
  <c r="S60" i="537"/>
  <c r="S58" i="536"/>
  <c r="S68" i="517"/>
  <c r="S64" i="538"/>
  <c r="S62" i="537"/>
  <c r="S60" i="536"/>
  <c r="S65" i="517"/>
  <c r="S61" i="538"/>
  <c r="S57" i="536"/>
  <c r="S59" i="537"/>
  <c r="S59" i="538"/>
  <c r="S57" i="537"/>
  <c r="S55" i="536"/>
  <c r="S58" i="90"/>
  <c r="S60" i="90"/>
  <c r="S63" i="517"/>
  <c r="L38" i="571"/>
  <c r="C38" i="571"/>
  <c r="G29" i="571"/>
  <c r="H29" i="571" s="1"/>
  <c r="G28" i="571"/>
  <c r="H28" i="571" s="1"/>
  <c r="G27" i="571"/>
  <c r="H27" i="571" s="1"/>
  <c r="G26" i="571"/>
  <c r="H26" i="571" s="1"/>
  <c r="G25" i="571"/>
  <c r="H25" i="571" s="1"/>
  <c r="H37" i="571"/>
  <c r="H36" i="571"/>
  <c r="H35" i="571"/>
  <c r="H34" i="571"/>
  <c r="B30" i="571"/>
  <c r="B29" i="571"/>
  <c r="G24" i="571"/>
  <c r="H24" i="571" s="1"/>
  <c r="S67" i="517" l="1"/>
  <c r="S63" i="538"/>
  <c r="S61" i="537"/>
  <c r="S59" i="536"/>
  <c r="S69" i="517"/>
  <c r="S61" i="536"/>
  <c r="S63" i="537"/>
  <c r="S65" i="538"/>
  <c r="M38" i="571"/>
  <c r="N38" i="571" s="1"/>
  <c r="D38" i="571"/>
  <c r="E38" i="571" s="1"/>
  <c r="A53" i="406"/>
  <c r="A52" i="406"/>
  <c r="A51" i="406"/>
  <c r="A50" i="406"/>
  <c r="A49" i="406"/>
  <c r="C12" i="568"/>
  <c r="C13" i="568"/>
  <c r="C14" i="568"/>
  <c r="C15" i="568"/>
  <c r="C16" i="568"/>
  <c r="C17" i="568"/>
  <c r="C18" i="568"/>
  <c r="C19" i="568"/>
  <c r="C20" i="568"/>
  <c r="C21" i="568"/>
  <c r="C22" i="568"/>
  <c r="C23" i="568"/>
  <c r="C24" i="568"/>
  <c r="C25" i="568"/>
  <c r="C26" i="568"/>
  <c r="C27" i="568"/>
  <c r="C28" i="568"/>
  <c r="C29" i="568"/>
  <c r="C30" i="568"/>
  <c r="C31" i="568"/>
  <c r="C32" i="568"/>
  <c r="C33" i="568"/>
  <c r="C34" i="568"/>
  <c r="C35" i="568"/>
  <c r="C36" i="568"/>
  <c r="C37" i="568"/>
  <c r="C38" i="568"/>
  <c r="C39" i="568"/>
  <c r="A47" i="544" l="1"/>
  <c r="A38" i="532"/>
  <c r="B38" i="532" s="1"/>
  <c r="A43" i="544"/>
  <c r="A34" i="532"/>
  <c r="B34" i="532" s="1"/>
  <c r="A44" i="544"/>
  <c r="A35" i="532"/>
  <c r="B35" i="532" s="1"/>
  <c r="A45" i="544"/>
  <c r="A36" i="532"/>
  <c r="B36" i="532" s="1"/>
  <c r="A46" i="544"/>
  <c r="A37" i="532"/>
  <c r="B37" i="532" s="1"/>
  <c r="K13" i="533"/>
  <c r="C66" i="501"/>
  <c r="D66" i="501" s="1"/>
  <c r="B66" i="501"/>
  <c r="C65" i="501"/>
  <c r="D65" i="501" s="1"/>
  <c r="B65" i="501"/>
  <c r="C64" i="501"/>
  <c r="D64" i="501" s="1"/>
  <c r="B64" i="501"/>
  <c r="C63" i="501"/>
  <c r="D63" i="501" s="1"/>
  <c r="B63" i="501"/>
  <c r="C62" i="501"/>
  <c r="D62" i="501" s="1"/>
  <c r="B62" i="501"/>
  <c r="U12" i="577" l="1"/>
  <c r="AD12" i="577" s="1"/>
  <c r="AD22" i="577" s="1"/>
  <c r="M17" i="577"/>
  <c r="M16" i="577"/>
  <c r="M15" i="577"/>
  <c r="M14" i="577"/>
  <c r="N17" i="577"/>
  <c r="N16" i="577"/>
  <c r="N15" i="577"/>
  <c r="N14" i="577"/>
  <c r="C66" i="517"/>
  <c r="A57" i="567" s="1"/>
  <c r="B57" i="567" s="1"/>
  <c r="C65" i="517"/>
  <c r="A56" i="567" s="1"/>
  <c r="C64" i="517"/>
  <c r="A55" i="567" s="1"/>
  <c r="C63" i="517"/>
  <c r="A54" i="567" s="1"/>
  <c r="B63" i="517"/>
  <c r="C62" i="517"/>
  <c r="A53" i="567" s="1"/>
  <c r="B62" i="517"/>
  <c r="B66" i="517"/>
  <c r="B65" i="517"/>
  <c r="B64" i="517"/>
  <c r="C46" i="515"/>
  <c r="M20" i="577" l="1"/>
  <c r="M18" i="577"/>
  <c r="M19" i="577"/>
  <c r="N20" i="577"/>
  <c r="N18" i="577"/>
  <c r="N19" i="577"/>
  <c r="D64" i="517"/>
  <c r="A54" i="405"/>
  <c r="A54" i="531"/>
  <c r="B55" i="567" s="1"/>
  <c r="A46" i="552" s="1"/>
  <c r="B46" i="552" s="1"/>
  <c r="D65" i="517"/>
  <c r="A55" i="405"/>
  <c r="A55" i="531"/>
  <c r="B56" i="567" s="1"/>
  <c r="A47" i="552" s="1"/>
  <c r="B47" i="552" s="1"/>
  <c r="D63" i="517"/>
  <c r="A53" i="405"/>
  <c r="A53" i="531"/>
  <c r="B54" i="567" s="1"/>
  <c r="A45" i="552" s="1"/>
  <c r="B45" i="552" s="1"/>
  <c r="D66" i="517"/>
  <c r="A56" i="405"/>
  <c r="A56" i="531"/>
  <c r="A48" i="552" s="1"/>
  <c r="B48" i="552" s="1"/>
  <c r="D62" i="517"/>
  <c r="A52" i="405"/>
  <c r="A52" i="531"/>
  <c r="B53" i="567" s="1"/>
  <c r="A44" i="552" s="1"/>
  <c r="B44" i="552" s="1"/>
  <c r="B57" i="90"/>
  <c r="B56" i="90"/>
  <c r="B55" i="90"/>
  <c r="B54" i="90"/>
  <c r="B53" i="90"/>
  <c r="C57" i="90"/>
  <c r="C56" i="90"/>
  <c r="C55" i="90"/>
  <c r="C54" i="90"/>
  <c r="C53" i="90"/>
  <c r="G13" i="231"/>
  <c r="I122" i="543"/>
  <c r="I114" i="565" s="1"/>
  <c r="I120" i="543"/>
  <c r="I94" i="402" s="1"/>
  <c r="I118" i="543"/>
  <c r="I110" i="565" s="1"/>
  <c r="I116" i="543"/>
  <c r="I90" i="402" s="1"/>
  <c r="I95" i="402"/>
  <c r="I93" i="402"/>
  <c r="I91" i="402"/>
  <c r="I89" i="402"/>
  <c r="I88" i="402"/>
  <c r="I87" i="402"/>
  <c r="I85" i="402"/>
  <c r="I83" i="402"/>
  <c r="I81" i="402"/>
  <c r="I79" i="402"/>
  <c r="I67" i="402"/>
  <c r="I65" i="402"/>
  <c r="I59" i="402"/>
  <c r="I57" i="402"/>
  <c r="I55" i="402"/>
  <c r="I53" i="402"/>
  <c r="I51" i="402"/>
  <c r="I49" i="402"/>
  <c r="I47" i="402"/>
  <c r="I33" i="402"/>
  <c r="I31" i="402"/>
  <c r="I29" i="402"/>
  <c r="I27" i="402"/>
  <c r="I23" i="402"/>
  <c r="H96" i="402"/>
  <c r="J95" i="402"/>
  <c r="H95" i="402"/>
  <c r="G95" i="402"/>
  <c r="F95" i="402"/>
  <c r="E95" i="402"/>
  <c r="D95" i="402"/>
  <c r="C95" i="402"/>
  <c r="B95" i="402"/>
  <c r="A95" i="402"/>
  <c r="H94" i="402"/>
  <c r="J93" i="402"/>
  <c r="H93" i="402"/>
  <c r="G93" i="402"/>
  <c r="F93" i="402"/>
  <c r="E93" i="402"/>
  <c r="D93" i="402"/>
  <c r="C93" i="402"/>
  <c r="B93" i="402"/>
  <c r="A93" i="402"/>
  <c r="H92" i="402"/>
  <c r="J91" i="402"/>
  <c r="H91" i="402"/>
  <c r="G91" i="402"/>
  <c r="F91" i="402"/>
  <c r="E91" i="402"/>
  <c r="D91" i="402"/>
  <c r="C91" i="402"/>
  <c r="B91" i="402"/>
  <c r="A91" i="402"/>
  <c r="H90" i="402"/>
  <c r="J89" i="402"/>
  <c r="H89" i="402"/>
  <c r="G89" i="402"/>
  <c r="F89" i="402"/>
  <c r="E89" i="402"/>
  <c r="D89" i="402"/>
  <c r="C89" i="402"/>
  <c r="B89" i="402"/>
  <c r="A89" i="402"/>
  <c r="H88" i="402"/>
  <c r="J87" i="402"/>
  <c r="H87" i="402"/>
  <c r="G87" i="402"/>
  <c r="F87" i="402"/>
  <c r="E87" i="402"/>
  <c r="D87" i="402"/>
  <c r="C87" i="402"/>
  <c r="B87" i="402"/>
  <c r="A87" i="402"/>
  <c r="H114" i="565"/>
  <c r="I113" i="565"/>
  <c r="H113" i="565"/>
  <c r="I112" i="565"/>
  <c r="H112" i="565"/>
  <c r="I111" i="565"/>
  <c r="H111" i="565"/>
  <c r="H110" i="565"/>
  <c r="I109" i="565"/>
  <c r="H109" i="565"/>
  <c r="H108" i="565"/>
  <c r="I107" i="565"/>
  <c r="H107" i="565"/>
  <c r="I106" i="565"/>
  <c r="H106" i="565"/>
  <c r="I105" i="565"/>
  <c r="H105" i="565"/>
  <c r="L113" i="565"/>
  <c r="L111" i="565"/>
  <c r="L109" i="565"/>
  <c r="L107" i="565"/>
  <c r="L105" i="565"/>
  <c r="J113" i="565"/>
  <c r="J111" i="565"/>
  <c r="J109" i="565"/>
  <c r="J107" i="565"/>
  <c r="J105" i="565"/>
  <c r="G113" i="565"/>
  <c r="F113" i="565"/>
  <c r="E113" i="565"/>
  <c r="D113" i="565"/>
  <c r="C113" i="565"/>
  <c r="B113" i="565"/>
  <c r="G111" i="565"/>
  <c r="F111" i="565"/>
  <c r="E111" i="565"/>
  <c r="D111" i="565"/>
  <c r="C111" i="565"/>
  <c r="B111" i="565"/>
  <c r="G109" i="565"/>
  <c r="F109" i="565"/>
  <c r="E109" i="565"/>
  <c r="D109" i="565"/>
  <c r="C109" i="565"/>
  <c r="B109" i="565"/>
  <c r="G107" i="565"/>
  <c r="F107" i="565"/>
  <c r="E107" i="565"/>
  <c r="D107" i="565"/>
  <c r="C107" i="565"/>
  <c r="B107" i="565"/>
  <c r="G105" i="565"/>
  <c r="F105" i="565"/>
  <c r="E105" i="565"/>
  <c r="D105" i="565"/>
  <c r="C105" i="565"/>
  <c r="B105" i="565"/>
  <c r="A113" i="565"/>
  <c r="A111" i="565"/>
  <c r="A109" i="565"/>
  <c r="A107" i="565"/>
  <c r="A105" i="565"/>
  <c r="I14" i="577"/>
  <c r="A7" i="549"/>
  <c r="A6" i="549"/>
  <c r="A5" i="549"/>
  <c r="B4" i="577"/>
  <c r="J14" i="577"/>
  <c r="J15" i="577" s="1"/>
  <c r="J16" i="577" s="1"/>
  <c r="H14" i="577"/>
  <c r="G14" i="577"/>
  <c r="G15" i="577" s="1"/>
  <c r="G16" i="577" s="1"/>
  <c r="G17" i="577" s="1"/>
  <c r="G18" i="577" s="1"/>
  <c r="G19" i="577" s="1"/>
  <c r="G20" i="577" s="1"/>
  <c r="E14" i="577"/>
  <c r="E14" i="576" s="1"/>
  <c r="D14" i="577"/>
  <c r="C14" i="577"/>
  <c r="C15" i="577" s="1"/>
  <c r="R13" i="577"/>
  <c r="P13" i="577"/>
  <c r="Y13" i="577" s="1"/>
  <c r="H53" i="90" s="1"/>
  <c r="O13" i="577"/>
  <c r="X13" i="577" s="1"/>
  <c r="F53" i="90" s="1"/>
  <c r="L13" i="577"/>
  <c r="O28" i="576"/>
  <c r="C26" i="576"/>
  <c r="C28" i="576" s="1"/>
  <c r="I28" i="576" s="1"/>
  <c r="B17" i="576"/>
  <c r="B16" i="576"/>
  <c r="B15" i="576"/>
  <c r="H14" i="576"/>
  <c r="H15" i="576" s="1"/>
  <c r="G14" i="576"/>
  <c r="G15" i="576" s="1"/>
  <c r="G16" i="576" s="1"/>
  <c r="G17" i="576" s="1"/>
  <c r="B14" i="576"/>
  <c r="K14" i="576"/>
  <c r="J13" i="576"/>
  <c r="J14" i="576" s="1"/>
  <c r="E13" i="576"/>
  <c r="O13" i="576" s="1"/>
  <c r="D13" i="576"/>
  <c r="C13" i="576"/>
  <c r="B13" i="576"/>
  <c r="C56" i="537" l="1"/>
  <c r="D56" i="537" s="1"/>
  <c r="C58" i="538"/>
  <c r="D58" i="538" s="1"/>
  <c r="C54" i="536"/>
  <c r="D54" i="536" s="1"/>
  <c r="B57" i="536"/>
  <c r="B59" i="537"/>
  <c r="B61" i="538"/>
  <c r="B58" i="537"/>
  <c r="B56" i="536"/>
  <c r="B60" i="538"/>
  <c r="C57" i="537"/>
  <c r="D57" i="537" s="1"/>
  <c r="C55" i="536"/>
  <c r="D55" i="536" s="1"/>
  <c r="C59" i="538"/>
  <c r="D59" i="538" s="1"/>
  <c r="B62" i="538"/>
  <c r="B60" i="537"/>
  <c r="B58" i="536"/>
  <c r="C60" i="538"/>
  <c r="D60" i="538" s="1"/>
  <c r="C58" i="537"/>
  <c r="D58" i="537" s="1"/>
  <c r="C56" i="536"/>
  <c r="D56" i="536" s="1"/>
  <c r="C57" i="536"/>
  <c r="D57" i="536" s="1"/>
  <c r="C59" i="537"/>
  <c r="D59" i="537" s="1"/>
  <c r="C61" i="538"/>
  <c r="D61" i="538" s="1"/>
  <c r="C58" i="536"/>
  <c r="D58" i="536" s="1"/>
  <c r="C62" i="538"/>
  <c r="D62" i="538" s="1"/>
  <c r="C60" i="537"/>
  <c r="D60" i="537" s="1"/>
  <c r="F58" i="538"/>
  <c r="F56" i="537"/>
  <c r="F54" i="536"/>
  <c r="B54" i="536"/>
  <c r="B58" i="538"/>
  <c r="B56" i="537"/>
  <c r="H58" i="538"/>
  <c r="H54" i="536"/>
  <c r="H56" i="537"/>
  <c r="B43" i="571"/>
  <c r="B57" i="537"/>
  <c r="B55" i="536"/>
  <c r="B59" i="538"/>
  <c r="I108" i="565"/>
  <c r="T13" i="577"/>
  <c r="M53" i="90" s="1"/>
  <c r="C53" i="542"/>
  <c r="C54" i="542"/>
  <c r="C55" i="542"/>
  <c r="C52" i="542"/>
  <c r="C56" i="542"/>
  <c r="AA13" i="577"/>
  <c r="P53" i="567" s="1"/>
  <c r="O53" i="567"/>
  <c r="M53" i="567"/>
  <c r="I53" i="567"/>
  <c r="K53" i="567"/>
  <c r="G53" i="567"/>
  <c r="D54" i="90"/>
  <c r="D53" i="542" s="1"/>
  <c r="B42" i="571"/>
  <c r="B52" i="542"/>
  <c r="D53" i="90"/>
  <c r="D52" i="542" s="1"/>
  <c r="B45" i="571"/>
  <c r="B54" i="542"/>
  <c r="B46" i="571"/>
  <c r="B56" i="542"/>
  <c r="B55" i="542"/>
  <c r="D57" i="90"/>
  <c r="D56" i="542" s="1"/>
  <c r="D55" i="90"/>
  <c r="D54" i="542" s="1"/>
  <c r="B44" i="571"/>
  <c r="B53" i="542"/>
  <c r="D56" i="90"/>
  <c r="D55" i="542" s="1"/>
  <c r="E49" i="406"/>
  <c r="H52" i="542"/>
  <c r="H62" i="517"/>
  <c r="E52" i="405" s="1"/>
  <c r="C49" i="406"/>
  <c r="F62" i="517"/>
  <c r="C52" i="405" s="1"/>
  <c r="F52" i="542"/>
  <c r="E53" i="90"/>
  <c r="I13" i="576"/>
  <c r="I14" i="576" s="1"/>
  <c r="I15" i="576" s="1"/>
  <c r="I16" i="576" s="1"/>
  <c r="I17" i="576" s="1"/>
  <c r="G53" i="90"/>
  <c r="F13" i="576"/>
  <c r="R13" i="576" s="1"/>
  <c r="Z13" i="576" s="1"/>
  <c r="U13" i="577"/>
  <c r="O14" i="577"/>
  <c r="E54" i="90" s="1"/>
  <c r="N13" i="576"/>
  <c r="V13" i="576" s="1"/>
  <c r="O14" i="576"/>
  <c r="D14" i="576"/>
  <c r="P14" i="577"/>
  <c r="D15" i="577"/>
  <c r="D16" i="577" s="1"/>
  <c r="H15" i="577"/>
  <c r="H16" i="577" s="1"/>
  <c r="H17" i="577" s="1"/>
  <c r="H18" i="577" s="1"/>
  <c r="H19" i="577" s="1"/>
  <c r="H20" i="577" s="1"/>
  <c r="I96" i="402"/>
  <c r="I92" i="402"/>
  <c r="W13" i="576"/>
  <c r="V13" i="577"/>
  <c r="Q13" i="577" s="1"/>
  <c r="F14" i="577"/>
  <c r="F14" i="576" s="1"/>
  <c r="R14" i="576" s="1"/>
  <c r="E15" i="577"/>
  <c r="C14" i="576"/>
  <c r="C15" i="576"/>
  <c r="C16" i="577"/>
  <c r="R14" i="577"/>
  <c r="I15" i="577"/>
  <c r="L14" i="577"/>
  <c r="L13" i="576"/>
  <c r="L14" i="576" s="1"/>
  <c r="Q14" i="576"/>
  <c r="J15" i="576"/>
  <c r="J16" i="576" s="1"/>
  <c r="J17" i="576" s="1"/>
  <c r="N14" i="576"/>
  <c r="Q13" i="576"/>
  <c r="J17" i="577"/>
  <c r="J18" i="577" s="1"/>
  <c r="J19" i="577" s="1"/>
  <c r="J20" i="577" s="1"/>
  <c r="H16" i="576"/>
  <c r="H17" i="576" s="1"/>
  <c r="K15" i="576"/>
  <c r="M52" i="542" l="1"/>
  <c r="M56" i="537"/>
  <c r="M58" i="538"/>
  <c r="M54" i="536"/>
  <c r="E55" i="536"/>
  <c r="E57" i="537"/>
  <c r="E59" i="538"/>
  <c r="E56" i="537"/>
  <c r="E58" i="538"/>
  <c r="E54" i="536"/>
  <c r="G58" i="538"/>
  <c r="G54" i="536"/>
  <c r="G56" i="537"/>
  <c r="T13" i="576"/>
  <c r="AB13" i="576" s="1"/>
  <c r="V14" i="576"/>
  <c r="C43" i="544"/>
  <c r="E43" i="544"/>
  <c r="AC13" i="577"/>
  <c r="N53" i="90" s="1"/>
  <c r="P53" i="90" s="1"/>
  <c r="O53" i="90"/>
  <c r="M62" i="517"/>
  <c r="M62" i="501" s="1"/>
  <c r="J49" i="406"/>
  <c r="J43" i="544" s="1"/>
  <c r="Z14" i="576"/>
  <c r="P14" i="576"/>
  <c r="X14" i="576" s="1"/>
  <c r="P15" i="577"/>
  <c r="G55" i="90" s="1"/>
  <c r="M44" i="552"/>
  <c r="N53" i="567"/>
  <c r="AD13" i="577"/>
  <c r="F53" i="567" s="1"/>
  <c r="E53" i="567"/>
  <c r="M54" i="567"/>
  <c r="G54" i="567"/>
  <c r="I54" i="567"/>
  <c r="AA14" i="577"/>
  <c r="P54" i="567" s="1"/>
  <c r="P45" i="552" s="1"/>
  <c r="O54" i="567"/>
  <c r="O45" i="552" s="1"/>
  <c r="K54" i="567"/>
  <c r="H53" i="567"/>
  <c r="G44" i="552"/>
  <c r="W13" i="577"/>
  <c r="Q53" i="90" s="1"/>
  <c r="W14" i="576"/>
  <c r="L53" i="567"/>
  <c r="K44" i="552"/>
  <c r="O44" i="552"/>
  <c r="I44" i="552"/>
  <c r="J53" i="567"/>
  <c r="P44" i="552"/>
  <c r="B49" i="406"/>
  <c r="B43" i="544" s="1"/>
  <c r="E52" i="542"/>
  <c r="E62" i="517"/>
  <c r="B50" i="406"/>
  <c r="B44" i="544" s="1"/>
  <c r="E53" i="542"/>
  <c r="E63" i="517"/>
  <c r="L49" i="406"/>
  <c r="O62" i="517"/>
  <c r="D49" i="406"/>
  <c r="D43" i="544" s="1"/>
  <c r="G52" i="542"/>
  <c r="G62" i="517"/>
  <c r="C52" i="531"/>
  <c r="F62" i="501"/>
  <c r="E52" i="531"/>
  <c r="H62" i="501"/>
  <c r="R15" i="577"/>
  <c r="AA15" i="577" s="1"/>
  <c r="P55" i="567" s="1"/>
  <c r="P46" i="552" s="1"/>
  <c r="F15" i="577"/>
  <c r="V15" i="577" s="1"/>
  <c r="AE15" i="577" s="1"/>
  <c r="X14" i="577"/>
  <c r="F54" i="90" s="1"/>
  <c r="P13" i="576"/>
  <c r="X13" i="576" s="1"/>
  <c r="T14" i="577"/>
  <c r="M54" i="90" s="1"/>
  <c r="E15" i="576"/>
  <c r="Q15" i="576" s="1"/>
  <c r="U14" i="577"/>
  <c r="Y14" i="576"/>
  <c r="O15" i="577"/>
  <c r="X15" i="577" s="1"/>
  <c r="F55" i="90" s="1"/>
  <c r="D15" i="576"/>
  <c r="AE13" i="577"/>
  <c r="Z13" i="577"/>
  <c r="J53" i="90" s="1"/>
  <c r="I53" i="90"/>
  <c r="Y14" i="577"/>
  <c r="H54" i="90" s="1"/>
  <c r="G54" i="90"/>
  <c r="E16" i="577"/>
  <c r="I16" i="577"/>
  <c r="T14" i="576"/>
  <c r="AB14" i="576" s="1"/>
  <c r="S14" i="576"/>
  <c r="AA14" i="576" s="1"/>
  <c r="V14" i="577"/>
  <c r="Q14" i="577" s="1"/>
  <c r="L15" i="576"/>
  <c r="L16" i="576" s="1"/>
  <c r="S13" i="576"/>
  <c r="AA13" i="576" s="1"/>
  <c r="D17" i="577"/>
  <c r="D18" i="577" s="1"/>
  <c r="D19" i="577" s="1"/>
  <c r="D20" i="577" s="1"/>
  <c r="D16" i="576"/>
  <c r="L15" i="577"/>
  <c r="L16" i="577" s="1"/>
  <c r="C16" i="576"/>
  <c r="C17" i="577"/>
  <c r="Y13" i="576"/>
  <c r="AC13" i="576" s="1"/>
  <c r="K16" i="576"/>
  <c r="U13" i="576" l="1"/>
  <c r="J58" i="538"/>
  <c r="J54" i="536"/>
  <c r="J56" i="537"/>
  <c r="F59" i="538"/>
  <c r="F55" i="536"/>
  <c r="F57" i="537"/>
  <c r="Q58" i="538"/>
  <c r="Q56" i="537"/>
  <c r="Q54" i="536"/>
  <c r="F56" i="536"/>
  <c r="F60" i="538"/>
  <c r="F58" i="537"/>
  <c r="G57" i="537"/>
  <c r="G59" i="538"/>
  <c r="G55" i="536"/>
  <c r="O52" i="542"/>
  <c r="O58" i="538"/>
  <c r="O54" i="536"/>
  <c r="O56" i="537"/>
  <c r="K49" i="406"/>
  <c r="K43" i="544" s="1"/>
  <c r="N58" i="538"/>
  <c r="N56" i="537"/>
  <c r="N54" i="536"/>
  <c r="G58" i="537"/>
  <c r="G60" i="538"/>
  <c r="G56" i="536"/>
  <c r="H59" i="538"/>
  <c r="H55" i="536"/>
  <c r="H57" i="537"/>
  <c r="P58" i="538"/>
  <c r="P54" i="536"/>
  <c r="P56" i="537"/>
  <c r="I56" i="537"/>
  <c r="I58" i="538"/>
  <c r="I54" i="536"/>
  <c r="M55" i="536"/>
  <c r="M57" i="537"/>
  <c r="M59" i="538"/>
  <c r="N62" i="517"/>
  <c r="K52" i="405" s="1"/>
  <c r="N52" i="542"/>
  <c r="F16" i="577"/>
  <c r="U16" i="577" s="1"/>
  <c r="J52" i="405"/>
  <c r="J52" i="531"/>
  <c r="Y15" i="577"/>
  <c r="H55" i="90" s="1"/>
  <c r="AC14" i="576"/>
  <c r="C17" i="576"/>
  <c r="C18" i="577"/>
  <c r="C19" i="577" s="1"/>
  <c r="C20" i="577" s="1"/>
  <c r="F15" i="576"/>
  <c r="W14" i="577"/>
  <c r="Q54" i="90" s="1"/>
  <c r="U15" i="577"/>
  <c r="E55" i="567" s="1"/>
  <c r="E46" i="552" s="1"/>
  <c r="N44" i="552"/>
  <c r="L44" i="552"/>
  <c r="J54" i="567"/>
  <c r="J45" i="552" s="1"/>
  <c r="I45" i="552"/>
  <c r="M55" i="567"/>
  <c r="AD14" i="577"/>
  <c r="F54" i="567" s="1"/>
  <c r="F45" i="552" s="1"/>
  <c r="E54" i="567"/>
  <c r="E45" i="552" s="1"/>
  <c r="O55" i="567"/>
  <c r="O46" i="552" s="1"/>
  <c r="H54" i="567"/>
  <c r="H45" i="552" s="1"/>
  <c r="G45" i="552"/>
  <c r="I55" i="567"/>
  <c r="J44" i="552"/>
  <c r="N54" i="567"/>
  <c r="N45" i="552" s="1"/>
  <c r="M45" i="552"/>
  <c r="G55" i="567"/>
  <c r="R16" i="577"/>
  <c r="I56" i="567"/>
  <c r="M56" i="567"/>
  <c r="K56" i="567"/>
  <c r="AC14" i="577"/>
  <c r="N54" i="90" s="1"/>
  <c r="H44" i="552"/>
  <c r="E44" i="552"/>
  <c r="K55" i="567"/>
  <c r="L54" i="567"/>
  <c r="L45" i="552" s="1"/>
  <c r="K45" i="552"/>
  <c r="F44" i="552"/>
  <c r="J50" i="406"/>
  <c r="J44" i="544" s="1"/>
  <c r="M53" i="542"/>
  <c r="M63" i="517"/>
  <c r="N49" i="406"/>
  <c r="N43" i="544" s="1"/>
  <c r="L43" i="544"/>
  <c r="B52" i="405"/>
  <c r="B52" i="531"/>
  <c r="E62" i="501"/>
  <c r="E63" i="501"/>
  <c r="B53" i="405"/>
  <c r="B53" i="531"/>
  <c r="D51" i="406"/>
  <c r="D45" i="544" s="1"/>
  <c r="G54" i="542"/>
  <c r="G64" i="517"/>
  <c r="D50" i="406"/>
  <c r="D44" i="544" s="1"/>
  <c r="G63" i="517"/>
  <c r="G53" i="542"/>
  <c r="O62" i="501"/>
  <c r="L52" i="531"/>
  <c r="N52" i="531" s="1"/>
  <c r="L52" i="405"/>
  <c r="N52" i="405" s="1"/>
  <c r="Q52" i="542"/>
  <c r="Q62" i="517"/>
  <c r="F49" i="406"/>
  <c r="F43" i="544" s="1"/>
  <c r="I62" i="517"/>
  <c r="I52" i="542"/>
  <c r="G62" i="501"/>
  <c r="D52" i="531"/>
  <c r="D52" i="405"/>
  <c r="G49" i="406"/>
  <c r="J52" i="542"/>
  <c r="J62" i="517"/>
  <c r="G52" i="405" s="1"/>
  <c r="Y15" i="576"/>
  <c r="C51" i="406"/>
  <c r="C45" i="544" s="1"/>
  <c r="F64" i="517"/>
  <c r="C54" i="405" s="1"/>
  <c r="F54" i="542"/>
  <c r="M49" i="406"/>
  <c r="P62" i="517"/>
  <c r="M52" i="405" s="1"/>
  <c r="O52" i="405" s="1"/>
  <c r="P52" i="542"/>
  <c r="C50" i="406"/>
  <c r="F53" i="542"/>
  <c r="F63" i="517"/>
  <c r="C53" i="405" s="1"/>
  <c r="E50" i="406"/>
  <c r="H53" i="542"/>
  <c r="H63" i="517"/>
  <c r="E53" i="405" s="1"/>
  <c r="AF13" i="577"/>
  <c r="R53" i="90" s="1"/>
  <c r="P15" i="576"/>
  <c r="X15" i="576" s="1"/>
  <c r="T15" i="576"/>
  <c r="U15" i="576" s="1"/>
  <c r="R15" i="576"/>
  <c r="Z15" i="576" s="1"/>
  <c r="E55" i="90"/>
  <c r="E16" i="576"/>
  <c r="P16" i="576" s="1"/>
  <c r="O15" i="576"/>
  <c r="W15" i="576" s="1"/>
  <c r="N15" i="576"/>
  <c r="V15" i="576" s="1"/>
  <c r="D17" i="576"/>
  <c r="I54" i="90"/>
  <c r="Z14" i="577"/>
  <c r="J54" i="90" s="1"/>
  <c r="O54" i="90"/>
  <c r="E17" i="577"/>
  <c r="E18" i="577" s="1"/>
  <c r="P16" i="577"/>
  <c r="O16" i="577"/>
  <c r="Q15" i="577"/>
  <c r="I17" i="577"/>
  <c r="I18" i="577" s="1"/>
  <c r="U14" i="576"/>
  <c r="AE14" i="577"/>
  <c r="S15" i="576"/>
  <c r="AA15" i="576" s="1"/>
  <c r="T15" i="577"/>
  <c r="F17" i="577"/>
  <c r="F18" i="577" s="1"/>
  <c r="F19" i="577" s="1"/>
  <c r="F20" i="577" s="1"/>
  <c r="F16" i="576"/>
  <c r="L17" i="577"/>
  <c r="L18" i="577" s="1"/>
  <c r="L19" i="577" s="1"/>
  <c r="L20" i="577" s="1"/>
  <c r="T16" i="577"/>
  <c r="K17" i="576"/>
  <c r="L17" i="576"/>
  <c r="G56" i="567" l="1"/>
  <c r="H56" i="567" s="1"/>
  <c r="H47" i="552" s="1"/>
  <c r="V16" i="577"/>
  <c r="Q16" i="577" s="1"/>
  <c r="I56" i="90" s="1"/>
  <c r="N62" i="501"/>
  <c r="K52" i="531"/>
  <c r="I59" i="538"/>
  <c r="I55" i="536"/>
  <c r="I57" i="537"/>
  <c r="R58" i="538"/>
  <c r="R54" i="536"/>
  <c r="R56" i="537"/>
  <c r="E51" i="406"/>
  <c r="E45" i="544" s="1"/>
  <c r="H60" i="538"/>
  <c r="H56" i="536"/>
  <c r="H58" i="537"/>
  <c r="J57" i="537"/>
  <c r="J59" i="538"/>
  <c r="J55" i="536"/>
  <c r="P54" i="90"/>
  <c r="P63" i="517" s="1"/>
  <c r="M53" i="405" s="1"/>
  <c r="O53" i="405" s="1"/>
  <c r="N59" i="538"/>
  <c r="N55" i="536"/>
  <c r="N57" i="537"/>
  <c r="Q59" i="538"/>
  <c r="Q55" i="536"/>
  <c r="Q57" i="537"/>
  <c r="O57" i="537"/>
  <c r="O59" i="538"/>
  <c r="O55" i="536"/>
  <c r="E58" i="537"/>
  <c r="E60" i="538"/>
  <c r="E56" i="536"/>
  <c r="E44" i="544"/>
  <c r="H64" i="517"/>
  <c r="E54" i="405" s="1"/>
  <c r="H54" i="542"/>
  <c r="C44" i="544"/>
  <c r="M43" i="544"/>
  <c r="G43" i="544"/>
  <c r="N53" i="542"/>
  <c r="N63" i="517"/>
  <c r="K53" i="405" s="1"/>
  <c r="K50" i="406"/>
  <c r="E19" i="577"/>
  <c r="I58" i="567"/>
  <c r="K58" i="567"/>
  <c r="G58" i="567"/>
  <c r="M58" i="567"/>
  <c r="T18" i="577"/>
  <c r="M58" i="90" s="1"/>
  <c r="V18" i="577"/>
  <c r="AE18" i="577" s="1"/>
  <c r="R18" i="577"/>
  <c r="P18" i="577"/>
  <c r="G58" i="90" s="1"/>
  <c r="O18" i="577"/>
  <c r="E58" i="90" s="1"/>
  <c r="U18" i="577"/>
  <c r="AD15" i="577"/>
  <c r="F55" i="567" s="1"/>
  <c r="F46" i="552" s="1"/>
  <c r="AB15" i="576"/>
  <c r="AC15" i="576" s="1"/>
  <c r="I19" i="577"/>
  <c r="N16" i="576"/>
  <c r="V16" i="576" s="1"/>
  <c r="W15" i="577"/>
  <c r="Q55" i="90" s="1"/>
  <c r="AD16" i="577"/>
  <c r="F56" i="567" s="1"/>
  <c r="E56" i="567"/>
  <c r="G47" i="552"/>
  <c r="L55" i="567"/>
  <c r="K46" i="552"/>
  <c r="J56" i="567"/>
  <c r="J47" i="552" s="1"/>
  <c r="I47" i="552"/>
  <c r="AA16" i="577"/>
  <c r="P56" i="567" s="1"/>
  <c r="O56" i="567"/>
  <c r="Q16" i="576"/>
  <c r="Y16" i="576" s="1"/>
  <c r="H55" i="567"/>
  <c r="G46" i="552"/>
  <c r="I57" i="567"/>
  <c r="G57" i="567"/>
  <c r="K57" i="567"/>
  <c r="M57" i="567"/>
  <c r="J55" i="567"/>
  <c r="I46" i="552"/>
  <c r="N55" i="567"/>
  <c r="N46" i="552" s="1"/>
  <c r="M46" i="552"/>
  <c r="N56" i="567"/>
  <c r="N47" i="552" s="1"/>
  <c r="M47" i="552"/>
  <c r="O16" i="576"/>
  <c r="W16" i="576" s="1"/>
  <c r="L56" i="567"/>
  <c r="L47" i="552" s="1"/>
  <c r="K47" i="552"/>
  <c r="Q62" i="501"/>
  <c r="C53" i="567" s="1"/>
  <c r="B51" i="406"/>
  <c r="B45" i="544" s="1"/>
  <c r="E54" i="542"/>
  <c r="Q63" i="517"/>
  <c r="Q63" i="501" s="1"/>
  <c r="C54" i="567" s="1"/>
  <c r="C45" i="552" s="1"/>
  <c r="Q53" i="542"/>
  <c r="I62" i="501"/>
  <c r="F52" i="531"/>
  <c r="F52" i="405"/>
  <c r="M63" i="501"/>
  <c r="J53" i="405"/>
  <c r="J53" i="531"/>
  <c r="L50" i="406"/>
  <c r="O63" i="517"/>
  <c r="O53" i="542"/>
  <c r="D54" i="531"/>
  <c r="G64" i="501"/>
  <c r="D54" i="405"/>
  <c r="G63" i="501"/>
  <c r="D53" i="405"/>
  <c r="D53" i="531"/>
  <c r="F50" i="406"/>
  <c r="F44" i="544" s="1"/>
  <c r="I53" i="542"/>
  <c r="I63" i="517"/>
  <c r="R62" i="517"/>
  <c r="R62" i="501" s="1"/>
  <c r="D53" i="567" s="1"/>
  <c r="R52" i="542"/>
  <c r="E53" i="531"/>
  <c r="H63" i="501"/>
  <c r="G52" i="531"/>
  <c r="J62" i="501"/>
  <c r="G50" i="406"/>
  <c r="G44" i="544" s="1"/>
  <c r="J63" i="517"/>
  <c r="G53" i="405" s="1"/>
  <c r="J53" i="542"/>
  <c r="C53" i="531"/>
  <c r="F63" i="501"/>
  <c r="C54" i="531"/>
  <c r="F64" i="501"/>
  <c r="O49" i="406"/>
  <c r="AF14" i="577"/>
  <c r="R54" i="90" s="1"/>
  <c r="M52" i="531"/>
  <c r="P62" i="501"/>
  <c r="X16" i="576"/>
  <c r="T16" i="576"/>
  <c r="AB16" i="576" s="1"/>
  <c r="P17" i="577"/>
  <c r="Y17" i="577" s="1"/>
  <c r="U17" i="577"/>
  <c r="Y16" i="577"/>
  <c r="H56" i="90" s="1"/>
  <c r="G56" i="90"/>
  <c r="E17" i="576"/>
  <c r="N17" i="576" s="1"/>
  <c r="V17" i="576" s="1"/>
  <c r="AC16" i="577"/>
  <c r="N56" i="90" s="1"/>
  <c r="M56" i="90"/>
  <c r="R17" i="577"/>
  <c r="Z15" i="577"/>
  <c r="J55" i="90" s="1"/>
  <c r="I55" i="90"/>
  <c r="O17" i="577"/>
  <c r="AC15" i="577"/>
  <c r="N55" i="90" s="1"/>
  <c r="M55" i="90"/>
  <c r="X16" i="577"/>
  <c r="F56" i="90" s="1"/>
  <c r="E56" i="90"/>
  <c r="S16" i="576"/>
  <c r="AA16" i="576" s="1"/>
  <c r="F17" i="576"/>
  <c r="V17" i="577"/>
  <c r="AE17" i="577" s="1"/>
  <c r="R16" i="576"/>
  <c r="Z16" i="576" s="1"/>
  <c r="T17" i="577"/>
  <c r="W16" i="577" l="1"/>
  <c r="Q56" i="90" s="1"/>
  <c r="Z16" i="577"/>
  <c r="J56" i="90" s="1"/>
  <c r="AE16" i="577"/>
  <c r="H64" i="501"/>
  <c r="P53" i="542"/>
  <c r="E61" i="538"/>
  <c r="E57" i="536"/>
  <c r="E59" i="537"/>
  <c r="M61" i="538"/>
  <c r="M57" i="536"/>
  <c r="M59" i="537"/>
  <c r="E54" i="531"/>
  <c r="M58" i="537"/>
  <c r="M60" i="538"/>
  <c r="M56" i="536"/>
  <c r="F59" i="537"/>
  <c r="F61" i="538"/>
  <c r="F57" i="536"/>
  <c r="N59" i="537"/>
  <c r="N61" i="538"/>
  <c r="N57" i="536"/>
  <c r="Q59" i="537"/>
  <c r="Q61" i="538"/>
  <c r="Q57" i="536"/>
  <c r="P59" i="538"/>
  <c r="P55" i="536"/>
  <c r="P57" i="537"/>
  <c r="G57" i="536"/>
  <c r="G59" i="537"/>
  <c r="G61" i="538"/>
  <c r="Q54" i="542"/>
  <c r="Q58" i="537"/>
  <c r="Q60" i="538"/>
  <c r="Q56" i="536"/>
  <c r="B54" i="406"/>
  <c r="B48" i="544" s="1"/>
  <c r="E63" i="538"/>
  <c r="E61" i="537"/>
  <c r="E59" i="536"/>
  <c r="N56" i="536"/>
  <c r="N60" i="538"/>
  <c r="N58" i="537"/>
  <c r="R59" i="538"/>
  <c r="R57" i="537"/>
  <c r="R55" i="536"/>
  <c r="D54" i="406"/>
  <c r="D48" i="544" s="1"/>
  <c r="G63" i="538"/>
  <c r="G61" i="537"/>
  <c r="G59" i="536"/>
  <c r="H61" i="538"/>
  <c r="H57" i="536"/>
  <c r="H59" i="537"/>
  <c r="I58" i="537"/>
  <c r="I60" i="538"/>
  <c r="I56" i="536"/>
  <c r="I59" i="537"/>
  <c r="I61" i="538"/>
  <c r="I57" i="536"/>
  <c r="J60" i="538"/>
  <c r="J56" i="536"/>
  <c r="J58" i="537"/>
  <c r="J61" i="538"/>
  <c r="J57" i="536"/>
  <c r="J59" i="537"/>
  <c r="M50" i="406"/>
  <c r="O50" i="406" s="1"/>
  <c r="O44" i="544" s="1"/>
  <c r="J54" i="406"/>
  <c r="J48" i="544" s="1"/>
  <c r="M63" i="538"/>
  <c r="M61" i="537"/>
  <c r="M59" i="536"/>
  <c r="N63" i="501"/>
  <c r="K44" i="544"/>
  <c r="O43" i="544"/>
  <c r="Q18" i="577"/>
  <c r="I58" i="90" s="1"/>
  <c r="V20" i="576"/>
  <c r="K53" i="531"/>
  <c r="X18" i="577"/>
  <c r="F58" i="90" s="1"/>
  <c r="Q64" i="517"/>
  <c r="Q64" i="501" s="1"/>
  <c r="C55" i="567" s="1"/>
  <c r="C46" i="552" s="1"/>
  <c r="Y18" i="577"/>
  <c r="H58" i="90" s="1"/>
  <c r="AC18" i="577"/>
  <c r="N58" i="90" s="1"/>
  <c r="AF15" i="577"/>
  <c r="R55" i="90" s="1"/>
  <c r="G57" i="90"/>
  <c r="M67" i="517"/>
  <c r="J57" i="405" s="1"/>
  <c r="M57" i="542"/>
  <c r="O58" i="90"/>
  <c r="AD18" i="577"/>
  <c r="F58" i="567" s="1"/>
  <c r="F49" i="552" s="1"/>
  <c r="E58" i="567"/>
  <c r="E49" i="552" s="1"/>
  <c r="N58" i="567"/>
  <c r="N49" i="552" s="1"/>
  <c r="M49" i="552"/>
  <c r="AC16" i="576"/>
  <c r="E67" i="517"/>
  <c r="B57" i="405" s="1"/>
  <c r="E57" i="542"/>
  <c r="G49" i="552"/>
  <c r="H58" i="567"/>
  <c r="H49" i="552" s="1"/>
  <c r="I20" i="577"/>
  <c r="G67" i="517"/>
  <c r="D57" i="405" s="1"/>
  <c r="G57" i="542"/>
  <c r="L58" i="567"/>
  <c r="L49" i="552" s="1"/>
  <c r="K49" i="552"/>
  <c r="AA18" i="577"/>
  <c r="O58" i="567"/>
  <c r="O49" i="552" s="1"/>
  <c r="W18" i="577"/>
  <c r="Q58" i="90" s="1"/>
  <c r="I49" i="552"/>
  <c r="J58" i="567"/>
  <c r="J49" i="552" s="1"/>
  <c r="M59" i="567"/>
  <c r="K59" i="567"/>
  <c r="I59" i="567"/>
  <c r="G59" i="567"/>
  <c r="P19" i="577"/>
  <c r="O19" i="577"/>
  <c r="U19" i="577"/>
  <c r="T19" i="577"/>
  <c r="V19" i="577"/>
  <c r="AE19" i="577" s="1"/>
  <c r="R19" i="577"/>
  <c r="AA19" i="577" s="1"/>
  <c r="E20" i="577"/>
  <c r="U16" i="576"/>
  <c r="H57" i="567"/>
  <c r="H48" i="552" s="1"/>
  <c r="G48" i="552"/>
  <c r="P47" i="552"/>
  <c r="L46" i="552"/>
  <c r="L57" i="567"/>
  <c r="L48" i="552" s="1"/>
  <c r="K48" i="552"/>
  <c r="J57" i="567"/>
  <c r="J48" i="552" s="1"/>
  <c r="I48" i="552"/>
  <c r="AA17" i="577"/>
  <c r="P57" i="567" s="1"/>
  <c r="P48" i="552" s="1"/>
  <c r="O57" i="567"/>
  <c r="O48" i="552" s="1"/>
  <c r="W17" i="577"/>
  <c r="Q57" i="90" s="1"/>
  <c r="H46" i="552"/>
  <c r="E47" i="552"/>
  <c r="AD17" i="577"/>
  <c r="E57" i="567"/>
  <c r="E48" i="552" s="1"/>
  <c r="J46" i="552"/>
  <c r="F47" i="552"/>
  <c r="O47" i="552"/>
  <c r="AF16" i="577"/>
  <c r="R56" i="90" s="1"/>
  <c r="N57" i="567"/>
  <c r="N48" i="552" s="1"/>
  <c r="M48" i="552"/>
  <c r="C44" i="552"/>
  <c r="D44" i="552"/>
  <c r="N50" i="406"/>
  <c r="N44" i="544" s="1"/>
  <c r="L44" i="544"/>
  <c r="B52" i="406"/>
  <c r="B46" i="544" s="1"/>
  <c r="E65" i="517"/>
  <c r="E55" i="542"/>
  <c r="E64" i="501"/>
  <c r="B54" i="405"/>
  <c r="B54" i="531"/>
  <c r="F51" i="406"/>
  <c r="F45" i="544" s="1"/>
  <c r="I64" i="517"/>
  <c r="I54" i="542"/>
  <c r="Q65" i="517"/>
  <c r="Q65" i="501" s="1"/>
  <c r="C56" i="567" s="1"/>
  <c r="C47" i="552" s="1"/>
  <c r="Q55" i="542"/>
  <c r="I63" i="501"/>
  <c r="F53" i="531"/>
  <c r="F53" i="405"/>
  <c r="D52" i="406"/>
  <c r="D46" i="544" s="1"/>
  <c r="G55" i="542"/>
  <c r="G65" i="517"/>
  <c r="F52" i="406"/>
  <c r="F46" i="544" s="1"/>
  <c r="I55" i="542"/>
  <c r="I65" i="517"/>
  <c r="O56" i="90"/>
  <c r="J52" i="406"/>
  <c r="J46" i="544" s="1"/>
  <c r="M65" i="517"/>
  <c r="M55" i="542"/>
  <c r="J51" i="406"/>
  <c r="J45" i="544" s="1"/>
  <c r="M64" i="517"/>
  <c r="M54" i="542"/>
  <c r="L53" i="405"/>
  <c r="N53" i="405" s="1"/>
  <c r="O63" i="501"/>
  <c r="L53" i="531"/>
  <c r="N53" i="531" s="1"/>
  <c r="R53" i="542"/>
  <c r="R63" i="517"/>
  <c r="R63" i="501" s="1"/>
  <c r="D54" i="567" s="1"/>
  <c r="D45" i="552" s="1"/>
  <c r="O52" i="531"/>
  <c r="G51" i="406"/>
  <c r="G45" i="544" s="1"/>
  <c r="J64" i="517"/>
  <c r="G54" i="405" s="1"/>
  <c r="J54" i="542"/>
  <c r="G52" i="406"/>
  <c r="G46" i="544" s="1"/>
  <c r="J55" i="542"/>
  <c r="J65" i="517"/>
  <c r="G55" i="405" s="1"/>
  <c r="C52" i="406"/>
  <c r="F65" i="517"/>
  <c r="C55" i="405" s="1"/>
  <c r="F55" i="542"/>
  <c r="P56" i="90"/>
  <c r="K52" i="406"/>
  <c r="K46" i="544" s="1"/>
  <c r="N55" i="542"/>
  <c r="N65" i="517"/>
  <c r="K55" i="405" s="1"/>
  <c r="G53" i="531"/>
  <c r="J63" i="501"/>
  <c r="E52" i="406"/>
  <c r="H65" i="517"/>
  <c r="E55" i="405" s="1"/>
  <c r="H55" i="542"/>
  <c r="K51" i="406"/>
  <c r="K45" i="544" s="1"/>
  <c r="N64" i="517"/>
  <c r="K54" i="405" s="1"/>
  <c r="N54" i="542"/>
  <c r="M53" i="531"/>
  <c r="O53" i="531" s="1"/>
  <c r="P63" i="501"/>
  <c r="T17" i="576"/>
  <c r="AB17" i="576" s="1"/>
  <c r="AB20" i="576" s="1"/>
  <c r="Q17" i="576"/>
  <c r="E57" i="90"/>
  <c r="X17" i="577"/>
  <c r="Q17" i="577"/>
  <c r="P17" i="576"/>
  <c r="X17" i="576" s="1"/>
  <c r="X20" i="576" s="1"/>
  <c r="O17" i="576"/>
  <c r="W17" i="576" s="1"/>
  <c r="W20" i="576" s="1"/>
  <c r="AC17" i="577"/>
  <c r="M57" i="90"/>
  <c r="O55" i="90"/>
  <c r="H57" i="90"/>
  <c r="P55" i="90"/>
  <c r="AE23" i="577"/>
  <c r="S17" i="576"/>
  <c r="AA17" i="576" s="1"/>
  <c r="AA20" i="576" s="1"/>
  <c r="R17" i="576"/>
  <c r="Z17" i="576" s="1"/>
  <c r="Z20" i="576" s="1"/>
  <c r="M44" i="544" l="1"/>
  <c r="Q60" i="537"/>
  <c r="Q62" i="538"/>
  <c r="Q58" i="536"/>
  <c r="R61" i="538"/>
  <c r="R57" i="536"/>
  <c r="R59" i="537"/>
  <c r="H63" i="538"/>
  <c r="H61" i="537"/>
  <c r="H59" i="536"/>
  <c r="Q59" i="536"/>
  <c r="Q63" i="538"/>
  <c r="Q61" i="537"/>
  <c r="L54" i="406"/>
  <c r="O63" i="538"/>
  <c r="O61" i="537"/>
  <c r="O59" i="536"/>
  <c r="F63" i="538"/>
  <c r="F59" i="536"/>
  <c r="F61" i="537"/>
  <c r="O57" i="536"/>
  <c r="O59" i="537"/>
  <c r="O61" i="538"/>
  <c r="D53" i="406"/>
  <c r="D47" i="544" s="1"/>
  <c r="G60" i="537"/>
  <c r="G62" i="538"/>
  <c r="G58" i="536"/>
  <c r="I59" i="536"/>
  <c r="I63" i="538"/>
  <c r="I61" i="537"/>
  <c r="H58" i="536"/>
  <c r="H60" i="537"/>
  <c r="H62" i="538"/>
  <c r="R64" i="517"/>
  <c r="R64" i="501" s="1"/>
  <c r="D55" i="567" s="1"/>
  <c r="D46" i="552" s="1"/>
  <c r="R60" i="538"/>
  <c r="R56" i="536"/>
  <c r="R58" i="537"/>
  <c r="P60" i="538"/>
  <c r="P58" i="537"/>
  <c r="P56" i="536"/>
  <c r="E60" i="537"/>
  <c r="E62" i="538"/>
  <c r="E58" i="536"/>
  <c r="P61" i="538"/>
  <c r="P57" i="536"/>
  <c r="P59" i="537"/>
  <c r="O58" i="537"/>
  <c r="O60" i="538"/>
  <c r="O56" i="536"/>
  <c r="M60" i="537"/>
  <c r="M62" i="538"/>
  <c r="M58" i="536"/>
  <c r="N63" i="538"/>
  <c r="N61" i="537"/>
  <c r="N59" i="536"/>
  <c r="F67" i="517"/>
  <c r="C57" i="405" s="1"/>
  <c r="C54" i="406"/>
  <c r="C48" i="544" s="1"/>
  <c r="E46" i="544"/>
  <c r="C46" i="544"/>
  <c r="H67" i="517"/>
  <c r="E54" i="406"/>
  <c r="E48" i="544" s="1"/>
  <c r="N57" i="542"/>
  <c r="K54" i="406"/>
  <c r="K48" i="544" s="1"/>
  <c r="I57" i="542"/>
  <c r="F54" i="406"/>
  <c r="F48" i="544" s="1"/>
  <c r="G67" i="501"/>
  <c r="D57" i="531"/>
  <c r="E67" i="501"/>
  <c r="B57" i="531"/>
  <c r="M67" i="501"/>
  <c r="J57" i="531"/>
  <c r="I67" i="517"/>
  <c r="F57" i="405" s="1"/>
  <c r="Z18" i="577"/>
  <c r="J58" i="90" s="1"/>
  <c r="F57" i="542"/>
  <c r="G56" i="542"/>
  <c r="G66" i="517"/>
  <c r="D56" i="405" s="1"/>
  <c r="R54" i="542"/>
  <c r="P58" i="90"/>
  <c r="H57" i="542"/>
  <c r="N67" i="517"/>
  <c r="K57" i="405" s="1"/>
  <c r="AF17" i="577"/>
  <c r="R57" i="90" s="1"/>
  <c r="P59" i="567"/>
  <c r="P50" i="552" s="1"/>
  <c r="G50" i="552"/>
  <c r="H59" i="567"/>
  <c r="H50" i="552" s="1"/>
  <c r="Q57" i="542"/>
  <c r="Q67" i="517"/>
  <c r="Q67" i="501" s="1"/>
  <c r="C58" i="567" s="1"/>
  <c r="C49" i="552" s="1"/>
  <c r="Q19" i="577"/>
  <c r="U17" i="576"/>
  <c r="W19" i="577"/>
  <c r="Q59" i="90" s="1"/>
  <c r="O59" i="567"/>
  <c r="O50" i="552" s="1"/>
  <c r="L59" i="567"/>
  <c r="L50" i="552" s="1"/>
  <c r="K50" i="552"/>
  <c r="AF18" i="577"/>
  <c r="R58" i="90" s="1"/>
  <c r="P58" i="567"/>
  <c r="P49" i="552" s="1"/>
  <c r="N59" i="567"/>
  <c r="N50" i="552" s="1"/>
  <c r="M50" i="552"/>
  <c r="AC19" i="577"/>
  <c r="N59" i="90" s="1"/>
  <c r="M59" i="90"/>
  <c r="I50" i="552"/>
  <c r="J59" i="567"/>
  <c r="J50" i="552" s="1"/>
  <c r="AD19" i="577"/>
  <c r="F59" i="567" s="1"/>
  <c r="F50" i="552" s="1"/>
  <c r="E59" i="567"/>
  <c r="E50" i="552" s="1"/>
  <c r="O57" i="542"/>
  <c r="O67" i="517"/>
  <c r="L57" i="405" s="1"/>
  <c r="N57" i="405" s="1"/>
  <c r="X19" i="577"/>
  <c r="F59" i="90" s="1"/>
  <c r="E59" i="90"/>
  <c r="I60" i="567"/>
  <c r="K60" i="567"/>
  <c r="G60" i="567"/>
  <c r="M60" i="567"/>
  <c r="R20" i="577"/>
  <c r="AA20" i="577" s="1"/>
  <c r="T20" i="577"/>
  <c r="M60" i="90" s="1"/>
  <c r="U20" i="577"/>
  <c r="O20" i="577"/>
  <c r="E60" i="90" s="1"/>
  <c r="V20" i="577"/>
  <c r="AE20" i="577" s="1"/>
  <c r="P20" i="577"/>
  <c r="G60" i="90" s="1"/>
  <c r="Y19" i="577"/>
  <c r="G59" i="90"/>
  <c r="Y17" i="576"/>
  <c r="AC17" i="576" s="1"/>
  <c r="AD23" i="577"/>
  <c r="F57" i="567"/>
  <c r="L51" i="406"/>
  <c r="O64" i="517"/>
  <c r="O54" i="542"/>
  <c r="B53" i="406"/>
  <c r="B47" i="544" s="1"/>
  <c r="E66" i="517"/>
  <c r="E56" i="542"/>
  <c r="E65" i="501"/>
  <c r="B55" i="531"/>
  <c r="B55" i="405"/>
  <c r="L52" i="406"/>
  <c r="O55" i="542"/>
  <c r="O65" i="517"/>
  <c r="I64" i="501"/>
  <c r="F54" i="405"/>
  <c r="F54" i="531"/>
  <c r="G65" i="501"/>
  <c r="D55" i="405"/>
  <c r="D55" i="531"/>
  <c r="Q56" i="542"/>
  <c r="Q66" i="517"/>
  <c r="Q66" i="501" s="1"/>
  <c r="C57" i="567" s="1"/>
  <c r="J55" i="405"/>
  <c r="M65" i="501"/>
  <c r="J55" i="531"/>
  <c r="O57" i="90"/>
  <c r="J53" i="406"/>
  <c r="J47" i="544" s="1"/>
  <c r="M56" i="542"/>
  <c r="M66" i="517"/>
  <c r="I65" i="501"/>
  <c r="F55" i="405"/>
  <c r="F55" i="531"/>
  <c r="J54" i="531"/>
  <c r="M64" i="501"/>
  <c r="J54" i="405"/>
  <c r="M51" i="406"/>
  <c r="P54" i="542"/>
  <c r="P64" i="517"/>
  <c r="M54" i="405" s="1"/>
  <c r="O54" i="405" s="1"/>
  <c r="E55" i="531"/>
  <c r="H65" i="501"/>
  <c r="M52" i="406"/>
  <c r="P65" i="517"/>
  <c r="M55" i="405" s="1"/>
  <c r="O55" i="405" s="1"/>
  <c r="P55" i="542"/>
  <c r="G54" i="531"/>
  <c r="J64" i="501"/>
  <c r="E53" i="406"/>
  <c r="E47" i="544" s="1"/>
  <c r="H66" i="517"/>
  <c r="E56" i="405" s="1"/>
  <c r="H56" i="542"/>
  <c r="G55" i="531"/>
  <c r="J65" i="501"/>
  <c r="C55" i="531"/>
  <c r="F65" i="501"/>
  <c r="K55" i="531"/>
  <c r="N65" i="501"/>
  <c r="K54" i="531"/>
  <c r="N64" i="501"/>
  <c r="R65" i="517"/>
  <c r="R65" i="501" s="1"/>
  <c r="R55" i="542"/>
  <c r="I57" i="90"/>
  <c r="Z17" i="577"/>
  <c r="F57" i="90"/>
  <c r="N57" i="90"/>
  <c r="D55" i="406" l="1"/>
  <c r="D49" i="544" s="1"/>
  <c r="G64" i="538"/>
  <c r="G62" i="537"/>
  <c r="G60" i="536"/>
  <c r="P63" i="538"/>
  <c r="P61" i="537"/>
  <c r="P59" i="536"/>
  <c r="N62" i="538"/>
  <c r="N58" i="536"/>
  <c r="N60" i="537"/>
  <c r="R63" i="538"/>
  <c r="R61" i="537"/>
  <c r="R59" i="536"/>
  <c r="N54" i="406"/>
  <c r="N48" i="544" s="1"/>
  <c r="L48" i="544"/>
  <c r="D56" i="406"/>
  <c r="D50" i="544" s="1"/>
  <c r="G65" i="538"/>
  <c r="G63" i="537"/>
  <c r="G61" i="536"/>
  <c r="C57" i="531"/>
  <c r="F62" i="538"/>
  <c r="F58" i="536"/>
  <c r="F60" i="537"/>
  <c r="B56" i="406"/>
  <c r="B50" i="544" s="1"/>
  <c r="E65" i="538"/>
  <c r="E63" i="537"/>
  <c r="E61" i="536"/>
  <c r="B55" i="406"/>
  <c r="B49" i="544" s="1"/>
  <c r="E64" i="538"/>
  <c r="E62" i="537"/>
  <c r="E60" i="536"/>
  <c r="J55" i="406"/>
  <c r="J49" i="544" s="1"/>
  <c r="M64" i="538"/>
  <c r="M62" i="537"/>
  <c r="M60" i="536"/>
  <c r="F67" i="501"/>
  <c r="H67" i="501"/>
  <c r="E57" i="405"/>
  <c r="O60" i="537"/>
  <c r="O62" i="538"/>
  <c r="O58" i="536"/>
  <c r="C55" i="406"/>
  <c r="C49" i="544" s="1"/>
  <c r="F64" i="538"/>
  <c r="F62" i="537"/>
  <c r="F60" i="536"/>
  <c r="K55" i="406"/>
  <c r="K49" i="544" s="1"/>
  <c r="N64" i="538"/>
  <c r="N60" i="536"/>
  <c r="N62" i="537"/>
  <c r="Q62" i="537"/>
  <c r="Q64" i="538"/>
  <c r="Q60" i="536"/>
  <c r="R56" i="542"/>
  <c r="R62" i="538"/>
  <c r="R58" i="536"/>
  <c r="R60" i="537"/>
  <c r="J63" i="538"/>
  <c r="J61" i="537"/>
  <c r="J59" i="536"/>
  <c r="I60" i="537"/>
  <c r="I62" i="538"/>
  <c r="I58" i="536"/>
  <c r="J56" i="406"/>
  <c r="J50" i="544" s="1"/>
  <c r="M65" i="538"/>
  <c r="M63" i="537"/>
  <c r="M61" i="536"/>
  <c r="E57" i="531"/>
  <c r="M45" i="544"/>
  <c r="J57" i="542"/>
  <c r="G54" i="406"/>
  <c r="G48" i="544" s="1"/>
  <c r="P57" i="542"/>
  <c r="M54" i="406"/>
  <c r="O67" i="501"/>
  <c r="L57" i="531"/>
  <c r="N57" i="531" s="1"/>
  <c r="I67" i="501"/>
  <c r="F57" i="531"/>
  <c r="N67" i="501"/>
  <c r="K57" i="531"/>
  <c r="J67" i="517"/>
  <c r="G57" i="405" s="1"/>
  <c r="G66" i="501"/>
  <c r="D56" i="531"/>
  <c r="P67" i="517"/>
  <c r="M57" i="405" s="1"/>
  <c r="O57" i="405" s="1"/>
  <c r="Y20" i="577"/>
  <c r="H60" i="90" s="1"/>
  <c r="R66" i="517"/>
  <c r="R66" i="501" s="1"/>
  <c r="D57" i="567" s="1"/>
  <c r="D48" i="552" s="1"/>
  <c r="Q20" i="577"/>
  <c r="Z20" i="577" s="1"/>
  <c r="J60" i="90" s="1"/>
  <c r="AC20" i="577"/>
  <c r="AF19" i="577"/>
  <c r="R59" i="90" s="1"/>
  <c r="P60" i="567"/>
  <c r="P51" i="552" s="1"/>
  <c r="AA23" i="577"/>
  <c r="AF23" i="577" s="1"/>
  <c r="H60" i="567"/>
  <c r="H51" i="552" s="1"/>
  <c r="G51" i="552"/>
  <c r="Q58" i="542"/>
  <c r="Q68" i="517"/>
  <c r="Q68" i="501" s="1"/>
  <c r="C59" i="567" s="1"/>
  <c r="C50" i="552" s="1"/>
  <c r="L60" i="567"/>
  <c r="L51" i="552" s="1"/>
  <c r="K51" i="552"/>
  <c r="Z19" i="577"/>
  <c r="J59" i="90" s="1"/>
  <c r="I59" i="90"/>
  <c r="G68" i="517"/>
  <c r="D58" i="405" s="1"/>
  <c r="G58" i="542"/>
  <c r="H59" i="90"/>
  <c r="AD20" i="577"/>
  <c r="F60" i="567" s="1"/>
  <c r="F51" i="552" s="1"/>
  <c r="E60" i="567"/>
  <c r="E51" i="552" s="1"/>
  <c r="F68" i="517"/>
  <c r="C58" i="405" s="1"/>
  <c r="F58" i="542"/>
  <c r="O59" i="90"/>
  <c r="M68" i="517"/>
  <c r="J58" i="405" s="1"/>
  <c r="M58" i="542"/>
  <c r="R57" i="542"/>
  <c r="R67" i="517"/>
  <c r="R67" i="501" s="1"/>
  <c r="D58" i="567" s="1"/>
  <c r="D49" i="552" s="1"/>
  <c r="J60" i="567"/>
  <c r="J51" i="552" s="1"/>
  <c r="I51" i="552"/>
  <c r="E69" i="517"/>
  <c r="B59" i="405" s="1"/>
  <c r="E59" i="542"/>
  <c r="E68" i="517"/>
  <c r="B58" i="405" s="1"/>
  <c r="E58" i="542"/>
  <c r="O60" i="90"/>
  <c r="M69" i="517"/>
  <c r="J59" i="405" s="1"/>
  <c r="M59" i="542"/>
  <c r="P59" i="90"/>
  <c r="N68" i="517"/>
  <c r="K58" i="405" s="1"/>
  <c r="N58" i="542"/>
  <c r="Y20" i="576"/>
  <c r="AC20" i="576" s="1"/>
  <c r="G59" i="542"/>
  <c r="G69" i="517"/>
  <c r="D59" i="405" s="1"/>
  <c r="O60" i="567"/>
  <c r="O51" i="552" s="1"/>
  <c r="W20" i="577"/>
  <c r="Q60" i="90" s="1"/>
  <c r="X20" i="577"/>
  <c r="N60" i="567"/>
  <c r="N51" i="552" s="1"/>
  <c r="M51" i="552"/>
  <c r="F48" i="552"/>
  <c r="C48" i="552"/>
  <c r="E66" i="501"/>
  <c r="B56" i="405"/>
  <c r="B56" i="531"/>
  <c r="L53" i="406"/>
  <c r="O56" i="542"/>
  <c r="O66" i="517"/>
  <c r="N52" i="406"/>
  <c r="N46" i="544" s="1"/>
  <c r="L46" i="544"/>
  <c r="L55" i="405"/>
  <c r="N55" i="405" s="1"/>
  <c r="O65" i="501"/>
  <c r="L55" i="531"/>
  <c r="N55" i="531" s="1"/>
  <c r="O64" i="501"/>
  <c r="L54" i="531"/>
  <c r="N54" i="531" s="1"/>
  <c r="L54" i="405"/>
  <c r="N54" i="405" s="1"/>
  <c r="O52" i="406"/>
  <c r="O46" i="544" s="1"/>
  <c r="M46" i="544"/>
  <c r="F53" i="406"/>
  <c r="F47" i="544" s="1"/>
  <c r="I66" i="517"/>
  <c r="I56" i="542"/>
  <c r="M66" i="501"/>
  <c r="J56" i="405"/>
  <c r="J56" i="531"/>
  <c r="N51" i="406"/>
  <c r="N45" i="544" s="1"/>
  <c r="L45" i="544"/>
  <c r="D56" i="567"/>
  <c r="M54" i="531"/>
  <c r="P64" i="501"/>
  <c r="M55" i="531"/>
  <c r="O55" i="531" s="1"/>
  <c r="P65" i="501"/>
  <c r="K53" i="406"/>
  <c r="N66" i="517"/>
  <c r="K56" i="405" s="1"/>
  <c r="N56" i="542"/>
  <c r="E56" i="531"/>
  <c r="H66" i="501"/>
  <c r="O51" i="406"/>
  <c r="C53" i="406"/>
  <c r="F56" i="542"/>
  <c r="F66" i="517"/>
  <c r="C56" i="405" s="1"/>
  <c r="P57" i="90"/>
  <c r="J57" i="90"/>
  <c r="M55" i="406" l="1"/>
  <c r="P64" i="538"/>
  <c r="P60" i="536"/>
  <c r="P62" i="537"/>
  <c r="R68" i="517"/>
  <c r="R68" i="501" s="1"/>
  <c r="D59" i="567" s="1"/>
  <c r="D50" i="552" s="1"/>
  <c r="R60" i="536"/>
  <c r="R64" i="538"/>
  <c r="R62" i="537"/>
  <c r="L55" i="406"/>
  <c r="O64" i="538"/>
  <c r="O62" i="537"/>
  <c r="O60" i="536"/>
  <c r="G55" i="406"/>
  <c r="G49" i="544" s="1"/>
  <c r="J60" i="536"/>
  <c r="J64" i="538"/>
  <c r="J62" i="537"/>
  <c r="O54" i="406"/>
  <c r="O48" i="544" s="1"/>
  <c r="M48" i="544"/>
  <c r="Q65" i="538"/>
  <c r="Q63" i="537"/>
  <c r="Q61" i="536"/>
  <c r="G56" i="406"/>
  <c r="G50" i="544" s="1"/>
  <c r="J65" i="538"/>
  <c r="J63" i="537"/>
  <c r="J61" i="536"/>
  <c r="J62" i="538"/>
  <c r="J60" i="537"/>
  <c r="J58" i="536"/>
  <c r="H65" i="538"/>
  <c r="H61" i="536"/>
  <c r="H63" i="537"/>
  <c r="F55" i="406"/>
  <c r="F49" i="544" s="1"/>
  <c r="I62" i="537"/>
  <c r="I64" i="538"/>
  <c r="I60" i="536"/>
  <c r="L56" i="406"/>
  <c r="O65" i="538"/>
  <c r="O63" i="537"/>
  <c r="O61" i="536"/>
  <c r="E55" i="406"/>
  <c r="E49" i="544" s="1"/>
  <c r="H64" i="538"/>
  <c r="H60" i="536"/>
  <c r="H62" i="537"/>
  <c r="P58" i="536"/>
  <c r="P62" i="538"/>
  <c r="P60" i="537"/>
  <c r="C47" i="544"/>
  <c r="H69" i="517"/>
  <c r="E59" i="405" s="1"/>
  <c r="E56" i="406"/>
  <c r="E50" i="544" s="1"/>
  <c r="K47" i="544"/>
  <c r="O45" i="544"/>
  <c r="E69" i="501"/>
  <c r="B59" i="531"/>
  <c r="N68" i="501"/>
  <c r="K58" i="531"/>
  <c r="F68" i="501"/>
  <c r="C58" i="531"/>
  <c r="M69" i="501"/>
  <c r="J59" i="531"/>
  <c r="E68" i="501"/>
  <c r="B58" i="531"/>
  <c r="G68" i="501"/>
  <c r="D58" i="531"/>
  <c r="P67" i="501"/>
  <c r="M57" i="531"/>
  <c r="O57" i="531" s="1"/>
  <c r="J67" i="501"/>
  <c r="G57" i="531"/>
  <c r="G69" i="501"/>
  <c r="D59" i="531"/>
  <c r="M68" i="501"/>
  <c r="J58" i="531"/>
  <c r="Y23" i="577"/>
  <c r="I60" i="90"/>
  <c r="H59" i="542"/>
  <c r="R58" i="542"/>
  <c r="N60" i="90"/>
  <c r="AC23" i="577"/>
  <c r="J58" i="542"/>
  <c r="J68" i="517"/>
  <c r="G58" i="405" s="1"/>
  <c r="O69" i="517"/>
  <c r="L59" i="405" s="1"/>
  <c r="N59" i="405" s="1"/>
  <c r="O59" i="542"/>
  <c r="I58" i="542"/>
  <c r="I68" i="517"/>
  <c r="F58" i="405" s="1"/>
  <c r="F60" i="90"/>
  <c r="X23" i="577"/>
  <c r="Z23" i="577"/>
  <c r="J59" i="542"/>
  <c r="J69" i="517"/>
  <c r="G59" i="405" s="1"/>
  <c r="P58" i="542"/>
  <c r="P68" i="517"/>
  <c r="M58" i="405" s="1"/>
  <c r="O58" i="405" s="1"/>
  <c r="H68" i="517"/>
  <c r="E58" i="405" s="1"/>
  <c r="H58" i="542"/>
  <c r="Q69" i="517"/>
  <c r="Q69" i="501" s="1"/>
  <c r="C60" i="567" s="1"/>
  <c r="C51" i="552" s="1"/>
  <c r="Q59" i="542"/>
  <c r="O68" i="517"/>
  <c r="L58" i="405" s="1"/>
  <c r="N58" i="405" s="1"/>
  <c r="O58" i="542"/>
  <c r="AF20" i="577"/>
  <c r="R60" i="90" s="1"/>
  <c r="D47" i="552"/>
  <c r="N53" i="406"/>
  <c r="N47" i="544" s="1"/>
  <c r="L47" i="544"/>
  <c r="O66" i="501"/>
  <c r="L56" i="531"/>
  <c r="N56" i="531" s="1"/>
  <c r="L56" i="405"/>
  <c r="N56" i="405" s="1"/>
  <c r="I66" i="501"/>
  <c r="F56" i="405"/>
  <c r="F56" i="531"/>
  <c r="G53" i="406"/>
  <c r="J56" i="542"/>
  <c r="J66" i="517"/>
  <c r="G56" i="405" s="1"/>
  <c r="M53" i="406"/>
  <c r="P66" i="517"/>
  <c r="M56" i="405" s="1"/>
  <c r="O56" i="405" s="1"/>
  <c r="P56" i="542"/>
  <c r="O54" i="531"/>
  <c r="K56" i="531"/>
  <c r="N66" i="501"/>
  <c r="C56" i="531"/>
  <c r="F66" i="501"/>
  <c r="E31" i="417"/>
  <c r="E32" i="417" s="1"/>
  <c r="E29" i="417"/>
  <c r="E30" i="417" s="1"/>
  <c r="E36" i="535"/>
  <c r="E59" i="531" l="1"/>
  <c r="F65" i="538"/>
  <c r="F63" i="537"/>
  <c r="F61" i="536"/>
  <c r="K56" i="406"/>
  <c r="K50" i="544" s="1"/>
  <c r="N65" i="538"/>
  <c r="N63" i="537"/>
  <c r="N61" i="536"/>
  <c r="N56" i="406"/>
  <c r="N50" i="544" s="1"/>
  <c r="L50" i="544"/>
  <c r="R65" i="538"/>
  <c r="R63" i="537"/>
  <c r="R61" i="536"/>
  <c r="H69" i="501"/>
  <c r="I65" i="538"/>
  <c r="I63" i="537"/>
  <c r="I61" i="536"/>
  <c r="N55" i="406"/>
  <c r="N49" i="544" s="1"/>
  <c r="L49" i="544"/>
  <c r="O55" i="406"/>
  <c r="O49" i="544" s="1"/>
  <c r="M49" i="544"/>
  <c r="C56" i="406"/>
  <c r="C50" i="544" s="1"/>
  <c r="G47" i="544"/>
  <c r="I59" i="542"/>
  <c r="F56" i="406"/>
  <c r="F50" i="544" s="1"/>
  <c r="M47" i="544"/>
  <c r="O68" i="501"/>
  <c r="L58" i="531"/>
  <c r="N58" i="531" s="1"/>
  <c r="O69" i="501"/>
  <c r="L59" i="531"/>
  <c r="N59" i="531" s="1"/>
  <c r="J69" i="501"/>
  <c r="G59" i="531"/>
  <c r="J68" i="501"/>
  <c r="G58" i="531"/>
  <c r="I68" i="501"/>
  <c r="F58" i="531"/>
  <c r="H68" i="501"/>
  <c r="E58" i="531"/>
  <c r="P68" i="501"/>
  <c r="M58" i="531"/>
  <c r="O58" i="531" s="1"/>
  <c r="I69" i="517"/>
  <c r="F59" i="405" s="1"/>
  <c r="N69" i="517"/>
  <c r="K59" i="405" s="1"/>
  <c r="N59" i="542"/>
  <c r="P60" i="90"/>
  <c r="F69" i="517"/>
  <c r="C59" i="405" s="1"/>
  <c r="F59" i="542"/>
  <c r="R59" i="542"/>
  <c r="R69" i="517"/>
  <c r="R69" i="501" s="1"/>
  <c r="D60" i="567" s="1"/>
  <c r="D51" i="552" s="1"/>
  <c r="O53" i="406"/>
  <c r="G56" i="531"/>
  <c r="J66" i="501"/>
  <c r="M56" i="531"/>
  <c r="P66" i="501"/>
  <c r="M56" i="406" l="1"/>
  <c r="P65" i="538"/>
  <c r="P61" i="536"/>
  <c r="P63" i="537"/>
  <c r="O47" i="544"/>
  <c r="I69" i="501"/>
  <c r="F59" i="531"/>
  <c r="N69" i="501"/>
  <c r="K59" i="531"/>
  <c r="F69" i="501"/>
  <c r="C59" i="531"/>
  <c r="P69" i="517"/>
  <c r="M59" i="405" s="1"/>
  <c r="O59" i="405" s="1"/>
  <c r="P59" i="542"/>
  <c r="O56" i="531"/>
  <c r="G13" i="574"/>
  <c r="I13" i="574" s="1"/>
  <c r="J13" i="574" s="1"/>
  <c r="H14" i="574"/>
  <c r="H15" i="574" s="1"/>
  <c r="H19" i="574" s="1"/>
  <c r="H12" i="574"/>
  <c r="H16" i="574" s="1"/>
  <c r="H20" i="574" s="1"/>
  <c r="H24" i="574" s="1"/>
  <c r="H28" i="574" s="1"/>
  <c r="H32" i="574" s="1"/>
  <c r="G12" i="574"/>
  <c r="H47" i="528"/>
  <c r="G12" i="231" s="1"/>
  <c r="G12" i="6"/>
  <c r="S11" i="6"/>
  <c r="S12" i="6"/>
  <c r="O56" i="406" l="1"/>
  <c r="O50" i="544" s="1"/>
  <c r="M50" i="544"/>
  <c r="P69" i="501"/>
  <c r="M59" i="531"/>
  <c r="O59" i="531" s="1"/>
  <c r="H18" i="574"/>
  <c r="H17" i="574" s="1"/>
  <c r="H23" i="574"/>
  <c r="G14" i="574"/>
  <c r="G13" i="6"/>
  <c r="G16" i="574"/>
  <c r="I16" i="574" s="1"/>
  <c r="J16" i="574" s="1"/>
  <c r="D24" i="574"/>
  <c r="P20" i="574"/>
  <c r="P19" i="574"/>
  <c r="P18" i="574"/>
  <c r="D14" i="574"/>
  <c r="P13" i="574"/>
  <c r="P12" i="574"/>
  <c r="D12" i="574"/>
  <c r="I12" i="574" s="1"/>
  <c r="P11" i="574"/>
  <c r="B3" i="574"/>
  <c r="B2" i="574"/>
  <c r="I14" i="574" l="1"/>
  <c r="J14" i="574" s="1"/>
  <c r="J12" i="574"/>
  <c r="H22" i="574"/>
  <c r="H21" i="574" s="1"/>
  <c r="H27" i="574"/>
  <c r="G15" i="574"/>
  <c r="I15" i="574" s="1"/>
  <c r="J15" i="574" s="1"/>
  <c r="G20" i="574"/>
  <c r="I20" i="574" s="1"/>
  <c r="J20" i="574" s="1"/>
  <c r="E38" i="535"/>
  <c r="H26" i="574" l="1"/>
  <c r="H25" i="574" s="1"/>
  <c r="H31" i="574"/>
  <c r="H30" i="574" s="1"/>
  <c r="H29" i="574" s="1"/>
  <c r="H33" i="574"/>
  <c r="H34" i="574" s="1"/>
  <c r="H35" i="574"/>
  <c r="G24" i="574"/>
  <c r="I24" i="574" s="1"/>
  <c r="J24" i="574" s="1"/>
  <c r="G19" i="574"/>
  <c r="C43" i="568"/>
  <c r="F29" i="573"/>
  <c r="F28" i="573"/>
  <c r="F27" i="573"/>
  <c r="F27" i="572"/>
  <c r="F26" i="572"/>
  <c r="E20" i="573"/>
  <c r="E13" i="573"/>
  <c r="F25" i="573" s="1"/>
  <c r="F26" i="573"/>
  <c r="B3" i="573"/>
  <c r="B2" i="573"/>
  <c r="E20" i="572"/>
  <c r="E13" i="572"/>
  <c r="F25" i="572" s="1"/>
  <c r="F29" i="572"/>
  <c r="F28" i="572"/>
  <c r="B3" i="572"/>
  <c r="B2" i="572"/>
  <c r="C12" i="523"/>
  <c r="I19" i="574" l="1"/>
  <c r="J19" i="574" s="1"/>
  <c r="G18" i="574"/>
  <c r="G23" i="574"/>
  <c r="I23" i="574" s="1"/>
  <c r="J23" i="574" s="1"/>
  <c r="G28" i="574"/>
  <c r="I28" i="574" s="1"/>
  <c r="J28" i="574" s="1"/>
  <c r="H33" i="571"/>
  <c r="I18" i="574" l="1"/>
  <c r="J18" i="574" s="1"/>
  <c r="G22" i="574"/>
  <c r="I22" i="574" s="1"/>
  <c r="J22" i="574" s="1"/>
  <c r="G27" i="574"/>
  <c r="I27" i="574" s="1"/>
  <c r="J27" i="574" s="1"/>
  <c r="G32" i="574"/>
  <c r="I32" i="574" s="1"/>
  <c r="J32" i="574" s="1"/>
  <c r="G17" i="574"/>
  <c r="I17" i="574" l="1"/>
  <c r="G21" i="574"/>
  <c r="I21" i="574" s="1"/>
  <c r="J21" i="574" s="1"/>
  <c r="G35" i="574"/>
  <c r="I35" i="574" s="1"/>
  <c r="J35" i="574" s="1"/>
  <c r="G31" i="574"/>
  <c r="I31" i="574" s="1"/>
  <c r="J31" i="574" s="1"/>
  <c r="G33" i="574"/>
  <c r="I33" i="574" s="1"/>
  <c r="J33" i="574" s="1"/>
  <c r="G26" i="574"/>
  <c r="I26" i="574" s="1"/>
  <c r="J26" i="574" s="1"/>
  <c r="J17" i="574" l="1"/>
  <c r="G30" i="574"/>
  <c r="I30" i="574" s="1"/>
  <c r="J30" i="574" s="1"/>
  <c r="G34" i="574"/>
  <c r="I34" i="574" s="1"/>
  <c r="J34" i="574" s="1"/>
  <c r="G25" i="574"/>
  <c r="I25" i="574" s="1"/>
  <c r="J25" i="574" s="1"/>
  <c r="A25" i="532"/>
  <c r="A24" i="532"/>
  <c r="A23" i="532"/>
  <c r="G29" i="574" l="1"/>
  <c r="I29" i="574" s="1"/>
  <c r="J29" i="574" s="1"/>
  <c r="J39" i="574" s="1"/>
  <c r="F35" i="535" s="1"/>
  <c r="C21" i="542"/>
  <c r="C20" i="542"/>
  <c r="I39" i="574" l="1"/>
  <c r="D35" i="535" s="1"/>
  <c r="D36" i="535" s="1"/>
  <c r="F36" i="535"/>
  <c r="F29" i="417"/>
  <c r="F30" i="417" s="1"/>
  <c r="D22" i="90"/>
  <c r="A10" i="406"/>
  <c r="C35" i="517"/>
  <c r="A25" i="531" s="1"/>
  <c r="C34" i="517"/>
  <c r="A24" i="531" s="1"/>
  <c r="Q35" i="535" l="1"/>
  <c r="D29" i="417"/>
  <c r="D30" i="417" s="1"/>
  <c r="R36" i="535"/>
  <c r="S37" i="90" s="1"/>
  <c r="A13" i="406"/>
  <c r="C21" i="90" s="1"/>
  <c r="A25" i="567"/>
  <c r="A16" i="406"/>
  <c r="A26" i="567"/>
  <c r="C35" i="501"/>
  <c r="C34" i="501"/>
  <c r="J85" i="402"/>
  <c r="J83" i="402"/>
  <c r="J81" i="402"/>
  <c r="J79" i="402"/>
  <c r="J77" i="402"/>
  <c r="J75" i="402"/>
  <c r="J73" i="402"/>
  <c r="J71" i="402"/>
  <c r="J69" i="402"/>
  <c r="J67" i="402"/>
  <c r="J65" i="402"/>
  <c r="J63" i="402"/>
  <c r="J61" i="402"/>
  <c r="J59" i="402"/>
  <c r="J57" i="402"/>
  <c r="J55" i="402"/>
  <c r="J53" i="402"/>
  <c r="J51" i="402"/>
  <c r="J49" i="402"/>
  <c r="J47" i="402"/>
  <c r="J45" i="402"/>
  <c r="J43" i="402"/>
  <c r="J41" i="402"/>
  <c r="J39" i="402"/>
  <c r="J37" i="402"/>
  <c r="J35" i="402"/>
  <c r="J33" i="402"/>
  <c r="J31" i="402"/>
  <c r="J29" i="402"/>
  <c r="J27" i="402"/>
  <c r="J25" i="402"/>
  <c r="J23" i="402"/>
  <c r="J21" i="402"/>
  <c r="J19" i="402"/>
  <c r="H26" i="402"/>
  <c r="I25" i="402"/>
  <c r="H25" i="402"/>
  <c r="G25" i="402"/>
  <c r="F25" i="402"/>
  <c r="E25" i="402"/>
  <c r="D25" i="402"/>
  <c r="C25" i="402"/>
  <c r="B25" i="402"/>
  <c r="B22" i="90" s="1"/>
  <c r="A25" i="402"/>
  <c r="H24" i="402"/>
  <c r="H23" i="402"/>
  <c r="G23" i="402"/>
  <c r="F23" i="402"/>
  <c r="E23" i="402"/>
  <c r="D23" i="402"/>
  <c r="C23" i="402"/>
  <c r="B23" i="402"/>
  <c r="B21" i="90" s="1"/>
  <c r="A23" i="402"/>
  <c r="I21" i="402"/>
  <c r="I19" i="402"/>
  <c r="I9" i="402"/>
  <c r="I11" i="402"/>
  <c r="I13" i="402"/>
  <c r="I15" i="402"/>
  <c r="I17" i="402"/>
  <c r="J103" i="565"/>
  <c r="J101" i="565"/>
  <c r="J99" i="565"/>
  <c r="J97" i="565"/>
  <c r="J95" i="565"/>
  <c r="J93" i="565"/>
  <c r="J91" i="565"/>
  <c r="J89" i="565"/>
  <c r="J87" i="565"/>
  <c r="J85" i="565"/>
  <c r="J83" i="565"/>
  <c r="J81" i="565"/>
  <c r="J79" i="565"/>
  <c r="J77" i="565"/>
  <c r="J75" i="565"/>
  <c r="J73" i="565"/>
  <c r="J71" i="565"/>
  <c r="J69" i="565"/>
  <c r="J67" i="565"/>
  <c r="J65" i="565"/>
  <c r="J63" i="565"/>
  <c r="J61" i="565"/>
  <c r="J59" i="565"/>
  <c r="J57" i="565"/>
  <c r="J55" i="565"/>
  <c r="J53" i="565"/>
  <c r="J51" i="565"/>
  <c r="J49" i="565"/>
  <c r="J47" i="565"/>
  <c r="J45" i="565"/>
  <c r="J43" i="565"/>
  <c r="J41" i="565"/>
  <c r="J39" i="565"/>
  <c r="J37" i="565"/>
  <c r="J35" i="565"/>
  <c r="J33" i="565"/>
  <c r="J31" i="565"/>
  <c r="J29" i="565"/>
  <c r="J27" i="565"/>
  <c r="J25" i="565"/>
  <c r="J23" i="565"/>
  <c r="J21" i="565"/>
  <c r="J19" i="565"/>
  <c r="J17" i="565"/>
  <c r="J15" i="565"/>
  <c r="J13" i="565"/>
  <c r="J11" i="565"/>
  <c r="J9" i="565"/>
  <c r="J7" i="565"/>
  <c r="I93" i="565"/>
  <c r="I91" i="565"/>
  <c r="I85" i="565"/>
  <c r="I83" i="565"/>
  <c r="I81" i="565"/>
  <c r="I79" i="565"/>
  <c r="I77" i="565"/>
  <c r="I75" i="565"/>
  <c r="I73" i="565"/>
  <c r="I59" i="565"/>
  <c r="I57" i="565"/>
  <c r="I55" i="565"/>
  <c r="I53" i="565"/>
  <c r="I51" i="565"/>
  <c r="I49" i="565"/>
  <c r="I47" i="565"/>
  <c r="I45" i="565"/>
  <c r="I43" i="565"/>
  <c r="I41" i="565"/>
  <c r="I39" i="565"/>
  <c r="I37" i="565"/>
  <c r="I35" i="565"/>
  <c r="I33" i="565"/>
  <c r="I31" i="565"/>
  <c r="I29" i="565"/>
  <c r="I27" i="565"/>
  <c r="I25" i="565"/>
  <c r="I23" i="565"/>
  <c r="I21" i="565"/>
  <c r="I19" i="565"/>
  <c r="I17" i="565"/>
  <c r="I15" i="565"/>
  <c r="I13" i="565"/>
  <c r="I11" i="565"/>
  <c r="I9" i="565"/>
  <c r="I7" i="565"/>
  <c r="G103" i="565"/>
  <c r="F103" i="565"/>
  <c r="E103" i="565"/>
  <c r="D103" i="565"/>
  <c r="C103" i="565"/>
  <c r="B103" i="565"/>
  <c r="A103" i="565"/>
  <c r="G101" i="565"/>
  <c r="F101" i="565"/>
  <c r="E101" i="565"/>
  <c r="D101" i="565"/>
  <c r="C101" i="565"/>
  <c r="B101" i="565"/>
  <c r="A101" i="565"/>
  <c r="G99" i="565"/>
  <c r="F99" i="565"/>
  <c r="E99" i="565"/>
  <c r="D99" i="565"/>
  <c r="C99" i="565"/>
  <c r="B99" i="565"/>
  <c r="A99" i="565"/>
  <c r="G97" i="565"/>
  <c r="F97" i="565"/>
  <c r="E97" i="565"/>
  <c r="D97" i="565"/>
  <c r="C97" i="565"/>
  <c r="B97" i="565"/>
  <c r="A97" i="565"/>
  <c r="G95" i="565"/>
  <c r="F95" i="565"/>
  <c r="E95" i="565"/>
  <c r="D95" i="565"/>
  <c r="C95" i="565"/>
  <c r="B95" i="565"/>
  <c r="A95" i="565"/>
  <c r="F93" i="565"/>
  <c r="E93" i="565"/>
  <c r="D93" i="565"/>
  <c r="C93" i="565"/>
  <c r="B93" i="565"/>
  <c r="A93" i="565"/>
  <c r="G91" i="565"/>
  <c r="F91" i="565"/>
  <c r="E91" i="565"/>
  <c r="D91" i="565"/>
  <c r="C91" i="565"/>
  <c r="B91" i="565"/>
  <c r="A91" i="565"/>
  <c r="G89" i="565"/>
  <c r="F89" i="565"/>
  <c r="E89" i="565"/>
  <c r="D89" i="565"/>
  <c r="C89" i="565"/>
  <c r="B89" i="565"/>
  <c r="A89" i="565"/>
  <c r="G87" i="565"/>
  <c r="F87" i="565"/>
  <c r="E87" i="565"/>
  <c r="D87" i="565"/>
  <c r="C87" i="565"/>
  <c r="B87" i="565"/>
  <c r="A87" i="565"/>
  <c r="G85" i="565"/>
  <c r="F85" i="565"/>
  <c r="E85" i="565"/>
  <c r="D85" i="565"/>
  <c r="C85" i="565"/>
  <c r="B85" i="565"/>
  <c r="A85" i="565"/>
  <c r="G83" i="565"/>
  <c r="F83" i="565"/>
  <c r="E83" i="565"/>
  <c r="D83" i="565"/>
  <c r="C83" i="565"/>
  <c r="B83" i="565"/>
  <c r="A83" i="565"/>
  <c r="G81" i="565"/>
  <c r="F81" i="565"/>
  <c r="E81" i="565"/>
  <c r="D81" i="565"/>
  <c r="C81" i="565"/>
  <c r="B81" i="565"/>
  <c r="A81" i="565"/>
  <c r="G79" i="565"/>
  <c r="F79" i="565"/>
  <c r="E79" i="565"/>
  <c r="D79" i="565"/>
  <c r="C79" i="565"/>
  <c r="B79" i="565"/>
  <c r="A79" i="565"/>
  <c r="G77" i="565"/>
  <c r="F77" i="565"/>
  <c r="E77" i="565"/>
  <c r="D77" i="565"/>
  <c r="C77" i="565"/>
  <c r="B77" i="565"/>
  <c r="A77" i="565"/>
  <c r="G75" i="565"/>
  <c r="F75" i="565"/>
  <c r="E75" i="565"/>
  <c r="D75" i="565"/>
  <c r="C75" i="565"/>
  <c r="B75" i="565"/>
  <c r="A75" i="565"/>
  <c r="G73" i="565"/>
  <c r="F73" i="565"/>
  <c r="E73" i="565"/>
  <c r="D73" i="565"/>
  <c r="C73" i="565"/>
  <c r="B73" i="565"/>
  <c r="A73" i="565"/>
  <c r="G71" i="565"/>
  <c r="F71" i="565"/>
  <c r="E71" i="565"/>
  <c r="D71" i="565"/>
  <c r="C71" i="565"/>
  <c r="B71" i="565"/>
  <c r="A71" i="565"/>
  <c r="G69" i="565"/>
  <c r="F69" i="565"/>
  <c r="E69" i="565"/>
  <c r="D69" i="565"/>
  <c r="C69" i="565"/>
  <c r="B69" i="565"/>
  <c r="A69" i="565"/>
  <c r="G67" i="565"/>
  <c r="F67" i="565"/>
  <c r="E67" i="565"/>
  <c r="D67" i="565"/>
  <c r="C67" i="565"/>
  <c r="B67" i="565"/>
  <c r="A67" i="565"/>
  <c r="G65" i="565"/>
  <c r="F65" i="565"/>
  <c r="E65" i="565"/>
  <c r="D65" i="565"/>
  <c r="C65" i="565"/>
  <c r="B65" i="565"/>
  <c r="A65" i="565"/>
  <c r="G63" i="565"/>
  <c r="F63" i="565"/>
  <c r="E63" i="565"/>
  <c r="D63" i="565"/>
  <c r="C63" i="565"/>
  <c r="B63" i="565"/>
  <c r="A63" i="565"/>
  <c r="G61" i="565"/>
  <c r="F61" i="565"/>
  <c r="E61" i="565"/>
  <c r="D61" i="565"/>
  <c r="C61" i="565"/>
  <c r="B61" i="565"/>
  <c r="A61" i="565"/>
  <c r="G59" i="565"/>
  <c r="F59" i="565"/>
  <c r="E59" i="565"/>
  <c r="D59" i="565"/>
  <c r="C59" i="565"/>
  <c r="B59" i="565"/>
  <c r="A59" i="565"/>
  <c r="G57" i="565"/>
  <c r="F57" i="565"/>
  <c r="E57" i="565"/>
  <c r="D57" i="565"/>
  <c r="C57" i="565"/>
  <c r="B57" i="565"/>
  <c r="A57" i="565"/>
  <c r="G55" i="565"/>
  <c r="F55" i="565"/>
  <c r="E55" i="565"/>
  <c r="D55" i="565"/>
  <c r="C55" i="565"/>
  <c r="B55" i="565"/>
  <c r="A55" i="565"/>
  <c r="G53" i="565"/>
  <c r="F53" i="565"/>
  <c r="E53" i="565"/>
  <c r="D53" i="565"/>
  <c r="C53" i="565"/>
  <c r="B53" i="565"/>
  <c r="A53" i="565"/>
  <c r="G51" i="565"/>
  <c r="F51" i="565"/>
  <c r="E51" i="565"/>
  <c r="D51" i="565"/>
  <c r="C51" i="565"/>
  <c r="B51" i="565"/>
  <c r="A51" i="565"/>
  <c r="G49" i="565"/>
  <c r="F49" i="565"/>
  <c r="E49" i="565"/>
  <c r="D49" i="565"/>
  <c r="C49" i="565"/>
  <c r="B49" i="565"/>
  <c r="A49" i="565"/>
  <c r="G47" i="565"/>
  <c r="F47" i="565"/>
  <c r="E47" i="565"/>
  <c r="D47" i="565"/>
  <c r="C47" i="565"/>
  <c r="B47" i="565"/>
  <c r="A47" i="565"/>
  <c r="G45" i="565"/>
  <c r="F45" i="565"/>
  <c r="E45" i="565"/>
  <c r="D45" i="565"/>
  <c r="C45" i="565"/>
  <c r="B45" i="565"/>
  <c r="A45" i="565"/>
  <c r="G43" i="565"/>
  <c r="F43" i="565"/>
  <c r="E43" i="565"/>
  <c r="D43" i="565"/>
  <c r="C43" i="565"/>
  <c r="B43" i="565"/>
  <c r="A43" i="565"/>
  <c r="G41" i="565"/>
  <c r="F41" i="565"/>
  <c r="E41" i="565"/>
  <c r="D41" i="565"/>
  <c r="C41" i="565"/>
  <c r="B41" i="565"/>
  <c r="A41" i="565"/>
  <c r="G39" i="565"/>
  <c r="F39" i="565"/>
  <c r="E39" i="565"/>
  <c r="D39" i="565"/>
  <c r="C39" i="565"/>
  <c r="B39" i="565"/>
  <c r="A39" i="565"/>
  <c r="G37" i="565"/>
  <c r="F37" i="565"/>
  <c r="E37" i="565"/>
  <c r="D37" i="565"/>
  <c r="C37" i="565"/>
  <c r="B37" i="565"/>
  <c r="A37" i="565"/>
  <c r="G35" i="565"/>
  <c r="F35" i="565"/>
  <c r="E35" i="565"/>
  <c r="D35" i="565"/>
  <c r="C35" i="565"/>
  <c r="B35" i="565"/>
  <c r="A35" i="565"/>
  <c r="G33" i="565"/>
  <c r="F33" i="565"/>
  <c r="E33" i="565"/>
  <c r="D33" i="565"/>
  <c r="C33" i="565"/>
  <c r="B33" i="565"/>
  <c r="A33" i="565"/>
  <c r="G31" i="565"/>
  <c r="F31" i="565"/>
  <c r="E31" i="565"/>
  <c r="D31" i="565"/>
  <c r="C31" i="565"/>
  <c r="B31" i="565"/>
  <c r="A31" i="565"/>
  <c r="G29" i="565"/>
  <c r="F29" i="565"/>
  <c r="E29" i="565"/>
  <c r="D29" i="565"/>
  <c r="C29" i="565"/>
  <c r="B29" i="565"/>
  <c r="A29" i="565"/>
  <c r="G27" i="565"/>
  <c r="F27" i="565"/>
  <c r="E27" i="565"/>
  <c r="D27" i="565"/>
  <c r="C27" i="565"/>
  <c r="B27" i="565"/>
  <c r="A27" i="565"/>
  <c r="G25" i="565"/>
  <c r="F25" i="565"/>
  <c r="E25" i="565"/>
  <c r="D25" i="565"/>
  <c r="C25" i="565"/>
  <c r="B25" i="565"/>
  <c r="A25" i="565"/>
  <c r="G23" i="565"/>
  <c r="F23" i="565"/>
  <c r="E23" i="565"/>
  <c r="D23" i="565"/>
  <c r="C23" i="565"/>
  <c r="B23" i="565"/>
  <c r="A23" i="565"/>
  <c r="G21" i="565"/>
  <c r="F21" i="565"/>
  <c r="E21" i="565"/>
  <c r="D21" i="565"/>
  <c r="C21" i="565"/>
  <c r="B21" i="565"/>
  <c r="A21" i="565"/>
  <c r="G19" i="565"/>
  <c r="F19" i="565"/>
  <c r="E19" i="565"/>
  <c r="D19" i="565"/>
  <c r="C19" i="565"/>
  <c r="B19" i="565"/>
  <c r="A19" i="565"/>
  <c r="G17" i="565"/>
  <c r="F17" i="565"/>
  <c r="E17" i="565"/>
  <c r="D17" i="565"/>
  <c r="C17" i="565"/>
  <c r="B17" i="565"/>
  <c r="A17" i="565"/>
  <c r="G15" i="565"/>
  <c r="F15" i="565"/>
  <c r="E15" i="565"/>
  <c r="D15" i="565"/>
  <c r="C15" i="565"/>
  <c r="B15" i="565"/>
  <c r="A15" i="565"/>
  <c r="G13" i="565"/>
  <c r="F13" i="565"/>
  <c r="E13" i="565"/>
  <c r="D13" i="565"/>
  <c r="C13" i="565"/>
  <c r="B13" i="565"/>
  <c r="A13" i="565"/>
  <c r="G11" i="565"/>
  <c r="F11" i="565"/>
  <c r="E11" i="565"/>
  <c r="D11" i="565"/>
  <c r="C11" i="565"/>
  <c r="B11" i="565"/>
  <c r="A11" i="565"/>
  <c r="G9" i="565"/>
  <c r="F9" i="565"/>
  <c r="E9" i="565"/>
  <c r="D9" i="565"/>
  <c r="C9" i="565"/>
  <c r="B9" i="565"/>
  <c r="A9" i="565"/>
  <c r="G7" i="565"/>
  <c r="F7" i="565"/>
  <c r="E7" i="565"/>
  <c r="D7" i="565"/>
  <c r="C7" i="565"/>
  <c r="B7" i="565"/>
  <c r="A7" i="565"/>
  <c r="I52" i="565"/>
  <c r="I50" i="543"/>
  <c r="I24" i="402" s="1"/>
  <c r="C22" i="90" l="1"/>
  <c r="A12" i="550"/>
  <c r="B13" i="535"/>
  <c r="B15" i="417" s="1"/>
  <c r="C30" i="538"/>
  <c r="D30" i="538" s="1"/>
  <c r="C27" i="537"/>
  <c r="C24" i="536"/>
  <c r="D24" i="536" s="1"/>
  <c r="B32" i="571"/>
  <c r="B23" i="536"/>
  <c r="B29" i="538"/>
  <c r="B26" i="537"/>
  <c r="B30" i="538"/>
  <c r="B24" i="536"/>
  <c r="B27" i="537"/>
  <c r="B11" i="535"/>
  <c r="B13" i="417" s="1"/>
  <c r="C23" i="536"/>
  <c r="D23" i="536" s="1"/>
  <c r="C29" i="538"/>
  <c r="D29" i="538" s="1"/>
  <c r="C26" i="537"/>
  <c r="D26" i="537" s="1"/>
  <c r="D27" i="537" s="1"/>
  <c r="B26" i="567"/>
  <c r="A13" i="552"/>
  <c r="B13" i="552" s="1"/>
  <c r="B25" i="567"/>
  <c r="A12" i="552"/>
  <c r="B12" i="552" s="1"/>
  <c r="I26" i="402"/>
  <c r="I50" i="565"/>
  <c r="J22" i="526"/>
  <c r="J22" i="525"/>
  <c r="J22" i="569"/>
  <c r="J22" i="568"/>
  <c r="C44" i="568"/>
  <c r="C44" i="569" s="1"/>
  <c r="C43" i="569"/>
  <c r="D14" i="568"/>
  <c r="F14" i="568" s="1"/>
  <c r="D25" i="568"/>
  <c r="D27" i="568"/>
  <c r="D30" i="568"/>
  <c r="D33" i="568"/>
  <c r="D38" i="568"/>
  <c r="D35" i="568"/>
  <c r="D37" i="568"/>
  <c r="E39" i="569"/>
  <c r="E38" i="569"/>
  <c r="E37" i="569"/>
  <c r="E36" i="569"/>
  <c r="E35" i="569"/>
  <c r="E34" i="569"/>
  <c r="E33" i="569"/>
  <c r="E32" i="569"/>
  <c r="E31" i="569"/>
  <c r="E30" i="569"/>
  <c r="E29" i="569"/>
  <c r="E28" i="569"/>
  <c r="E27" i="569"/>
  <c r="E26" i="569"/>
  <c r="E25" i="569"/>
  <c r="E24" i="569"/>
  <c r="E23" i="569"/>
  <c r="E22" i="569"/>
  <c r="E21" i="569"/>
  <c r="E20" i="569"/>
  <c r="E19" i="569"/>
  <c r="I17" i="569"/>
  <c r="R58" i="568"/>
  <c r="Q58" i="568"/>
  <c r="P56" i="568"/>
  <c r="Q56" i="568" s="1"/>
  <c r="P52" i="568"/>
  <c r="E39" i="568"/>
  <c r="D39" i="568"/>
  <c r="E38" i="568"/>
  <c r="E37" i="568"/>
  <c r="E36" i="568"/>
  <c r="E35" i="568"/>
  <c r="E34" i="568"/>
  <c r="E33" i="568"/>
  <c r="E32" i="568"/>
  <c r="D32" i="568"/>
  <c r="E31" i="568"/>
  <c r="E30" i="568"/>
  <c r="E29" i="568"/>
  <c r="E28" i="568"/>
  <c r="E27" i="568"/>
  <c r="E26" i="568"/>
  <c r="E25" i="568"/>
  <c r="E24" i="568"/>
  <c r="D24" i="568"/>
  <c r="E23" i="568"/>
  <c r="E22" i="568"/>
  <c r="E21" i="568"/>
  <c r="E20" i="568"/>
  <c r="E19" i="568"/>
  <c r="E18" i="568"/>
  <c r="E17" i="568"/>
  <c r="E16" i="568"/>
  <c r="D16" i="568"/>
  <c r="D13" i="568"/>
  <c r="F13" i="568" s="1"/>
  <c r="I17" i="568" s="1"/>
  <c r="C45" i="568"/>
  <c r="D45" i="568" s="1"/>
  <c r="C13" i="525"/>
  <c r="C14" i="525"/>
  <c r="C15" i="525"/>
  <c r="C16" i="525"/>
  <c r="C17" i="525"/>
  <c r="C18" i="525"/>
  <c r="C19" i="525"/>
  <c r="C20" i="525"/>
  <c r="C21" i="525"/>
  <c r="C22" i="525"/>
  <c r="C23" i="525"/>
  <c r="C24" i="525"/>
  <c r="C25" i="525"/>
  <c r="C26" i="525"/>
  <c r="C27" i="525"/>
  <c r="C28" i="525"/>
  <c r="C29" i="525"/>
  <c r="C30" i="525"/>
  <c r="C31" i="525"/>
  <c r="C32" i="525"/>
  <c r="C33" i="525"/>
  <c r="C34" i="525"/>
  <c r="C35" i="525"/>
  <c r="C36" i="525"/>
  <c r="C37" i="525"/>
  <c r="C38" i="525"/>
  <c r="C39" i="525"/>
  <c r="C12" i="525"/>
  <c r="I22" i="458"/>
  <c r="F22" i="458"/>
  <c r="I20" i="458"/>
  <c r="F20" i="458"/>
  <c r="H19" i="458"/>
  <c r="H18" i="458"/>
  <c r="I17" i="458"/>
  <c r="H17" i="458"/>
  <c r="H16" i="458"/>
  <c r="C16" i="458"/>
  <c r="C18" i="458" s="1"/>
  <c r="I14" i="458"/>
  <c r="I16" i="458" s="1"/>
  <c r="F14" i="458"/>
  <c r="F16" i="458" s="1"/>
  <c r="F18" i="458" s="1"/>
  <c r="F16" i="568" l="1"/>
  <c r="F32" i="568"/>
  <c r="I14" i="568"/>
  <c r="I14" i="569" s="1"/>
  <c r="C20" i="569"/>
  <c r="D20" i="569" s="1"/>
  <c r="F20" i="569" s="1"/>
  <c r="F24" i="458"/>
  <c r="I24" i="458"/>
  <c r="C25" i="569"/>
  <c r="D25" i="569" s="1"/>
  <c r="F25" i="569" s="1"/>
  <c r="F26" i="567" s="1"/>
  <c r="F13" i="552" s="1"/>
  <c r="F38" i="568"/>
  <c r="L15" i="529"/>
  <c r="C24" i="458"/>
  <c r="F30" i="568"/>
  <c r="C47" i="568"/>
  <c r="C31" i="569"/>
  <c r="D31" i="569" s="1"/>
  <c r="F31" i="569" s="1"/>
  <c r="C15" i="569"/>
  <c r="D15" i="569" s="1"/>
  <c r="F15" i="569" s="1"/>
  <c r="C22" i="569"/>
  <c r="D22" i="569" s="1"/>
  <c r="F22" i="569" s="1"/>
  <c r="C19" i="569"/>
  <c r="D19" i="569" s="1"/>
  <c r="F19" i="569" s="1"/>
  <c r="C23" i="569"/>
  <c r="D23" i="569" s="1"/>
  <c r="F23" i="569" s="1"/>
  <c r="C34" i="569"/>
  <c r="D34" i="569" s="1"/>
  <c r="F34" i="569" s="1"/>
  <c r="C26" i="569"/>
  <c r="D26" i="569" s="1"/>
  <c r="F26" i="569" s="1"/>
  <c r="C28" i="569"/>
  <c r="D28" i="569" s="1"/>
  <c r="F28" i="569" s="1"/>
  <c r="C16" i="569"/>
  <c r="D16" i="569" s="1"/>
  <c r="F16" i="569" s="1"/>
  <c r="C17" i="569"/>
  <c r="D17" i="569" s="1"/>
  <c r="F17" i="569" s="1"/>
  <c r="C33" i="569"/>
  <c r="D33" i="569" s="1"/>
  <c r="F33" i="569" s="1"/>
  <c r="J26" i="567" s="1"/>
  <c r="J13" i="552" s="1"/>
  <c r="C12" i="569"/>
  <c r="D12" i="569" s="1"/>
  <c r="F12" i="569" s="1"/>
  <c r="C29" i="569"/>
  <c r="D29" i="569" s="1"/>
  <c r="F29" i="569" s="1"/>
  <c r="C21" i="569"/>
  <c r="D21" i="569" s="1"/>
  <c r="F21" i="569" s="1"/>
  <c r="C46" i="569"/>
  <c r="D47" i="569" s="1"/>
  <c r="D47" i="568"/>
  <c r="I12" i="568" s="1"/>
  <c r="D34" i="568"/>
  <c r="F34" i="568" s="1"/>
  <c r="C37" i="569"/>
  <c r="D37" i="569" s="1"/>
  <c r="F37" i="569" s="1"/>
  <c r="C30" i="569"/>
  <c r="D30" i="569" s="1"/>
  <c r="F30" i="569" s="1"/>
  <c r="C38" i="569"/>
  <c r="D38" i="569" s="1"/>
  <c r="F38" i="569" s="1"/>
  <c r="C42" i="568"/>
  <c r="C27" i="569"/>
  <c r="D27" i="569" s="1"/>
  <c r="F27" i="569" s="1"/>
  <c r="H26" i="567" s="1"/>
  <c r="H13" i="552" s="1"/>
  <c r="D26" i="568"/>
  <c r="F26" i="568" s="1"/>
  <c r="C35" i="569"/>
  <c r="D35" i="569" s="1"/>
  <c r="F35" i="569" s="1"/>
  <c r="F27" i="568"/>
  <c r="G26" i="567" s="1"/>
  <c r="G13" i="552" s="1"/>
  <c r="F35" i="568"/>
  <c r="K26" i="567" s="1"/>
  <c r="K13" i="552" s="1"/>
  <c r="D21" i="568"/>
  <c r="F21" i="568" s="1"/>
  <c r="C39" i="569"/>
  <c r="D39" i="569" s="1"/>
  <c r="F39" i="569" s="1"/>
  <c r="D23" i="568"/>
  <c r="F23" i="568" s="1"/>
  <c r="D31" i="568"/>
  <c r="F31" i="568" s="1"/>
  <c r="D19" i="568"/>
  <c r="F19" i="568" s="1"/>
  <c r="D28" i="568"/>
  <c r="F28" i="568" s="1"/>
  <c r="F33" i="568"/>
  <c r="I26" i="567" s="1"/>
  <c r="I13" i="552" s="1"/>
  <c r="C13" i="569"/>
  <c r="D13" i="569" s="1"/>
  <c r="F13" i="569" s="1"/>
  <c r="D15" i="568"/>
  <c r="F15" i="568" s="1"/>
  <c r="F39" i="568"/>
  <c r="C24" i="569"/>
  <c r="D24" i="569" s="1"/>
  <c r="F24" i="569" s="1"/>
  <c r="C32" i="569"/>
  <c r="D32" i="569" s="1"/>
  <c r="F32" i="569" s="1"/>
  <c r="C36" i="569"/>
  <c r="D36" i="569" s="1"/>
  <c r="F36" i="569" s="1"/>
  <c r="D17" i="568"/>
  <c r="F17" i="568" s="1"/>
  <c r="F25" i="568"/>
  <c r="E26" i="567" s="1"/>
  <c r="E13" i="552" s="1"/>
  <c r="D36" i="568"/>
  <c r="C41" i="568"/>
  <c r="D29" i="568"/>
  <c r="F29" i="568" s="1"/>
  <c r="C14" i="569"/>
  <c r="D14" i="569" s="1"/>
  <c r="F14" i="569" s="1"/>
  <c r="D18" i="568"/>
  <c r="F18" i="568" s="1"/>
  <c r="D20" i="568"/>
  <c r="F20" i="568" s="1"/>
  <c r="D22" i="568"/>
  <c r="F22" i="568" s="1"/>
  <c r="F37" i="568"/>
  <c r="C18" i="569"/>
  <c r="C40" i="568"/>
  <c r="F24" i="568"/>
  <c r="D12" i="568"/>
  <c r="D46" i="568"/>
  <c r="M47" i="568" s="1"/>
  <c r="I18" i="458"/>
  <c r="D15" i="529" l="1"/>
  <c r="C33" i="571"/>
  <c r="L26" i="567"/>
  <c r="L13" i="552" s="1"/>
  <c r="N26" i="567"/>
  <c r="M15" i="529"/>
  <c r="K35" i="517"/>
  <c r="I12" i="569"/>
  <c r="C15" i="529"/>
  <c r="E35" i="517" s="1"/>
  <c r="I15" i="569"/>
  <c r="C47" i="569"/>
  <c r="I16" i="569"/>
  <c r="D46" i="569"/>
  <c r="I13" i="568"/>
  <c r="D42" i="569"/>
  <c r="D42" i="568"/>
  <c r="C40" i="569"/>
  <c r="F36" i="568"/>
  <c r="C41" i="569"/>
  <c r="C42" i="569"/>
  <c r="D18" i="569"/>
  <c r="F18" i="569" s="1"/>
  <c r="F41" i="569" s="1"/>
  <c r="F42" i="569"/>
  <c r="D26" i="567" s="1"/>
  <c r="D13" i="552" s="1"/>
  <c r="D41" i="568"/>
  <c r="D43" i="568"/>
  <c r="F12" i="568"/>
  <c r="D40" i="568"/>
  <c r="C43" i="525"/>
  <c r="C46" i="525"/>
  <c r="F40" i="568" l="1"/>
  <c r="C51" i="571"/>
  <c r="D51" i="571" s="1"/>
  <c r="E51" i="571" s="1"/>
  <c r="D33" i="571"/>
  <c r="E33" i="571" s="1"/>
  <c r="F42" i="568"/>
  <c r="C26" i="567" s="1"/>
  <c r="M26" i="567"/>
  <c r="D43" i="569"/>
  <c r="L14" i="573"/>
  <c r="L19" i="573" s="1"/>
  <c r="E12" i="573" s="1"/>
  <c r="P26" i="567"/>
  <c r="P13" i="552" s="1"/>
  <c r="N13" i="552"/>
  <c r="F41" i="568"/>
  <c r="I15" i="529" s="1"/>
  <c r="I35" i="517" s="1"/>
  <c r="E22" i="90"/>
  <c r="B25" i="531"/>
  <c r="B16" i="406" s="1"/>
  <c r="H25" i="531"/>
  <c r="H16" i="406" s="1"/>
  <c r="K22" i="90"/>
  <c r="N15" i="529"/>
  <c r="L35" i="517" s="1"/>
  <c r="P15" i="529"/>
  <c r="O15" i="529"/>
  <c r="E15" i="529"/>
  <c r="F35" i="517" s="1"/>
  <c r="F22" i="90" s="1"/>
  <c r="I13" i="569"/>
  <c r="F15" i="529"/>
  <c r="G15" i="529"/>
  <c r="D41" i="569"/>
  <c r="D40" i="569"/>
  <c r="F40" i="569"/>
  <c r="I33" i="571" l="1"/>
  <c r="I51" i="571" s="1"/>
  <c r="J51" i="571" s="1"/>
  <c r="K51" i="571" s="1"/>
  <c r="K27" i="537"/>
  <c r="K24" i="536"/>
  <c r="K30" i="538"/>
  <c r="E30" i="538"/>
  <c r="E27" i="537"/>
  <c r="E24" i="536"/>
  <c r="F27" i="537"/>
  <c r="F24" i="536"/>
  <c r="F30" i="538"/>
  <c r="R15" i="529"/>
  <c r="Q35" i="517" s="1"/>
  <c r="S15" i="529"/>
  <c r="T15" i="529" s="1"/>
  <c r="R35" i="517" s="1"/>
  <c r="R22" i="90" s="1"/>
  <c r="E19" i="573"/>
  <c r="H11" i="573"/>
  <c r="E34" i="573" s="1"/>
  <c r="H34" i="573" s="1"/>
  <c r="E42" i="573" s="1"/>
  <c r="H44" i="573" s="1"/>
  <c r="E49" i="573" s="1"/>
  <c r="G49" i="573" s="1"/>
  <c r="O26" i="567"/>
  <c r="O13" i="552" s="1"/>
  <c r="M13" i="552"/>
  <c r="C13" i="552"/>
  <c r="J15" i="529"/>
  <c r="K15" i="529" s="1"/>
  <c r="J35" i="517" s="1"/>
  <c r="J22" i="90" s="1"/>
  <c r="H15" i="529"/>
  <c r="H35" i="517" s="1"/>
  <c r="G35" i="517"/>
  <c r="I25" i="531"/>
  <c r="I16" i="406" s="1"/>
  <c r="L22" i="90"/>
  <c r="F25" i="531"/>
  <c r="F16" i="406" s="1"/>
  <c r="I22" i="90"/>
  <c r="M35" i="517"/>
  <c r="Q15" i="529"/>
  <c r="N35" i="517" s="1"/>
  <c r="C25" i="531"/>
  <c r="C16" i="406" s="1"/>
  <c r="D20" i="412"/>
  <c r="D16" i="412"/>
  <c r="D15" i="412"/>
  <c r="D14" i="412"/>
  <c r="D13" i="412"/>
  <c r="D12" i="412"/>
  <c r="D11" i="412"/>
  <c r="D10" i="412"/>
  <c r="D9" i="412"/>
  <c r="D8" i="412"/>
  <c r="D7" i="412"/>
  <c r="C51" i="567"/>
  <c r="L21" i="567"/>
  <c r="K21" i="567"/>
  <c r="J20" i="567"/>
  <c r="J21" i="567" s="1"/>
  <c r="J23" i="567" s="1"/>
  <c r="I20" i="567"/>
  <c r="I21" i="567" s="1"/>
  <c r="I23" i="567" s="1"/>
  <c r="L19" i="567"/>
  <c r="K19" i="567"/>
  <c r="J18" i="567"/>
  <c r="J19" i="567" s="1"/>
  <c r="I18" i="567"/>
  <c r="I19" i="567" s="1"/>
  <c r="L17" i="567"/>
  <c r="K17" i="567"/>
  <c r="J16" i="567"/>
  <c r="J17" i="567" s="1"/>
  <c r="I16" i="567"/>
  <c r="I17" i="567" s="1"/>
  <c r="L15" i="567"/>
  <c r="K15" i="567"/>
  <c r="I14" i="567"/>
  <c r="I15" i="567" s="1"/>
  <c r="L13" i="567"/>
  <c r="K13" i="567"/>
  <c r="J12" i="567"/>
  <c r="J13" i="567" s="1"/>
  <c r="I12" i="567"/>
  <c r="I13" i="567" s="1"/>
  <c r="L11" i="567"/>
  <c r="K11" i="567"/>
  <c r="L9" i="567"/>
  <c r="K9" i="567"/>
  <c r="C44" i="567"/>
  <c r="P40" i="567"/>
  <c r="O40" i="567"/>
  <c r="N40" i="567"/>
  <c r="M40" i="567"/>
  <c r="P39" i="567"/>
  <c r="O39" i="567"/>
  <c r="N39" i="567"/>
  <c r="M39" i="567"/>
  <c r="C36" i="567"/>
  <c r="A36" i="567"/>
  <c r="A35" i="567"/>
  <c r="C34" i="567"/>
  <c r="A34" i="567"/>
  <c r="A33" i="567"/>
  <c r="C32" i="567"/>
  <c r="C52" i="567" s="1"/>
  <c r="A32" i="567"/>
  <c r="P29" i="567"/>
  <c r="P30" i="567" s="1"/>
  <c r="O29" i="567"/>
  <c r="O30" i="567" s="1"/>
  <c r="P28" i="567"/>
  <c r="O28" i="567"/>
  <c r="L23" i="567"/>
  <c r="K23" i="567"/>
  <c r="L22" i="567"/>
  <c r="K22" i="567"/>
  <c r="L7" i="567"/>
  <c r="K7" i="567"/>
  <c r="L30" i="538" l="1"/>
  <c r="L24" i="536"/>
  <c r="L27" i="537"/>
  <c r="J27" i="537"/>
  <c r="J24" i="536"/>
  <c r="J30" i="538"/>
  <c r="J33" i="571"/>
  <c r="K33" i="571" s="1"/>
  <c r="R27" i="537"/>
  <c r="R24" i="536"/>
  <c r="R30" i="538"/>
  <c r="I27" i="537"/>
  <c r="I24" i="536"/>
  <c r="I30" i="538"/>
  <c r="H49" i="573"/>
  <c r="F13" i="535"/>
  <c r="G25" i="531"/>
  <c r="G16" i="406" s="1"/>
  <c r="H18" i="573"/>
  <c r="E24" i="573"/>
  <c r="Q22" i="90"/>
  <c r="D25" i="531"/>
  <c r="D16" i="406" s="1"/>
  <c r="G22" i="90"/>
  <c r="P35" i="517"/>
  <c r="P22" i="90" s="1"/>
  <c r="N22" i="90"/>
  <c r="K25" i="531"/>
  <c r="O35" i="517"/>
  <c r="O22" i="90" s="1"/>
  <c r="M22" i="90"/>
  <c r="J25" i="531"/>
  <c r="E25" i="531"/>
  <c r="E16" i="406" s="1"/>
  <c r="H22" i="90"/>
  <c r="I22" i="567"/>
  <c r="J22" i="567"/>
  <c r="Q61" i="567"/>
  <c r="L45" i="406"/>
  <c r="D45" i="406"/>
  <c r="B45" i="406"/>
  <c r="F39" i="544"/>
  <c r="F42" i="544" s="1"/>
  <c r="D39" i="544"/>
  <c r="B39" i="544"/>
  <c r="N66" i="566"/>
  <c r="G56" i="566"/>
  <c r="G57" i="566" s="1"/>
  <c r="G54" i="566"/>
  <c r="G55" i="566" s="1"/>
  <c r="G41" i="566"/>
  <c r="H28" i="566"/>
  <c r="I28" i="566" s="1"/>
  <c r="G27" i="566"/>
  <c r="F26" i="566"/>
  <c r="H26" i="566" s="1"/>
  <c r="I26" i="566" s="1"/>
  <c r="F20" i="566"/>
  <c r="L11" i="566"/>
  <c r="G11" i="566"/>
  <c r="L13" i="566" s="1"/>
  <c r="B2" i="566"/>
  <c r="H86" i="402"/>
  <c r="H85" i="402"/>
  <c r="F85" i="402"/>
  <c r="E85" i="402"/>
  <c r="D85" i="402"/>
  <c r="C85" i="402"/>
  <c r="B85" i="402"/>
  <c r="A85" i="402"/>
  <c r="H84" i="402"/>
  <c r="H83" i="402"/>
  <c r="F83" i="402"/>
  <c r="E83" i="402"/>
  <c r="D83" i="402"/>
  <c r="C83" i="402"/>
  <c r="B83" i="402"/>
  <c r="A83" i="402"/>
  <c r="H82" i="402"/>
  <c r="H81" i="402"/>
  <c r="F81" i="402"/>
  <c r="E81" i="402"/>
  <c r="D81" i="402"/>
  <c r="C81" i="402"/>
  <c r="B81" i="402"/>
  <c r="A81" i="402"/>
  <c r="H80" i="402"/>
  <c r="H79" i="402"/>
  <c r="F79" i="402"/>
  <c r="E79" i="402"/>
  <c r="D79" i="402"/>
  <c r="C79" i="402"/>
  <c r="B79" i="402"/>
  <c r="A79" i="402"/>
  <c r="G77" i="402"/>
  <c r="F77" i="402"/>
  <c r="E77" i="402"/>
  <c r="D77" i="402"/>
  <c r="C77" i="402"/>
  <c r="B77" i="402"/>
  <c r="A77" i="402"/>
  <c r="G75" i="402"/>
  <c r="F75" i="402"/>
  <c r="E75" i="402"/>
  <c r="D75" i="402"/>
  <c r="C75" i="402"/>
  <c r="B75" i="402"/>
  <c r="A75" i="402"/>
  <c r="G73" i="402"/>
  <c r="F73" i="402"/>
  <c r="E73" i="402"/>
  <c r="D73" i="402"/>
  <c r="C73" i="402"/>
  <c r="B73" i="402"/>
  <c r="A73" i="402"/>
  <c r="G71" i="402"/>
  <c r="F71" i="402"/>
  <c r="E71" i="402"/>
  <c r="D71" i="402"/>
  <c r="C71" i="402"/>
  <c r="B71" i="402"/>
  <c r="A71" i="402"/>
  <c r="G69" i="402"/>
  <c r="F69" i="402"/>
  <c r="E69" i="402"/>
  <c r="D69" i="402"/>
  <c r="C69" i="402"/>
  <c r="B69" i="402"/>
  <c r="A69" i="402"/>
  <c r="F67" i="402"/>
  <c r="E67" i="402"/>
  <c r="D67" i="402"/>
  <c r="C67" i="402"/>
  <c r="B67" i="402"/>
  <c r="A67" i="402"/>
  <c r="G65" i="402"/>
  <c r="F65" i="402"/>
  <c r="E65" i="402"/>
  <c r="D65" i="402"/>
  <c r="C65" i="402"/>
  <c r="B65" i="402"/>
  <c r="A65" i="402"/>
  <c r="G63" i="402"/>
  <c r="F63" i="402"/>
  <c r="E63" i="402"/>
  <c r="D63" i="402"/>
  <c r="C63" i="402"/>
  <c r="B63" i="402"/>
  <c r="A63" i="402"/>
  <c r="G61" i="402"/>
  <c r="F61" i="402"/>
  <c r="E61" i="402"/>
  <c r="D61" i="402"/>
  <c r="C61" i="402"/>
  <c r="B61" i="402"/>
  <c r="A61" i="402"/>
  <c r="G59" i="402"/>
  <c r="F59" i="402"/>
  <c r="E59" i="402"/>
  <c r="D59" i="402"/>
  <c r="C59" i="402"/>
  <c r="B59" i="402"/>
  <c r="A59" i="402"/>
  <c r="G57" i="402"/>
  <c r="F57" i="402"/>
  <c r="E57" i="402"/>
  <c r="D57" i="402"/>
  <c r="C57" i="402"/>
  <c r="B57" i="402"/>
  <c r="A57" i="402"/>
  <c r="G55" i="402"/>
  <c r="F55" i="402"/>
  <c r="E55" i="402"/>
  <c r="D55" i="402"/>
  <c r="C55" i="402"/>
  <c r="B55" i="402"/>
  <c r="A55" i="402"/>
  <c r="G53" i="402"/>
  <c r="F53" i="402"/>
  <c r="E53" i="402"/>
  <c r="D53" i="402"/>
  <c r="C53" i="402"/>
  <c r="B53" i="402"/>
  <c r="A53" i="402"/>
  <c r="G51" i="402"/>
  <c r="F51" i="402"/>
  <c r="E51" i="402"/>
  <c r="D51" i="402"/>
  <c r="C51" i="402"/>
  <c r="B51" i="402"/>
  <c r="A51" i="402"/>
  <c r="G49" i="402"/>
  <c r="F49" i="402"/>
  <c r="E49" i="402"/>
  <c r="D49" i="402"/>
  <c r="C49" i="402"/>
  <c r="B49" i="402"/>
  <c r="A49" i="402"/>
  <c r="G47" i="402"/>
  <c r="F47" i="402"/>
  <c r="E47" i="402"/>
  <c r="D47" i="402"/>
  <c r="C47" i="402"/>
  <c r="B47" i="402"/>
  <c r="A47" i="402"/>
  <c r="G45" i="402"/>
  <c r="F45" i="402"/>
  <c r="E45" i="402"/>
  <c r="D45" i="402"/>
  <c r="C45" i="402"/>
  <c r="B45" i="402"/>
  <c r="A45" i="402"/>
  <c r="G43" i="402"/>
  <c r="F43" i="402"/>
  <c r="E43" i="402"/>
  <c r="D43" i="402"/>
  <c r="C43" i="402"/>
  <c r="B43" i="402"/>
  <c r="A43" i="402"/>
  <c r="G41" i="402"/>
  <c r="F41" i="402"/>
  <c r="E41" i="402"/>
  <c r="D41" i="402"/>
  <c r="C41" i="402"/>
  <c r="B41" i="402"/>
  <c r="A41" i="402"/>
  <c r="G39" i="402"/>
  <c r="F39" i="402"/>
  <c r="E39" i="402"/>
  <c r="D39" i="402"/>
  <c r="C39" i="402"/>
  <c r="B39" i="402"/>
  <c r="A39" i="402"/>
  <c r="G37" i="402"/>
  <c r="F37" i="402"/>
  <c r="E37" i="402"/>
  <c r="D37" i="402"/>
  <c r="C37" i="402"/>
  <c r="B37" i="402"/>
  <c r="A37" i="402"/>
  <c r="G35" i="402"/>
  <c r="F35" i="402"/>
  <c r="E35" i="402"/>
  <c r="D35" i="402"/>
  <c r="C35" i="402"/>
  <c r="B35" i="402"/>
  <c r="A35" i="402"/>
  <c r="G33" i="402"/>
  <c r="F33" i="402"/>
  <c r="D33" i="402"/>
  <c r="C33" i="402"/>
  <c r="B33" i="402"/>
  <c r="A33" i="402"/>
  <c r="G31" i="402"/>
  <c r="F31" i="402"/>
  <c r="E31" i="402"/>
  <c r="D31" i="402"/>
  <c r="C31" i="402"/>
  <c r="B31" i="402"/>
  <c r="A31" i="402"/>
  <c r="G29" i="402"/>
  <c r="F29" i="402"/>
  <c r="E29" i="402"/>
  <c r="D29" i="402"/>
  <c r="C29" i="402"/>
  <c r="B29" i="402"/>
  <c r="A29" i="402"/>
  <c r="G27" i="402"/>
  <c r="F27" i="402"/>
  <c r="E27" i="402"/>
  <c r="D27" i="402"/>
  <c r="C27" i="402"/>
  <c r="B27" i="402"/>
  <c r="A27" i="402"/>
  <c r="G21" i="402"/>
  <c r="F21" i="402"/>
  <c r="E21" i="402"/>
  <c r="D21" i="402"/>
  <c r="C21" i="402"/>
  <c r="B21" i="402"/>
  <c r="A21" i="402"/>
  <c r="G19" i="402"/>
  <c r="F19" i="402"/>
  <c r="E19" i="402"/>
  <c r="D19" i="402"/>
  <c r="C19" i="402"/>
  <c r="B19" i="402"/>
  <c r="A19" i="402"/>
  <c r="G17" i="402"/>
  <c r="F17" i="402"/>
  <c r="E17" i="402"/>
  <c r="D17" i="402"/>
  <c r="C17" i="402"/>
  <c r="B17" i="402"/>
  <c r="A17" i="402"/>
  <c r="G15" i="402"/>
  <c r="F15" i="402"/>
  <c r="E15" i="402"/>
  <c r="D15" i="402"/>
  <c r="C15" i="402"/>
  <c r="B15" i="402"/>
  <c r="A15" i="402"/>
  <c r="G13" i="402"/>
  <c r="F13" i="402"/>
  <c r="E13" i="402"/>
  <c r="D13" i="402"/>
  <c r="C13" i="402"/>
  <c r="B13" i="402"/>
  <c r="B15" i="90" s="1"/>
  <c r="B26" i="571" s="1"/>
  <c r="A13" i="402"/>
  <c r="G11" i="402"/>
  <c r="F11" i="402"/>
  <c r="E11" i="402"/>
  <c r="D11" i="402"/>
  <c r="C11" i="402"/>
  <c r="A11" i="402"/>
  <c r="G9" i="402"/>
  <c r="F9" i="402"/>
  <c r="E9" i="402"/>
  <c r="D9" i="402"/>
  <c r="C9" i="402"/>
  <c r="B9" i="402"/>
  <c r="A9" i="402"/>
  <c r="G7" i="402"/>
  <c r="F7" i="402"/>
  <c r="E7" i="402"/>
  <c r="D7" i="402"/>
  <c r="C7" i="402"/>
  <c r="B7" i="402"/>
  <c r="A7" i="402"/>
  <c r="F93" i="561"/>
  <c r="E93" i="561"/>
  <c r="D93" i="561"/>
  <c r="C93" i="561"/>
  <c r="B93" i="561"/>
  <c r="A93" i="561"/>
  <c r="G91" i="561"/>
  <c r="F91" i="561"/>
  <c r="E91" i="561"/>
  <c r="D91" i="561"/>
  <c r="C91" i="561"/>
  <c r="B91" i="561"/>
  <c r="A91" i="561"/>
  <c r="G89" i="561"/>
  <c r="F89" i="561"/>
  <c r="E89" i="561"/>
  <c r="D89" i="561"/>
  <c r="C89" i="561"/>
  <c r="B89" i="561"/>
  <c r="A89" i="561"/>
  <c r="G87" i="561"/>
  <c r="F87" i="561"/>
  <c r="E87" i="561"/>
  <c r="D87" i="561"/>
  <c r="C87" i="561"/>
  <c r="B87" i="561"/>
  <c r="A87" i="561"/>
  <c r="G85" i="561"/>
  <c r="F85" i="561"/>
  <c r="E85" i="561"/>
  <c r="D85" i="561"/>
  <c r="C85" i="561"/>
  <c r="B85" i="561"/>
  <c r="A85" i="561"/>
  <c r="G83" i="561"/>
  <c r="F83" i="561"/>
  <c r="E83" i="561"/>
  <c r="D83" i="561"/>
  <c r="C83" i="561"/>
  <c r="B83" i="561"/>
  <c r="A83" i="561"/>
  <c r="F81" i="561"/>
  <c r="E81" i="561"/>
  <c r="D81" i="561"/>
  <c r="C81" i="561"/>
  <c r="B81" i="561"/>
  <c r="A81" i="561"/>
  <c r="G79" i="561"/>
  <c r="F79" i="561"/>
  <c r="E79" i="561"/>
  <c r="D79" i="561"/>
  <c r="C79" i="561"/>
  <c r="B79" i="561"/>
  <c r="A79" i="561"/>
  <c r="G77" i="561"/>
  <c r="F77" i="561"/>
  <c r="E77" i="561"/>
  <c r="D77" i="561"/>
  <c r="C77" i="561"/>
  <c r="B77" i="561"/>
  <c r="A77" i="561"/>
  <c r="G75" i="561"/>
  <c r="F75" i="561"/>
  <c r="E75" i="561"/>
  <c r="D75" i="561"/>
  <c r="C75" i="561"/>
  <c r="B75" i="561"/>
  <c r="A75" i="561"/>
  <c r="G73" i="561"/>
  <c r="F73" i="561"/>
  <c r="E73" i="561"/>
  <c r="D73" i="561"/>
  <c r="C73" i="561"/>
  <c r="B73" i="561"/>
  <c r="A73" i="561"/>
  <c r="G71" i="561"/>
  <c r="F71" i="561"/>
  <c r="E71" i="561"/>
  <c r="D71" i="561"/>
  <c r="C71" i="561"/>
  <c r="B71" i="561"/>
  <c r="A71" i="561"/>
  <c r="G69" i="561"/>
  <c r="F69" i="561"/>
  <c r="E69" i="561"/>
  <c r="D69" i="561"/>
  <c r="C69" i="561"/>
  <c r="B69" i="561"/>
  <c r="A69" i="561"/>
  <c r="G67" i="561"/>
  <c r="F67" i="561"/>
  <c r="E67" i="561"/>
  <c r="D67" i="561"/>
  <c r="C67" i="561"/>
  <c r="B67" i="561"/>
  <c r="A67" i="561"/>
  <c r="G65" i="561"/>
  <c r="F65" i="561"/>
  <c r="E65" i="561"/>
  <c r="D65" i="561"/>
  <c r="C65" i="561"/>
  <c r="B65" i="561"/>
  <c r="A65" i="561"/>
  <c r="G63" i="561"/>
  <c r="F63" i="561"/>
  <c r="E63" i="561"/>
  <c r="D63" i="561"/>
  <c r="C63" i="561"/>
  <c r="B63" i="561"/>
  <c r="A63" i="561"/>
  <c r="G61" i="561"/>
  <c r="F61" i="561"/>
  <c r="E61" i="561"/>
  <c r="D61" i="561"/>
  <c r="C61" i="561"/>
  <c r="B61" i="561"/>
  <c r="A61" i="561"/>
  <c r="G59" i="561"/>
  <c r="F59" i="561"/>
  <c r="E59" i="561"/>
  <c r="D59" i="561"/>
  <c r="C59" i="561"/>
  <c r="B59" i="561"/>
  <c r="A59" i="561"/>
  <c r="G57" i="561"/>
  <c r="F57" i="561"/>
  <c r="E57" i="561"/>
  <c r="D57" i="561"/>
  <c r="C57" i="561"/>
  <c r="B57" i="561"/>
  <c r="A57" i="561"/>
  <c r="G55" i="561"/>
  <c r="F55" i="561"/>
  <c r="E55" i="561"/>
  <c r="D55" i="561"/>
  <c r="C55" i="561"/>
  <c r="B55" i="561"/>
  <c r="A55" i="561"/>
  <c r="G53" i="561"/>
  <c r="F53" i="561"/>
  <c r="E53" i="561"/>
  <c r="D53" i="561"/>
  <c r="C53" i="561"/>
  <c r="B53" i="561"/>
  <c r="A53" i="561"/>
  <c r="G51" i="561"/>
  <c r="F51" i="561"/>
  <c r="E51" i="561"/>
  <c r="D51" i="561"/>
  <c r="C51" i="561"/>
  <c r="B51" i="561"/>
  <c r="A51" i="561"/>
  <c r="G49" i="561"/>
  <c r="F49" i="561"/>
  <c r="E49" i="561"/>
  <c r="D49" i="561"/>
  <c r="C49" i="561"/>
  <c r="B49" i="561"/>
  <c r="A49" i="561"/>
  <c r="G47" i="561"/>
  <c r="F47" i="561"/>
  <c r="E47" i="561"/>
  <c r="D47" i="561"/>
  <c r="C47" i="561"/>
  <c r="B47" i="561"/>
  <c r="A47" i="561"/>
  <c r="G45" i="561"/>
  <c r="F45" i="561"/>
  <c r="E45" i="561"/>
  <c r="D45" i="561"/>
  <c r="C45" i="561"/>
  <c r="B45" i="561"/>
  <c r="A45" i="561"/>
  <c r="G43" i="561"/>
  <c r="F43" i="561"/>
  <c r="E43" i="561"/>
  <c r="D43" i="561"/>
  <c r="C43" i="561"/>
  <c r="B43" i="561"/>
  <c r="A43" i="561"/>
  <c r="G41" i="561"/>
  <c r="F41" i="561"/>
  <c r="E41" i="561"/>
  <c r="D41" i="561"/>
  <c r="C41" i="561"/>
  <c r="B41" i="561"/>
  <c r="A41" i="561"/>
  <c r="G39" i="561"/>
  <c r="F39" i="561"/>
  <c r="E39" i="561"/>
  <c r="D39" i="561"/>
  <c r="C39" i="561"/>
  <c r="B39" i="561"/>
  <c r="A39" i="561"/>
  <c r="G37" i="561"/>
  <c r="F37" i="561"/>
  <c r="E37" i="561"/>
  <c r="D37" i="561"/>
  <c r="C37" i="561"/>
  <c r="B37" i="561"/>
  <c r="A37" i="561"/>
  <c r="G35" i="561"/>
  <c r="F35" i="561"/>
  <c r="E35" i="561"/>
  <c r="D35" i="561"/>
  <c r="C35" i="561"/>
  <c r="B35" i="561"/>
  <c r="A35" i="561"/>
  <c r="G33" i="561"/>
  <c r="F33" i="561"/>
  <c r="E33" i="561"/>
  <c r="D33" i="561"/>
  <c r="C33" i="561"/>
  <c r="B33" i="561"/>
  <c r="A33" i="561"/>
  <c r="G31" i="561"/>
  <c r="F31" i="561"/>
  <c r="E31" i="561"/>
  <c r="D31" i="561"/>
  <c r="C31" i="561"/>
  <c r="B31" i="561"/>
  <c r="A31" i="561"/>
  <c r="G29" i="561"/>
  <c r="F29" i="561"/>
  <c r="E29" i="561"/>
  <c r="D29" i="561"/>
  <c r="C29" i="561"/>
  <c r="B29" i="561"/>
  <c r="A29" i="561"/>
  <c r="G27" i="561"/>
  <c r="F27" i="561"/>
  <c r="E27" i="561"/>
  <c r="D27" i="561"/>
  <c r="C27" i="561"/>
  <c r="B27" i="561"/>
  <c r="A27" i="561"/>
  <c r="G25" i="561"/>
  <c r="F25" i="561"/>
  <c r="E25" i="561"/>
  <c r="D25" i="561"/>
  <c r="C25" i="561"/>
  <c r="B25" i="561"/>
  <c r="A25" i="561"/>
  <c r="G23" i="561"/>
  <c r="F23" i="561"/>
  <c r="E23" i="561"/>
  <c r="D23" i="561"/>
  <c r="C23" i="561"/>
  <c r="B23" i="561"/>
  <c r="A23" i="561"/>
  <c r="G21" i="561"/>
  <c r="F21" i="561"/>
  <c r="E21" i="561"/>
  <c r="D21" i="561"/>
  <c r="C21" i="561"/>
  <c r="B21" i="561"/>
  <c r="A21" i="561"/>
  <c r="G19" i="561"/>
  <c r="F19" i="561"/>
  <c r="E19" i="561"/>
  <c r="D19" i="561"/>
  <c r="C19" i="561"/>
  <c r="B19" i="561"/>
  <c r="A19" i="561"/>
  <c r="G17" i="561"/>
  <c r="F17" i="561"/>
  <c r="E17" i="561"/>
  <c r="D17" i="561"/>
  <c r="C17" i="561"/>
  <c r="B17" i="561"/>
  <c r="A17" i="561"/>
  <c r="G15" i="561"/>
  <c r="F15" i="561"/>
  <c r="E15" i="561"/>
  <c r="D15" i="561"/>
  <c r="C15" i="561"/>
  <c r="B15" i="561"/>
  <c r="A15" i="561"/>
  <c r="G13" i="561"/>
  <c r="F13" i="561"/>
  <c r="E13" i="561"/>
  <c r="D13" i="561"/>
  <c r="C13" i="561"/>
  <c r="B13" i="561"/>
  <c r="A13" i="561"/>
  <c r="G11" i="561"/>
  <c r="F11" i="561"/>
  <c r="E11" i="561"/>
  <c r="D11" i="561"/>
  <c r="C11" i="561"/>
  <c r="B11" i="561"/>
  <c r="A11" i="561"/>
  <c r="G9" i="561"/>
  <c r="F9" i="561"/>
  <c r="E9" i="561"/>
  <c r="D9" i="561"/>
  <c r="C9" i="561"/>
  <c r="B9" i="561"/>
  <c r="A9" i="561"/>
  <c r="G7" i="561"/>
  <c r="F7" i="561"/>
  <c r="E7" i="561"/>
  <c r="D7" i="561"/>
  <c r="C7" i="561"/>
  <c r="B7" i="561"/>
  <c r="A7" i="561"/>
  <c r="F89" i="562"/>
  <c r="E89" i="562"/>
  <c r="D89" i="562"/>
  <c r="C89" i="562"/>
  <c r="B89" i="562"/>
  <c r="A89" i="562"/>
  <c r="F87" i="562"/>
  <c r="E87" i="562"/>
  <c r="D87" i="562"/>
  <c r="C87" i="562"/>
  <c r="B87" i="562"/>
  <c r="A87" i="562"/>
  <c r="G85" i="562"/>
  <c r="F85" i="562"/>
  <c r="E85" i="562"/>
  <c r="D85" i="562"/>
  <c r="C85" i="562"/>
  <c r="B85" i="562"/>
  <c r="A85" i="562"/>
  <c r="G83" i="562"/>
  <c r="F83" i="562"/>
  <c r="E83" i="562"/>
  <c r="D83" i="562"/>
  <c r="C83" i="562"/>
  <c r="B83" i="562"/>
  <c r="A83" i="562"/>
  <c r="G81" i="562"/>
  <c r="F81" i="562"/>
  <c r="E81" i="562"/>
  <c r="D81" i="562"/>
  <c r="C81" i="562"/>
  <c r="B81" i="562"/>
  <c r="A81" i="562"/>
  <c r="G79" i="562"/>
  <c r="F79" i="562"/>
  <c r="E79" i="562"/>
  <c r="D79" i="562"/>
  <c r="C79" i="562"/>
  <c r="B79" i="562"/>
  <c r="A79" i="562"/>
  <c r="G77" i="562"/>
  <c r="F77" i="562"/>
  <c r="E77" i="562"/>
  <c r="D77" i="562"/>
  <c r="C77" i="562"/>
  <c r="B77" i="562"/>
  <c r="A77" i="562"/>
  <c r="F75" i="562"/>
  <c r="E75" i="562"/>
  <c r="D75" i="562"/>
  <c r="C75" i="562"/>
  <c r="B75" i="562"/>
  <c r="A75" i="562"/>
  <c r="G73" i="562"/>
  <c r="F73" i="562"/>
  <c r="E73" i="562"/>
  <c r="D73" i="562"/>
  <c r="C73" i="562"/>
  <c r="B73" i="562"/>
  <c r="A73" i="562"/>
  <c r="G71" i="562"/>
  <c r="F71" i="562"/>
  <c r="E71" i="562"/>
  <c r="D71" i="562"/>
  <c r="C71" i="562"/>
  <c r="B71" i="562"/>
  <c r="A71" i="562"/>
  <c r="G69" i="562"/>
  <c r="F69" i="562"/>
  <c r="E69" i="562"/>
  <c r="D69" i="562"/>
  <c r="C69" i="562"/>
  <c r="B69" i="562"/>
  <c r="A69" i="562"/>
  <c r="G67" i="562"/>
  <c r="F67" i="562"/>
  <c r="E67" i="562"/>
  <c r="D67" i="562"/>
  <c r="C67" i="562"/>
  <c r="B67" i="562"/>
  <c r="A67" i="562"/>
  <c r="G65" i="562"/>
  <c r="F65" i="562"/>
  <c r="E65" i="562"/>
  <c r="D65" i="562"/>
  <c r="C65" i="562"/>
  <c r="B65" i="562"/>
  <c r="A65" i="562"/>
  <c r="G63" i="562"/>
  <c r="F63" i="562"/>
  <c r="E63" i="562"/>
  <c r="D63" i="562"/>
  <c r="C63" i="562"/>
  <c r="B63" i="562"/>
  <c r="A63" i="562"/>
  <c r="G61" i="562"/>
  <c r="F61" i="562"/>
  <c r="E61" i="562"/>
  <c r="D61" i="562"/>
  <c r="C61" i="562"/>
  <c r="B61" i="562"/>
  <c r="A61" i="562"/>
  <c r="G59" i="562"/>
  <c r="F59" i="562"/>
  <c r="E59" i="562"/>
  <c r="D59" i="562"/>
  <c r="C59" i="562"/>
  <c r="B59" i="562"/>
  <c r="A59" i="562"/>
  <c r="G57" i="562"/>
  <c r="F57" i="562"/>
  <c r="E57" i="562"/>
  <c r="D57" i="562"/>
  <c r="C57" i="562"/>
  <c r="B57" i="562"/>
  <c r="A57" i="562"/>
  <c r="G55" i="562"/>
  <c r="F55" i="562"/>
  <c r="E55" i="562"/>
  <c r="D55" i="562"/>
  <c r="C55" i="562"/>
  <c r="B55" i="562"/>
  <c r="A55" i="562"/>
  <c r="G53" i="562"/>
  <c r="F53" i="562"/>
  <c r="E53" i="562"/>
  <c r="D53" i="562"/>
  <c r="C53" i="562"/>
  <c r="B53" i="562"/>
  <c r="A53" i="562"/>
  <c r="G51" i="562"/>
  <c r="F51" i="562"/>
  <c r="E51" i="562"/>
  <c r="D51" i="562"/>
  <c r="C51" i="562"/>
  <c r="B51" i="562"/>
  <c r="A51" i="562"/>
  <c r="G49" i="562"/>
  <c r="F49" i="562"/>
  <c r="E49" i="562"/>
  <c r="D49" i="562"/>
  <c r="C49" i="562"/>
  <c r="B49" i="562"/>
  <c r="A49" i="562"/>
  <c r="G47" i="562"/>
  <c r="F47" i="562"/>
  <c r="E47" i="562"/>
  <c r="D47" i="562"/>
  <c r="C47" i="562"/>
  <c r="B47" i="562"/>
  <c r="A47" i="562"/>
  <c r="G45" i="562"/>
  <c r="F45" i="562"/>
  <c r="E45" i="562"/>
  <c r="D45" i="562"/>
  <c r="C45" i="562"/>
  <c r="B45" i="562"/>
  <c r="A45" i="562"/>
  <c r="G43" i="562"/>
  <c r="F43" i="562"/>
  <c r="E43" i="562"/>
  <c r="D43" i="562"/>
  <c r="C43" i="562"/>
  <c r="B43" i="562"/>
  <c r="A43" i="562"/>
  <c r="G41" i="562"/>
  <c r="F41" i="562"/>
  <c r="E41" i="562"/>
  <c r="D41" i="562"/>
  <c r="C41" i="562"/>
  <c r="B41" i="562"/>
  <c r="A41" i="562"/>
  <c r="G39" i="562"/>
  <c r="F39" i="562"/>
  <c r="E39" i="562"/>
  <c r="D39" i="562"/>
  <c r="C39" i="562"/>
  <c r="B39" i="562"/>
  <c r="A39" i="562"/>
  <c r="G37" i="562"/>
  <c r="F37" i="562"/>
  <c r="E37" i="562"/>
  <c r="D37" i="562"/>
  <c r="C37" i="562"/>
  <c r="B37" i="562"/>
  <c r="A37" i="562"/>
  <c r="G35" i="562"/>
  <c r="F35" i="562"/>
  <c r="E35" i="562"/>
  <c r="D35" i="562"/>
  <c r="C35" i="562"/>
  <c r="B35" i="562"/>
  <c r="A35" i="562"/>
  <c r="G33" i="562"/>
  <c r="F33" i="562"/>
  <c r="E33" i="562"/>
  <c r="D33" i="562"/>
  <c r="C33" i="562"/>
  <c r="B33" i="562"/>
  <c r="A33" i="562"/>
  <c r="G31" i="562"/>
  <c r="F31" i="562"/>
  <c r="E31" i="562"/>
  <c r="D31" i="562"/>
  <c r="C31" i="562"/>
  <c r="B31" i="562"/>
  <c r="A31" i="562"/>
  <c r="G29" i="562"/>
  <c r="F29" i="562"/>
  <c r="E29" i="562"/>
  <c r="D29" i="562"/>
  <c r="C29" i="562"/>
  <c r="B29" i="562"/>
  <c r="A29" i="562"/>
  <c r="G27" i="562"/>
  <c r="F27" i="562"/>
  <c r="E27" i="562"/>
  <c r="D27" i="562"/>
  <c r="C27" i="562"/>
  <c r="B27" i="562"/>
  <c r="A27" i="562"/>
  <c r="G25" i="562"/>
  <c r="F25" i="562"/>
  <c r="E25" i="562"/>
  <c r="D25" i="562"/>
  <c r="C25" i="562"/>
  <c r="B25" i="562"/>
  <c r="A25" i="562"/>
  <c r="G23" i="562"/>
  <c r="F23" i="562"/>
  <c r="E23" i="562"/>
  <c r="D23" i="562"/>
  <c r="C23" i="562"/>
  <c r="B23" i="562"/>
  <c r="A23" i="562"/>
  <c r="G21" i="562"/>
  <c r="F21" i="562"/>
  <c r="E21" i="562"/>
  <c r="D21" i="562"/>
  <c r="C21" i="562"/>
  <c r="B21" i="562"/>
  <c r="A21" i="562"/>
  <c r="G19" i="562"/>
  <c r="F19" i="562"/>
  <c r="E19" i="562"/>
  <c r="D19" i="562"/>
  <c r="C19" i="562"/>
  <c r="B19" i="562"/>
  <c r="A19" i="562"/>
  <c r="H27" i="537" l="1"/>
  <c r="H24" i="536"/>
  <c r="H30" i="538"/>
  <c r="G27" i="537"/>
  <c r="G24" i="536"/>
  <c r="G30" i="538"/>
  <c r="Q27" i="537"/>
  <c r="Q24" i="536"/>
  <c r="Q30" i="538"/>
  <c r="M27" i="537"/>
  <c r="M24" i="536"/>
  <c r="M30" i="538"/>
  <c r="L33" i="571"/>
  <c r="M33" i="571" s="1"/>
  <c r="N33" i="571" s="1"/>
  <c r="O24" i="536"/>
  <c r="O30" i="538"/>
  <c r="O27" i="537"/>
  <c r="N27" i="537"/>
  <c r="N24" i="536"/>
  <c r="N30" i="538"/>
  <c r="P24" i="536"/>
  <c r="P30" i="538"/>
  <c r="P27" i="537"/>
  <c r="F14" i="535"/>
  <c r="F15" i="417"/>
  <c r="F16" i="417" s="1"/>
  <c r="I26" i="573"/>
  <c r="I29" i="573"/>
  <c r="I25" i="573"/>
  <c r="I27" i="573"/>
  <c r="I28" i="573"/>
  <c r="B42" i="544"/>
  <c r="D41" i="544"/>
  <c r="M25" i="531"/>
  <c r="M16" i="406" s="1"/>
  <c r="O25" i="531"/>
  <c r="O16" i="406" s="1"/>
  <c r="K16" i="406"/>
  <c r="J16" i="406"/>
  <c r="L25" i="531"/>
  <c r="L16" i="406" s="1"/>
  <c r="N25" i="531"/>
  <c r="N16" i="406" s="1"/>
  <c r="F56" i="566"/>
  <c r="F57" i="566" s="1"/>
  <c r="H57" i="566" s="1"/>
  <c r="I57" i="566" s="1"/>
  <c r="F41" i="544"/>
  <c r="H11" i="566"/>
  <c r="I11" i="566" s="1"/>
  <c r="F27" i="566"/>
  <c r="H27" i="566" s="1"/>
  <c r="D40" i="544"/>
  <c r="D42" i="544"/>
  <c r="B40" i="544"/>
  <c r="F40" i="544"/>
  <c r="B41" i="544"/>
  <c r="R61" i="567"/>
  <c r="S61" i="567"/>
  <c r="T61" i="567"/>
  <c r="G17" i="562"/>
  <c r="F17" i="562"/>
  <c r="E17" i="562"/>
  <c r="D17" i="562"/>
  <c r="C17" i="562"/>
  <c r="B17" i="562"/>
  <c r="A17" i="562"/>
  <c r="I18" i="562" s="1"/>
  <c r="G15" i="562"/>
  <c r="F15" i="562"/>
  <c r="E15" i="562"/>
  <c r="D15" i="562"/>
  <c r="C15" i="562"/>
  <c r="B15" i="562"/>
  <c r="A15" i="562"/>
  <c r="G13" i="562"/>
  <c r="F13" i="562"/>
  <c r="E13" i="562"/>
  <c r="D13" i="562"/>
  <c r="C13" i="562"/>
  <c r="B13" i="562"/>
  <c r="A13" i="562"/>
  <c r="G11" i="562"/>
  <c r="F11" i="562"/>
  <c r="E11" i="562"/>
  <c r="D11" i="562"/>
  <c r="C11" i="562"/>
  <c r="B11" i="562"/>
  <c r="A11" i="562"/>
  <c r="G9" i="562"/>
  <c r="F9" i="562"/>
  <c r="E9" i="562"/>
  <c r="D9" i="562"/>
  <c r="C9" i="562"/>
  <c r="B9" i="562"/>
  <c r="A9" i="562"/>
  <c r="G7" i="562"/>
  <c r="F7" i="562"/>
  <c r="E7" i="562"/>
  <c r="D7" i="562"/>
  <c r="C7" i="562"/>
  <c r="B7" i="562"/>
  <c r="A7" i="562"/>
  <c r="F85" i="564"/>
  <c r="E85" i="564"/>
  <c r="D85" i="564"/>
  <c r="C85" i="564"/>
  <c r="B85" i="564"/>
  <c r="A85" i="564"/>
  <c r="F83" i="564"/>
  <c r="E83" i="564"/>
  <c r="D83" i="564"/>
  <c r="C83" i="564"/>
  <c r="B83" i="564"/>
  <c r="A83" i="564"/>
  <c r="F81" i="564"/>
  <c r="E81" i="564"/>
  <c r="D81" i="564"/>
  <c r="C81" i="564"/>
  <c r="B81" i="564"/>
  <c r="A81" i="564"/>
  <c r="G79" i="564"/>
  <c r="F79" i="564"/>
  <c r="E79" i="564"/>
  <c r="D79" i="564"/>
  <c r="C79" i="564"/>
  <c r="B79" i="564"/>
  <c r="A79" i="564"/>
  <c r="G77" i="564"/>
  <c r="F77" i="564"/>
  <c r="E77" i="564"/>
  <c r="D77" i="564"/>
  <c r="C77" i="564"/>
  <c r="B77" i="564"/>
  <c r="A77" i="564"/>
  <c r="G75" i="564"/>
  <c r="F75" i="564"/>
  <c r="E75" i="564"/>
  <c r="D75" i="564"/>
  <c r="C75" i="564"/>
  <c r="B75" i="564"/>
  <c r="A75" i="564"/>
  <c r="G73" i="564"/>
  <c r="F73" i="564"/>
  <c r="E73" i="564"/>
  <c r="D73" i="564"/>
  <c r="C73" i="564"/>
  <c r="B73" i="564"/>
  <c r="A73" i="564"/>
  <c r="G71" i="564"/>
  <c r="F71" i="564"/>
  <c r="E71" i="564"/>
  <c r="D71" i="564"/>
  <c r="C71" i="564"/>
  <c r="B71" i="564"/>
  <c r="A71" i="564"/>
  <c r="F69" i="564"/>
  <c r="E69" i="564"/>
  <c r="D69" i="564"/>
  <c r="C69" i="564"/>
  <c r="B69" i="564"/>
  <c r="A69" i="564"/>
  <c r="G67" i="564"/>
  <c r="F67" i="564"/>
  <c r="E67" i="564"/>
  <c r="D67" i="564"/>
  <c r="C67" i="564"/>
  <c r="B67" i="564"/>
  <c r="A67" i="564"/>
  <c r="G65" i="564"/>
  <c r="F65" i="564"/>
  <c r="E65" i="564"/>
  <c r="D65" i="564"/>
  <c r="C65" i="564"/>
  <c r="B65" i="564"/>
  <c r="A65" i="564"/>
  <c r="G63" i="564"/>
  <c r="F63" i="564"/>
  <c r="E63" i="564"/>
  <c r="D63" i="564"/>
  <c r="C63" i="564"/>
  <c r="B63" i="564"/>
  <c r="A63" i="564"/>
  <c r="G61" i="564"/>
  <c r="F61" i="564"/>
  <c r="E61" i="564"/>
  <c r="D61" i="564"/>
  <c r="C61" i="564"/>
  <c r="B61" i="564"/>
  <c r="A61" i="564"/>
  <c r="G59" i="564"/>
  <c r="F59" i="564"/>
  <c r="E59" i="564"/>
  <c r="D59" i="564"/>
  <c r="C59" i="564"/>
  <c r="B59" i="564"/>
  <c r="A59" i="564"/>
  <c r="G57" i="564"/>
  <c r="F57" i="564"/>
  <c r="E57" i="564"/>
  <c r="D57" i="564"/>
  <c r="C57" i="564"/>
  <c r="B57" i="564"/>
  <c r="A57" i="564"/>
  <c r="G55" i="564"/>
  <c r="F55" i="564"/>
  <c r="E55" i="564"/>
  <c r="D55" i="564"/>
  <c r="C55" i="564"/>
  <c r="B55" i="564"/>
  <c r="A55" i="564"/>
  <c r="G53" i="564"/>
  <c r="F53" i="564"/>
  <c r="E53" i="564"/>
  <c r="D53" i="564"/>
  <c r="C53" i="564"/>
  <c r="B53" i="564"/>
  <c r="A53" i="564"/>
  <c r="G51" i="564"/>
  <c r="F51" i="564"/>
  <c r="E51" i="564"/>
  <c r="D51" i="564"/>
  <c r="C51" i="564"/>
  <c r="B51" i="564"/>
  <c r="A51" i="564"/>
  <c r="G49" i="564"/>
  <c r="F49" i="564"/>
  <c r="E49" i="564"/>
  <c r="D49" i="564"/>
  <c r="C49" i="564"/>
  <c r="B49" i="564"/>
  <c r="A49" i="564"/>
  <c r="G47" i="564"/>
  <c r="F47" i="564"/>
  <c r="E47" i="564"/>
  <c r="D47" i="564"/>
  <c r="C47" i="564"/>
  <c r="B47" i="564"/>
  <c r="A47" i="564"/>
  <c r="G45" i="564"/>
  <c r="F45" i="564"/>
  <c r="E45" i="564"/>
  <c r="D45" i="564"/>
  <c r="C45" i="564"/>
  <c r="B45" i="564"/>
  <c r="A45" i="564"/>
  <c r="G43" i="564"/>
  <c r="F43" i="564"/>
  <c r="E43" i="564"/>
  <c r="D43" i="564"/>
  <c r="C43" i="564"/>
  <c r="B43" i="564"/>
  <c r="A43" i="564"/>
  <c r="G41" i="564"/>
  <c r="F41" i="564"/>
  <c r="E41" i="564"/>
  <c r="D41" i="564"/>
  <c r="C41" i="564"/>
  <c r="B41" i="564"/>
  <c r="A41" i="564"/>
  <c r="G39" i="564"/>
  <c r="F39" i="564"/>
  <c r="E39" i="564"/>
  <c r="D39" i="564"/>
  <c r="C39" i="564"/>
  <c r="B39" i="564"/>
  <c r="A39" i="564"/>
  <c r="G37" i="564"/>
  <c r="F37" i="564"/>
  <c r="E37" i="564"/>
  <c r="D37" i="564"/>
  <c r="C37" i="564"/>
  <c r="B37" i="564"/>
  <c r="A37" i="564"/>
  <c r="G35" i="564"/>
  <c r="F35" i="564"/>
  <c r="E35" i="564"/>
  <c r="D35" i="564"/>
  <c r="C35" i="564"/>
  <c r="B35" i="564"/>
  <c r="A35" i="564"/>
  <c r="G33" i="564"/>
  <c r="F33" i="564"/>
  <c r="E33" i="564"/>
  <c r="D33" i="564"/>
  <c r="C33" i="564"/>
  <c r="B33" i="564"/>
  <c r="A33" i="564"/>
  <c r="G31" i="564"/>
  <c r="F31" i="564"/>
  <c r="E31" i="564"/>
  <c r="D31" i="564"/>
  <c r="C31" i="564"/>
  <c r="B31" i="564"/>
  <c r="A31" i="564"/>
  <c r="G29" i="564"/>
  <c r="F29" i="564"/>
  <c r="E29" i="564"/>
  <c r="D29" i="564"/>
  <c r="C29" i="564"/>
  <c r="B29" i="564"/>
  <c r="A29" i="564"/>
  <c r="G27" i="564"/>
  <c r="F27" i="564"/>
  <c r="E27" i="564"/>
  <c r="D27" i="564"/>
  <c r="C27" i="564"/>
  <c r="B27" i="564"/>
  <c r="A27" i="564"/>
  <c r="G25" i="564"/>
  <c r="F25" i="564"/>
  <c r="E25" i="564"/>
  <c r="D25" i="564"/>
  <c r="C25" i="564"/>
  <c r="B25" i="564"/>
  <c r="A25" i="564"/>
  <c r="G23" i="564"/>
  <c r="F23" i="564"/>
  <c r="E23" i="564"/>
  <c r="D23" i="564"/>
  <c r="C23" i="564"/>
  <c r="B23" i="564"/>
  <c r="A23" i="564"/>
  <c r="G21" i="564"/>
  <c r="F21" i="564"/>
  <c r="E21" i="564"/>
  <c r="D21" i="564"/>
  <c r="C21" i="564"/>
  <c r="B21" i="564"/>
  <c r="A21" i="564"/>
  <c r="G19" i="564"/>
  <c r="F19" i="564"/>
  <c r="E19" i="564"/>
  <c r="D19" i="564"/>
  <c r="C19" i="564"/>
  <c r="B19" i="564"/>
  <c r="A19" i="564"/>
  <c r="G17" i="564"/>
  <c r="F17" i="564"/>
  <c r="E17" i="564"/>
  <c r="D17" i="564"/>
  <c r="C17" i="564"/>
  <c r="B17" i="564"/>
  <c r="A17" i="564"/>
  <c r="G15" i="564"/>
  <c r="F15" i="564"/>
  <c r="E15" i="564"/>
  <c r="D15" i="564"/>
  <c r="C15" i="564"/>
  <c r="B15" i="564"/>
  <c r="G13" i="564"/>
  <c r="F13" i="564"/>
  <c r="E13" i="564"/>
  <c r="D13" i="564"/>
  <c r="C13" i="564"/>
  <c r="B13" i="564"/>
  <c r="A13" i="564"/>
  <c r="I14" i="564" s="1"/>
  <c r="G11" i="564"/>
  <c r="F11" i="564"/>
  <c r="E11" i="564"/>
  <c r="D11" i="564"/>
  <c r="C11" i="564"/>
  <c r="B11" i="564"/>
  <c r="A11" i="564"/>
  <c r="I12" i="564" s="1"/>
  <c r="A15" i="564"/>
  <c r="G9" i="564"/>
  <c r="F9" i="564"/>
  <c r="E9" i="564"/>
  <c r="D9" i="564"/>
  <c r="C9" i="564"/>
  <c r="B9" i="564"/>
  <c r="G7" i="564"/>
  <c r="F7" i="564"/>
  <c r="E7" i="564"/>
  <c r="D7" i="564"/>
  <c r="C7" i="564"/>
  <c r="B7" i="564"/>
  <c r="A9" i="564"/>
  <c r="A7" i="564"/>
  <c r="L51" i="571" l="1"/>
  <c r="M51" i="571" s="1"/>
  <c r="N51" i="571" s="1"/>
  <c r="G29" i="566"/>
  <c r="G30" i="566" s="1"/>
  <c r="G31" i="566" s="1"/>
  <c r="G32" i="566" s="1"/>
  <c r="I30" i="573"/>
  <c r="E35" i="573" s="1"/>
  <c r="H35" i="573" s="1"/>
  <c r="E43" i="573" s="1"/>
  <c r="H45" i="573" s="1"/>
  <c r="E48" i="573" s="1"/>
  <c r="G48" i="573" s="1"/>
  <c r="H56" i="566"/>
  <c r="I56" i="566" s="1"/>
  <c r="F29" i="566"/>
  <c r="P49" i="90"/>
  <c r="M45" i="406" s="1"/>
  <c r="G34" i="566" l="1"/>
  <c r="G38" i="566" s="1"/>
  <c r="H48" i="573"/>
  <c r="H50" i="573" s="1"/>
  <c r="S22" i="90" s="1"/>
  <c r="D13" i="535"/>
  <c r="N49" i="90"/>
  <c r="K45" i="406" s="1"/>
  <c r="F30" i="566"/>
  <c r="H29" i="566"/>
  <c r="I29" i="566" s="1"/>
  <c r="B49" i="90"/>
  <c r="S35" i="517" l="1"/>
  <c r="S24" i="536"/>
  <c r="S27" i="537"/>
  <c r="S30" i="538"/>
  <c r="G35" i="566"/>
  <c r="G36" i="566" s="1"/>
  <c r="D14" i="535"/>
  <c r="R14" i="535" s="1"/>
  <c r="D15" i="417"/>
  <c r="Q13" i="535"/>
  <c r="B57" i="538"/>
  <c r="B38" i="571"/>
  <c r="B51" i="536"/>
  <c r="B52" i="536" s="1"/>
  <c r="B50" i="90"/>
  <c r="B39" i="571" s="1"/>
  <c r="B51" i="90"/>
  <c r="B40" i="571" s="1"/>
  <c r="B52" i="90"/>
  <c r="B41" i="571" s="1"/>
  <c r="B54" i="537"/>
  <c r="B55" i="537" s="1"/>
  <c r="H30" i="566"/>
  <c r="I30" i="566" s="1"/>
  <c r="F34" i="566"/>
  <c r="F31" i="566"/>
  <c r="G39" i="566"/>
  <c r="Q15" i="417" l="1"/>
  <c r="D16" i="417"/>
  <c r="R16" i="417" s="1"/>
  <c r="B53" i="536"/>
  <c r="F35" i="566"/>
  <c r="H34" i="566"/>
  <c r="I34" i="566" s="1"/>
  <c r="F38" i="566"/>
  <c r="F42" i="566" s="1"/>
  <c r="F43" i="566" s="1"/>
  <c r="F32" i="566"/>
  <c r="H32" i="566" s="1"/>
  <c r="I32" i="566" s="1"/>
  <c r="H31" i="566"/>
  <c r="I31" i="566" s="1"/>
  <c r="G40" i="566"/>
  <c r="C31" i="552"/>
  <c r="C23" i="552"/>
  <c r="C21" i="552"/>
  <c r="L10" i="552"/>
  <c r="L9" i="552"/>
  <c r="L8" i="552"/>
  <c r="L7" i="552"/>
  <c r="K10" i="552"/>
  <c r="K9" i="552"/>
  <c r="K8" i="552"/>
  <c r="K7" i="552"/>
  <c r="G26" i="486"/>
  <c r="G25" i="486"/>
  <c r="G24" i="486"/>
  <c r="G23" i="486"/>
  <c r="G26" i="485"/>
  <c r="G25" i="485"/>
  <c r="G24" i="485"/>
  <c r="G23" i="485"/>
  <c r="H42" i="566" l="1"/>
  <c r="I42" i="566" s="1"/>
  <c r="F36" i="566"/>
  <c r="H36" i="566" s="1"/>
  <c r="I36" i="566" s="1"/>
  <c r="H35" i="566"/>
  <c r="I35" i="566" s="1"/>
  <c r="F39" i="566"/>
  <c r="H38" i="566"/>
  <c r="I38" i="566" s="1"/>
  <c r="F46" i="566"/>
  <c r="F44" i="566"/>
  <c r="H44" i="566" s="1"/>
  <c r="I44" i="566" s="1"/>
  <c r="H43" i="566"/>
  <c r="I43" i="566" s="1"/>
  <c r="I86" i="564"/>
  <c r="I84" i="564"/>
  <c r="I82" i="564"/>
  <c r="I79" i="564"/>
  <c r="I80" i="564" s="1"/>
  <c r="I77" i="564"/>
  <c r="I78" i="564" s="1"/>
  <c r="I75" i="564"/>
  <c r="I76" i="564" s="1"/>
  <c r="I73" i="564"/>
  <c r="I74" i="564" s="1"/>
  <c r="I71" i="564"/>
  <c r="I72" i="564" s="1"/>
  <c r="I70" i="564"/>
  <c r="I68" i="564"/>
  <c r="I65" i="564"/>
  <c r="I66" i="564" s="1"/>
  <c r="I63" i="564"/>
  <c r="I64" i="564" s="1"/>
  <c r="I62" i="564"/>
  <c r="I60" i="564"/>
  <c r="I58" i="564"/>
  <c r="I56" i="564"/>
  <c r="I54" i="564"/>
  <c r="I52" i="564"/>
  <c r="I50" i="564"/>
  <c r="I47" i="564"/>
  <c r="I48" i="564" s="1"/>
  <c r="I45" i="564"/>
  <c r="I46" i="564" s="1"/>
  <c r="I43" i="564"/>
  <c r="I44" i="564" s="1"/>
  <c r="I41" i="564"/>
  <c r="I42" i="564" s="1"/>
  <c r="I39" i="564"/>
  <c r="I40" i="564" s="1"/>
  <c r="I37" i="564"/>
  <c r="I38" i="564" s="1"/>
  <c r="I36" i="564"/>
  <c r="I34" i="564"/>
  <c r="I32" i="564"/>
  <c r="I30" i="564"/>
  <c r="I28" i="564"/>
  <c r="I26" i="564"/>
  <c r="I24" i="564"/>
  <c r="I22" i="564"/>
  <c r="I20" i="564"/>
  <c r="I18" i="564"/>
  <c r="I16" i="564"/>
  <c r="I10" i="564"/>
  <c r="I8" i="564"/>
  <c r="F47" i="566" l="1"/>
  <c r="H46" i="566"/>
  <c r="I46" i="566" s="1"/>
  <c r="F40" i="566"/>
  <c r="H40" i="566" s="1"/>
  <c r="I40" i="566" s="1"/>
  <c r="H39" i="566"/>
  <c r="I39" i="566" s="1"/>
  <c r="F50" i="566"/>
  <c r="G111" i="543"/>
  <c r="G85" i="402" s="1"/>
  <c r="G109" i="543"/>
  <c r="G107" i="543"/>
  <c r="G105" i="543"/>
  <c r="F48" i="566" l="1"/>
  <c r="H48" i="566" s="1"/>
  <c r="I48" i="566" s="1"/>
  <c r="H47" i="566"/>
  <c r="I47" i="566" s="1"/>
  <c r="G83" i="402"/>
  <c r="G85" i="564"/>
  <c r="F53" i="566"/>
  <c r="L66" i="566" s="1"/>
  <c r="H50" i="566"/>
  <c r="I50" i="566" s="1"/>
  <c r="F51" i="566"/>
  <c r="G87" i="562"/>
  <c r="G79" i="402"/>
  <c r="G93" i="561"/>
  <c r="G81" i="564"/>
  <c r="G81" i="402"/>
  <c r="G89" i="562"/>
  <c r="G83" i="564"/>
  <c r="I9" i="522"/>
  <c r="J9" i="522" s="1"/>
  <c r="L9" i="522"/>
  <c r="I11" i="522"/>
  <c r="M11" i="522" s="1"/>
  <c r="L11" i="522"/>
  <c r="I15" i="522"/>
  <c r="M15" i="522" s="1"/>
  <c r="L15" i="522"/>
  <c r="I19" i="522"/>
  <c r="J19" i="522" s="1"/>
  <c r="L19" i="522"/>
  <c r="I21" i="522"/>
  <c r="J21" i="522" s="1"/>
  <c r="L21" i="522"/>
  <c r="I22" i="522"/>
  <c r="J22" i="522" s="1"/>
  <c r="L22" i="522"/>
  <c r="D28" i="522"/>
  <c r="D25" i="522" s="1"/>
  <c r="I30" i="522"/>
  <c r="J30" i="522" s="1"/>
  <c r="M22" i="522" l="1"/>
  <c r="P22" i="522" s="1"/>
  <c r="P15" i="522"/>
  <c r="M21" i="522"/>
  <c r="P21" i="522" s="1"/>
  <c r="P11" i="522"/>
  <c r="J11" i="522"/>
  <c r="J15" i="522"/>
  <c r="F52" i="566"/>
  <c r="H52" i="566" s="1"/>
  <c r="I52" i="566" s="1"/>
  <c r="H51" i="566"/>
  <c r="I51" i="566" s="1"/>
  <c r="H53" i="566"/>
  <c r="I53" i="566" s="1"/>
  <c r="F54" i="566"/>
  <c r="M9" i="522"/>
  <c r="P9" i="522" s="1"/>
  <c r="I25" i="522"/>
  <c r="J25" i="522" s="1"/>
  <c r="P25" i="522"/>
  <c r="D24" i="522"/>
  <c r="D26" i="522"/>
  <c r="M19" i="522"/>
  <c r="P19" i="522" s="1"/>
  <c r="D23" i="522"/>
  <c r="D27" i="522"/>
  <c r="C43" i="182"/>
  <c r="H54" i="566" l="1"/>
  <c r="I54" i="566" s="1"/>
  <c r="F55" i="566"/>
  <c r="H55" i="566" s="1"/>
  <c r="I55" i="566" s="1"/>
  <c r="P27" i="522"/>
  <c r="I27" i="522"/>
  <c r="J27" i="522" s="1"/>
  <c r="I23" i="522"/>
  <c r="L23" i="522"/>
  <c r="P26" i="522"/>
  <c r="I26" i="522"/>
  <c r="J26" i="522" s="1"/>
  <c r="I24" i="522"/>
  <c r="J24" i="522" s="1"/>
  <c r="P24" i="522"/>
  <c r="V47" i="533"/>
  <c r="J23" i="522" l="1"/>
  <c r="M23" i="522"/>
  <c r="P23" i="522" s="1"/>
  <c r="P29" i="522" s="1"/>
  <c r="A48" i="406" l="1"/>
  <c r="A47" i="406"/>
  <c r="A46" i="406"/>
  <c r="A45" i="406"/>
  <c r="I90" i="562"/>
  <c r="I88" i="562"/>
  <c r="I85" i="562"/>
  <c r="I86" i="562" s="1"/>
  <c r="I83" i="562"/>
  <c r="I84" i="562" s="1"/>
  <c r="I81" i="562"/>
  <c r="I82" i="562" s="1"/>
  <c r="I79" i="562"/>
  <c r="I80" i="562" s="1"/>
  <c r="I77" i="562"/>
  <c r="I78" i="562" s="1"/>
  <c r="I76" i="562"/>
  <c r="I74" i="562"/>
  <c r="I71" i="562"/>
  <c r="I72" i="562" s="1"/>
  <c r="I69" i="562"/>
  <c r="I70" i="562" s="1"/>
  <c r="I68" i="562"/>
  <c r="I66" i="562"/>
  <c r="I64" i="562"/>
  <c r="I62" i="562"/>
  <c r="I60" i="562"/>
  <c r="I58" i="562"/>
  <c r="I56" i="562"/>
  <c r="I53" i="562"/>
  <c r="I54" i="562" s="1"/>
  <c r="I51" i="562"/>
  <c r="I52" i="562" s="1"/>
  <c r="I49" i="562"/>
  <c r="I50" i="562" s="1"/>
  <c r="I47" i="562"/>
  <c r="I48" i="562" s="1"/>
  <c r="I45" i="562"/>
  <c r="I46" i="562" s="1"/>
  <c r="I43" i="562"/>
  <c r="I44" i="562" s="1"/>
  <c r="I42" i="562"/>
  <c r="I40" i="562"/>
  <c r="I38" i="562"/>
  <c r="I36" i="562"/>
  <c r="I34" i="562"/>
  <c r="I32" i="562"/>
  <c r="I30" i="562"/>
  <c r="I28" i="562"/>
  <c r="I26" i="562"/>
  <c r="I24" i="562"/>
  <c r="I22" i="562"/>
  <c r="I20" i="562"/>
  <c r="I16" i="562"/>
  <c r="I14" i="562"/>
  <c r="I12" i="562"/>
  <c r="I10" i="562"/>
  <c r="I8" i="562"/>
  <c r="I94" i="561"/>
  <c r="I91" i="561"/>
  <c r="I92" i="561" s="1"/>
  <c r="I89" i="561"/>
  <c r="I90" i="561" s="1"/>
  <c r="I87" i="561"/>
  <c r="I88" i="561" s="1"/>
  <c r="I85" i="561"/>
  <c r="I86" i="561" s="1"/>
  <c r="I83" i="561"/>
  <c r="I84" i="561" s="1"/>
  <c r="I82" i="561"/>
  <c r="I80" i="561"/>
  <c r="I77" i="561"/>
  <c r="I78" i="561" s="1"/>
  <c r="I75" i="561"/>
  <c r="I76" i="561" s="1"/>
  <c r="I74" i="561"/>
  <c r="I72" i="561"/>
  <c r="I70" i="561"/>
  <c r="I68" i="561"/>
  <c r="I66" i="561"/>
  <c r="I64" i="561"/>
  <c r="I62" i="561"/>
  <c r="I59" i="561"/>
  <c r="I60" i="561" s="1"/>
  <c r="I57" i="561"/>
  <c r="I58" i="561" s="1"/>
  <c r="I55" i="561"/>
  <c r="I56" i="561" s="1"/>
  <c r="I53" i="561"/>
  <c r="I54" i="561" s="1"/>
  <c r="I51" i="561"/>
  <c r="I52" i="561" s="1"/>
  <c r="I49" i="561"/>
  <c r="I50" i="561" s="1"/>
  <c r="I48" i="561"/>
  <c r="I46" i="561"/>
  <c r="I44" i="561"/>
  <c r="I42" i="561"/>
  <c r="I40" i="561"/>
  <c r="I38" i="561"/>
  <c r="I36" i="561"/>
  <c r="I34" i="561"/>
  <c r="I32" i="561"/>
  <c r="I30" i="561"/>
  <c r="I28" i="561"/>
  <c r="I26" i="561"/>
  <c r="I24" i="561"/>
  <c r="I22" i="561"/>
  <c r="I20" i="561"/>
  <c r="I18" i="561"/>
  <c r="I16" i="561"/>
  <c r="I14" i="561"/>
  <c r="I12" i="561"/>
  <c r="I10" i="561"/>
  <c r="I8" i="561"/>
  <c r="A751" i="150"/>
  <c r="A752" i="150"/>
  <c r="A696" i="150"/>
  <c r="A695" i="150"/>
  <c r="A666" i="150"/>
  <c r="A665" i="150"/>
  <c r="A635" i="150"/>
  <c r="A634" i="150"/>
  <c r="A37" i="150"/>
  <c r="H18" i="414" l="1"/>
  <c r="E53" i="517" l="1"/>
  <c r="E48" i="90"/>
  <c r="G57" i="538" l="1"/>
  <c r="G54" i="537" s="1"/>
  <c r="E57" i="538"/>
  <c r="E54" i="537" s="1"/>
  <c r="J30" i="532"/>
  <c r="F30" i="532"/>
  <c r="E51" i="536" l="1"/>
  <c r="G51" i="536"/>
  <c r="H107" i="560"/>
  <c r="H106" i="560"/>
  <c r="H105" i="560"/>
  <c r="H104" i="560"/>
  <c r="H103" i="560"/>
  <c r="H102" i="560"/>
  <c r="H101" i="560"/>
  <c r="H100" i="560"/>
  <c r="H99" i="560"/>
  <c r="H98" i="560"/>
  <c r="H97" i="560"/>
  <c r="H96" i="560"/>
  <c r="H95" i="560"/>
  <c r="H94" i="560"/>
  <c r="H93" i="560"/>
  <c r="E40" i="552" s="1"/>
  <c r="H92" i="560"/>
  <c r="H91" i="560"/>
  <c r="H90" i="560"/>
  <c r="H89" i="560"/>
  <c r="H88" i="560"/>
  <c r="H87" i="560"/>
  <c r="H86" i="560"/>
  <c r="H85" i="560"/>
  <c r="H84" i="560"/>
  <c r="H83" i="560"/>
  <c r="H82" i="560"/>
  <c r="H81" i="560"/>
  <c r="H80" i="560"/>
  <c r="H79" i="560"/>
  <c r="H78" i="560"/>
  <c r="H77" i="560"/>
  <c r="H76" i="560"/>
  <c r="H75" i="560"/>
  <c r="H60" i="560"/>
  <c r="M40" i="552" s="1"/>
  <c r="H59" i="560"/>
  <c r="H58" i="560"/>
  <c r="H57" i="560"/>
  <c r="O40" i="552" s="1"/>
  <c r="H56" i="560"/>
  <c r="K40" i="552" s="1"/>
  <c r="H55" i="560"/>
  <c r="H54" i="560"/>
  <c r="H53" i="560"/>
  <c r="H52" i="560"/>
  <c r="D14" i="560" l="1"/>
  <c r="D13" i="560"/>
  <c r="G40" i="552"/>
  <c r="F40" i="552"/>
  <c r="E42" i="552"/>
  <c r="E43" i="552"/>
  <c r="E41" i="552"/>
  <c r="N40" i="552"/>
  <c r="M41" i="552"/>
  <c r="M42" i="552"/>
  <c r="M43" i="552"/>
  <c r="K42" i="552"/>
  <c r="K43" i="552"/>
  <c r="K41" i="552"/>
  <c r="O42" i="552"/>
  <c r="P40" i="552"/>
  <c r="O41" i="552"/>
  <c r="O43" i="552"/>
  <c r="I40" i="552"/>
  <c r="B2" i="560"/>
  <c r="N42" i="552" l="1"/>
  <c r="N43" i="552"/>
  <c r="N41" i="552"/>
  <c r="F43" i="552"/>
  <c r="F42" i="552"/>
  <c r="F41" i="552"/>
  <c r="P41" i="552"/>
  <c r="P43" i="552"/>
  <c r="P42" i="552"/>
  <c r="I41" i="552"/>
  <c r="I43" i="552"/>
  <c r="I42" i="552"/>
  <c r="H40" i="552"/>
  <c r="G41" i="552"/>
  <c r="G43" i="552"/>
  <c r="G42" i="552"/>
  <c r="I53" i="560"/>
  <c r="H51" i="560"/>
  <c r="F74" i="560"/>
  <c r="F51" i="560"/>
  <c r="H74" i="560"/>
  <c r="G73" i="560"/>
  <c r="H73" i="560" s="1"/>
  <c r="H43" i="552" l="1"/>
  <c r="H41" i="552"/>
  <c r="H42" i="552"/>
  <c r="J53" i="560"/>
  <c r="K53" i="560"/>
  <c r="K99" i="560"/>
  <c r="J99" i="560"/>
  <c r="I99" i="560"/>
  <c r="J88" i="560"/>
  <c r="I88" i="560"/>
  <c r="K88" i="560"/>
  <c r="I91" i="560"/>
  <c r="J91" i="560"/>
  <c r="K91" i="560"/>
  <c r="K84" i="560"/>
  <c r="J84" i="560"/>
  <c r="I84" i="560"/>
  <c r="K76" i="560"/>
  <c r="J76" i="560"/>
  <c r="I76" i="560"/>
  <c r="K93" i="560"/>
  <c r="J93" i="560"/>
  <c r="I93" i="560"/>
  <c r="K73" i="560"/>
  <c r="J73" i="560"/>
  <c r="D15" i="560"/>
  <c r="I73" i="560"/>
  <c r="K75" i="560"/>
  <c r="J75" i="560"/>
  <c r="I75" i="560"/>
  <c r="I78" i="560"/>
  <c r="K78" i="560"/>
  <c r="J78" i="560"/>
  <c r="K96" i="560"/>
  <c r="J96" i="560"/>
  <c r="I96" i="560"/>
  <c r="K87" i="560"/>
  <c r="J87" i="560"/>
  <c r="I87" i="560"/>
  <c r="I104" i="560"/>
  <c r="K104" i="560"/>
  <c r="J104" i="560"/>
  <c r="J94" i="560"/>
  <c r="K94" i="560"/>
  <c r="I94" i="560"/>
  <c r="K102" i="560"/>
  <c r="J102" i="560"/>
  <c r="I102" i="560"/>
  <c r="K103" i="560"/>
  <c r="J103" i="560"/>
  <c r="I103" i="560"/>
  <c r="J81" i="560"/>
  <c r="I81" i="560"/>
  <c r="K81" i="560"/>
  <c r="K79" i="560"/>
  <c r="J79" i="560"/>
  <c r="I79" i="560"/>
  <c r="K51" i="560"/>
  <c r="J51" i="560"/>
  <c r="I51" i="560"/>
  <c r="D10" i="560"/>
  <c r="J106" i="560"/>
  <c r="I106" i="560"/>
  <c r="K106" i="560"/>
  <c r="K54" i="560"/>
  <c r="J54" i="560"/>
  <c r="I54" i="560"/>
  <c r="K83" i="560"/>
  <c r="J83" i="560"/>
  <c r="I83" i="560"/>
  <c r="I77" i="560"/>
  <c r="J77" i="560"/>
  <c r="K77" i="560"/>
  <c r="I98" i="560"/>
  <c r="K98" i="560"/>
  <c r="J98" i="560"/>
  <c r="J85" i="560"/>
  <c r="K85" i="560"/>
  <c r="I85" i="560"/>
  <c r="J100" i="560"/>
  <c r="I100" i="560"/>
  <c r="K100" i="560"/>
  <c r="D11" i="560"/>
  <c r="D12" i="560" s="1"/>
  <c r="K57" i="560"/>
  <c r="J57" i="560"/>
  <c r="I57" i="560"/>
  <c r="J59" i="560"/>
  <c r="K59" i="560"/>
  <c r="I59" i="560"/>
  <c r="J55" i="560"/>
  <c r="I55" i="560"/>
  <c r="K55" i="560"/>
  <c r="K58" i="560"/>
  <c r="J58" i="560"/>
  <c r="I58" i="560"/>
  <c r="I56" i="560"/>
  <c r="L40" i="552" s="1"/>
  <c r="J56" i="560"/>
  <c r="K56" i="560"/>
  <c r="K101" i="560"/>
  <c r="I101" i="560"/>
  <c r="J101" i="560"/>
  <c r="I92" i="560"/>
  <c r="K92" i="560"/>
  <c r="J92" i="560"/>
  <c r="K90" i="560"/>
  <c r="J90" i="560"/>
  <c r="I90" i="560"/>
  <c r="I107" i="560"/>
  <c r="K107" i="560"/>
  <c r="J107" i="560"/>
  <c r="J97" i="560"/>
  <c r="I97" i="560"/>
  <c r="K97" i="560"/>
  <c r="K82" i="560"/>
  <c r="J82" i="560"/>
  <c r="I82" i="560"/>
  <c r="I86" i="560"/>
  <c r="K86" i="560"/>
  <c r="J86" i="560"/>
  <c r="J95" i="560"/>
  <c r="I95" i="560"/>
  <c r="K95" i="560"/>
  <c r="K89" i="560"/>
  <c r="I89" i="560"/>
  <c r="J89" i="560"/>
  <c r="J80" i="560"/>
  <c r="K80" i="560"/>
  <c r="I80" i="560"/>
  <c r="I52" i="560"/>
  <c r="K52" i="560"/>
  <c r="J52" i="560"/>
  <c r="K105" i="560"/>
  <c r="J105" i="560"/>
  <c r="I105" i="560"/>
  <c r="K60" i="560"/>
  <c r="J60" i="560"/>
  <c r="I60" i="560"/>
  <c r="L42" i="552" l="1"/>
  <c r="L43" i="552"/>
  <c r="L41" i="552"/>
  <c r="J40" i="552"/>
  <c r="G14" i="560"/>
  <c r="F14" i="560"/>
  <c r="E14" i="560"/>
  <c r="G13" i="560"/>
  <c r="F13" i="560"/>
  <c r="I13" i="560"/>
  <c r="E13" i="560"/>
  <c r="F10" i="560"/>
  <c r="E10" i="560"/>
  <c r="G10" i="560"/>
  <c r="C10" i="560"/>
  <c r="I10" i="560"/>
  <c r="I49" i="90" s="1"/>
  <c r="C11" i="560"/>
  <c r="G11" i="560"/>
  <c r="E11" i="560"/>
  <c r="I11" i="560"/>
  <c r="F11" i="560"/>
  <c r="G15" i="560"/>
  <c r="F15" i="560"/>
  <c r="I15" i="560"/>
  <c r="E15" i="560"/>
  <c r="J49" i="90" l="1"/>
  <c r="G45" i="406" s="1"/>
  <c r="F45" i="406"/>
  <c r="I57" i="538"/>
  <c r="J42" i="552"/>
  <c r="J43" i="552"/>
  <c r="J41" i="552"/>
  <c r="L13" i="560"/>
  <c r="K13" i="560"/>
  <c r="J13" i="560"/>
  <c r="L15" i="560"/>
  <c r="K15" i="560"/>
  <c r="J15" i="560"/>
  <c r="J10" i="560"/>
  <c r="L10" i="560"/>
  <c r="K10" i="560"/>
  <c r="H10" i="560"/>
  <c r="F12" i="560"/>
  <c r="G12" i="560"/>
  <c r="I12" i="560"/>
  <c r="I14" i="560" s="1"/>
  <c r="E12" i="560"/>
  <c r="L11" i="560"/>
  <c r="K11" i="560"/>
  <c r="J11" i="560"/>
  <c r="H11" i="560"/>
  <c r="I51" i="536" l="1"/>
  <c r="I54" i="537"/>
  <c r="Q49" i="90"/>
  <c r="Q57" i="538" s="1"/>
  <c r="C40" i="552"/>
  <c r="L14" i="560"/>
  <c r="K14" i="560"/>
  <c r="J14" i="560"/>
  <c r="L12" i="560"/>
  <c r="K12" i="560"/>
  <c r="J12" i="560"/>
  <c r="Q52" i="90" l="1"/>
  <c r="Q50" i="90"/>
  <c r="Q51" i="90"/>
  <c r="Q51" i="536"/>
  <c r="Q54" i="537"/>
  <c r="R49" i="90"/>
  <c r="R57" i="538" s="1"/>
  <c r="D40" i="552"/>
  <c r="C43" i="552"/>
  <c r="C41" i="552"/>
  <c r="C42" i="552"/>
  <c r="K14" i="451"/>
  <c r="R54" i="537" l="1"/>
  <c r="R51" i="536"/>
  <c r="R50" i="90"/>
  <c r="D43" i="552"/>
  <c r="D42" i="552"/>
  <c r="D41" i="552"/>
  <c r="R51" i="90"/>
  <c r="R52" i="90"/>
  <c r="Q13" i="533"/>
  <c r="P13" i="533"/>
  <c r="G14" i="451" l="1"/>
  <c r="G15" i="451" s="1"/>
  <c r="G27" i="533"/>
  <c r="G26" i="533"/>
  <c r="G20" i="533"/>
  <c r="G18" i="533"/>
  <c r="G17" i="533"/>
  <c r="G14" i="533"/>
  <c r="G16" i="451"/>
  <c r="G30" i="533"/>
  <c r="G18" i="451" s="1"/>
  <c r="G29" i="533"/>
  <c r="G17" i="451" s="1"/>
  <c r="G21" i="533" l="1"/>
  <c r="B2" i="559"/>
  <c r="G22" i="533" l="1"/>
  <c r="G52" i="559"/>
  <c r="G53" i="559" s="1"/>
  <c r="G39" i="559"/>
  <c r="H26" i="559"/>
  <c r="I26" i="559" s="1"/>
  <c r="G25" i="559"/>
  <c r="F24" i="559"/>
  <c r="H24" i="559" s="1"/>
  <c r="I24" i="559" s="1"/>
  <c r="G11" i="559"/>
  <c r="H11" i="559" l="1"/>
  <c r="G27" i="559" s="1"/>
  <c r="G28" i="559" s="1"/>
  <c r="G23" i="533"/>
  <c r="F25" i="559"/>
  <c r="I11" i="559" l="1"/>
  <c r="G24" i="533"/>
  <c r="F27" i="559"/>
  <c r="H27" i="559" s="1"/>
  <c r="I27" i="559" s="1"/>
  <c r="H25" i="559"/>
  <c r="E27" i="411" s="1"/>
  <c r="G32" i="559"/>
  <c r="G29" i="559"/>
  <c r="G30" i="559" s="1"/>
  <c r="F28" i="559" l="1"/>
  <c r="F29" i="559" s="1"/>
  <c r="G33" i="559"/>
  <c r="G34" i="559" s="1"/>
  <c r="G36" i="559"/>
  <c r="G37" i="559" s="1"/>
  <c r="G38" i="559" s="1"/>
  <c r="F32" i="559" l="1"/>
  <c r="F33" i="559" s="1"/>
  <c r="H28" i="559"/>
  <c r="I28" i="559" s="1"/>
  <c r="F30" i="559"/>
  <c r="H30" i="559" s="1"/>
  <c r="I30" i="559" s="1"/>
  <c r="H29" i="559"/>
  <c r="I29" i="559" s="1"/>
  <c r="H32" i="559" l="1"/>
  <c r="I32" i="559" s="1"/>
  <c r="F36" i="559"/>
  <c r="F40" i="559" s="1"/>
  <c r="F41" i="559" s="1"/>
  <c r="H33" i="559"/>
  <c r="I33" i="559" s="1"/>
  <c r="F34" i="559"/>
  <c r="H34" i="559" s="1"/>
  <c r="I34" i="559" s="1"/>
  <c r="F37" i="559" l="1"/>
  <c r="H37" i="559" s="1"/>
  <c r="I37" i="559" s="1"/>
  <c r="H40" i="559"/>
  <c r="I40" i="559" s="1"/>
  <c r="F44" i="559"/>
  <c r="F48" i="559" s="1"/>
  <c r="F49" i="559" s="1"/>
  <c r="Q40" i="552" s="1"/>
  <c r="H36" i="559"/>
  <c r="I36" i="559" s="1"/>
  <c r="H41" i="559"/>
  <c r="I41" i="559" s="1"/>
  <c r="F42" i="559"/>
  <c r="H42" i="559" s="1"/>
  <c r="I42" i="559" s="1"/>
  <c r="F38" i="559" l="1"/>
  <c r="H38" i="559" s="1"/>
  <c r="I38" i="559" s="1"/>
  <c r="F51" i="559"/>
  <c r="H48" i="559"/>
  <c r="I48" i="559" s="1"/>
  <c r="F45" i="559"/>
  <c r="H45" i="559" s="1"/>
  <c r="I45" i="559" s="1"/>
  <c r="H44" i="559"/>
  <c r="I44" i="559" s="1"/>
  <c r="H51" i="559"/>
  <c r="I51" i="559" s="1"/>
  <c r="F52" i="559"/>
  <c r="K49" i="90" s="1"/>
  <c r="I38" i="571" s="1"/>
  <c r="H49" i="559"/>
  <c r="F50" i="559"/>
  <c r="H50" i="559" s="1"/>
  <c r="F46" i="559" l="1"/>
  <c r="H46" i="559" s="1"/>
  <c r="I46" i="559" s="1"/>
  <c r="J38" i="571"/>
  <c r="K38" i="571" s="1"/>
  <c r="I50" i="559"/>
  <c r="R13" i="547" s="1"/>
  <c r="R40" i="552"/>
  <c r="I49" i="559"/>
  <c r="Q13" i="547" s="1"/>
  <c r="F38" i="571"/>
  <c r="K57" i="538"/>
  <c r="K51" i="536" s="1"/>
  <c r="H45" i="406"/>
  <c r="K48" i="542"/>
  <c r="F53" i="559"/>
  <c r="H53" i="559" s="1"/>
  <c r="L49" i="90" s="1"/>
  <c r="H52" i="559"/>
  <c r="I52" i="559" s="1"/>
  <c r="G38" i="571" l="1"/>
  <c r="H38" i="571" s="1"/>
  <c r="F40" i="571"/>
  <c r="G40" i="571" s="1"/>
  <c r="H40" i="571" s="1"/>
  <c r="F41" i="571"/>
  <c r="G41" i="571" s="1"/>
  <c r="H41" i="571" s="1"/>
  <c r="F39" i="571"/>
  <c r="G39" i="571" s="1"/>
  <c r="H39" i="571" s="1"/>
  <c r="H39" i="544"/>
  <c r="L57" i="538"/>
  <c r="L51" i="536" s="1"/>
  <c r="I45" i="406"/>
  <c r="K54" i="537"/>
  <c r="I53" i="559"/>
  <c r="K51" i="542"/>
  <c r="K49" i="542"/>
  <c r="K50" i="542"/>
  <c r="L48" i="542"/>
  <c r="F50" i="571" l="1"/>
  <c r="G50" i="571" s="1"/>
  <c r="H50" i="571" s="1"/>
  <c r="H40" i="544"/>
  <c r="H41" i="544"/>
  <c r="H42" i="544"/>
  <c r="I39" i="544"/>
  <c r="I40" i="544" s="1"/>
  <c r="L54" i="537"/>
  <c r="L50" i="542"/>
  <c r="L49" i="542"/>
  <c r="L51" i="542"/>
  <c r="I51" i="542"/>
  <c r="G51" i="542"/>
  <c r="E51" i="542"/>
  <c r="I50" i="542"/>
  <c r="G50" i="542"/>
  <c r="E50" i="542"/>
  <c r="I49" i="542"/>
  <c r="G49" i="542"/>
  <c r="E49" i="542"/>
  <c r="J48" i="542"/>
  <c r="H48" i="542"/>
  <c r="E39" i="544" s="1"/>
  <c r="F48" i="542"/>
  <c r="H49" i="90"/>
  <c r="F49" i="90"/>
  <c r="L14" i="451"/>
  <c r="D14" i="451"/>
  <c r="L14" i="533"/>
  <c r="Q14" i="533" s="1"/>
  <c r="K14" i="533"/>
  <c r="P14" i="533" s="1"/>
  <c r="F52" i="571" l="1"/>
  <c r="D17" i="451"/>
  <c r="K13" i="577"/>
  <c r="H52" i="571"/>
  <c r="G52" i="571"/>
  <c r="I41" i="544"/>
  <c r="I42" i="544"/>
  <c r="J49" i="542"/>
  <c r="J50" i="542" s="1"/>
  <c r="J51" i="542" s="1"/>
  <c r="G39" i="544"/>
  <c r="P14" i="451"/>
  <c r="C45" i="406"/>
  <c r="F57" i="538"/>
  <c r="E45" i="406"/>
  <c r="H57" i="538"/>
  <c r="D18" i="451"/>
  <c r="F49" i="542"/>
  <c r="C39" i="544"/>
  <c r="H50" i="542"/>
  <c r="J57" i="538"/>
  <c r="F51" i="542"/>
  <c r="H49" i="542"/>
  <c r="L15" i="533"/>
  <c r="L16" i="533" s="1"/>
  <c r="L17" i="533" s="1"/>
  <c r="H51" i="542"/>
  <c r="F50" i="542"/>
  <c r="Q14" i="451"/>
  <c r="D15" i="451"/>
  <c r="D16" i="451"/>
  <c r="K15" i="533"/>
  <c r="B86" i="506"/>
  <c r="B49" i="507" s="1"/>
  <c r="B84" i="506"/>
  <c r="B47" i="507" s="1"/>
  <c r="K14" i="577" l="1"/>
  <c r="S13" i="577"/>
  <c r="F54" i="537"/>
  <c r="F51" i="536"/>
  <c r="E42" i="544"/>
  <c r="E40" i="544"/>
  <c r="E41" i="544"/>
  <c r="C42" i="544"/>
  <c r="C41" i="544"/>
  <c r="C40" i="544"/>
  <c r="G42" i="544"/>
  <c r="G40" i="544"/>
  <c r="G41" i="544"/>
  <c r="H51" i="536"/>
  <c r="H54" i="537"/>
  <c r="J54" i="537"/>
  <c r="J51" i="536"/>
  <c r="L18" i="533"/>
  <c r="Q17" i="533"/>
  <c r="K16" i="533"/>
  <c r="D17" i="414"/>
  <c r="H17" i="414" s="1"/>
  <c r="J19" i="412"/>
  <c r="H19" i="412"/>
  <c r="I19" i="412"/>
  <c r="G19" i="412"/>
  <c r="J20" i="412"/>
  <c r="H20" i="412"/>
  <c r="I20" i="412"/>
  <c r="G20" i="412"/>
  <c r="J17" i="412"/>
  <c r="J18" i="412" s="1"/>
  <c r="H17" i="412"/>
  <c r="H18" i="412" s="1"/>
  <c r="I17" i="412"/>
  <c r="I18" i="412" s="1"/>
  <c r="G17" i="412"/>
  <c r="G18" i="412" s="1"/>
  <c r="J11" i="412"/>
  <c r="J16" i="412" s="1"/>
  <c r="H11" i="412"/>
  <c r="H14" i="412" s="1"/>
  <c r="I11" i="412"/>
  <c r="I14" i="412" s="1"/>
  <c r="G11" i="412"/>
  <c r="G16" i="412" s="1"/>
  <c r="J7" i="412"/>
  <c r="J10" i="412" s="1"/>
  <c r="I7" i="412"/>
  <c r="I8" i="412" s="1"/>
  <c r="H7" i="412"/>
  <c r="H8" i="412" s="1"/>
  <c r="G7" i="412"/>
  <c r="G9" i="412" s="1"/>
  <c r="F7" i="412"/>
  <c r="E16" i="412"/>
  <c r="E15" i="412"/>
  <c r="E14" i="412"/>
  <c r="E13" i="412"/>
  <c r="E12" i="412"/>
  <c r="E11" i="412"/>
  <c r="E10" i="412"/>
  <c r="E9" i="412"/>
  <c r="E8" i="412"/>
  <c r="D19" i="412"/>
  <c r="D18" i="412"/>
  <c r="I112" i="543"/>
  <c r="I86" i="402" s="1"/>
  <c r="I110" i="543"/>
  <c r="I84" i="402" s="1"/>
  <c r="I108" i="543"/>
  <c r="I82" i="402" s="1"/>
  <c r="I106" i="543"/>
  <c r="I80" i="402" s="1"/>
  <c r="AB13" i="577" l="1"/>
  <c r="K53" i="90"/>
  <c r="K15" i="577"/>
  <c r="S14" i="577"/>
  <c r="G15" i="412"/>
  <c r="L19" i="533"/>
  <c r="L20" i="533" s="1"/>
  <c r="Q18" i="533"/>
  <c r="K17" i="533"/>
  <c r="H12" i="412"/>
  <c r="G8" i="412"/>
  <c r="G10" i="412"/>
  <c r="G14" i="412"/>
  <c r="J14" i="412"/>
  <c r="G12" i="412"/>
  <c r="G13" i="412"/>
  <c r="H15" i="412"/>
  <c r="I15" i="412"/>
  <c r="H9" i="412"/>
  <c r="I12" i="412"/>
  <c r="H10" i="412"/>
  <c r="J12" i="412"/>
  <c r="I9" i="412"/>
  <c r="H13" i="412"/>
  <c r="J15" i="412"/>
  <c r="I10" i="412"/>
  <c r="I13" i="412"/>
  <c r="H16" i="412"/>
  <c r="J9" i="412"/>
  <c r="J13" i="412"/>
  <c r="I16" i="412"/>
  <c r="J8" i="412"/>
  <c r="D23" i="411"/>
  <c r="D22" i="411"/>
  <c r="D21" i="411"/>
  <c r="D20" i="411"/>
  <c r="D19" i="411"/>
  <c r="D18" i="411"/>
  <c r="D17" i="411"/>
  <c r="D16" i="411"/>
  <c r="D15" i="411"/>
  <c r="D14" i="411"/>
  <c r="D13" i="411"/>
  <c r="D12" i="411"/>
  <c r="D11" i="411"/>
  <c r="D10" i="411"/>
  <c r="D9" i="411"/>
  <c r="D8" i="411"/>
  <c r="D7" i="411"/>
  <c r="D6" i="411"/>
  <c r="S40" i="552"/>
  <c r="Q42" i="552"/>
  <c r="K56" i="537" l="1"/>
  <c r="K58" i="538"/>
  <c r="K54" i="536"/>
  <c r="K54" i="90"/>
  <c r="AB14" i="577"/>
  <c r="L54" i="90" s="1"/>
  <c r="K16" i="577"/>
  <c r="S15" i="577"/>
  <c r="K52" i="542"/>
  <c r="K62" i="517"/>
  <c r="H49" i="406"/>
  <c r="H43" i="544" s="1"/>
  <c r="L53" i="90"/>
  <c r="L21" i="533"/>
  <c r="Q20" i="533"/>
  <c r="K18" i="533"/>
  <c r="P17" i="533"/>
  <c r="Q43" i="552"/>
  <c r="Q41" i="552"/>
  <c r="T40" i="552"/>
  <c r="S41" i="552"/>
  <c r="S42" i="552"/>
  <c r="S43" i="552"/>
  <c r="L59" i="538" l="1"/>
  <c r="L55" i="536"/>
  <c r="L57" i="537"/>
  <c r="K59" i="538"/>
  <c r="K55" i="536"/>
  <c r="K57" i="537"/>
  <c r="L54" i="536"/>
  <c r="L58" i="538"/>
  <c r="L56" i="537"/>
  <c r="S52" i="552"/>
  <c r="H52" i="405"/>
  <c r="K62" i="501"/>
  <c r="H52" i="531"/>
  <c r="K17" i="577"/>
  <c r="S16" i="577"/>
  <c r="T43" i="552"/>
  <c r="I50" i="406"/>
  <c r="I44" i="544" s="1"/>
  <c r="L53" i="542"/>
  <c r="L63" i="517"/>
  <c r="AB15" i="577"/>
  <c r="K55" i="90"/>
  <c r="I49" i="406"/>
  <c r="L62" i="517"/>
  <c r="L52" i="542"/>
  <c r="K63" i="517"/>
  <c r="K53" i="542"/>
  <c r="H50" i="406"/>
  <c r="H44" i="544" s="1"/>
  <c r="L22" i="533"/>
  <c r="Q21" i="533"/>
  <c r="K19" i="533"/>
  <c r="P18" i="533"/>
  <c r="Q52" i="552"/>
  <c r="X52" i="552" s="1"/>
  <c r="G30" i="532"/>
  <c r="J31" i="532"/>
  <c r="J33" i="532"/>
  <c r="J32" i="532"/>
  <c r="F33" i="532"/>
  <c r="F32" i="532"/>
  <c r="F31" i="532"/>
  <c r="T42" i="552"/>
  <c r="T41" i="552"/>
  <c r="K60" i="538" l="1"/>
  <c r="K58" i="537"/>
  <c r="K56" i="536"/>
  <c r="I43" i="544"/>
  <c r="T52" i="552"/>
  <c r="K63" i="501"/>
  <c r="H53" i="405"/>
  <c r="H53" i="531"/>
  <c r="AB16" i="577"/>
  <c r="L56" i="90" s="1"/>
  <c r="K56" i="90"/>
  <c r="I52" i="531"/>
  <c r="I52" i="405"/>
  <c r="L62" i="501"/>
  <c r="K18" i="577"/>
  <c r="S17" i="577"/>
  <c r="L55" i="90"/>
  <c r="H51" i="406"/>
  <c r="H45" i="544" s="1"/>
  <c r="K54" i="542"/>
  <c r="K64" i="517"/>
  <c r="I53" i="405"/>
  <c r="L63" i="501"/>
  <c r="I53" i="531"/>
  <c r="L23" i="533"/>
  <c r="Q22" i="533"/>
  <c r="K20" i="533"/>
  <c r="G32" i="532"/>
  <c r="G31" i="532"/>
  <c r="G33" i="532"/>
  <c r="R36" i="542"/>
  <c r="H63" i="556"/>
  <c r="T54" i="556"/>
  <c r="B50" i="556"/>
  <c r="B50" i="555" s="1"/>
  <c r="B49" i="556"/>
  <c r="B48" i="555" s="1"/>
  <c r="B48" i="556"/>
  <c r="B47" i="555" s="1"/>
  <c r="O47" i="556"/>
  <c r="O49" i="556" s="1"/>
  <c r="K47" i="556"/>
  <c r="K48" i="556" s="1"/>
  <c r="I47" i="556"/>
  <c r="I49" i="556" s="1"/>
  <c r="G47" i="556"/>
  <c r="G50" i="556" s="1"/>
  <c r="E47" i="556"/>
  <c r="E49" i="556" s="1"/>
  <c r="B47" i="556"/>
  <c r="E38" i="556"/>
  <c r="E39" i="556" s="1"/>
  <c r="E26" i="556"/>
  <c r="E27" i="556" s="1"/>
  <c r="P41" i="555"/>
  <c r="O41" i="555"/>
  <c r="N41" i="555"/>
  <c r="M41" i="555"/>
  <c r="L41" i="555"/>
  <c r="K41" i="555"/>
  <c r="H41" i="555"/>
  <c r="G41" i="555"/>
  <c r="F41" i="555"/>
  <c r="E41" i="555"/>
  <c r="P40" i="555"/>
  <c r="O40" i="555"/>
  <c r="N40" i="555"/>
  <c r="M40" i="555"/>
  <c r="L40" i="555"/>
  <c r="K40" i="555"/>
  <c r="H40" i="555"/>
  <c r="G40" i="555"/>
  <c r="F40" i="555"/>
  <c r="E40" i="555"/>
  <c r="R37" i="555"/>
  <c r="Q37" i="555"/>
  <c r="L37" i="555"/>
  <c r="K37" i="555"/>
  <c r="J37" i="555"/>
  <c r="I37" i="555"/>
  <c r="H37" i="555"/>
  <c r="G37" i="555"/>
  <c r="F37" i="555"/>
  <c r="E37" i="555"/>
  <c r="R36" i="555"/>
  <c r="Q36" i="555"/>
  <c r="P36" i="555"/>
  <c r="O36" i="555"/>
  <c r="N36" i="555"/>
  <c r="M36" i="555"/>
  <c r="L36" i="555"/>
  <c r="K36" i="555"/>
  <c r="J36" i="555"/>
  <c r="I36" i="555"/>
  <c r="H36" i="555"/>
  <c r="G36" i="555"/>
  <c r="F36" i="555"/>
  <c r="E36" i="555"/>
  <c r="R35" i="555"/>
  <c r="Q35" i="555"/>
  <c r="P35" i="555"/>
  <c r="O35" i="555"/>
  <c r="N35" i="555"/>
  <c r="M35" i="555"/>
  <c r="L35" i="555"/>
  <c r="K35" i="555"/>
  <c r="H35" i="555"/>
  <c r="G35" i="555"/>
  <c r="F35" i="555"/>
  <c r="E35" i="555"/>
  <c r="P24" i="555"/>
  <c r="O24" i="555"/>
  <c r="N24" i="555"/>
  <c r="M24" i="555"/>
  <c r="L24" i="555"/>
  <c r="K24" i="555"/>
  <c r="H24" i="555"/>
  <c r="G24" i="555"/>
  <c r="F24" i="555"/>
  <c r="E24" i="555"/>
  <c r="P23" i="555"/>
  <c r="O23" i="555"/>
  <c r="N23" i="555"/>
  <c r="M23" i="555"/>
  <c r="L23" i="555"/>
  <c r="K23" i="555"/>
  <c r="H23" i="555"/>
  <c r="G23" i="555"/>
  <c r="F23" i="555"/>
  <c r="E23" i="555"/>
  <c r="P22" i="555"/>
  <c r="O22" i="555"/>
  <c r="N22" i="555"/>
  <c r="M22" i="555"/>
  <c r="L22" i="555"/>
  <c r="K22" i="555"/>
  <c r="H22" i="555"/>
  <c r="G22" i="555"/>
  <c r="F22" i="555"/>
  <c r="E22" i="555"/>
  <c r="P21" i="555"/>
  <c r="O21" i="555"/>
  <c r="N21" i="555"/>
  <c r="M21" i="555"/>
  <c r="L21" i="555"/>
  <c r="K21" i="555"/>
  <c r="H21" i="555"/>
  <c r="G21" i="555"/>
  <c r="F21" i="555"/>
  <c r="E21" i="555"/>
  <c r="Q36" i="542"/>
  <c r="T62" i="554"/>
  <c r="C58" i="554"/>
  <c r="D58" i="554" s="1"/>
  <c r="D59" i="553" s="1"/>
  <c r="B58" i="554"/>
  <c r="B59" i="553" s="1"/>
  <c r="C57" i="554"/>
  <c r="D57" i="554" s="1"/>
  <c r="D58" i="553" s="1"/>
  <c r="B57" i="554"/>
  <c r="B58" i="553" s="1"/>
  <c r="C56" i="554"/>
  <c r="C57" i="553" s="1"/>
  <c r="B56" i="554"/>
  <c r="B57" i="553" s="1"/>
  <c r="C55" i="554"/>
  <c r="D55" i="554" s="1"/>
  <c r="D56" i="553" s="1"/>
  <c r="B55" i="554"/>
  <c r="B56" i="553" s="1"/>
  <c r="C54" i="554"/>
  <c r="D54" i="554" s="1"/>
  <c r="D55" i="553" s="1"/>
  <c r="B54" i="554"/>
  <c r="B55" i="553" s="1"/>
  <c r="C53" i="554"/>
  <c r="D53" i="554" s="1"/>
  <c r="D54" i="553" s="1"/>
  <c r="B53" i="554"/>
  <c r="B54" i="553" s="1"/>
  <c r="C52" i="554"/>
  <c r="D52" i="554" s="1"/>
  <c r="D53" i="553" s="1"/>
  <c r="B52" i="554"/>
  <c r="B53" i="553" s="1"/>
  <c r="C51" i="554"/>
  <c r="C52" i="553" s="1"/>
  <c r="B51" i="554"/>
  <c r="B52" i="553" s="1"/>
  <c r="E50" i="554"/>
  <c r="E57" i="554" s="1"/>
  <c r="C50" i="554"/>
  <c r="D50" i="554" s="1"/>
  <c r="D51" i="553" s="1"/>
  <c r="B50" i="554"/>
  <c r="B51" i="553" s="1"/>
  <c r="C49" i="554"/>
  <c r="D49" i="554" s="1"/>
  <c r="D50" i="553" s="1"/>
  <c r="B49" i="554"/>
  <c r="B50" i="553" s="1"/>
  <c r="C48" i="554"/>
  <c r="D48" i="554" s="1"/>
  <c r="D49" i="553" s="1"/>
  <c r="B48" i="554"/>
  <c r="B49" i="553" s="1"/>
  <c r="C47" i="554"/>
  <c r="C48" i="553" s="1"/>
  <c r="B47" i="554"/>
  <c r="B48" i="553" s="1"/>
  <c r="C46" i="554"/>
  <c r="D46" i="554" s="1"/>
  <c r="D47" i="553" s="1"/>
  <c r="B46" i="554"/>
  <c r="B47" i="553" s="1"/>
  <c r="W45" i="554"/>
  <c r="C45" i="554"/>
  <c r="D45" i="554" s="1"/>
  <c r="D46" i="553" s="1"/>
  <c r="B45" i="554"/>
  <c r="B46" i="553" s="1"/>
  <c r="C44" i="554"/>
  <c r="D44" i="554" s="1"/>
  <c r="D45" i="553" s="1"/>
  <c r="B44" i="554"/>
  <c r="B45" i="553" s="1"/>
  <c r="C43" i="554"/>
  <c r="D43" i="554" s="1"/>
  <c r="D44" i="553" s="1"/>
  <c r="B43" i="554"/>
  <c r="W42" i="554"/>
  <c r="E42" i="554"/>
  <c r="C42" i="554"/>
  <c r="C43" i="553" s="1"/>
  <c r="B42" i="554"/>
  <c r="B43" i="553" s="1"/>
  <c r="E41" i="554"/>
  <c r="C41" i="554"/>
  <c r="D41" i="554" s="1"/>
  <c r="D42" i="553" s="1"/>
  <c r="B41" i="554"/>
  <c r="B42" i="553" s="1"/>
  <c r="E40" i="554"/>
  <c r="C40" i="554"/>
  <c r="C41" i="553" s="1"/>
  <c r="B40" i="554"/>
  <c r="B41" i="553" s="1"/>
  <c r="E39" i="554"/>
  <c r="C39" i="554"/>
  <c r="D39" i="554" s="1"/>
  <c r="D40" i="553" s="1"/>
  <c r="B39" i="554"/>
  <c r="B40" i="553" s="1"/>
  <c r="E38" i="554"/>
  <c r="C38" i="554"/>
  <c r="C39" i="553" s="1"/>
  <c r="B38" i="554"/>
  <c r="B39" i="553" s="1"/>
  <c r="C37" i="554"/>
  <c r="D37" i="554" s="1"/>
  <c r="D38" i="553" s="1"/>
  <c r="B37" i="554"/>
  <c r="B38" i="553" s="1"/>
  <c r="C36" i="554"/>
  <c r="D36" i="554" s="1"/>
  <c r="D37" i="553" s="1"/>
  <c r="B36" i="554"/>
  <c r="B37" i="553" s="1"/>
  <c r="C35" i="554"/>
  <c r="D35" i="554" s="1"/>
  <c r="D36" i="553" s="1"/>
  <c r="B35" i="554"/>
  <c r="B36" i="553" s="1"/>
  <c r="C34" i="554"/>
  <c r="D34" i="554" s="1"/>
  <c r="D35" i="553" s="1"/>
  <c r="B34" i="554"/>
  <c r="B35" i="553" s="1"/>
  <c r="C33" i="554"/>
  <c r="D33" i="554" s="1"/>
  <c r="D34" i="553" s="1"/>
  <c r="B33" i="554"/>
  <c r="B34" i="553" s="1"/>
  <c r="C32" i="554"/>
  <c r="D32" i="554" s="1"/>
  <c r="D33" i="553" s="1"/>
  <c r="B32" i="554"/>
  <c r="C31" i="554"/>
  <c r="C32" i="553" s="1"/>
  <c r="B31" i="554"/>
  <c r="C30" i="554"/>
  <c r="D30" i="554" s="1"/>
  <c r="D31" i="553" s="1"/>
  <c r="B30" i="554"/>
  <c r="C29" i="554"/>
  <c r="D29" i="554" s="1"/>
  <c r="D30" i="553" s="1"/>
  <c r="B29" i="554"/>
  <c r="B30" i="553" s="1"/>
  <c r="C28" i="554"/>
  <c r="D28" i="554" s="1"/>
  <c r="D29" i="553" s="1"/>
  <c r="B28" i="554"/>
  <c r="B29" i="553" s="1"/>
  <c r="C27" i="554"/>
  <c r="D27" i="554" s="1"/>
  <c r="D28" i="553" s="1"/>
  <c r="B27" i="554"/>
  <c r="B28" i="553" s="1"/>
  <c r="C26" i="554"/>
  <c r="D26" i="554" s="1"/>
  <c r="D27" i="553" s="1"/>
  <c r="B26" i="554"/>
  <c r="B27" i="553" s="1"/>
  <c r="W25" i="554"/>
  <c r="C25" i="554"/>
  <c r="D25" i="554" s="1"/>
  <c r="D26" i="553" s="1"/>
  <c r="B25" i="554"/>
  <c r="B26" i="553" s="1"/>
  <c r="C24" i="554"/>
  <c r="C25" i="553" s="1"/>
  <c r="B24" i="554"/>
  <c r="B25" i="553" s="1"/>
  <c r="C23" i="554"/>
  <c r="C24" i="553" s="1"/>
  <c r="B23" i="554"/>
  <c r="B24" i="553" s="1"/>
  <c r="C22" i="554"/>
  <c r="D22" i="554" s="1"/>
  <c r="D23" i="553" s="1"/>
  <c r="B22" i="554"/>
  <c r="B23" i="553" s="1"/>
  <c r="C21" i="554"/>
  <c r="D21" i="554" s="1"/>
  <c r="D22" i="553" s="1"/>
  <c r="B21" i="554"/>
  <c r="B22" i="553" s="1"/>
  <c r="C20" i="554"/>
  <c r="B20" i="554"/>
  <c r="B21" i="553" s="1"/>
  <c r="C19" i="554"/>
  <c r="D19" i="554" s="1"/>
  <c r="D20" i="553" s="1"/>
  <c r="B19" i="554"/>
  <c r="B20" i="553" s="1"/>
  <c r="C18" i="554"/>
  <c r="D18" i="554" s="1"/>
  <c r="D19" i="553" s="1"/>
  <c r="B18" i="554"/>
  <c r="B19" i="553" s="1"/>
  <c r="C17" i="554"/>
  <c r="C18" i="553" s="1"/>
  <c r="B17" i="554"/>
  <c r="B18" i="553" s="1"/>
  <c r="C16" i="554"/>
  <c r="C17" i="553" s="1"/>
  <c r="B16" i="554"/>
  <c r="B17" i="553" s="1"/>
  <c r="C15" i="554"/>
  <c r="D15" i="554" s="1"/>
  <c r="D16" i="553" s="1"/>
  <c r="B15" i="554"/>
  <c r="B16" i="553" s="1"/>
  <c r="C14" i="554"/>
  <c r="D14" i="554" s="1"/>
  <c r="D15" i="553" s="1"/>
  <c r="B14" i="554"/>
  <c r="B15" i="553" s="1"/>
  <c r="C13" i="554"/>
  <c r="D13" i="554" s="1"/>
  <c r="D14" i="553" s="1"/>
  <c r="B13" i="554"/>
  <c r="B14" i="553" s="1"/>
  <c r="C12" i="554"/>
  <c r="D12" i="554" s="1"/>
  <c r="D13" i="553" s="1"/>
  <c r="B12" i="554"/>
  <c r="B13" i="553" s="1"/>
  <c r="P54" i="553"/>
  <c r="O54" i="553"/>
  <c r="N54" i="553"/>
  <c r="M54" i="553"/>
  <c r="L54" i="553"/>
  <c r="K54" i="553"/>
  <c r="H54" i="553"/>
  <c r="G54" i="553"/>
  <c r="F54" i="553"/>
  <c r="E54" i="553"/>
  <c r="P53" i="553"/>
  <c r="O53" i="553"/>
  <c r="N53" i="553"/>
  <c r="M53" i="553"/>
  <c r="L53" i="553"/>
  <c r="K53" i="553"/>
  <c r="H53" i="553"/>
  <c r="G53" i="553"/>
  <c r="F53" i="553"/>
  <c r="E53" i="553"/>
  <c r="R50" i="553"/>
  <c r="Q50" i="553"/>
  <c r="L50" i="553"/>
  <c r="K50" i="553"/>
  <c r="J50" i="553"/>
  <c r="I50" i="553"/>
  <c r="H50" i="553"/>
  <c r="G50" i="553"/>
  <c r="F50" i="553"/>
  <c r="E50" i="553"/>
  <c r="R49" i="553"/>
  <c r="Q49" i="553"/>
  <c r="P49" i="553"/>
  <c r="O49" i="553"/>
  <c r="N49" i="553"/>
  <c r="M49" i="553"/>
  <c r="L49" i="553"/>
  <c r="K49" i="553"/>
  <c r="J49" i="553"/>
  <c r="I49" i="553"/>
  <c r="H49" i="553"/>
  <c r="G49" i="553"/>
  <c r="F49" i="553"/>
  <c r="E49" i="553"/>
  <c r="P48" i="553"/>
  <c r="O48" i="553"/>
  <c r="N48" i="553"/>
  <c r="M48" i="553"/>
  <c r="L48" i="553"/>
  <c r="K48" i="553"/>
  <c r="H48" i="553"/>
  <c r="G48" i="553"/>
  <c r="F48" i="553"/>
  <c r="E48" i="553"/>
  <c r="P37" i="553"/>
  <c r="O37" i="553"/>
  <c r="N37" i="553"/>
  <c r="M37" i="553"/>
  <c r="L37" i="553"/>
  <c r="K37" i="553"/>
  <c r="H37" i="553"/>
  <c r="G37" i="553"/>
  <c r="F37" i="553"/>
  <c r="E37" i="553"/>
  <c r="P36" i="553"/>
  <c r="O36" i="553"/>
  <c r="N36" i="553"/>
  <c r="M36" i="553"/>
  <c r="L36" i="553"/>
  <c r="K36" i="553"/>
  <c r="H36" i="553"/>
  <c r="G36" i="553"/>
  <c r="F36" i="553"/>
  <c r="E36" i="553"/>
  <c r="P35" i="553"/>
  <c r="O35" i="553"/>
  <c r="N35" i="553"/>
  <c r="M35" i="553"/>
  <c r="L35" i="553"/>
  <c r="K35" i="553"/>
  <c r="H35" i="553"/>
  <c r="G35" i="553"/>
  <c r="F35" i="553"/>
  <c r="E35" i="553"/>
  <c r="P34" i="553"/>
  <c r="O34" i="553"/>
  <c r="N34" i="553"/>
  <c r="M34" i="553"/>
  <c r="L34" i="553"/>
  <c r="K34" i="553"/>
  <c r="H34" i="553"/>
  <c r="G34" i="553"/>
  <c r="F34" i="553"/>
  <c r="E34" i="553"/>
  <c r="F29" i="502"/>
  <c r="F28" i="502"/>
  <c r="F27" i="502"/>
  <c r="F26" i="502"/>
  <c r="E20" i="502"/>
  <c r="E13" i="502"/>
  <c r="D14" i="6"/>
  <c r="D12" i="6"/>
  <c r="I21" i="467"/>
  <c r="I20" i="467"/>
  <c r="P11" i="471"/>
  <c r="P12" i="471"/>
  <c r="F21" i="274"/>
  <c r="M17" i="413" s="1"/>
  <c r="P27" i="552"/>
  <c r="O27" i="552"/>
  <c r="N27" i="552"/>
  <c r="M27" i="552"/>
  <c r="P26" i="552"/>
  <c r="O26" i="552"/>
  <c r="N26" i="552"/>
  <c r="M26" i="552"/>
  <c r="A23" i="552"/>
  <c r="A22" i="552"/>
  <c r="A21" i="552"/>
  <c r="A20" i="552"/>
  <c r="C19" i="552"/>
  <c r="A19" i="552"/>
  <c r="P16" i="552"/>
  <c r="P17" i="552" s="1"/>
  <c r="O16" i="552"/>
  <c r="O17" i="552" s="1"/>
  <c r="P15" i="552"/>
  <c r="O15" i="552"/>
  <c r="Q20" i="6"/>
  <c r="Q19" i="6"/>
  <c r="Q18" i="6"/>
  <c r="Q13" i="6"/>
  <c r="Q12" i="6"/>
  <c r="Q11" i="6"/>
  <c r="F24" i="274"/>
  <c r="M20" i="413" s="1"/>
  <c r="F23" i="274"/>
  <c r="M19" i="413" s="1"/>
  <c r="F15" i="274"/>
  <c r="M11" i="413" s="1"/>
  <c r="I28" i="532"/>
  <c r="I29" i="532" s="1"/>
  <c r="I30" i="532" s="1"/>
  <c r="I31" i="532" s="1"/>
  <c r="I32" i="532" s="1"/>
  <c r="I33" i="532" s="1"/>
  <c r="I34" i="532" s="1"/>
  <c r="F28" i="532"/>
  <c r="F29" i="532" s="1"/>
  <c r="E28" i="532"/>
  <c r="E29" i="532" s="1"/>
  <c r="K27" i="532"/>
  <c r="K28" i="532" s="1"/>
  <c r="K29" i="532" s="1"/>
  <c r="H27" i="532"/>
  <c r="H28" i="532" s="1"/>
  <c r="H29" i="532" s="1"/>
  <c r="H26" i="532"/>
  <c r="G26" i="532"/>
  <c r="K26" i="532"/>
  <c r="K25" i="532"/>
  <c r="J25" i="532"/>
  <c r="I25" i="532"/>
  <c r="H25" i="532"/>
  <c r="F25" i="532"/>
  <c r="K24" i="532"/>
  <c r="J24" i="532"/>
  <c r="I24" i="532"/>
  <c r="H24" i="532"/>
  <c r="F24" i="532"/>
  <c r="E25" i="532"/>
  <c r="E24" i="532"/>
  <c r="F20" i="532"/>
  <c r="E20" i="532"/>
  <c r="I12" i="409"/>
  <c r="B44" i="406"/>
  <c r="B43" i="406"/>
  <c r="B42" i="406"/>
  <c r="B41" i="406"/>
  <c r="B40" i="406"/>
  <c r="E40" i="90"/>
  <c r="B36" i="406" s="1"/>
  <c r="B23" i="406"/>
  <c r="E52" i="538"/>
  <c r="E35" i="538"/>
  <c r="E32" i="537"/>
  <c r="L60" i="538" l="1"/>
  <c r="L56" i="536"/>
  <c r="L58" i="537"/>
  <c r="K59" i="537"/>
  <c r="K61" i="538"/>
  <c r="K57" i="536"/>
  <c r="L59" i="537"/>
  <c r="L61" i="538"/>
  <c r="L57" i="536"/>
  <c r="I38" i="532"/>
  <c r="I40" i="532"/>
  <c r="I35" i="532"/>
  <c r="I37" i="532"/>
  <c r="I39" i="532"/>
  <c r="I41" i="532"/>
  <c r="I36" i="532"/>
  <c r="C53" i="553"/>
  <c r="C33" i="553"/>
  <c r="C37" i="553"/>
  <c r="K64" i="501"/>
  <c r="H54" i="531"/>
  <c r="H54" i="405"/>
  <c r="K65" i="517"/>
  <c r="K55" i="542"/>
  <c r="H52" i="406"/>
  <c r="H46" i="544" s="1"/>
  <c r="I52" i="406"/>
  <c r="I46" i="544" s="1"/>
  <c r="L65" i="517"/>
  <c r="L55" i="542"/>
  <c r="I51" i="406"/>
  <c r="L64" i="517"/>
  <c r="L54" i="542"/>
  <c r="K57" i="90"/>
  <c r="AB17" i="577"/>
  <c r="K19" i="577"/>
  <c r="S18" i="577"/>
  <c r="C55" i="553"/>
  <c r="C56" i="553"/>
  <c r="C28" i="553"/>
  <c r="C29" i="553"/>
  <c r="C46" i="553"/>
  <c r="C27" i="553"/>
  <c r="C44" i="553"/>
  <c r="C13" i="553"/>
  <c r="C40" i="553"/>
  <c r="C45" i="553"/>
  <c r="C16" i="553"/>
  <c r="L24" i="533"/>
  <c r="Q23" i="533"/>
  <c r="K21" i="533"/>
  <c r="P20" i="533"/>
  <c r="C30" i="553"/>
  <c r="C50" i="553"/>
  <c r="C14" i="553"/>
  <c r="C51" i="553"/>
  <c r="C47" i="553"/>
  <c r="C19" i="553"/>
  <c r="C54" i="553"/>
  <c r="C58" i="553"/>
  <c r="C38" i="553"/>
  <c r="C34" i="553"/>
  <c r="C26" i="553"/>
  <c r="C22" i="553"/>
  <c r="C15" i="553"/>
  <c r="C20" i="553"/>
  <c r="D47" i="554"/>
  <c r="D48" i="553" s="1"/>
  <c r="D16" i="554"/>
  <c r="D17" i="553" s="1"/>
  <c r="C42" i="553"/>
  <c r="C23" i="553"/>
  <c r="C59" i="553"/>
  <c r="D23" i="554"/>
  <c r="D24" i="553" s="1"/>
  <c r="D38" i="554"/>
  <c r="D39" i="553" s="1"/>
  <c r="D40" i="554"/>
  <c r="D41" i="553" s="1"/>
  <c r="D42" i="554"/>
  <c r="D43" i="553" s="1"/>
  <c r="D17" i="554"/>
  <c r="D18" i="553" s="1"/>
  <c r="C36" i="553"/>
  <c r="B49" i="555"/>
  <c r="C31" i="553"/>
  <c r="C35" i="553"/>
  <c r="C49" i="553"/>
  <c r="D20" i="554"/>
  <c r="D21" i="553" s="1"/>
  <c r="C21" i="553"/>
  <c r="K50" i="556"/>
  <c r="I50" i="556"/>
  <c r="G48" i="556"/>
  <c r="M47" i="556"/>
  <c r="M50" i="556" s="1"/>
  <c r="E48" i="556"/>
  <c r="O48" i="556"/>
  <c r="G49" i="556"/>
  <c r="O50" i="556"/>
  <c r="I48" i="556"/>
  <c r="K49" i="556"/>
  <c r="E50" i="556"/>
  <c r="E28" i="556"/>
  <c r="E29" i="556" s="1"/>
  <c r="E30" i="556" s="1"/>
  <c r="D24" i="554"/>
  <c r="D25" i="553" s="1"/>
  <c r="D31" i="554"/>
  <c r="D32" i="553" s="1"/>
  <c r="D51" i="554"/>
  <c r="D52" i="553" s="1"/>
  <c r="D56" i="554"/>
  <c r="D57" i="553" s="1"/>
  <c r="E51" i="554"/>
  <c r="E58" i="554" s="1"/>
  <c r="K60" i="537" l="1"/>
  <c r="K62" i="538"/>
  <c r="K58" i="536"/>
  <c r="I45" i="544"/>
  <c r="K20" i="577"/>
  <c r="S20" i="577" s="1"/>
  <c r="S19" i="577"/>
  <c r="H53" i="406"/>
  <c r="H47" i="544" s="1"/>
  <c r="K56" i="542"/>
  <c r="K66" i="517"/>
  <c r="L57" i="90"/>
  <c r="I54" i="405"/>
  <c r="L64" i="501"/>
  <c r="I54" i="531"/>
  <c r="K65" i="501"/>
  <c r="H55" i="405"/>
  <c r="H55" i="531"/>
  <c r="AB18" i="577"/>
  <c r="L58" i="90" s="1"/>
  <c r="K58" i="90"/>
  <c r="L65" i="501"/>
  <c r="I55" i="531"/>
  <c r="I55" i="405"/>
  <c r="L25" i="533"/>
  <c r="Q24" i="533"/>
  <c r="K22" i="533"/>
  <c r="P21" i="533"/>
  <c r="E60" i="556"/>
  <c r="K60" i="556"/>
  <c r="I60" i="556"/>
  <c r="O60" i="556"/>
  <c r="M49" i="556"/>
  <c r="M48" i="556"/>
  <c r="G60" i="556"/>
  <c r="H54" i="406" l="1"/>
  <c r="H48" i="544" s="1"/>
  <c r="K63" i="538"/>
  <c r="K61" i="537"/>
  <c r="K59" i="536"/>
  <c r="L62" i="538"/>
  <c r="L58" i="536"/>
  <c r="L60" i="537"/>
  <c r="I54" i="406"/>
  <c r="I48" i="544" s="1"/>
  <c r="L63" i="538"/>
  <c r="L59" i="536"/>
  <c r="L61" i="537"/>
  <c r="K57" i="542"/>
  <c r="K67" i="517"/>
  <c r="H57" i="405" s="1"/>
  <c r="I53" i="406"/>
  <c r="L56" i="542"/>
  <c r="L66" i="517"/>
  <c r="K66" i="501"/>
  <c r="H56" i="405"/>
  <c r="H56" i="531"/>
  <c r="AB19" i="577"/>
  <c r="K59" i="90"/>
  <c r="L57" i="542"/>
  <c r="L67" i="517"/>
  <c r="I57" i="405" s="1"/>
  <c r="AB20" i="577"/>
  <c r="L60" i="90" s="1"/>
  <c r="K60" i="90"/>
  <c r="M60" i="556"/>
  <c r="L26" i="533"/>
  <c r="Q25" i="533"/>
  <c r="K23" i="533"/>
  <c r="P22" i="533"/>
  <c r="E48" i="536"/>
  <c r="E47" i="536"/>
  <c r="E46" i="536"/>
  <c r="J45" i="536"/>
  <c r="I45" i="536"/>
  <c r="S41" i="536"/>
  <c r="R41" i="536"/>
  <c r="Q41" i="536"/>
  <c r="L41" i="536"/>
  <c r="K41" i="536"/>
  <c r="J41" i="536"/>
  <c r="I41" i="536"/>
  <c r="H41" i="536"/>
  <c r="G41" i="536"/>
  <c r="F41" i="536"/>
  <c r="E41" i="536"/>
  <c r="S40" i="536"/>
  <c r="R40" i="536"/>
  <c r="Q40" i="536"/>
  <c r="P40" i="536"/>
  <c r="O40" i="536"/>
  <c r="N40" i="536"/>
  <c r="M40" i="536"/>
  <c r="L40" i="536"/>
  <c r="K40" i="536"/>
  <c r="J40" i="536"/>
  <c r="I40" i="536"/>
  <c r="H40" i="536"/>
  <c r="G40" i="536"/>
  <c r="F40" i="536"/>
  <c r="E40" i="536"/>
  <c r="P39" i="536"/>
  <c r="O39" i="536"/>
  <c r="N39" i="536"/>
  <c r="M39" i="536"/>
  <c r="L39" i="536"/>
  <c r="K39" i="536"/>
  <c r="H39" i="536"/>
  <c r="G39" i="536"/>
  <c r="F39" i="536"/>
  <c r="E39" i="536"/>
  <c r="E29" i="536"/>
  <c r="P28" i="536"/>
  <c r="O28" i="536"/>
  <c r="N28" i="536"/>
  <c r="M28" i="536"/>
  <c r="L28" i="536"/>
  <c r="K28" i="536"/>
  <c r="H28" i="536"/>
  <c r="G28" i="536"/>
  <c r="F28" i="536"/>
  <c r="E28" i="536"/>
  <c r="P27" i="536"/>
  <c r="O27" i="536"/>
  <c r="N27" i="536"/>
  <c r="M27" i="536"/>
  <c r="L27" i="536"/>
  <c r="K27" i="536"/>
  <c r="H27" i="536"/>
  <c r="G27" i="536"/>
  <c r="F27" i="536"/>
  <c r="E27" i="536"/>
  <c r="P26" i="536"/>
  <c r="O26" i="536"/>
  <c r="N26" i="536"/>
  <c r="M26" i="536"/>
  <c r="L26" i="536"/>
  <c r="K26" i="536"/>
  <c r="H26" i="536"/>
  <c r="G26" i="536"/>
  <c r="F26" i="536"/>
  <c r="E26" i="536"/>
  <c r="P25" i="536"/>
  <c r="O25" i="536"/>
  <c r="N25" i="536"/>
  <c r="M25" i="536"/>
  <c r="L25" i="536"/>
  <c r="K25" i="536"/>
  <c r="H25" i="536"/>
  <c r="G25" i="536"/>
  <c r="F25" i="536"/>
  <c r="E25" i="536"/>
  <c r="E50" i="537"/>
  <c r="E49" i="537"/>
  <c r="E48" i="537"/>
  <c r="P42" i="537"/>
  <c r="O42" i="537"/>
  <c r="N42" i="537"/>
  <c r="M42" i="537"/>
  <c r="L42" i="537"/>
  <c r="K42" i="537"/>
  <c r="H42" i="537"/>
  <c r="G42" i="537"/>
  <c r="F42" i="537"/>
  <c r="E42" i="537"/>
  <c r="P31" i="537"/>
  <c r="O31" i="537"/>
  <c r="N31" i="537"/>
  <c r="M31" i="537"/>
  <c r="L31" i="537"/>
  <c r="K31" i="537"/>
  <c r="H31" i="537"/>
  <c r="G31" i="537"/>
  <c r="F31" i="537"/>
  <c r="E31" i="537"/>
  <c r="P30" i="537"/>
  <c r="O30" i="537"/>
  <c r="N30" i="537"/>
  <c r="M30" i="537"/>
  <c r="L30" i="537"/>
  <c r="K30" i="537"/>
  <c r="H30" i="537"/>
  <c r="G30" i="537"/>
  <c r="F30" i="537"/>
  <c r="E30" i="537"/>
  <c r="P29" i="537"/>
  <c r="O29" i="537"/>
  <c r="N29" i="537"/>
  <c r="M29" i="537"/>
  <c r="L29" i="537"/>
  <c r="K29" i="537"/>
  <c r="H29" i="537"/>
  <c r="G29" i="537"/>
  <c r="F29" i="537"/>
  <c r="E29" i="537"/>
  <c r="P28" i="537"/>
  <c r="O28" i="537"/>
  <c r="N28" i="537"/>
  <c r="M28" i="537"/>
  <c r="L28" i="537"/>
  <c r="K28" i="537"/>
  <c r="H28" i="537"/>
  <c r="G28" i="537"/>
  <c r="F28" i="537"/>
  <c r="E28" i="537"/>
  <c r="E54" i="538"/>
  <c r="E53" i="538"/>
  <c r="H27" i="533"/>
  <c r="M27" i="533" s="1"/>
  <c r="B11" i="549"/>
  <c r="B10" i="549"/>
  <c r="E7" i="549"/>
  <c r="E6" i="549"/>
  <c r="E55" i="540"/>
  <c r="E57" i="540"/>
  <c r="E56" i="540"/>
  <c r="S54" i="540"/>
  <c r="P54" i="540"/>
  <c r="O54" i="540"/>
  <c r="N54" i="540"/>
  <c r="M54" i="540"/>
  <c r="L54" i="540"/>
  <c r="K54" i="540"/>
  <c r="H54" i="540"/>
  <c r="G54" i="540"/>
  <c r="F54" i="540"/>
  <c r="E54" i="540"/>
  <c r="S53" i="540"/>
  <c r="P53" i="540"/>
  <c r="O53" i="540"/>
  <c r="N53" i="540"/>
  <c r="M53" i="540"/>
  <c r="L53" i="540"/>
  <c r="K53" i="540"/>
  <c r="H53" i="540"/>
  <c r="G53" i="540"/>
  <c r="F53" i="540"/>
  <c r="E53" i="540"/>
  <c r="S50" i="540"/>
  <c r="R50" i="540"/>
  <c r="Q50" i="540"/>
  <c r="L50" i="540"/>
  <c r="K50" i="540"/>
  <c r="J50" i="540"/>
  <c r="I50" i="540"/>
  <c r="H50" i="540"/>
  <c r="G50" i="540"/>
  <c r="F50" i="540"/>
  <c r="E50" i="540"/>
  <c r="S49" i="540"/>
  <c r="R49" i="540"/>
  <c r="Q49" i="540"/>
  <c r="P49" i="540"/>
  <c r="O49" i="540"/>
  <c r="N49" i="540"/>
  <c r="M49" i="540"/>
  <c r="L49" i="540"/>
  <c r="K49" i="540"/>
  <c r="J49" i="540"/>
  <c r="I49" i="540"/>
  <c r="H49" i="540"/>
  <c r="G49" i="540"/>
  <c r="F49" i="540"/>
  <c r="E49" i="540"/>
  <c r="P48" i="540"/>
  <c r="O48" i="540"/>
  <c r="N48" i="540"/>
  <c r="M48" i="540"/>
  <c r="L48" i="540"/>
  <c r="K48" i="540"/>
  <c r="H48" i="540"/>
  <c r="G48" i="540"/>
  <c r="F48" i="540"/>
  <c r="E48" i="540"/>
  <c r="E60" i="517"/>
  <c r="E45" i="517"/>
  <c r="E34" i="536" s="1"/>
  <c r="E44" i="517"/>
  <c r="E43" i="517"/>
  <c r="E42" i="517"/>
  <c r="E31" i="536" s="1"/>
  <c r="E41" i="517"/>
  <c r="E30" i="536" s="1"/>
  <c r="E38" i="540"/>
  <c r="P37" i="540"/>
  <c r="O37" i="540"/>
  <c r="N37" i="540"/>
  <c r="M37" i="540"/>
  <c r="L37" i="540"/>
  <c r="K37" i="540"/>
  <c r="H37" i="540"/>
  <c r="G37" i="540"/>
  <c r="F37" i="540"/>
  <c r="E37" i="540"/>
  <c r="P36" i="540"/>
  <c r="O36" i="540"/>
  <c r="N36" i="540"/>
  <c r="M36" i="540"/>
  <c r="L36" i="540"/>
  <c r="K36" i="540"/>
  <c r="H36" i="540"/>
  <c r="G36" i="540"/>
  <c r="F36" i="540"/>
  <c r="E36" i="540"/>
  <c r="P35" i="540"/>
  <c r="O35" i="540"/>
  <c r="N35" i="540"/>
  <c r="M35" i="540"/>
  <c r="L35" i="540"/>
  <c r="K35" i="540"/>
  <c r="H35" i="540"/>
  <c r="G35" i="540"/>
  <c r="F35" i="540"/>
  <c r="E35" i="540"/>
  <c r="P34" i="540"/>
  <c r="O34" i="540"/>
  <c r="N34" i="540"/>
  <c r="M34" i="540"/>
  <c r="L34" i="540"/>
  <c r="K34" i="540"/>
  <c r="H34" i="540"/>
  <c r="G34" i="540"/>
  <c r="F34" i="540"/>
  <c r="E34" i="540"/>
  <c r="H78" i="402"/>
  <c r="H77" i="402"/>
  <c r="B46" i="556"/>
  <c r="B46" i="555" s="1"/>
  <c r="H76" i="402"/>
  <c r="H75" i="402"/>
  <c r="B45" i="556"/>
  <c r="B45" i="555" s="1"/>
  <c r="H74" i="402"/>
  <c r="H73" i="402"/>
  <c r="B44" i="556"/>
  <c r="B44" i="555" s="1"/>
  <c r="H72" i="402"/>
  <c r="H71" i="402"/>
  <c r="B43" i="556"/>
  <c r="B43" i="555" s="1"/>
  <c r="H70" i="402"/>
  <c r="H69" i="402"/>
  <c r="B42" i="556"/>
  <c r="B42" i="555" s="1"/>
  <c r="H68" i="402"/>
  <c r="H67" i="402"/>
  <c r="B41" i="556"/>
  <c r="B41" i="555" s="1"/>
  <c r="H66" i="402"/>
  <c r="H65" i="402"/>
  <c r="B40" i="556"/>
  <c r="B40" i="555" s="1"/>
  <c r="H64" i="402"/>
  <c r="H63" i="402"/>
  <c r="B39" i="556"/>
  <c r="B39" i="555" s="1"/>
  <c r="H62" i="402"/>
  <c r="H61" i="402"/>
  <c r="B38" i="556"/>
  <c r="B38" i="555" s="1"/>
  <c r="H60" i="402"/>
  <c r="H59" i="402"/>
  <c r="B37" i="556"/>
  <c r="B37" i="555" s="1"/>
  <c r="H58" i="402"/>
  <c r="H57" i="402"/>
  <c r="B36" i="556"/>
  <c r="B36" i="555" s="1"/>
  <c r="H56" i="402"/>
  <c r="H55" i="402"/>
  <c r="B35" i="556"/>
  <c r="B35" i="555" s="1"/>
  <c r="H54" i="402"/>
  <c r="H53" i="402"/>
  <c r="B34" i="556"/>
  <c r="B34" i="555" s="1"/>
  <c r="H52" i="402"/>
  <c r="H51" i="402"/>
  <c r="B33" i="556"/>
  <c r="B33" i="555" s="1"/>
  <c r="H50" i="402"/>
  <c r="H49" i="402"/>
  <c r="B32" i="556"/>
  <c r="B32" i="555" s="1"/>
  <c r="H48" i="402"/>
  <c r="H47" i="402"/>
  <c r="B31" i="556"/>
  <c r="B31" i="555" s="1"/>
  <c r="H46" i="402"/>
  <c r="H45" i="402"/>
  <c r="B30" i="556"/>
  <c r="B30" i="555" s="1"/>
  <c r="H44" i="402"/>
  <c r="H43" i="402"/>
  <c r="B29" i="556"/>
  <c r="B29" i="555" s="1"/>
  <c r="H42" i="402"/>
  <c r="H41" i="402"/>
  <c r="B28" i="556"/>
  <c r="B28" i="555" s="1"/>
  <c r="H40" i="402"/>
  <c r="H39" i="402"/>
  <c r="B27" i="556"/>
  <c r="B27" i="555" s="1"/>
  <c r="H38" i="402"/>
  <c r="H37" i="402"/>
  <c r="B26" i="556"/>
  <c r="B26" i="555" s="1"/>
  <c r="H36" i="402"/>
  <c r="H35" i="402"/>
  <c r="B25" i="556"/>
  <c r="B25" i="555" s="1"/>
  <c r="H34" i="402"/>
  <c r="H33" i="402"/>
  <c r="B24" i="556"/>
  <c r="B24" i="555" s="1"/>
  <c r="H32" i="402"/>
  <c r="H31" i="402"/>
  <c r="B23" i="556"/>
  <c r="B23" i="555" s="1"/>
  <c r="H30" i="402"/>
  <c r="H29" i="402"/>
  <c r="B22" i="556"/>
  <c r="B22" i="555" s="1"/>
  <c r="H28" i="402"/>
  <c r="H27" i="402"/>
  <c r="B21" i="556"/>
  <c r="B21" i="555" s="1"/>
  <c r="H22" i="402"/>
  <c r="H21" i="402"/>
  <c r="B20" i="556"/>
  <c r="B20" i="555" s="1"/>
  <c r="H20" i="402"/>
  <c r="H19" i="402"/>
  <c r="B19" i="556"/>
  <c r="B19" i="555" s="1"/>
  <c r="J17" i="402"/>
  <c r="H18" i="402"/>
  <c r="H17" i="402"/>
  <c r="B18" i="556"/>
  <c r="B18" i="555" s="1"/>
  <c r="H16" i="402"/>
  <c r="J15" i="402"/>
  <c r="H15" i="402"/>
  <c r="B17" i="556"/>
  <c r="B17" i="555" s="1"/>
  <c r="H14" i="402"/>
  <c r="J13" i="402"/>
  <c r="H13" i="402"/>
  <c r="B16" i="556"/>
  <c r="B16" i="555" s="1"/>
  <c r="J11" i="402"/>
  <c r="H12" i="402"/>
  <c r="H11" i="402"/>
  <c r="B11" i="402"/>
  <c r="B15" i="556" s="1"/>
  <c r="B15" i="555" s="1"/>
  <c r="H10" i="402"/>
  <c r="J9" i="402"/>
  <c r="H9" i="402"/>
  <c r="B14" i="556"/>
  <c r="B14" i="555" s="1"/>
  <c r="J7" i="402"/>
  <c r="I7" i="402"/>
  <c r="H8" i="402"/>
  <c r="H7" i="402"/>
  <c r="B13" i="556"/>
  <c r="B13" i="555" s="1"/>
  <c r="G93" i="543"/>
  <c r="G93" i="565" s="1"/>
  <c r="O27" i="533"/>
  <c r="N27" i="533"/>
  <c r="E27" i="533"/>
  <c r="E41" i="90"/>
  <c r="B37" i="406" s="1"/>
  <c r="E28" i="90"/>
  <c r="B24" i="406" s="1"/>
  <c r="I56" i="406" l="1"/>
  <c r="I50" i="544" s="1"/>
  <c r="L65" i="538"/>
  <c r="L63" i="537"/>
  <c r="L61" i="536"/>
  <c r="H55" i="406"/>
  <c r="H49" i="544" s="1"/>
  <c r="K64" i="538"/>
  <c r="K62" i="537"/>
  <c r="K60" i="536"/>
  <c r="H56" i="406"/>
  <c r="H50" i="544" s="1"/>
  <c r="K63" i="537"/>
  <c r="K61" i="536"/>
  <c r="K65" i="538"/>
  <c r="I47" i="544"/>
  <c r="L67" i="501"/>
  <c r="I57" i="531"/>
  <c r="K67" i="501"/>
  <c r="H57" i="531"/>
  <c r="K69" i="517"/>
  <c r="H59" i="405" s="1"/>
  <c r="K59" i="542"/>
  <c r="L59" i="542"/>
  <c r="L69" i="517"/>
  <c r="I59" i="405" s="1"/>
  <c r="L66" i="501"/>
  <c r="I56" i="405"/>
  <c r="I56" i="531"/>
  <c r="K58" i="542"/>
  <c r="K68" i="517"/>
  <c r="H58" i="405" s="1"/>
  <c r="L59" i="90"/>
  <c r="AB23" i="577"/>
  <c r="G81" i="561"/>
  <c r="G75" i="562"/>
  <c r="G67" i="402"/>
  <c r="G69" i="564"/>
  <c r="L27" i="533"/>
  <c r="Q26" i="533"/>
  <c r="K24" i="533"/>
  <c r="P23" i="533"/>
  <c r="E29" i="90"/>
  <c r="R27" i="533"/>
  <c r="F26" i="554" s="1"/>
  <c r="F27" i="553" s="1"/>
  <c r="E26" i="554"/>
  <c r="E27" i="553" s="1"/>
  <c r="S27" i="533"/>
  <c r="H26" i="554" s="1"/>
  <c r="H27" i="553" s="1"/>
  <c r="G26" i="554"/>
  <c r="G27" i="553" s="1"/>
  <c r="T27" i="533"/>
  <c r="J26" i="554" s="1"/>
  <c r="J27" i="553" s="1"/>
  <c r="I26" i="554"/>
  <c r="I27" i="553" s="1"/>
  <c r="E39" i="538"/>
  <c r="E33" i="536"/>
  <c r="E58" i="540"/>
  <c r="E51" i="537"/>
  <c r="E55" i="538"/>
  <c r="E36" i="537"/>
  <c r="E45" i="537"/>
  <c r="E43" i="540"/>
  <c r="E40" i="538"/>
  <c r="E37" i="537"/>
  <c r="E41" i="540"/>
  <c r="E38" i="538"/>
  <c r="E35" i="537"/>
  <c r="E39" i="540"/>
  <c r="E36" i="538"/>
  <c r="E42" i="540"/>
  <c r="E33" i="537"/>
  <c r="E51" i="540"/>
  <c r="E48" i="538"/>
  <c r="E40" i="540"/>
  <c r="E37" i="538"/>
  <c r="E34" i="537"/>
  <c r="E32" i="536"/>
  <c r="E42" i="536"/>
  <c r="E49" i="536" s="1"/>
  <c r="E54" i="517"/>
  <c r="L44" i="495"/>
  <c r="L44" i="496" s="1"/>
  <c r="L63" i="496"/>
  <c r="C81" i="467"/>
  <c r="C80" i="467"/>
  <c r="C79" i="467"/>
  <c r="C78" i="467"/>
  <c r="C77" i="467"/>
  <c r="C76" i="467"/>
  <c r="C75" i="467"/>
  <c r="C74" i="467"/>
  <c r="C73" i="467"/>
  <c r="C72" i="467"/>
  <c r="C71" i="467"/>
  <c r="C70" i="467"/>
  <c r="C69" i="467"/>
  <c r="C68" i="467"/>
  <c r="C67" i="467"/>
  <c r="C66" i="467"/>
  <c r="C65" i="467"/>
  <c r="C64" i="467"/>
  <c r="C63" i="467"/>
  <c r="C62" i="467"/>
  <c r="C61" i="467"/>
  <c r="C60" i="467"/>
  <c r="C59" i="467"/>
  <c r="C58" i="467"/>
  <c r="C57" i="467"/>
  <c r="C56" i="467"/>
  <c r="C55" i="467"/>
  <c r="C54" i="467"/>
  <c r="F19" i="467"/>
  <c r="F20" i="467"/>
  <c r="I55" i="406" l="1"/>
  <c r="I49" i="544" s="1"/>
  <c r="L60" i="536"/>
  <c r="L64" i="538"/>
  <c r="L62" i="537"/>
  <c r="L69" i="501"/>
  <c r="I59" i="531"/>
  <c r="K68" i="501"/>
  <c r="H58" i="531"/>
  <c r="K69" i="501"/>
  <c r="H59" i="531"/>
  <c r="L58" i="542"/>
  <c r="L68" i="517"/>
  <c r="I58" i="405" s="1"/>
  <c r="L28" i="533"/>
  <c r="Q27" i="533"/>
  <c r="K25" i="533"/>
  <c r="P24" i="533"/>
  <c r="E30" i="90"/>
  <c r="B25" i="406"/>
  <c r="E49" i="538"/>
  <c r="E43" i="536"/>
  <c r="E50" i="536" s="1"/>
  <c r="E46" i="537"/>
  <c r="E52" i="540"/>
  <c r="E61" i="517"/>
  <c r="C82" i="467"/>
  <c r="L68" i="501" l="1"/>
  <c r="I58" i="531"/>
  <c r="V27" i="533"/>
  <c r="P26" i="554" s="1"/>
  <c r="O26" i="554"/>
  <c r="L29" i="533"/>
  <c r="Q28" i="533"/>
  <c r="K26" i="533"/>
  <c r="P25" i="533"/>
  <c r="E31" i="90"/>
  <c r="B26" i="406"/>
  <c r="E59" i="540"/>
  <c r="E52" i="537"/>
  <c r="E56" i="538"/>
  <c r="E53" i="537"/>
  <c r="D24" i="6"/>
  <c r="S9" i="544"/>
  <c r="R9" i="544"/>
  <c r="Q9" i="544"/>
  <c r="P9" i="544"/>
  <c r="S8" i="544"/>
  <c r="R8" i="544"/>
  <c r="Q8" i="544"/>
  <c r="P8" i="544"/>
  <c r="S7" i="544"/>
  <c r="R7" i="544"/>
  <c r="Q7" i="544"/>
  <c r="P7" i="544"/>
  <c r="S6" i="544"/>
  <c r="R6" i="544"/>
  <c r="Q6" i="544"/>
  <c r="P6" i="544"/>
  <c r="S5" i="544"/>
  <c r="R5" i="544"/>
  <c r="Q5" i="544"/>
  <c r="P5" i="544"/>
  <c r="C50" i="517"/>
  <c r="C49" i="517"/>
  <c r="C48" i="517"/>
  <c r="C47" i="517"/>
  <c r="L30" i="533" l="1"/>
  <c r="Q30" i="533" s="1"/>
  <c r="Q29" i="533"/>
  <c r="O27" i="553"/>
  <c r="M26" i="554"/>
  <c r="M27" i="553" s="1"/>
  <c r="N26" i="554"/>
  <c r="N27" i="553" s="1"/>
  <c r="P27" i="553"/>
  <c r="K27" i="533"/>
  <c r="P26" i="533"/>
  <c r="E32" i="90"/>
  <c r="B28" i="406" s="1"/>
  <c r="B27" i="406"/>
  <c r="A40" i="531"/>
  <c r="C45" i="538"/>
  <c r="C39" i="536"/>
  <c r="C42" i="537"/>
  <c r="C48" i="540"/>
  <c r="A38" i="531"/>
  <c r="B39" i="567" s="1"/>
  <c r="A39" i="567" s="1"/>
  <c r="C46" i="540"/>
  <c r="C37" i="536"/>
  <c r="C40" i="537"/>
  <c r="C43" i="538"/>
  <c r="A39" i="531"/>
  <c r="B40" i="567" s="1"/>
  <c r="A40" i="567" s="1"/>
  <c r="C41" i="537"/>
  <c r="C47" i="540"/>
  <c r="C38" i="536"/>
  <c r="C44" i="538"/>
  <c r="A37" i="531"/>
  <c r="B38" i="567" s="1"/>
  <c r="A38" i="567" s="1"/>
  <c r="C42" i="538"/>
  <c r="C36" i="536"/>
  <c r="C45" i="540"/>
  <c r="C39" i="537"/>
  <c r="A40" i="405" l="1"/>
  <c r="B41" i="567"/>
  <c r="A41" i="567" s="1"/>
  <c r="A48" i="567"/>
  <c r="A50" i="567"/>
  <c r="A49" i="567"/>
  <c r="K28" i="533"/>
  <c r="P27" i="533"/>
  <c r="K27" i="517" s="1"/>
  <c r="A10" i="549"/>
  <c r="A38" i="405"/>
  <c r="A11" i="549"/>
  <c r="A39" i="405"/>
  <c r="A9" i="549"/>
  <c r="A37" i="405"/>
  <c r="B26" i="552"/>
  <c r="A26" i="552" s="1"/>
  <c r="A28" i="532"/>
  <c r="B28" i="532" s="1"/>
  <c r="A29" i="532"/>
  <c r="B29" i="532" s="1"/>
  <c r="B27" i="552"/>
  <c r="A27" i="552" s="1"/>
  <c r="A27" i="532"/>
  <c r="B27" i="532" s="1"/>
  <c r="B25" i="552"/>
  <c r="A25" i="552" s="1"/>
  <c r="B28" i="552"/>
  <c r="A28" i="552" s="1"/>
  <c r="P27" i="517"/>
  <c r="O27" i="517"/>
  <c r="J27" i="517"/>
  <c r="I27" i="517"/>
  <c r="H27" i="517"/>
  <c r="G27" i="517"/>
  <c r="F27" i="517"/>
  <c r="E27" i="517"/>
  <c r="C28" i="517"/>
  <c r="B28" i="517"/>
  <c r="C27" i="517"/>
  <c r="B27" i="517"/>
  <c r="B26" i="517"/>
  <c r="B25" i="517"/>
  <c r="B24" i="517"/>
  <c r="B24" i="540" s="1"/>
  <c r="B23" i="517"/>
  <c r="B22" i="517"/>
  <c r="B21" i="517"/>
  <c r="B20" i="517"/>
  <c r="C61" i="517"/>
  <c r="C60" i="517"/>
  <c r="C59" i="517"/>
  <c r="C58" i="517"/>
  <c r="C57" i="517"/>
  <c r="C56" i="517"/>
  <c r="C55" i="517"/>
  <c r="C54" i="517"/>
  <c r="C53" i="517"/>
  <c r="C52" i="517"/>
  <c r="C51" i="517"/>
  <c r="B51" i="517"/>
  <c r="B50" i="517"/>
  <c r="B49" i="517"/>
  <c r="B48" i="517"/>
  <c r="B47" i="517"/>
  <c r="C46" i="517"/>
  <c r="B46" i="517"/>
  <c r="C45" i="517"/>
  <c r="B44" i="517"/>
  <c r="C44" i="517"/>
  <c r="C43" i="517"/>
  <c r="C42" i="517"/>
  <c r="C41" i="517"/>
  <c r="C40" i="517"/>
  <c r="C39" i="517"/>
  <c r="C38" i="517"/>
  <c r="C37" i="517"/>
  <c r="C36" i="517"/>
  <c r="C30" i="517"/>
  <c r="C29" i="517"/>
  <c r="C26" i="517"/>
  <c r="C25" i="517"/>
  <c r="C24" i="517"/>
  <c r="C23" i="517"/>
  <c r="C22" i="517"/>
  <c r="C21" i="517"/>
  <c r="C20" i="517"/>
  <c r="C19" i="517"/>
  <c r="C18" i="517"/>
  <c r="C17" i="537" s="1"/>
  <c r="C17" i="517"/>
  <c r="C16" i="537" s="1"/>
  <c r="C16" i="517"/>
  <c r="C15" i="536" s="1"/>
  <c r="C15" i="517"/>
  <c r="C14" i="536" s="1"/>
  <c r="C14" i="517"/>
  <c r="C13" i="517"/>
  <c r="B13" i="517"/>
  <c r="C8" i="463" s="1"/>
  <c r="I61" i="543"/>
  <c r="I35" i="402" s="1"/>
  <c r="I63" i="543"/>
  <c r="I37" i="402" s="1"/>
  <c r="I65" i="543"/>
  <c r="I39" i="402" s="1"/>
  <c r="I71" i="543"/>
  <c r="I45" i="402" s="1"/>
  <c r="I67" i="543"/>
  <c r="I41" i="402" s="1"/>
  <c r="I69" i="543"/>
  <c r="I43" i="402" s="1"/>
  <c r="I76" i="543"/>
  <c r="I50" i="402" s="1"/>
  <c r="I78" i="543"/>
  <c r="I52" i="402" s="1"/>
  <c r="I80" i="543"/>
  <c r="I54" i="402" s="1"/>
  <c r="I82" i="543"/>
  <c r="I56" i="402" s="1"/>
  <c r="I84" i="543"/>
  <c r="I58" i="402" s="1"/>
  <c r="I86" i="543"/>
  <c r="I60" i="402" s="1"/>
  <c r="I89" i="543"/>
  <c r="I63" i="402" s="1"/>
  <c r="I101" i="543"/>
  <c r="I75" i="402" s="1"/>
  <c r="I103" i="543"/>
  <c r="I77" i="402" s="1"/>
  <c r="I87" i="543"/>
  <c r="I61" i="402" s="1"/>
  <c r="I92" i="543"/>
  <c r="I66" i="402" s="1"/>
  <c r="I94" i="543"/>
  <c r="I68" i="402" s="1"/>
  <c r="I99" i="543"/>
  <c r="I73" i="402" s="1"/>
  <c r="I97" i="543"/>
  <c r="I71" i="402" s="1"/>
  <c r="I95" i="543"/>
  <c r="I69" i="402" s="1"/>
  <c r="B61" i="517"/>
  <c r="B60" i="517"/>
  <c r="B59" i="517"/>
  <c r="B58" i="517"/>
  <c r="B57" i="517"/>
  <c r="B56" i="517"/>
  <c r="B55" i="517"/>
  <c r="B54" i="517"/>
  <c r="B53" i="517"/>
  <c r="B52" i="517"/>
  <c r="B45" i="517"/>
  <c r="B43" i="517"/>
  <c r="B42" i="517"/>
  <c r="B41" i="517"/>
  <c r="B40" i="517"/>
  <c r="B39" i="517"/>
  <c r="B38" i="517"/>
  <c r="B37" i="517"/>
  <c r="B36" i="517"/>
  <c r="B30" i="517"/>
  <c r="B29" i="517"/>
  <c r="B14" i="517"/>
  <c r="B19" i="517"/>
  <c r="B18" i="517"/>
  <c r="B17" i="537" s="1"/>
  <c r="B17" i="517"/>
  <c r="B16" i="537" s="1"/>
  <c r="B16" i="517"/>
  <c r="B15" i="536" s="1"/>
  <c r="B15" i="517"/>
  <c r="B14" i="536" s="1"/>
  <c r="B13" i="90"/>
  <c r="E15" i="549"/>
  <c r="C49" i="90"/>
  <c r="A44" i="406"/>
  <c r="C46" i="556" s="1"/>
  <c r="A43" i="406"/>
  <c r="C45" i="556" s="1"/>
  <c r="A42" i="406"/>
  <c r="C44" i="556" s="1"/>
  <c r="A41" i="406"/>
  <c r="C43" i="556" s="1"/>
  <c r="A40" i="406"/>
  <c r="C42" i="556" s="1"/>
  <c r="A39" i="406"/>
  <c r="C41" i="556" s="1"/>
  <c r="A38" i="406"/>
  <c r="C40" i="556" s="1"/>
  <c r="A37" i="406"/>
  <c r="C39" i="556" s="1"/>
  <c r="A36" i="406"/>
  <c r="A35" i="406"/>
  <c r="C37" i="556" s="1"/>
  <c r="A34" i="406"/>
  <c r="C36" i="556" s="1"/>
  <c r="A33" i="406"/>
  <c r="C35" i="556" s="1"/>
  <c r="A32" i="406"/>
  <c r="C34" i="556" s="1"/>
  <c r="A31" i="406"/>
  <c r="C33" i="556" s="1"/>
  <c r="A30" i="406"/>
  <c r="C32" i="556" s="1"/>
  <c r="A29" i="406"/>
  <c r="A28" i="406"/>
  <c r="C30" i="556" s="1"/>
  <c r="A27" i="406"/>
  <c r="C29" i="556" s="1"/>
  <c r="A26" i="406"/>
  <c r="C28" i="556" s="1"/>
  <c r="A25" i="406"/>
  <c r="C27" i="556" s="1"/>
  <c r="A24" i="406"/>
  <c r="C26" i="556" s="1"/>
  <c r="A23" i="406"/>
  <c r="C25" i="556" s="1"/>
  <c r="A22" i="406"/>
  <c r="C24" i="556" s="1"/>
  <c r="A21" i="406"/>
  <c r="C23" i="556" s="1"/>
  <c r="A20" i="406"/>
  <c r="C22" i="556" s="1"/>
  <c r="A19" i="406"/>
  <c r="C21" i="556" s="1"/>
  <c r="C20" i="556"/>
  <c r="C19" i="556"/>
  <c r="C18" i="556"/>
  <c r="A9" i="406"/>
  <c r="C17" i="556" s="1"/>
  <c r="A8" i="406"/>
  <c r="C16" i="556" s="1"/>
  <c r="A7" i="406"/>
  <c r="C15" i="556" s="1"/>
  <c r="A6" i="406"/>
  <c r="C14" i="556" s="1"/>
  <c r="A5" i="406"/>
  <c r="C13" i="556" s="1"/>
  <c r="I74" i="543"/>
  <c r="I48" i="402" s="1"/>
  <c r="I60" i="543"/>
  <c r="I34" i="402" s="1"/>
  <c r="I58" i="543"/>
  <c r="I32" i="402" s="1"/>
  <c r="I56" i="543"/>
  <c r="I30" i="402" s="1"/>
  <c r="I54" i="543"/>
  <c r="I28" i="402" s="1"/>
  <c r="I48" i="543"/>
  <c r="I46" i="543"/>
  <c r="I44" i="543"/>
  <c r="I42" i="543"/>
  <c r="I40" i="543"/>
  <c r="I38" i="543"/>
  <c r="I36" i="543"/>
  <c r="I36" i="565" s="1"/>
  <c r="I34" i="543"/>
  <c r="I34" i="565" s="1"/>
  <c r="I32" i="543"/>
  <c r="I32" i="565" s="1"/>
  <c r="I30" i="543"/>
  <c r="I30" i="565" s="1"/>
  <c r="I28" i="543"/>
  <c r="I28" i="565" s="1"/>
  <c r="I26" i="543"/>
  <c r="I26" i="565" s="1"/>
  <c r="I24" i="543"/>
  <c r="I24" i="565" s="1"/>
  <c r="I22" i="543"/>
  <c r="I22" i="565" s="1"/>
  <c r="I20" i="543"/>
  <c r="I20" i="565" s="1"/>
  <c r="I18" i="543"/>
  <c r="I18" i="565" s="1"/>
  <c r="I16" i="543"/>
  <c r="I16" i="565" s="1"/>
  <c r="I14" i="543"/>
  <c r="I14" i="565" s="1"/>
  <c r="I12" i="543"/>
  <c r="I12" i="565" s="1"/>
  <c r="I10" i="543"/>
  <c r="I8" i="543"/>
  <c r="B12" i="542" l="1"/>
  <c r="B24" i="571"/>
  <c r="I54" i="565"/>
  <c r="I94" i="565"/>
  <c r="I82" i="565"/>
  <c r="I63" i="565"/>
  <c r="I84" i="565"/>
  <c r="I92" i="565"/>
  <c r="I12" i="402"/>
  <c r="I38" i="565"/>
  <c r="I58" i="565"/>
  <c r="I87" i="565"/>
  <c r="I78" i="565"/>
  <c r="I61" i="565"/>
  <c r="I8" i="402"/>
  <c r="I8" i="565"/>
  <c r="I14" i="402"/>
  <c r="I40" i="565"/>
  <c r="I60" i="565"/>
  <c r="I103" i="565"/>
  <c r="I76" i="565"/>
  <c r="I48" i="565"/>
  <c r="I22" i="402"/>
  <c r="I16" i="402"/>
  <c r="I42" i="565"/>
  <c r="I74" i="565"/>
  <c r="I101" i="565"/>
  <c r="I69" i="565"/>
  <c r="I65" i="565"/>
  <c r="I56" i="565"/>
  <c r="I80" i="565"/>
  <c r="I44" i="565"/>
  <c r="I18" i="402"/>
  <c r="I95" i="565"/>
  <c r="I89" i="565"/>
  <c r="I67" i="565"/>
  <c r="I99" i="565"/>
  <c r="I10" i="565"/>
  <c r="I10" i="402"/>
  <c r="I20" i="402"/>
  <c r="I46" i="565"/>
  <c r="I97" i="565"/>
  <c r="I86" i="565"/>
  <c r="I71" i="565"/>
  <c r="I102" i="543"/>
  <c r="I76" i="402" s="1"/>
  <c r="C54" i="537"/>
  <c r="C57" i="538"/>
  <c r="D57" i="538" s="1"/>
  <c r="C51" i="536"/>
  <c r="K26" i="554"/>
  <c r="K27" i="553" s="1"/>
  <c r="U27" i="533"/>
  <c r="K29" i="533"/>
  <c r="P28" i="533"/>
  <c r="C42" i="90"/>
  <c r="C41" i="542" s="1"/>
  <c r="C48" i="542"/>
  <c r="C60" i="540"/>
  <c r="C25" i="555"/>
  <c r="D25" i="556"/>
  <c r="D25" i="555" s="1"/>
  <c r="C34" i="555"/>
  <c r="D34" i="556"/>
  <c r="D34" i="555" s="1"/>
  <c r="J27" i="501"/>
  <c r="D13" i="556"/>
  <c r="D13" i="555" s="1"/>
  <c r="C13" i="555"/>
  <c r="D21" i="556"/>
  <c r="D21" i="555" s="1"/>
  <c r="C21" i="555"/>
  <c r="D27" i="556"/>
  <c r="D27" i="555" s="1"/>
  <c r="C27" i="555"/>
  <c r="C35" i="555"/>
  <c r="D35" i="556"/>
  <c r="D35" i="555" s="1"/>
  <c r="C43" i="555"/>
  <c r="D43" i="556"/>
  <c r="D43" i="555" s="1"/>
  <c r="E27" i="501"/>
  <c r="K27" i="501"/>
  <c r="D19" i="556"/>
  <c r="D19" i="555" s="1"/>
  <c r="C19" i="555"/>
  <c r="C20" i="555"/>
  <c r="D20" i="556"/>
  <c r="D20" i="555" s="1"/>
  <c r="D28" i="556"/>
  <c r="D28" i="555" s="1"/>
  <c r="C28" i="555"/>
  <c r="D36" i="556"/>
  <c r="D36" i="555" s="1"/>
  <c r="C36" i="555"/>
  <c r="D44" i="556"/>
  <c r="D44" i="555" s="1"/>
  <c r="C44" i="555"/>
  <c r="F27" i="501"/>
  <c r="D41" i="556"/>
  <c r="D41" i="555" s="1"/>
  <c r="C41" i="555"/>
  <c r="D26" i="556"/>
  <c r="D26" i="555" s="1"/>
  <c r="C26" i="555"/>
  <c r="D22" i="556"/>
  <c r="D22" i="555" s="1"/>
  <c r="C22" i="555"/>
  <c r="C15" i="555"/>
  <c r="D15" i="556"/>
  <c r="D15" i="555" s="1"/>
  <c r="D23" i="556"/>
  <c r="D23" i="555" s="1"/>
  <c r="C23" i="555"/>
  <c r="C29" i="555"/>
  <c r="D29" i="556"/>
  <c r="D29" i="555" s="1"/>
  <c r="C37" i="555"/>
  <c r="D37" i="556"/>
  <c r="D37" i="555" s="1"/>
  <c r="C45" i="555"/>
  <c r="D45" i="556"/>
  <c r="D45" i="555" s="1"/>
  <c r="I96" i="543"/>
  <c r="I70" i="402" s="1"/>
  <c r="G27" i="501"/>
  <c r="O27" i="501"/>
  <c r="C42" i="555"/>
  <c r="D42" i="556"/>
  <c r="D42" i="555" s="1"/>
  <c r="C14" i="555"/>
  <c r="D14" i="556"/>
  <c r="D14" i="555" s="1"/>
  <c r="D16" i="556"/>
  <c r="D16" i="555" s="1"/>
  <c r="C16" i="555"/>
  <c r="D30" i="556"/>
  <c r="D30" i="555" s="1"/>
  <c r="C30" i="555"/>
  <c r="C40" i="90"/>
  <c r="C39" i="542" s="1"/>
  <c r="C38" i="556"/>
  <c r="D46" i="556"/>
  <c r="D46" i="555" s="1"/>
  <c r="C46" i="555"/>
  <c r="I98" i="543"/>
  <c r="I72" i="402" s="1"/>
  <c r="P27" i="501"/>
  <c r="D33" i="556"/>
  <c r="D33" i="555" s="1"/>
  <c r="C33" i="555"/>
  <c r="I27" i="501"/>
  <c r="C17" i="555"/>
  <c r="D17" i="556"/>
  <c r="D17" i="555" s="1"/>
  <c r="C33" i="90"/>
  <c r="C32" i="542" s="1"/>
  <c r="C31" i="556"/>
  <c r="C39" i="555"/>
  <c r="D39" i="556"/>
  <c r="D39" i="555" s="1"/>
  <c r="A39" i="544"/>
  <c r="E12" i="549"/>
  <c r="A30" i="532"/>
  <c r="B30" i="532" s="1"/>
  <c r="C47" i="556"/>
  <c r="B40" i="552"/>
  <c r="A40" i="552" s="1"/>
  <c r="A17" i="409"/>
  <c r="B17" i="409" s="1"/>
  <c r="I100" i="543"/>
  <c r="I74" i="402" s="1"/>
  <c r="A41" i="544"/>
  <c r="E14" i="549"/>
  <c r="A32" i="532"/>
  <c r="B32" i="532" s="1"/>
  <c r="C49" i="556"/>
  <c r="B42" i="552"/>
  <c r="A42" i="552" s="1"/>
  <c r="A19" i="409"/>
  <c r="B19" i="409" s="1"/>
  <c r="A42" i="544"/>
  <c r="A33" i="532"/>
  <c r="B33" i="532" s="1"/>
  <c r="C50" i="556"/>
  <c r="B43" i="552"/>
  <c r="A43" i="552" s="1"/>
  <c r="A20" i="409"/>
  <c r="B20" i="409" s="1"/>
  <c r="D18" i="556"/>
  <c r="D18" i="555" s="1"/>
  <c r="C18" i="555"/>
  <c r="C24" i="555"/>
  <c r="D24" i="556"/>
  <c r="D24" i="555" s="1"/>
  <c r="C32" i="555"/>
  <c r="D32" i="556"/>
  <c r="D32" i="555" s="1"/>
  <c r="C40" i="555"/>
  <c r="D40" i="556"/>
  <c r="D40" i="555" s="1"/>
  <c r="A40" i="544"/>
  <c r="E13" i="549"/>
  <c r="A31" i="532"/>
  <c r="B31" i="532" s="1"/>
  <c r="C48" i="556"/>
  <c r="A18" i="409"/>
  <c r="B18" i="409" s="1"/>
  <c r="B41" i="552"/>
  <c r="A41" i="552" s="1"/>
  <c r="H27" i="501"/>
  <c r="A8" i="544"/>
  <c r="A8" i="409"/>
  <c r="B8" i="409" s="1"/>
  <c r="B30" i="537"/>
  <c r="B36" i="540"/>
  <c r="B33" i="538"/>
  <c r="B27" i="536"/>
  <c r="B24" i="567"/>
  <c r="A24" i="567" s="1"/>
  <c r="C26" i="538"/>
  <c r="C31" i="540"/>
  <c r="C20" i="536"/>
  <c r="C23" i="537"/>
  <c r="A19" i="531"/>
  <c r="C22" i="538"/>
  <c r="B27" i="533"/>
  <c r="A20" i="411" s="1"/>
  <c r="C27" i="501"/>
  <c r="C27" i="540"/>
  <c r="A31" i="544"/>
  <c r="B18" i="536"/>
  <c r="B24" i="538"/>
  <c r="B29" i="540"/>
  <c r="B21" i="537"/>
  <c r="B31" i="537"/>
  <c r="B34" i="538"/>
  <c r="B37" i="540"/>
  <c r="B28" i="536"/>
  <c r="B43" i="536"/>
  <c r="B46" i="537"/>
  <c r="B49" i="538"/>
  <c r="B52" i="540"/>
  <c r="A6" i="531"/>
  <c r="C14" i="540"/>
  <c r="C13" i="536"/>
  <c r="C13" i="537"/>
  <c r="C13" i="538"/>
  <c r="A14" i="531"/>
  <c r="C22" i="540"/>
  <c r="C32" i="540"/>
  <c r="A32" i="531"/>
  <c r="B33" i="567" s="1"/>
  <c r="B17" i="274"/>
  <c r="C40" i="540"/>
  <c r="C31" i="536"/>
  <c r="C34" i="537"/>
  <c r="C37" i="538"/>
  <c r="B43" i="538"/>
  <c r="B46" i="540"/>
  <c r="B37" i="536"/>
  <c r="B40" i="537"/>
  <c r="A45" i="531"/>
  <c r="C50" i="538"/>
  <c r="C53" i="540"/>
  <c r="C44" i="536"/>
  <c r="C47" i="537"/>
  <c r="B21" i="540"/>
  <c r="A35" i="552"/>
  <c r="A37" i="552"/>
  <c r="A36" i="552"/>
  <c r="A9" i="544"/>
  <c r="A9" i="409"/>
  <c r="B9" i="409" s="1"/>
  <c r="A10" i="409"/>
  <c r="B10" i="409" s="1"/>
  <c r="A16" i="544"/>
  <c r="A24" i="544"/>
  <c r="A14" i="409"/>
  <c r="B14" i="409" s="1"/>
  <c r="A32" i="544"/>
  <c r="B22" i="537"/>
  <c r="B25" i="538"/>
  <c r="B19" i="536"/>
  <c r="B30" i="540"/>
  <c r="B38" i="540"/>
  <c r="B29" i="536"/>
  <c r="B32" i="537"/>
  <c r="B35" i="538"/>
  <c r="B47" i="537"/>
  <c r="B50" i="538"/>
  <c r="B53" i="540"/>
  <c r="B44" i="536"/>
  <c r="A7" i="531"/>
  <c r="C15" i="540"/>
  <c r="C14" i="537"/>
  <c r="C14" i="538"/>
  <c r="A15" i="531"/>
  <c r="C23" i="540"/>
  <c r="C33" i="540"/>
  <c r="A33" i="531"/>
  <c r="B34" i="567" s="1"/>
  <c r="B18" i="274"/>
  <c r="C32" i="536"/>
  <c r="C35" i="537"/>
  <c r="C38" i="538"/>
  <c r="C43" i="501"/>
  <c r="C41" i="540"/>
  <c r="B41" i="537"/>
  <c r="B47" i="540"/>
  <c r="B38" i="536"/>
  <c r="B44" i="538"/>
  <c r="A46" i="531"/>
  <c r="C54" i="540"/>
  <c r="C45" i="536"/>
  <c r="C48" i="537"/>
  <c r="C51" i="538"/>
  <c r="B22" i="540"/>
  <c r="B14" i="540"/>
  <c r="B13" i="536"/>
  <c r="B13" i="537"/>
  <c r="B13" i="538"/>
  <c r="B39" i="537"/>
  <c r="B42" i="538"/>
  <c r="B36" i="536"/>
  <c r="B45" i="540"/>
  <c r="A11" i="409"/>
  <c r="B11" i="409" s="1"/>
  <c r="A17" i="544"/>
  <c r="A25" i="544"/>
  <c r="A15" i="409"/>
  <c r="B15" i="409" s="1"/>
  <c r="A33" i="544"/>
  <c r="B15" i="540"/>
  <c r="B14" i="537"/>
  <c r="B14" i="538"/>
  <c r="B26" i="538"/>
  <c r="B31" i="540"/>
  <c r="B20" i="536"/>
  <c r="B23" i="537"/>
  <c r="B30" i="536"/>
  <c r="B33" i="537"/>
  <c r="B36" i="538"/>
  <c r="B39" i="540"/>
  <c r="B54" i="540"/>
  <c r="B45" i="536"/>
  <c r="B48" i="537"/>
  <c r="B51" i="538"/>
  <c r="A8" i="531"/>
  <c r="C16" i="540"/>
  <c r="C15" i="537"/>
  <c r="C15" i="538"/>
  <c r="A16" i="531"/>
  <c r="C24" i="540"/>
  <c r="A26" i="531"/>
  <c r="B27" i="567" s="1"/>
  <c r="A27" i="567" s="1"/>
  <c r="B11" i="274"/>
  <c r="C31" i="538"/>
  <c r="C34" i="540"/>
  <c r="C25" i="536"/>
  <c r="C28" i="537"/>
  <c r="B19" i="274"/>
  <c r="C33" i="536"/>
  <c r="C36" i="537"/>
  <c r="C39" i="538"/>
  <c r="C44" i="501"/>
  <c r="C42" i="540"/>
  <c r="B48" i="540"/>
  <c r="B45" i="538"/>
  <c r="B39" i="536"/>
  <c r="B42" i="537"/>
  <c r="A47" i="531"/>
  <c r="C49" i="537"/>
  <c r="C52" i="538"/>
  <c r="C55" i="540"/>
  <c r="C46" i="536"/>
  <c r="B23" i="540"/>
  <c r="A22" i="544"/>
  <c r="B53" i="537"/>
  <c r="B56" i="538"/>
  <c r="B19" i="538"/>
  <c r="B20" i="540"/>
  <c r="A12" i="409"/>
  <c r="B12" i="409" s="1"/>
  <c r="A18" i="544"/>
  <c r="A26" i="544"/>
  <c r="A16" i="409"/>
  <c r="B16" i="409" s="1"/>
  <c r="A34" i="544"/>
  <c r="B16" i="540"/>
  <c r="B15" i="537"/>
  <c r="B15" i="538"/>
  <c r="B27" i="538"/>
  <c r="B24" i="537"/>
  <c r="B32" i="540"/>
  <c r="B21" i="536"/>
  <c r="B34" i="537"/>
  <c r="B37" i="538"/>
  <c r="B40" i="540"/>
  <c r="B31" i="536"/>
  <c r="B49" i="537"/>
  <c r="B52" i="538"/>
  <c r="B55" i="540"/>
  <c r="B46" i="536"/>
  <c r="A9" i="531"/>
  <c r="C16" i="538"/>
  <c r="C17" i="540"/>
  <c r="A17" i="531"/>
  <c r="C20" i="538"/>
  <c r="C18" i="537"/>
  <c r="C25" i="540"/>
  <c r="C16" i="536"/>
  <c r="A27" i="531"/>
  <c r="B28" i="567" s="1"/>
  <c r="A28" i="567" s="1"/>
  <c r="B12" i="274"/>
  <c r="C26" i="536"/>
  <c r="C35" i="540"/>
  <c r="C29" i="537"/>
  <c r="C32" i="538"/>
  <c r="B33" i="536"/>
  <c r="B36" i="537"/>
  <c r="B39" i="538"/>
  <c r="B42" i="540"/>
  <c r="B44" i="501"/>
  <c r="B49" i="540"/>
  <c r="B43" i="537"/>
  <c r="B40" i="536"/>
  <c r="B46" i="538"/>
  <c r="A48" i="531"/>
  <c r="C56" i="540"/>
  <c r="C47" i="536"/>
  <c r="C50" i="537"/>
  <c r="C53" i="538"/>
  <c r="A38" i="544"/>
  <c r="A31" i="531"/>
  <c r="B32" i="567" s="1"/>
  <c r="B16" i="274"/>
  <c r="C30" i="536"/>
  <c r="C33" i="537"/>
  <c r="C36" i="538"/>
  <c r="C39" i="540"/>
  <c r="A13" i="544"/>
  <c r="A19" i="544"/>
  <c r="A27" i="544"/>
  <c r="A35" i="544"/>
  <c r="B16" i="538"/>
  <c r="B17" i="540"/>
  <c r="B22" i="536"/>
  <c r="B28" i="538"/>
  <c r="B25" i="537"/>
  <c r="B33" i="540"/>
  <c r="B32" i="536"/>
  <c r="B35" i="537"/>
  <c r="B38" i="538"/>
  <c r="B41" i="540"/>
  <c r="B53" i="538"/>
  <c r="B56" i="540"/>
  <c r="B47" i="536"/>
  <c r="B50" i="537"/>
  <c r="A10" i="531"/>
  <c r="C18" i="540"/>
  <c r="C17" i="538"/>
  <c r="A18" i="531"/>
  <c r="C19" i="537"/>
  <c r="C26" i="540"/>
  <c r="C21" i="538"/>
  <c r="A28" i="531"/>
  <c r="B29" i="567" s="1"/>
  <c r="A29" i="567" s="1"/>
  <c r="B13" i="274"/>
  <c r="C30" i="537"/>
  <c r="C36" i="540"/>
  <c r="C33" i="538"/>
  <c r="C27" i="536"/>
  <c r="A35" i="531"/>
  <c r="B36" i="567" s="1"/>
  <c r="B20" i="274"/>
  <c r="C45" i="501"/>
  <c r="C43" i="540"/>
  <c r="C34" i="536"/>
  <c r="C37" i="537"/>
  <c r="C40" i="538"/>
  <c r="A41" i="531"/>
  <c r="C49" i="540"/>
  <c r="C43" i="537"/>
  <c r="C40" i="536"/>
  <c r="C46" i="538"/>
  <c r="A49" i="531"/>
  <c r="C48" i="536"/>
  <c r="C51" i="537"/>
  <c r="C54" i="538"/>
  <c r="C57" i="540"/>
  <c r="B20" i="538"/>
  <c r="B18" i="537"/>
  <c r="B25" i="540"/>
  <c r="B16" i="536"/>
  <c r="A30" i="544"/>
  <c r="A5" i="531"/>
  <c r="C12" i="537"/>
  <c r="C12" i="538"/>
  <c r="C13" i="540"/>
  <c r="C12" i="536"/>
  <c r="A44" i="531"/>
  <c r="B45" i="567" s="1"/>
  <c r="B22" i="274"/>
  <c r="C46" i="537"/>
  <c r="C49" i="538"/>
  <c r="C52" i="540"/>
  <c r="C43" i="536"/>
  <c r="A5" i="409"/>
  <c r="B5" i="409" s="1"/>
  <c r="A14" i="544"/>
  <c r="A28" i="544"/>
  <c r="A8" i="407"/>
  <c r="A36" i="544"/>
  <c r="C23" i="90"/>
  <c r="C22" i="542" s="1"/>
  <c r="B18" i="540"/>
  <c r="B17" i="538"/>
  <c r="B31" i="538"/>
  <c r="B34" i="540"/>
  <c r="B25" i="536"/>
  <c r="B28" i="537"/>
  <c r="B43" i="540"/>
  <c r="B45" i="501"/>
  <c r="B34" i="536"/>
  <c r="B37" i="537"/>
  <c r="B40" i="538"/>
  <c r="B57" i="540"/>
  <c r="B48" i="536"/>
  <c r="B51" i="537"/>
  <c r="B54" i="538"/>
  <c r="A11" i="531"/>
  <c r="C18" i="538"/>
  <c r="C19" i="540"/>
  <c r="A21" i="531"/>
  <c r="C18" i="536"/>
  <c r="C24" i="538"/>
  <c r="C29" i="540"/>
  <c r="C21" i="537"/>
  <c r="A29" i="531"/>
  <c r="B30" i="567" s="1"/>
  <c r="A30" i="567" s="1"/>
  <c r="B14" i="274"/>
  <c r="C34" i="538"/>
  <c r="C37" i="540"/>
  <c r="C28" i="536"/>
  <c r="C31" i="537"/>
  <c r="B41" i="538"/>
  <c r="B35" i="536"/>
  <c r="B44" i="540"/>
  <c r="B38" i="537"/>
  <c r="A42" i="531"/>
  <c r="C44" i="537"/>
  <c r="C41" i="536"/>
  <c r="C47" i="538"/>
  <c r="C50" i="540"/>
  <c r="B19" i="537"/>
  <c r="B26" i="540"/>
  <c r="B21" i="538"/>
  <c r="B17" i="536"/>
  <c r="C28" i="533"/>
  <c r="B23" i="538"/>
  <c r="B28" i="540"/>
  <c r="B28" i="501"/>
  <c r="B20" i="537"/>
  <c r="B48" i="538"/>
  <c r="B51" i="540"/>
  <c r="B42" i="536"/>
  <c r="B45" i="537"/>
  <c r="A13" i="531"/>
  <c r="C21" i="540"/>
  <c r="A6" i="544"/>
  <c r="A6" i="409"/>
  <c r="B6" i="409" s="1"/>
  <c r="A20" i="544"/>
  <c r="A7" i="544"/>
  <c r="A7" i="409"/>
  <c r="B7" i="409" s="1"/>
  <c r="A15" i="544"/>
  <c r="A21" i="544"/>
  <c r="A29" i="544"/>
  <c r="C28" i="90"/>
  <c r="C27" i="542" s="1"/>
  <c r="B19" i="540"/>
  <c r="B18" i="538"/>
  <c r="B26" i="536"/>
  <c r="B35" i="540"/>
  <c r="B29" i="537"/>
  <c r="B32" i="538"/>
  <c r="B50" i="540"/>
  <c r="B44" i="537"/>
  <c r="B41" i="536"/>
  <c r="B47" i="538"/>
  <c r="B52" i="537"/>
  <c r="B55" i="538"/>
  <c r="B12" i="537"/>
  <c r="B12" i="538"/>
  <c r="B13" i="540"/>
  <c r="B12" i="536"/>
  <c r="A12" i="531"/>
  <c r="C19" i="538"/>
  <c r="C20" i="540"/>
  <c r="A22" i="531"/>
  <c r="C22" i="537"/>
  <c r="C25" i="538"/>
  <c r="C19" i="536"/>
  <c r="C30" i="540"/>
  <c r="A30" i="531"/>
  <c r="B31" i="567" s="1"/>
  <c r="B15" i="274"/>
  <c r="C29" i="536"/>
  <c r="C32" i="537"/>
  <c r="C35" i="538"/>
  <c r="C38" i="540"/>
  <c r="A43" i="531"/>
  <c r="B44" i="567" s="1"/>
  <c r="C48" i="538"/>
  <c r="C51" i="540"/>
  <c r="C42" i="536"/>
  <c r="C45" i="537"/>
  <c r="A51" i="531"/>
  <c r="B52" i="567" s="1"/>
  <c r="D61" i="517"/>
  <c r="C53" i="537"/>
  <c r="C56" i="538"/>
  <c r="B27" i="540"/>
  <c r="B22" i="538"/>
  <c r="B27" i="501"/>
  <c r="C27" i="533"/>
  <c r="C17" i="536"/>
  <c r="C23" i="538"/>
  <c r="C28" i="501"/>
  <c r="C28" i="540"/>
  <c r="B28" i="533"/>
  <c r="C20" i="537"/>
  <c r="I88" i="543"/>
  <c r="I62" i="402" s="1"/>
  <c r="A36" i="531"/>
  <c r="B37" i="567" s="1"/>
  <c r="A37" i="567" s="1"/>
  <c r="C35" i="536"/>
  <c r="C44" i="540"/>
  <c r="C41" i="538"/>
  <c r="C38" i="537"/>
  <c r="I104" i="543"/>
  <c r="I78" i="402" s="1"/>
  <c r="I70" i="543"/>
  <c r="I44" i="402" s="1"/>
  <c r="I62" i="543"/>
  <c r="I36" i="402" s="1"/>
  <c r="I90" i="543"/>
  <c r="I64" i="402" s="1"/>
  <c r="I68" i="543"/>
  <c r="I42" i="402" s="1"/>
  <c r="I72" i="543"/>
  <c r="I46" i="402" s="1"/>
  <c r="I64" i="543"/>
  <c r="I38" i="402" s="1"/>
  <c r="A23" i="544"/>
  <c r="A13" i="409"/>
  <c r="B13" i="409" s="1"/>
  <c r="I66" i="543"/>
  <c r="I40" i="402" s="1"/>
  <c r="A50" i="531"/>
  <c r="B51" i="567" s="1"/>
  <c r="B23" i="274"/>
  <c r="C55" i="538"/>
  <c r="C52" i="537"/>
  <c r="D60" i="517"/>
  <c r="A37" i="544"/>
  <c r="J22" i="538"/>
  <c r="J27" i="540"/>
  <c r="E22" i="538"/>
  <c r="E27" i="540"/>
  <c r="K22" i="538"/>
  <c r="K27" i="540"/>
  <c r="I22" i="538"/>
  <c r="I27" i="540"/>
  <c r="F22" i="538"/>
  <c r="F27" i="540"/>
  <c r="O22" i="538"/>
  <c r="O27" i="540"/>
  <c r="P22" i="538"/>
  <c r="P27" i="540"/>
  <c r="H22" i="538"/>
  <c r="H27" i="540"/>
  <c r="G22" i="538"/>
  <c r="G27" i="540"/>
  <c r="C50" i="90"/>
  <c r="C52" i="90"/>
  <c r="C51" i="90"/>
  <c r="C53" i="536" s="1"/>
  <c r="D49" i="90"/>
  <c r="C47" i="90"/>
  <c r="C46" i="542" s="1"/>
  <c r="C48" i="90"/>
  <c r="C47" i="542" s="1"/>
  <c r="C46" i="90"/>
  <c r="C45" i="542" s="1"/>
  <c r="C44" i="90"/>
  <c r="C43" i="542" s="1"/>
  <c r="C45" i="90"/>
  <c r="C44" i="542" s="1"/>
  <c r="C43" i="90"/>
  <c r="C42" i="542" s="1"/>
  <c r="C37" i="90"/>
  <c r="C38" i="90"/>
  <c r="C37" i="542" s="1"/>
  <c r="C39" i="90"/>
  <c r="C38" i="542" s="1"/>
  <c r="C41" i="90"/>
  <c r="C40" i="542" s="1"/>
  <c r="C35" i="90"/>
  <c r="C36" i="90"/>
  <c r="C34" i="90"/>
  <c r="C29" i="90"/>
  <c r="C30" i="90"/>
  <c r="C31" i="90"/>
  <c r="C32" i="90"/>
  <c r="C27" i="90"/>
  <c r="C24" i="90"/>
  <c r="C25" i="90"/>
  <c r="C26" i="90"/>
  <c r="C17" i="90"/>
  <c r="A5" i="544"/>
  <c r="D44" i="517"/>
  <c r="A34" i="531"/>
  <c r="B35" i="567" s="1"/>
  <c r="D28" i="517"/>
  <c r="A20" i="531"/>
  <c r="I68" i="565" l="1"/>
  <c r="I72" i="565"/>
  <c r="I90" i="565"/>
  <c r="I62" i="565"/>
  <c r="I88" i="565"/>
  <c r="I102" i="565"/>
  <c r="I66" i="565"/>
  <c r="I70" i="565"/>
  <c r="I100" i="565"/>
  <c r="I96" i="565"/>
  <c r="I104" i="565"/>
  <c r="I98" i="565"/>
  <c r="I64" i="565"/>
  <c r="D33" i="90"/>
  <c r="D32" i="542" s="1"/>
  <c r="A17" i="405"/>
  <c r="B18" i="567"/>
  <c r="A18" i="567" s="1"/>
  <c r="A45" i="405"/>
  <c r="B46" i="567"/>
  <c r="A46" i="567" s="1"/>
  <c r="A19" i="405"/>
  <c r="B20" i="567"/>
  <c r="A20" i="567" s="1"/>
  <c r="A44" i="567"/>
  <c r="A51" i="567"/>
  <c r="A52" i="567"/>
  <c r="A45" i="567"/>
  <c r="A42" i="405"/>
  <c r="B43" i="567"/>
  <c r="A43" i="567" s="1"/>
  <c r="C52" i="536"/>
  <c r="C55" i="537"/>
  <c r="A8" i="405"/>
  <c r="B9" i="567"/>
  <c r="A9" i="567" s="1"/>
  <c r="A14" i="405"/>
  <c r="B15" i="567"/>
  <c r="A15" i="567" s="1"/>
  <c r="A22" i="405"/>
  <c r="B23" i="567"/>
  <c r="A23" i="567" s="1"/>
  <c r="A11" i="405"/>
  <c r="B12" i="567"/>
  <c r="A12" i="567" s="1"/>
  <c r="A41" i="405"/>
  <c r="B42" i="567"/>
  <c r="A42" i="567" s="1"/>
  <c r="A7" i="405"/>
  <c r="B8" i="567"/>
  <c r="A8" i="567" s="1"/>
  <c r="A12" i="405"/>
  <c r="B13" i="567"/>
  <c r="A13" i="567" s="1"/>
  <c r="A5" i="405"/>
  <c r="B6" i="567"/>
  <c r="A6" i="567" s="1"/>
  <c r="A18" i="405"/>
  <c r="B19" i="567"/>
  <c r="A19" i="567" s="1"/>
  <c r="A9" i="405"/>
  <c r="B10" i="567"/>
  <c r="A10" i="567" s="1"/>
  <c r="A47" i="405"/>
  <c r="B48" i="567"/>
  <c r="A46" i="405"/>
  <c r="B47" i="567"/>
  <c r="A47" i="567" s="1"/>
  <c r="A48" i="405"/>
  <c r="B49" i="567"/>
  <c r="A49" i="405"/>
  <c r="B50" i="567"/>
  <c r="A16" i="405"/>
  <c r="B17" i="567"/>
  <c r="A17" i="567" s="1"/>
  <c r="A21" i="411"/>
  <c r="B16" i="451"/>
  <c r="A13" i="405"/>
  <c r="B14" i="567"/>
  <c r="A14" i="567" s="1"/>
  <c r="A10" i="405"/>
  <c r="B11" i="567"/>
  <c r="A11" i="567" s="1"/>
  <c r="A15" i="405"/>
  <c r="B16" i="567"/>
  <c r="A16" i="567" s="1"/>
  <c r="A6" i="405"/>
  <c r="B7" i="567"/>
  <c r="A7" i="567" s="1"/>
  <c r="A20" i="405"/>
  <c r="B21" i="567"/>
  <c r="A21" i="567" s="1"/>
  <c r="A21" i="405"/>
  <c r="B22" i="567"/>
  <c r="A22" i="567" s="1"/>
  <c r="D42" i="90"/>
  <c r="D41" i="542" s="1"/>
  <c r="D40" i="90"/>
  <c r="D39" i="542" s="1"/>
  <c r="P29" i="533"/>
  <c r="K30" i="533"/>
  <c r="P30" i="533" s="1"/>
  <c r="L26" i="554"/>
  <c r="L27" i="553" s="1"/>
  <c r="L27" i="517"/>
  <c r="D23" i="90"/>
  <c r="D22" i="542" s="1"/>
  <c r="C50" i="555"/>
  <c r="D50" i="556"/>
  <c r="D50" i="555" s="1"/>
  <c r="D37" i="90"/>
  <c r="D36" i="542" s="1"/>
  <c r="C36" i="542"/>
  <c r="A16" i="412"/>
  <c r="A16" i="413" s="1"/>
  <c r="A35" i="405"/>
  <c r="D47" i="556"/>
  <c r="D47" i="555" s="1"/>
  <c r="C47" i="555"/>
  <c r="C49" i="542"/>
  <c r="C61" i="540"/>
  <c r="A8" i="412"/>
  <c r="A8" i="413" s="1"/>
  <c r="A27" i="405"/>
  <c r="A7" i="412"/>
  <c r="A7" i="413" s="1"/>
  <c r="A26" i="405"/>
  <c r="C48" i="555"/>
  <c r="D48" i="556"/>
  <c r="D48" i="555" s="1"/>
  <c r="C50" i="542"/>
  <c r="C62" i="540"/>
  <c r="A20" i="412"/>
  <c r="A20" i="413" s="1"/>
  <c r="A51" i="405"/>
  <c r="A10" i="412"/>
  <c r="A10" i="413" s="1"/>
  <c r="A29" i="405"/>
  <c r="A11" i="412"/>
  <c r="A11" i="413" s="1"/>
  <c r="A30" i="405"/>
  <c r="A18" i="412"/>
  <c r="A18" i="413" s="1"/>
  <c r="A44" i="405"/>
  <c r="A12" i="412"/>
  <c r="A12" i="413" s="1"/>
  <c r="A31" i="405"/>
  <c r="A14" i="412"/>
  <c r="A14" i="413" s="1"/>
  <c r="A33" i="405"/>
  <c r="D38" i="556"/>
  <c r="D38" i="555" s="1"/>
  <c r="C38" i="555"/>
  <c r="C51" i="542"/>
  <c r="C63" i="540"/>
  <c r="A15" i="412"/>
  <c r="A15" i="413" s="1"/>
  <c r="A34" i="405"/>
  <c r="A19" i="412"/>
  <c r="A19" i="413" s="1"/>
  <c r="A50" i="405"/>
  <c r="B24" i="552"/>
  <c r="A24" i="552" s="1"/>
  <c r="A31" i="552" s="1"/>
  <c r="A8" i="549"/>
  <c r="A36" i="405"/>
  <c r="A17" i="412"/>
  <c r="A17" i="413" s="1"/>
  <c r="A43" i="405"/>
  <c r="A9" i="412"/>
  <c r="A9" i="413" s="1"/>
  <c r="A28" i="405"/>
  <c r="C31" i="555"/>
  <c r="D31" i="556"/>
  <c r="D31" i="555" s="1"/>
  <c r="D48" i="542"/>
  <c r="D60" i="540"/>
  <c r="A13" i="412"/>
  <c r="A13" i="413" s="1"/>
  <c r="A32" i="405"/>
  <c r="C49" i="555"/>
  <c r="D49" i="556"/>
  <c r="D49" i="555" s="1"/>
  <c r="B11" i="552"/>
  <c r="A11" i="552" s="1"/>
  <c r="B23" i="532"/>
  <c r="B8" i="552"/>
  <c r="A8" i="552" s="1"/>
  <c r="A20" i="532"/>
  <c r="B20" i="532" s="1"/>
  <c r="B31" i="552"/>
  <c r="A13" i="532"/>
  <c r="B13" i="532" s="1"/>
  <c r="B16" i="552"/>
  <c r="A16" i="552" s="1"/>
  <c r="D17" i="536"/>
  <c r="D23" i="538"/>
  <c r="D28" i="501"/>
  <c r="D28" i="540"/>
  <c r="D20" i="537"/>
  <c r="A10" i="532"/>
  <c r="B10" i="532" s="1"/>
  <c r="A17" i="532"/>
  <c r="B17" i="532" s="1"/>
  <c r="B20" i="552"/>
  <c r="A14" i="532"/>
  <c r="B14" i="532" s="1"/>
  <c r="B33" i="552"/>
  <c r="A33" i="552" s="1"/>
  <c r="D53" i="537"/>
  <c r="D56" i="538"/>
  <c r="A21" i="532"/>
  <c r="B21" i="532" s="1"/>
  <c r="B9" i="552"/>
  <c r="A9" i="552" s="1"/>
  <c r="B23" i="552"/>
  <c r="A8" i="532"/>
  <c r="B8" i="532" s="1"/>
  <c r="A19" i="532"/>
  <c r="B19" i="532" s="1"/>
  <c r="B39" i="552"/>
  <c r="B10" i="552"/>
  <c r="A10" i="552" s="1"/>
  <c r="A22" i="532"/>
  <c r="B22" i="532" s="1"/>
  <c r="B30" i="552"/>
  <c r="A30" i="552" s="1"/>
  <c r="B6" i="552"/>
  <c r="A6" i="552" s="1"/>
  <c r="A5" i="532"/>
  <c r="B5" i="532" s="1"/>
  <c r="B29" i="552"/>
  <c r="A29" i="552" s="1"/>
  <c r="B34" i="552"/>
  <c r="A34" i="552" s="1"/>
  <c r="B25" i="532"/>
  <c r="A7" i="532"/>
  <c r="B7" i="532" s="1"/>
  <c r="D28" i="90"/>
  <c r="D27" i="542" s="1"/>
  <c r="B15" i="552"/>
  <c r="A15" i="552" s="1"/>
  <c r="B35" i="552"/>
  <c r="B14" i="552"/>
  <c r="A14" i="552" s="1"/>
  <c r="B17" i="552"/>
  <c r="A17" i="552" s="1"/>
  <c r="A11" i="532"/>
  <c r="B11" i="532" s="1"/>
  <c r="A18" i="532"/>
  <c r="B18" i="532" s="1"/>
  <c r="B36" i="552"/>
  <c r="A9" i="532"/>
  <c r="B9" i="532" s="1"/>
  <c r="B38" i="552"/>
  <c r="B22" i="552"/>
  <c r="D36" i="537"/>
  <c r="D39" i="538"/>
  <c r="D44" i="501"/>
  <c r="D42" i="540"/>
  <c r="D33" i="536"/>
  <c r="B18" i="552"/>
  <c r="A12" i="532"/>
  <c r="B12" i="532" s="1"/>
  <c r="B32" i="552"/>
  <c r="B37" i="552"/>
  <c r="B19" i="552"/>
  <c r="A16" i="532"/>
  <c r="B16" i="532" s="1"/>
  <c r="B21" i="552"/>
  <c r="A15" i="532"/>
  <c r="B15" i="532" s="1"/>
  <c r="B24" i="532"/>
  <c r="B7" i="552"/>
  <c r="A7" i="552" s="1"/>
  <c r="A6" i="532"/>
  <c r="B6" i="532" s="1"/>
  <c r="A26" i="532"/>
  <c r="B26" i="532" s="1"/>
  <c r="D52" i="537"/>
  <c r="D55" i="538"/>
  <c r="D51" i="90"/>
  <c r="D52" i="90"/>
  <c r="D50" i="90"/>
  <c r="D48" i="90"/>
  <c r="D47" i="542" s="1"/>
  <c r="D47" i="90"/>
  <c r="D46" i="542" s="1"/>
  <c r="D45" i="90"/>
  <c r="D44" i="542" s="1"/>
  <c r="D44" i="90"/>
  <c r="D43" i="542" s="1"/>
  <c r="D46" i="90"/>
  <c r="D45" i="542" s="1"/>
  <c r="D39" i="90"/>
  <c r="D38" i="542" s="1"/>
  <c r="D43" i="90"/>
  <c r="D42" i="542" s="1"/>
  <c r="D41" i="90"/>
  <c r="D40" i="542" s="1"/>
  <c r="D38" i="90"/>
  <c r="D37" i="542" s="1"/>
  <c r="C33" i="542"/>
  <c r="D34" i="90"/>
  <c r="D33" i="542" s="1"/>
  <c r="D36" i="90"/>
  <c r="D35" i="542" s="1"/>
  <c r="C35" i="542"/>
  <c r="D35" i="90"/>
  <c r="D34" i="542" s="1"/>
  <c r="C34" i="542"/>
  <c r="D30" i="90"/>
  <c r="D29" i="542" s="1"/>
  <c r="C29" i="542"/>
  <c r="D27" i="90"/>
  <c r="D26" i="542" s="1"/>
  <c r="C26" i="542"/>
  <c r="D32" i="90"/>
  <c r="D31" i="542" s="1"/>
  <c r="C31" i="542"/>
  <c r="D29" i="90"/>
  <c r="D28" i="542" s="1"/>
  <c r="C28" i="542"/>
  <c r="D31" i="90"/>
  <c r="D30" i="542" s="1"/>
  <c r="C30" i="542"/>
  <c r="D25" i="90"/>
  <c r="D24" i="542" s="1"/>
  <c r="C24" i="542"/>
  <c r="D26" i="90"/>
  <c r="D25" i="542" s="1"/>
  <c r="C25" i="542"/>
  <c r="C23" i="542"/>
  <c r="D24" i="90"/>
  <c r="D23" i="542" s="1"/>
  <c r="D17" i="90"/>
  <c r="D16" i="542" s="1"/>
  <c r="C16" i="542"/>
  <c r="P42" i="542"/>
  <c r="O42" i="542"/>
  <c r="N42" i="542"/>
  <c r="M42" i="542"/>
  <c r="L42" i="542"/>
  <c r="K42" i="542"/>
  <c r="H42" i="542"/>
  <c r="G42" i="542"/>
  <c r="F42" i="542"/>
  <c r="E42" i="542"/>
  <c r="P41" i="542"/>
  <c r="O41" i="542"/>
  <c r="N41" i="542"/>
  <c r="M41" i="542"/>
  <c r="L41" i="542"/>
  <c r="K41" i="542"/>
  <c r="H41" i="542"/>
  <c r="G41" i="542"/>
  <c r="F41" i="542"/>
  <c r="E41" i="542"/>
  <c r="R38" i="542"/>
  <c r="Q38" i="542"/>
  <c r="L38" i="542"/>
  <c r="K38" i="542"/>
  <c r="J38" i="542"/>
  <c r="I38" i="542"/>
  <c r="H38" i="542"/>
  <c r="G38" i="542"/>
  <c r="F38" i="542"/>
  <c r="E38" i="542"/>
  <c r="P37" i="542"/>
  <c r="O37" i="542"/>
  <c r="N37" i="542"/>
  <c r="M37" i="542"/>
  <c r="L37" i="542"/>
  <c r="K37" i="542"/>
  <c r="J37" i="542"/>
  <c r="G28" i="544" s="1"/>
  <c r="I37" i="542"/>
  <c r="H37" i="542"/>
  <c r="G37" i="542"/>
  <c r="F37" i="542"/>
  <c r="E37" i="542"/>
  <c r="P36" i="542"/>
  <c r="O36" i="542"/>
  <c r="N36" i="542"/>
  <c r="M36" i="542"/>
  <c r="L36" i="542"/>
  <c r="K36" i="542"/>
  <c r="H36" i="542"/>
  <c r="G36" i="542"/>
  <c r="F36" i="542"/>
  <c r="E36" i="542"/>
  <c r="P25" i="542"/>
  <c r="O25" i="542"/>
  <c r="N25" i="542"/>
  <c r="M25" i="542"/>
  <c r="L25" i="542"/>
  <c r="K25" i="542"/>
  <c r="H25" i="542"/>
  <c r="G25" i="542"/>
  <c r="F25" i="542"/>
  <c r="E25" i="542"/>
  <c r="P24" i="542"/>
  <c r="O24" i="542"/>
  <c r="N24" i="542"/>
  <c r="M24" i="542"/>
  <c r="L24" i="542"/>
  <c r="K24" i="542"/>
  <c r="H24" i="542"/>
  <c r="G24" i="542"/>
  <c r="F24" i="542"/>
  <c r="E24" i="542"/>
  <c r="P23" i="542"/>
  <c r="O23" i="542"/>
  <c r="N23" i="542"/>
  <c r="M23" i="542"/>
  <c r="L23" i="542"/>
  <c r="K23" i="542"/>
  <c r="H23" i="542"/>
  <c r="G23" i="542"/>
  <c r="F23" i="542"/>
  <c r="E23" i="542"/>
  <c r="P22" i="542"/>
  <c r="O22" i="542"/>
  <c r="N22" i="542"/>
  <c r="M22" i="542"/>
  <c r="L22" i="542"/>
  <c r="K22" i="542"/>
  <c r="H22" i="542"/>
  <c r="G22" i="542"/>
  <c r="F22" i="542"/>
  <c r="E22" i="542"/>
  <c r="P56" i="501"/>
  <c r="O56" i="501"/>
  <c r="N56" i="501"/>
  <c r="M56" i="501"/>
  <c r="L56" i="501"/>
  <c r="K56" i="501"/>
  <c r="H56" i="501"/>
  <c r="G56" i="501"/>
  <c r="F56" i="501"/>
  <c r="E56" i="501"/>
  <c r="B43" i="90"/>
  <c r="B42" i="542" s="1"/>
  <c r="B56" i="501"/>
  <c r="D56" i="517"/>
  <c r="E55" i="501"/>
  <c r="F55" i="501"/>
  <c r="G55" i="501"/>
  <c r="H55" i="501"/>
  <c r="K55" i="501"/>
  <c r="L55" i="501"/>
  <c r="M55" i="501"/>
  <c r="N55" i="501"/>
  <c r="O55" i="501"/>
  <c r="P55" i="501"/>
  <c r="R52" i="501"/>
  <c r="Q52" i="501"/>
  <c r="L52" i="501"/>
  <c r="K52" i="501"/>
  <c r="J52" i="501"/>
  <c r="I52" i="501"/>
  <c r="H52" i="501"/>
  <c r="G52" i="501"/>
  <c r="F52" i="501"/>
  <c r="E52" i="501"/>
  <c r="P51" i="501"/>
  <c r="O51" i="501"/>
  <c r="N51" i="501"/>
  <c r="M51" i="501"/>
  <c r="L51" i="501"/>
  <c r="K51" i="501"/>
  <c r="J51" i="501"/>
  <c r="I51" i="501"/>
  <c r="H51" i="501"/>
  <c r="G51" i="501"/>
  <c r="F51" i="501"/>
  <c r="E51" i="501"/>
  <c r="P50" i="501"/>
  <c r="O50" i="501"/>
  <c r="N50" i="501"/>
  <c r="M50" i="501"/>
  <c r="L50" i="501"/>
  <c r="K50" i="501"/>
  <c r="H50" i="501"/>
  <c r="G50" i="501"/>
  <c r="P39" i="501"/>
  <c r="O39" i="501"/>
  <c r="N39" i="501"/>
  <c r="M39" i="501"/>
  <c r="L39" i="501"/>
  <c r="K39" i="501"/>
  <c r="H39" i="501"/>
  <c r="G39" i="501"/>
  <c r="F39" i="501"/>
  <c r="E39" i="501"/>
  <c r="P38" i="501"/>
  <c r="O38" i="501"/>
  <c r="N38" i="501"/>
  <c r="M38" i="501"/>
  <c r="L38" i="501"/>
  <c r="K38" i="501"/>
  <c r="H38" i="501"/>
  <c r="G38" i="501"/>
  <c r="F38" i="501"/>
  <c r="E38" i="501"/>
  <c r="P37" i="501"/>
  <c r="O37" i="501"/>
  <c r="N37" i="501"/>
  <c r="M37" i="501"/>
  <c r="L37" i="501"/>
  <c r="K37" i="501"/>
  <c r="H37" i="501"/>
  <c r="G37" i="501"/>
  <c r="F37" i="501"/>
  <c r="E37" i="501"/>
  <c r="P36" i="501"/>
  <c r="O36" i="501"/>
  <c r="N36" i="501"/>
  <c r="M36" i="501"/>
  <c r="L36" i="501"/>
  <c r="K36" i="501"/>
  <c r="H36" i="501"/>
  <c r="G36" i="501"/>
  <c r="F36" i="501"/>
  <c r="E36" i="501"/>
  <c r="E50" i="501"/>
  <c r="F50" i="501"/>
  <c r="D61" i="501"/>
  <c r="D60" i="501"/>
  <c r="L22" i="538" l="1"/>
  <c r="L27" i="501"/>
  <c r="L27" i="540"/>
  <c r="A38" i="552"/>
  <c r="A39" i="552"/>
  <c r="A32" i="552"/>
  <c r="D49" i="542"/>
  <c r="D61" i="540"/>
  <c r="D51" i="542"/>
  <c r="D63" i="540"/>
  <c r="D50" i="542"/>
  <c r="D62" i="540"/>
  <c r="D56" i="501"/>
  <c r="D45" i="536"/>
  <c r="D48" i="537"/>
  <c r="D51" i="538"/>
  <c r="D54" i="540"/>
  <c r="C56" i="501"/>
  <c r="T67" i="540"/>
  <c r="C59" i="540"/>
  <c r="B59" i="540"/>
  <c r="C58" i="540"/>
  <c r="B58" i="540"/>
  <c r="W46" i="540"/>
  <c r="W42" i="540"/>
  <c r="W26" i="540"/>
  <c r="E12" i="554"/>
  <c r="E13" i="553" l="1"/>
  <c r="H78" i="538"/>
  <c r="T69" i="538"/>
  <c r="K75" i="538"/>
  <c r="I75" i="538"/>
  <c r="G75" i="538"/>
  <c r="E75" i="538"/>
  <c r="Q60" i="540" l="1"/>
  <c r="H76" i="537"/>
  <c r="T67" i="537"/>
  <c r="D55" i="537"/>
  <c r="K55" i="537"/>
  <c r="I55" i="537"/>
  <c r="E55" i="537"/>
  <c r="D54" i="537"/>
  <c r="H74" i="536"/>
  <c r="D53" i="536"/>
  <c r="D52" i="536"/>
  <c r="K52" i="536"/>
  <c r="I53" i="536"/>
  <c r="E52" i="536"/>
  <c r="D51" i="536"/>
  <c r="C50" i="536"/>
  <c r="B50" i="536"/>
  <c r="C49" i="536"/>
  <c r="B49" i="536"/>
  <c r="I73" i="537" l="1"/>
  <c r="E73" i="537"/>
  <c r="Q48" i="542"/>
  <c r="Q55" i="537"/>
  <c r="Q53" i="536"/>
  <c r="G55" i="537"/>
  <c r="K73" i="537"/>
  <c r="K53" i="536"/>
  <c r="E53" i="536"/>
  <c r="G52" i="536"/>
  <c r="G53" i="536"/>
  <c r="I52" i="536"/>
  <c r="E28" i="506"/>
  <c r="B28" i="506"/>
  <c r="K46" i="495"/>
  <c r="K44" i="495"/>
  <c r="K43" i="495"/>
  <c r="K14" i="495"/>
  <c r="K15" i="495"/>
  <c r="K16" i="495"/>
  <c r="K17" i="495"/>
  <c r="K18" i="495"/>
  <c r="K19" i="495"/>
  <c r="K20" i="495"/>
  <c r="K21" i="495"/>
  <c r="K22" i="495"/>
  <c r="K23" i="495"/>
  <c r="K24" i="495"/>
  <c r="K25" i="495"/>
  <c r="K26" i="495"/>
  <c r="K27" i="495"/>
  <c r="K28" i="495"/>
  <c r="K29" i="495"/>
  <c r="K30" i="495"/>
  <c r="K31" i="495"/>
  <c r="K32" i="495"/>
  <c r="K33" i="495"/>
  <c r="K34" i="495"/>
  <c r="K35" i="495"/>
  <c r="K36" i="495"/>
  <c r="K37" i="495"/>
  <c r="K38" i="495"/>
  <c r="K39" i="495"/>
  <c r="K13" i="495"/>
  <c r="K45" i="495" s="1"/>
  <c r="K12" i="495"/>
  <c r="J46" i="495"/>
  <c r="J44" i="495"/>
  <c r="F11" i="412" s="1"/>
  <c r="J43" i="495"/>
  <c r="J14" i="495"/>
  <c r="J15" i="495"/>
  <c r="J16" i="495"/>
  <c r="J17" i="495"/>
  <c r="J18" i="495"/>
  <c r="J19" i="495"/>
  <c r="J20" i="495"/>
  <c r="J21" i="495"/>
  <c r="J22" i="495"/>
  <c r="J23" i="495"/>
  <c r="J24" i="495"/>
  <c r="J25" i="495"/>
  <c r="J26" i="495"/>
  <c r="J27" i="495"/>
  <c r="J28" i="495"/>
  <c r="J29" i="495"/>
  <c r="J30" i="495"/>
  <c r="J31" i="495"/>
  <c r="J32" i="495"/>
  <c r="J33" i="495"/>
  <c r="J34" i="495"/>
  <c r="J35" i="495"/>
  <c r="J36" i="495"/>
  <c r="J37" i="495"/>
  <c r="J38" i="495"/>
  <c r="J39" i="495"/>
  <c r="J13" i="495"/>
  <c r="J45" i="495" s="1"/>
  <c r="J12" i="495"/>
  <c r="H46" i="495"/>
  <c r="H44" i="495"/>
  <c r="H43" i="495"/>
  <c r="I43" i="495" s="1"/>
  <c r="I47" i="495" s="1"/>
  <c r="H14" i="495"/>
  <c r="H15" i="495"/>
  <c r="H16" i="495"/>
  <c r="H17" i="495"/>
  <c r="H18" i="495"/>
  <c r="H19" i="495"/>
  <c r="H20" i="495"/>
  <c r="H21" i="495"/>
  <c r="H22" i="495"/>
  <c r="H23" i="495"/>
  <c r="H24" i="495"/>
  <c r="H25" i="495"/>
  <c r="H26" i="495"/>
  <c r="H27" i="495"/>
  <c r="H28" i="495"/>
  <c r="H29" i="495"/>
  <c r="H30" i="495"/>
  <c r="H31" i="495"/>
  <c r="H32" i="495"/>
  <c r="H33" i="495"/>
  <c r="H34" i="495"/>
  <c r="H35" i="495"/>
  <c r="H36" i="495"/>
  <c r="H37" i="495"/>
  <c r="H38" i="495"/>
  <c r="H39" i="495"/>
  <c r="H13" i="495"/>
  <c r="H45" i="495" s="1"/>
  <c r="H12" i="495"/>
  <c r="G46" i="495"/>
  <c r="G44" i="495"/>
  <c r="G43" i="495"/>
  <c r="G14" i="495"/>
  <c r="G15" i="495"/>
  <c r="G16" i="495"/>
  <c r="G17" i="495"/>
  <c r="G18" i="495"/>
  <c r="G19" i="495"/>
  <c r="G20" i="495"/>
  <c r="G21" i="495"/>
  <c r="G22" i="495"/>
  <c r="G23" i="495"/>
  <c r="G24" i="495"/>
  <c r="G25" i="495"/>
  <c r="G26" i="495"/>
  <c r="G27" i="495"/>
  <c r="G28" i="495"/>
  <c r="G29" i="495"/>
  <c r="G30" i="495"/>
  <c r="G31" i="495"/>
  <c r="G32" i="495"/>
  <c r="G33" i="495"/>
  <c r="G34" i="495"/>
  <c r="G35" i="495"/>
  <c r="G36" i="495"/>
  <c r="G37" i="495"/>
  <c r="G38" i="495"/>
  <c r="G39" i="495"/>
  <c r="G13" i="495"/>
  <c r="G45" i="495" s="1"/>
  <c r="G12" i="495"/>
  <c r="F46" i="495"/>
  <c r="F44" i="495"/>
  <c r="F19" i="412" s="1"/>
  <c r="F43" i="495"/>
  <c r="F14" i="495"/>
  <c r="F15" i="495"/>
  <c r="F16" i="495"/>
  <c r="F17" i="495"/>
  <c r="F18" i="495"/>
  <c r="F19" i="495"/>
  <c r="F20" i="495"/>
  <c r="F21" i="495"/>
  <c r="F22" i="495"/>
  <c r="F23" i="495"/>
  <c r="F24" i="495"/>
  <c r="F25" i="495"/>
  <c r="F26" i="495"/>
  <c r="F27" i="495"/>
  <c r="F28" i="495"/>
  <c r="F29" i="495"/>
  <c r="F30" i="495"/>
  <c r="F31" i="495"/>
  <c r="F32" i="495"/>
  <c r="F33" i="495"/>
  <c r="F34" i="495"/>
  <c r="F35" i="495"/>
  <c r="F36" i="495"/>
  <c r="F37" i="495"/>
  <c r="F38" i="495"/>
  <c r="F39" i="495"/>
  <c r="F13" i="495"/>
  <c r="F45" i="495" s="1"/>
  <c r="F12" i="495"/>
  <c r="E46" i="495"/>
  <c r="E44" i="495"/>
  <c r="E43" i="495"/>
  <c r="E14" i="495"/>
  <c r="E15" i="495"/>
  <c r="E16" i="495"/>
  <c r="E17" i="495"/>
  <c r="E18" i="495"/>
  <c r="E19" i="495"/>
  <c r="E20" i="495"/>
  <c r="E21" i="495"/>
  <c r="E22" i="495"/>
  <c r="E23" i="495"/>
  <c r="E24" i="495"/>
  <c r="E25" i="495"/>
  <c r="E26" i="495"/>
  <c r="E27" i="495"/>
  <c r="E28" i="495"/>
  <c r="E29" i="495"/>
  <c r="E30" i="495"/>
  <c r="E31" i="495"/>
  <c r="E32" i="495"/>
  <c r="E33" i="495"/>
  <c r="E34" i="495"/>
  <c r="E35" i="495"/>
  <c r="E36" i="495"/>
  <c r="E37" i="495"/>
  <c r="E38" i="495"/>
  <c r="E39" i="495"/>
  <c r="E13" i="495"/>
  <c r="E45" i="495" s="1"/>
  <c r="E12" i="495"/>
  <c r="I45" i="495"/>
  <c r="D46" i="495"/>
  <c r="D44" i="495"/>
  <c r="F20" i="412" s="1"/>
  <c r="D43" i="495"/>
  <c r="L43" i="495" s="1"/>
  <c r="D14" i="495"/>
  <c r="D15" i="495"/>
  <c r="D16" i="495"/>
  <c r="D17" i="495"/>
  <c r="D18" i="495"/>
  <c r="D19" i="495"/>
  <c r="D20" i="495"/>
  <c r="D21" i="495"/>
  <c r="D22" i="495"/>
  <c r="D23" i="495"/>
  <c r="D24" i="495"/>
  <c r="D25" i="495"/>
  <c r="D26" i="495"/>
  <c r="D27" i="495"/>
  <c r="D28" i="495"/>
  <c r="D29" i="495"/>
  <c r="D30" i="495"/>
  <c r="D31" i="495"/>
  <c r="D32" i="495"/>
  <c r="D33" i="495"/>
  <c r="D34" i="495"/>
  <c r="D35" i="495"/>
  <c r="D36" i="495"/>
  <c r="D37" i="495"/>
  <c r="D38" i="495"/>
  <c r="D39" i="495"/>
  <c r="D13" i="495"/>
  <c r="D12" i="495"/>
  <c r="G73" i="537" l="1"/>
  <c r="K71" i="536"/>
  <c r="I71" i="536"/>
  <c r="Q52" i="536"/>
  <c r="K47" i="495"/>
  <c r="I44" i="495"/>
  <c r="F17" i="412"/>
  <c r="R48" i="542"/>
  <c r="Q51" i="542"/>
  <c r="Q50" i="542"/>
  <c r="Q49" i="542"/>
  <c r="L43" i="496"/>
  <c r="G47" i="495"/>
  <c r="H47" i="495"/>
  <c r="J47" i="495"/>
  <c r="G71" i="536"/>
  <c r="E71" i="536"/>
  <c r="E41" i="495"/>
  <c r="E47" i="495"/>
  <c r="F47" i="495"/>
  <c r="D46" i="496"/>
  <c r="R50" i="542" l="1"/>
  <c r="R51" i="542"/>
  <c r="R49" i="542"/>
  <c r="C27" i="515"/>
  <c r="C11" i="515"/>
  <c r="E26" i="535" l="1"/>
  <c r="E24" i="535"/>
  <c r="E22" i="535"/>
  <c r="F16" i="535"/>
  <c r="E16" i="535"/>
  <c r="E10" i="535"/>
  <c r="C37" i="507" l="1"/>
  <c r="B37" i="507"/>
  <c r="C36" i="507"/>
  <c r="B24" i="507"/>
  <c r="B27" i="507"/>
  <c r="B18" i="507"/>
  <c r="B34" i="506" l="1"/>
  <c r="E33" i="506"/>
  <c r="B30" i="506"/>
  <c r="B25" i="507" s="1"/>
  <c r="B29" i="506"/>
  <c r="C30" i="485"/>
  <c r="C29" i="485"/>
  <c r="C28" i="485"/>
  <c r="C27" i="485"/>
  <c r="C22" i="485"/>
  <c r="C21" i="485"/>
  <c r="C20" i="485"/>
  <c r="C19" i="485"/>
  <c r="C18" i="485"/>
  <c r="C17" i="485"/>
  <c r="C16" i="485"/>
  <c r="C15" i="485"/>
  <c r="C14" i="485"/>
  <c r="C13" i="485"/>
  <c r="C12" i="485"/>
  <c r="C25" i="485" l="1"/>
  <c r="C24" i="485"/>
  <c r="C23" i="485"/>
  <c r="C26" i="485"/>
  <c r="C12" i="513"/>
  <c r="C33" i="485" l="1"/>
  <c r="E28" i="417"/>
  <c r="E26" i="417"/>
  <c r="E24" i="417"/>
  <c r="C21" i="523"/>
  <c r="C22" i="523"/>
  <c r="E15" i="403" l="1"/>
  <c r="E13" i="403"/>
  <c r="E11" i="403"/>
  <c r="E9" i="403"/>
  <c r="E7" i="404"/>
  <c r="E6" i="404"/>
  <c r="I20" i="409" l="1"/>
  <c r="I19" i="409"/>
  <c r="I18" i="409"/>
  <c r="I17" i="409"/>
  <c r="I16" i="409"/>
  <c r="I15" i="409"/>
  <c r="I14" i="409"/>
  <c r="I13" i="409"/>
  <c r="I11" i="409"/>
  <c r="I10" i="409"/>
  <c r="C20" i="523"/>
  <c r="I7" i="409" l="1"/>
  <c r="I9" i="409"/>
  <c r="I8" i="409"/>
  <c r="I6" i="409"/>
  <c r="I5" i="409"/>
  <c r="K38" i="486"/>
  <c r="E17" i="451" l="1"/>
  <c r="E16" i="451"/>
  <c r="C24" i="501"/>
  <c r="C25" i="501"/>
  <c r="C26" i="501"/>
  <c r="C49" i="501" l="1"/>
  <c r="Q62" i="540"/>
  <c r="K60" i="540"/>
  <c r="G60" i="540"/>
  <c r="E60" i="540"/>
  <c r="O57" i="538" l="1"/>
  <c r="O48" i="542"/>
  <c r="L39" i="544" s="1"/>
  <c r="M48" i="542"/>
  <c r="J39" i="544" s="1"/>
  <c r="M49" i="90"/>
  <c r="J45" i="406" s="1"/>
  <c r="J46" i="406" s="1"/>
  <c r="O60" i="540"/>
  <c r="I52" i="90"/>
  <c r="I63" i="540" s="1"/>
  <c r="I60" i="540"/>
  <c r="Q63" i="540"/>
  <c r="Q61" i="540"/>
  <c r="I50" i="90"/>
  <c r="I51" i="90"/>
  <c r="I62" i="540" s="1"/>
  <c r="L41" i="544" l="1"/>
  <c r="L42" i="544"/>
  <c r="L40" i="544"/>
  <c r="N39" i="544"/>
  <c r="J41" i="544"/>
  <c r="J42" i="544"/>
  <c r="J40" i="544"/>
  <c r="I61" i="540"/>
  <c r="I13" i="547"/>
  <c r="O51" i="542"/>
  <c r="O49" i="542"/>
  <c r="O50" i="542"/>
  <c r="M60" i="540"/>
  <c r="M57" i="538"/>
  <c r="O54" i="537"/>
  <c r="O51" i="536"/>
  <c r="O75" i="538"/>
  <c r="M52" i="90"/>
  <c r="M63" i="540" s="1"/>
  <c r="M50" i="542"/>
  <c r="M51" i="542"/>
  <c r="M49" i="542"/>
  <c r="Q47" i="556"/>
  <c r="R55" i="537"/>
  <c r="M51" i="90"/>
  <c r="M62" i="540" s="1"/>
  <c r="M50" i="90"/>
  <c r="O55" i="537" l="1"/>
  <c r="O73" i="537" s="1"/>
  <c r="N42" i="544"/>
  <c r="N40" i="544"/>
  <c r="N41" i="544"/>
  <c r="M13" i="547"/>
  <c r="M54" i="537"/>
  <c r="M51" i="536"/>
  <c r="M75" i="538"/>
  <c r="O53" i="536"/>
  <c r="O52" i="536"/>
  <c r="M71" i="90"/>
  <c r="M61" i="540"/>
  <c r="R53" i="536"/>
  <c r="R52" i="536"/>
  <c r="R60" i="540"/>
  <c r="R47" i="556"/>
  <c r="Q49" i="556"/>
  <c r="Q48" i="556"/>
  <c r="Q50" i="556"/>
  <c r="R63" i="540"/>
  <c r="R61" i="540"/>
  <c r="R62" i="540"/>
  <c r="O71" i="536" l="1"/>
  <c r="M53" i="536"/>
  <c r="M52" i="536"/>
  <c r="M55" i="537"/>
  <c r="M73" i="537" s="1"/>
  <c r="R49" i="556"/>
  <c r="R48" i="556"/>
  <c r="R50" i="556"/>
  <c r="M71" i="536" l="1"/>
  <c r="M12" i="458"/>
  <c r="C51" i="485" l="1"/>
  <c r="C52" i="485" s="1"/>
  <c r="C43" i="485"/>
  <c r="C46" i="485" s="1"/>
  <c r="K13" i="485" s="1"/>
  <c r="K13" i="486" s="1"/>
  <c r="G44" i="554" l="1"/>
  <c r="G32" i="556"/>
  <c r="G42" i="538"/>
  <c r="C47" i="485"/>
  <c r="G27" i="532" s="1"/>
  <c r="G28" i="532" s="1"/>
  <c r="G29" i="532" s="1"/>
  <c r="G44" i="538" l="1"/>
  <c r="G43" i="538"/>
  <c r="G34" i="556"/>
  <c r="G33" i="556"/>
  <c r="G46" i="554"/>
  <c r="G45" i="554"/>
  <c r="C50" i="485"/>
  <c r="L17" i="451" l="1"/>
  <c r="Q17" i="451" s="1"/>
  <c r="L16" i="451"/>
  <c r="Q16" i="451" s="1"/>
  <c r="L18" i="451"/>
  <c r="Q18" i="451" s="1"/>
  <c r="K15" i="451"/>
  <c r="P15" i="451" s="1"/>
  <c r="K17" i="451"/>
  <c r="P17" i="451" s="1"/>
  <c r="K16" i="451"/>
  <c r="P16" i="451" s="1"/>
  <c r="K18" i="451"/>
  <c r="P18" i="451" s="1"/>
  <c r="L15" i="451"/>
  <c r="Q15" i="451" s="1"/>
  <c r="O13" i="556" l="1"/>
  <c r="C38" i="458"/>
  <c r="M13" i="556" l="1"/>
  <c r="O14" i="556"/>
  <c r="O13" i="555"/>
  <c r="C14" i="499"/>
  <c r="C15" i="499"/>
  <c r="C16" i="499"/>
  <c r="C17" i="499"/>
  <c r="C18" i="499"/>
  <c r="C19" i="499"/>
  <c r="C20" i="499"/>
  <c r="C21" i="499"/>
  <c r="C22" i="499"/>
  <c r="C23" i="499"/>
  <c r="C24" i="499"/>
  <c r="C25" i="499"/>
  <c r="E27" i="567" s="1"/>
  <c r="C26" i="499"/>
  <c r="C27" i="499"/>
  <c r="G27" i="567" s="1"/>
  <c r="C28" i="499"/>
  <c r="C29" i="499"/>
  <c r="C30" i="499"/>
  <c r="C31" i="499"/>
  <c r="C32" i="499"/>
  <c r="C33" i="499"/>
  <c r="C34" i="499"/>
  <c r="C35" i="499"/>
  <c r="C36" i="499"/>
  <c r="M27" i="567" s="1"/>
  <c r="C37" i="499"/>
  <c r="C38" i="499"/>
  <c r="C39" i="499"/>
  <c r="C13" i="499"/>
  <c r="C12" i="499"/>
  <c r="G29" i="567" l="1"/>
  <c r="G30" i="567" s="1"/>
  <c r="G28" i="567"/>
  <c r="I27" i="567"/>
  <c r="I14" i="552"/>
  <c r="E29" i="567"/>
  <c r="E30" i="567" s="1"/>
  <c r="E28" i="567"/>
  <c r="K27" i="567"/>
  <c r="K14" i="552"/>
  <c r="M29" i="567"/>
  <c r="M30" i="567" s="1"/>
  <c r="M28" i="567"/>
  <c r="G14" i="552"/>
  <c r="M14" i="552"/>
  <c r="E14" i="552"/>
  <c r="M13" i="555"/>
  <c r="O14" i="555"/>
  <c r="M14" i="556"/>
  <c r="M14" i="555" s="1"/>
  <c r="O15" i="556"/>
  <c r="O23" i="538"/>
  <c r="M23" i="538" s="1"/>
  <c r="C36" i="458"/>
  <c r="B39" i="533"/>
  <c r="G62" i="533"/>
  <c r="F62" i="533"/>
  <c r="E62" i="533"/>
  <c r="F59" i="533"/>
  <c r="E59" i="533"/>
  <c r="F58" i="533"/>
  <c r="G57" i="533"/>
  <c r="F57" i="533"/>
  <c r="G56" i="533"/>
  <c r="F56" i="533"/>
  <c r="E56" i="533"/>
  <c r="D56" i="533"/>
  <c r="D57" i="533" s="1"/>
  <c r="D58" i="533" s="1"/>
  <c r="D59" i="533" s="1"/>
  <c r="F55" i="533"/>
  <c r="E55" i="533"/>
  <c r="F54" i="533"/>
  <c r="G53" i="533"/>
  <c r="F53" i="533"/>
  <c r="G52" i="533"/>
  <c r="F52" i="533"/>
  <c r="E52" i="533"/>
  <c r="D52" i="533"/>
  <c r="D53" i="533" s="1"/>
  <c r="O23" i="554"/>
  <c r="E23" i="533"/>
  <c r="E58" i="533" s="1"/>
  <c r="O21" i="554"/>
  <c r="K21" i="554"/>
  <c r="K22" i="553" s="1"/>
  <c r="O22" i="533"/>
  <c r="I21" i="554" s="1"/>
  <c r="I22" i="553" s="1"/>
  <c r="N22" i="533"/>
  <c r="G21" i="554" s="1"/>
  <c r="G22" i="553" s="1"/>
  <c r="M22" i="533"/>
  <c r="E21" i="554" s="1"/>
  <c r="E22" i="553" s="1"/>
  <c r="E22" i="533"/>
  <c r="E57" i="533" s="1"/>
  <c r="O20" i="554"/>
  <c r="K20" i="554"/>
  <c r="K21" i="553" s="1"/>
  <c r="O21" i="533"/>
  <c r="I20" i="554" s="1"/>
  <c r="I21" i="553" s="1"/>
  <c r="N21" i="533"/>
  <c r="G20" i="554" s="1"/>
  <c r="G21" i="553" s="1"/>
  <c r="M21" i="533"/>
  <c r="E20" i="554" s="1"/>
  <c r="E21" i="553" s="1"/>
  <c r="E19" i="533"/>
  <c r="E54" i="533" s="1"/>
  <c r="O17" i="554"/>
  <c r="K17" i="554"/>
  <c r="K18" i="553" s="1"/>
  <c r="O18" i="533"/>
  <c r="I17" i="554" s="1"/>
  <c r="I18" i="553" s="1"/>
  <c r="N18" i="533"/>
  <c r="G17" i="554" s="1"/>
  <c r="G18" i="553" s="1"/>
  <c r="M18" i="533"/>
  <c r="E17" i="554" s="1"/>
  <c r="E18" i="553" s="1"/>
  <c r="E18" i="533"/>
  <c r="E53" i="533" s="1"/>
  <c r="O16" i="554"/>
  <c r="K16" i="554"/>
  <c r="K17" i="553" s="1"/>
  <c r="O17" i="533"/>
  <c r="I16" i="554" s="1"/>
  <c r="I17" i="553" s="1"/>
  <c r="N17" i="533"/>
  <c r="G16" i="554" s="1"/>
  <c r="G17" i="553" s="1"/>
  <c r="M17" i="533"/>
  <c r="E16" i="554" s="1"/>
  <c r="E17" i="553" s="1"/>
  <c r="G65" i="533"/>
  <c r="F65" i="533"/>
  <c r="E65" i="533"/>
  <c r="G64" i="533"/>
  <c r="F64" i="533"/>
  <c r="G63" i="533"/>
  <c r="F63" i="533"/>
  <c r="G61" i="533"/>
  <c r="F61" i="533"/>
  <c r="E61" i="533"/>
  <c r="G60" i="533"/>
  <c r="F60" i="533"/>
  <c r="E60" i="533"/>
  <c r="F51" i="533"/>
  <c r="E51" i="533"/>
  <c r="F50" i="533"/>
  <c r="G49" i="533"/>
  <c r="F49" i="533"/>
  <c r="G48" i="533"/>
  <c r="F48" i="533"/>
  <c r="E48" i="533"/>
  <c r="D49" i="533"/>
  <c r="D50" i="533" s="1"/>
  <c r="D51" i="533" s="1"/>
  <c r="D60" i="533" s="1"/>
  <c r="D61" i="533" s="1"/>
  <c r="D63" i="533" s="1"/>
  <c r="D64" i="533" s="1"/>
  <c r="D65" i="533" s="1"/>
  <c r="B47" i="533"/>
  <c r="K29" i="554"/>
  <c r="K30" i="553" s="1"/>
  <c r="O30" i="533"/>
  <c r="I29" i="554" s="1"/>
  <c r="I30" i="553" s="1"/>
  <c r="N30" i="533"/>
  <c r="G29" i="554" s="1"/>
  <c r="G30" i="553" s="1"/>
  <c r="M30" i="533"/>
  <c r="O29" i="533"/>
  <c r="N29" i="533"/>
  <c r="M29" i="533"/>
  <c r="E29" i="533"/>
  <c r="E64" i="533" s="1"/>
  <c r="O28" i="533"/>
  <c r="N28" i="533"/>
  <c r="M28" i="533"/>
  <c r="E28" i="533"/>
  <c r="E63" i="533" s="1"/>
  <c r="O25" i="554"/>
  <c r="K25" i="554"/>
  <c r="K26" i="553" s="1"/>
  <c r="O26" i="533"/>
  <c r="N26" i="533"/>
  <c r="H26" i="533"/>
  <c r="M26" i="533" s="1"/>
  <c r="O24" i="554"/>
  <c r="K24" i="554"/>
  <c r="K25" i="553" s="1"/>
  <c r="O25" i="533"/>
  <c r="I24" i="554" s="1"/>
  <c r="I25" i="553" s="1"/>
  <c r="N25" i="533"/>
  <c r="G24" i="554" s="1"/>
  <c r="G25" i="553" s="1"/>
  <c r="M25" i="533"/>
  <c r="E24" i="554" s="1"/>
  <c r="E25" i="553" s="1"/>
  <c r="G16" i="533"/>
  <c r="G15" i="533"/>
  <c r="E15" i="533"/>
  <c r="E50" i="533" s="1"/>
  <c r="O13" i="554"/>
  <c r="K13" i="554"/>
  <c r="K14" i="553" s="1"/>
  <c r="O14" i="533"/>
  <c r="I13" i="554" s="1"/>
  <c r="I14" i="553" s="1"/>
  <c r="N14" i="533"/>
  <c r="G13" i="554" s="1"/>
  <c r="G14" i="553" s="1"/>
  <c r="M14" i="533"/>
  <c r="E13" i="554" s="1"/>
  <c r="E14" i="533"/>
  <c r="O12" i="554"/>
  <c r="K12" i="554"/>
  <c r="O13" i="533"/>
  <c r="I12" i="554" s="1"/>
  <c r="N13" i="533"/>
  <c r="G12" i="554" s="1"/>
  <c r="B5" i="531"/>
  <c r="B3" i="533"/>
  <c r="B38" i="533" s="1"/>
  <c r="B2" i="533"/>
  <c r="B37" i="533" s="1"/>
  <c r="B5" i="405" l="1"/>
  <c r="K15" i="552"/>
  <c r="K17" i="552"/>
  <c r="K16" i="552"/>
  <c r="K30" i="567"/>
  <c r="K28" i="567"/>
  <c r="K29" i="567"/>
  <c r="I17" i="552"/>
  <c r="I16" i="552"/>
  <c r="I15" i="552"/>
  <c r="I30" i="567"/>
  <c r="I28" i="567"/>
  <c r="I29" i="567"/>
  <c r="Q15" i="533"/>
  <c r="O14" i="554" s="1"/>
  <c r="G19" i="533"/>
  <c r="G54" i="533" s="1"/>
  <c r="P15" i="533"/>
  <c r="K14" i="554" s="1"/>
  <c r="K15" i="553" s="1"/>
  <c r="Q16" i="533"/>
  <c r="O15" i="554" s="1"/>
  <c r="M15" i="554" s="1"/>
  <c r="M16" i="553" s="1"/>
  <c r="P16" i="533"/>
  <c r="K15" i="554" s="1"/>
  <c r="K16" i="553" s="1"/>
  <c r="L62" i="533"/>
  <c r="L61" i="533"/>
  <c r="Q61" i="533" s="1"/>
  <c r="V61" i="533" s="1"/>
  <c r="I60" i="533"/>
  <c r="N60" i="533" s="1"/>
  <c r="S60" i="533" s="1"/>
  <c r="L56" i="533"/>
  <c r="Q56" i="533" s="1"/>
  <c r="V56" i="533" s="1"/>
  <c r="L57" i="533"/>
  <c r="Q57" i="533" s="1"/>
  <c r="V57" i="533" s="1"/>
  <c r="H53" i="533"/>
  <c r="G11" i="567" s="1"/>
  <c r="G55" i="533"/>
  <c r="H55" i="533" s="1"/>
  <c r="G13" i="567" s="1"/>
  <c r="O19" i="554"/>
  <c r="K49" i="533"/>
  <c r="P49" i="533" s="1"/>
  <c r="O7" i="567" s="1"/>
  <c r="K48" i="533"/>
  <c r="P48" i="533" s="1"/>
  <c r="O6" i="567" s="1"/>
  <c r="L65" i="533"/>
  <c r="Q65" i="533" s="1"/>
  <c r="V65" i="533" s="1"/>
  <c r="K64" i="533"/>
  <c r="P64" i="533" s="1"/>
  <c r="O22" i="567" s="1"/>
  <c r="I63" i="533"/>
  <c r="N63" i="533" s="1"/>
  <c r="S63" i="533" s="1"/>
  <c r="M13" i="554"/>
  <c r="M14" i="553" s="1"/>
  <c r="O14" i="553"/>
  <c r="K13" i="553"/>
  <c r="E26" i="517"/>
  <c r="E25" i="554"/>
  <c r="E26" i="553" s="1"/>
  <c r="F20" i="531"/>
  <c r="F20" i="405" s="1"/>
  <c r="I27" i="554"/>
  <c r="I28" i="553" s="1"/>
  <c r="I28" i="517"/>
  <c r="J21" i="531"/>
  <c r="J21" i="405" s="1"/>
  <c r="O28" i="554"/>
  <c r="M23" i="554"/>
  <c r="M24" i="553" s="1"/>
  <c r="O24" i="553"/>
  <c r="H20" i="531"/>
  <c r="H20" i="405" s="1"/>
  <c r="K27" i="554"/>
  <c r="K28" i="553" s="1"/>
  <c r="K28" i="517"/>
  <c r="I26" i="517"/>
  <c r="I25" i="554"/>
  <c r="I26" i="553" s="1"/>
  <c r="J20" i="531"/>
  <c r="J20" i="405" s="1"/>
  <c r="O27" i="554"/>
  <c r="O28" i="517"/>
  <c r="E16" i="552"/>
  <c r="E17" i="552" s="1"/>
  <c r="E15" i="552"/>
  <c r="M24" i="554"/>
  <c r="M25" i="553" s="1"/>
  <c r="O25" i="553"/>
  <c r="O13" i="553"/>
  <c r="M12" i="554"/>
  <c r="E30" i="517"/>
  <c r="E30" i="501" s="1"/>
  <c r="E29" i="554"/>
  <c r="E30" i="553" s="1"/>
  <c r="E14" i="553"/>
  <c r="M15" i="552"/>
  <c r="M16" i="552"/>
  <c r="M17" i="552" s="1"/>
  <c r="I13" i="553"/>
  <c r="M17" i="554"/>
  <c r="M18" i="553" s="1"/>
  <c r="O18" i="553"/>
  <c r="M25" i="554"/>
  <c r="M26" i="553" s="1"/>
  <c r="O26" i="553"/>
  <c r="B21" i="531"/>
  <c r="B21" i="405" s="1"/>
  <c r="E28" i="554"/>
  <c r="E29" i="553" s="1"/>
  <c r="H21" i="531"/>
  <c r="H21" i="405" s="1"/>
  <c r="K28" i="554"/>
  <c r="K29" i="553" s="1"/>
  <c r="G26" i="517"/>
  <c r="G25" i="554"/>
  <c r="G26" i="553" s="1"/>
  <c r="D21" i="531"/>
  <c r="D21" i="405" s="1"/>
  <c r="G28" i="554"/>
  <c r="G29" i="553" s="1"/>
  <c r="O30" i="517"/>
  <c r="O30" i="501" s="1"/>
  <c r="O29" i="554"/>
  <c r="M21" i="554"/>
  <c r="M22" i="553" s="1"/>
  <c r="O22" i="553"/>
  <c r="D20" i="531"/>
  <c r="D20" i="405" s="1"/>
  <c r="G27" i="554"/>
  <c r="G28" i="553" s="1"/>
  <c r="G28" i="517"/>
  <c r="M20" i="554"/>
  <c r="M21" i="553" s="1"/>
  <c r="O21" i="553"/>
  <c r="O17" i="553"/>
  <c r="M16" i="554"/>
  <c r="M17" i="553" s="1"/>
  <c r="G13" i="553"/>
  <c r="B20" i="531"/>
  <c r="B20" i="405" s="1"/>
  <c r="E27" i="554"/>
  <c r="E28" i="553" s="1"/>
  <c r="E28" i="517"/>
  <c r="F21" i="531"/>
  <c r="F21" i="405" s="1"/>
  <c r="I28" i="554"/>
  <c r="I29" i="553" s="1"/>
  <c r="G15" i="552"/>
  <c r="G16" i="552"/>
  <c r="G17" i="552" s="1"/>
  <c r="O16" i="556"/>
  <c r="O24" i="538"/>
  <c r="M24" i="538" s="1"/>
  <c r="M15" i="556"/>
  <c r="O15" i="555"/>
  <c r="E25" i="517"/>
  <c r="G25" i="517"/>
  <c r="I25" i="517"/>
  <c r="O25" i="517"/>
  <c r="D14" i="531"/>
  <c r="D14" i="405" s="1"/>
  <c r="B6" i="531"/>
  <c r="B6" i="405" s="1"/>
  <c r="B10" i="531"/>
  <c r="B10" i="405" s="1"/>
  <c r="F14" i="531"/>
  <c r="F14" i="405" s="1"/>
  <c r="D6" i="531"/>
  <c r="D6" i="405" s="1"/>
  <c r="D10" i="531"/>
  <c r="D10" i="405" s="1"/>
  <c r="H14" i="531"/>
  <c r="H14" i="405" s="1"/>
  <c r="E17" i="517"/>
  <c r="E16" i="537" s="1"/>
  <c r="F10" i="531"/>
  <c r="F10" i="405" s="1"/>
  <c r="I21" i="517"/>
  <c r="J14" i="531"/>
  <c r="H6" i="531"/>
  <c r="H6" i="405" s="1"/>
  <c r="G17" i="517"/>
  <c r="G16" i="537" s="1"/>
  <c r="H10" i="531"/>
  <c r="H10" i="405" s="1"/>
  <c r="K21" i="517"/>
  <c r="F6" i="531"/>
  <c r="F6" i="405" s="1"/>
  <c r="I13" i="517"/>
  <c r="J6" i="531"/>
  <c r="I17" i="517"/>
  <c r="I16" i="537" s="1"/>
  <c r="J10" i="531"/>
  <c r="O21" i="517"/>
  <c r="J16" i="531"/>
  <c r="O13" i="517"/>
  <c r="O17" i="517"/>
  <c r="O16" i="537" s="1"/>
  <c r="B14" i="531"/>
  <c r="B14" i="405" s="1"/>
  <c r="H56" i="533"/>
  <c r="E14" i="517"/>
  <c r="O22" i="517"/>
  <c r="O14" i="517"/>
  <c r="G29" i="517"/>
  <c r="J57" i="533"/>
  <c r="O57" i="533" s="1"/>
  <c r="E15" i="567" s="1"/>
  <c r="I18" i="517"/>
  <c r="I17" i="537" s="1"/>
  <c r="O16" i="533"/>
  <c r="I15" i="554" s="1"/>
  <c r="I16" i="553" s="1"/>
  <c r="G59" i="533"/>
  <c r="U26" i="533"/>
  <c r="L25" i="554" s="1"/>
  <c r="L26" i="553" s="1"/>
  <c r="H18" i="531"/>
  <c r="H18" i="405" s="1"/>
  <c r="T13" i="533"/>
  <c r="J12" i="554" s="1"/>
  <c r="F5" i="531"/>
  <c r="S25" i="533"/>
  <c r="H24" i="554" s="1"/>
  <c r="H25" i="553" s="1"/>
  <c r="D17" i="531"/>
  <c r="D17" i="405" s="1"/>
  <c r="V26" i="533"/>
  <c r="P25" i="554" s="1"/>
  <c r="J18" i="531"/>
  <c r="J18" i="405" s="1"/>
  <c r="U30" i="533"/>
  <c r="L29" i="554" s="1"/>
  <c r="L30" i="553" s="1"/>
  <c r="H22" i="531"/>
  <c r="H22" i="405" s="1"/>
  <c r="R21" i="533"/>
  <c r="F20" i="554" s="1"/>
  <c r="F21" i="553" s="1"/>
  <c r="B13" i="531"/>
  <c r="B13" i="405" s="1"/>
  <c r="F19" i="531"/>
  <c r="F19" i="405" s="1"/>
  <c r="G14" i="517"/>
  <c r="K18" i="517"/>
  <c r="K17" i="537" s="1"/>
  <c r="G22" i="517"/>
  <c r="K26" i="517"/>
  <c r="I29" i="517"/>
  <c r="T30" i="533"/>
  <c r="J29" i="554" s="1"/>
  <c r="J30" i="553" s="1"/>
  <c r="F22" i="531"/>
  <c r="F22" i="405" s="1"/>
  <c r="V30" i="533"/>
  <c r="P29" i="554" s="1"/>
  <c r="J22" i="531"/>
  <c r="J22" i="405" s="1"/>
  <c r="L49" i="533"/>
  <c r="Q49" i="533" s="1"/>
  <c r="R17" i="533"/>
  <c r="F16" i="554" s="1"/>
  <c r="F17" i="553" s="1"/>
  <c r="B9" i="531"/>
  <c r="B9" i="405" s="1"/>
  <c r="T21" i="533"/>
  <c r="J20" i="554" s="1"/>
  <c r="J21" i="553" s="1"/>
  <c r="F13" i="531"/>
  <c r="F13" i="405" s="1"/>
  <c r="J19" i="531"/>
  <c r="J19" i="405" s="1"/>
  <c r="I14" i="517"/>
  <c r="E18" i="517"/>
  <c r="E17" i="537" s="1"/>
  <c r="O18" i="517"/>
  <c r="O17" i="537" s="1"/>
  <c r="I22" i="517"/>
  <c r="O26" i="517"/>
  <c r="K29" i="517"/>
  <c r="S13" i="533"/>
  <c r="H12" i="554" s="1"/>
  <c r="D5" i="531"/>
  <c r="H19" i="531"/>
  <c r="H19" i="405" s="1"/>
  <c r="U25" i="533"/>
  <c r="L24" i="554" s="1"/>
  <c r="L25" i="553" s="1"/>
  <c r="H17" i="531"/>
  <c r="H17" i="405" s="1"/>
  <c r="S17" i="533"/>
  <c r="H16" i="554" s="1"/>
  <c r="H17" i="553" s="1"/>
  <c r="D9" i="531"/>
  <c r="D9" i="405" s="1"/>
  <c r="U21" i="533"/>
  <c r="L20" i="554" s="1"/>
  <c r="L21" i="553" s="1"/>
  <c r="H13" i="531"/>
  <c r="H13" i="405" s="1"/>
  <c r="E13" i="517"/>
  <c r="E21" i="517"/>
  <c r="I30" i="517"/>
  <c r="S30" i="533"/>
  <c r="H29" i="554" s="1"/>
  <c r="H30" i="553" s="1"/>
  <c r="D22" i="531"/>
  <c r="D22" i="405" s="1"/>
  <c r="V17" i="533"/>
  <c r="P16" i="554" s="1"/>
  <c r="J9" i="531"/>
  <c r="J9" i="405" s="1"/>
  <c r="B19" i="531"/>
  <c r="B19" i="405" s="1"/>
  <c r="E22" i="517"/>
  <c r="U13" i="533"/>
  <c r="L12" i="554" s="1"/>
  <c r="H5" i="531"/>
  <c r="T25" i="533"/>
  <c r="J24" i="554" s="1"/>
  <c r="J25" i="553" s="1"/>
  <c r="F17" i="531"/>
  <c r="F17" i="405" s="1"/>
  <c r="K13" i="517"/>
  <c r="G30" i="517"/>
  <c r="R26" i="533"/>
  <c r="F25" i="554" s="1"/>
  <c r="F26" i="553" s="1"/>
  <c r="B18" i="531"/>
  <c r="B18" i="405" s="1"/>
  <c r="T17" i="533"/>
  <c r="J16" i="554" s="1"/>
  <c r="J17" i="553" s="1"/>
  <c r="F9" i="531"/>
  <c r="F9" i="405" s="1"/>
  <c r="V21" i="533"/>
  <c r="P20" i="554" s="1"/>
  <c r="J13" i="531"/>
  <c r="J13" i="405" s="1"/>
  <c r="H57" i="533"/>
  <c r="K14" i="517"/>
  <c r="G18" i="517"/>
  <c r="G17" i="537" s="1"/>
  <c r="K22" i="517"/>
  <c r="O24" i="517"/>
  <c r="O24" i="540" s="1"/>
  <c r="E29" i="517"/>
  <c r="O29" i="517"/>
  <c r="T26" i="533"/>
  <c r="J25" i="554" s="1"/>
  <c r="J26" i="553" s="1"/>
  <c r="F18" i="531"/>
  <c r="F18" i="405" s="1"/>
  <c r="R25" i="533"/>
  <c r="F24" i="554" s="1"/>
  <c r="F25" i="553" s="1"/>
  <c r="B17" i="531"/>
  <c r="B17" i="405" s="1"/>
  <c r="D19" i="531"/>
  <c r="D19" i="405" s="1"/>
  <c r="S21" i="533"/>
  <c r="H20" i="554" s="1"/>
  <c r="H21" i="553" s="1"/>
  <c r="D13" i="531"/>
  <c r="D13" i="405" s="1"/>
  <c r="V13" i="533"/>
  <c r="P12" i="554" s="1"/>
  <c r="J5" i="531"/>
  <c r="R13" i="533"/>
  <c r="F12" i="554" s="1"/>
  <c r="V25" i="533"/>
  <c r="P24" i="554" s="1"/>
  <c r="J17" i="531"/>
  <c r="J17" i="405" s="1"/>
  <c r="M16" i="533"/>
  <c r="E15" i="554" s="1"/>
  <c r="E16" i="553" s="1"/>
  <c r="S26" i="533"/>
  <c r="H25" i="554" s="1"/>
  <c r="H26" i="553" s="1"/>
  <c r="D18" i="531"/>
  <c r="D18" i="405" s="1"/>
  <c r="R30" i="533"/>
  <c r="F29" i="554" s="1"/>
  <c r="F30" i="553" s="1"/>
  <c r="B22" i="531"/>
  <c r="B22" i="405" s="1"/>
  <c r="U17" i="533"/>
  <c r="L16" i="554" s="1"/>
  <c r="L17" i="553" s="1"/>
  <c r="H9" i="531"/>
  <c r="H9" i="405" s="1"/>
  <c r="I57" i="533"/>
  <c r="G13" i="517"/>
  <c r="K17" i="517"/>
  <c r="K16" i="537" s="1"/>
  <c r="G21" i="517"/>
  <c r="K25" i="517"/>
  <c r="K30" i="517"/>
  <c r="R29" i="533"/>
  <c r="F28" i="554" s="1"/>
  <c r="F29" i="553" s="1"/>
  <c r="N16" i="533"/>
  <c r="G15" i="554" s="1"/>
  <c r="G16" i="553" s="1"/>
  <c r="R28" i="533"/>
  <c r="T29" i="533"/>
  <c r="J28" i="554" s="1"/>
  <c r="J29" i="553" s="1"/>
  <c r="O20" i="533"/>
  <c r="I19" i="554" s="1"/>
  <c r="I20" i="553" s="1"/>
  <c r="K57" i="533"/>
  <c r="P57" i="533" s="1"/>
  <c r="O15" i="567" s="1"/>
  <c r="S28" i="533"/>
  <c r="U29" i="533"/>
  <c r="L28" i="554" s="1"/>
  <c r="L29" i="553" s="1"/>
  <c r="S18" i="533"/>
  <c r="H17" i="554" s="1"/>
  <c r="H18" i="553" s="1"/>
  <c r="S29" i="533"/>
  <c r="H28" i="554" s="1"/>
  <c r="H29" i="553" s="1"/>
  <c r="V29" i="533"/>
  <c r="P28" i="554" s="1"/>
  <c r="J63" i="533"/>
  <c r="O63" i="533" s="1"/>
  <c r="E21" i="567" s="1"/>
  <c r="R22" i="533"/>
  <c r="F21" i="554" s="1"/>
  <c r="F22" i="553" s="1"/>
  <c r="L60" i="533"/>
  <c r="Q60" i="533" s="1"/>
  <c r="U18" i="533"/>
  <c r="L17" i="554" s="1"/>
  <c r="L18" i="553" s="1"/>
  <c r="J60" i="533"/>
  <c r="O60" i="533" s="1"/>
  <c r="E18" i="567" s="1"/>
  <c r="S14" i="533"/>
  <c r="H13" i="554" s="1"/>
  <c r="H14" i="553" s="1"/>
  <c r="V18" i="533"/>
  <c r="P17" i="554" s="1"/>
  <c r="K23" i="554"/>
  <c r="K24" i="553" s="1"/>
  <c r="G51" i="533"/>
  <c r="U14" i="533"/>
  <c r="L13" i="554" s="1"/>
  <c r="L14" i="553" s="1"/>
  <c r="T28" i="533"/>
  <c r="H49" i="533"/>
  <c r="M49" i="533" s="1"/>
  <c r="R18" i="533"/>
  <c r="F17" i="554" s="1"/>
  <c r="F18" i="553" s="1"/>
  <c r="V14" i="533"/>
  <c r="P13" i="554" s="1"/>
  <c r="Q48" i="533"/>
  <c r="U22" i="533"/>
  <c r="L21" i="554" s="1"/>
  <c r="L22" i="553" s="1"/>
  <c r="R14" i="533"/>
  <c r="F13" i="554" s="1"/>
  <c r="F14" i="553" s="1"/>
  <c r="K60" i="533"/>
  <c r="P60" i="533" s="1"/>
  <c r="O18" i="567" s="1"/>
  <c r="K65" i="533"/>
  <c r="P65" i="533" s="1"/>
  <c r="O23" i="567" s="1"/>
  <c r="V22" i="533"/>
  <c r="P21" i="554" s="1"/>
  <c r="I48" i="533"/>
  <c r="N48" i="533" s="1"/>
  <c r="S22" i="533"/>
  <c r="H21" i="554" s="1"/>
  <c r="H22" i="553" s="1"/>
  <c r="J48" i="533"/>
  <c r="D62" i="533"/>
  <c r="D54" i="533"/>
  <c r="D55" i="533" s="1"/>
  <c r="M15" i="533"/>
  <c r="E14" i="554" s="1"/>
  <c r="E15" i="553" s="1"/>
  <c r="U28" i="533"/>
  <c r="I49" i="533"/>
  <c r="N49" i="533" s="1"/>
  <c r="K53" i="533"/>
  <c r="P53" i="533" s="1"/>
  <c r="O11" i="567" s="1"/>
  <c r="I56" i="533"/>
  <c r="N56" i="533" s="1"/>
  <c r="G58" i="533"/>
  <c r="J53" i="533"/>
  <c r="O53" i="533" s="1"/>
  <c r="E11" i="567" s="1"/>
  <c r="N15" i="533"/>
  <c r="G14" i="554" s="1"/>
  <c r="G15" i="553" s="1"/>
  <c r="V28" i="533"/>
  <c r="J49" i="533"/>
  <c r="O49" i="533" s="1"/>
  <c r="E7" i="567" s="1"/>
  <c r="G50" i="533"/>
  <c r="H60" i="533"/>
  <c r="T18" i="533"/>
  <c r="J17" i="554" s="1"/>
  <c r="J18" i="553" s="1"/>
  <c r="T22" i="533"/>
  <c r="J21" i="554" s="1"/>
  <c r="J22" i="553" s="1"/>
  <c r="V24" i="533"/>
  <c r="P23" i="554" s="1"/>
  <c r="L53" i="533"/>
  <c r="Q53" i="533" s="1"/>
  <c r="J56" i="533"/>
  <c r="O56" i="533" s="1"/>
  <c r="E14" i="567" s="1"/>
  <c r="O15" i="533"/>
  <c r="I14" i="554" s="1"/>
  <c r="I15" i="553" s="1"/>
  <c r="H48" i="533"/>
  <c r="M48" i="533" s="1"/>
  <c r="I65" i="533"/>
  <c r="N65" i="533" s="1"/>
  <c r="O24" i="533"/>
  <c r="I23" i="554" s="1"/>
  <c r="I24" i="553" s="1"/>
  <c r="K56" i="533"/>
  <c r="P56" i="533" s="1"/>
  <c r="O14" i="567" s="1"/>
  <c r="T14" i="533"/>
  <c r="J13" i="554" s="1"/>
  <c r="J14" i="553" s="1"/>
  <c r="E49" i="533"/>
  <c r="M23" i="533"/>
  <c r="E22" i="554" s="1"/>
  <c r="E23" i="553" s="1"/>
  <c r="N23" i="533"/>
  <c r="G22" i="554" s="1"/>
  <c r="G23" i="553" s="1"/>
  <c r="O23" i="533"/>
  <c r="I22" i="554" s="1"/>
  <c r="I23" i="553" s="1"/>
  <c r="I53" i="533"/>
  <c r="N53" i="533" s="1"/>
  <c r="H62" i="533"/>
  <c r="I62" i="533"/>
  <c r="J62" i="533"/>
  <c r="O62" i="533" s="1"/>
  <c r="E20" i="567" s="1"/>
  <c r="K62" i="533"/>
  <c r="H52" i="533"/>
  <c r="I52" i="533"/>
  <c r="N52" i="533" s="1"/>
  <c r="J52" i="533"/>
  <c r="O52" i="533" s="1"/>
  <c r="E10" i="567" s="1"/>
  <c r="K63" i="533"/>
  <c r="P63" i="533" s="1"/>
  <c r="O21" i="567" s="1"/>
  <c r="H65" i="533"/>
  <c r="K52" i="533"/>
  <c r="P52" i="533" s="1"/>
  <c r="O10" i="567" s="1"/>
  <c r="L52" i="533"/>
  <c r="Q52" i="533" s="1"/>
  <c r="H63" i="533"/>
  <c r="I64" i="533"/>
  <c r="N64" i="533" s="1"/>
  <c r="L64" i="533"/>
  <c r="Q64" i="533" s="1"/>
  <c r="K22" i="554"/>
  <c r="K23" i="553" s="1"/>
  <c r="O22" i="554"/>
  <c r="M24" i="533"/>
  <c r="E23" i="554" s="1"/>
  <c r="E24" i="553" s="1"/>
  <c r="N24" i="533"/>
  <c r="G23" i="554" s="1"/>
  <c r="G24" i="553" s="1"/>
  <c r="K19" i="554"/>
  <c r="K20" i="553" s="1"/>
  <c r="H61" i="533"/>
  <c r="I61" i="533"/>
  <c r="N61" i="533" s="1"/>
  <c r="L63" i="533"/>
  <c r="Q63" i="533" s="1"/>
  <c r="H64" i="533"/>
  <c r="J65" i="533"/>
  <c r="O65" i="533" s="1"/>
  <c r="E23" i="567" s="1"/>
  <c r="J61" i="533"/>
  <c r="O61" i="533" s="1"/>
  <c r="E19" i="567" s="1"/>
  <c r="K61" i="533"/>
  <c r="P61" i="533" s="1"/>
  <c r="O19" i="567" s="1"/>
  <c r="J64" i="533"/>
  <c r="O64" i="533" s="1"/>
  <c r="E22" i="567" s="1"/>
  <c r="M20" i="533"/>
  <c r="E19" i="554" s="1"/>
  <c r="E20" i="553" s="1"/>
  <c r="N20" i="533"/>
  <c r="G19" i="554" s="1"/>
  <c r="G20" i="553" s="1"/>
  <c r="O48" i="533" l="1"/>
  <c r="E6" i="567" s="1"/>
  <c r="Q62" i="533"/>
  <c r="V62" i="533" s="1"/>
  <c r="N62" i="533"/>
  <c r="N19" i="533"/>
  <c r="G18" i="554" s="1"/>
  <c r="G19" i="553" s="1"/>
  <c r="G63" i="553" s="1"/>
  <c r="J5" i="405"/>
  <c r="O19" i="533"/>
  <c r="I18" i="554" s="1"/>
  <c r="I19" i="553" s="1"/>
  <c r="M19" i="533"/>
  <c r="E18" i="554" s="1"/>
  <c r="E19" i="553" s="1"/>
  <c r="E63" i="553" s="1"/>
  <c r="H5" i="405"/>
  <c r="D5" i="405"/>
  <c r="F5" i="405"/>
  <c r="K55" i="533"/>
  <c r="P55" i="533" s="1"/>
  <c r="O13" i="567" s="1"/>
  <c r="O16" i="517"/>
  <c r="O15" i="536" s="1"/>
  <c r="J8" i="531"/>
  <c r="J8" i="405" s="1"/>
  <c r="J55" i="533"/>
  <c r="O55" i="533" s="1"/>
  <c r="E13" i="567" s="1"/>
  <c r="L55" i="533"/>
  <c r="Q55" i="533" s="1"/>
  <c r="V55" i="533" s="1"/>
  <c r="I55" i="533"/>
  <c r="N55" i="533" s="1"/>
  <c r="S55" i="533" s="1"/>
  <c r="V16" i="533"/>
  <c r="P15" i="554" s="1"/>
  <c r="N15" i="554" s="1"/>
  <c r="N16" i="553" s="1"/>
  <c r="P62" i="533"/>
  <c r="O20" i="567" s="1"/>
  <c r="I54" i="533"/>
  <c r="J54" i="533"/>
  <c r="O54" i="533" s="1"/>
  <c r="E12" i="567" s="1"/>
  <c r="K54" i="533"/>
  <c r="P54" i="533" s="1"/>
  <c r="O12" i="567" s="1"/>
  <c r="H54" i="533"/>
  <c r="G12" i="567" s="1"/>
  <c r="M64" i="533"/>
  <c r="C22" i="567" s="1"/>
  <c r="G22" i="567"/>
  <c r="M62" i="533"/>
  <c r="G20" i="567"/>
  <c r="M56" i="533"/>
  <c r="C14" i="567" s="1"/>
  <c r="G14" i="567"/>
  <c r="M57" i="533"/>
  <c r="G15" i="567"/>
  <c r="M65" i="533"/>
  <c r="C23" i="567" s="1"/>
  <c r="G23" i="567"/>
  <c r="M52" i="533"/>
  <c r="C10" i="567" s="1"/>
  <c r="G10" i="567"/>
  <c r="C6" i="567"/>
  <c r="G6" i="567"/>
  <c r="C7" i="567"/>
  <c r="G7" i="567"/>
  <c r="M60" i="533"/>
  <c r="C18" i="567" s="1"/>
  <c r="G18" i="567"/>
  <c r="M61" i="533"/>
  <c r="C19" i="567" s="1"/>
  <c r="G19" i="567"/>
  <c r="M63" i="533"/>
  <c r="C21" i="567" s="1"/>
  <c r="G21" i="567"/>
  <c r="Q19" i="533"/>
  <c r="O18" i="554" s="1"/>
  <c r="O19" i="553" s="1"/>
  <c r="P19" i="533"/>
  <c r="K18" i="554" s="1"/>
  <c r="K19" i="553" s="1"/>
  <c r="J59" i="533"/>
  <c r="O59" i="533" s="1"/>
  <c r="E17" i="567" s="1"/>
  <c r="N57" i="533"/>
  <c r="S57" i="533" s="1"/>
  <c r="M53" i="533"/>
  <c r="M55" i="533"/>
  <c r="L54" i="533"/>
  <c r="Q54" i="533" s="1"/>
  <c r="V54" i="533" s="1"/>
  <c r="N54" i="533"/>
  <c r="U15" i="533"/>
  <c r="L14" i="554" s="1"/>
  <c r="L15" i="553" s="1"/>
  <c r="K15" i="517"/>
  <c r="K15" i="501" s="1"/>
  <c r="H7" i="531"/>
  <c r="H7" i="405" s="1"/>
  <c r="H51" i="533"/>
  <c r="G9" i="567" s="1"/>
  <c r="O16" i="553"/>
  <c r="L21" i="531"/>
  <c r="L21" i="405" s="1"/>
  <c r="N21" i="531"/>
  <c r="N21" i="405" s="1"/>
  <c r="L20" i="531"/>
  <c r="L20" i="405" s="1"/>
  <c r="N20" i="531"/>
  <c r="N20" i="405" s="1"/>
  <c r="G28" i="501"/>
  <c r="G17" i="536"/>
  <c r="G20" i="537"/>
  <c r="G28" i="540"/>
  <c r="O15" i="553"/>
  <c r="M14" i="554"/>
  <c r="M15" i="553" s="1"/>
  <c r="P27" i="554"/>
  <c r="P28" i="517"/>
  <c r="N28" i="517" s="1"/>
  <c r="J27" i="554"/>
  <c r="J28" i="553" s="1"/>
  <c r="J28" i="517"/>
  <c r="K19" i="536"/>
  <c r="K22" i="537"/>
  <c r="K30" i="540"/>
  <c r="F13" i="553"/>
  <c r="K13" i="538"/>
  <c r="K13" i="537"/>
  <c r="K14" i="540"/>
  <c r="K13" i="536"/>
  <c r="I19" i="536"/>
  <c r="I22" i="537"/>
  <c r="I30" i="540"/>
  <c r="O17" i="538"/>
  <c r="O18" i="540"/>
  <c r="K26" i="501"/>
  <c r="K19" i="537"/>
  <c r="K21" i="538"/>
  <c r="K26" i="540"/>
  <c r="T57" i="533"/>
  <c r="F15" i="567" s="1"/>
  <c r="E17" i="501"/>
  <c r="E16" i="538"/>
  <c r="E17" i="540"/>
  <c r="O18" i="537"/>
  <c r="O20" i="538"/>
  <c r="O16" i="536"/>
  <c r="O25" i="540"/>
  <c r="L13" i="553"/>
  <c r="E21" i="501"/>
  <c r="E21" i="540"/>
  <c r="E18" i="501"/>
  <c r="E17" i="538"/>
  <c r="E18" i="540"/>
  <c r="G22" i="501"/>
  <c r="G22" i="540"/>
  <c r="O12" i="537"/>
  <c r="O12" i="536"/>
  <c r="O12" i="538"/>
  <c r="O13" i="540"/>
  <c r="K21" i="501"/>
  <c r="K21" i="540"/>
  <c r="I25" i="501"/>
  <c r="I18" i="537"/>
  <c r="I20" i="538"/>
  <c r="I16" i="536"/>
  <c r="I25" i="540"/>
  <c r="E7" i="552"/>
  <c r="G7" i="552"/>
  <c r="I22" i="501"/>
  <c r="I22" i="540"/>
  <c r="M27" i="554"/>
  <c r="M28" i="553" s="1"/>
  <c r="O28" i="553"/>
  <c r="K25" i="501"/>
  <c r="K16" i="536"/>
  <c r="K18" i="537"/>
  <c r="K20" i="538"/>
  <c r="K25" i="540"/>
  <c r="N23" i="554"/>
  <c r="N24" i="553" s="1"/>
  <c r="P24" i="553"/>
  <c r="T53" i="533"/>
  <c r="F11" i="567" s="1"/>
  <c r="U57" i="533"/>
  <c r="P15" i="567" s="1"/>
  <c r="G21" i="501"/>
  <c r="G21" i="540"/>
  <c r="P13" i="553"/>
  <c r="N12" i="554"/>
  <c r="O18" i="536"/>
  <c r="O21" i="537"/>
  <c r="O29" i="540"/>
  <c r="E22" i="501"/>
  <c r="E22" i="540"/>
  <c r="E12" i="537"/>
  <c r="E12" i="536"/>
  <c r="E12" i="538"/>
  <c r="E13" i="540"/>
  <c r="I13" i="537"/>
  <c r="I13" i="536"/>
  <c r="I13" i="538"/>
  <c r="I14" i="540"/>
  <c r="N29" i="554"/>
  <c r="N30" i="553" s="1"/>
  <c r="P30" i="553"/>
  <c r="K18" i="501"/>
  <c r="K17" i="538"/>
  <c r="K18" i="540"/>
  <c r="G18" i="536"/>
  <c r="G21" i="537"/>
  <c r="G29" i="540"/>
  <c r="L16" i="531"/>
  <c r="L16" i="405" s="1"/>
  <c r="J16" i="405"/>
  <c r="G25" i="501"/>
  <c r="G18" i="537"/>
  <c r="G20" i="538"/>
  <c r="G16" i="536"/>
  <c r="G25" i="540"/>
  <c r="E66" i="554"/>
  <c r="I26" i="501"/>
  <c r="I19" i="537"/>
  <c r="I21" i="538"/>
  <c r="I26" i="540"/>
  <c r="E26" i="501"/>
  <c r="E26" i="540"/>
  <c r="E21" i="538"/>
  <c r="E19" i="537"/>
  <c r="N21" i="554"/>
  <c r="N22" i="553" s="1"/>
  <c r="P22" i="553"/>
  <c r="N24" i="554"/>
  <c r="N25" i="553" s="1"/>
  <c r="P25" i="553"/>
  <c r="O16" i="538"/>
  <c r="O17" i="540"/>
  <c r="M22" i="554"/>
  <c r="M23" i="553" s="1"/>
  <c r="O23" i="553"/>
  <c r="U60" i="533"/>
  <c r="P18" i="567" s="1"/>
  <c r="H27" i="554"/>
  <c r="H28" i="553" s="1"/>
  <c r="H28" i="517"/>
  <c r="K17" i="501"/>
  <c r="K16" i="538"/>
  <c r="K17" i="540"/>
  <c r="E21" i="537"/>
  <c r="E18" i="536"/>
  <c r="E29" i="540"/>
  <c r="P21" i="553"/>
  <c r="N20" i="554"/>
  <c r="N21" i="553" s="1"/>
  <c r="G13" i="537"/>
  <c r="G13" i="536"/>
  <c r="G13" i="538"/>
  <c r="G14" i="540"/>
  <c r="N25" i="554"/>
  <c r="N26" i="553" s="1"/>
  <c r="P26" i="553"/>
  <c r="U64" i="533"/>
  <c r="P22" i="567" s="1"/>
  <c r="O9" i="552"/>
  <c r="O21" i="540"/>
  <c r="G17" i="501"/>
  <c r="G16" i="538"/>
  <c r="G17" i="540"/>
  <c r="E25" i="501"/>
  <c r="E18" i="537"/>
  <c r="E16" i="536"/>
  <c r="E20" i="538"/>
  <c r="E25" i="540"/>
  <c r="G26" i="501"/>
  <c r="G19" i="537"/>
  <c r="G21" i="538"/>
  <c r="G26" i="540"/>
  <c r="K63" i="553"/>
  <c r="J13" i="553"/>
  <c r="M13" i="553"/>
  <c r="G10" i="552"/>
  <c r="O20" i="553"/>
  <c r="M19" i="554"/>
  <c r="M20" i="553" s="1"/>
  <c r="N28" i="554"/>
  <c r="N29" i="553" s="1"/>
  <c r="P29" i="553"/>
  <c r="G12" i="537"/>
  <c r="G12" i="536"/>
  <c r="G12" i="538"/>
  <c r="G13" i="540"/>
  <c r="G22" i="537"/>
  <c r="G19" i="536"/>
  <c r="G30" i="540"/>
  <c r="H13" i="553"/>
  <c r="O13" i="537"/>
  <c r="O13" i="536"/>
  <c r="O13" i="538"/>
  <c r="O14" i="540"/>
  <c r="O7" i="552"/>
  <c r="N10" i="531"/>
  <c r="N10" i="405" s="1"/>
  <c r="J10" i="405"/>
  <c r="M28" i="554"/>
  <c r="M29" i="553" s="1"/>
  <c r="O29" i="553"/>
  <c r="L27" i="554"/>
  <c r="L28" i="553" s="1"/>
  <c r="L28" i="517"/>
  <c r="I12" i="538"/>
  <c r="I12" i="537"/>
  <c r="I12" i="536"/>
  <c r="I13" i="540"/>
  <c r="O22" i="537"/>
  <c r="O19" i="536"/>
  <c r="O30" i="540"/>
  <c r="G8" i="552"/>
  <c r="N13" i="554"/>
  <c r="N14" i="553" s="1"/>
  <c r="P14" i="553"/>
  <c r="F27" i="554"/>
  <c r="F28" i="553" s="1"/>
  <c r="F28" i="517"/>
  <c r="K22" i="501"/>
  <c r="K22" i="540"/>
  <c r="K12" i="538"/>
  <c r="K12" i="537"/>
  <c r="K12" i="536"/>
  <c r="K13" i="540"/>
  <c r="P17" i="553"/>
  <c r="N16" i="554"/>
  <c r="N17" i="553" s="1"/>
  <c r="K21" i="537"/>
  <c r="K29" i="540"/>
  <c r="K18" i="536"/>
  <c r="O22" i="540"/>
  <c r="U48" i="533"/>
  <c r="P6" i="567" s="1"/>
  <c r="O6" i="552"/>
  <c r="I17" i="501"/>
  <c r="I16" i="538"/>
  <c r="I17" i="540"/>
  <c r="L14" i="531"/>
  <c r="L14" i="405" s="1"/>
  <c r="J14" i="405"/>
  <c r="M30" i="517"/>
  <c r="M30" i="501" s="1"/>
  <c r="E17" i="536"/>
  <c r="E28" i="501"/>
  <c r="E20" i="537"/>
  <c r="E28" i="540"/>
  <c r="K20" i="537"/>
  <c r="K17" i="536"/>
  <c r="K28" i="501"/>
  <c r="K28" i="540"/>
  <c r="I18" i="536"/>
  <c r="I21" i="537"/>
  <c r="I29" i="540"/>
  <c r="G9" i="552"/>
  <c r="N17" i="554"/>
  <c r="N18" i="553" s="1"/>
  <c r="P18" i="553"/>
  <c r="G6" i="552"/>
  <c r="G18" i="501"/>
  <c r="G17" i="538"/>
  <c r="G18" i="540"/>
  <c r="O19" i="537"/>
  <c r="O21" i="538"/>
  <c r="O26" i="540"/>
  <c r="I18" i="501"/>
  <c r="I17" i="538"/>
  <c r="I18" i="540"/>
  <c r="E13" i="538"/>
  <c r="E13" i="537"/>
  <c r="E13" i="536"/>
  <c r="E14" i="540"/>
  <c r="N6" i="531"/>
  <c r="N6" i="405" s="1"/>
  <c r="J6" i="405"/>
  <c r="I21" i="501"/>
  <c r="I21" i="540"/>
  <c r="M29" i="554"/>
  <c r="M30" i="553" s="1"/>
  <c r="O30" i="553"/>
  <c r="E22" i="537"/>
  <c r="E30" i="540"/>
  <c r="E19" i="536"/>
  <c r="O28" i="501"/>
  <c r="O17" i="536"/>
  <c r="O20" i="537"/>
  <c r="O28" i="540"/>
  <c r="M28" i="517"/>
  <c r="I20" i="537"/>
  <c r="I28" i="501"/>
  <c r="I17" i="536"/>
  <c r="I28" i="540"/>
  <c r="M15" i="555"/>
  <c r="M16" i="556"/>
  <c r="M16" i="555" s="1"/>
  <c r="O16" i="555"/>
  <c r="O17" i="556"/>
  <c r="O58" i="556" s="1"/>
  <c r="O25" i="538"/>
  <c r="M25" i="538" s="1"/>
  <c r="K14" i="501"/>
  <c r="I30" i="501"/>
  <c r="K29" i="501"/>
  <c r="G14" i="501"/>
  <c r="G29" i="501"/>
  <c r="I13" i="501"/>
  <c r="G13" i="501"/>
  <c r="E29" i="501"/>
  <c r="G30" i="501"/>
  <c r="I14" i="501"/>
  <c r="E14" i="501"/>
  <c r="K30" i="501"/>
  <c r="K13" i="501"/>
  <c r="E13" i="501"/>
  <c r="I29" i="501"/>
  <c r="M24" i="517"/>
  <c r="O24" i="501"/>
  <c r="M22" i="517"/>
  <c r="O22" i="501"/>
  <c r="M13" i="517"/>
  <c r="O13" i="501"/>
  <c r="M18" i="517"/>
  <c r="M17" i="537" s="1"/>
  <c r="O18" i="501"/>
  <c r="M27" i="517"/>
  <c r="M14" i="517"/>
  <c r="O14" i="501"/>
  <c r="M21" i="517"/>
  <c r="O21" i="501"/>
  <c r="M29" i="517"/>
  <c r="O29" i="501"/>
  <c r="M26" i="517"/>
  <c r="O26" i="501"/>
  <c r="M17" i="517"/>
  <c r="M16" i="537" s="1"/>
  <c r="O17" i="501"/>
  <c r="M25" i="517"/>
  <c r="O25" i="501"/>
  <c r="N14" i="531"/>
  <c r="N14" i="405" s="1"/>
  <c r="H59" i="533"/>
  <c r="R16" i="533"/>
  <c r="F15" i="554" s="1"/>
  <c r="F16" i="553" s="1"/>
  <c r="L59" i="533"/>
  <c r="Q59" i="533" s="1"/>
  <c r="N16" i="531"/>
  <c r="N16" i="405" s="1"/>
  <c r="L6" i="531"/>
  <c r="L6" i="405" s="1"/>
  <c r="K59" i="533"/>
  <c r="P59" i="533" s="1"/>
  <c r="O17" i="567" s="1"/>
  <c r="I59" i="533"/>
  <c r="N59" i="533" s="1"/>
  <c r="S59" i="533" s="1"/>
  <c r="L10" i="531"/>
  <c r="L10" i="405" s="1"/>
  <c r="F8" i="531"/>
  <c r="F8" i="405" s="1"/>
  <c r="T23" i="533"/>
  <c r="J22" i="554" s="1"/>
  <c r="J23" i="553" s="1"/>
  <c r="U24" i="533"/>
  <c r="U49" i="533"/>
  <c r="P7" i="567" s="1"/>
  <c r="T16" i="533"/>
  <c r="J15" i="554" s="1"/>
  <c r="J16" i="553" s="1"/>
  <c r="J51" i="533"/>
  <c r="O51" i="533" s="1"/>
  <c r="E9" i="567" s="1"/>
  <c r="I16" i="517"/>
  <c r="I15" i="536" s="1"/>
  <c r="S62" i="533"/>
  <c r="F16" i="531"/>
  <c r="F16" i="405" s="1"/>
  <c r="I24" i="517"/>
  <c r="K14" i="531"/>
  <c r="K14" i="405" s="1"/>
  <c r="P22" i="517"/>
  <c r="V23" i="533"/>
  <c r="P22" i="554" s="1"/>
  <c r="J15" i="531"/>
  <c r="J15" i="405" s="1"/>
  <c r="O23" i="517"/>
  <c r="V20" i="533"/>
  <c r="P19" i="554" s="1"/>
  <c r="J12" i="531"/>
  <c r="J12" i="405" s="1"/>
  <c r="O20" i="517"/>
  <c r="C17" i="531"/>
  <c r="C17" i="405" s="1"/>
  <c r="F25" i="517"/>
  <c r="E9" i="531"/>
  <c r="E9" i="405" s="1"/>
  <c r="H17" i="517"/>
  <c r="H16" i="537" s="1"/>
  <c r="L19" i="531"/>
  <c r="L19" i="405" s="1"/>
  <c r="N19" i="531"/>
  <c r="N19" i="405" s="1"/>
  <c r="G19" i="531"/>
  <c r="G19" i="405" s="1"/>
  <c r="T24" i="533"/>
  <c r="J23" i="554" s="1"/>
  <c r="J24" i="553" s="1"/>
  <c r="K16" i="531"/>
  <c r="K16" i="405" s="1"/>
  <c r="P24" i="517"/>
  <c r="P24" i="540" s="1"/>
  <c r="S56" i="533"/>
  <c r="K21" i="531"/>
  <c r="K21" i="405" s="1"/>
  <c r="P29" i="517"/>
  <c r="G21" i="531"/>
  <c r="G21" i="405" s="1"/>
  <c r="J29" i="517"/>
  <c r="G9" i="531"/>
  <c r="G9" i="405" s="1"/>
  <c r="J17" i="517"/>
  <c r="J16" i="537" s="1"/>
  <c r="K9" i="531"/>
  <c r="K9" i="405" s="1"/>
  <c r="P17" i="517"/>
  <c r="P16" i="537" s="1"/>
  <c r="K19" i="531"/>
  <c r="K19" i="405" s="1"/>
  <c r="R24" i="533"/>
  <c r="F23" i="554" s="1"/>
  <c r="F24" i="553" s="1"/>
  <c r="B16" i="531"/>
  <c r="B16" i="405" s="1"/>
  <c r="E24" i="517"/>
  <c r="C14" i="531"/>
  <c r="C14" i="405" s="1"/>
  <c r="F22" i="517"/>
  <c r="S23" i="533"/>
  <c r="H22" i="554" s="1"/>
  <c r="H23" i="553" s="1"/>
  <c r="D15" i="531"/>
  <c r="D15" i="405" s="1"/>
  <c r="G23" i="517"/>
  <c r="R23" i="533"/>
  <c r="F22" i="554" s="1"/>
  <c r="F23" i="553" s="1"/>
  <c r="B15" i="531"/>
  <c r="B15" i="405" s="1"/>
  <c r="E23" i="517"/>
  <c r="C20" i="531"/>
  <c r="C20" i="405" s="1"/>
  <c r="E18" i="531"/>
  <c r="E18" i="405" s="1"/>
  <c r="H26" i="517"/>
  <c r="E5" i="531"/>
  <c r="H13" i="517"/>
  <c r="E17" i="531"/>
  <c r="E17" i="405" s="1"/>
  <c r="H25" i="517"/>
  <c r="G10" i="531"/>
  <c r="G10" i="405" s="1"/>
  <c r="J18" i="517"/>
  <c r="J17" i="537" s="1"/>
  <c r="K20" i="531"/>
  <c r="K20" i="405" s="1"/>
  <c r="R15" i="533"/>
  <c r="F14" i="554" s="1"/>
  <c r="F15" i="553" s="1"/>
  <c r="B7" i="531"/>
  <c r="B7" i="405" s="1"/>
  <c r="E15" i="517"/>
  <c r="E14" i="536" s="1"/>
  <c r="S48" i="533"/>
  <c r="C6" i="531"/>
  <c r="C6" i="405" s="1"/>
  <c r="F14" i="517"/>
  <c r="I10" i="531"/>
  <c r="I10" i="405" s="1"/>
  <c r="L18" i="517"/>
  <c r="L17" i="537" s="1"/>
  <c r="E21" i="531"/>
  <c r="E21" i="405" s="1"/>
  <c r="H29" i="517"/>
  <c r="S16" i="533"/>
  <c r="H15" i="554" s="1"/>
  <c r="H16" i="553" s="1"/>
  <c r="D8" i="531"/>
  <c r="D8" i="405" s="1"/>
  <c r="G16" i="517"/>
  <c r="G15" i="536" s="1"/>
  <c r="B8" i="531"/>
  <c r="B8" i="405" s="1"/>
  <c r="E16" i="517"/>
  <c r="E15" i="536" s="1"/>
  <c r="I18" i="531"/>
  <c r="I18" i="405" s="1"/>
  <c r="L26" i="517"/>
  <c r="S52" i="533"/>
  <c r="L5" i="531"/>
  <c r="N5" i="531"/>
  <c r="R19" i="533"/>
  <c r="F18" i="554" s="1"/>
  <c r="F19" i="553" s="1"/>
  <c r="B11" i="531"/>
  <c r="B11" i="405" s="1"/>
  <c r="E19" i="517"/>
  <c r="C10" i="531"/>
  <c r="C10" i="405" s="1"/>
  <c r="F18" i="517"/>
  <c r="F17" i="537" s="1"/>
  <c r="T20" i="533"/>
  <c r="J19" i="554" s="1"/>
  <c r="J20" i="553" s="1"/>
  <c r="F12" i="531"/>
  <c r="F12" i="405" s="1"/>
  <c r="I20" i="517"/>
  <c r="C22" i="531"/>
  <c r="C22" i="405" s="1"/>
  <c r="F30" i="517"/>
  <c r="G14" i="531"/>
  <c r="G14" i="405" s="1"/>
  <c r="J22" i="517"/>
  <c r="L15" i="517"/>
  <c r="L14" i="536" s="1"/>
  <c r="G20" i="531"/>
  <c r="G20" i="405" s="1"/>
  <c r="U16" i="533"/>
  <c r="L15" i="554" s="1"/>
  <c r="L16" i="553" s="1"/>
  <c r="H8" i="531"/>
  <c r="H8" i="405" s="1"/>
  <c r="K16" i="517"/>
  <c r="K15" i="536" s="1"/>
  <c r="G17" i="531"/>
  <c r="G17" i="405" s="1"/>
  <c r="J25" i="517"/>
  <c r="U20" i="533"/>
  <c r="L19" i="554" s="1"/>
  <c r="L20" i="553" s="1"/>
  <c r="H12" i="531"/>
  <c r="H12" i="405" s="1"/>
  <c r="K20" i="517"/>
  <c r="V63" i="533"/>
  <c r="V64" i="533"/>
  <c r="V52" i="533"/>
  <c r="V15" i="533"/>
  <c r="P14" i="554" s="1"/>
  <c r="J7" i="531"/>
  <c r="J7" i="405" s="1"/>
  <c r="O15" i="517"/>
  <c r="O14" i="536" s="1"/>
  <c r="S15" i="533"/>
  <c r="H14" i="554" s="1"/>
  <c r="H15" i="553" s="1"/>
  <c r="D7" i="531"/>
  <c r="D7" i="405" s="1"/>
  <c r="G15" i="517"/>
  <c r="G14" i="536" s="1"/>
  <c r="I51" i="533"/>
  <c r="N51" i="533" s="1"/>
  <c r="I14" i="531"/>
  <c r="I14" i="405" s="1"/>
  <c r="L22" i="517"/>
  <c r="V60" i="533"/>
  <c r="E10" i="531"/>
  <c r="E10" i="405" s="1"/>
  <c r="H18" i="517"/>
  <c r="H17" i="537" s="1"/>
  <c r="I9" i="531"/>
  <c r="I9" i="405" s="1"/>
  <c r="L17" i="517"/>
  <c r="L16" i="537" s="1"/>
  <c r="L17" i="531"/>
  <c r="L17" i="405" s="1"/>
  <c r="N17" i="531"/>
  <c r="N17" i="405" s="1"/>
  <c r="E19" i="531"/>
  <c r="E19" i="405" s="1"/>
  <c r="G18" i="531"/>
  <c r="G18" i="405" s="1"/>
  <c r="J26" i="517"/>
  <c r="L13" i="531"/>
  <c r="L13" i="405" s="1"/>
  <c r="N13" i="531"/>
  <c r="N13" i="405" s="1"/>
  <c r="I5" i="531"/>
  <c r="L13" i="517"/>
  <c r="I19" i="531"/>
  <c r="I19" i="405" s="1"/>
  <c r="N22" i="531"/>
  <c r="N22" i="405" s="1"/>
  <c r="L22" i="531"/>
  <c r="L22" i="405" s="1"/>
  <c r="G5" i="531"/>
  <c r="J13" i="517"/>
  <c r="S20" i="533"/>
  <c r="H19" i="554" s="1"/>
  <c r="H20" i="553" s="1"/>
  <c r="D12" i="531"/>
  <c r="D12" i="405" s="1"/>
  <c r="G20" i="517"/>
  <c r="F15" i="531"/>
  <c r="F15" i="405" s="1"/>
  <c r="I23" i="517"/>
  <c r="C19" i="531"/>
  <c r="C19" i="405" s="1"/>
  <c r="C9" i="531"/>
  <c r="C9" i="405" s="1"/>
  <c r="F17" i="517"/>
  <c r="F16" i="537" s="1"/>
  <c r="N18" i="531"/>
  <c r="N18" i="405" s="1"/>
  <c r="L18" i="531"/>
  <c r="L18" i="405" s="1"/>
  <c r="V53" i="533"/>
  <c r="I20" i="531"/>
  <c r="I20" i="405" s="1"/>
  <c r="R20" i="533"/>
  <c r="F19" i="554" s="1"/>
  <c r="F20" i="553" s="1"/>
  <c r="B12" i="531"/>
  <c r="B12" i="405" s="1"/>
  <c r="E20" i="517"/>
  <c r="E13" i="531"/>
  <c r="E13" i="405" s="1"/>
  <c r="H21" i="517"/>
  <c r="G6" i="531"/>
  <c r="G6" i="405" s="1"/>
  <c r="J14" i="517"/>
  <c r="V48" i="533"/>
  <c r="I6" i="531"/>
  <c r="I6" i="405" s="1"/>
  <c r="L14" i="517"/>
  <c r="H16" i="531"/>
  <c r="H16" i="405" s="1"/>
  <c r="K24" i="517"/>
  <c r="I21" i="531"/>
  <c r="I21" i="405" s="1"/>
  <c r="L29" i="517"/>
  <c r="C21" i="531"/>
  <c r="C21" i="405" s="1"/>
  <c r="F29" i="517"/>
  <c r="K17" i="531"/>
  <c r="K17" i="405" s="1"/>
  <c r="P25" i="517"/>
  <c r="K13" i="531"/>
  <c r="K13" i="405" s="1"/>
  <c r="P21" i="517"/>
  <c r="E22" i="531"/>
  <c r="E22" i="405" s="1"/>
  <c r="H30" i="517"/>
  <c r="G13" i="531"/>
  <c r="G13" i="405" s="1"/>
  <c r="J21" i="517"/>
  <c r="K22" i="531"/>
  <c r="K22" i="405" s="1"/>
  <c r="P30" i="517"/>
  <c r="G22" i="531"/>
  <c r="G22" i="405" s="1"/>
  <c r="J30" i="517"/>
  <c r="E6" i="531"/>
  <c r="E6" i="405" s="1"/>
  <c r="H14" i="517"/>
  <c r="K5" i="531"/>
  <c r="P13" i="517"/>
  <c r="L9" i="531"/>
  <c r="L9" i="405" s="1"/>
  <c r="N9" i="531"/>
  <c r="N9" i="405" s="1"/>
  <c r="K18" i="531"/>
  <c r="K18" i="405" s="1"/>
  <c r="P26" i="517"/>
  <c r="U23" i="533"/>
  <c r="L22" i="554" s="1"/>
  <c r="L23" i="553" s="1"/>
  <c r="H15" i="531"/>
  <c r="H15" i="405" s="1"/>
  <c r="K23" i="517"/>
  <c r="S65" i="533"/>
  <c r="E14" i="531"/>
  <c r="E14" i="405" s="1"/>
  <c r="H22" i="517"/>
  <c r="I17" i="531"/>
  <c r="I17" i="405" s="1"/>
  <c r="L25" i="517"/>
  <c r="C13" i="531"/>
  <c r="C13" i="405" s="1"/>
  <c r="F21" i="517"/>
  <c r="S61" i="533"/>
  <c r="S24" i="533"/>
  <c r="H23" i="554" s="1"/>
  <c r="H24" i="553" s="1"/>
  <c r="D16" i="531"/>
  <c r="D16" i="405" s="1"/>
  <c r="G24" i="517"/>
  <c r="D11" i="531"/>
  <c r="D11" i="405" s="1"/>
  <c r="G19" i="517"/>
  <c r="S64" i="533"/>
  <c r="S54" i="533"/>
  <c r="S53" i="533"/>
  <c r="T15" i="533"/>
  <c r="J14" i="554" s="1"/>
  <c r="J15" i="553" s="1"/>
  <c r="F7" i="531"/>
  <c r="F7" i="405" s="1"/>
  <c r="I15" i="517"/>
  <c r="I14" i="536" s="1"/>
  <c r="K6" i="531"/>
  <c r="K6" i="405" s="1"/>
  <c r="P14" i="517"/>
  <c r="K10" i="531"/>
  <c r="K10" i="405" s="1"/>
  <c r="P18" i="517"/>
  <c r="P17" i="537" s="1"/>
  <c r="E20" i="531"/>
  <c r="E20" i="405" s="1"/>
  <c r="C5" i="531"/>
  <c r="F13" i="517"/>
  <c r="C18" i="531"/>
  <c r="C18" i="405" s="1"/>
  <c r="F26" i="517"/>
  <c r="I13" i="531"/>
  <c r="I13" i="405" s="1"/>
  <c r="L21" i="517"/>
  <c r="I22" i="531"/>
  <c r="I22" i="405" s="1"/>
  <c r="L30" i="517"/>
  <c r="K51" i="533"/>
  <c r="P51" i="533" s="1"/>
  <c r="O9" i="567" s="1"/>
  <c r="L51" i="533"/>
  <c r="Q51" i="533" s="1"/>
  <c r="T49" i="533"/>
  <c r="F7" i="567" s="1"/>
  <c r="R49" i="533"/>
  <c r="L58" i="533"/>
  <c r="Q58" i="533" s="1"/>
  <c r="K58" i="533"/>
  <c r="P58" i="533" s="1"/>
  <c r="O16" i="567" s="1"/>
  <c r="J58" i="533"/>
  <c r="O58" i="533" s="1"/>
  <c r="E16" i="567" s="1"/>
  <c r="I58" i="533"/>
  <c r="N58" i="533" s="1"/>
  <c r="H58" i="533"/>
  <c r="I50" i="533"/>
  <c r="N50" i="533" s="1"/>
  <c r="H50" i="533"/>
  <c r="J50" i="533"/>
  <c r="O50" i="533" s="1"/>
  <c r="E8" i="567" s="1"/>
  <c r="V49" i="533"/>
  <c r="K50" i="533"/>
  <c r="P50" i="533" s="1"/>
  <c r="O8" i="567" s="1"/>
  <c r="S49" i="533"/>
  <c r="L50" i="533"/>
  <c r="Q50" i="533" s="1"/>
  <c r="B26" i="533"/>
  <c r="B25" i="533"/>
  <c r="F17" i="532"/>
  <c r="F18" i="532" s="1"/>
  <c r="F19" i="532" s="1"/>
  <c r="F21" i="532" s="1"/>
  <c r="F22" i="532" s="1"/>
  <c r="E17" i="532"/>
  <c r="E18" i="532" s="1"/>
  <c r="E19" i="532" s="1"/>
  <c r="E21" i="532" s="1"/>
  <c r="E22" i="532" s="1"/>
  <c r="H8" i="532"/>
  <c r="H11" i="532" s="1"/>
  <c r="H14" i="532" s="1"/>
  <c r="H7" i="532"/>
  <c r="H10" i="532" s="1"/>
  <c r="H13" i="532" s="1"/>
  <c r="H16" i="532" s="1"/>
  <c r="H6" i="532"/>
  <c r="F5" i="532"/>
  <c r="E5" i="532"/>
  <c r="M18" i="554" l="1"/>
  <c r="M19" i="553" s="1"/>
  <c r="V19" i="533"/>
  <c r="P18" i="554" s="1"/>
  <c r="I7" i="531"/>
  <c r="I7" i="405" s="1"/>
  <c r="U19" i="533"/>
  <c r="L18" i="554" s="1"/>
  <c r="L19" i="553" s="1"/>
  <c r="F11" i="531"/>
  <c r="F11" i="405" s="1"/>
  <c r="T19" i="533"/>
  <c r="J18" i="554" s="1"/>
  <c r="J19" i="553" s="1"/>
  <c r="K66" i="554"/>
  <c r="K19" i="517"/>
  <c r="K78" i="517" s="1"/>
  <c r="I66" i="554"/>
  <c r="H11" i="531"/>
  <c r="H11" i="405" s="1"/>
  <c r="H60" i="405" s="1"/>
  <c r="I19" i="517"/>
  <c r="B60" i="405"/>
  <c r="S19" i="533"/>
  <c r="H18" i="554" s="1"/>
  <c r="H19" i="553" s="1"/>
  <c r="D60" i="405"/>
  <c r="K5" i="405"/>
  <c r="G66" i="554"/>
  <c r="C20" i="567"/>
  <c r="G5" i="405"/>
  <c r="C5" i="405"/>
  <c r="I5" i="405"/>
  <c r="E5" i="405"/>
  <c r="L8" i="531"/>
  <c r="L8" i="405" s="1"/>
  <c r="Q14" i="517"/>
  <c r="Q14" i="540" s="1"/>
  <c r="O16" i="540"/>
  <c r="O15" i="537"/>
  <c r="O15" i="538"/>
  <c r="O16" i="501"/>
  <c r="O19" i="517"/>
  <c r="O19" i="501" s="1"/>
  <c r="M16" i="517"/>
  <c r="M15" i="536" s="1"/>
  <c r="O66" i="554"/>
  <c r="J11" i="531"/>
  <c r="N11" i="531" s="1"/>
  <c r="N11" i="405" s="1"/>
  <c r="N8" i="531"/>
  <c r="N8" i="405" s="1"/>
  <c r="N5" i="405"/>
  <c r="L5" i="405"/>
  <c r="K15" i="540"/>
  <c r="K8" i="531"/>
  <c r="K8" i="405" s="1"/>
  <c r="P16" i="553"/>
  <c r="P16" i="517"/>
  <c r="P15" i="536" s="1"/>
  <c r="C13" i="567"/>
  <c r="K11" i="563"/>
  <c r="M54" i="533"/>
  <c r="R54" i="533" s="1"/>
  <c r="D7" i="567"/>
  <c r="H7" i="567"/>
  <c r="M50" i="533"/>
  <c r="C8" i="567" s="1"/>
  <c r="G8" i="567"/>
  <c r="C15" i="567"/>
  <c r="M58" i="533"/>
  <c r="C16" i="567" s="1"/>
  <c r="G16" i="567"/>
  <c r="R53" i="533"/>
  <c r="C11" i="567"/>
  <c r="I11" i="563"/>
  <c r="M59" i="533"/>
  <c r="C17" i="567" s="1"/>
  <c r="G17" i="567"/>
  <c r="E11" i="563"/>
  <c r="K14" i="538"/>
  <c r="K14" i="536"/>
  <c r="K69" i="536" s="1"/>
  <c r="G11" i="563"/>
  <c r="K14" i="537"/>
  <c r="T59" i="533"/>
  <c r="F17" i="567" s="1"/>
  <c r="V59" i="533"/>
  <c r="M51" i="533"/>
  <c r="F16" i="517"/>
  <c r="F15" i="538" s="1"/>
  <c r="F63" i="553"/>
  <c r="Q17" i="554"/>
  <c r="Q18" i="553" s="1"/>
  <c r="F21" i="537"/>
  <c r="F18" i="536"/>
  <c r="F29" i="540"/>
  <c r="T54" i="533"/>
  <c r="F12" i="567" s="1"/>
  <c r="E19" i="501"/>
  <c r="E18" i="538"/>
  <c r="E19" i="540"/>
  <c r="F13" i="537"/>
  <c r="F13" i="536"/>
  <c r="F14" i="540"/>
  <c r="F13" i="538"/>
  <c r="E24" i="501"/>
  <c r="E24" i="540"/>
  <c r="P7" i="552"/>
  <c r="Q21" i="554"/>
  <c r="Q22" i="553" s="1"/>
  <c r="J13" i="538"/>
  <c r="J13" i="536"/>
  <c r="J13" i="537"/>
  <c r="J14" i="540"/>
  <c r="I24" i="501"/>
  <c r="I24" i="540"/>
  <c r="L21" i="501"/>
  <c r="L21" i="540"/>
  <c r="U56" i="533"/>
  <c r="P14" i="567" s="1"/>
  <c r="T62" i="533"/>
  <c r="F20" i="567" s="1"/>
  <c r="L25" i="501"/>
  <c r="L16" i="536"/>
  <c r="L20" i="538"/>
  <c r="L18" i="537"/>
  <c r="L25" i="540"/>
  <c r="H22" i="537"/>
  <c r="H19" i="536"/>
  <c r="H30" i="540"/>
  <c r="L21" i="537"/>
  <c r="L18" i="536"/>
  <c r="L29" i="540"/>
  <c r="J12" i="538"/>
  <c r="J12" i="537"/>
  <c r="J12" i="536"/>
  <c r="J13" i="540"/>
  <c r="H18" i="501"/>
  <c r="H17" i="538"/>
  <c r="H18" i="540"/>
  <c r="U62" i="533"/>
  <c r="P20" i="567" s="1"/>
  <c r="I19" i="501"/>
  <c r="I18" i="538"/>
  <c r="I19" i="540"/>
  <c r="H25" i="501"/>
  <c r="H18" i="537"/>
  <c r="H20" i="538"/>
  <c r="H16" i="536"/>
  <c r="H25" i="540"/>
  <c r="P18" i="536"/>
  <c r="P21" i="537"/>
  <c r="P29" i="540"/>
  <c r="H17" i="501"/>
  <c r="H16" i="538"/>
  <c r="H17" i="540"/>
  <c r="P20" i="553"/>
  <c r="N19" i="554"/>
  <c r="N20" i="553" s="1"/>
  <c r="I16" i="531"/>
  <c r="I16" i="405" s="1"/>
  <c r="L23" i="554"/>
  <c r="L24" i="553" s="1"/>
  <c r="L63" i="553" s="1"/>
  <c r="M22" i="501"/>
  <c r="M22" i="540"/>
  <c r="F66" i="554"/>
  <c r="M12" i="537"/>
  <c r="M12" i="536"/>
  <c r="M12" i="538"/>
  <c r="M13" i="540"/>
  <c r="T61" i="533"/>
  <c r="F19" i="567" s="1"/>
  <c r="F17" i="501"/>
  <c r="F17" i="540"/>
  <c r="F16" i="538"/>
  <c r="N14" i="554"/>
  <c r="N15" i="553" s="1"/>
  <c r="P15" i="553"/>
  <c r="F22" i="537"/>
  <c r="F19" i="536"/>
  <c r="F30" i="540"/>
  <c r="G16" i="501"/>
  <c r="G15" i="538"/>
  <c r="G15" i="537"/>
  <c r="G16" i="540"/>
  <c r="M17" i="501"/>
  <c r="M16" i="538"/>
  <c r="M17" i="540"/>
  <c r="R56" i="533"/>
  <c r="Q20" i="554"/>
  <c r="Q21" i="553" s="1"/>
  <c r="N27" i="554"/>
  <c r="N28" i="553" s="1"/>
  <c r="P28" i="553"/>
  <c r="P13" i="536"/>
  <c r="P13" i="537"/>
  <c r="P13" i="538"/>
  <c r="P14" i="540"/>
  <c r="P19" i="537"/>
  <c r="P21" i="538"/>
  <c r="P26" i="540"/>
  <c r="J19" i="536"/>
  <c r="J22" i="537"/>
  <c r="J30" i="540"/>
  <c r="T55" i="533"/>
  <c r="F13" i="567" s="1"/>
  <c r="J26" i="501"/>
  <c r="J19" i="537"/>
  <c r="J21" i="538"/>
  <c r="J26" i="540"/>
  <c r="G15" i="501"/>
  <c r="G14" i="538"/>
  <c r="G14" i="537"/>
  <c r="G69" i="536"/>
  <c r="G15" i="540"/>
  <c r="T52" i="533"/>
  <c r="F10" i="567" s="1"/>
  <c r="L15" i="501"/>
  <c r="L14" i="538"/>
  <c r="L15" i="540"/>
  <c r="L14" i="537"/>
  <c r="I20" i="501"/>
  <c r="I19" i="538"/>
  <c r="I20" i="540"/>
  <c r="E15" i="501"/>
  <c r="E14" i="538"/>
  <c r="E14" i="537"/>
  <c r="E15" i="540"/>
  <c r="E69" i="536"/>
  <c r="R52" i="533"/>
  <c r="Q16" i="554"/>
  <c r="Q17" i="553" s="1"/>
  <c r="O23" i="540"/>
  <c r="M26" i="501"/>
  <c r="M21" i="538"/>
  <c r="M26" i="540"/>
  <c r="M19" i="537"/>
  <c r="J66" i="554"/>
  <c r="P66" i="554"/>
  <c r="U65" i="533"/>
  <c r="P23" i="567" s="1"/>
  <c r="O10" i="552"/>
  <c r="P9" i="552"/>
  <c r="K24" i="501"/>
  <c r="K24" i="540"/>
  <c r="T63" i="533"/>
  <c r="F21" i="567" s="1"/>
  <c r="E8" i="552"/>
  <c r="R64" i="533"/>
  <c r="Q28" i="554"/>
  <c r="Q29" i="553" s="1"/>
  <c r="C9" i="552"/>
  <c r="H18" i="536"/>
  <c r="H21" i="537"/>
  <c r="H29" i="540"/>
  <c r="H12" i="536"/>
  <c r="H12" i="537"/>
  <c r="H12" i="538"/>
  <c r="H13" i="540"/>
  <c r="R55" i="533"/>
  <c r="Q19" i="554"/>
  <c r="Q20" i="553" s="1"/>
  <c r="Q29" i="554"/>
  <c r="Q30" i="553" s="1"/>
  <c r="C10" i="552"/>
  <c r="P16" i="538"/>
  <c r="P17" i="540"/>
  <c r="T60" i="533"/>
  <c r="F18" i="567" s="1"/>
  <c r="U63" i="533"/>
  <c r="P21" i="567" s="1"/>
  <c r="O8" i="552"/>
  <c r="M27" i="501"/>
  <c r="M24" i="501"/>
  <c r="M24" i="540"/>
  <c r="J21" i="501"/>
  <c r="J21" i="540"/>
  <c r="L22" i="501"/>
  <c r="L22" i="540"/>
  <c r="T56" i="533"/>
  <c r="F14" i="567" s="1"/>
  <c r="J21" i="537"/>
  <c r="J18" i="536"/>
  <c r="J29" i="540"/>
  <c r="P20" i="537"/>
  <c r="P17" i="536"/>
  <c r="P28" i="501"/>
  <c r="P28" i="540"/>
  <c r="P17" i="538"/>
  <c r="P18" i="540"/>
  <c r="K20" i="501"/>
  <c r="K19" i="538"/>
  <c r="K20" i="540"/>
  <c r="E23" i="501"/>
  <c r="E23" i="540"/>
  <c r="M13" i="538"/>
  <c r="M13" i="537"/>
  <c r="M13" i="536"/>
  <c r="M14" i="540"/>
  <c r="M17" i="536"/>
  <c r="M28" i="501"/>
  <c r="M20" i="537"/>
  <c r="M28" i="540"/>
  <c r="N13" i="553"/>
  <c r="R13" i="554"/>
  <c r="R14" i="553" s="1"/>
  <c r="D7" i="552"/>
  <c r="H7" i="552"/>
  <c r="F26" i="501"/>
  <c r="F19" i="537"/>
  <c r="F21" i="538"/>
  <c r="F26" i="540"/>
  <c r="G24" i="501"/>
  <c r="G24" i="540"/>
  <c r="U61" i="533"/>
  <c r="P19" i="567" s="1"/>
  <c r="I23" i="501"/>
  <c r="I23" i="540"/>
  <c r="F7" i="552"/>
  <c r="R57" i="533"/>
  <c r="U52" i="533"/>
  <c r="P10" i="567" s="1"/>
  <c r="H21" i="501"/>
  <c r="H21" i="540"/>
  <c r="J25" i="501"/>
  <c r="J20" i="538"/>
  <c r="J16" i="536"/>
  <c r="J18" i="537"/>
  <c r="J25" i="540"/>
  <c r="J22" i="501"/>
  <c r="J22" i="540"/>
  <c r="L26" i="501"/>
  <c r="L19" i="537"/>
  <c r="L21" i="538"/>
  <c r="L26" i="540"/>
  <c r="F22" i="501"/>
  <c r="F22" i="540"/>
  <c r="Q13" i="537"/>
  <c r="N22" i="554"/>
  <c r="N23" i="553" s="1"/>
  <c r="P23" i="553"/>
  <c r="I16" i="501"/>
  <c r="I15" i="538"/>
  <c r="I15" i="537"/>
  <c r="I16" i="540"/>
  <c r="M21" i="537"/>
  <c r="M18" i="536"/>
  <c r="M29" i="540"/>
  <c r="L22" i="537"/>
  <c r="L19" i="536"/>
  <c r="L30" i="540"/>
  <c r="F21" i="501"/>
  <c r="F21" i="540"/>
  <c r="U54" i="533"/>
  <c r="P12" i="567" s="1"/>
  <c r="L17" i="501"/>
  <c r="L16" i="538"/>
  <c r="L17" i="540"/>
  <c r="T65" i="533"/>
  <c r="F23" i="567" s="1"/>
  <c r="E10" i="552"/>
  <c r="H13" i="536"/>
  <c r="H13" i="537"/>
  <c r="H13" i="538"/>
  <c r="H14" i="540"/>
  <c r="E20" i="501"/>
  <c r="E19" i="538"/>
  <c r="E20" i="540"/>
  <c r="G23" i="501"/>
  <c r="G23" i="540"/>
  <c r="H20" i="537"/>
  <c r="H17" i="536"/>
  <c r="H28" i="501"/>
  <c r="H28" i="540"/>
  <c r="H22" i="501"/>
  <c r="H22" i="540"/>
  <c r="P21" i="540"/>
  <c r="B60" i="533"/>
  <c r="A18" i="411"/>
  <c r="F12" i="536"/>
  <c r="F12" i="537"/>
  <c r="F12" i="538"/>
  <c r="F13" i="540"/>
  <c r="Q24" i="554"/>
  <c r="Q25" i="553" s="1"/>
  <c r="G19" i="501"/>
  <c r="G18" i="538"/>
  <c r="G19" i="540"/>
  <c r="P22" i="537"/>
  <c r="P19" i="536"/>
  <c r="P30" i="540"/>
  <c r="P18" i="537"/>
  <c r="P20" i="538"/>
  <c r="P16" i="536"/>
  <c r="P25" i="540"/>
  <c r="L13" i="538"/>
  <c r="L13" i="537"/>
  <c r="L13" i="536"/>
  <c r="L14" i="540"/>
  <c r="R63" i="533"/>
  <c r="Q27" i="554"/>
  <c r="Q28" i="553" s="1"/>
  <c r="Y63" i="533"/>
  <c r="C8" i="552"/>
  <c r="Q28" i="517"/>
  <c r="Q12" i="554"/>
  <c r="Q13" i="553" s="1"/>
  <c r="C6" i="552"/>
  <c r="F18" i="501"/>
  <c r="F17" i="538"/>
  <c r="F18" i="540"/>
  <c r="L18" i="501"/>
  <c r="L17" i="538"/>
  <c r="L18" i="540"/>
  <c r="H26" i="501"/>
  <c r="H19" i="537"/>
  <c r="H21" i="538"/>
  <c r="H26" i="540"/>
  <c r="J17" i="501"/>
  <c r="J16" i="538"/>
  <c r="J17" i="540"/>
  <c r="T48" i="533"/>
  <c r="F6" i="567" s="1"/>
  <c r="E6" i="552"/>
  <c r="Q25" i="554"/>
  <c r="Q26" i="553" s="1"/>
  <c r="F25" i="501"/>
  <c r="F18" i="537"/>
  <c r="F20" i="538"/>
  <c r="F16" i="536"/>
  <c r="F25" i="540"/>
  <c r="Q22" i="517"/>
  <c r="T51" i="533"/>
  <c r="F9" i="567" s="1"/>
  <c r="M18" i="501"/>
  <c r="M17" i="538"/>
  <c r="M18" i="540"/>
  <c r="M22" i="537"/>
  <c r="M30" i="540"/>
  <c r="M19" i="536"/>
  <c r="F17" i="536"/>
  <c r="F28" i="501"/>
  <c r="F20" i="537"/>
  <c r="F28" i="540"/>
  <c r="H66" i="554"/>
  <c r="J20" i="537"/>
  <c r="J17" i="536"/>
  <c r="J28" i="501"/>
  <c r="J28" i="540"/>
  <c r="K23" i="501"/>
  <c r="K23" i="540"/>
  <c r="O19" i="538"/>
  <c r="O20" i="540"/>
  <c r="B61" i="533"/>
  <c r="A19" i="411"/>
  <c r="I15" i="501"/>
  <c r="I14" i="537"/>
  <c r="I69" i="536"/>
  <c r="I14" i="538"/>
  <c r="I15" i="540"/>
  <c r="Q26" i="554"/>
  <c r="Q27" i="553" s="1"/>
  <c r="P12" i="536"/>
  <c r="P12" i="537"/>
  <c r="P13" i="540"/>
  <c r="P12" i="538"/>
  <c r="U53" i="533"/>
  <c r="G20" i="501"/>
  <c r="G19" i="538"/>
  <c r="G20" i="540"/>
  <c r="L12" i="537"/>
  <c r="L12" i="536"/>
  <c r="L13" i="540"/>
  <c r="L12" i="538"/>
  <c r="O15" i="501"/>
  <c r="O14" i="538"/>
  <c r="O14" i="537"/>
  <c r="O69" i="536"/>
  <c r="O15" i="540"/>
  <c r="T64" i="533"/>
  <c r="F22" i="567" s="1"/>
  <c r="E9" i="552"/>
  <c r="K16" i="501"/>
  <c r="K15" i="537"/>
  <c r="K15" i="538"/>
  <c r="K16" i="540"/>
  <c r="U55" i="533"/>
  <c r="P13" i="567" s="1"/>
  <c r="E16" i="501"/>
  <c r="E15" i="538"/>
  <c r="E15" i="537"/>
  <c r="E16" i="540"/>
  <c r="J18" i="501"/>
  <c r="J17" i="538"/>
  <c r="J18" i="540"/>
  <c r="N18" i="554"/>
  <c r="N19" i="553" s="1"/>
  <c r="P19" i="553"/>
  <c r="P22" i="540"/>
  <c r="U59" i="533"/>
  <c r="P17" i="567" s="1"/>
  <c r="M25" i="501"/>
  <c r="M18" i="537"/>
  <c r="M16" i="536"/>
  <c r="M25" i="540"/>
  <c r="M20" i="538"/>
  <c r="M21" i="501"/>
  <c r="M21" i="540"/>
  <c r="P6" i="552"/>
  <c r="L20" i="537"/>
  <c r="L17" i="536"/>
  <c r="L28" i="501"/>
  <c r="L28" i="540"/>
  <c r="H63" i="553"/>
  <c r="M66" i="554"/>
  <c r="Q13" i="554"/>
  <c r="Q14" i="553" s="1"/>
  <c r="C7" i="552"/>
  <c r="M17" i="556"/>
  <c r="M17" i="555" s="1"/>
  <c r="O17" i="555"/>
  <c r="M27" i="540"/>
  <c r="M22" i="538"/>
  <c r="Q27" i="517"/>
  <c r="H29" i="501"/>
  <c r="L30" i="501"/>
  <c r="P13" i="501"/>
  <c r="J29" i="501"/>
  <c r="J14" i="501"/>
  <c r="H30" i="501"/>
  <c r="L29" i="501"/>
  <c r="L13" i="501"/>
  <c r="H13" i="501"/>
  <c r="M14" i="501"/>
  <c r="M13" i="501"/>
  <c r="J30" i="501"/>
  <c r="J13" i="501"/>
  <c r="F29" i="501"/>
  <c r="H14" i="501"/>
  <c r="F13" i="501"/>
  <c r="F14" i="501"/>
  <c r="L14" i="501"/>
  <c r="F30" i="501"/>
  <c r="M29" i="501"/>
  <c r="N21" i="517"/>
  <c r="P21" i="501"/>
  <c r="N17" i="517"/>
  <c r="N16" i="537" s="1"/>
  <c r="P17" i="501"/>
  <c r="M23" i="517"/>
  <c r="O23" i="501"/>
  <c r="N30" i="517"/>
  <c r="P30" i="501"/>
  <c r="N22" i="517"/>
  <c r="P22" i="501"/>
  <c r="N25" i="517"/>
  <c r="P25" i="501"/>
  <c r="N18" i="517"/>
  <c r="N17" i="537" s="1"/>
  <c r="P18" i="501"/>
  <c r="N24" i="517"/>
  <c r="P24" i="501"/>
  <c r="M20" i="517"/>
  <c r="O20" i="501"/>
  <c r="N29" i="517"/>
  <c r="P29" i="501"/>
  <c r="N14" i="517"/>
  <c r="P14" i="501"/>
  <c r="N26" i="517"/>
  <c r="P26" i="501"/>
  <c r="N27" i="517"/>
  <c r="C62" i="533"/>
  <c r="B62" i="533"/>
  <c r="J16" i="517"/>
  <c r="J15" i="536" s="1"/>
  <c r="L24" i="517"/>
  <c r="C8" i="531"/>
  <c r="C8" i="405" s="1"/>
  <c r="G8" i="531"/>
  <c r="G8" i="405" s="1"/>
  <c r="J23" i="517"/>
  <c r="G15" i="531"/>
  <c r="G15" i="405" s="1"/>
  <c r="Y60" i="533"/>
  <c r="R48" i="533"/>
  <c r="Y48" i="533"/>
  <c r="H9" i="532"/>
  <c r="H12" i="532" s="1"/>
  <c r="H15" i="532" s="1"/>
  <c r="Q25" i="517"/>
  <c r="V34" i="533"/>
  <c r="I78" i="517"/>
  <c r="T34" i="533"/>
  <c r="O10" i="531"/>
  <c r="O10" i="405" s="1"/>
  <c r="M10" i="531"/>
  <c r="M10" i="405" s="1"/>
  <c r="O20" i="531"/>
  <c r="O20" i="405" s="1"/>
  <c r="M20" i="531"/>
  <c r="M20" i="405" s="1"/>
  <c r="M19" i="531"/>
  <c r="M19" i="405" s="1"/>
  <c r="O19" i="531"/>
  <c r="O19" i="405" s="1"/>
  <c r="O14" i="531"/>
  <c r="O14" i="405" s="1"/>
  <c r="M14" i="531"/>
  <c r="M14" i="405" s="1"/>
  <c r="O6" i="531"/>
  <c r="O6" i="405" s="1"/>
  <c r="M6" i="531"/>
  <c r="M6" i="405" s="1"/>
  <c r="E16" i="531"/>
  <c r="E16" i="405" s="1"/>
  <c r="H24" i="517"/>
  <c r="I11" i="531"/>
  <c r="I11" i="405" s="1"/>
  <c r="L19" i="517"/>
  <c r="E7" i="531"/>
  <c r="E7" i="405" s="1"/>
  <c r="H15" i="517"/>
  <c r="H14" i="536" s="1"/>
  <c r="L11" i="531"/>
  <c r="L11" i="405" s="1"/>
  <c r="E15" i="531"/>
  <c r="E15" i="405" s="1"/>
  <c r="H23" i="517"/>
  <c r="N12" i="531"/>
  <c r="N12" i="405" s="1"/>
  <c r="L12" i="531"/>
  <c r="L12" i="405" s="1"/>
  <c r="G78" i="517"/>
  <c r="I12" i="531"/>
  <c r="I12" i="405" s="1"/>
  <c r="L20" i="517"/>
  <c r="R60" i="533"/>
  <c r="O18" i="531"/>
  <c r="O18" i="405" s="1"/>
  <c r="M18" i="531"/>
  <c r="M18" i="405" s="1"/>
  <c r="M13" i="531"/>
  <c r="M13" i="405" s="1"/>
  <c r="O13" i="531"/>
  <c r="O13" i="405" s="1"/>
  <c r="Q30" i="517"/>
  <c r="O21" i="531"/>
  <c r="O21" i="405" s="1"/>
  <c r="M21" i="531"/>
  <c r="M21" i="405" s="1"/>
  <c r="V50" i="533"/>
  <c r="G7" i="531"/>
  <c r="G7" i="405" s="1"/>
  <c r="J15" i="517"/>
  <c r="J14" i="536" s="1"/>
  <c r="C12" i="531"/>
  <c r="C12" i="405" s="1"/>
  <c r="F20" i="517"/>
  <c r="E8" i="531"/>
  <c r="E8" i="405" s="1"/>
  <c r="H16" i="517"/>
  <c r="H15" i="536" s="1"/>
  <c r="R65" i="533"/>
  <c r="Q21" i="517"/>
  <c r="G16" i="531"/>
  <c r="G16" i="405" s="1"/>
  <c r="J24" i="517"/>
  <c r="I8" i="531"/>
  <c r="I8" i="405" s="1"/>
  <c r="L16" i="517"/>
  <c r="L15" i="536" s="1"/>
  <c r="Q17" i="517"/>
  <c r="Q16" i="537" s="1"/>
  <c r="Q18" i="517"/>
  <c r="Q17" i="537" s="1"/>
  <c r="I15" i="531"/>
  <c r="I15" i="405" s="1"/>
  <c r="L23" i="517"/>
  <c r="G11" i="531"/>
  <c r="G11" i="405" s="1"/>
  <c r="J19" i="517"/>
  <c r="S50" i="533"/>
  <c r="M9" i="531"/>
  <c r="M9" i="405" s="1"/>
  <c r="O9" i="531"/>
  <c r="O9" i="405" s="1"/>
  <c r="K12" i="531"/>
  <c r="K12" i="405" s="1"/>
  <c r="P20" i="517"/>
  <c r="S58" i="533"/>
  <c r="M22" i="531"/>
  <c r="M22" i="405" s="1"/>
  <c r="O22" i="531"/>
  <c r="O22" i="405" s="1"/>
  <c r="M17" i="531"/>
  <c r="M17" i="405" s="1"/>
  <c r="O17" i="531"/>
  <c r="O17" i="405" s="1"/>
  <c r="M15" i="517"/>
  <c r="M14" i="536" s="1"/>
  <c r="Q26" i="517"/>
  <c r="L15" i="531"/>
  <c r="L15" i="405" s="1"/>
  <c r="N15" i="531"/>
  <c r="N15" i="405" s="1"/>
  <c r="V58" i="533"/>
  <c r="Q29" i="517"/>
  <c r="E12" i="531"/>
  <c r="E12" i="405" s="1"/>
  <c r="H20" i="517"/>
  <c r="C16" i="531"/>
  <c r="C16" i="405" s="1"/>
  <c r="F24" i="517"/>
  <c r="R34" i="533"/>
  <c r="R62" i="533"/>
  <c r="N13" i="517"/>
  <c r="L7" i="531"/>
  <c r="L7" i="405" s="1"/>
  <c r="N7" i="531"/>
  <c r="N7" i="405" s="1"/>
  <c r="C11" i="531"/>
  <c r="C11" i="405" s="1"/>
  <c r="F19" i="517"/>
  <c r="C15" i="531"/>
  <c r="C15" i="405" s="1"/>
  <c r="F23" i="517"/>
  <c r="R61" i="533"/>
  <c r="K15" i="531"/>
  <c r="K15" i="405" s="1"/>
  <c r="P23" i="517"/>
  <c r="U34" i="533"/>
  <c r="G12" i="531"/>
  <c r="G12" i="405" s="1"/>
  <c r="J20" i="517"/>
  <c r="V51" i="533"/>
  <c r="Q13" i="517"/>
  <c r="K11" i="531"/>
  <c r="K11" i="405" s="1"/>
  <c r="P19" i="517"/>
  <c r="F6" i="532"/>
  <c r="O5" i="531"/>
  <c r="M5" i="531"/>
  <c r="K7" i="531"/>
  <c r="K7" i="405" s="1"/>
  <c r="P15" i="517"/>
  <c r="P14" i="536" s="1"/>
  <c r="C7" i="531"/>
  <c r="C7" i="405" s="1"/>
  <c r="F15" i="517"/>
  <c r="F14" i="536" s="1"/>
  <c r="Q20" i="517"/>
  <c r="M16" i="531"/>
  <c r="M16" i="405" s="1"/>
  <c r="O16" i="531"/>
  <c r="O16" i="405" s="1"/>
  <c r="R14" i="517"/>
  <c r="K19" i="540" l="1"/>
  <c r="K18" i="538"/>
  <c r="K19" i="501"/>
  <c r="E11" i="531"/>
  <c r="E11" i="405" s="1"/>
  <c r="E60" i="405" s="1"/>
  <c r="H19" i="517"/>
  <c r="S34" i="533"/>
  <c r="Q13" i="538"/>
  <c r="C60" i="405"/>
  <c r="I60" i="405"/>
  <c r="O71" i="537"/>
  <c r="M5" i="405"/>
  <c r="O5" i="405"/>
  <c r="K73" i="501"/>
  <c r="O11" i="563"/>
  <c r="G73" i="501"/>
  <c r="E73" i="501"/>
  <c r="Q13" i="536"/>
  <c r="Q14" i="501"/>
  <c r="J11" i="405"/>
  <c r="M15" i="538"/>
  <c r="M19" i="517"/>
  <c r="M19" i="501" s="1"/>
  <c r="O19" i="540"/>
  <c r="O8" i="531"/>
  <c r="O8" i="405" s="1"/>
  <c r="M8" i="531"/>
  <c r="M8" i="405" s="1"/>
  <c r="O18" i="538"/>
  <c r="O73" i="538" s="1"/>
  <c r="O78" i="517"/>
  <c r="R21" i="517"/>
  <c r="R21" i="501" s="1"/>
  <c r="M16" i="540"/>
  <c r="M16" i="501"/>
  <c r="M15" i="537"/>
  <c r="P15" i="537"/>
  <c r="Q24" i="517"/>
  <c r="Q24" i="540" s="1"/>
  <c r="N16" i="517"/>
  <c r="N15" i="536" s="1"/>
  <c r="R29" i="517"/>
  <c r="R29" i="501" s="1"/>
  <c r="P16" i="540"/>
  <c r="P15" i="538"/>
  <c r="P16" i="501"/>
  <c r="Q19" i="517"/>
  <c r="Q18" i="538" s="1"/>
  <c r="E71" i="537"/>
  <c r="K71" i="537"/>
  <c r="C12" i="567"/>
  <c r="Q18" i="554"/>
  <c r="Q19" i="553" s="1"/>
  <c r="P11" i="563"/>
  <c r="D11" i="567"/>
  <c r="H11" i="567"/>
  <c r="H11" i="563"/>
  <c r="H6" i="567"/>
  <c r="D6" i="567"/>
  <c r="R17" i="554"/>
  <c r="R18" i="553" s="1"/>
  <c r="P11" i="567"/>
  <c r="H15" i="567"/>
  <c r="D15" i="567"/>
  <c r="H10" i="567"/>
  <c r="D10" i="567"/>
  <c r="F16" i="540"/>
  <c r="F15" i="536"/>
  <c r="F69" i="536" s="1"/>
  <c r="L11" i="563"/>
  <c r="J11" i="563"/>
  <c r="D19" i="567"/>
  <c r="H19" i="567"/>
  <c r="D13" i="567"/>
  <c r="H13" i="567"/>
  <c r="H12" i="567"/>
  <c r="D12" i="567"/>
  <c r="R51" i="533"/>
  <c r="C9" i="567"/>
  <c r="D20" i="567"/>
  <c r="H20" i="567"/>
  <c r="H18" i="567"/>
  <c r="D18" i="567"/>
  <c r="D23" i="567"/>
  <c r="H23" i="567"/>
  <c r="H22" i="567"/>
  <c r="D22" i="567"/>
  <c r="D21" i="567"/>
  <c r="H21" i="567"/>
  <c r="D14" i="567"/>
  <c r="H14" i="567"/>
  <c r="F11" i="563"/>
  <c r="F16" i="501"/>
  <c r="F15" i="537"/>
  <c r="R19" i="517"/>
  <c r="R19" i="540" s="1"/>
  <c r="L66" i="554"/>
  <c r="R20" i="517"/>
  <c r="R19" i="538" s="1"/>
  <c r="I71" i="537"/>
  <c r="G71" i="537"/>
  <c r="R18" i="517"/>
  <c r="R17" i="537" s="1"/>
  <c r="Q15" i="554"/>
  <c r="Q16" i="553" s="1"/>
  <c r="M58" i="556"/>
  <c r="P14" i="537"/>
  <c r="P69" i="536"/>
  <c r="P14" i="538"/>
  <c r="P15" i="540"/>
  <c r="M23" i="501"/>
  <c r="M23" i="540"/>
  <c r="F19" i="501"/>
  <c r="F18" i="538"/>
  <c r="F19" i="540"/>
  <c r="F24" i="501"/>
  <c r="F24" i="540"/>
  <c r="L23" i="501"/>
  <c r="L23" i="540"/>
  <c r="Q21" i="501"/>
  <c r="Q21" i="540"/>
  <c r="U51" i="533"/>
  <c r="P9" i="567" s="1"/>
  <c r="L19" i="501"/>
  <c r="L18" i="538"/>
  <c r="L19" i="540"/>
  <c r="Q22" i="501"/>
  <c r="Q22" i="540"/>
  <c r="Q20" i="537"/>
  <c r="Q28" i="501"/>
  <c r="Q28" i="540"/>
  <c r="Q17" i="536"/>
  <c r="R22" i="517"/>
  <c r="R21" i="554"/>
  <c r="R22" i="553" s="1"/>
  <c r="N66" i="554"/>
  <c r="R20" i="554"/>
  <c r="R21" i="553" s="1"/>
  <c r="N27" i="501"/>
  <c r="P10" i="552"/>
  <c r="N21" i="537"/>
  <c r="N18" i="536"/>
  <c r="N29" i="540"/>
  <c r="R13" i="538"/>
  <c r="R13" i="536"/>
  <c r="R13" i="537"/>
  <c r="R14" i="540"/>
  <c r="P19" i="538"/>
  <c r="P20" i="540"/>
  <c r="N25" i="501"/>
  <c r="N18" i="537"/>
  <c r="N20" i="538"/>
  <c r="N16" i="536"/>
  <c r="N25" i="540"/>
  <c r="H20" i="501"/>
  <c r="H19" i="538"/>
  <c r="H20" i="540"/>
  <c r="Q18" i="501"/>
  <c r="Q17" i="538"/>
  <c r="Q18" i="540"/>
  <c r="H16" i="501"/>
  <c r="H15" i="538"/>
  <c r="H15" i="537"/>
  <c r="H16" i="540"/>
  <c r="R24" i="554"/>
  <c r="R25" i="553" s="1"/>
  <c r="H24" i="501"/>
  <c r="H24" i="540"/>
  <c r="Q25" i="501"/>
  <c r="Q18" i="537"/>
  <c r="Q20" i="538"/>
  <c r="Q16" i="536"/>
  <c r="Q25" i="540"/>
  <c r="J23" i="501"/>
  <c r="J23" i="540"/>
  <c r="F9" i="552"/>
  <c r="L69" i="536"/>
  <c r="F8" i="552"/>
  <c r="Z48" i="533"/>
  <c r="R12" i="554"/>
  <c r="R13" i="553" s="1"/>
  <c r="D6" i="552"/>
  <c r="H6" i="552"/>
  <c r="R28" i="554"/>
  <c r="R29" i="553" s="1"/>
  <c r="D9" i="552"/>
  <c r="H9" i="552"/>
  <c r="P23" i="540"/>
  <c r="N17" i="501"/>
  <c r="N16" i="538"/>
  <c r="N17" i="540"/>
  <c r="Q12" i="538"/>
  <c r="Q12" i="537"/>
  <c r="Q12" i="536"/>
  <c r="Q13" i="540"/>
  <c r="M14" i="538"/>
  <c r="M14" i="537"/>
  <c r="M15" i="540"/>
  <c r="M69" i="536"/>
  <c r="Q17" i="501"/>
  <c r="Q16" i="538"/>
  <c r="Q17" i="540"/>
  <c r="L20" i="501"/>
  <c r="L19" i="538"/>
  <c r="L20" i="540"/>
  <c r="N26" i="501"/>
  <c r="N19" i="537"/>
  <c r="N21" i="538"/>
  <c r="N26" i="540"/>
  <c r="M20" i="501"/>
  <c r="M19" i="538"/>
  <c r="M20" i="540"/>
  <c r="N22" i="501"/>
  <c r="N22" i="540"/>
  <c r="Q27" i="501"/>
  <c r="Q22" i="538"/>
  <c r="Q27" i="540"/>
  <c r="F6" i="552"/>
  <c r="R16" i="554"/>
  <c r="R17" i="553" s="1"/>
  <c r="U50" i="533"/>
  <c r="P8" i="567" s="1"/>
  <c r="N17" i="536"/>
  <c r="N28" i="501"/>
  <c r="N20" i="537"/>
  <c r="N28" i="540"/>
  <c r="P18" i="538"/>
  <c r="P19" i="540"/>
  <c r="N12" i="536"/>
  <c r="N12" i="537"/>
  <c r="N12" i="538"/>
  <c r="N13" i="540"/>
  <c r="L16" i="501"/>
  <c r="L15" i="537"/>
  <c r="L71" i="537" s="1"/>
  <c r="L15" i="538"/>
  <c r="L16" i="540"/>
  <c r="F20" i="501"/>
  <c r="F19" i="538"/>
  <c r="F20" i="540"/>
  <c r="F10" i="552"/>
  <c r="R19" i="554"/>
  <c r="R20" i="553" s="1"/>
  <c r="R18" i="554"/>
  <c r="R19" i="553" s="1"/>
  <c r="Q26" i="501"/>
  <c r="Q19" i="537"/>
  <c r="Q21" i="538"/>
  <c r="Q26" i="540"/>
  <c r="Q22" i="554"/>
  <c r="Q23" i="553" s="1"/>
  <c r="Q20" i="501"/>
  <c r="Q19" i="538"/>
  <c r="Q20" i="540"/>
  <c r="F15" i="501"/>
  <c r="F14" i="538"/>
  <c r="F14" i="537"/>
  <c r="F15" i="540"/>
  <c r="J20" i="501"/>
  <c r="J19" i="538"/>
  <c r="J20" i="540"/>
  <c r="R26" i="517"/>
  <c r="R25" i="554"/>
  <c r="R26" i="553" s="1"/>
  <c r="R26" i="554"/>
  <c r="R27" i="553" s="1"/>
  <c r="T50" i="533"/>
  <c r="F8" i="567" s="1"/>
  <c r="Q19" i="536"/>
  <c r="Q22" i="537"/>
  <c r="Q30" i="540"/>
  <c r="R17" i="517"/>
  <c r="R16" i="537" s="1"/>
  <c r="L24" i="501"/>
  <c r="L24" i="540"/>
  <c r="N13" i="537"/>
  <c r="N13" i="536"/>
  <c r="N13" i="538"/>
  <c r="N14" i="540"/>
  <c r="N24" i="501"/>
  <c r="N24" i="540"/>
  <c r="N22" i="537"/>
  <c r="N19" i="536"/>
  <c r="N30" i="540"/>
  <c r="N21" i="501"/>
  <c r="N21" i="540"/>
  <c r="R27" i="554"/>
  <c r="R28" i="553" s="1"/>
  <c r="D8" i="552"/>
  <c r="H8" i="552"/>
  <c r="Z63" i="533"/>
  <c r="R28" i="517"/>
  <c r="N18" i="501"/>
  <c r="N17" i="538"/>
  <c r="N18" i="540"/>
  <c r="P8" i="552"/>
  <c r="R30" i="517"/>
  <c r="R30" i="501" s="1"/>
  <c r="R29" i="554"/>
  <c r="R30" i="553" s="1"/>
  <c r="D10" i="552"/>
  <c r="H10" i="552"/>
  <c r="H23" i="501"/>
  <c r="H23" i="540"/>
  <c r="H19" i="501"/>
  <c r="H18" i="538"/>
  <c r="H19" i="540"/>
  <c r="Q18" i="536"/>
  <c r="Q21" i="537"/>
  <c r="Q29" i="540"/>
  <c r="U58" i="533"/>
  <c r="P16" i="567" s="1"/>
  <c r="F23" i="501"/>
  <c r="F23" i="540"/>
  <c r="T58" i="533"/>
  <c r="F16" i="567" s="1"/>
  <c r="J19" i="501"/>
  <c r="J18" i="538"/>
  <c r="J19" i="540"/>
  <c r="J24" i="501"/>
  <c r="J24" i="540"/>
  <c r="J15" i="501"/>
  <c r="J69" i="536"/>
  <c r="J14" i="537"/>
  <c r="J14" i="538"/>
  <c r="J15" i="540"/>
  <c r="H15" i="501"/>
  <c r="H14" i="537"/>
  <c r="H69" i="536"/>
  <c r="H14" i="538"/>
  <c r="H15" i="540"/>
  <c r="R50" i="533"/>
  <c r="Q14" i="554"/>
  <c r="Q15" i="553" s="1"/>
  <c r="J16" i="501"/>
  <c r="J15" i="537"/>
  <c r="J15" i="538"/>
  <c r="J16" i="540"/>
  <c r="R59" i="533"/>
  <c r="Q23" i="554"/>
  <c r="Q24" i="553" s="1"/>
  <c r="N22" i="538"/>
  <c r="N27" i="540"/>
  <c r="R27" i="517"/>
  <c r="Q13" i="501"/>
  <c r="N13" i="501"/>
  <c r="N14" i="501"/>
  <c r="Q30" i="501"/>
  <c r="N29" i="501"/>
  <c r="N30" i="501"/>
  <c r="R14" i="501"/>
  <c r="Q29" i="501"/>
  <c r="N19" i="517"/>
  <c r="P19" i="501"/>
  <c r="M15" i="501"/>
  <c r="N23" i="517"/>
  <c r="P23" i="501"/>
  <c r="N20" i="517"/>
  <c r="P20" i="501"/>
  <c r="N15" i="517"/>
  <c r="N14" i="536" s="1"/>
  <c r="P15" i="501"/>
  <c r="R25" i="517"/>
  <c r="Z60" i="533"/>
  <c r="R13" i="517"/>
  <c r="F7" i="532"/>
  <c r="F8" i="532" s="1"/>
  <c r="F9" i="532" s="1"/>
  <c r="F10" i="532" s="1"/>
  <c r="F11" i="532" s="1"/>
  <c r="F12" i="532" s="1"/>
  <c r="F13" i="532" s="1"/>
  <c r="F14" i="532" s="1"/>
  <c r="F15" i="532" s="1"/>
  <c r="F16" i="532" s="1"/>
  <c r="Q16" i="517"/>
  <c r="Q15" i="536" s="1"/>
  <c r="J78" i="517"/>
  <c r="V69" i="533"/>
  <c r="L78" i="517"/>
  <c r="H78" i="517"/>
  <c r="F78" i="517"/>
  <c r="O11" i="531"/>
  <c r="O11" i="405" s="1"/>
  <c r="M11" i="531"/>
  <c r="M11" i="405" s="1"/>
  <c r="P78" i="517"/>
  <c r="Q23" i="517"/>
  <c r="S51" i="533"/>
  <c r="R58" i="533"/>
  <c r="M15" i="531"/>
  <c r="M15" i="405" s="1"/>
  <c r="O15" i="531"/>
  <c r="O15" i="405" s="1"/>
  <c r="M12" i="531"/>
  <c r="M12" i="405" s="1"/>
  <c r="O12" i="531"/>
  <c r="O12" i="405" s="1"/>
  <c r="O7" i="531"/>
  <c r="O7" i="405" s="1"/>
  <c r="M7" i="531"/>
  <c r="M7" i="405" s="1"/>
  <c r="Q15" i="517"/>
  <c r="Q14" i="536" s="1"/>
  <c r="L12" i="486"/>
  <c r="R19" i="501" l="1"/>
  <c r="R21" i="540"/>
  <c r="M71" i="537"/>
  <c r="L73" i="501"/>
  <c r="N16" i="540"/>
  <c r="H73" i="501"/>
  <c r="F73" i="501"/>
  <c r="M19" i="540"/>
  <c r="M78" i="517"/>
  <c r="M18" i="538"/>
  <c r="M73" i="538" s="1"/>
  <c r="M11" i="563"/>
  <c r="R29" i="540"/>
  <c r="R18" i="536"/>
  <c r="R21" i="537"/>
  <c r="Q24" i="501"/>
  <c r="N15" i="537"/>
  <c r="N15" i="538"/>
  <c r="P71" i="537"/>
  <c r="N16" i="501"/>
  <c r="R20" i="540"/>
  <c r="R18" i="538"/>
  <c r="Q19" i="540"/>
  <c r="Q19" i="501"/>
  <c r="R20" i="501"/>
  <c r="F71" i="537"/>
  <c r="D9" i="567"/>
  <c r="H9" i="567"/>
  <c r="N11" i="563"/>
  <c r="D8" i="567"/>
  <c r="H8" i="567"/>
  <c r="H16" i="567"/>
  <c r="D16" i="567"/>
  <c r="H17" i="567"/>
  <c r="D17" i="567"/>
  <c r="R18" i="501"/>
  <c r="H71" i="537"/>
  <c r="U69" i="533"/>
  <c r="R17" i="538"/>
  <c r="T69" i="533"/>
  <c r="R18" i="540"/>
  <c r="R16" i="517"/>
  <c r="R16" i="501" s="1"/>
  <c r="J71" i="537"/>
  <c r="Q16" i="501"/>
  <c r="Q15" i="538"/>
  <c r="Q15" i="537"/>
  <c r="Q16" i="540"/>
  <c r="N20" i="501"/>
  <c r="N19" i="538"/>
  <c r="N20" i="540"/>
  <c r="R23" i="554"/>
  <c r="R24" i="553" s="1"/>
  <c r="R24" i="517"/>
  <c r="R15" i="554"/>
  <c r="R16" i="553" s="1"/>
  <c r="R14" i="554"/>
  <c r="R15" i="553" s="1"/>
  <c r="R22" i="554"/>
  <c r="R23" i="553" s="1"/>
  <c r="R12" i="538"/>
  <c r="R12" i="537"/>
  <c r="R12" i="536"/>
  <c r="R13" i="540"/>
  <c r="N23" i="501"/>
  <c r="N23" i="540"/>
  <c r="R20" i="537"/>
  <c r="R17" i="536"/>
  <c r="R28" i="501"/>
  <c r="R28" i="540"/>
  <c r="R22" i="501"/>
  <c r="R22" i="540"/>
  <c r="R17" i="501"/>
  <c r="R16" i="538"/>
  <c r="R17" i="540"/>
  <c r="Q15" i="501"/>
  <c r="Q14" i="537"/>
  <c r="Q14" i="538"/>
  <c r="Q15" i="540"/>
  <c r="R19" i="536"/>
  <c r="R22" i="537"/>
  <c r="R30" i="540"/>
  <c r="R15" i="517"/>
  <c r="R14" i="536" s="1"/>
  <c r="R25" i="501"/>
  <c r="R20" i="538"/>
  <c r="R16" i="536"/>
  <c r="R18" i="537"/>
  <c r="R25" i="540"/>
  <c r="R26" i="501"/>
  <c r="R19" i="537"/>
  <c r="R21" i="538"/>
  <c r="R26" i="540"/>
  <c r="R27" i="501"/>
  <c r="R27" i="540"/>
  <c r="R22" i="538"/>
  <c r="Q23" i="501"/>
  <c r="Q23" i="540"/>
  <c r="N15" i="501"/>
  <c r="N14" i="538"/>
  <c r="N14" i="537"/>
  <c r="N69" i="536"/>
  <c r="N15" i="540"/>
  <c r="N19" i="501"/>
  <c r="N18" i="538"/>
  <c r="N19" i="540"/>
  <c r="R13" i="501"/>
  <c r="N78" i="517"/>
  <c r="R23" i="517"/>
  <c r="R69" i="533"/>
  <c r="S69" i="533"/>
  <c r="C16" i="526"/>
  <c r="E39" i="526"/>
  <c r="E19" i="526"/>
  <c r="E20" i="526"/>
  <c r="E21" i="526"/>
  <c r="E22" i="526"/>
  <c r="E23" i="526"/>
  <c r="E24" i="526"/>
  <c r="E25" i="526"/>
  <c r="E26" i="526"/>
  <c r="E27" i="526"/>
  <c r="E28" i="526"/>
  <c r="E29" i="526"/>
  <c r="E30" i="526"/>
  <c r="E31" i="526"/>
  <c r="E32" i="526"/>
  <c r="E33" i="526"/>
  <c r="E34" i="526"/>
  <c r="E35" i="526"/>
  <c r="E36" i="526"/>
  <c r="E37" i="526"/>
  <c r="E38" i="526"/>
  <c r="I17" i="526"/>
  <c r="C44" i="525"/>
  <c r="C44" i="526" s="1"/>
  <c r="D46" i="525"/>
  <c r="C45" i="525"/>
  <c r="D45" i="525" s="1"/>
  <c r="K17" i="488"/>
  <c r="G39" i="488"/>
  <c r="G38" i="488"/>
  <c r="G37" i="488"/>
  <c r="G36" i="488"/>
  <c r="G35" i="488"/>
  <c r="G34" i="488"/>
  <c r="G33" i="488"/>
  <c r="G32" i="488"/>
  <c r="G31" i="488"/>
  <c r="G30" i="488"/>
  <c r="G29" i="488"/>
  <c r="G28" i="488"/>
  <c r="G27" i="488"/>
  <c r="G26" i="488"/>
  <c r="G25" i="488"/>
  <c r="G24" i="488"/>
  <c r="G23" i="488"/>
  <c r="G22" i="488"/>
  <c r="G21" i="488"/>
  <c r="G20" i="488"/>
  <c r="G19" i="488"/>
  <c r="G18" i="488"/>
  <c r="G17" i="488"/>
  <c r="G16" i="488"/>
  <c r="E46" i="487"/>
  <c r="E44" i="487"/>
  <c r="E43" i="487"/>
  <c r="E13" i="487"/>
  <c r="E14" i="487"/>
  <c r="E15" i="487"/>
  <c r="E16" i="487"/>
  <c r="E16" i="488" s="1"/>
  <c r="E17" i="487"/>
  <c r="E17" i="488" s="1"/>
  <c r="E18" i="487"/>
  <c r="E18" i="488" s="1"/>
  <c r="E19" i="487"/>
  <c r="E19" i="488" s="1"/>
  <c r="E20" i="487"/>
  <c r="E20" i="488" s="1"/>
  <c r="E21" i="487"/>
  <c r="E21" i="488" s="1"/>
  <c r="E22" i="487"/>
  <c r="E22" i="488" s="1"/>
  <c r="E23" i="487"/>
  <c r="E23" i="488" s="1"/>
  <c r="E24" i="487"/>
  <c r="E24" i="488" s="1"/>
  <c r="E25" i="487"/>
  <c r="E25" i="488" s="1"/>
  <c r="E26" i="487"/>
  <c r="E26" i="488" s="1"/>
  <c r="E27" i="487"/>
  <c r="E27" i="488" s="1"/>
  <c r="E28" i="487"/>
  <c r="E28" i="488" s="1"/>
  <c r="E29" i="487"/>
  <c r="E30" i="487"/>
  <c r="E31" i="487"/>
  <c r="E32" i="487"/>
  <c r="E32" i="488" s="1"/>
  <c r="E33" i="487"/>
  <c r="E33" i="488" s="1"/>
  <c r="E34" i="487"/>
  <c r="E34" i="488" s="1"/>
  <c r="E35" i="487"/>
  <c r="E35" i="488" s="1"/>
  <c r="E36" i="487"/>
  <c r="E36" i="488" s="1"/>
  <c r="E37" i="487"/>
  <c r="E37" i="488" s="1"/>
  <c r="E38" i="487"/>
  <c r="E38" i="488" s="1"/>
  <c r="E39" i="487"/>
  <c r="E12" i="487"/>
  <c r="D46" i="487"/>
  <c r="D44" i="487"/>
  <c r="D43" i="487"/>
  <c r="D13" i="487"/>
  <c r="D13" i="488" s="1"/>
  <c r="D14" i="487"/>
  <c r="D14" i="488" s="1"/>
  <c r="D15" i="487"/>
  <c r="D15" i="488" s="1"/>
  <c r="D16" i="487"/>
  <c r="D16" i="488" s="1"/>
  <c r="D17" i="487"/>
  <c r="D17" i="488" s="1"/>
  <c r="D18" i="487"/>
  <c r="D18" i="488" s="1"/>
  <c r="D19" i="487"/>
  <c r="D19" i="488" s="1"/>
  <c r="D20" i="487"/>
  <c r="D20" i="488" s="1"/>
  <c r="D21" i="487"/>
  <c r="D21" i="488" s="1"/>
  <c r="D22" i="487"/>
  <c r="D22" i="488" s="1"/>
  <c r="D23" i="487"/>
  <c r="D24" i="487"/>
  <c r="D24" i="488" s="1"/>
  <c r="D25" i="487"/>
  <c r="D25" i="488" s="1"/>
  <c r="D26" i="487"/>
  <c r="D26" i="488" s="1"/>
  <c r="D27" i="487"/>
  <c r="D27" i="488" s="1"/>
  <c r="D28" i="487"/>
  <c r="D28" i="488" s="1"/>
  <c r="D29" i="487"/>
  <c r="D29" i="488" s="1"/>
  <c r="D30" i="487"/>
  <c r="D30" i="488" s="1"/>
  <c r="D31" i="487"/>
  <c r="D31" i="488" s="1"/>
  <c r="D32" i="487"/>
  <c r="D32" i="488" s="1"/>
  <c r="D33" i="487"/>
  <c r="D33" i="488" s="1"/>
  <c r="D34" i="487"/>
  <c r="D34" i="488" s="1"/>
  <c r="D35" i="487"/>
  <c r="D35" i="488" s="1"/>
  <c r="D36" i="487"/>
  <c r="D36" i="488" s="1"/>
  <c r="D37" i="487"/>
  <c r="D37" i="488" s="1"/>
  <c r="D38" i="487"/>
  <c r="D38" i="488" s="1"/>
  <c r="D39" i="487"/>
  <c r="D39" i="488" s="1"/>
  <c r="D12" i="487"/>
  <c r="C46" i="487"/>
  <c r="C44" i="487"/>
  <c r="C43" i="487"/>
  <c r="C13" i="487"/>
  <c r="C14" i="487"/>
  <c r="C15" i="487"/>
  <c r="C16" i="487"/>
  <c r="C17" i="487"/>
  <c r="C17" i="495" s="1"/>
  <c r="C18" i="487"/>
  <c r="C18" i="495" s="1"/>
  <c r="C19" i="487"/>
  <c r="C20" i="487"/>
  <c r="C21" i="487"/>
  <c r="C22" i="487"/>
  <c r="C23" i="487"/>
  <c r="C23" i="495" s="1"/>
  <c r="C24" i="487"/>
  <c r="C24" i="495" s="1"/>
  <c r="C25" i="487"/>
  <c r="C25" i="495" s="1"/>
  <c r="C26" i="487"/>
  <c r="C27" i="487"/>
  <c r="C28" i="487"/>
  <c r="C29" i="487"/>
  <c r="C30" i="487"/>
  <c r="C31" i="487"/>
  <c r="C32" i="487"/>
  <c r="C32" i="495" s="1"/>
  <c r="C33" i="487"/>
  <c r="C33" i="495" s="1"/>
  <c r="C34" i="487"/>
  <c r="C35" i="487"/>
  <c r="C36" i="487"/>
  <c r="C37" i="487"/>
  <c r="C38" i="487"/>
  <c r="C39" i="487"/>
  <c r="C12" i="487"/>
  <c r="H34" i="530"/>
  <c r="H36" i="530"/>
  <c r="H37" i="530"/>
  <c r="H39" i="530"/>
  <c r="C79" i="530"/>
  <c r="H38" i="530"/>
  <c r="H35" i="530"/>
  <c r="H33" i="530"/>
  <c r="H32" i="530"/>
  <c r="H31" i="530"/>
  <c r="H30" i="530"/>
  <c r="H29" i="530"/>
  <c r="H28" i="530"/>
  <c r="H27" i="530"/>
  <c r="H26" i="530"/>
  <c r="H25" i="530"/>
  <c r="H24" i="530"/>
  <c r="H23" i="530"/>
  <c r="H22" i="530"/>
  <c r="H21" i="530"/>
  <c r="H20" i="530"/>
  <c r="H19" i="530"/>
  <c r="H18" i="530"/>
  <c r="H17" i="530"/>
  <c r="H16" i="530"/>
  <c r="H15" i="530"/>
  <c r="H14" i="530"/>
  <c r="H13" i="530"/>
  <c r="H12" i="530"/>
  <c r="B2" i="530"/>
  <c r="N71" i="537" l="1"/>
  <c r="R15" i="537"/>
  <c r="R15" i="536"/>
  <c r="R16" i="540"/>
  <c r="R15" i="538"/>
  <c r="C12" i="526"/>
  <c r="R15" i="501"/>
  <c r="R14" i="537"/>
  <c r="R14" i="538"/>
  <c r="R15" i="540"/>
  <c r="R23" i="501"/>
  <c r="R23" i="540"/>
  <c r="R24" i="501"/>
  <c r="R24" i="540"/>
  <c r="G23" i="532"/>
  <c r="D43" i="525"/>
  <c r="D16" i="525"/>
  <c r="C17" i="526"/>
  <c r="D20" i="525"/>
  <c r="C31" i="526"/>
  <c r="C29" i="526"/>
  <c r="D29" i="526" s="1"/>
  <c r="F29" i="526" s="1"/>
  <c r="C21" i="526"/>
  <c r="D21" i="526" s="1"/>
  <c r="F21" i="526" s="1"/>
  <c r="C35" i="488"/>
  <c r="C35" i="495"/>
  <c r="C36" i="488"/>
  <c r="C36" i="495"/>
  <c r="C28" i="488"/>
  <c r="C28" i="495"/>
  <c r="C20" i="488"/>
  <c r="C20" i="495"/>
  <c r="C34" i="488"/>
  <c r="C34" i="495"/>
  <c r="C26" i="488"/>
  <c r="C26" i="495"/>
  <c r="C27" i="488"/>
  <c r="C27" i="495"/>
  <c r="C12" i="488"/>
  <c r="C12" i="495"/>
  <c r="C16" i="488"/>
  <c r="C16" i="495"/>
  <c r="C39" i="488"/>
  <c r="C39" i="495"/>
  <c r="C31" i="488"/>
  <c r="C31" i="495"/>
  <c r="C15" i="488"/>
  <c r="C15" i="495"/>
  <c r="D28" i="525"/>
  <c r="C23" i="526"/>
  <c r="D23" i="526" s="1"/>
  <c r="F23" i="526" s="1"/>
  <c r="C19" i="488"/>
  <c r="C19" i="495"/>
  <c r="C38" i="488"/>
  <c r="C38" i="495"/>
  <c r="C30" i="488"/>
  <c r="C30" i="495"/>
  <c r="C22" i="488"/>
  <c r="C22" i="495"/>
  <c r="C14" i="488"/>
  <c r="C14" i="495"/>
  <c r="C37" i="488"/>
  <c r="C37" i="495"/>
  <c r="C29" i="488"/>
  <c r="C29" i="495"/>
  <c r="C21" i="488"/>
  <c r="C21" i="495"/>
  <c r="C13" i="488"/>
  <c r="C13" i="495"/>
  <c r="D34" i="525"/>
  <c r="D27" i="525"/>
  <c r="D35" i="525"/>
  <c r="C46" i="526"/>
  <c r="R71" i="533"/>
  <c r="D22" i="525"/>
  <c r="D30" i="525"/>
  <c r="D38" i="525"/>
  <c r="C42" i="525"/>
  <c r="D12" i="525"/>
  <c r="D24" i="525"/>
  <c r="D32" i="525"/>
  <c r="C18" i="526"/>
  <c r="C41" i="525"/>
  <c r="D13" i="525"/>
  <c r="D21" i="525"/>
  <c r="D29" i="525"/>
  <c r="D37" i="525"/>
  <c r="D15" i="525"/>
  <c r="D23" i="525"/>
  <c r="D31" i="525"/>
  <c r="D39" i="525"/>
  <c r="D17" i="525"/>
  <c r="D25" i="525"/>
  <c r="D33" i="525"/>
  <c r="C47" i="525"/>
  <c r="D45" i="487"/>
  <c r="D45" i="488" s="1"/>
  <c r="D12" i="488"/>
  <c r="F39" i="487"/>
  <c r="F39" i="488" s="1"/>
  <c r="H39" i="488" s="1"/>
  <c r="E39" i="488"/>
  <c r="F19" i="487"/>
  <c r="F19" i="488" s="1"/>
  <c r="H19" i="488" s="1"/>
  <c r="F16" i="487"/>
  <c r="F16" i="488" s="1"/>
  <c r="H16" i="488" s="1"/>
  <c r="E45" i="487"/>
  <c r="E45" i="488" s="1"/>
  <c r="E12" i="488"/>
  <c r="D19" i="525"/>
  <c r="D18" i="525"/>
  <c r="C41" i="487"/>
  <c r="C18" i="488"/>
  <c r="D41" i="487"/>
  <c r="D23" i="488"/>
  <c r="F30" i="487"/>
  <c r="F30" i="488" s="1"/>
  <c r="H30" i="488" s="1"/>
  <c r="E30" i="488"/>
  <c r="F14" i="487"/>
  <c r="F14" i="488" s="1"/>
  <c r="H14" i="488" s="1"/>
  <c r="E14" i="488"/>
  <c r="F15" i="487"/>
  <c r="E15" i="488"/>
  <c r="F33" i="487"/>
  <c r="F33" i="488" s="1"/>
  <c r="H33" i="488" s="1"/>
  <c r="C33" i="488"/>
  <c r="F25" i="487"/>
  <c r="F25" i="488" s="1"/>
  <c r="H25" i="488" s="1"/>
  <c r="C25" i="488"/>
  <c r="F17" i="487"/>
  <c r="F17" i="488" s="1"/>
  <c r="H17" i="488" s="1"/>
  <c r="C17" i="488"/>
  <c r="F38" i="487"/>
  <c r="F38" i="488" s="1"/>
  <c r="H38" i="488" s="1"/>
  <c r="F29" i="487"/>
  <c r="F29" i="488" s="1"/>
  <c r="H29" i="488" s="1"/>
  <c r="E29" i="488"/>
  <c r="F13" i="487"/>
  <c r="E13" i="488"/>
  <c r="C40" i="525"/>
  <c r="F32" i="487"/>
  <c r="F32" i="488" s="1"/>
  <c r="H32" i="488" s="1"/>
  <c r="C32" i="488"/>
  <c r="F24" i="487"/>
  <c r="F24" i="488" s="1"/>
  <c r="H24" i="488" s="1"/>
  <c r="C24" i="488"/>
  <c r="F37" i="487"/>
  <c r="F37" i="488" s="1"/>
  <c r="H37" i="488" s="1"/>
  <c r="F31" i="487"/>
  <c r="F31" i="488" s="1"/>
  <c r="H31" i="488" s="1"/>
  <c r="E31" i="488"/>
  <c r="F23" i="487"/>
  <c r="F23" i="488" s="1"/>
  <c r="H23" i="488" s="1"/>
  <c r="C23" i="488"/>
  <c r="F22" i="487"/>
  <c r="F22" i="488" s="1"/>
  <c r="H22" i="488" s="1"/>
  <c r="F21" i="487"/>
  <c r="F21" i="488" s="1"/>
  <c r="H21" i="488" s="1"/>
  <c r="E47" i="487"/>
  <c r="D26" i="525"/>
  <c r="D42" i="488"/>
  <c r="F46" i="487"/>
  <c r="F43" i="487" s="1"/>
  <c r="D36" i="525"/>
  <c r="D47" i="525"/>
  <c r="F27" i="487"/>
  <c r="F27" i="488" s="1"/>
  <c r="H27" i="488" s="1"/>
  <c r="E42" i="487"/>
  <c r="D42" i="487"/>
  <c r="D40" i="487"/>
  <c r="C43" i="526"/>
  <c r="E41" i="487"/>
  <c r="C42" i="487"/>
  <c r="F35" i="487"/>
  <c r="D14" i="525"/>
  <c r="C20" i="526"/>
  <c r="C39" i="526"/>
  <c r="C15" i="526"/>
  <c r="C37" i="526"/>
  <c r="C36" i="526"/>
  <c r="C33" i="526"/>
  <c r="C28" i="526"/>
  <c r="C25" i="526"/>
  <c r="C38" i="526"/>
  <c r="C30" i="526"/>
  <c r="C22" i="526"/>
  <c r="C14" i="526"/>
  <c r="C35" i="526"/>
  <c r="C27" i="526"/>
  <c r="C19" i="526"/>
  <c r="C34" i="526"/>
  <c r="C26" i="526"/>
  <c r="D26" i="526" s="1"/>
  <c r="F26" i="526" s="1"/>
  <c r="C13" i="526"/>
  <c r="C32" i="526"/>
  <c r="C24" i="526"/>
  <c r="F34" i="487"/>
  <c r="F34" i="488" s="1"/>
  <c r="H34" i="488" s="1"/>
  <c r="F26" i="487"/>
  <c r="F28" i="487"/>
  <c r="F28" i="488" s="1"/>
  <c r="H28" i="488" s="1"/>
  <c r="F12" i="487"/>
  <c r="F12" i="488" s="1"/>
  <c r="F36" i="487"/>
  <c r="F20" i="487"/>
  <c r="E40" i="487"/>
  <c r="D47" i="487"/>
  <c r="F47" i="487"/>
  <c r="F18" i="487"/>
  <c r="F18" i="488" s="1"/>
  <c r="H41" i="530"/>
  <c r="B2" i="529"/>
  <c r="C47" i="526" l="1"/>
  <c r="I15" i="526"/>
  <c r="I16" i="526"/>
  <c r="G24" i="532"/>
  <c r="G25" i="532"/>
  <c r="D46" i="526"/>
  <c r="L14" i="572" s="1"/>
  <c r="L19" i="572" s="1"/>
  <c r="E12" i="572" s="1"/>
  <c r="D31" i="526"/>
  <c r="F31" i="526" s="1"/>
  <c r="D19" i="526"/>
  <c r="F19" i="526" s="1"/>
  <c r="D40" i="488"/>
  <c r="D15" i="526"/>
  <c r="F15" i="526" s="1"/>
  <c r="D41" i="488"/>
  <c r="C42" i="488"/>
  <c r="E41" i="488"/>
  <c r="D42" i="525"/>
  <c r="D40" i="525"/>
  <c r="D34" i="526"/>
  <c r="F34" i="526" s="1"/>
  <c r="C41" i="488"/>
  <c r="D28" i="526"/>
  <c r="F28" i="526" s="1"/>
  <c r="F20" i="488"/>
  <c r="H20" i="488" s="1"/>
  <c r="D32" i="526"/>
  <c r="F32" i="526" s="1"/>
  <c r="D38" i="526"/>
  <c r="F38" i="526" s="1"/>
  <c r="D41" i="525"/>
  <c r="F15" i="488"/>
  <c r="H15" i="488" s="1"/>
  <c r="F26" i="488"/>
  <c r="H26" i="488" s="1"/>
  <c r="F36" i="488"/>
  <c r="H36" i="488" s="1"/>
  <c r="F35" i="488"/>
  <c r="H35" i="488" s="1"/>
  <c r="L25" i="567" s="1"/>
  <c r="L12" i="552" s="1"/>
  <c r="F13" i="488"/>
  <c r="H13" i="488" s="1"/>
  <c r="F40" i="487"/>
  <c r="F41" i="487"/>
  <c r="E42" i="488"/>
  <c r="E40" i="488"/>
  <c r="F42" i="487"/>
  <c r="D36" i="526"/>
  <c r="F36" i="526" s="1"/>
  <c r="N25" i="567" s="1"/>
  <c r="N12" i="552" s="1"/>
  <c r="D12" i="526"/>
  <c r="F12" i="526" s="1"/>
  <c r="D20" i="526"/>
  <c r="F20" i="526" s="1"/>
  <c r="D37" i="526"/>
  <c r="F37" i="526" s="1"/>
  <c r="D14" i="526"/>
  <c r="F14" i="526" s="1"/>
  <c r="D39" i="526"/>
  <c r="F39" i="526" s="1"/>
  <c r="D47" i="526"/>
  <c r="D18" i="526"/>
  <c r="D33" i="526"/>
  <c r="F33" i="526" s="1"/>
  <c r="J25" i="567" s="1"/>
  <c r="J12" i="552" s="1"/>
  <c r="D30" i="526"/>
  <c r="F30" i="526" s="1"/>
  <c r="D17" i="526"/>
  <c r="F17" i="526" s="1"/>
  <c r="D25" i="526"/>
  <c r="F25" i="526" s="1"/>
  <c r="F25" i="567" s="1"/>
  <c r="F12" i="552" s="1"/>
  <c r="C42" i="526"/>
  <c r="D16" i="526"/>
  <c r="F16" i="526" s="1"/>
  <c r="D22" i="526"/>
  <c r="F22" i="526" s="1"/>
  <c r="C40" i="526"/>
  <c r="D27" i="526"/>
  <c r="F27" i="526" s="1"/>
  <c r="H25" i="567" s="1"/>
  <c r="H12" i="552" s="1"/>
  <c r="D35" i="526"/>
  <c r="D24" i="526"/>
  <c r="F24" i="526" s="1"/>
  <c r="C41" i="526"/>
  <c r="D13" i="526"/>
  <c r="F13" i="526" s="1"/>
  <c r="H11" i="572" l="1"/>
  <c r="E34" i="572" s="1"/>
  <c r="H34" i="572" s="1"/>
  <c r="E42" i="572" s="1"/>
  <c r="H44" i="572" s="1"/>
  <c r="E49" i="572" s="1"/>
  <c r="G49" i="572" s="1"/>
  <c r="E19" i="572"/>
  <c r="F18" i="526"/>
  <c r="D41" i="526"/>
  <c r="D43" i="526"/>
  <c r="D42" i="526"/>
  <c r="H42" i="488"/>
  <c r="F42" i="488"/>
  <c r="F41" i="488"/>
  <c r="H18" i="488"/>
  <c r="H41" i="488" s="1"/>
  <c r="H12" i="488"/>
  <c r="F40" i="488"/>
  <c r="F35" i="526"/>
  <c r="F42" i="526" s="1"/>
  <c r="D25" i="567" s="1"/>
  <c r="D12" i="552" s="1"/>
  <c r="D40" i="526"/>
  <c r="H49" i="572" l="1"/>
  <c r="F11" i="535"/>
  <c r="E24" i="572"/>
  <c r="H18" i="572"/>
  <c r="F41" i="526"/>
  <c r="H40" i="488"/>
  <c r="F40" i="526"/>
  <c r="F12" i="535" l="1"/>
  <c r="F13" i="417"/>
  <c r="F14" i="417" s="1"/>
  <c r="I25" i="572"/>
  <c r="I29" i="572"/>
  <c r="I26" i="572"/>
  <c r="I28" i="572"/>
  <c r="I27" i="572"/>
  <c r="H46" i="528"/>
  <c r="B2" i="528"/>
  <c r="R58" i="525"/>
  <c r="Q58" i="525"/>
  <c r="P56" i="525"/>
  <c r="Q56" i="525" s="1"/>
  <c r="P52" i="525"/>
  <c r="E39" i="525"/>
  <c r="E38" i="525"/>
  <c r="E37" i="525"/>
  <c r="F37" i="525" s="1"/>
  <c r="E36" i="525"/>
  <c r="F36" i="525" s="1"/>
  <c r="M25" i="567" s="1"/>
  <c r="M12" i="552" s="1"/>
  <c r="E35" i="525"/>
  <c r="E34" i="525"/>
  <c r="F34" i="525" s="1"/>
  <c r="E33" i="525"/>
  <c r="E32" i="525"/>
  <c r="E31" i="525"/>
  <c r="F31" i="525" s="1"/>
  <c r="E30" i="525"/>
  <c r="F30" i="525" s="1"/>
  <c r="E29" i="525"/>
  <c r="F29" i="525" s="1"/>
  <c r="E28" i="525"/>
  <c r="F28" i="525" s="1"/>
  <c r="E27" i="525"/>
  <c r="F27" i="525" s="1"/>
  <c r="G25" i="567" s="1"/>
  <c r="G12" i="552" s="1"/>
  <c r="E26" i="525"/>
  <c r="E25" i="525"/>
  <c r="F25" i="525" s="1"/>
  <c r="E25" i="567" s="1"/>
  <c r="E12" i="552" s="1"/>
  <c r="E24" i="525"/>
  <c r="F24" i="525" s="1"/>
  <c r="E23" i="525"/>
  <c r="E22" i="525"/>
  <c r="F22" i="525" s="1"/>
  <c r="E21" i="525"/>
  <c r="F21" i="525" s="1"/>
  <c r="E20" i="525"/>
  <c r="F20" i="525" s="1"/>
  <c r="E19" i="525"/>
  <c r="F19" i="525" s="1"/>
  <c r="E18" i="525"/>
  <c r="E17" i="525"/>
  <c r="E16" i="525"/>
  <c r="F16" i="525" s="1"/>
  <c r="F14" i="525"/>
  <c r="G25" i="487"/>
  <c r="G26" i="487"/>
  <c r="G27" i="487"/>
  <c r="G28" i="487"/>
  <c r="G29" i="487"/>
  <c r="G30" i="487"/>
  <c r="H30" i="487" s="1"/>
  <c r="G31" i="487"/>
  <c r="H31" i="487" s="1"/>
  <c r="G32" i="487"/>
  <c r="G33" i="487"/>
  <c r="G34" i="487"/>
  <c r="G35" i="487"/>
  <c r="G36" i="487"/>
  <c r="G37" i="487"/>
  <c r="G38" i="487"/>
  <c r="H38" i="487" s="1"/>
  <c r="G39" i="487"/>
  <c r="H39" i="487" s="1"/>
  <c r="I13" i="519"/>
  <c r="I14" i="519"/>
  <c r="I15" i="519"/>
  <c r="I16" i="519"/>
  <c r="I17" i="519"/>
  <c r="I18" i="519"/>
  <c r="I19" i="519"/>
  <c r="I20" i="519"/>
  <c r="I21" i="519"/>
  <c r="I22" i="519"/>
  <c r="I23" i="519"/>
  <c r="I24" i="519"/>
  <c r="I25" i="519"/>
  <c r="I26" i="519"/>
  <c r="I27" i="519"/>
  <c r="I28" i="519"/>
  <c r="I29" i="519"/>
  <c r="I30" i="519"/>
  <c r="I31" i="519"/>
  <c r="I32" i="519"/>
  <c r="I33" i="519"/>
  <c r="I34" i="519"/>
  <c r="I35" i="519"/>
  <c r="I36" i="519"/>
  <c r="I37" i="519"/>
  <c r="I38" i="519"/>
  <c r="I39" i="519"/>
  <c r="I12" i="519"/>
  <c r="H16" i="519"/>
  <c r="I30" i="572" l="1"/>
  <c r="E35" i="572" s="1"/>
  <c r="H35" i="572" s="1"/>
  <c r="E43" i="572" s="1"/>
  <c r="H45" i="572" s="1"/>
  <c r="E48" i="572" s="1"/>
  <c r="G48" i="572" s="1"/>
  <c r="O11" i="231"/>
  <c r="H46" i="519"/>
  <c r="F32" i="525"/>
  <c r="I12" i="525"/>
  <c r="I12" i="526" s="1"/>
  <c r="F35" i="525"/>
  <c r="F15" i="525"/>
  <c r="F39" i="525"/>
  <c r="F26" i="525"/>
  <c r="F33" i="525"/>
  <c r="I25" i="567" s="1"/>
  <c r="I12" i="552" s="1"/>
  <c r="F17" i="525"/>
  <c r="F38" i="525"/>
  <c r="O14" i="529"/>
  <c r="M34" i="517" s="1"/>
  <c r="F23" i="525"/>
  <c r="H37" i="487"/>
  <c r="H29" i="487"/>
  <c r="F12" i="525"/>
  <c r="H35" i="487"/>
  <c r="K25" i="567" s="1"/>
  <c r="K12" i="552" s="1"/>
  <c r="F18" i="525"/>
  <c r="F13" i="525"/>
  <c r="I17" i="525" s="1"/>
  <c r="H41" i="528"/>
  <c r="H36" i="487"/>
  <c r="H28" i="487"/>
  <c r="H27" i="487"/>
  <c r="H34" i="487"/>
  <c r="H26" i="487"/>
  <c r="H33" i="487"/>
  <c r="H25" i="487"/>
  <c r="H32" i="487"/>
  <c r="H48" i="572" l="1"/>
  <c r="H50" i="572" s="1"/>
  <c r="S21" i="90" s="1"/>
  <c r="D11" i="535"/>
  <c r="O34" i="517"/>
  <c r="O21" i="90" s="1"/>
  <c r="M21" i="90"/>
  <c r="J24" i="531"/>
  <c r="F42" i="525"/>
  <c r="C25" i="567" s="1"/>
  <c r="F41" i="525"/>
  <c r="I14" i="529" s="1"/>
  <c r="I34" i="517" s="1"/>
  <c r="P14" i="529"/>
  <c r="Q14" i="529" s="1"/>
  <c r="N34" i="517" s="1"/>
  <c r="I14" i="525"/>
  <c r="I14" i="526" s="1"/>
  <c r="L14" i="529"/>
  <c r="K34" i="517" s="1"/>
  <c r="H42" i="487"/>
  <c r="C14" i="529"/>
  <c r="E34" i="517" s="1"/>
  <c r="F40" i="525"/>
  <c r="I13" i="525"/>
  <c r="F14" i="529" s="1"/>
  <c r="G34" i="517" s="1"/>
  <c r="O26" i="537" l="1"/>
  <c r="O23" i="536"/>
  <c r="O29" i="538"/>
  <c r="M26" i="537"/>
  <c r="M23" i="536"/>
  <c r="M29" i="538"/>
  <c r="S34" i="517"/>
  <c r="S23" i="536"/>
  <c r="S26" i="537"/>
  <c r="S29" i="538"/>
  <c r="D13" i="417"/>
  <c r="Q11" i="535"/>
  <c r="D12" i="535"/>
  <c r="R12" i="535" s="1"/>
  <c r="C12" i="552"/>
  <c r="H24" i="531"/>
  <c r="H13" i="406" s="1"/>
  <c r="K21" i="90"/>
  <c r="N24" i="531"/>
  <c r="N13" i="406" s="1"/>
  <c r="L24" i="531"/>
  <c r="L13" i="406" s="1"/>
  <c r="J13" i="406"/>
  <c r="K24" i="531"/>
  <c r="P34" i="517"/>
  <c r="P21" i="90" s="1"/>
  <c r="N21" i="90"/>
  <c r="G21" i="90"/>
  <c r="D24" i="531"/>
  <c r="D13" i="406" s="1"/>
  <c r="B24" i="531"/>
  <c r="B13" i="406" s="1"/>
  <c r="E21" i="90"/>
  <c r="I21" i="90"/>
  <c r="F24" i="531"/>
  <c r="F13" i="406" s="1"/>
  <c r="R14" i="529"/>
  <c r="R16" i="529"/>
  <c r="R17" i="529"/>
  <c r="S17" i="529" s="1"/>
  <c r="T17" i="529" s="1"/>
  <c r="I13" i="526"/>
  <c r="D14" i="529"/>
  <c r="E14" i="529" s="1"/>
  <c r="F34" i="517" s="1"/>
  <c r="M14" i="529"/>
  <c r="N14" i="529" s="1"/>
  <c r="L34" i="517" s="1"/>
  <c r="J14" i="529"/>
  <c r="K29" i="538" l="1"/>
  <c r="K26" i="537"/>
  <c r="K23" i="536"/>
  <c r="N26" i="537"/>
  <c r="N23" i="536"/>
  <c r="N29" i="538"/>
  <c r="P26" i="537"/>
  <c r="P23" i="536"/>
  <c r="P29" i="538"/>
  <c r="I26" i="537"/>
  <c r="I23" i="536"/>
  <c r="I29" i="538"/>
  <c r="G26" i="537"/>
  <c r="G23" i="536"/>
  <c r="G29" i="538"/>
  <c r="E26" i="537"/>
  <c r="E23" i="536"/>
  <c r="E29" i="538"/>
  <c r="Q13" i="417"/>
  <c r="D14" i="417"/>
  <c r="R14" i="417" s="1"/>
  <c r="O24" i="531"/>
  <c r="O13" i="406" s="1"/>
  <c r="M24" i="531"/>
  <c r="M13" i="406" s="1"/>
  <c r="K13" i="406"/>
  <c r="I24" i="531"/>
  <c r="I13" i="406" s="1"/>
  <c r="L21" i="90"/>
  <c r="C24" i="531"/>
  <c r="C13" i="406" s="1"/>
  <c r="F21" i="90"/>
  <c r="S16" i="529"/>
  <c r="T16" i="529" s="1"/>
  <c r="R31" i="517" s="1"/>
  <c r="Q31" i="517"/>
  <c r="C24" i="567" s="1"/>
  <c r="R19" i="529"/>
  <c r="K14" i="529"/>
  <c r="J34" i="517" s="1"/>
  <c r="S14" i="529"/>
  <c r="Q34" i="517"/>
  <c r="G14" i="529"/>
  <c r="H14" i="529" s="1"/>
  <c r="H34" i="517" s="1"/>
  <c r="H21" i="90" s="1"/>
  <c r="F26" i="537" l="1"/>
  <c r="F23" i="536"/>
  <c r="F29" i="538"/>
  <c r="H26" i="537"/>
  <c r="H23" i="536"/>
  <c r="H29" i="538"/>
  <c r="L26" i="537"/>
  <c r="L23" i="536"/>
  <c r="L29" i="538"/>
  <c r="D24" i="567"/>
  <c r="D11" i="552" s="1"/>
  <c r="Q21" i="90"/>
  <c r="C11" i="552"/>
  <c r="E24" i="567"/>
  <c r="R18" i="90"/>
  <c r="R26" i="538" s="1"/>
  <c r="Q18" i="90"/>
  <c r="Q26" i="538" s="1"/>
  <c r="T14" i="529"/>
  <c r="S19" i="529"/>
  <c r="G24" i="531"/>
  <c r="G13" i="406" s="1"/>
  <c r="J21" i="90"/>
  <c r="E24" i="531"/>
  <c r="E13" i="406" s="1"/>
  <c r="R23" i="537"/>
  <c r="R31" i="540"/>
  <c r="Q30" i="554"/>
  <c r="Q18" i="556"/>
  <c r="Q26" i="537" l="1"/>
  <c r="Q23" i="536"/>
  <c r="Q29" i="538"/>
  <c r="J29" i="538"/>
  <c r="J26" i="537"/>
  <c r="J23" i="536"/>
  <c r="F24" i="567"/>
  <c r="H24" i="567" s="1"/>
  <c r="E11" i="552"/>
  <c r="G24" i="567"/>
  <c r="R34" i="517"/>
  <c r="T19" i="529"/>
  <c r="R20" i="536"/>
  <c r="Q23" i="537"/>
  <c r="Q20" i="536"/>
  <c r="Q31" i="540"/>
  <c r="F11" i="552" l="1"/>
  <c r="H11" i="552"/>
  <c r="J24" i="567"/>
  <c r="G11" i="552"/>
  <c r="I24" i="567"/>
  <c r="R21" i="90"/>
  <c r="R30" i="554"/>
  <c r="R18" i="556"/>
  <c r="L47" i="556"/>
  <c r="L75" i="538"/>
  <c r="L60" i="540"/>
  <c r="I71" i="90"/>
  <c r="R29" i="538" l="1"/>
  <c r="R26" i="537"/>
  <c r="R23" i="536"/>
  <c r="L24" i="567"/>
  <c r="J11" i="552"/>
  <c r="K24" i="567"/>
  <c r="I11" i="552"/>
  <c r="F47" i="556"/>
  <c r="F75" i="538"/>
  <c r="F55" i="537"/>
  <c r="L53" i="536"/>
  <c r="L52" i="536"/>
  <c r="L48" i="556"/>
  <c r="L50" i="556"/>
  <c r="L49" i="556"/>
  <c r="L55" i="537"/>
  <c r="P47" i="556"/>
  <c r="F60" i="540"/>
  <c r="L73" i="537" l="1"/>
  <c r="F73" i="537"/>
  <c r="M24" i="567"/>
  <c r="K11" i="552"/>
  <c r="N24" i="567"/>
  <c r="L11" i="552"/>
  <c r="P57" i="538"/>
  <c r="P75" i="538" s="1"/>
  <c r="P48" i="542"/>
  <c r="M39" i="544" s="1"/>
  <c r="R41" i="552"/>
  <c r="R42" i="552"/>
  <c r="R43" i="552"/>
  <c r="L71" i="536"/>
  <c r="H47" i="556"/>
  <c r="H75" i="538"/>
  <c r="H55" i="537"/>
  <c r="J47" i="556"/>
  <c r="J75" i="538"/>
  <c r="J55" i="537"/>
  <c r="F53" i="536"/>
  <c r="F52" i="536"/>
  <c r="P49" i="556"/>
  <c r="P48" i="556"/>
  <c r="P50" i="556"/>
  <c r="N47" i="556"/>
  <c r="L60" i="556"/>
  <c r="F49" i="556"/>
  <c r="F50" i="556"/>
  <c r="F48" i="556"/>
  <c r="P60" i="540"/>
  <c r="H60" i="540"/>
  <c r="R52" i="552" l="1"/>
  <c r="Y52" i="552" s="1"/>
  <c r="J73" i="537"/>
  <c r="H73" i="537"/>
  <c r="P24" i="567"/>
  <c r="P61" i="567" s="1"/>
  <c r="N11" i="552"/>
  <c r="O24" i="567"/>
  <c r="O61" i="567" s="1"/>
  <c r="M11" i="552"/>
  <c r="M42" i="544"/>
  <c r="M40" i="544"/>
  <c r="O39" i="544"/>
  <c r="M41" i="544"/>
  <c r="N57" i="538"/>
  <c r="P51" i="542"/>
  <c r="P50" i="542"/>
  <c r="P49" i="542"/>
  <c r="P51" i="536"/>
  <c r="P54" i="537"/>
  <c r="N60" i="540"/>
  <c r="N48" i="542"/>
  <c r="K39" i="544" s="1"/>
  <c r="F71" i="536"/>
  <c r="H53" i="536"/>
  <c r="H52" i="536"/>
  <c r="P60" i="556"/>
  <c r="J52" i="536"/>
  <c r="H50" i="556"/>
  <c r="H49" i="556"/>
  <c r="H48" i="556"/>
  <c r="F60" i="556"/>
  <c r="J48" i="556"/>
  <c r="J49" i="556" s="1"/>
  <c r="J50" i="556" s="1"/>
  <c r="N50" i="556"/>
  <c r="N49" i="556"/>
  <c r="N48" i="556"/>
  <c r="J50" i="90"/>
  <c r="J60" i="540"/>
  <c r="N51" i="90"/>
  <c r="N62" i="540" s="1"/>
  <c r="N50" i="90"/>
  <c r="N61" i="540" s="1"/>
  <c r="N52" i="90"/>
  <c r="N63" i="540" s="1"/>
  <c r="C14" i="523"/>
  <c r="C15" i="523" s="1"/>
  <c r="P55" i="537" l="1"/>
  <c r="P73" i="537" s="1"/>
  <c r="J53" i="536"/>
  <c r="J71" i="536" s="1"/>
  <c r="O11" i="552"/>
  <c r="O52" i="552" s="1"/>
  <c r="P11" i="552"/>
  <c r="P52" i="552" s="1"/>
  <c r="K41" i="544"/>
  <c r="K42" i="544"/>
  <c r="K40" i="544"/>
  <c r="O42" i="544"/>
  <c r="O40" i="544"/>
  <c r="O41" i="544"/>
  <c r="P53" i="536"/>
  <c r="P52" i="536"/>
  <c r="N54" i="537"/>
  <c r="N51" i="536"/>
  <c r="N75" i="538"/>
  <c r="N13" i="547"/>
  <c r="H71" i="536"/>
  <c r="N50" i="542"/>
  <c r="N51" i="542"/>
  <c r="N49" i="542"/>
  <c r="N60" i="556"/>
  <c r="J60" i="556"/>
  <c r="H60" i="556"/>
  <c r="J51" i="90"/>
  <c r="J61" i="540"/>
  <c r="N71" i="90"/>
  <c r="P71" i="536" l="1"/>
  <c r="N55" i="537"/>
  <c r="N73" i="537" s="1"/>
  <c r="N53" i="536"/>
  <c r="N52" i="536"/>
  <c r="J52" i="90"/>
  <c r="J63" i="540" s="1"/>
  <c r="J62" i="540"/>
  <c r="E23" i="503"/>
  <c r="E14" i="524"/>
  <c r="E23" i="524" s="1"/>
  <c r="F29" i="524"/>
  <c r="F28" i="524"/>
  <c r="F27" i="524"/>
  <c r="F26" i="524"/>
  <c r="E20" i="524"/>
  <c r="E13" i="524"/>
  <c r="F25" i="524" s="1"/>
  <c r="B3" i="524"/>
  <c r="B2" i="524"/>
  <c r="E20" i="503"/>
  <c r="F29" i="503"/>
  <c r="F28" i="503"/>
  <c r="F27" i="503"/>
  <c r="F26" i="503"/>
  <c r="E13" i="503"/>
  <c r="N71" i="536" l="1"/>
  <c r="J13" i="547"/>
  <c r="J71" i="90"/>
  <c r="C19" i="523"/>
  <c r="G41" i="523"/>
  <c r="G42" i="523" s="1"/>
  <c r="G43" i="523" s="1"/>
  <c r="F41" i="523"/>
  <c r="F42" i="523" s="1"/>
  <c r="E41" i="523"/>
  <c r="E42" i="523" s="1"/>
  <c r="E43" i="523" s="1"/>
  <c r="D41" i="523"/>
  <c r="D42" i="523" s="1"/>
  <c r="C41" i="523"/>
  <c r="C42" i="523" s="1"/>
  <c r="C34" i="523"/>
  <c r="G29" i="523"/>
  <c r="F29" i="523"/>
  <c r="E29" i="523"/>
  <c r="D29" i="523"/>
  <c r="C29" i="523"/>
  <c r="B3" i="523"/>
  <c r="B2" i="523"/>
  <c r="D43" i="523" l="1"/>
  <c r="F27" i="535" s="1"/>
  <c r="F29" i="535" s="1"/>
  <c r="F43" i="523"/>
  <c r="E27" i="535" s="1"/>
  <c r="C43" i="523"/>
  <c r="H43" i="523" s="1"/>
  <c r="S47" i="556" s="1"/>
  <c r="G30" i="523"/>
  <c r="G31" i="523" s="1"/>
  <c r="E30" i="523"/>
  <c r="E31" i="523" s="1"/>
  <c r="D30" i="523"/>
  <c r="D31" i="523" s="1"/>
  <c r="C35" i="523"/>
  <c r="C36" i="523" s="1"/>
  <c r="H42" i="523"/>
  <c r="C30" i="523"/>
  <c r="C31" i="523" s="1"/>
  <c r="F30" i="523"/>
  <c r="F31" i="523" s="1"/>
  <c r="E29" i="535" l="1"/>
  <c r="E30" i="535" s="1"/>
  <c r="E33" i="535"/>
  <c r="E34" i="535" s="1"/>
  <c r="E31" i="535"/>
  <c r="E32" i="535" s="1"/>
  <c r="E28" i="535"/>
  <c r="D27" i="535"/>
  <c r="F28" i="535"/>
  <c r="S49" i="556"/>
  <c r="S50" i="556"/>
  <c r="S48" i="556"/>
  <c r="S49" i="90"/>
  <c r="F33" i="535"/>
  <c r="F34" i="535" s="1"/>
  <c r="F31" i="535"/>
  <c r="F32" i="535" s="1"/>
  <c r="F30" i="535"/>
  <c r="D31" i="535" l="1"/>
  <c r="D32" i="535" s="1"/>
  <c r="Q27" i="535"/>
  <c r="D28" i="535"/>
  <c r="R28" i="535" s="1"/>
  <c r="D29" i="535"/>
  <c r="D33" i="535"/>
  <c r="D34" i="535" s="1"/>
  <c r="R34" i="535" s="1"/>
  <c r="S60" i="540"/>
  <c r="S57" i="538"/>
  <c r="S52" i="90"/>
  <c r="S63" i="540" s="1"/>
  <c r="S50" i="90"/>
  <c r="S61" i="540" s="1"/>
  <c r="S51" i="90"/>
  <c r="S62" i="540" s="1"/>
  <c r="Q31" i="535"/>
  <c r="R32" i="535"/>
  <c r="C41" i="513"/>
  <c r="Q33" i="535" l="1"/>
  <c r="D30" i="535"/>
  <c r="R30" i="535" s="1"/>
  <c r="Q29" i="535"/>
  <c r="S51" i="536"/>
  <c r="S54" i="537"/>
  <c r="G47" i="406"/>
  <c r="F47" i="406"/>
  <c r="G46" i="406"/>
  <c r="G48" i="406" s="1"/>
  <c r="F46" i="406"/>
  <c r="F48" i="406" s="1"/>
  <c r="B18" i="404"/>
  <c r="B17" i="404"/>
  <c r="B16" i="404"/>
  <c r="B14" i="404"/>
  <c r="B13" i="404"/>
  <c r="B12" i="404"/>
  <c r="B11" i="404"/>
  <c r="B10" i="404"/>
  <c r="A18" i="404"/>
  <c r="A17" i="404"/>
  <c r="A16" i="404"/>
  <c r="A15" i="404"/>
  <c r="S55" i="537" l="1"/>
  <c r="S52" i="536"/>
  <c r="S53" i="536"/>
  <c r="F18" i="412"/>
  <c r="F16" i="412"/>
  <c r="F8" i="412"/>
  <c r="D29" i="411"/>
  <c r="F10" i="412" l="1"/>
  <c r="F13" i="412"/>
  <c r="F14" i="412"/>
  <c r="F9" i="412"/>
  <c r="F12" i="412"/>
  <c r="F15" i="412"/>
  <c r="B48" i="542"/>
  <c r="B49" i="542"/>
  <c r="F18" i="274"/>
  <c r="N11" i="413"/>
  <c r="B50" i="542" l="1"/>
  <c r="B51" i="542"/>
  <c r="B60" i="540"/>
  <c r="B61" i="540" s="1"/>
  <c r="F19" i="274"/>
  <c r="F16" i="274"/>
  <c r="G52" i="90"/>
  <c r="G63" i="540" s="1"/>
  <c r="F17" i="274"/>
  <c r="F20" i="274"/>
  <c r="P20" i="274" s="1"/>
  <c r="O51" i="90"/>
  <c r="O52" i="90"/>
  <c r="K51" i="90"/>
  <c r="K52" i="90"/>
  <c r="P51" i="90"/>
  <c r="P62" i="540" s="1"/>
  <c r="E52" i="90"/>
  <c r="P52" i="90"/>
  <c r="P63" i="540" s="1"/>
  <c r="L51" i="90"/>
  <c r="L62" i="540" s="1"/>
  <c r="L52" i="90"/>
  <c r="L63" i="540" s="1"/>
  <c r="M12" i="413"/>
  <c r="N12" i="413" s="1"/>
  <c r="D46" i="406"/>
  <c r="D47" i="406"/>
  <c r="M13" i="413"/>
  <c r="N13" i="413" s="1"/>
  <c r="B47" i="406"/>
  <c r="B46" i="406"/>
  <c r="B48" i="406" s="1"/>
  <c r="M14" i="413"/>
  <c r="N14" i="413" s="1"/>
  <c r="E50" i="90"/>
  <c r="C39" i="571" s="1"/>
  <c r="G50" i="90"/>
  <c r="H47" i="406"/>
  <c r="H46" i="406"/>
  <c r="J47" i="406"/>
  <c r="N45" i="406"/>
  <c r="E46" i="406"/>
  <c r="E48" i="406" s="1"/>
  <c r="E47" i="406"/>
  <c r="M15" i="413"/>
  <c r="N15" i="413" s="1"/>
  <c r="E51" i="90"/>
  <c r="G51" i="90"/>
  <c r="G62" i="540" s="1"/>
  <c r="K50" i="90"/>
  <c r="I39" i="571" s="1"/>
  <c r="O50" i="90"/>
  <c r="L39" i="571" s="1"/>
  <c r="M16" i="413"/>
  <c r="N16" i="413" s="1"/>
  <c r="F52" i="90"/>
  <c r="F63" i="540" s="1"/>
  <c r="H50" i="90"/>
  <c r="H51" i="90"/>
  <c r="H62" i="540" s="1"/>
  <c r="I47" i="406"/>
  <c r="I46" i="406"/>
  <c r="I48" i="406" s="1"/>
  <c r="O45" i="406"/>
  <c r="K46" i="406"/>
  <c r="K48" i="406" s="1"/>
  <c r="K47" i="406"/>
  <c r="H52" i="90"/>
  <c r="H63" i="540" s="1"/>
  <c r="L50" i="90"/>
  <c r="P50" i="90"/>
  <c r="F50" i="90"/>
  <c r="F51" i="90"/>
  <c r="F62" i="540" s="1"/>
  <c r="M39" i="571" l="1"/>
  <c r="N39" i="571" s="1"/>
  <c r="J39" i="571"/>
  <c r="K39" i="571" s="1"/>
  <c r="D39" i="571"/>
  <c r="E39" i="571" s="1"/>
  <c r="E63" i="540"/>
  <c r="C41" i="571"/>
  <c r="E62" i="540"/>
  <c r="C40" i="571"/>
  <c r="O63" i="540"/>
  <c r="L41" i="571"/>
  <c r="O62" i="540"/>
  <c r="L40" i="571"/>
  <c r="K63" i="540"/>
  <c r="I41" i="571"/>
  <c r="K62" i="540"/>
  <c r="I40" i="571"/>
  <c r="H48" i="406"/>
  <c r="J48" i="406"/>
  <c r="D48" i="406"/>
  <c r="F61" i="540"/>
  <c r="F13" i="547"/>
  <c r="G61" i="540"/>
  <c r="G13" i="547"/>
  <c r="H61" i="540"/>
  <c r="H13" i="547"/>
  <c r="E61" i="540"/>
  <c r="E13" i="547"/>
  <c r="P61" i="540"/>
  <c r="P13" i="547"/>
  <c r="O61" i="540"/>
  <c r="O13" i="547"/>
  <c r="L61" i="540"/>
  <c r="L13" i="547"/>
  <c r="K61" i="540"/>
  <c r="K13" i="547"/>
  <c r="B62" i="540"/>
  <c r="B63" i="540"/>
  <c r="L71" i="90"/>
  <c r="F71" i="90"/>
  <c r="H71" i="90"/>
  <c r="P71" i="90"/>
  <c r="E71" i="90"/>
  <c r="K71" i="90"/>
  <c r="O71" i="90"/>
  <c r="G71" i="90"/>
  <c r="O47" i="406"/>
  <c r="O46" i="406"/>
  <c r="O48" i="406" s="1"/>
  <c r="L46" i="406"/>
  <c r="L47" i="406"/>
  <c r="N46" i="406"/>
  <c r="N48" i="406" s="1"/>
  <c r="N47" i="406"/>
  <c r="M46" i="406"/>
  <c r="M48" i="406" s="1"/>
  <c r="M47" i="406"/>
  <c r="C47" i="406"/>
  <c r="C46" i="406"/>
  <c r="C48" i="406" s="1"/>
  <c r="N17" i="413"/>
  <c r="F22" i="274"/>
  <c r="P22" i="274" s="1"/>
  <c r="D16" i="414"/>
  <c r="H16" i="414" s="1"/>
  <c r="D41" i="571" l="1"/>
  <c r="E41" i="571" s="1"/>
  <c r="M40" i="571"/>
  <c r="N40" i="571" s="1"/>
  <c r="M41" i="571"/>
  <c r="N41" i="571" s="1"/>
  <c r="J40" i="571"/>
  <c r="K40" i="571" s="1"/>
  <c r="D40" i="571"/>
  <c r="E40" i="571" s="1"/>
  <c r="J41" i="571"/>
  <c r="K41" i="571" s="1"/>
  <c r="L48" i="406"/>
  <c r="M18" i="413"/>
  <c r="N18" i="413" s="1"/>
  <c r="P23" i="274"/>
  <c r="N19" i="413"/>
  <c r="N20" i="413" l="1"/>
  <c r="P24" i="274"/>
  <c r="F14" i="274" l="1"/>
  <c r="F13" i="274"/>
  <c r="F12" i="274"/>
  <c r="F11" i="274"/>
  <c r="D15" i="414" l="1"/>
  <c r="H15" i="414" s="1"/>
  <c r="M7" i="413"/>
  <c r="M9" i="413" s="1"/>
  <c r="P11" i="274"/>
  <c r="M8" i="413" l="1"/>
  <c r="M10" i="413"/>
  <c r="N7" i="413"/>
  <c r="N10" i="413" s="1"/>
  <c r="C43" i="515"/>
  <c r="K20" i="532"/>
  <c r="N9" i="413" l="1"/>
  <c r="N8" i="413"/>
  <c r="H47" i="519"/>
  <c r="H39" i="520" l="1"/>
  <c r="H38" i="520"/>
  <c r="H37" i="520"/>
  <c r="H36" i="520"/>
  <c r="H35" i="520"/>
  <c r="H34" i="520"/>
  <c r="H33" i="520"/>
  <c r="H32" i="520"/>
  <c r="H31" i="520"/>
  <c r="H30" i="520"/>
  <c r="H29" i="520"/>
  <c r="H28" i="520"/>
  <c r="H27" i="520"/>
  <c r="H26" i="520"/>
  <c r="H25" i="520"/>
  <c r="H24" i="520"/>
  <c r="H23" i="520"/>
  <c r="H22" i="520"/>
  <c r="H21" i="520"/>
  <c r="H20" i="520"/>
  <c r="H19" i="520"/>
  <c r="H18" i="520"/>
  <c r="H17" i="520"/>
  <c r="H16" i="520"/>
  <c r="H15" i="520"/>
  <c r="H14" i="520"/>
  <c r="H13" i="520"/>
  <c r="B85" i="506" s="1"/>
  <c r="B48" i="507" s="1"/>
  <c r="H12" i="520"/>
  <c r="B2" i="520"/>
  <c r="H41" i="520" l="1"/>
  <c r="T58" i="487"/>
  <c r="S58" i="487"/>
  <c r="R52" i="487"/>
  <c r="R56" i="487"/>
  <c r="S56" i="487" s="1"/>
  <c r="H39" i="519"/>
  <c r="H38" i="519"/>
  <c r="H37" i="519"/>
  <c r="H36" i="519"/>
  <c r="H35" i="519"/>
  <c r="H34" i="519"/>
  <c r="H33" i="519"/>
  <c r="H32" i="519"/>
  <c r="H31" i="519"/>
  <c r="H30" i="519"/>
  <c r="H29" i="519"/>
  <c r="H28" i="519"/>
  <c r="H27" i="519"/>
  <c r="H26" i="519"/>
  <c r="H25" i="519"/>
  <c r="H24" i="519"/>
  <c r="H23" i="519"/>
  <c r="H22" i="519"/>
  <c r="H21" i="519"/>
  <c r="H20" i="519"/>
  <c r="H19" i="519"/>
  <c r="H18" i="519"/>
  <c r="H17" i="519"/>
  <c r="H15" i="519"/>
  <c r="H14" i="519"/>
  <c r="H13" i="519"/>
  <c r="H12" i="519"/>
  <c r="B2" i="519"/>
  <c r="H41" i="519" l="1"/>
  <c r="C23" i="501" l="1"/>
  <c r="C22" i="501"/>
  <c r="C21" i="501"/>
  <c r="C23" i="533" l="1"/>
  <c r="C58" i="533" s="1"/>
  <c r="B23" i="501"/>
  <c r="C20" i="533"/>
  <c r="C55" i="533" s="1"/>
  <c r="B20" i="501"/>
  <c r="C24" i="533"/>
  <c r="C59" i="533" s="1"/>
  <c r="B24" i="501"/>
  <c r="C17" i="533"/>
  <c r="C52" i="533" s="1"/>
  <c r="B17" i="501"/>
  <c r="C21" i="533"/>
  <c r="C56" i="533" s="1"/>
  <c r="B21" i="501"/>
  <c r="C18" i="533"/>
  <c r="C53" i="533" s="1"/>
  <c r="B18" i="501"/>
  <c r="C22" i="533"/>
  <c r="C57" i="533" s="1"/>
  <c r="B22" i="501"/>
  <c r="C19" i="533"/>
  <c r="C54" i="533" s="1"/>
  <c r="B19" i="501"/>
  <c r="D21" i="517"/>
  <c r="B21" i="533"/>
  <c r="D22" i="517"/>
  <c r="B22" i="533"/>
  <c r="D23" i="517"/>
  <c r="B23" i="533"/>
  <c r="D24" i="517"/>
  <c r="B24" i="533"/>
  <c r="C20" i="501"/>
  <c r="C19" i="501"/>
  <c r="C18" i="501"/>
  <c r="C17" i="501"/>
  <c r="C16" i="501"/>
  <c r="C15" i="501"/>
  <c r="T73" i="517"/>
  <c r="D49" i="517"/>
  <c r="W45" i="517"/>
  <c r="W26" i="517"/>
  <c r="D26" i="517"/>
  <c r="D25" i="517"/>
  <c r="B25" i="501"/>
  <c r="B59" i="533" l="1"/>
  <c r="A17" i="411"/>
  <c r="B58" i="533"/>
  <c r="A16" i="411"/>
  <c r="B57" i="533"/>
  <c r="A15" i="411"/>
  <c r="B56" i="533"/>
  <c r="A14" i="411"/>
  <c r="D41" i="537"/>
  <c r="D47" i="540"/>
  <c r="D38" i="536"/>
  <c r="D44" i="538"/>
  <c r="D25" i="501"/>
  <c r="D20" i="538"/>
  <c r="D18" i="537"/>
  <c r="D25" i="540"/>
  <c r="D16" i="536"/>
  <c r="D24" i="501"/>
  <c r="D24" i="540"/>
  <c r="D26" i="501"/>
  <c r="D19" i="537"/>
  <c r="D26" i="540"/>
  <c r="D21" i="538"/>
  <c r="D22" i="501"/>
  <c r="D22" i="540"/>
  <c r="D23" i="501"/>
  <c r="D23" i="540"/>
  <c r="D33" i="540"/>
  <c r="D21" i="501"/>
  <c r="D21" i="540"/>
  <c r="D49" i="501"/>
  <c r="C13" i="501"/>
  <c r="B36" i="501"/>
  <c r="B50" i="501"/>
  <c r="B47" i="501"/>
  <c r="C30" i="501"/>
  <c r="B37" i="501"/>
  <c r="B41" i="501"/>
  <c r="B51" i="501"/>
  <c r="B55" i="501"/>
  <c r="B60" i="501"/>
  <c r="C29" i="501"/>
  <c r="B59" i="501"/>
  <c r="B48" i="501"/>
  <c r="C60" i="501"/>
  <c r="B38" i="501"/>
  <c r="B42" i="501"/>
  <c r="B52" i="501"/>
  <c r="B57" i="501"/>
  <c r="B61" i="501"/>
  <c r="B40" i="501"/>
  <c r="C61" i="501"/>
  <c r="B54" i="501"/>
  <c r="C14" i="501"/>
  <c r="B39" i="501"/>
  <c r="B43" i="501"/>
  <c r="B49" i="501"/>
  <c r="B53" i="501"/>
  <c r="B58" i="501"/>
  <c r="C29" i="533"/>
  <c r="C64" i="533" s="1"/>
  <c r="B29" i="501"/>
  <c r="D39" i="517"/>
  <c r="C39" i="501"/>
  <c r="D53" i="517"/>
  <c r="C53" i="501"/>
  <c r="B21" i="274" s="1"/>
  <c r="D58" i="517"/>
  <c r="C58" i="501"/>
  <c r="C13" i="533"/>
  <c r="C48" i="533" s="1"/>
  <c r="B13" i="501"/>
  <c r="C14" i="533"/>
  <c r="C49" i="533" s="1"/>
  <c r="B14" i="501"/>
  <c r="C63" i="533"/>
  <c r="D38" i="517"/>
  <c r="C38" i="501"/>
  <c r="D42" i="517"/>
  <c r="C42" i="501"/>
  <c r="D52" i="517"/>
  <c r="C52" i="501"/>
  <c r="D57" i="517"/>
  <c r="C57" i="501"/>
  <c r="C15" i="533"/>
  <c r="C50" i="533" s="1"/>
  <c r="B15" i="501"/>
  <c r="D46" i="517"/>
  <c r="C46" i="501"/>
  <c r="C16" i="533"/>
  <c r="C51" i="533" s="1"/>
  <c r="B16" i="501"/>
  <c r="D43" i="517"/>
  <c r="C30" i="533"/>
  <c r="C65" i="533" s="1"/>
  <c r="B30" i="501"/>
  <c r="D36" i="517"/>
  <c r="C36" i="501"/>
  <c r="D40" i="517"/>
  <c r="C40" i="501"/>
  <c r="D45" i="517"/>
  <c r="D50" i="517"/>
  <c r="C50" i="501"/>
  <c r="D54" i="517"/>
  <c r="C54" i="501"/>
  <c r="D59" i="517"/>
  <c r="C59" i="501"/>
  <c r="D47" i="517"/>
  <c r="C47" i="501"/>
  <c r="C26" i="533"/>
  <c r="C61" i="533" s="1"/>
  <c r="B26" i="501"/>
  <c r="D37" i="517"/>
  <c r="C37" i="501"/>
  <c r="D41" i="517"/>
  <c r="C41" i="501"/>
  <c r="D51" i="517"/>
  <c r="C51" i="501"/>
  <c r="D55" i="517"/>
  <c r="C55" i="501"/>
  <c r="D48" i="517"/>
  <c r="C48" i="501"/>
  <c r="C25" i="533"/>
  <c r="C60" i="533" s="1"/>
  <c r="C8" i="513"/>
  <c r="D29" i="517"/>
  <c r="B29" i="533"/>
  <c r="B17" i="451" s="1"/>
  <c r="D14" i="517"/>
  <c r="B14" i="533"/>
  <c r="B15" i="451" s="1"/>
  <c r="D13" i="517"/>
  <c r="B13" i="533"/>
  <c r="B14" i="451" s="1"/>
  <c r="D15" i="517"/>
  <c r="D14" i="536" s="1"/>
  <c r="B15" i="533"/>
  <c r="D30" i="517"/>
  <c r="B30" i="533"/>
  <c r="B18" i="451" s="1"/>
  <c r="D16" i="517"/>
  <c r="D15" i="536" s="1"/>
  <c r="B16" i="533"/>
  <c r="D17" i="517"/>
  <c r="D16" i="537" s="1"/>
  <c r="B17" i="533"/>
  <c r="D18" i="517"/>
  <c r="D17" i="537" s="1"/>
  <c r="B18" i="533"/>
  <c r="D19" i="517"/>
  <c r="B19" i="533"/>
  <c r="D27" i="517"/>
  <c r="B63" i="533"/>
  <c r="D20" i="517"/>
  <c r="B20" i="533"/>
  <c r="B55" i="533" l="1"/>
  <c r="A13" i="411"/>
  <c r="B48" i="533"/>
  <c r="A6" i="411"/>
  <c r="B51" i="533"/>
  <c r="A9" i="411"/>
  <c r="B50" i="533"/>
  <c r="A8" i="411"/>
  <c r="B49" i="533"/>
  <c r="A7" i="411"/>
  <c r="B65" i="533"/>
  <c r="A23" i="411"/>
  <c r="B53" i="533"/>
  <c r="A11" i="411"/>
  <c r="B52" i="533"/>
  <c r="A10" i="411"/>
  <c r="B54" i="533"/>
  <c r="A12" i="411"/>
  <c r="B64" i="533"/>
  <c r="A22" i="411"/>
  <c r="D18" i="501"/>
  <c r="D18" i="540"/>
  <c r="D17" i="538"/>
  <c r="D15" i="501"/>
  <c r="D15" i="540"/>
  <c r="D14" i="537"/>
  <c r="D14" i="538"/>
  <c r="D30" i="536"/>
  <c r="D33" i="537"/>
  <c r="D36" i="538"/>
  <c r="D39" i="540"/>
  <c r="D51" i="537"/>
  <c r="D54" i="538"/>
  <c r="D57" i="540"/>
  <c r="D48" i="536"/>
  <c r="D41" i="536"/>
  <c r="D47" i="538"/>
  <c r="D50" i="540"/>
  <c r="D44" i="537"/>
  <c r="D29" i="536"/>
  <c r="D32" i="537"/>
  <c r="D35" i="538"/>
  <c r="D38" i="540"/>
  <c r="D31" i="538"/>
  <c r="D34" i="540"/>
  <c r="D25" i="536"/>
  <c r="D28" i="537"/>
  <c r="D26" i="538"/>
  <c r="D31" i="540"/>
  <c r="D20" i="536"/>
  <c r="D23" i="537"/>
  <c r="D28" i="536"/>
  <c r="D31" i="537"/>
  <c r="D34" i="538"/>
  <c r="D37" i="540"/>
  <c r="D17" i="501"/>
  <c r="D17" i="540"/>
  <c r="D16" i="538"/>
  <c r="D26" i="536"/>
  <c r="D35" i="540"/>
  <c r="D29" i="537"/>
  <c r="D32" i="538"/>
  <c r="D32" i="540"/>
  <c r="D40" i="540"/>
  <c r="D31" i="536"/>
  <c r="D34" i="537"/>
  <c r="D37" i="538"/>
  <c r="D51" i="540"/>
  <c r="D42" i="536"/>
  <c r="D45" i="537"/>
  <c r="D48" i="538"/>
  <c r="D13" i="540"/>
  <c r="D12" i="536"/>
  <c r="D12" i="537"/>
  <c r="D12" i="538"/>
  <c r="D46" i="537"/>
  <c r="D49" i="538"/>
  <c r="D52" i="540"/>
  <c r="D43" i="536"/>
  <c r="D45" i="538"/>
  <c r="D39" i="536"/>
  <c r="D42" i="537"/>
  <c r="D48" i="540"/>
  <c r="D32" i="536"/>
  <c r="D35" i="537"/>
  <c r="D38" i="538"/>
  <c r="D43" i="501"/>
  <c r="D41" i="540"/>
  <c r="D30" i="537"/>
  <c r="D36" i="540"/>
  <c r="D33" i="538"/>
  <c r="D27" i="536"/>
  <c r="D20" i="501"/>
  <c r="D19" i="538"/>
  <c r="D20" i="540"/>
  <c r="D46" i="540"/>
  <c r="D37" i="536"/>
  <c r="D40" i="537"/>
  <c r="D43" i="538"/>
  <c r="D16" i="501"/>
  <c r="D15" i="537"/>
  <c r="D15" i="538"/>
  <c r="D16" i="540"/>
  <c r="D34" i="536"/>
  <c r="D37" i="537"/>
  <c r="D40" i="538"/>
  <c r="D45" i="501"/>
  <c r="D43" i="540"/>
  <c r="D56" i="540"/>
  <c r="D47" i="536"/>
  <c r="D50" i="537"/>
  <c r="D53" i="538"/>
  <c r="D22" i="538"/>
  <c r="D27" i="501"/>
  <c r="D27" i="540"/>
  <c r="D13" i="536"/>
  <c r="D13" i="537"/>
  <c r="D13" i="538"/>
  <c r="D14" i="540"/>
  <c r="D53" i="540"/>
  <c r="D44" i="536"/>
  <c r="D47" i="537"/>
  <c r="D50" i="538"/>
  <c r="D19" i="501"/>
  <c r="D18" i="538"/>
  <c r="D19" i="540"/>
  <c r="D22" i="537"/>
  <c r="D25" i="538"/>
  <c r="D19" i="536"/>
  <c r="D30" i="540"/>
  <c r="D29" i="540"/>
  <c r="D21" i="537"/>
  <c r="D18" i="536"/>
  <c r="D24" i="538"/>
  <c r="D49" i="540"/>
  <c r="D43" i="537"/>
  <c r="D40" i="536"/>
  <c r="D46" i="538"/>
  <c r="D42" i="538"/>
  <c r="D36" i="536"/>
  <c r="D45" i="540"/>
  <c r="D39" i="537"/>
  <c r="D49" i="537"/>
  <c r="D52" i="538"/>
  <c r="D55" i="540"/>
  <c r="D46" i="536"/>
  <c r="D35" i="536"/>
  <c r="D41" i="538"/>
  <c r="D38" i="537"/>
  <c r="D44" i="540"/>
  <c r="D51" i="501"/>
  <c r="D13" i="501"/>
  <c r="D48" i="501"/>
  <c r="D41" i="501"/>
  <c r="D59" i="501"/>
  <c r="D40" i="501"/>
  <c r="D42" i="501"/>
  <c r="D47" i="501"/>
  <c r="D14" i="501"/>
  <c r="D54" i="501"/>
  <c r="D57" i="501"/>
  <c r="D58" i="501"/>
  <c r="D30" i="501"/>
  <c r="D29" i="501"/>
  <c r="D55" i="501"/>
  <c r="D50" i="501"/>
  <c r="D46" i="501"/>
  <c r="D52" i="501"/>
  <c r="D53" i="501"/>
  <c r="D39" i="501"/>
  <c r="D38" i="501"/>
  <c r="D37" i="501"/>
  <c r="D36" i="501"/>
  <c r="N55" i="516"/>
  <c r="I55" i="516"/>
  <c r="G55" i="516"/>
  <c r="H55" i="516" s="1"/>
  <c r="R44" i="516" l="1"/>
  <c r="N226" i="516"/>
  <c r="I226" i="516"/>
  <c r="G226" i="516"/>
  <c r="H226" i="516" s="1"/>
  <c r="N225" i="516"/>
  <c r="I225" i="516"/>
  <c r="G225" i="516"/>
  <c r="H225" i="516" s="1"/>
  <c r="N224" i="516"/>
  <c r="I224" i="516"/>
  <c r="G224" i="516"/>
  <c r="H224" i="516" s="1"/>
  <c r="N223" i="516"/>
  <c r="I223" i="516"/>
  <c r="G223" i="516"/>
  <c r="H223" i="516" s="1"/>
  <c r="I222" i="516"/>
  <c r="H222" i="516"/>
  <c r="G222" i="516"/>
  <c r="N221" i="516"/>
  <c r="I221" i="516"/>
  <c r="G221" i="516"/>
  <c r="H221" i="516" s="1"/>
  <c r="N220" i="516"/>
  <c r="I220" i="516"/>
  <c r="F220" i="516"/>
  <c r="E220" i="516"/>
  <c r="G220" i="516" s="1"/>
  <c r="H220" i="516" s="1"/>
  <c r="D220" i="516"/>
  <c r="N219" i="516"/>
  <c r="I219" i="516"/>
  <c r="F219" i="516"/>
  <c r="E219" i="516"/>
  <c r="G219" i="516" s="1"/>
  <c r="H219" i="516" s="1"/>
  <c r="D219" i="516"/>
  <c r="I218" i="516"/>
  <c r="H218" i="516"/>
  <c r="G218" i="516"/>
  <c r="I217" i="516"/>
  <c r="H217" i="516"/>
  <c r="G217" i="516"/>
  <c r="I216" i="516"/>
  <c r="H216" i="516"/>
  <c r="G216" i="516"/>
  <c r="C204" i="516"/>
  <c r="C207" i="516" s="1"/>
  <c r="C208" i="516" s="1"/>
  <c r="L183" i="516"/>
  <c r="L182" i="516"/>
  <c r="G182" i="516"/>
  <c r="L180" i="516"/>
  <c r="N169" i="516"/>
  <c r="I169" i="516"/>
  <c r="G169" i="516"/>
  <c r="H169" i="516" s="1"/>
  <c r="N168" i="516"/>
  <c r="I168" i="516"/>
  <c r="G168" i="516"/>
  <c r="H168" i="516" s="1"/>
  <c r="N167" i="516"/>
  <c r="I167" i="516"/>
  <c r="G167" i="516"/>
  <c r="H167" i="516" s="1"/>
  <c r="N166" i="516"/>
  <c r="I166" i="516"/>
  <c r="G166" i="516"/>
  <c r="H166" i="516" s="1"/>
  <c r="M165" i="516"/>
  <c r="N165" i="516" s="1"/>
  <c r="I165" i="516"/>
  <c r="H165" i="516"/>
  <c r="G165" i="516"/>
  <c r="N164" i="516"/>
  <c r="I164" i="516"/>
  <c r="G164" i="516"/>
  <c r="H164" i="516" s="1"/>
  <c r="N163" i="516"/>
  <c r="I163" i="516"/>
  <c r="F163" i="516"/>
  <c r="E163" i="516"/>
  <c r="G163" i="516" s="1"/>
  <c r="H163" i="516" s="1"/>
  <c r="D163" i="516"/>
  <c r="N162" i="516"/>
  <c r="I162" i="516"/>
  <c r="F162" i="516"/>
  <c r="E162" i="516"/>
  <c r="G162" i="516" s="1"/>
  <c r="H162" i="516" s="1"/>
  <c r="D162" i="516"/>
  <c r="I161" i="516"/>
  <c r="H161" i="516"/>
  <c r="G161" i="516"/>
  <c r="I160" i="516"/>
  <c r="H160" i="516"/>
  <c r="G160" i="516"/>
  <c r="I159" i="516"/>
  <c r="H159" i="516"/>
  <c r="G159" i="516"/>
  <c r="C147" i="516"/>
  <c r="C150" i="516" s="1"/>
  <c r="C151" i="516" s="1"/>
  <c r="L126" i="516"/>
  <c r="L125" i="516"/>
  <c r="G125" i="516"/>
  <c r="L123" i="516"/>
  <c r="N112" i="516"/>
  <c r="I112" i="516"/>
  <c r="G112" i="516"/>
  <c r="H112" i="516" s="1"/>
  <c r="N111" i="516"/>
  <c r="I111" i="516"/>
  <c r="G111" i="516"/>
  <c r="H111" i="516" s="1"/>
  <c r="N110" i="516"/>
  <c r="I110" i="516"/>
  <c r="G110" i="516"/>
  <c r="H110" i="516" s="1"/>
  <c r="N109" i="516"/>
  <c r="I109" i="516"/>
  <c r="G109" i="516"/>
  <c r="H109" i="516" s="1"/>
  <c r="N108" i="516"/>
  <c r="I108" i="516"/>
  <c r="G108" i="516"/>
  <c r="H108" i="516" s="1"/>
  <c r="N107" i="516"/>
  <c r="I107" i="516"/>
  <c r="G107" i="516"/>
  <c r="H107" i="516" s="1"/>
  <c r="N106" i="516"/>
  <c r="I106" i="516"/>
  <c r="F106" i="516"/>
  <c r="E106" i="516"/>
  <c r="G106" i="516" s="1"/>
  <c r="H106" i="516" s="1"/>
  <c r="D106" i="516"/>
  <c r="N105" i="516"/>
  <c r="I105" i="516"/>
  <c r="F105" i="516"/>
  <c r="E105" i="516"/>
  <c r="G105" i="516" s="1"/>
  <c r="H105" i="516" s="1"/>
  <c r="D105" i="516"/>
  <c r="M104" i="516"/>
  <c r="M161" i="516" s="1"/>
  <c r="M218" i="516" s="1"/>
  <c r="I104" i="516"/>
  <c r="G104" i="516"/>
  <c r="H104" i="516" s="1"/>
  <c r="M103" i="516"/>
  <c r="O103" i="516" s="1"/>
  <c r="P103" i="516" s="1"/>
  <c r="I103" i="516"/>
  <c r="G103" i="516"/>
  <c r="H103" i="516" s="1"/>
  <c r="M102" i="516"/>
  <c r="N102" i="516" s="1"/>
  <c r="I102" i="516"/>
  <c r="G102" i="516"/>
  <c r="H102" i="516" s="1"/>
  <c r="C85" i="516"/>
  <c r="C84" i="516"/>
  <c r="C141" i="516" s="1"/>
  <c r="C198" i="516" s="1"/>
  <c r="C82" i="516"/>
  <c r="C80" i="516"/>
  <c r="C79" i="516"/>
  <c r="G78" i="516"/>
  <c r="C78" i="516"/>
  <c r="G77" i="516"/>
  <c r="C77" i="516"/>
  <c r="G76" i="516"/>
  <c r="C76" i="516"/>
  <c r="G75" i="516"/>
  <c r="C75" i="516"/>
  <c r="G74" i="516"/>
  <c r="G73" i="516"/>
  <c r="L67" i="516"/>
  <c r="G67" i="516"/>
  <c r="L65" i="516"/>
  <c r="G65" i="516"/>
  <c r="N54" i="516"/>
  <c r="I54" i="516"/>
  <c r="G54" i="516"/>
  <c r="H54" i="516" s="1"/>
  <c r="N53" i="516"/>
  <c r="I53" i="516"/>
  <c r="G53" i="516"/>
  <c r="H53" i="516" s="1"/>
  <c r="N52" i="516"/>
  <c r="I52" i="516"/>
  <c r="G52" i="516"/>
  <c r="H52" i="516" s="1"/>
  <c r="N51" i="516"/>
  <c r="I51" i="516"/>
  <c r="G51" i="516"/>
  <c r="H51" i="516" s="1"/>
  <c r="N50" i="516"/>
  <c r="I50" i="516"/>
  <c r="G50" i="516"/>
  <c r="H50" i="516" s="1"/>
  <c r="N49" i="516"/>
  <c r="I49" i="516"/>
  <c r="G49" i="516"/>
  <c r="H49" i="516" s="1"/>
  <c r="N48" i="516"/>
  <c r="I48" i="516"/>
  <c r="F48" i="516"/>
  <c r="E48" i="516"/>
  <c r="G48" i="516" s="1"/>
  <c r="H48" i="516" s="1"/>
  <c r="D48" i="516"/>
  <c r="N47" i="516"/>
  <c r="I47" i="516"/>
  <c r="F47" i="516"/>
  <c r="E47" i="516"/>
  <c r="G47" i="516" s="1"/>
  <c r="H47" i="516" s="1"/>
  <c r="D47" i="516"/>
  <c r="O46" i="516"/>
  <c r="P46" i="516" s="1"/>
  <c r="N46" i="516"/>
  <c r="I46" i="516"/>
  <c r="G46" i="516"/>
  <c r="H46" i="516" s="1"/>
  <c r="O45" i="516"/>
  <c r="N45" i="516"/>
  <c r="I45" i="516"/>
  <c r="G45" i="516"/>
  <c r="H45" i="516" s="1"/>
  <c r="N44" i="516"/>
  <c r="I44" i="516"/>
  <c r="G44" i="516"/>
  <c r="H44" i="516" s="1"/>
  <c r="C25" i="516"/>
  <c r="J55" i="516" s="1"/>
  <c r="L69" i="516"/>
  <c r="L68" i="516"/>
  <c r="G8" i="516"/>
  <c r="G10" i="516" s="1"/>
  <c r="G68" i="516" s="1"/>
  <c r="J165" i="516" l="1"/>
  <c r="O165" i="516" s="1"/>
  <c r="P165" i="516" s="1"/>
  <c r="J217" i="516"/>
  <c r="K217" i="516" s="1"/>
  <c r="J222" i="516"/>
  <c r="K222" i="516" s="1"/>
  <c r="J104" i="516"/>
  <c r="K104" i="516" s="1"/>
  <c r="J108" i="516"/>
  <c r="O108" i="516" s="1"/>
  <c r="L8" i="516"/>
  <c r="L66" i="516" s="1"/>
  <c r="J161" i="516"/>
  <c r="K161" i="516" s="1"/>
  <c r="J223" i="516"/>
  <c r="K223" i="516" s="1"/>
  <c r="J225" i="516"/>
  <c r="O225" i="516" s="1"/>
  <c r="P225" i="516" s="1"/>
  <c r="N103" i="516"/>
  <c r="J169" i="516"/>
  <c r="K169" i="516" s="1"/>
  <c r="J218" i="516"/>
  <c r="K218" i="516" s="1"/>
  <c r="J224" i="516"/>
  <c r="K224" i="516" s="1"/>
  <c r="J45" i="516"/>
  <c r="K45" i="516" s="1"/>
  <c r="M160" i="516"/>
  <c r="M217" i="516" s="1"/>
  <c r="N217" i="516" s="1"/>
  <c r="J47" i="516"/>
  <c r="K47" i="516" s="1"/>
  <c r="J167" i="516"/>
  <c r="O167" i="516" s="1"/>
  <c r="P167" i="516" s="1"/>
  <c r="J221" i="516"/>
  <c r="K221" i="516" s="1"/>
  <c r="C35" i="516"/>
  <c r="C36" i="516" s="1"/>
  <c r="J103" i="516"/>
  <c r="K103" i="516" s="1"/>
  <c r="J112" i="516"/>
  <c r="O112" i="516" s="1"/>
  <c r="P112" i="516" s="1"/>
  <c r="J109" i="516"/>
  <c r="K109" i="516" s="1"/>
  <c r="J107" i="516"/>
  <c r="K107" i="516" s="1"/>
  <c r="J54" i="516"/>
  <c r="K54" i="516" s="1"/>
  <c r="J219" i="516"/>
  <c r="O219" i="516" s="1"/>
  <c r="P219" i="516" s="1"/>
  <c r="J44" i="516"/>
  <c r="K44" i="516" s="1"/>
  <c r="C83" i="516"/>
  <c r="C93" i="516" s="1"/>
  <c r="C94" i="516" s="1"/>
  <c r="J110" i="516"/>
  <c r="O110" i="516" s="1"/>
  <c r="P110" i="516" s="1"/>
  <c r="J159" i="516"/>
  <c r="K159" i="516" s="1"/>
  <c r="J163" i="516"/>
  <c r="O163" i="516" s="1"/>
  <c r="P163" i="516" s="1"/>
  <c r="J216" i="516"/>
  <c r="K216" i="516" s="1"/>
  <c r="J162" i="516"/>
  <c r="K162" i="516" s="1"/>
  <c r="J220" i="516"/>
  <c r="O220" i="516" s="1"/>
  <c r="P220" i="516" s="1"/>
  <c r="J226" i="516"/>
  <c r="O226" i="516" s="1"/>
  <c r="P226" i="516" s="1"/>
  <c r="J102" i="516"/>
  <c r="K102" i="516" s="1"/>
  <c r="J106" i="516"/>
  <c r="O106" i="516" s="1"/>
  <c r="P106" i="516" s="1"/>
  <c r="J111" i="516"/>
  <c r="O111" i="516" s="1"/>
  <c r="P111" i="516" s="1"/>
  <c r="J160" i="516"/>
  <c r="K160" i="516" s="1"/>
  <c r="J166" i="516"/>
  <c r="K166" i="516" s="1"/>
  <c r="J168" i="516"/>
  <c r="K168" i="516" s="1"/>
  <c r="J105" i="516"/>
  <c r="O105" i="516" s="1"/>
  <c r="P105" i="516" s="1"/>
  <c r="J164" i="516"/>
  <c r="J46" i="516"/>
  <c r="K46" i="516" s="1"/>
  <c r="G66" i="516"/>
  <c r="O55" i="516"/>
  <c r="P55" i="516" s="1"/>
  <c r="K55" i="516"/>
  <c r="J50" i="516"/>
  <c r="O50" i="516" s="1"/>
  <c r="R45" i="516" s="1"/>
  <c r="J52" i="516"/>
  <c r="O52" i="516" s="1"/>
  <c r="P52" i="516" s="1"/>
  <c r="N104" i="516"/>
  <c r="J48" i="516"/>
  <c r="K48" i="516" s="1"/>
  <c r="O104" i="516"/>
  <c r="P104" i="516" s="1"/>
  <c r="M222" i="516"/>
  <c r="J51" i="516"/>
  <c r="K51" i="516" s="1"/>
  <c r="J49" i="516"/>
  <c r="K49" i="516" s="1"/>
  <c r="J53" i="516"/>
  <c r="K53" i="516" s="1"/>
  <c r="M159" i="516"/>
  <c r="M216" i="516" s="1"/>
  <c r="N216" i="516" s="1"/>
  <c r="P45" i="516"/>
  <c r="O218" i="516"/>
  <c r="P218" i="516" s="1"/>
  <c r="N218" i="516"/>
  <c r="N161" i="516"/>
  <c r="O169" i="516"/>
  <c r="P169" i="516" s="1"/>
  <c r="O161" i="516"/>
  <c r="P161" i="516" s="1"/>
  <c r="K165" i="516" l="1"/>
  <c r="K112" i="516"/>
  <c r="O217" i="516"/>
  <c r="P217" i="516" s="1"/>
  <c r="K225" i="516"/>
  <c r="K226" i="516"/>
  <c r="O221" i="516"/>
  <c r="P221" i="516" s="1"/>
  <c r="O160" i="516"/>
  <c r="P160" i="516" s="1"/>
  <c r="N160" i="516"/>
  <c r="O47" i="516"/>
  <c r="P47" i="516" s="1"/>
  <c r="K108" i="516"/>
  <c r="O223" i="516"/>
  <c r="P223" i="516" s="1"/>
  <c r="O107" i="516"/>
  <c r="P107" i="516" s="1"/>
  <c r="O109" i="516"/>
  <c r="P109" i="516" s="1"/>
  <c r="K163" i="516"/>
  <c r="K167" i="516"/>
  <c r="K110" i="516"/>
  <c r="K105" i="516"/>
  <c r="O166" i="516"/>
  <c r="P166" i="516" s="1"/>
  <c r="K220" i="516"/>
  <c r="K219" i="516"/>
  <c r="K50" i="516"/>
  <c r="O168" i="516"/>
  <c r="P168" i="516" s="1"/>
  <c r="O48" i="516"/>
  <c r="P48" i="516" s="1"/>
  <c r="O224" i="516"/>
  <c r="P224" i="516" s="1"/>
  <c r="K106" i="516"/>
  <c r="K111" i="516"/>
  <c r="O49" i="516"/>
  <c r="P49" i="516" s="1"/>
  <c r="O44" i="516"/>
  <c r="P44" i="516" s="1"/>
  <c r="P50" i="516"/>
  <c r="K52" i="516"/>
  <c r="O162" i="516"/>
  <c r="P162" i="516" s="1"/>
  <c r="O54" i="516"/>
  <c r="P54" i="516" s="1"/>
  <c r="O159" i="516"/>
  <c r="P159" i="516" s="1"/>
  <c r="K164" i="516"/>
  <c r="O164" i="516"/>
  <c r="P164" i="516" s="1"/>
  <c r="O51" i="516"/>
  <c r="P51" i="516" s="1"/>
  <c r="N222" i="516"/>
  <c r="O222" i="516"/>
  <c r="P222" i="516" s="1"/>
  <c r="O53" i="516"/>
  <c r="P53" i="516" s="1"/>
  <c r="N159" i="516"/>
  <c r="P108" i="516"/>
  <c r="O102" i="516"/>
  <c r="P102" i="516" s="1"/>
  <c r="O216" i="516" l="1"/>
  <c r="P216" i="516" s="1"/>
  <c r="C30" i="515"/>
  <c r="C14" i="515"/>
  <c r="C12" i="515"/>
  <c r="C77" i="515"/>
  <c r="N14" i="451"/>
  <c r="G13" i="556" l="1"/>
  <c r="K17" i="532"/>
  <c r="K18" i="532" s="1"/>
  <c r="K5" i="532"/>
  <c r="C28" i="515"/>
  <c r="C32" i="515" s="1"/>
  <c r="C35" i="515" s="1"/>
  <c r="C44" i="515"/>
  <c r="C48" i="515" s="1"/>
  <c r="C51" i="515" s="1"/>
  <c r="C16" i="515"/>
  <c r="C19" i="515" s="1"/>
  <c r="C80" i="515"/>
  <c r="C81" i="515" s="1"/>
  <c r="C78" i="515"/>
  <c r="C79" i="515" s="1"/>
  <c r="E14" i="411" l="1"/>
  <c r="E6" i="411"/>
  <c r="E13" i="411"/>
  <c r="E11" i="411"/>
  <c r="E12" i="411"/>
  <c r="E10" i="411"/>
  <c r="E15" i="411"/>
  <c r="E17" i="411"/>
  <c r="E9" i="411"/>
  <c r="E16" i="411"/>
  <c r="E8" i="411"/>
  <c r="E7" i="411"/>
  <c r="E23" i="411"/>
  <c r="E21" i="411"/>
  <c r="E22" i="411"/>
  <c r="E18" i="411"/>
  <c r="E20" i="411"/>
  <c r="E19" i="411"/>
  <c r="G14" i="556"/>
  <c r="G13" i="555"/>
  <c r="K21" i="532"/>
  <c r="K22" i="532" s="1"/>
  <c r="K19" i="532"/>
  <c r="K7" i="532"/>
  <c r="K6" i="532"/>
  <c r="K8" i="532"/>
  <c r="C20" i="515"/>
  <c r="C21" i="515" s="1"/>
  <c r="C33" i="515"/>
  <c r="C34" i="515" s="1"/>
  <c r="C36" i="515"/>
  <c r="C49" i="515"/>
  <c r="C50" i="515" s="1"/>
  <c r="C52" i="515"/>
  <c r="C56" i="515" s="1"/>
  <c r="C17" i="515"/>
  <c r="C18" i="515" s="1"/>
  <c r="C85" i="515"/>
  <c r="C83" i="515"/>
  <c r="C82" i="515"/>
  <c r="G14" i="555" l="1"/>
  <c r="F26" i="411"/>
  <c r="F21" i="411"/>
  <c r="F25" i="411"/>
  <c r="F24" i="411"/>
  <c r="F23" i="411"/>
  <c r="F22" i="411"/>
  <c r="F10" i="411"/>
  <c r="F8" i="411"/>
  <c r="F14" i="411"/>
  <c r="F11" i="411"/>
  <c r="F17" i="411"/>
  <c r="F9" i="411"/>
  <c r="F16" i="411"/>
  <c r="F15" i="411"/>
  <c r="F7" i="411"/>
  <c r="F6" i="411"/>
  <c r="F13" i="411"/>
  <c r="F12" i="411"/>
  <c r="C38" i="515"/>
  <c r="C41" i="515" s="1"/>
  <c r="C40" i="515"/>
  <c r="F20" i="411"/>
  <c r="F19" i="411"/>
  <c r="F18" i="411"/>
  <c r="C53" i="515"/>
  <c r="C54" i="515"/>
  <c r="C37" i="515"/>
  <c r="C24" i="515"/>
  <c r="C22" i="515"/>
  <c r="C25" i="515" s="1"/>
  <c r="J5" i="532" s="1"/>
  <c r="C86" i="515"/>
  <c r="C84" i="515"/>
  <c r="C39" i="515" l="1"/>
  <c r="G17" i="532" s="1"/>
  <c r="G18" i="532" s="1"/>
  <c r="G19" i="532" s="1"/>
  <c r="J17" i="532"/>
  <c r="J18" i="532" s="1"/>
  <c r="J19" i="532" s="1"/>
  <c r="J7" i="532"/>
  <c r="J6" i="532"/>
  <c r="J8" i="532"/>
  <c r="J9" i="532" s="1"/>
  <c r="J10" i="532" s="1"/>
  <c r="J11" i="532" s="1"/>
  <c r="J12" i="532" s="1"/>
  <c r="J13" i="532" s="1"/>
  <c r="J14" i="532" s="1"/>
  <c r="J15" i="532" s="1"/>
  <c r="J16" i="532" s="1"/>
  <c r="C57" i="515"/>
  <c r="J20" i="532" s="1"/>
  <c r="C55" i="515"/>
  <c r="G20" i="532" s="1"/>
  <c r="C23" i="515"/>
  <c r="G5" i="532" s="1"/>
  <c r="G21" i="532" l="1"/>
  <c r="G22" i="532" s="1"/>
  <c r="J21" i="532"/>
  <c r="J22" i="532" s="1"/>
  <c r="G14" i="532"/>
  <c r="G13" i="532"/>
  <c r="G15" i="532"/>
  <c r="G12" i="532"/>
  <c r="G11" i="532"/>
  <c r="G10" i="532"/>
  <c r="G16" i="532"/>
  <c r="G9" i="532"/>
  <c r="G8" i="532"/>
  <c r="G6" i="532"/>
  <c r="G7" i="532"/>
  <c r="C22" i="514" l="1"/>
  <c r="C21" i="514"/>
  <c r="C12" i="514"/>
  <c r="C19" i="514" s="1"/>
  <c r="G41" i="514"/>
  <c r="F41" i="514"/>
  <c r="E41" i="514"/>
  <c r="D41" i="514"/>
  <c r="C41" i="514"/>
  <c r="F29" i="514"/>
  <c r="B3" i="514"/>
  <c r="B2" i="514"/>
  <c r="G41" i="513"/>
  <c r="F41" i="513"/>
  <c r="E41" i="513"/>
  <c r="D41" i="513"/>
  <c r="F29" i="513"/>
  <c r="B3" i="513"/>
  <c r="B2" i="513"/>
  <c r="B3" i="463"/>
  <c r="B2" i="463"/>
  <c r="C42" i="514" l="1"/>
  <c r="G42" i="514"/>
  <c r="G43" i="514" s="1"/>
  <c r="E42" i="514"/>
  <c r="E43" i="514" s="1"/>
  <c r="D42" i="514"/>
  <c r="F42" i="514"/>
  <c r="F43" i="514" l="1"/>
  <c r="E9" i="417" s="1"/>
  <c r="D43" i="514"/>
  <c r="F9" i="417" s="1"/>
  <c r="C43" i="514"/>
  <c r="H43" i="514" s="1"/>
  <c r="E7" i="535"/>
  <c r="E8" i="535" s="1"/>
  <c r="F7" i="535"/>
  <c r="F8" i="535" s="1"/>
  <c r="D7" i="535"/>
  <c r="H42" i="514"/>
  <c r="D9" i="417" l="1"/>
  <c r="S15" i="556"/>
  <c r="S27" i="554"/>
  <c r="S28" i="517"/>
  <c r="S23" i="538"/>
  <c r="D8" i="535"/>
  <c r="R8" i="535" s="1"/>
  <c r="S8" i="535" s="1"/>
  <c r="Q7" i="535"/>
  <c r="S15" i="90"/>
  <c r="S25" i="538" l="1"/>
  <c r="S24" i="538"/>
  <c r="S28" i="540"/>
  <c r="S30" i="517"/>
  <c r="S29" i="517"/>
  <c r="S20" i="537"/>
  <c r="S17" i="536"/>
  <c r="S28" i="554"/>
  <c r="S29" i="554"/>
  <c r="S17" i="556"/>
  <c r="S16" i="556"/>
  <c r="S16" i="90"/>
  <c r="S17" i="90"/>
  <c r="W28" i="554" l="1"/>
  <c r="S29" i="540"/>
  <c r="S21" i="537"/>
  <c r="S18" i="536"/>
  <c r="S19" i="536"/>
  <c r="S30" i="540"/>
  <c r="S22" i="537"/>
  <c r="W27" i="554"/>
  <c r="W29" i="517"/>
  <c r="T64" i="90"/>
  <c r="W29" i="540" l="1"/>
  <c r="E11" i="471"/>
  <c r="I11" i="471" s="1"/>
  <c r="J11" i="471" s="1"/>
  <c r="G93" i="467"/>
  <c r="F20" i="471"/>
  <c r="F19" i="471"/>
  <c r="F18" i="471"/>
  <c r="F17" i="471"/>
  <c r="F17" i="467" l="1"/>
  <c r="B3" i="458" l="1"/>
  <c r="B2" i="458"/>
  <c r="C40" i="507"/>
  <c r="B40" i="507"/>
  <c r="Y31" i="507"/>
  <c r="W31" i="507"/>
  <c r="B31" i="507"/>
  <c r="X30" i="507"/>
  <c r="Y30" i="507" s="1"/>
  <c r="W30" i="507"/>
  <c r="B30" i="507"/>
  <c r="P24" i="507"/>
  <c r="E82" i="506"/>
  <c r="B82" i="506"/>
  <c r="E63" i="506"/>
  <c r="B63" i="506"/>
  <c r="B46" i="506"/>
  <c r="B45" i="506" s="1"/>
  <c r="B44" i="506"/>
  <c r="B72" i="506" s="1"/>
  <c r="B43" i="506"/>
  <c r="B42" i="506"/>
  <c r="B33" i="506"/>
  <c r="C32" i="506"/>
  <c r="C28" i="506"/>
  <c r="B24" i="506"/>
  <c r="B41" i="506" s="1"/>
  <c r="F45" i="6"/>
  <c r="D45" i="6"/>
  <c r="B106" i="506" l="1"/>
  <c r="E68" i="506"/>
  <c r="C106" i="506"/>
  <c r="B73" i="506"/>
  <c r="B79" i="506"/>
  <c r="B61" i="506"/>
  <c r="E61" i="506"/>
  <c r="B69" i="506"/>
  <c r="B70" i="506"/>
  <c r="B75" i="506" s="1"/>
  <c r="B105" i="506" s="1"/>
  <c r="E47" i="506"/>
  <c r="E48" i="506" s="1"/>
  <c r="E49" i="506"/>
  <c r="E72" i="506"/>
  <c r="E69" i="506"/>
  <c r="E73" i="506"/>
  <c r="E70" i="506"/>
  <c r="E79" i="506"/>
  <c r="B67" i="506"/>
  <c r="B71" i="506"/>
  <c r="B80" i="506"/>
  <c r="B60" i="506"/>
  <c r="E67" i="506"/>
  <c r="E71" i="506"/>
  <c r="E80" i="506"/>
  <c r="E60" i="506"/>
  <c r="B68" i="506"/>
  <c r="B49" i="506"/>
  <c r="B41" i="507"/>
  <c r="B42" i="507" s="1"/>
  <c r="B66" i="507" s="1"/>
  <c r="B74" i="507" s="1"/>
  <c r="C41" i="507"/>
  <c r="C43" i="507" s="1"/>
  <c r="C44" i="507" s="1"/>
  <c r="C66" i="507" s="1"/>
  <c r="C82" i="507" s="1"/>
  <c r="D37" i="507"/>
  <c r="D38" i="507"/>
  <c r="B47" i="506"/>
  <c r="B48" i="506" s="1"/>
  <c r="B54" i="506"/>
  <c r="B56" i="506" s="1"/>
  <c r="B104" i="506" s="1"/>
  <c r="E54" i="506"/>
  <c r="B53" i="506" l="1"/>
  <c r="B55" i="506" s="1"/>
  <c r="B81" i="506"/>
  <c r="E53" i="506"/>
  <c r="E55" i="506" s="1"/>
  <c r="E56" i="506" s="1"/>
  <c r="C104" i="506" s="1"/>
  <c r="E74" i="506"/>
  <c r="E75" i="506" s="1"/>
  <c r="C105" i="506" s="1"/>
  <c r="E62" i="506"/>
  <c r="B62" i="506"/>
  <c r="E81" i="506"/>
  <c r="B107" i="506"/>
  <c r="B82" i="507"/>
  <c r="B73" i="507"/>
  <c r="B74" i="506"/>
  <c r="B83" i="507"/>
  <c r="C74" i="507"/>
  <c r="C73" i="507"/>
  <c r="C83" i="507"/>
  <c r="B124" i="506" l="1"/>
  <c r="C107" i="506"/>
  <c r="B115" i="506"/>
  <c r="C115" i="506" l="1"/>
  <c r="C124" i="506"/>
  <c r="G46" i="6"/>
  <c r="I46" i="6" s="1"/>
  <c r="J46" i="6" l="1"/>
  <c r="H46" i="6"/>
  <c r="G45" i="6"/>
  <c r="I45" i="6" s="1"/>
  <c r="B114" i="506" l="1"/>
  <c r="B123" i="506"/>
  <c r="C114" i="506"/>
  <c r="C123" i="506"/>
  <c r="B125" i="506"/>
  <c r="C125" i="506"/>
  <c r="B116" i="506"/>
  <c r="C116" i="506"/>
  <c r="J45" i="6"/>
  <c r="H45" i="6"/>
  <c r="F25" i="503"/>
  <c r="B3" i="503"/>
  <c r="B3" i="576" s="1"/>
  <c r="B3" i="577" s="1"/>
  <c r="B2" i="503"/>
  <c r="B2" i="576" s="1"/>
  <c r="B2" i="577" s="1"/>
  <c r="F25" i="502"/>
  <c r="B3" i="502"/>
  <c r="B2" i="502"/>
  <c r="F29" i="430" l="1"/>
  <c r="F28" i="430"/>
  <c r="F27" i="430"/>
  <c r="F26" i="430"/>
  <c r="E13" i="430"/>
  <c r="E20" i="430"/>
  <c r="G46" i="496" l="1"/>
  <c r="F44" i="496"/>
  <c r="F43" i="496"/>
  <c r="F14" i="496"/>
  <c r="F15" i="496"/>
  <c r="F16" i="496"/>
  <c r="F17" i="496"/>
  <c r="F18" i="496"/>
  <c r="F19" i="496"/>
  <c r="F20" i="496"/>
  <c r="F21" i="496"/>
  <c r="F22" i="496"/>
  <c r="F23" i="496"/>
  <c r="F24" i="496"/>
  <c r="F25" i="496"/>
  <c r="F26" i="496"/>
  <c r="F27" i="496"/>
  <c r="F28" i="496"/>
  <c r="F29" i="496"/>
  <c r="F30" i="496"/>
  <c r="F31" i="496"/>
  <c r="F32" i="496"/>
  <c r="F33" i="496"/>
  <c r="F34" i="496"/>
  <c r="F35" i="496"/>
  <c r="F36" i="496"/>
  <c r="F37" i="496"/>
  <c r="F38" i="496"/>
  <c r="F39" i="496"/>
  <c r="F13" i="496"/>
  <c r="F12" i="496"/>
  <c r="G44" i="496"/>
  <c r="G43" i="496"/>
  <c r="G14" i="496"/>
  <c r="G15" i="496"/>
  <c r="G16" i="496"/>
  <c r="G17" i="496"/>
  <c r="G18" i="496"/>
  <c r="G19" i="496"/>
  <c r="G20" i="496"/>
  <c r="G21" i="496"/>
  <c r="G22" i="496"/>
  <c r="G23" i="496"/>
  <c r="G24" i="496"/>
  <c r="G25" i="496"/>
  <c r="G26" i="496"/>
  <c r="G27" i="496"/>
  <c r="G28" i="496"/>
  <c r="G29" i="496"/>
  <c r="G30" i="496"/>
  <c r="G31" i="496"/>
  <c r="G32" i="496"/>
  <c r="G33" i="496"/>
  <c r="G34" i="496"/>
  <c r="G35" i="496"/>
  <c r="G36" i="496"/>
  <c r="G37" i="496"/>
  <c r="G38" i="496"/>
  <c r="G39" i="496"/>
  <c r="G45" i="496"/>
  <c r="G12" i="496"/>
  <c r="R51" i="501" l="1"/>
  <c r="R37" i="542"/>
  <c r="Q51" i="501"/>
  <c r="Q37" i="542"/>
  <c r="F45" i="496"/>
  <c r="G47" i="496"/>
  <c r="F42" i="496"/>
  <c r="G41" i="496"/>
  <c r="K23" i="274" s="1"/>
  <c r="F40" i="496"/>
  <c r="G42" i="496"/>
  <c r="F41" i="496"/>
  <c r="I23" i="274" s="1"/>
  <c r="G13" i="496"/>
  <c r="G40" i="496" s="1"/>
  <c r="F46" i="496"/>
  <c r="F47" i="496" s="1"/>
  <c r="G42" i="495"/>
  <c r="F42" i="495"/>
  <c r="G41" i="495"/>
  <c r="J23" i="274" s="1"/>
  <c r="G40" i="495"/>
  <c r="F41" i="495"/>
  <c r="H23" i="274" s="1"/>
  <c r="F40" i="495"/>
  <c r="L23" i="274" l="1"/>
  <c r="M23" i="274"/>
  <c r="J45" i="555" l="1"/>
  <c r="G50" i="405"/>
  <c r="J58" i="553"/>
  <c r="G37" i="544"/>
  <c r="I60" i="501"/>
  <c r="I45" i="555"/>
  <c r="I58" i="553"/>
  <c r="F50" i="405"/>
  <c r="F37" i="544"/>
  <c r="I46" i="542"/>
  <c r="J46" i="542"/>
  <c r="J60" i="501"/>
  <c r="D21" i="499" l="1"/>
  <c r="C42" i="499"/>
  <c r="C27" i="567" s="1"/>
  <c r="D12" i="499"/>
  <c r="J29" i="496"/>
  <c r="P15" i="499"/>
  <c r="C13" i="496"/>
  <c r="C19" i="496"/>
  <c r="C20" i="496"/>
  <c r="C21" i="496"/>
  <c r="C22" i="496"/>
  <c r="C23" i="496"/>
  <c r="C24" i="496"/>
  <c r="C25" i="496"/>
  <c r="C26" i="496"/>
  <c r="C27" i="496"/>
  <c r="C28" i="496"/>
  <c r="C29" i="496"/>
  <c r="C30" i="496"/>
  <c r="C31" i="496"/>
  <c r="C32" i="496"/>
  <c r="C33" i="496"/>
  <c r="C34" i="496"/>
  <c r="C35" i="496"/>
  <c r="C36" i="496"/>
  <c r="C37" i="496"/>
  <c r="C38" i="496"/>
  <c r="C39" i="496"/>
  <c r="C12" i="496"/>
  <c r="K46" i="496"/>
  <c r="K44" i="496"/>
  <c r="K43" i="496"/>
  <c r="K13" i="496"/>
  <c r="K14" i="496"/>
  <c r="K15" i="496"/>
  <c r="K16" i="496"/>
  <c r="K17" i="496"/>
  <c r="K18" i="496"/>
  <c r="K20" i="496"/>
  <c r="K21" i="496"/>
  <c r="K22" i="496"/>
  <c r="K23" i="496"/>
  <c r="K24" i="496"/>
  <c r="K26" i="496"/>
  <c r="K27" i="496"/>
  <c r="K28" i="496"/>
  <c r="K29" i="496"/>
  <c r="K30" i="496"/>
  <c r="K31" i="496"/>
  <c r="K32" i="496"/>
  <c r="K34" i="496"/>
  <c r="K35" i="496"/>
  <c r="K36" i="496"/>
  <c r="K37" i="496"/>
  <c r="K38" i="496"/>
  <c r="K39" i="496"/>
  <c r="K12" i="496"/>
  <c r="J46" i="496"/>
  <c r="J44" i="496"/>
  <c r="J43" i="496"/>
  <c r="J13" i="496"/>
  <c r="J14" i="496"/>
  <c r="J15" i="496"/>
  <c r="J16" i="496"/>
  <c r="J17" i="496"/>
  <c r="J19" i="496"/>
  <c r="J20" i="496"/>
  <c r="J21" i="496"/>
  <c r="J22" i="496"/>
  <c r="J24" i="496"/>
  <c r="J25" i="496"/>
  <c r="J26" i="496"/>
  <c r="J28" i="496"/>
  <c r="J30" i="496"/>
  <c r="J31" i="496"/>
  <c r="J32" i="496"/>
  <c r="J33" i="496"/>
  <c r="J34" i="496"/>
  <c r="J35" i="496"/>
  <c r="J36" i="496"/>
  <c r="J37" i="496"/>
  <c r="J38" i="496"/>
  <c r="J39" i="496"/>
  <c r="J12" i="496"/>
  <c r="I46" i="496"/>
  <c r="I44" i="496"/>
  <c r="I43" i="496"/>
  <c r="I13" i="496"/>
  <c r="I14" i="496"/>
  <c r="I15" i="496"/>
  <c r="I16" i="496"/>
  <c r="I17" i="496"/>
  <c r="I18" i="496"/>
  <c r="I19" i="496"/>
  <c r="I20" i="496"/>
  <c r="I21" i="496"/>
  <c r="I22" i="496"/>
  <c r="I23" i="496"/>
  <c r="I24" i="496"/>
  <c r="I25" i="496"/>
  <c r="I26" i="496"/>
  <c r="I28" i="496"/>
  <c r="I29" i="496"/>
  <c r="I30" i="496"/>
  <c r="I31" i="496"/>
  <c r="I32" i="496"/>
  <c r="I33" i="496"/>
  <c r="I34" i="496"/>
  <c r="I35" i="496"/>
  <c r="I36" i="496"/>
  <c r="I37" i="496"/>
  <c r="I38" i="496"/>
  <c r="I39" i="496"/>
  <c r="I12" i="496"/>
  <c r="H46" i="496"/>
  <c r="H43" i="496"/>
  <c r="C42" i="495"/>
  <c r="H13" i="496"/>
  <c r="H14" i="496"/>
  <c r="H15" i="496"/>
  <c r="H16" i="496"/>
  <c r="H17" i="496"/>
  <c r="H19" i="496"/>
  <c r="H20" i="496"/>
  <c r="H21" i="496"/>
  <c r="H22" i="496"/>
  <c r="H23" i="496"/>
  <c r="H24" i="496"/>
  <c r="H26" i="496"/>
  <c r="H27" i="496"/>
  <c r="H28" i="496"/>
  <c r="H29" i="496"/>
  <c r="H30" i="496"/>
  <c r="H31" i="496"/>
  <c r="H32" i="496"/>
  <c r="H33" i="496"/>
  <c r="H34" i="496"/>
  <c r="H35" i="496"/>
  <c r="H36" i="496"/>
  <c r="H37" i="496"/>
  <c r="H38" i="496"/>
  <c r="H39" i="496"/>
  <c r="E46" i="496"/>
  <c r="E44" i="496"/>
  <c r="E43" i="496"/>
  <c r="E45" i="496"/>
  <c r="E14" i="496"/>
  <c r="E15" i="496"/>
  <c r="E16" i="496"/>
  <c r="E17" i="496"/>
  <c r="E18" i="496"/>
  <c r="E19" i="496"/>
  <c r="E20" i="496"/>
  <c r="E22" i="496"/>
  <c r="E23" i="496"/>
  <c r="E24" i="496"/>
  <c r="E26" i="496"/>
  <c r="E27" i="496"/>
  <c r="E28" i="496"/>
  <c r="E29" i="496"/>
  <c r="E31" i="496"/>
  <c r="E32" i="496"/>
  <c r="E33" i="496"/>
  <c r="E34" i="496"/>
  <c r="E35" i="496"/>
  <c r="E36" i="496"/>
  <c r="E37" i="496"/>
  <c r="E38" i="496"/>
  <c r="E39" i="496"/>
  <c r="D43" i="496"/>
  <c r="D13" i="496"/>
  <c r="D14" i="496"/>
  <c r="D15" i="496"/>
  <c r="D16" i="496"/>
  <c r="D17" i="496"/>
  <c r="D18" i="496"/>
  <c r="D19" i="496"/>
  <c r="D20" i="496"/>
  <c r="D21" i="496"/>
  <c r="D23" i="496"/>
  <c r="D24" i="496"/>
  <c r="D25" i="496"/>
  <c r="D26" i="496"/>
  <c r="D27" i="496"/>
  <c r="D28" i="496"/>
  <c r="D29" i="496"/>
  <c r="D30" i="496"/>
  <c r="D31" i="496"/>
  <c r="D32" i="496"/>
  <c r="D33" i="496"/>
  <c r="D34" i="496"/>
  <c r="D35" i="496"/>
  <c r="D36" i="496"/>
  <c r="D37" i="496"/>
  <c r="D38" i="496"/>
  <c r="D39" i="496"/>
  <c r="N13" i="495"/>
  <c r="N16" i="495" s="1"/>
  <c r="N13" i="496"/>
  <c r="K63" i="496"/>
  <c r="N14" i="496"/>
  <c r="N12" i="496"/>
  <c r="W40" i="495"/>
  <c r="W41" i="495" s="1"/>
  <c r="R17" i="495"/>
  <c r="U19" i="493"/>
  <c r="H39" i="493"/>
  <c r="H38" i="493"/>
  <c r="H37" i="493"/>
  <c r="H36" i="493"/>
  <c r="H35" i="493"/>
  <c r="H34" i="493"/>
  <c r="H33" i="493"/>
  <c r="H32" i="493"/>
  <c r="H31" i="493"/>
  <c r="H30" i="493"/>
  <c r="H29" i="493"/>
  <c r="H28" i="493"/>
  <c r="H27" i="493"/>
  <c r="H26" i="493"/>
  <c r="H25" i="493"/>
  <c r="H24" i="493"/>
  <c r="H23" i="493"/>
  <c r="H22" i="493"/>
  <c r="H21" i="493"/>
  <c r="H20" i="493"/>
  <c r="H19" i="493"/>
  <c r="H18" i="493"/>
  <c r="H17" i="493"/>
  <c r="H16" i="493"/>
  <c r="H15" i="493"/>
  <c r="H14" i="493"/>
  <c r="H13" i="493"/>
  <c r="H12" i="493"/>
  <c r="H39" i="491"/>
  <c r="H38" i="491"/>
  <c r="H37" i="491"/>
  <c r="H36" i="491"/>
  <c r="H35" i="491"/>
  <c r="H34" i="491"/>
  <c r="H33" i="491"/>
  <c r="H32" i="491"/>
  <c r="H31" i="491"/>
  <c r="H30" i="491"/>
  <c r="H29" i="491"/>
  <c r="H28" i="491"/>
  <c r="H27" i="491"/>
  <c r="H26" i="491"/>
  <c r="H25" i="491"/>
  <c r="H24" i="491"/>
  <c r="H23" i="491"/>
  <c r="H22" i="491"/>
  <c r="H21" i="491"/>
  <c r="H20" i="491"/>
  <c r="H19" i="491"/>
  <c r="H18" i="491"/>
  <c r="H17" i="491"/>
  <c r="H16" i="491"/>
  <c r="H15" i="491"/>
  <c r="H14" i="491"/>
  <c r="H13" i="491"/>
  <c r="H12" i="491"/>
  <c r="H24" i="490"/>
  <c r="H30" i="490"/>
  <c r="H26" i="490"/>
  <c r="H31" i="490"/>
  <c r="H34" i="490"/>
  <c r="H12" i="490"/>
  <c r="H37" i="490"/>
  <c r="H36" i="490"/>
  <c r="H38" i="490"/>
  <c r="H39" i="490"/>
  <c r="H35" i="490"/>
  <c r="H33" i="490"/>
  <c r="H32" i="490"/>
  <c r="H29" i="490"/>
  <c r="H28" i="490"/>
  <c r="H27" i="490"/>
  <c r="H25" i="490"/>
  <c r="H23" i="490"/>
  <c r="H22" i="490"/>
  <c r="H21" i="490"/>
  <c r="H20" i="490"/>
  <c r="H19" i="490"/>
  <c r="H18" i="490"/>
  <c r="H17" i="490"/>
  <c r="H16" i="490"/>
  <c r="H15" i="490"/>
  <c r="H14" i="490"/>
  <c r="H13" i="490"/>
  <c r="C37" i="485"/>
  <c r="L37" i="571" s="1"/>
  <c r="M37" i="571" s="1"/>
  <c r="C35" i="485"/>
  <c r="C34" i="485"/>
  <c r="D12" i="485"/>
  <c r="E12" i="485"/>
  <c r="D13" i="485"/>
  <c r="E13" i="485"/>
  <c r="D14" i="485"/>
  <c r="E14" i="485"/>
  <c r="D15" i="485"/>
  <c r="E15" i="485"/>
  <c r="D16" i="485"/>
  <c r="E16" i="485"/>
  <c r="D17" i="485"/>
  <c r="E17" i="485"/>
  <c r="D18" i="485"/>
  <c r="E18" i="485"/>
  <c r="D19" i="485"/>
  <c r="E19" i="485"/>
  <c r="D20" i="485"/>
  <c r="E20" i="485"/>
  <c r="D21" i="485"/>
  <c r="E21" i="485"/>
  <c r="D22" i="485"/>
  <c r="E22" i="485"/>
  <c r="D27" i="485"/>
  <c r="E27" i="485"/>
  <c r="D28" i="485"/>
  <c r="E28" i="485"/>
  <c r="D29" i="485"/>
  <c r="E29" i="485"/>
  <c r="D30" i="485"/>
  <c r="E30" i="485"/>
  <c r="E25" i="485" l="1"/>
  <c r="E24" i="485"/>
  <c r="E23" i="485"/>
  <c r="E26" i="485"/>
  <c r="D26" i="485"/>
  <c r="D25" i="485"/>
  <c r="D24" i="485"/>
  <c r="D23" i="485"/>
  <c r="C29" i="567"/>
  <c r="C30" i="567" s="1"/>
  <c r="C28" i="567"/>
  <c r="Q23" i="90"/>
  <c r="Q31" i="538" s="1"/>
  <c r="C14" i="552"/>
  <c r="Q33" i="554"/>
  <c r="Q36" i="517"/>
  <c r="D46" i="488"/>
  <c r="E43" i="488"/>
  <c r="D44" i="488"/>
  <c r="C43" i="488"/>
  <c r="E46" i="488"/>
  <c r="E44" i="488"/>
  <c r="C44" i="488"/>
  <c r="C46" i="488"/>
  <c r="E26" i="411"/>
  <c r="E25" i="411"/>
  <c r="E24" i="411"/>
  <c r="D44" i="496"/>
  <c r="F21" i="467"/>
  <c r="F93" i="467" s="1"/>
  <c r="H44" i="496"/>
  <c r="F21" i="471"/>
  <c r="J45" i="496"/>
  <c r="I45" i="496"/>
  <c r="D47" i="496"/>
  <c r="I47" i="496"/>
  <c r="C42" i="496"/>
  <c r="C41" i="499"/>
  <c r="C40" i="499"/>
  <c r="E40" i="495"/>
  <c r="D45" i="495"/>
  <c r="D45" i="496" s="1"/>
  <c r="D42" i="496"/>
  <c r="D38" i="499"/>
  <c r="D23" i="499"/>
  <c r="D31" i="499"/>
  <c r="D29" i="499"/>
  <c r="D24" i="499"/>
  <c r="D32" i="499"/>
  <c r="D17" i="499"/>
  <c r="D13" i="499"/>
  <c r="D18" i="499"/>
  <c r="D34" i="499"/>
  <c r="D27" i="499"/>
  <c r="H27" i="567" s="1"/>
  <c r="D35" i="499"/>
  <c r="D14" i="499"/>
  <c r="D20" i="499"/>
  <c r="D28" i="499"/>
  <c r="D30" i="499"/>
  <c r="D36" i="499"/>
  <c r="N27" i="567" s="1"/>
  <c r="D15" i="499"/>
  <c r="D25" i="499"/>
  <c r="F27" i="567" s="1"/>
  <c r="D37" i="499"/>
  <c r="D16" i="499"/>
  <c r="S23" i="90" s="1"/>
  <c r="D19" i="499"/>
  <c r="D22" i="499"/>
  <c r="D26" i="499"/>
  <c r="D33" i="499"/>
  <c r="D39" i="499"/>
  <c r="E12" i="496"/>
  <c r="E30" i="496"/>
  <c r="K47" i="496"/>
  <c r="K45" i="496"/>
  <c r="E47" i="496"/>
  <c r="H41" i="495"/>
  <c r="H21" i="274" s="1"/>
  <c r="D42" i="495"/>
  <c r="C43" i="495"/>
  <c r="J24" i="274"/>
  <c r="H42" i="495"/>
  <c r="I42" i="495"/>
  <c r="J41" i="495"/>
  <c r="C44" i="495"/>
  <c r="C44" i="496" s="1"/>
  <c r="D40" i="495"/>
  <c r="E42" i="495"/>
  <c r="H40" i="495"/>
  <c r="C46" i="495"/>
  <c r="H47" i="496"/>
  <c r="J47" i="496"/>
  <c r="K42" i="495"/>
  <c r="H12" i="496"/>
  <c r="J40" i="495"/>
  <c r="H25" i="496"/>
  <c r="H42" i="496" s="1"/>
  <c r="J18" i="496"/>
  <c r="D12" i="496"/>
  <c r="K41" i="495"/>
  <c r="J15" i="274" s="1"/>
  <c r="E25" i="496"/>
  <c r="E42" i="496" s="1"/>
  <c r="E21" i="496"/>
  <c r="K19" i="496"/>
  <c r="E13" i="496"/>
  <c r="D41" i="495"/>
  <c r="H24" i="274" s="1"/>
  <c r="J42" i="495"/>
  <c r="J27" i="496"/>
  <c r="J42" i="496" s="1"/>
  <c r="J23" i="496"/>
  <c r="H18" i="496"/>
  <c r="I27" i="496"/>
  <c r="I42" i="496" s="1"/>
  <c r="I41" i="495"/>
  <c r="J21" i="274" s="1"/>
  <c r="J22" i="274" s="1"/>
  <c r="K40" i="495"/>
  <c r="D22" i="496"/>
  <c r="K33" i="496"/>
  <c r="K25" i="496"/>
  <c r="I40" i="495"/>
  <c r="H45" i="496"/>
  <c r="N18" i="496"/>
  <c r="N17" i="496"/>
  <c r="N16" i="496"/>
  <c r="N18" i="495"/>
  <c r="N17" i="495"/>
  <c r="D47" i="495"/>
  <c r="I57" i="496"/>
  <c r="H41" i="493"/>
  <c r="H41" i="491"/>
  <c r="H41" i="490"/>
  <c r="D43" i="488"/>
  <c r="C47" i="487"/>
  <c r="F25" i="485" l="1"/>
  <c r="H25" i="485" s="1"/>
  <c r="Q34" i="538"/>
  <c r="Q32" i="538"/>
  <c r="Q33" i="538"/>
  <c r="S26" i="90"/>
  <c r="S39" i="517" s="1"/>
  <c r="S25" i="90"/>
  <c r="S38" i="517" s="1"/>
  <c r="S36" i="517"/>
  <c r="S24" i="90"/>
  <c r="S37" i="517" s="1"/>
  <c r="E33" i="485"/>
  <c r="D33" i="485"/>
  <c r="F23" i="485"/>
  <c r="H23" i="485" s="1"/>
  <c r="F26" i="485"/>
  <c r="H26" i="485" s="1"/>
  <c r="L27" i="567"/>
  <c r="L14" i="552"/>
  <c r="F29" i="567"/>
  <c r="F30" i="567" s="1"/>
  <c r="F28" i="567"/>
  <c r="H29" i="567"/>
  <c r="H30" i="567" s="1"/>
  <c r="H28" i="567"/>
  <c r="J27" i="567"/>
  <c r="J14" i="552"/>
  <c r="N28" i="567"/>
  <c r="N29" i="567"/>
  <c r="N30" i="567" s="1"/>
  <c r="F24" i="485"/>
  <c r="H24" i="485" s="1"/>
  <c r="Q26" i="90"/>
  <c r="Q25" i="90"/>
  <c r="Q24" i="90"/>
  <c r="D47" i="488"/>
  <c r="N14" i="552"/>
  <c r="C16" i="552"/>
  <c r="C17" i="552" s="1"/>
  <c r="C15" i="552"/>
  <c r="F26" i="531"/>
  <c r="F27" i="531" s="1"/>
  <c r="I21" i="556"/>
  <c r="I33" i="554"/>
  <c r="F26" i="405"/>
  <c r="F13" i="544"/>
  <c r="F19" i="406"/>
  <c r="I31" i="538"/>
  <c r="Q21" i="555"/>
  <c r="Q39" i="517"/>
  <c r="Q38" i="517"/>
  <c r="Q37" i="517"/>
  <c r="Q28" i="537"/>
  <c r="Q25" i="536"/>
  <c r="Q34" i="540"/>
  <c r="Q22" i="542"/>
  <c r="Q36" i="501"/>
  <c r="F14" i="552"/>
  <c r="H14" i="552"/>
  <c r="Q36" i="554"/>
  <c r="Q37" i="553" s="1"/>
  <c r="Q35" i="554"/>
  <c r="Q36" i="553" s="1"/>
  <c r="Q34" i="553"/>
  <c r="Q34" i="554"/>
  <c r="Q35" i="553" s="1"/>
  <c r="H15" i="274"/>
  <c r="H17" i="274" s="1"/>
  <c r="D15" i="535"/>
  <c r="D17" i="417"/>
  <c r="E47" i="488"/>
  <c r="C47" i="488"/>
  <c r="L24" i="274"/>
  <c r="I36" i="517"/>
  <c r="H11" i="274"/>
  <c r="J19" i="274"/>
  <c r="J18" i="274"/>
  <c r="J17" i="274"/>
  <c r="J16" i="274"/>
  <c r="J20" i="274"/>
  <c r="H22" i="274"/>
  <c r="L22" i="274" s="1"/>
  <c r="F31" i="544" s="1"/>
  <c r="L21" i="274"/>
  <c r="C43" i="496"/>
  <c r="I23" i="90"/>
  <c r="W46" i="495"/>
  <c r="E40" i="496"/>
  <c r="D42" i="499"/>
  <c r="D27" i="567" s="1"/>
  <c r="C47" i="495"/>
  <c r="E41" i="496"/>
  <c r="K24" i="274" s="1"/>
  <c r="D40" i="499"/>
  <c r="D41" i="499"/>
  <c r="D41" i="496"/>
  <c r="I24" i="274" s="1"/>
  <c r="H41" i="496"/>
  <c r="I21" i="274" s="1"/>
  <c r="C46" i="496"/>
  <c r="D40" i="496"/>
  <c r="K42" i="496"/>
  <c r="J41" i="496"/>
  <c r="I40" i="496"/>
  <c r="J40" i="496"/>
  <c r="K41" i="496"/>
  <c r="K15" i="274" s="1"/>
  <c r="K40" i="496"/>
  <c r="I41" i="496"/>
  <c r="K21" i="274" s="1"/>
  <c r="K22" i="274" s="1"/>
  <c r="H40" i="496"/>
  <c r="S26" i="536" l="1"/>
  <c r="S29" i="537"/>
  <c r="S25" i="536"/>
  <c r="S28" i="537"/>
  <c r="S27" i="536"/>
  <c r="S30" i="537"/>
  <c r="S28" i="536"/>
  <c r="S31" i="537"/>
  <c r="J29" i="567"/>
  <c r="J30" i="567"/>
  <c r="J28" i="567"/>
  <c r="L16" i="552"/>
  <c r="L17" i="552"/>
  <c r="L15" i="552"/>
  <c r="D29" i="567"/>
  <c r="D30" i="567" s="1"/>
  <c r="D28" i="567"/>
  <c r="L30" i="567"/>
  <c r="L28" i="567"/>
  <c r="L29" i="567"/>
  <c r="J15" i="552"/>
  <c r="J17" i="552"/>
  <c r="J16" i="552"/>
  <c r="R23" i="90"/>
  <c r="R31" i="538" s="1"/>
  <c r="D14" i="552"/>
  <c r="H18" i="274"/>
  <c r="L18" i="274" s="1"/>
  <c r="F28" i="531"/>
  <c r="I33" i="538"/>
  <c r="I32" i="538"/>
  <c r="I34" i="538"/>
  <c r="G26" i="531"/>
  <c r="G29" i="531" s="1"/>
  <c r="J21" i="556"/>
  <c r="G26" i="405"/>
  <c r="J33" i="554"/>
  <c r="G13" i="544"/>
  <c r="G19" i="406"/>
  <c r="J31" i="538"/>
  <c r="F29" i="531"/>
  <c r="F16" i="544"/>
  <c r="F15" i="544"/>
  <c r="F14" i="544"/>
  <c r="F22" i="406"/>
  <c r="F20" i="406"/>
  <c r="F21" i="406"/>
  <c r="H16" i="552"/>
  <c r="H17" i="552" s="1"/>
  <c r="H15" i="552"/>
  <c r="I38" i="555"/>
  <c r="I39" i="555" s="1"/>
  <c r="F43" i="405"/>
  <c r="F44" i="405" s="1"/>
  <c r="I53" i="501"/>
  <c r="I54" i="501" s="1"/>
  <c r="I51" i="553"/>
  <c r="I52" i="553" s="1"/>
  <c r="F30" i="544"/>
  <c r="I21" i="555"/>
  <c r="I28" i="537"/>
  <c r="I25" i="536"/>
  <c r="I34" i="540"/>
  <c r="Q22" i="555"/>
  <c r="Q29" i="537"/>
  <c r="Q26" i="536"/>
  <c r="Q35" i="540"/>
  <c r="Q23" i="542"/>
  <c r="Q37" i="501"/>
  <c r="F29" i="405"/>
  <c r="F28" i="405"/>
  <c r="F27" i="405"/>
  <c r="F15" i="552"/>
  <c r="F16" i="552"/>
  <c r="F17" i="552" s="1"/>
  <c r="Q23" i="555"/>
  <c r="Q30" i="537"/>
  <c r="Q27" i="536"/>
  <c r="Q36" i="540"/>
  <c r="Q24" i="542"/>
  <c r="Q38" i="501"/>
  <c r="I34" i="554"/>
  <c r="I35" i="553" s="1"/>
  <c r="I34" i="553"/>
  <c r="I36" i="554"/>
  <c r="I37" i="553" s="1"/>
  <c r="I35" i="554"/>
  <c r="I36" i="553" s="1"/>
  <c r="R33" i="554"/>
  <c r="R36" i="517"/>
  <c r="I46" i="555"/>
  <c r="I59" i="553"/>
  <c r="F51" i="405"/>
  <c r="F38" i="544"/>
  <c r="Q24" i="555"/>
  <c r="Q28" i="536"/>
  <c r="Q31" i="537"/>
  <c r="Q37" i="540"/>
  <c r="Q25" i="542"/>
  <c r="Q39" i="501"/>
  <c r="I23" i="556"/>
  <c r="I24" i="556"/>
  <c r="I22" i="556"/>
  <c r="N16" i="552"/>
  <c r="N17" i="552" s="1"/>
  <c r="N15" i="552"/>
  <c r="I39" i="542"/>
  <c r="I40" i="542" s="1"/>
  <c r="I47" i="542"/>
  <c r="I61" i="501"/>
  <c r="I15" i="274"/>
  <c r="I17" i="274" s="1"/>
  <c r="H16" i="274"/>
  <c r="H19" i="274" s="1"/>
  <c r="L19" i="274" s="1"/>
  <c r="L15" i="274"/>
  <c r="I36" i="501"/>
  <c r="I22" i="542"/>
  <c r="D16" i="535"/>
  <c r="R16" i="535" s="1"/>
  <c r="Q15" i="535"/>
  <c r="I38" i="517"/>
  <c r="J25" i="274"/>
  <c r="M24" i="274"/>
  <c r="I39" i="517"/>
  <c r="H13" i="274"/>
  <c r="L13" i="274" s="1"/>
  <c r="H14" i="274"/>
  <c r="L14" i="274" s="1"/>
  <c r="L11" i="274"/>
  <c r="H12" i="274"/>
  <c r="L12" i="274" s="1"/>
  <c r="J36" i="517"/>
  <c r="I11" i="274"/>
  <c r="M21" i="274"/>
  <c r="I22" i="274"/>
  <c r="M22" i="274" s="1"/>
  <c r="G31" i="544" s="1"/>
  <c r="I37" i="517"/>
  <c r="L17" i="274"/>
  <c r="K18" i="274"/>
  <c r="K17" i="274"/>
  <c r="K16" i="274"/>
  <c r="K20" i="274"/>
  <c r="K19" i="274"/>
  <c r="C47" i="496"/>
  <c r="M41" i="499"/>
  <c r="J23" i="90"/>
  <c r="I26" i="90"/>
  <c r="I24" i="90"/>
  <c r="I25" i="90"/>
  <c r="R34" i="538" l="1"/>
  <c r="R33" i="538"/>
  <c r="R32" i="538"/>
  <c r="G27" i="531"/>
  <c r="R25" i="90"/>
  <c r="R26" i="90"/>
  <c r="R24" i="90"/>
  <c r="G28" i="531"/>
  <c r="J35" i="554"/>
  <c r="J36" i="553" s="1"/>
  <c r="J36" i="554"/>
  <c r="J37" i="553" s="1"/>
  <c r="J34" i="554"/>
  <c r="J35" i="553" s="1"/>
  <c r="J34" i="553"/>
  <c r="I25" i="555"/>
  <c r="I26" i="555" s="1"/>
  <c r="I27" i="555" s="1"/>
  <c r="I28" i="555" s="1"/>
  <c r="I29" i="555" s="1"/>
  <c r="I30" i="555" s="1"/>
  <c r="F30" i="405"/>
  <c r="I38" i="553"/>
  <c r="I39" i="553" s="1"/>
  <c r="I40" i="553" s="1"/>
  <c r="I41" i="553" s="1"/>
  <c r="I42" i="553" s="1"/>
  <c r="I43" i="553" s="1"/>
  <c r="G28" i="405"/>
  <c r="G27" i="405"/>
  <c r="G29" i="405"/>
  <c r="D16" i="552"/>
  <c r="D17" i="552" s="1"/>
  <c r="D15" i="552"/>
  <c r="J24" i="556"/>
  <c r="J22" i="556"/>
  <c r="J23" i="556"/>
  <c r="J21" i="555"/>
  <c r="J28" i="537"/>
  <c r="J25" i="536"/>
  <c r="J34" i="540"/>
  <c r="J38" i="555"/>
  <c r="J39" i="555" s="1"/>
  <c r="G43" i="405"/>
  <c r="G44" i="405" s="1"/>
  <c r="J51" i="553"/>
  <c r="J52" i="553" s="1"/>
  <c r="G30" i="544"/>
  <c r="M15" i="274"/>
  <c r="I23" i="555"/>
  <c r="I30" i="537"/>
  <c r="I27" i="536"/>
  <c r="I36" i="540"/>
  <c r="R21" i="555"/>
  <c r="R38" i="517"/>
  <c r="R39" i="517"/>
  <c r="R37" i="517"/>
  <c r="R28" i="537"/>
  <c r="R25" i="536"/>
  <c r="R34" i="540"/>
  <c r="R22" i="542"/>
  <c r="R36" i="501"/>
  <c r="J33" i="538"/>
  <c r="J34" i="538"/>
  <c r="J32" i="538"/>
  <c r="J46" i="555"/>
  <c r="J59" i="553"/>
  <c r="G51" i="405"/>
  <c r="G38" i="544"/>
  <c r="R35" i="554"/>
  <c r="R36" i="553" s="1"/>
  <c r="R36" i="554"/>
  <c r="R37" i="553" s="1"/>
  <c r="R34" i="554"/>
  <c r="R35" i="553" s="1"/>
  <c r="R34" i="553"/>
  <c r="G22" i="406"/>
  <c r="G21" i="406"/>
  <c r="G20" i="406"/>
  <c r="I22" i="555"/>
  <c r="I29" i="537"/>
  <c r="I26" i="536"/>
  <c r="I35" i="540"/>
  <c r="I24" i="555"/>
  <c r="I28" i="536"/>
  <c r="I31" i="537"/>
  <c r="I37" i="540"/>
  <c r="G15" i="544"/>
  <c r="G14" i="544"/>
  <c r="G16" i="544"/>
  <c r="L16" i="274"/>
  <c r="H20" i="274"/>
  <c r="L20" i="274" s="1"/>
  <c r="I18" i="274"/>
  <c r="M18" i="274" s="1"/>
  <c r="I16" i="274"/>
  <c r="M16" i="274" s="1"/>
  <c r="I19" i="274"/>
  <c r="M19" i="274" s="1"/>
  <c r="I20" i="274"/>
  <c r="M20" i="274" s="1"/>
  <c r="I40" i="501"/>
  <c r="I41" i="501" s="1"/>
  <c r="I42" i="501" s="1"/>
  <c r="I43" i="501" s="1"/>
  <c r="I44" i="501" s="1"/>
  <c r="I45" i="501" s="1"/>
  <c r="I26" i="542"/>
  <c r="J47" i="542"/>
  <c r="J61" i="501"/>
  <c r="J53" i="501"/>
  <c r="J54" i="501" s="1"/>
  <c r="J39" i="542"/>
  <c r="J40" i="542" s="1"/>
  <c r="I39" i="501"/>
  <c r="I25" i="542"/>
  <c r="I38" i="501"/>
  <c r="I24" i="542"/>
  <c r="J36" i="501"/>
  <c r="J22" i="542"/>
  <c r="I37" i="501"/>
  <c r="I23" i="542"/>
  <c r="J39" i="517"/>
  <c r="K25" i="274"/>
  <c r="M17" i="274"/>
  <c r="J37" i="517"/>
  <c r="I12" i="274"/>
  <c r="M12" i="274" s="1"/>
  <c r="M11" i="274"/>
  <c r="I13" i="274"/>
  <c r="M13" i="274" s="1"/>
  <c r="I14" i="274"/>
  <c r="M14" i="274" s="1"/>
  <c r="J38" i="517"/>
  <c r="J24" i="90"/>
  <c r="J26" i="90"/>
  <c r="J25" i="90"/>
  <c r="L25" i="274" l="1"/>
  <c r="F35" i="405"/>
  <c r="F34" i="405"/>
  <c r="F33" i="405"/>
  <c r="F32" i="405"/>
  <c r="F31" i="405"/>
  <c r="R22" i="555"/>
  <c r="R29" i="537"/>
  <c r="R26" i="536"/>
  <c r="R35" i="540"/>
  <c r="R23" i="542"/>
  <c r="R37" i="501"/>
  <c r="J25" i="555"/>
  <c r="J26" i="555" s="1"/>
  <c r="J27" i="555" s="1"/>
  <c r="J28" i="555" s="1"/>
  <c r="J29" i="555" s="1"/>
  <c r="J30" i="555" s="1"/>
  <c r="G30" i="405"/>
  <c r="J38" i="553"/>
  <c r="J39" i="553" s="1"/>
  <c r="J40" i="553" s="1"/>
  <c r="J41" i="553" s="1"/>
  <c r="J42" i="553" s="1"/>
  <c r="J43" i="553" s="1"/>
  <c r="R24" i="555"/>
  <c r="R31" i="537"/>
  <c r="R28" i="536"/>
  <c r="R37" i="540"/>
  <c r="R25" i="542"/>
  <c r="R39" i="501"/>
  <c r="J22" i="555"/>
  <c r="J29" i="537"/>
  <c r="J26" i="536"/>
  <c r="J35" i="540"/>
  <c r="J23" i="555"/>
  <c r="J30" i="537"/>
  <c r="J36" i="540"/>
  <c r="J27" i="536"/>
  <c r="J40" i="501"/>
  <c r="J41" i="501" s="1"/>
  <c r="J42" i="501" s="1"/>
  <c r="J43" i="501" s="1"/>
  <c r="J44" i="501" s="1"/>
  <c r="J45" i="501" s="1"/>
  <c r="H25" i="274"/>
  <c r="R23" i="555"/>
  <c r="R30" i="537"/>
  <c r="R36" i="540"/>
  <c r="R27" i="536"/>
  <c r="R24" i="542"/>
  <c r="R38" i="501"/>
  <c r="J24" i="555"/>
  <c r="J31" i="537"/>
  <c r="J28" i="536"/>
  <c r="J37" i="540"/>
  <c r="J26" i="542"/>
  <c r="J27" i="542" s="1"/>
  <c r="J28" i="542" s="1"/>
  <c r="J29" i="542" s="1"/>
  <c r="J30" i="542" s="1"/>
  <c r="J31" i="542" s="1"/>
  <c r="I27" i="542"/>
  <c r="I28" i="542" s="1"/>
  <c r="I29" i="542" s="1"/>
  <c r="I30" i="542" s="1"/>
  <c r="I31" i="542" s="1"/>
  <c r="F17" i="544"/>
  <c r="J38" i="501"/>
  <c r="J24" i="542"/>
  <c r="J37" i="501"/>
  <c r="J23" i="542"/>
  <c r="J39" i="501"/>
  <c r="J25" i="542"/>
  <c r="I25" i="274"/>
  <c r="M25" i="274"/>
  <c r="G17" i="544" l="1"/>
  <c r="G33" i="405"/>
  <c r="G32" i="405"/>
  <c r="G31" i="405"/>
  <c r="G35" i="405"/>
  <c r="G34" i="405"/>
  <c r="F20" i="544"/>
  <c r="F19" i="544"/>
  <c r="F18" i="544"/>
  <c r="B2" i="499"/>
  <c r="G18" i="544" l="1"/>
  <c r="G20" i="544"/>
  <c r="G21" i="544" s="1"/>
  <c r="G19" i="544"/>
  <c r="F21" i="544"/>
  <c r="F22" i="544"/>
  <c r="G24" i="487"/>
  <c r="G23" i="487"/>
  <c r="G22" i="487"/>
  <c r="G21" i="487"/>
  <c r="G20" i="487"/>
  <c r="G19" i="487"/>
  <c r="G18" i="487"/>
  <c r="G17" i="487"/>
  <c r="G16" i="487"/>
  <c r="B2" i="496"/>
  <c r="G22" i="544" l="1"/>
  <c r="K17" i="487"/>
  <c r="C45" i="487"/>
  <c r="C40" i="488"/>
  <c r="H21" i="487"/>
  <c r="C40" i="487"/>
  <c r="H19" i="487"/>
  <c r="H24" i="487"/>
  <c r="H15" i="487"/>
  <c r="H20" i="487"/>
  <c r="F46" i="488"/>
  <c r="H13" i="487"/>
  <c r="H16" i="487"/>
  <c r="F47" i="488"/>
  <c r="H14" i="487"/>
  <c r="H22" i="487"/>
  <c r="H12" i="487"/>
  <c r="H18" i="487"/>
  <c r="H23" i="487"/>
  <c r="K15" i="488" l="1"/>
  <c r="K16" i="488"/>
  <c r="O16" i="529"/>
  <c r="O17" i="529"/>
  <c r="P17" i="529" s="1"/>
  <c r="Q17" i="529" s="1"/>
  <c r="H41" i="487"/>
  <c r="C45" i="488"/>
  <c r="F45" i="487"/>
  <c r="F43" i="488"/>
  <c r="L13" i="430"/>
  <c r="C15" i="496"/>
  <c r="C16" i="496"/>
  <c r="C17" i="496"/>
  <c r="C14" i="496"/>
  <c r="C40" i="495"/>
  <c r="C18" i="496"/>
  <c r="C41" i="495"/>
  <c r="K13" i="487"/>
  <c r="K12" i="487"/>
  <c r="K12" i="488" s="1"/>
  <c r="H17" i="487"/>
  <c r="H40" i="487" s="1"/>
  <c r="P16" i="529" l="1"/>
  <c r="M31" i="517"/>
  <c r="O19" i="529"/>
  <c r="O18" i="556" s="1"/>
  <c r="C16" i="529"/>
  <c r="C17" i="529"/>
  <c r="D17" i="529" s="1"/>
  <c r="E17" i="529" s="1"/>
  <c r="I16" i="529"/>
  <c r="I17" i="529"/>
  <c r="L17" i="529"/>
  <c r="M17" i="529" s="1"/>
  <c r="N17" i="529" s="1"/>
  <c r="L16" i="529"/>
  <c r="F16" i="529"/>
  <c r="F17" i="529"/>
  <c r="G17" i="529" s="1"/>
  <c r="H17" i="529" s="1"/>
  <c r="K14" i="487"/>
  <c r="K14" i="488" s="1"/>
  <c r="K13" i="488"/>
  <c r="C40" i="496"/>
  <c r="C41" i="496"/>
  <c r="D37" i="485"/>
  <c r="E37" i="485"/>
  <c r="E35" i="485"/>
  <c r="D35" i="485"/>
  <c r="G15" i="485"/>
  <c r="G15" i="486" s="1"/>
  <c r="G16" i="485"/>
  <c r="G17" i="485"/>
  <c r="G18" i="485"/>
  <c r="G19" i="485"/>
  <c r="G20" i="485"/>
  <c r="G21" i="485"/>
  <c r="G22" i="485"/>
  <c r="G27" i="485"/>
  <c r="G28" i="485"/>
  <c r="G29" i="485"/>
  <c r="G30" i="485"/>
  <c r="G13" i="486"/>
  <c r="G12" i="486"/>
  <c r="C37" i="486"/>
  <c r="M18" i="90" l="1"/>
  <c r="M26" i="538" s="1"/>
  <c r="J17" i="529"/>
  <c r="K17" i="529" s="1"/>
  <c r="I19" i="529"/>
  <c r="J16" i="529"/>
  <c r="I31" i="517"/>
  <c r="E31" i="517"/>
  <c r="G16" i="529"/>
  <c r="G31" i="517"/>
  <c r="F19" i="529"/>
  <c r="G30" i="554" s="1"/>
  <c r="M16" i="529"/>
  <c r="K31" i="517"/>
  <c r="L19" i="529"/>
  <c r="K30" i="554" s="1"/>
  <c r="Q16" i="529"/>
  <c r="P19" i="529"/>
  <c r="D16" i="529"/>
  <c r="C19" i="529"/>
  <c r="M30" i="554"/>
  <c r="O30" i="554" s="1"/>
  <c r="L18" i="556"/>
  <c r="K18" i="556"/>
  <c r="M20" i="536"/>
  <c r="M23" i="537"/>
  <c r="M31" i="540"/>
  <c r="M18" i="556"/>
  <c r="J23" i="531"/>
  <c r="O31" i="517"/>
  <c r="G17" i="486"/>
  <c r="G27" i="486"/>
  <c r="G18" i="486"/>
  <c r="G29" i="486"/>
  <c r="G28" i="486"/>
  <c r="G16" i="486"/>
  <c r="G22" i="486"/>
  <c r="G21" i="486"/>
  <c r="G30" i="486"/>
  <c r="G20" i="486"/>
  <c r="G19" i="486"/>
  <c r="Q19" i="529" l="1"/>
  <c r="N31" i="517"/>
  <c r="N20" i="536" s="1"/>
  <c r="O18" i="90"/>
  <c r="O26" i="538" s="1"/>
  <c r="J10" i="406"/>
  <c r="I18" i="90"/>
  <c r="I26" i="538" s="1"/>
  <c r="G18" i="90"/>
  <c r="G26" i="538" s="1"/>
  <c r="K18" i="90"/>
  <c r="K26" i="538" s="1"/>
  <c r="E18" i="90"/>
  <c r="E26" i="538" s="1"/>
  <c r="B23" i="531"/>
  <c r="K16" i="529"/>
  <c r="J19" i="529"/>
  <c r="H16" i="529"/>
  <c r="G19" i="529"/>
  <c r="N16" i="529"/>
  <c r="N19" i="529" s="1"/>
  <c r="L30" i="554" s="1"/>
  <c r="L31" i="517"/>
  <c r="M19" i="529"/>
  <c r="E16" i="529"/>
  <c r="D19" i="529"/>
  <c r="G23" i="537"/>
  <c r="G18" i="556"/>
  <c r="E20" i="536"/>
  <c r="E23" i="537"/>
  <c r="E31" i="540"/>
  <c r="E18" i="556"/>
  <c r="E30" i="554"/>
  <c r="N23" i="537"/>
  <c r="O23" i="537"/>
  <c r="O20" i="536"/>
  <c r="O31" i="540"/>
  <c r="H23" i="531"/>
  <c r="I18" i="556"/>
  <c r="I30" i="554"/>
  <c r="L23" i="531"/>
  <c r="N23" i="531"/>
  <c r="R20" i="503"/>
  <c r="S20" i="503" s="1"/>
  <c r="K23" i="531" l="1"/>
  <c r="P31" i="517"/>
  <c r="P20" i="536" s="1"/>
  <c r="N31" i="540"/>
  <c r="I29" i="571"/>
  <c r="N18" i="90"/>
  <c r="N26" i="538" s="1"/>
  <c r="P18" i="556"/>
  <c r="N18" i="556" s="1"/>
  <c r="N30" i="554"/>
  <c r="P30" i="554" s="1"/>
  <c r="C29" i="571"/>
  <c r="L18" i="90"/>
  <c r="L26" i="538" s="1"/>
  <c r="L29" i="571"/>
  <c r="K10" i="406"/>
  <c r="P18" i="90"/>
  <c r="P26" i="538" s="1"/>
  <c r="H31" i="517"/>
  <c r="H19" i="529"/>
  <c r="J31" i="517"/>
  <c r="K19" i="529"/>
  <c r="E19" i="529"/>
  <c r="F31" i="517"/>
  <c r="H10" i="406"/>
  <c r="B10" i="406"/>
  <c r="N10" i="406"/>
  <c r="L10" i="406"/>
  <c r="D23" i="531"/>
  <c r="G31" i="540"/>
  <c r="G20" i="536"/>
  <c r="P23" i="537"/>
  <c r="P31" i="540"/>
  <c r="L23" i="537"/>
  <c r="L20" i="536"/>
  <c r="L31" i="540"/>
  <c r="K20" i="536"/>
  <c r="K23" i="537"/>
  <c r="K31" i="540"/>
  <c r="I23" i="537"/>
  <c r="I20" i="536"/>
  <c r="I31" i="540"/>
  <c r="F23" i="531"/>
  <c r="I23" i="531"/>
  <c r="O23" i="531"/>
  <c r="M23" i="531"/>
  <c r="J29" i="571" l="1"/>
  <c r="K29" i="571" s="1"/>
  <c r="H23" i="537"/>
  <c r="J31" i="540"/>
  <c r="E23" i="531"/>
  <c r="J20" i="536"/>
  <c r="G23" i="531"/>
  <c r="G10" i="406" s="1"/>
  <c r="H31" i="540"/>
  <c r="H20" i="536"/>
  <c r="J18" i="90"/>
  <c r="J26" i="538" s="1"/>
  <c r="M29" i="571"/>
  <c r="N29" i="571" s="1"/>
  <c r="I10" i="406"/>
  <c r="J23" i="537"/>
  <c r="D29" i="571"/>
  <c r="E29" i="571" s="1"/>
  <c r="H18" i="90"/>
  <c r="H26" i="538" s="1"/>
  <c r="O10" i="406"/>
  <c r="M10" i="406"/>
  <c r="F18" i="90"/>
  <c r="F26" i="538" s="1"/>
  <c r="C23" i="531"/>
  <c r="F18" i="556"/>
  <c r="F30" i="554"/>
  <c r="J30" i="554"/>
  <c r="J18" i="556"/>
  <c r="F31" i="540"/>
  <c r="F23" i="537"/>
  <c r="H18" i="556"/>
  <c r="H30" i="554"/>
  <c r="D10" i="406"/>
  <c r="F10" i="406"/>
  <c r="F20" i="536"/>
  <c r="C32" i="485"/>
  <c r="C31" i="485"/>
  <c r="E54" i="486"/>
  <c r="C38" i="485"/>
  <c r="C37" i="571" s="1"/>
  <c r="D37" i="571" s="1"/>
  <c r="E37" i="486"/>
  <c r="L13" i="524" s="1"/>
  <c r="L19" i="524" s="1"/>
  <c r="E12" i="524" s="1"/>
  <c r="D37" i="486"/>
  <c r="L13" i="503" s="1"/>
  <c r="C36" i="485"/>
  <c r="I37" i="571" s="1"/>
  <c r="J37" i="571" s="1"/>
  <c r="E35" i="486"/>
  <c r="D35" i="486"/>
  <c r="E34" i="486"/>
  <c r="D34" i="486"/>
  <c r="K17" i="485"/>
  <c r="C10" i="406" l="1"/>
  <c r="E10" i="406"/>
  <c r="E19" i="524"/>
  <c r="H11" i="524"/>
  <c r="E34" i="524" s="1"/>
  <c r="C45" i="495"/>
  <c r="C36" i="486"/>
  <c r="F28" i="485"/>
  <c r="H28" i="485" s="1"/>
  <c r="D31" i="485"/>
  <c r="D32" i="485"/>
  <c r="E32" i="485"/>
  <c r="F30" i="485"/>
  <c r="H30" i="485" s="1"/>
  <c r="E31" i="485"/>
  <c r="C21" i="486"/>
  <c r="C16" i="486"/>
  <c r="C12" i="486"/>
  <c r="C22" i="486"/>
  <c r="E18" i="486"/>
  <c r="D18" i="486"/>
  <c r="E15" i="486"/>
  <c r="E29" i="486"/>
  <c r="E19" i="486"/>
  <c r="D19" i="486"/>
  <c r="D30" i="486"/>
  <c r="E27" i="486"/>
  <c r="E20" i="486"/>
  <c r="D22" i="486"/>
  <c r="E22" i="486"/>
  <c r="D27" i="486"/>
  <c r="D16" i="486"/>
  <c r="D14" i="486"/>
  <c r="E21" i="486"/>
  <c r="D29" i="486"/>
  <c r="F29" i="485"/>
  <c r="H29" i="485" s="1"/>
  <c r="F38" i="485"/>
  <c r="K12" i="485" s="1"/>
  <c r="E12" i="486"/>
  <c r="E16" i="486"/>
  <c r="D20" i="486"/>
  <c r="E30" i="486"/>
  <c r="C14" i="486"/>
  <c r="C17" i="486"/>
  <c r="C28" i="486"/>
  <c r="D28" i="486"/>
  <c r="E14" i="486"/>
  <c r="C29" i="486"/>
  <c r="C13" i="486"/>
  <c r="C27" i="486"/>
  <c r="D13" i="486"/>
  <c r="D17" i="486"/>
  <c r="E13" i="486"/>
  <c r="D21" i="486"/>
  <c r="E28" i="486"/>
  <c r="C18" i="486"/>
  <c r="C30" i="486"/>
  <c r="C15" i="486"/>
  <c r="C19" i="486"/>
  <c r="F38" i="486"/>
  <c r="C20" i="486"/>
  <c r="F14" i="485"/>
  <c r="H14" i="485" s="1"/>
  <c r="F13" i="485"/>
  <c r="H13" i="485" s="1"/>
  <c r="F20" i="485"/>
  <c r="H20" i="485" s="1"/>
  <c r="F37" i="485"/>
  <c r="F15" i="485"/>
  <c r="H15" i="485" s="1"/>
  <c r="D38" i="486"/>
  <c r="F16" i="485"/>
  <c r="H16" i="485" s="1"/>
  <c r="F19" i="485"/>
  <c r="H19" i="485" s="1"/>
  <c r="F21" i="485"/>
  <c r="H21" i="485" s="1"/>
  <c r="F27" i="485"/>
  <c r="D15" i="486"/>
  <c r="E17" i="486"/>
  <c r="F18" i="485"/>
  <c r="H18" i="485" s="1"/>
  <c r="E36" i="485"/>
  <c r="D38" i="485"/>
  <c r="F12" i="485"/>
  <c r="F22" i="485"/>
  <c r="F33" i="485" s="1"/>
  <c r="E38" i="485"/>
  <c r="D12" i="486"/>
  <c r="F17" i="485"/>
  <c r="D36" i="485"/>
  <c r="E38" i="486"/>
  <c r="F37" i="486"/>
  <c r="D48" i="486"/>
  <c r="C45" i="526" l="1"/>
  <c r="D45" i="526" s="1"/>
  <c r="C45" i="569"/>
  <c r="D45" i="569" s="1"/>
  <c r="C25" i="486"/>
  <c r="C23" i="486"/>
  <c r="C26" i="486"/>
  <c r="C24" i="486"/>
  <c r="D26" i="486"/>
  <c r="D24" i="486"/>
  <c r="D25" i="486"/>
  <c r="D23" i="486"/>
  <c r="E26" i="486"/>
  <c r="E23" i="486"/>
  <c r="E24" i="486"/>
  <c r="E25" i="486"/>
  <c r="B37" i="531"/>
  <c r="B39" i="531" s="1"/>
  <c r="E32" i="556"/>
  <c r="E44" i="554"/>
  <c r="E42" i="538"/>
  <c r="C45" i="496"/>
  <c r="H34" i="524"/>
  <c r="E42" i="524" s="1"/>
  <c r="H44" i="524" s="1"/>
  <c r="E49" i="524" s="1"/>
  <c r="G49" i="524" s="1"/>
  <c r="H49" i="524" s="1"/>
  <c r="E24" i="524"/>
  <c r="H18" i="524"/>
  <c r="H22" i="485"/>
  <c r="F34" i="486"/>
  <c r="L19" i="503"/>
  <c r="E12" i="503" s="1"/>
  <c r="E36" i="486"/>
  <c r="D36" i="486"/>
  <c r="F19" i="486"/>
  <c r="H19" i="486" s="1"/>
  <c r="F21" i="486"/>
  <c r="H21" i="486" s="1"/>
  <c r="F34" i="485"/>
  <c r="D32" i="486"/>
  <c r="E32" i="486"/>
  <c r="F29" i="486"/>
  <c r="H29" i="486" s="1"/>
  <c r="F22" i="486"/>
  <c r="C32" i="486"/>
  <c r="F32" i="485"/>
  <c r="F16" i="486"/>
  <c r="H16" i="486" s="1"/>
  <c r="F18" i="486"/>
  <c r="H18" i="486" s="1"/>
  <c r="F36" i="485"/>
  <c r="K14" i="485" s="1"/>
  <c r="K34" i="90" s="1"/>
  <c r="H17" i="485"/>
  <c r="H27" i="485"/>
  <c r="H12" i="485"/>
  <c r="F31" i="485"/>
  <c r="F14" i="486"/>
  <c r="F15" i="486"/>
  <c r="H15" i="486" s="1"/>
  <c r="F27" i="486"/>
  <c r="F12" i="486"/>
  <c r="F30" i="486"/>
  <c r="H30" i="486" s="1"/>
  <c r="F20" i="486"/>
  <c r="H20" i="486" s="1"/>
  <c r="F13" i="486"/>
  <c r="H13" i="486" s="1"/>
  <c r="C38" i="486"/>
  <c r="F17" i="486"/>
  <c r="F28" i="486"/>
  <c r="H28" i="486" s="1"/>
  <c r="E31" i="486" l="1"/>
  <c r="C31" i="486"/>
  <c r="K35" i="90"/>
  <c r="I36" i="571" s="1"/>
  <c r="I35" i="571"/>
  <c r="D33" i="486"/>
  <c r="E33" i="486"/>
  <c r="C33" i="486"/>
  <c r="E38" i="567"/>
  <c r="H33" i="485"/>
  <c r="C38" i="567" s="1"/>
  <c r="D31" i="486"/>
  <c r="F24" i="486"/>
  <c r="H24" i="486" s="1"/>
  <c r="F26" i="486"/>
  <c r="H26" i="486" s="1"/>
  <c r="F23" i="486"/>
  <c r="H23" i="486" s="1"/>
  <c r="F25" i="486"/>
  <c r="H25" i="486" s="1"/>
  <c r="B38" i="531"/>
  <c r="I42" i="555"/>
  <c r="I55" i="553"/>
  <c r="F47" i="405"/>
  <c r="I43" i="542"/>
  <c r="I57" i="501"/>
  <c r="H37" i="531"/>
  <c r="H38" i="531" s="1"/>
  <c r="K32" i="556"/>
  <c r="K44" i="554"/>
  <c r="K42" i="538"/>
  <c r="E44" i="538"/>
  <c r="E43" i="538"/>
  <c r="E46" i="554"/>
  <c r="E45" i="554"/>
  <c r="L37" i="531"/>
  <c r="N37" i="531" s="1"/>
  <c r="O44" i="554"/>
  <c r="O32" i="556"/>
  <c r="O42" i="538"/>
  <c r="E25" i="552"/>
  <c r="E34" i="556"/>
  <c r="E33" i="556"/>
  <c r="H32" i="485"/>
  <c r="I26" i="524"/>
  <c r="I29" i="524"/>
  <c r="I27" i="524"/>
  <c r="I25" i="524"/>
  <c r="I28" i="524"/>
  <c r="H14" i="486"/>
  <c r="R19" i="503"/>
  <c r="H30" i="406"/>
  <c r="H32" i="406" s="1"/>
  <c r="K47" i="517"/>
  <c r="C46" i="486"/>
  <c r="H22" i="486"/>
  <c r="L30" i="406"/>
  <c r="O47" i="517"/>
  <c r="F36" i="486"/>
  <c r="H11" i="503"/>
  <c r="E34" i="503" s="1"/>
  <c r="E19" i="503"/>
  <c r="O34" i="90"/>
  <c r="K14" i="486"/>
  <c r="L34" i="90" s="1"/>
  <c r="F45" i="488"/>
  <c r="F32" i="486"/>
  <c r="H31" i="485"/>
  <c r="H12" i="486"/>
  <c r="K17" i="486" s="1"/>
  <c r="H27" i="486"/>
  <c r="H17" i="486"/>
  <c r="J35" i="571" l="1"/>
  <c r="K35" i="571" s="1"/>
  <c r="J36" i="571"/>
  <c r="K36" i="571" s="1"/>
  <c r="M34" i="90"/>
  <c r="L35" i="571"/>
  <c r="C40" i="567"/>
  <c r="C39" i="567"/>
  <c r="F31" i="486"/>
  <c r="F38" i="567"/>
  <c r="H33" i="486"/>
  <c r="D38" i="567" s="1"/>
  <c r="E40" i="567"/>
  <c r="G38" i="567"/>
  <c r="I38" i="567"/>
  <c r="E39" i="567"/>
  <c r="L39" i="531"/>
  <c r="F33" i="486"/>
  <c r="I25" i="552"/>
  <c r="G25" i="552"/>
  <c r="L38" i="531"/>
  <c r="J38" i="531" s="1"/>
  <c r="Q47" i="517"/>
  <c r="Q36" i="536" s="1"/>
  <c r="C25" i="552"/>
  <c r="J37" i="531"/>
  <c r="J39" i="531" s="1"/>
  <c r="Q34" i="90"/>
  <c r="Q44" i="554"/>
  <c r="Q32" i="556"/>
  <c r="Q42" i="538"/>
  <c r="L32" i="556"/>
  <c r="L44" i="554"/>
  <c r="L42" i="538"/>
  <c r="P44" i="554"/>
  <c r="P32" i="556"/>
  <c r="P42" i="538"/>
  <c r="M42" i="538"/>
  <c r="O43" i="538"/>
  <c r="M43" i="538" s="1"/>
  <c r="O44" i="538"/>
  <c r="M44" i="538" s="1"/>
  <c r="I59" i="501"/>
  <c r="I58" i="501"/>
  <c r="H39" i="531"/>
  <c r="F25" i="552"/>
  <c r="I45" i="542"/>
  <c r="F36" i="544" s="1"/>
  <c r="I44" i="542"/>
  <c r="F35" i="544" s="1"/>
  <c r="F34" i="544"/>
  <c r="M32" i="556"/>
  <c r="O34" i="556"/>
  <c r="M34" i="556" s="1"/>
  <c r="O33" i="556"/>
  <c r="M33" i="556" s="1"/>
  <c r="K39" i="537"/>
  <c r="K45" i="540"/>
  <c r="K36" i="536"/>
  <c r="M44" i="554"/>
  <c r="O45" i="554"/>
  <c r="O46" i="554"/>
  <c r="K45" i="554"/>
  <c r="K46" i="554"/>
  <c r="I57" i="553"/>
  <c r="I56" i="553"/>
  <c r="E26" i="552"/>
  <c r="E27" i="552"/>
  <c r="K43" i="538"/>
  <c r="K44" i="538"/>
  <c r="F49" i="405"/>
  <c r="F48" i="405"/>
  <c r="J55" i="553"/>
  <c r="G47" i="405"/>
  <c r="J42" i="555"/>
  <c r="J57" i="501"/>
  <c r="J43" i="542"/>
  <c r="O36" i="536"/>
  <c r="O39" i="537"/>
  <c r="O45" i="540"/>
  <c r="I34" i="90"/>
  <c r="I44" i="554"/>
  <c r="I32" i="556"/>
  <c r="I42" i="538"/>
  <c r="K34" i="556"/>
  <c r="K33" i="556"/>
  <c r="I43" i="555"/>
  <c r="I44" i="555"/>
  <c r="F30" i="406"/>
  <c r="M47" i="517"/>
  <c r="L47" i="517"/>
  <c r="I37" i="531"/>
  <c r="I47" i="517"/>
  <c r="F37" i="531"/>
  <c r="P47" i="517"/>
  <c r="M37" i="531"/>
  <c r="L31" i="406"/>
  <c r="J30" i="406"/>
  <c r="N39" i="531"/>
  <c r="N38" i="531"/>
  <c r="I30" i="524"/>
  <c r="E35" i="524" s="1"/>
  <c r="H34" i="503"/>
  <c r="E42" i="503" s="1"/>
  <c r="H44" i="503" s="1"/>
  <c r="E49" i="503" s="1"/>
  <c r="G49" i="503" s="1"/>
  <c r="H32" i="486"/>
  <c r="H31" i="406"/>
  <c r="N30" i="406"/>
  <c r="N32" i="406" s="1"/>
  <c r="O49" i="517"/>
  <c r="O48" i="517"/>
  <c r="Q36" i="90"/>
  <c r="L32" i="406"/>
  <c r="K49" i="517"/>
  <c r="K48" i="517"/>
  <c r="L35" i="90"/>
  <c r="I30" i="406"/>
  <c r="P34" i="90"/>
  <c r="M30" i="406"/>
  <c r="O35" i="90"/>
  <c r="O36" i="90"/>
  <c r="K36" i="90"/>
  <c r="K37" i="571" s="1"/>
  <c r="H18" i="503"/>
  <c r="E24" i="503"/>
  <c r="H31" i="486"/>
  <c r="M35" i="571" l="1"/>
  <c r="N35" i="571" s="1"/>
  <c r="K30" i="406"/>
  <c r="K31" i="406" s="1"/>
  <c r="Q35" i="90"/>
  <c r="F31" i="406"/>
  <c r="I36" i="90"/>
  <c r="F32" i="406"/>
  <c r="M35" i="90"/>
  <c r="L36" i="571"/>
  <c r="M36" i="90"/>
  <c r="N37" i="571"/>
  <c r="R47" i="517"/>
  <c r="R39" i="537" s="1"/>
  <c r="I35" i="90"/>
  <c r="R34" i="90"/>
  <c r="R35" i="90" s="1"/>
  <c r="I40" i="567"/>
  <c r="I39" i="567"/>
  <c r="G40" i="567"/>
  <c r="G39" i="567"/>
  <c r="K38" i="567"/>
  <c r="D40" i="567"/>
  <c r="D39" i="567"/>
  <c r="H38" i="567"/>
  <c r="F39" i="567"/>
  <c r="J38" i="567"/>
  <c r="F40" i="567"/>
  <c r="Q48" i="517"/>
  <c r="Q37" i="536" s="1"/>
  <c r="Q39" i="537"/>
  <c r="Q49" i="517"/>
  <c r="Q47" i="540" s="1"/>
  <c r="I26" i="552"/>
  <c r="I27" i="552"/>
  <c r="J25" i="552"/>
  <c r="H25" i="552"/>
  <c r="K25" i="552"/>
  <c r="G26" i="552"/>
  <c r="G27" i="552"/>
  <c r="Q45" i="540"/>
  <c r="L34" i="556"/>
  <c r="L33" i="556"/>
  <c r="N32" i="556"/>
  <c r="P34" i="556"/>
  <c r="N34" i="556" s="1"/>
  <c r="P33" i="556"/>
  <c r="N33" i="556" s="1"/>
  <c r="Q44" i="538"/>
  <c r="Q43" i="538"/>
  <c r="O37" i="536"/>
  <c r="O40" i="537"/>
  <c r="O46" i="540"/>
  <c r="N44" i="554"/>
  <c r="P46" i="554"/>
  <c r="P45" i="554"/>
  <c r="K37" i="536"/>
  <c r="K40" i="537"/>
  <c r="K46" i="540"/>
  <c r="O41" i="537"/>
  <c r="O47" i="540"/>
  <c r="O38" i="536"/>
  <c r="I44" i="538"/>
  <c r="I43" i="538"/>
  <c r="G34" i="544"/>
  <c r="J45" i="542"/>
  <c r="G36" i="544" s="1"/>
  <c r="J44" i="542"/>
  <c r="G35" i="544" s="1"/>
  <c r="R44" i="554"/>
  <c r="R32" i="556"/>
  <c r="D25" i="552"/>
  <c r="R42" i="538"/>
  <c r="C27" i="552"/>
  <c r="C26" i="552"/>
  <c r="J58" i="501"/>
  <c r="J59" i="501"/>
  <c r="M46" i="554"/>
  <c r="M45" i="554"/>
  <c r="I39" i="537"/>
  <c r="I36" i="536"/>
  <c r="I45" i="540"/>
  <c r="F26" i="552"/>
  <c r="F27" i="552"/>
  <c r="K41" i="537"/>
  <c r="K38" i="536"/>
  <c r="K47" i="540"/>
  <c r="L36" i="536"/>
  <c r="L45" i="540"/>
  <c r="L39" i="537"/>
  <c r="M36" i="536"/>
  <c r="M39" i="537"/>
  <c r="M45" i="540"/>
  <c r="I34" i="556"/>
  <c r="I33" i="556"/>
  <c r="J43" i="555"/>
  <c r="J44" i="555"/>
  <c r="L43" i="538"/>
  <c r="L44" i="538"/>
  <c r="Q34" i="556"/>
  <c r="Q33" i="556"/>
  <c r="I46" i="554"/>
  <c r="I45" i="554"/>
  <c r="G49" i="405"/>
  <c r="G48" i="405"/>
  <c r="Q46" i="554"/>
  <c r="Q45" i="554"/>
  <c r="J32" i="556"/>
  <c r="J44" i="554"/>
  <c r="J42" i="538"/>
  <c r="P36" i="536"/>
  <c r="P39" i="537"/>
  <c r="P45" i="540"/>
  <c r="J57" i="553"/>
  <c r="J56" i="553"/>
  <c r="P43" i="538"/>
  <c r="N43" i="538" s="1"/>
  <c r="P44" i="538"/>
  <c r="N44" i="538" s="1"/>
  <c r="N42" i="538"/>
  <c r="L46" i="554"/>
  <c r="L45" i="554"/>
  <c r="P36" i="90"/>
  <c r="N34" i="90"/>
  <c r="H49" i="503"/>
  <c r="F21" i="535"/>
  <c r="F23" i="417"/>
  <c r="N47" i="517"/>
  <c r="N49" i="517" s="1"/>
  <c r="I49" i="517"/>
  <c r="M48" i="517"/>
  <c r="L48" i="517"/>
  <c r="M49" i="517"/>
  <c r="L49" i="517"/>
  <c r="P49" i="517"/>
  <c r="P48" i="517"/>
  <c r="K32" i="406"/>
  <c r="J31" i="406"/>
  <c r="J32" i="406"/>
  <c r="J47" i="517"/>
  <c r="G37" i="531"/>
  <c r="G30" i="406"/>
  <c r="O37" i="531"/>
  <c r="M38" i="531"/>
  <c r="K38" i="531" s="1"/>
  <c r="M39" i="531"/>
  <c r="K37" i="531"/>
  <c r="I48" i="517"/>
  <c r="I38" i="531"/>
  <c r="I39" i="531"/>
  <c r="F39" i="531"/>
  <c r="F38" i="531"/>
  <c r="J34" i="90"/>
  <c r="J35" i="90" s="1"/>
  <c r="H35" i="524"/>
  <c r="E43" i="524" s="1"/>
  <c r="H45" i="524" s="1"/>
  <c r="E48" i="524" s="1"/>
  <c r="G48" i="524" s="1"/>
  <c r="H48" i="524" s="1"/>
  <c r="H50" i="524" s="1"/>
  <c r="N31" i="406"/>
  <c r="P35" i="90"/>
  <c r="N35" i="90" s="1"/>
  <c r="L36" i="90"/>
  <c r="I32" i="406"/>
  <c r="I31" i="406"/>
  <c r="M31" i="406"/>
  <c r="O30" i="406"/>
  <c r="M32" i="406"/>
  <c r="I29" i="503"/>
  <c r="I25" i="503"/>
  <c r="I28" i="503"/>
  <c r="I27" i="503"/>
  <c r="I26" i="503"/>
  <c r="M36" i="571" l="1"/>
  <c r="N36" i="571" s="1"/>
  <c r="G31" i="406"/>
  <c r="R49" i="517"/>
  <c r="R41" i="537" s="1"/>
  <c r="R36" i="536"/>
  <c r="R48" i="517"/>
  <c r="R46" i="540" s="1"/>
  <c r="R36" i="90"/>
  <c r="R45" i="540"/>
  <c r="Q46" i="540"/>
  <c r="Q40" i="537"/>
  <c r="Q41" i="537"/>
  <c r="Q38" i="536"/>
  <c r="K40" i="567"/>
  <c r="K39" i="567"/>
  <c r="H40" i="567"/>
  <c r="H39" i="567"/>
  <c r="L38" i="567"/>
  <c r="J40" i="567"/>
  <c r="J39" i="567"/>
  <c r="K26" i="552"/>
  <c r="K27" i="552"/>
  <c r="J27" i="552"/>
  <c r="J26" i="552"/>
  <c r="L25" i="552"/>
  <c r="H27" i="552"/>
  <c r="H26" i="552"/>
  <c r="N36" i="90"/>
  <c r="N38" i="536"/>
  <c r="N41" i="537"/>
  <c r="N47" i="540"/>
  <c r="J36" i="536"/>
  <c r="J39" i="537"/>
  <c r="J45" i="540"/>
  <c r="J34" i="556"/>
  <c r="J33" i="556"/>
  <c r="I37" i="536"/>
  <c r="I40" i="537"/>
  <c r="I46" i="540"/>
  <c r="M41" i="537"/>
  <c r="M38" i="536"/>
  <c r="M47" i="540"/>
  <c r="L38" i="536"/>
  <c r="L41" i="537"/>
  <c r="L47" i="540"/>
  <c r="M46" i="540"/>
  <c r="M40" i="537"/>
  <c r="M37" i="536"/>
  <c r="R44" i="538"/>
  <c r="R43" i="538"/>
  <c r="I41" i="537"/>
  <c r="I38" i="536"/>
  <c r="I47" i="540"/>
  <c r="D26" i="552"/>
  <c r="D27" i="552"/>
  <c r="N48" i="517"/>
  <c r="N36" i="536"/>
  <c r="N39" i="537"/>
  <c r="N45" i="540"/>
  <c r="J44" i="538"/>
  <c r="J43" i="538"/>
  <c r="N46" i="554"/>
  <c r="N45" i="554"/>
  <c r="L37" i="536"/>
  <c r="L40" i="537"/>
  <c r="L46" i="540"/>
  <c r="P37" i="536"/>
  <c r="P40" i="537"/>
  <c r="P46" i="540"/>
  <c r="R34" i="556"/>
  <c r="R33" i="556"/>
  <c r="P41" i="537"/>
  <c r="P38" i="536"/>
  <c r="P47" i="540"/>
  <c r="J45" i="554"/>
  <c r="J46" i="554"/>
  <c r="R45" i="554"/>
  <c r="R46" i="554"/>
  <c r="F27" i="417"/>
  <c r="F28" i="417" s="1"/>
  <c r="F25" i="417"/>
  <c r="F26" i="417" s="1"/>
  <c r="F24" i="417"/>
  <c r="F23" i="535"/>
  <c r="F24" i="535" s="1"/>
  <c r="F25" i="535"/>
  <c r="F26" i="535" s="1"/>
  <c r="F22" i="535"/>
  <c r="J49" i="517"/>
  <c r="G32" i="406"/>
  <c r="J48" i="517"/>
  <c r="K39" i="531"/>
  <c r="O38" i="531"/>
  <c r="O39" i="531"/>
  <c r="G38" i="531"/>
  <c r="G39" i="531"/>
  <c r="J36" i="90"/>
  <c r="O31" i="406"/>
  <c r="O32" i="406"/>
  <c r="I30" i="503"/>
  <c r="E35" i="503" s="1"/>
  <c r="B2" i="493"/>
  <c r="B2" i="490"/>
  <c r="B2" i="491"/>
  <c r="R40" i="537" l="1"/>
  <c r="R37" i="536"/>
  <c r="R47" i="540"/>
  <c r="R38" i="536"/>
  <c r="L40" i="567"/>
  <c r="L39" i="567"/>
  <c r="L27" i="552"/>
  <c r="L26" i="552"/>
  <c r="N37" i="536"/>
  <c r="N40" i="537"/>
  <c r="N46" i="540"/>
  <c r="J41" i="537"/>
  <c r="J38" i="536"/>
  <c r="J47" i="540"/>
  <c r="J37" i="536"/>
  <c r="J40" i="537"/>
  <c r="J46" i="540"/>
  <c r="H35" i="503"/>
  <c r="E43" i="503" s="1"/>
  <c r="H45" i="503" s="1"/>
  <c r="E48" i="503" s="1"/>
  <c r="G48" i="503" s="1"/>
  <c r="D27" i="411"/>
  <c r="D25" i="411"/>
  <c r="G32" i="407"/>
  <c r="E12" i="471"/>
  <c r="B3" i="471"/>
  <c r="B2" i="471"/>
  <c r="E30" i="411" l="1"/>
  <c r="F27" i="411"/>
  <c r="E29" i="411"/>
  <c r="E28" i="411"/>
  <c r="F27" i="471"/>
  <c r="F29" i="471" s="1"/>
  <c r="I12" i="471"/>
  <c r="H48" i="503"/>
  <c r="H50" i="503" s="1"/>
  <c r="D21" i="535"/>
  <c r="D23" i="417"/>
  <c r="F24" i="471"/>
  <c r="F23" i="471"/>
  <c r="B3" i="467"/>
  <c r="B2" i="467"/>
  <c r="E12" i="467"/>
  <c r="F27" i="467" s="1"/>
  <c r="S44" i="554" l="1"/>
  <c r="S32" i="556"/>
  <c r="S34" i="90"/>
  <c r="S35" i="90" s="1"/>
  <c r="F29" i="411"/>
  <c r="F28" i="411"/>
  <c r="F30" i="411"/>
  <c r="S47" i="517"/>
  <c r="S42" i="538"/>
  <c r="S36" i="536"/>
  <c r="D27" i="417"/>
  <c r="D25" i="417"/>
  <c r="Q23" i="417"/>
  <c r="D24" i="417"/>
  <c r="R24" i="417" s="1"/>
  <c r="Q21" i="535"/>
  <c r="D22" i="535"/>
  <c r="R22" i="535" s="1"/>
  <c r="D23" i="535"/>
  <c r="D25" i="535"/>
  <c r="F25" i="471"/>
  <c r="G33" i="471" s="1"/>
  <c r="F26" i="471"/>
  <c r="F33" i="471" s="1"/>
  <c r="F29" i="467"/>
  <c r="S36" i="90" l="1"/>
  <c r="S49" i="517"/>
  <c r="S39" i="537"/>
  <c r="S45" i="540"/>
  <c r="S34" i="556"/>
  <c r="S33" i="556"/>
  <c r="S45" i="554"/>
  <c r="S46" i="554"/>
  <c r="J52" i="554"/>
  <c r="J40" i="556"/>
  <c r="I52" i="554"/>
  <c r="I40" i="556"/>
  <c r="G32" i="544"/>
  <c r="F32" i="544"/>
  <c r="M15" i="458"/>
  <c r="M16" i="458" s="1"/>
  <c r="F97" i="467"/>
  <c r="F45" i="531"/>
  <c r="I50" i="538"/>
  <c r="I44" i="536"/>
  <c r="I47" i="537"/>
  <c r="G45" i="531"/>
  <c r="J50" i="538"/>
  <c r="J47" i="537"/>
  <c r="J44" i="536"/>
  <c r="S48" i="517"/>
  <c r="S43" i="538"/>
  <c r="S44" i="538"/>
  <c r="S38" i="536"/>
  <c r="S37" i="536"/>
  <c r="R30" i="417"/>
  <c r="S50" i="517" s="1"/>
  <c r="Q29" i="417"/>
  <c r="D24" i="535"/>
  <c r="R24" i="535" s="1"/>
  <c r="Q23" i="535"/>
  <c r="Q27" i="417"/>
  <c r="D28" i="417"/>
  <c r="R28" i="417" s="1"/>
  <c r="D26" i="417"/>
  <c r="R26" i="417" s="1"/>
  <c r="Q25" i="417"/>
  <c r="D26" i="535"/>
  <c r="R26" i="535" s="1"/>
  <c r="Q25" i="535"/>
  <c r="I55" i="517"/>
  <c r="F38" i="406"/>
  <c r="F45" i="405"/>
  <c r="J55" i="517"/>
  <c r="G45" i="405"/>
  <c r="G38" i="406"/>
  <c r="G37" i="471"/>
  <c r="D46" i="567" s="1"/>
  <c r="J42" i="90"/>
  <c r="F37" i="471"/>
  <c r="C46" i="567" s="1"/>
  <c r="I42" i="90"/>
  <c r="F23" i="467"/>
  <c r="F24" i="467"/>
  <c r="G34" i="467" l="1"/>
  <c r="J32" i="467"/>
  <c r="D37" i="535" s="1"/>
  <c r="S39" i="536"/>
  <c r="S48" i="540"/>
  <c r="S42" i="537"/>
  <c r="M17" i="458"/>
  <c r="F19" i="458"/>
  <c r="C19" i="458"/>
  <c r="C21" i="458" s="1"/>
  <c r="C25" i="458" s="1"/>
  <c r="Q42" i="90"/>
  <c r="Q50" i="538" s="1"/>
  <c r="C33" i="552"/>
  <c r="R42" i="90"/>
  <c r="R50" i="538" s="1"/>
  <c r="D33" i="552"/>
  <c r="S41" i="537"/>
  <c r="S47" i="540"/>
  <c r="S40" i="537"/>
  <c r="S46" i="540"/>
  <c r="G38" i="467"/>
  <c r="J54" i="553"/>
  <c r="G33" i="544"/>
  <c r="G46" i="405"/>
  <c r="J56" i="501"/>
  <c r="Q55" i="517"/>
  <c r="Q40" i="555" s="1"/>
  <c r="Q52" i="554"/>
  <c r="R55" i="517"/>
  <c r="R40" i="555" s="1"/>
  <c r="R52" i="554"/>
  <c r="I53" i="553"/>
  <c r="I53" i="540"/>
  <c r="I40" i="555"/>
  <c r="J53" i="540"/>
  <c r="J40" i="555"/>
  <c r="J53" i="553"/>
  <c r="C93" i="467"/>
  <c r="F96" i="467" s="1"/>
  <c r="L46" i="495" s="1"/>
  <c r="L47" i="495" s="1"/>
  <c r="F34" i="467"/>
  <c r="J55" i="501"/>
  <c r="J41" i="542"/>
  <c r="I55" i="501"/>
  <c r="I41" i="542"/>
  <c r="F26" i="467"/>
  <c r="F25" i="467"/>
  <c r="G43" i="467" s="1"/>
  <c r="E35" i="451"/>
  <c r="D31" i="417" l="1"/>
  <c r="D38" i="535"/>
  <c r="F37" i="535"/>
  <c r="Q37" i="535" s="1"/>
  <c r="C37" i="458"/>
  <c r="F21" i="458"/>
  <c r="F25" i="458" s="1"/>
  <c r="M42" i="405" s="1"/>
  <c r="M60" i="405" s="1"/>
  <c r="I19" i="458"/>
  <c r="J35" i="406"/>
  <c r="L42" i="405"/>
  <c r="L60" i="405" s="1"/>
  <c r="Q41" i="542"/>
  <c r="Q55" i="501"/>
  <c r="Q53" i="540"/>
  <c r="R41" i="542"/>
  <c r="F33" i="544"/>
  <c r="F46" i="405"/>
  <c r="I54" i="553"/>
  <c r="I56" i="501"/>
  <c r="M49" i="554"/>
  <c r="M50" i="553" s="1"/>
  <c r="M63" i="553" s="1"/>
  <c r="M37" i="556"/>
  <c r="Q53" i="553"/>
  <c r="R55" i="501"/>
  <c r="R73" i="501" s="1"/>
  <c r="J41" i="555"/>
  <c r="J42" i="542"/>
  <c r="R53" i="540"/>
  <c r="R53" i="553"/>
  <c r="R54" i="553"/>
  <c r="R56" i="501"/>
  <c r="N39" i="90"/>
  <c r="F98" i="467"/>
  <c r="L46" i="496" s="1"/>
  <c r="M47" i="496" s="1"/>
  <c r="M47" i="495"/>
  <c r="M46" i="495"/>
  <c r="M43" i="495" s="1"/>
  <c r="D58" i="467"/>
  <c r="E77" i="467"/>
  <c r="L35" i="495" s="1"/>
  <c r="M35" i="495" s="1"/>
  <c r="O35" i="495" s="1"/>
  <c r="E69" i="467"/>
  <c r="L27" i="495" s="1"/>
  <c r="M27" i="495" s="1"/>
  <c r="O27" i="495" s="1"/>
  <c r="G37" i="567" s="1"/>
  <c r="E61" i="467"/>
  <c r="L19" i="495" s="1"/>
  <c r="M19" i="495" s="1"/>
  <c r="O19" i="495" s="1"/>
  <c r="D81" i="467"/>
  <c r="D73" i="467"/>
  <c r="D65" i="467"/>
  <c r="D57" i="467"/>
  <c r="E76" i="467"/>
  <c r="L34" i="495" s="1"/>
  <c r="M34" i="495" s="1"/>
  <c r="O34" i="495" s="1"/>
  <c r="E68" i="467"/>
  <c r="L26" i="495" s="1"/>
  <c r="M26" i="495" s="1"/>
  <c r="O26" i="495" s="1"/>
  <c r="E60" i="467"/>
  <c r="L18" i="495" s="1"/>
  <c r="D80" i="467"/>
  <c r="D72" i="467"/>
  <c r="D64" i="467"/>
  <c r="D56" i="467"/>
  <c r="E75" i="467"/>
  <c r="L33" i="495" s="1"/>
  <c r="M33" i="495" s="1"/>
  <c r="O33" i="495" s="1"/>
  <c r="E67" i="467"/>
  <c r="E59" i="467"/>
  <c r="L17" i="495" s="1"/>
  <c r="M17" i="495" s="1"/>
  <c r="O17" i="495" s="1"/>
  <c r="D79" i="467"/>
  <c r="D71" i="467"/>
  <c r="D63" i="467"/>
  <c r="D55" i="467"/>
  <c r="E74" i="467"/>
  <c r="L32" i="495" s="1"/>
  <c r="M32" i="495" s="1"/>
  <c r="O32" i="495" s="1"/>
  <c r="E66" i="467"/>
  <c r="L24" i="495" s="1"/>
  <c r="M24" i="495" s="1"/>
  <c r="O24" i="495" s="1"/>
  <c r="E58" i="467"/>
  <c r="L16" i="495" s="1"/>
  <c r="M16" i="495" s="1"/>
  <c r="O16" i="495" s="1"/>
  <c r="D78" i="467"/>
  <c r="D70" i="467"/>
  <c r="D62" i="467"/>
  <c r="D54" i="467"/>
  <c r="E62" i="467"/>
  <c r="L20" i="495" s="1"/>
  <c r="M20" i="495" s="1"/>
  <c r="O20" i="495" s="1"/>
  <c r="D66" i="467"/>
  <c r="E78" i="467"/>
  <c r="L36" i="495" s="1"/>
  <c r="M36" i="495" s="1"/>
  <c r="O36" i="495" s="1"/>
  <c r="M37" i="567" s="1"/>
  <c r="E81" i="467"/>
  <c r="L39" i="495" s="1"/>
  <c r="M39" i="495" s="1"/>
  <c r="O39" i="495" s="1"/>
  <c r="E73" i="467"/>
  <c r="L31" i="495" s="1"/>
  <c r="M31" i="495" s="1"/>
  <c r="O31" i="495" s="1"/>
  <c r="E65" i="467"/>
  <c r="L23" i="495" s="1"/>
  <c r="M23" i="495" s="1"/>
  <c r="O23" i="495" s="1"/>
  <c r="E57" i="467"/>
  <c r="L15" i="495" s="1"/>
  <c r="M15" i="495" s="1"/>
  <c r="O15" i="495" s="1"/>
  <c r="D77" i="467"/>
  <c r="D69" i="467"/>
  <c r="D61" i="467"/>
  <c r="E71" i="467"/>
  <c r="L29" i="495" s="1"/>
  <c r="M29" i="495" s="1"/>
  <c r="O29" i="495" s="1"/>
  <c r="D75" i="467"/>
  <c r="D59" i="467"/>
  <c r="E54" i="467"/>
  <c r="L12" i="495" s="1"/>
  <c r="E80" i="467"/>
  <c r="L38" i="495" s="1"/>
  <c r="M38" i="495" s="1"/>
  <c r="O38" i="495" s="1"/>
  <c r="E72" i="467"/>
  <c r="L30" i="495" s="1"/>
  <c r="M30" i="495" s="1"/>
  <c r="O30" i="495" s="1"/>
  <c r="E64" i="467"/>
  <c r="L22" i="495" s="1"/>
  <c r="M22" i="495" s="1"/>
  <c r="O22" i="495" s="1"/>
  <c r="E56" i="467"/>
  <c r="L14" i="495" s="1"/>
  <c r="M14" i="495" s="1"/>
  <c r="O14" i="495" s="1"/>
  <c r="D76" i="467"/>
  <c r="D68" i="467"/>
  <c r="D60" i="467"/>
  <c r="E79" i="467"/>
  <c r="L37" i="495" s="1"/>
  <c r="M37" i="495" s="1"/>
  <c r="O37" i="495" s="1"/>
  <c r="E63" i="467"/>
  <c r="L21" i="495" s="1"/>
  <c r="M21" i="495" s="1"/>
  <c r="O21" i="495" s="1"/>
  <c r="E55" i="467"/>
  <c r="L13" i="495" s="1"/>
  <c r="D67" i="467"/>
  <c r="E70" i="467"/>
  <c r="L28" i="495" s="1"/>
  <c r="M28" i="495" s="1"/>
  <c r="O28" i="495" s="1"/>
  <c r="D74" i="467"/>
  <c r="F38" i="467"/>
  <c r="J42" i="405"/>
  <c r="J60" i="405" s="1"/>
  <c r="M52" i="517"/>
  <c r="F43" i="467"/>
  <c r="M39" i="90"/>
  <c r="M47" i="538"/>
  <c r="M44" i="537"/>
  <c r="G35" i="451"/>
  <c r="G34" i="451"/>
  <c r="G33" i="451"/>
  <c r="F35" i="451"/>
  <c r="F34" i="451"/>
  <c r="F33" i="451"/>
  <c r="B35" i="451"/>
  <c r="B34" i="451"/>
  <c r="B33" i="451"/>
  <c r="F38" i="535" l="1"/>
  <c r="R38" i="535" s="1"/>
  <c r="S43" i="90" s="1"/>
  <c r="F31" i="417"/>
  <c r="F32" i="417" s="1"/>
  <c r="D32" i="417"/>
  <c r="M37" i="555"/>
  <c r="M54" i="555" s="1"/>
  <c r="O47" i="538"/>
  <c r="O44" i="537"/>
  <c r="O37" i="556"/>
  <c r="I21" i="458"/>
  <c r="I25" i="458" s="1"/>
  <c r="O49" i="554"/>
  <c r="O50" i="553" s="1"/>
  <c r="O63" i="553" s="1"/>
  <c r="I37" i="567"/>
  <c r="I24" i="552"/>
  <c r="K37" i="567"/>
  <c r="K24" i="552"/>
  <c r="J35" i="451"/>
  <c r="L34" i="451"/>
  <c r="L33" i="451"/>
  <c r="G24" i="552"/>
  <c r="N44" i="537"/>
  <c r="N47" i="538"/>
  <c r="L25" i="495"/>
  <c r="L40" i="495" s="1"/>
  <c r="E84" i="467"/>
  <c r="I41" i="556"/>
  <c r="I53" i="554"/>
  <c r="Q56" i="501"/>
  <c r="Q73" i="501" s="1"/>
  <c r="Q54" i="553"/>
  <c r="Q63" i="553" s="1"/>
  <c r="M24" i="552"/>
  <c r="I41" i="555"/>
  <c r="I42" i="542"/>
  <c r="N49" i="554"/>
  <c r="N50" i="553" s="1"/>
  <c r="N63" i="553" s="1"/>
  <c r="N37" i="556"/>
  <c r="K42" i="405"/>
  <c r="K60" i="405" s="1"/>
  <c r="K35" i="406"/>
  <c r="K42" i="531" s="1"/>
  <c r="N52" i="517"/>
  <c r="D84" i="467"/>
  <c r="R13" i="496"/>
  <c r="R12" i="496"/>
  <c r="J41" i="556"/>
  <c r="J53" i="554"/>
  <c r="R63" i="553"/>
  <c r="M38" i="542"/>
  <c r="M50" i="540"/>
  <c r="M41" i="536"/>
  <c r="G47" i="467"/>
  <c r="D47" i="567" s="1"/>
  <c r="J42" i="531"/>
  <c r="J29" i="544"/>
  <c r="M12" i="495"/>
  <c r="M18" i="495"/>
  <c r="L45" i="495"/>
  <c r="L45" i="496" s="1"/>
  <c r="M45" i="496" s="1"/>
  <c r="R14" i="496" s="1"/>
  <c r="M13" i="495"/>
  <c r="O13" i="495" s="1"/>
  <c r="M46" i="496"/>
  <c r="L13" i="502" s="1"/>
  <c r="L19" i="502" s="1"/>
  <c r="E12" i="502" s="1"/>
  <c r="F70" i="467"/>
  <c r="L28" i="496" s="1"/>
  <c r="M28" i="496" s="1"/>
  <c r="O28" i="496" s="1"/>
  <c r="F56" i="467"/>
  <c r="L14" i="496" s="1"/>
  <c r="M14" i="496" s="1"/>
  <c r="O14" i="496" s="1"/>
  <c r="F74" i="467"/>
  <c r="L32" i="496" s="1"/>
  <c r="M32" i="496" s="1"/>
  <c r="O32" i="496" s="1"/>
  <c r="F58" i="467"/>
  <c r="L16" i="496" s="1"/>
  <c r="M16" i="496" s="1"/>
  <c r="O16" i="496" s="1"/>
  <c r="F71" i="467"/>
  <c r="L29" i="496" s="1"/>
  <c r="M29" i="496" s="1"/>
  <c r="O29" i="496" s="1"/>
  <c r="F78" i="467"/>
  <c r="L36" i="496" s="1"/>
  <c r="M36" i="496" s="1"/>
  <c r="O36" i="496" s="1"/>
  <c r="N37" i="567" s="1"/>
  <c r="F64" i="467"/>
  <c r="L22" i="496" s="1"/>
  <c r="M22" i="496" s="1"/>
  <c r="O22" i="496" s="1"/>
  <c r="F62" i="467"/>
  <c r="L20" i="496" s="1"/>
  <c r="M20" i="496" s="1"/>
  <c r="O20" i="496" s="1"/>
  <c r="F63" i="467"/>
  <c r="L21" i="496" s="1"/>
  <c r="M21" i="496" s="1"/>
  <c r="O21" i="496" s="1"/>
  <c r="F80" i="467"/>
  <c r="L38" i="496" s="1"/>
  <c r="M38" i="496" s="1"/>
  <c r="O38" i="496" s="1"/>
  <c r="F57" i="467"/>
  <c r="L15" i="496" s="1"/>
  <c r="M15" i="496" s="1"/>
  <c r="O15" i="496" s="1"/>
  <c r="F61" i="467"/>
  <c r="L19" i="496" s="1"/>
  <c r="M19" i="496" s="1"/>
  <c r="O19" i="496" s="1"/>
  <c r="L47" i="496"/>
  <c r="F67" i="467"/>
  <c r="F66" i="467"/>
  <c r="L24" i="496" s="1"/>
  <c r="M24" i="496" s="1"/>
  <c r="O24" i="496" s="1"/>
  <c r="F55" i="467"/>
  <c r="L13" i="496" s="1"/>
  <c r="M13" i="496" s="1"/>
  <c r="O13" i="496" s="1"/>
  <c r="F72" i="467"/>
  <c r="L30" i="496" s="1"/>
  <c r="M30" i="496" s="1"/>
  <c r="O30" i="496" s="1"/>
  <c r="F79" i="467"/>
  <c r="L37" i="496" s="1"/>
  <c r="M37" i="496" s="1"/>
  <c r="O37" i="496" s="1"/>
  <c r="F54" i="467"/>
  <c r="L12" i="496" s="1"/>
  <c r="M12" i="496" s="1"/>
  <c r="O12" i="496" s="1"/>
  <c r="F65" i="467"/>
  <c r="L23" i="496" s="1"/>
  <c r="M23" i="496" s="1"/>
  <c r="O23" i="496" s="1"/>
  <c r="F60" i="467"/>
  <c r="L18" i="496" s="1"/>
  <c r="M18" i="496" s="1"/>
  <c r="O18" i="496" s="1"/>
  <c r="F69" i="467"/>
  <c r="L27" i="496" s="1"/>
  <c r="M27" i="496" s="1"/>
  <c r="O27" i="496" s="1"/>
  <c r="H37" i="567" s="1"/>
  <c r="F81" i="467"/>
  <c r="L39" i="496" s="1"/>
  <c r="M39" i="496" s="1"/>
  <c r="O39" i="496" s="1"/>
  <c r="F76" i="467"/>
  <c r="L34" i="496" s="1"/>
  <c r="M34" i="496" s="1"/>
  <c r="O34" i="496" s="1"/>
  <c r="F75" i="467"/>
  <c r="L33" i="496" s="1"/>
  <c r="M33" i="496" s="1"/>
  <c r="O33" i="496" s="1"/>
  <c r="F73" i="467"/>
  <c r="L31" i="496" s="1"/>
  <c r="M31" i="496" s="1"/>
  <c r="O31" i="496" s="1"/>
  <c r="F59" i="467"/>
  <c r="L17" i="496" s="1"/>
  <c r="M17" i="496" s="1"/>
  <c r="O17" i="496" s="1"/>
  <c r="F68" i="467"/>
  <c r="L26" i="496" s="1"/>
  <c r="M26" i="496" s="1"/>
  <c r="O26" i="496" s="1"/>
  <c r="F77" i="467"/>
  <c r="L35" i="496" s="1"/>
  <c r="M35" i="496" s="1"/>
  <c r="O35" i="496" s="1"/>
  <c r="G39" i="406"/>
  <c r="M52" i="501"/>
  <c r="M73" i="501" s="1"/>
  <c r="E83" i="467"/>
  <c r="E82" i="467"/>
  <c r="M57" i="495"/>
  <c r="R12" i="495"/>
  <c r="R13" i="495"/>
  <c r="G46" i="531"/>
  <c r="J43" i="90"/>
  <c r="D82" i="467"/>
  <c r="F39" i="406"/>
  <c r="D83" i="467"/>
  <c r="F47" i="467"/>
  <c r="C47" i="567" s="1"/>
  <c r="I43" i="90"/>
  <c r="J56" i="517"/>
  <c r="F46" i="531"/>
  <c r="I56" i="517"/>
  <c r="C42" i="513"/>
  <c r="H35" i="451"/>
  <c r="K35" i="451"/>
  <c r="L35" i="451"/>
  <c r="H34" i="451"/>
  <c r="I34" i="451"/>
  <c r="J34" i="451"/>
  <c r="K34" i="451"/>
  <c r="I33" i="451"/>
  <c r="I35" i="451"/>
  <c r="H33" i="451"/>
  <c r="J33" i="451"/>
  <c r="K33" i="451"/>
  <c r="Q31" i="417" l="1"/>
  <c r="R32" i="417"/>
  <c r="C43" i="513"/>
  <c r="D7" i="417" s="1"/>
  <c r="N37" i="555"/>
  <c r="L37" i="567"/>
  <c r="L24" i="552"/>
  <c r="J37" i="567"/>
  <c r="J24" i="552"/>
  <c r="M43" i="496"/>
  <c r="Q53" i="554"/>
  <c r="C34" i="552"/>
  <c r="Q43" i="90"/>
  <c r="Q51" i="538" s="1"/>
  <c r="R53" i="554"/>
  <c r="D34" i="552"/>
  <c r="R43" i="90"/>
  <c r="R51" i="538" s="1"/>
  <c r="L42" i="495"/>
  <c r="L41" i="495"/>
  <c r="K29" i="544"/>
  <c r="M25" i="495"/>
  <c r="O25" i="495" s="1"/>
  <c r="E37" i="567" s="1"/>
  <c r="N52" i="501"/>
  <c r="N73" i="501" s="1"/>
  <c r="N41" i="536"/>
  <c r="N50" i="540"/>
  <c r="G31" i="556"/>
  <c r="G59" i="556" s="1"/>
  <c r="G43" i="554"/>
  <c r="G62" i="554" s="1"/>
  <c r="N38" i="542"/>
  <c r="R16" i="496"/>
  <c r="R15" i="496"/>
  <c r="F31" i="556"/>
  <c r="F43" i="554"/>
  <c r="O31" i="556"/>
  <c r="O43" i="554"/>
  <c r="H43" i="554"/>
  <c r="H31" i="556"/>
  <c r="E31" i="556"/>
  <c r="E43" i="554"/>
  <c r="E62" i="554" s="1"/>
  <c r="E46" i="517"/>
  <c r="H24" i="552"/>
  <c r="L25" i="496"/>
  <c r="M25" i="496" s="1"/>
  <c r="O25" i="496" s="1"/>
  <c r="F84" i="467"/>
  <c r="N24" i="552"/>
  <c r="L31" i="556"/>
  <c r="L43" i="554"/>
  <c r="L62" i="554" s="1"/>
  <c r="R17" i="496"/>
  <c r="I51" i="538"/>
  <c r="I54" i="540"/>
  <c r="J51" i="538"/>
  <c r="J54" i="540"/>
  <c r="R56" i="517"/>
  <c r="Q56" i="517"/>
  <c r="O18" i="495"/>
  <c r="O12" i="495"/>
  <c r="F83" i="467"/>
  <c r="F82" i="467"/>
  <c r="E19" i="502"/>
  <c r="H11" i="502"/>
  <c r="E34" i="502" s="1"/>
  <c r="H34" i="502" s="1"/>
  <c r="E42" i="502" s="1"/>
  <c r="H44" i="502" s="1"/>
  <c r="E49" i="502" s="1"/>
  <c r="G49" i="502" s="1"/>
  <c r="M45" i="495"/>
  <c r="R14" i="495" s="1"/>
  <c r="E33" i="90"/>
  <c r="B29" i="406"/>
  <c r="B36" i="531"/>
  <c r="B60" i="531" s="1"/>
  <c r="E41" i="538"/>
  <c r="L29" i="406"/>
  <c r="O46" i="517"/>
  <c r="O33" i="90"/>
  <c r="L36" i="531"/>
  <c r="O41" i="538"/>
  <c r="O69" i="538" s="1"/>
  <c r="G41" i="538"/>
  <c r="D36" i="531"/>
  <c r="G46" i="517"/>
  <c r="D29" i="406"/>
  <c r="G33" i="90"/>
  <c r="F42" i="513"/>
  <c r="C19" i="513"/>
  <c r="E42" i="513"/>
  <c r="E43" i="513" s="1"/>
  <c r="D42" i="513"/>
  <c r="G42" i="513"/>
  <c r="G43" i="513" s="1"/>
  <c r="B48" i="90"/>
  <c r="B47" i="542" s="1"/>
  <c r="B47" i="90"/>
  <c r="B46" i="542" s="1"/>
  <c r="B46" i="90"/>
  <c r="B45" i="542" s="1"/>
  <c r="B45" i="90"/>
  <c r="B44" i="542" s="1"/>
  <c r="B44" i="90"/>
  <c r="B43" i="542" s="1"/>
  <c r="B42" i="90"/>
  <c r="B41" i="542" s="1"/>
  <c r="B41" i="90"/>
  <c r="B40" i="542" s="1"/>
  <c r="B40" i="90"/>
  <c r="B39" i="542" s="1"/>
  <c r="B39" i="90"/>
  <c r="B38" i="542" s="1"/>
  <c r="B38" i="90"/>
  <c r="B37" i="542" s="1"/>
  <c r="B37" i="90"/>
  <c r="B36" i="542" s="1"/>
  <c r="B36" i="90"/>
  <c r="B35" i="90"/>
  <c r="B34" i="90"/>
  <c r="B33" i="90"/>
  <c r="B32" i="90"/>
  <c r="B31" i="542" s="1"/>
  <c r="B31" i="90"/>
  <c r="B30" i="542" s="1"/>
  <c r="B30" i="90"/>
  <c r="B29" i="542" s="1"/>
  <c r="B29" i="90"/>
  <c r="B28" i="542" s="1"/>
  <c r="B28" i="90"/>
  <c r="B27" i="542" s="1"/>
  <c r="B27" i="90"/>
  <c r="B26" i="542" s="1"/>
  <c r="B26" i="90"/>
  <c r="B25" i="542" s="1"/>
  <c r="B25" i="90"/>
  <c r="B24" i="542" s="1"/>
  <c r="B24" i="90"/>
  <c r="B23" i="542" s="1"/>
  <c r="B23" i="90"/>
  <c r="B22" i="542" s="1"/>
  <c r="B17" i="90"/>
  <c r="B28" i="571" s="1"/>
  <c r="B16" i="90"/>
  <c r="B27" i="571" s="1"/>
  <c r="B14" i="542"/>
  <c r="B14" i="90"/>
  <c r="B25" i="571" s="1"/>
  <c r="C16" i="90"/>
  <c r="C15" i="542" s="1"/>
  <c r="C15" i="90"/>
  <c r="C14" i="542" s="1"/>
  <c r="C14" i="90"/>
  <c r="C13" i="542" s="1"/>
  <c r="L42" i="496" l="1"/>
  <c r="H43" i="513"/>
  <c r="F43" i="513"/>
  <c r="E7" i="417" s="1"/>
  <c r="D43" i="513"/>
  <c r="F7" i="417" s="1"/>
  <c r="C34" i="571"/>
  <c r="B32" i="542"/>
  <c r="B34" i="571"/>
  <c r="B34" i="542"/>
  <c r="B36" i="571"/>
  <c r="B35" i="542"/>
  <c r="B37" i="571"/>
  <c r="B33" i="542"/>
  <c r="B35" i="571"/>
  <c r="R41" i="555"/>
  <c r="Q41" i="555"/>
  <c r="M41" i="495"/>
  <c r="E12" i="563"/>
  <c r="E79" i="517"/>
  <c r="M42" i="495"/>
  <c r="G12" i="563"/>
  <c r="G79" i="517"/>
  <c r="M40" i="495"/>
  <c r="O41" i="496"/>
  <c r="J43" i="554" s="1"/>
  <c r="F37" i="567"/>
  <c r="O12" i="563"/>
  <c r="O79" i="517"/>
  <c r="M33" i="90"/>
  <c r="L40" i="496"/>
  <c r="M42" i="496"/>
  <c r="O42" i="496"/>
  <c r="D37" i="567" s="1"/>
  <c r="O40" i="496"/>
  <c r="L41" i="496"/>
  <c r="M40" i="496"/>
  <c r="G38" i="537"/>
  <c r="G35" i="536"/>
  <c r="G44" i="540"/>
  <c r="O42" i="495"/>
  <c r="E24" i="552"/>
  <c r="M31" i="556"/>
  <c r="O59" i="556"/>
  <c r="O54" i="556"/>
  <c r="M46" i="517"/>
  <c r="M73" i="517" s="1"/>
  <c r="O38" i="537"/>
  <c r="O35" i="536"/>
  <c r="O65" i="536" s="1"/>
  <c r="O44" i="540"/>
  <c r="M43" i="554"/>
  <c r="M62" i="554" s="1"/>
  <c r="O62" i="554"/>
  <c r="F24" i="552"/>
  <c r="P43" i="554"/>
  <c r="P31" i="556"/>
  <c r="N31" i="556" s="1"/>
  <c r="O40" i="495"/>
  <c r="K31" i="556"/>
  <c r="K43" i="554"/>
  <c r="K62" i="554" s="1"/>
  <c r="M41" i="496"/>
  <c r="O41" i="495"/>
  <c r="F36" i="531" s="1"/>
  <c r="E35" i="536"/>
  <c r="E38" i="537"/>
  <c r="E72" i="537" s="1"/>
  <c r="E44" i="540"/>
  <c r="R54" i="540"/>
  <c r="R42" i="542"/>
  <c r="Q54" i="540"/>
  <c r="Q42" i="542"/>
  <c r="C17" i="451"/>
  <c r="B15" i="542"/>
  <c r="C18" i="451"/>
  <c r="B16" i="542"/>
  <c r="C15" i="451"/>
  <c r="B13" i="542"/>
  <c r="F19" i="535"/>
  <c r="F20" i="535" s="1"/>
  <c r="F21" i="417"/>
  <c r="F22" i="417" s="1"/>
  <c r="H49" i="502"/>
  <c r="H18" i="502"/>
  <c r="E24" i="502"/>
  <c r="K46" i="517"/>
  <c r="K73" i="517" s="1"/>
  <c r="H29" i="406"/>
  <c r="K33" i="90"/>
  <c r="K41" i="538"/>
  <c r="H36" i="531"/>
  <c r="H60" i="531" s="1"/>
  <c r="E74" i="538"/>
  <c r="M41" i="538"/>
  <c r="M69" i="538" s="1"/>
  <c r="O74" i="538"/>
  <c r="P17" i="539"/>
  <c r="N29" i="406"/>
  <c r="J29" i="406"/>
  <c r="F46" i="517"/>
  <c r="C36" i="531"/>
  <c r="F41" i="538"/>
  <c r="F33" i="90"/>
  <c r="C29" i="406"/>
  <c r="P46" i="517"/>
  <c r="P33" i="90"/>
  <c r="M36" i="531"/>
  <c r="M29" i="406"/>
  <c r="P41" i="538"/>
  <c r="H41" i="538"/>
  <c r="E29" i="406"/>
  <c r="H33" i="90"/>
  <c r="E36" i="531"/>
  <c r="H46" i="517"/>
  <c r="G74" i="538"/>
  <c r="J36" i="531"/>
  <c r="J60" i="531" s="1"/>
  <c r="N36" i="531"/>
  <c r="D16" i="90"/>
  <c r="D15" i="542" s="1"/>
  <c r="D15" i="90"/>
  <c r="D14" i="542" s="1"/>
  <c r="D14" i="90"/>
  <c r="D13" i="542" s="1"/>
  <c r="H42" i="513"/>
  <c r="C16" i="451"/>
  <c r="C33" i="451" s="1"/>
  <c r="C8" i="514"/>
  <c r="C14" i="451"/>
  <c r="C31" i="451" s="1"/>
  <c r="C32" i="451" s="1"/>
  <c r="O72" i="537" l="1"/>
  <c r="O67" i="537"/>
  <c r="P16" i="539" s="1"/>
  <c r="G72" i="537"/>
  <c r="E70" i="536"/>
  <c r="G70" i="536"/>
  <c r="O70" i="536"/>
  <c r="D34" i="571"/>
  <c r="E34" i="571" s="1"/>
  <c r="J33" i="90"/>
  <c r="I34" i="571"/>
  <c r="L34" i="571"/>
  <c r="N33" i="90"/>
  <c r="J41" i="538"/>
  <c r="G36" i="531"/>
  <c r="G29" i="406"/>
  <c r="R31" i="556"/>
  <c r="J46" i="517"/>
  <c r="R43" i="554"/>
  <c r="J31" i="556"/>
  <c r="R46" i="517"/>
  <c r="R33" i="90"/>
  <c r="M12" i="563"/>
  <c r="M79" i="517"/>
  <c r="F12" i="563"/>
  <c r="F79" i="517"/>
  <c r="Q46" i="517"/>
  <c r="C37" i="567"/>
  <c r="H12" i="563"/>
  <c r="H79" i="517"/>
  <c r="P12" i="563"/>
  <c r="P79" i="517"/>
  <c r="K12" i="563"/>
  <c r="K79" i="517"/>
  <c r="R41" i="538"/>
  <c r="D24" i="552"/>
  <c r="I46" i="517"/>
  <c r="I33" i="90"/>
  <c r="Q33" i="90"/>
  <c r="Q41" i="538"/>
  <c r="Q43" i="554"/>
  <c r="Q31" i="556"/>
  <c r="C24" i="552"/>
  <c r="N46" i="517"/>
  <c r="N73" i="517" s="1"/>
  <c r="P35" i="536"/>
  <c r="P38" i="537"/>
  <c r="P44" i="540"/>
  <c r="I43" i="554"/>
  <c r="I31" i="556"/>
  <c r="N18" i="539"/>
  <c r="M35" i="536"/>
  <c r="M65" i="536" s="1"/>
  <c r="M38" i="537"/>
  <c r="M44" i="540"/>
  <c r="M67" i="540" s="1"/>
  <c r="H35" i="536"/>
  <c r="H38" i="537"/>
  <c r="H44" i="540"/>
  <c r="F35" i="536"/>
  <c r="F70" i="536" s="1"/>
  <c r="F38" i="537"/>
  <c r="F72" i="537" s="1"/>
  <c r="F44" i="540"/>
  <c r="F29" i="406"/>
  <c r="M59" i="556"/>
  <c r="M54" i="556"/>
  <c r="K35" i="536"/>
  <c r="K65" i="536" s="1"/>
  <c r="K38" i="537"/>
  <c r="K44" i="540"/>
  <c r="K67" i="540" s="1"/>
  <c r="Q35" i="536"/>
  <c r="Q65" i="536" s="1"/>
  <c r="S26" i="554"/>
  <c r="S25" i="554"/>
  <c r="S24" i="554"/>
  <c r="S27" i="517"/>
  <c r="S26" i="517"/>
  <c r="I41" i="538"/>
  <c r="N43" i="554"/>
  <c r="N62" i="554" s="1"/>
  <c r="I27" i="502"/>
  <c r="I25" i="502"/>
  <c r="I28" i="502"/>
  <c r="I26" i="502"/>
  <c r="I29" i="502"/>
  <c r="K74" i="538"/>
  <c r="L33" i="90"/>
  <c r="I29" i="406"/>
  <c r="L41" i="538"/>
  <c r="L46" i="517"/>
  <c r="L73" i="517" s="1"/>
  <c r="I36" i="531"/>
  <c r="I60" i="531" s="1"/>
  <c r="N41" i="538"/>
  <c r="P74" i="538"/>
  <c r="F74" i="538"/>
  <c r="O29" i="406"/>
  <c r="K29" i="406"/>
  <c r="K36" i="531"/>
  <c r="K60" i="531" s="1"/>
  <c r="O36" i="531"/>
  <c r="M74" i="538"/>
  <c r="N17" i="539"/>
  <c r="H74" i="538"/>
  <c r="W28" i="517"/>
  <c r="C34" i="451"/>
  <c r="C35" i="451" s="1"/>
  <c r="S25" i="517"/>
  <c r="O18" i="451"/>
  <c r="N18" i="451"/>
  <c r="M18" i="451"/>
  <c r="M67" i="537" l="1"/>
  <c r="N16" i="539" s="1"/>
  <c r="H72" i="537"/>
  <c r="P72" i="537"/>
  <c r="K67" i="537"/>
  <c r="L16" i="539" s="1"/>
  <c r="M70" i="536"/>
  <c r="N15" i="539"/>
  <c r="L15" i="539"/>
  <c r="H70" i="536"/>
  <c r="P70" i="536"/>
  <c r="M34" i="571"/>
  <c r="N34" i="571" s="1"/>
  <c r="J34" i="571"/>
  <c r="K34" i="571" s="1"/>
  <c r="R38" i="537"/>
  <c r="J35" i="536"/>
  <c r="Q38" i="537"/>
  <c r="Q67" i="537" s="1"/>
  <c r="J38" i="537"/>
  <c r="J44" i="540"/>
  <c r="R44" i="540"/>
  <c r="R35" i="536"/>
  <c r="L12" i="563"/>
  <c r="L79" i="517"/>
  <c r="Q44" i="540"/>
  <c r="N12" i="563"/>
  <c r="N79" i="517"/>
  <c r="I35" i="536"/>
  <c r="I65" i="536" s="1"/>
  <c r="I38" i="537"/>
  <c r="I67" i="537" s="1"/>
  <c r="I44" i="540"/>
  <c r="M72" i="537"/>
  <c r="K70" i="536"/>
  <c r="K72" i="537"/>
  <c r="L35" i="536"/>
  <c r="L65" i="536" s="1"/>
  <c r="L38" i="537"/>
  <c r="L44" i="540"/>
  <c r="L67" i="540" s="1"/>
  <c r="S19" i="537"/>
  <c r="S21" i="538"/>
  <c r="S26" i="540"/>
  <c r="S22" i="538"/>
  <c r="S27" i="540"/>
  <c r="O18" i="539"/>
  <c r="N35" i="536"/>
  <c r="N65" i="536" s="1"/>
  <c r="N38" i="537"/>
  <c r="N44" i="540"/>
  <c r="N67" i="540" s="1"/>
  <c r="S16" i="536"/>
  <c r="S18" i="537"/>
  <c r="S20" i="538"/>
  <c r="S25" i="540"/>
  <c r="G17" i="556"/>
  <c r="G17" i="555" s="1"/>
  <c r="G25" i="538"/>
  <c r="I17" i="556"/>
  <c r="I17" i="555" s="1"/>
  <c r="I25" i="538"/>
  <c r="E17" i="556"/>
  <c r="E17" i="555" s="1"/>
  <c r="E25" i="538"/>
  <c r="I30" i="502"/>
  <c r="E35" i="502" s="1"/>
  <c r="H35" i="502" s="1"/>
  <c r="E43" i="502" s="1"/>
  <c r="H45" i="502" s="1"/>
  <c r="E48" i="502" s="1"/>
  <c r="G48" i="502" s="1"/>
  <c r="L74" i="538"/>
  <c r="N74" i="538"/>
  <c r="I17" i="90"/>
  <c r="I16" i="542" s="1"/>
  <c r="E17" i="90"/>
  <c r="G17" i="90"/>
  <c r="G16" i="542" s="1"/>
  <c r="T18" i="451"/>
  <c r="F9" i="406"/>
  <c r="F9" i="544" s="1"/>
  <c r="R18" i="451"/>
  <c r="B9" i="406"/>
  <c r="B9" i="544" s="1"/>
  <c r="S18" i="451"/>
  <c r="D9" i="406"/>
  <c r="D9" i="544" s="1"/>
  <c r="O17" i="451"/>
  <c r="E34" i="451"/>
  <c r="O16" i="451"/>
  <c r="N16" i="451"/>
  <c r="M16" i="451"/>
  <c r="E33" i="451"/>
  <c r="O15" i="451"/>
  <c r="O14" i="451"/>
  <c r="N15" i="451"/>
  <c r="M15" i="451"/>
  <c r="M14" i="451"/>
  <c r="N72" i="537" l="1"/>
  <c r="N67" i="537"/>
  <c r="O16" i="539" s="1"/>
  <c r="L72" i="537"/>
  <c r="L67" i="537"/>
  <c r="M16" i="539" s="1"/>
  <c r="N70" i="536"/>
  <c r="L70" i="536"/>
  <c r="M15" i="539"/>
  <c r="E16" i="542"/>
  <c r="C28" i="571"/>
  <c r="D28" i="571" s="1"/>
  <c r="E28" i="571" s="1"/>
  <c r="O15" i="539"/>
  <c r="I15" i="556"/>
  <c r="I15" i="555" s="1"/>
  <c r="I23" i="538"/>
  <c r="I13" i="556"/>
  <c r="H17" i="556"/>
  <c r="H17" i="555" s="1"/>
  <c r="H25" i="538"/>
  <c r="J17" i="556"/>
  <c r="J17" i="555" s="1"/>
  <c r="J25" i="538"/>
  <c r="I16" i="556"/>
  <c r="I16" i="555" s="1"/>
  <c r="I24" i="538"/>
  <c r="K13" i="556"/>
  <c r="E15" i="556"/>
  <c r="E15" i="555" s="1"/>
  <c r="E23" i="538"/>
  <c r="F17" i="556"/>
  <c r="F17" i="555" s="1"/>
  <c r="F25" i="538"/>
  <c r="E13" i="556"/>
  <c r="G15" i="556"/>
  <c r="G23" i="538"/>
  <c r="D19" i="535"/>
  <c r="D21" i="417"/>
  <c r="H48" i="502"/>
  <c r="H50" i="502" s="1"/>
  <c r="E15" i="90"/>
  <c r="L5" i="406"/>
  <c r="O13" i="90"/>
  <c r="E9" i="406"/>
  <c r="E9" i="544" s="1"/>
  <c r="H17" i="90"/>
  <c r="H16" i="542" s="1"/>
  <c r="B5" i="406"/>
  <c r="E13" i="90"/>
  <c r="C9" i="406"/>
  <c r="C9" i="544" s="1"/>
  <c r="F17" i="90"/>
  <c r="F16" i="542" s="1"/>
  <c r="G9" i="406"/>
  <c r="G9" i="544" s="1"/>
  <c r="J17" i="90"/>
  <c r="J16" i="542" s="1"/>
  <c r="B6" i="406"/>
  <c r="B6" i="544" s="1"/>
  <c r="F6" i="406"/>
  <c r="F6" i="544" s="1"/>
  <c r="K13" i="90"/>
  <c r="D5" i="406"/>
  <c r="G13" i="90"/>
  <c r="D6" i="406"/>
  <c r="D6" i="544" s="1"/>
  <c r="F7" i="406"/>
  <c r="F7" i="544" s="1"/>
  <c r="I15" i="90"/>
  <c r="I14" i="542" s="1"/>
  <c r="F8" i="406"/>
  <c r="F8" i="544" s="1"/>
  <c r="I16" i="90"/>
  <c r="I15" i="542" s="1"/>
  <c r="D7" i="406"/>
  <c r="D7" i="544" s="1"/>
  <c r="G15" i="90"/>
  <c r="G14" i="542" s="1"/>
  <c r="F5" i="406"/>
  <c r="I13" i="90"/>
  <c r="U14" i="451"/>
  <c r="H5" i="406"/>
  <c r="R16" i="451"/>
  <c r="B7" i="406"/>
  <c r="B7" i="544" s="1"/>
  <c r="T16" i="451"/>
  <c r="S16" i="451"/>
  <c r="N17" i="451"/>
  <c r="T17" i="451"/>
  <c r="M17" i="451"/>
  <c r="I24" i="571" l="1"/>
  <c r="H5" i="544"/>
  <c r="L24" i="571"/>
  <c r="E14" i="542"/>
  <c r="C26" i="571"/>
  <c r="D26" i="571" s="1"/>
  <c r="E26" i="571" s="1"/>
  <c r="C24" i="571"/>
  <c r="F5" i="544"/>
  <c r="D5" i="544"/>
  <c r="B5" i="544"/>
  <c r="E12" i="542"/>
  <c r="G12" i="542"/>
  <c r="O12" i="542"/>
  <c r="I12" i="542"/>
  <c r="K12" i="542"/>
  <c r="S31" i="556"/>
  <c r="S43" i="554"/>
  <c r="J16" i="556"/>
  <c r="J16" i="555" s="1"/>
  <c r="J24" i="538"/>
  <c r="J15" i="556"/>
  <c r="J15" i="555" s="1"/>
  <c r="J23" i="538"/>
  <c r="E13" i="555"/>
  <c r="E14" i="556"/>
  <c r="E14" i="555" s="1"/>
  <c r="F15" i="556"/>
  <c r="F15" i="555" s="1"/>
  <c r="F23" i="538"/>
  <c r="I73" i="538"/>
  <c r="I14" i="556"/>
  <c r="I14" i="555" s="1"/>
  <c r="I13" i="555"/>
  <c r="G15" i="555"/>
  <c r="G16" i="556"/>
  <c r="G16" i="555" s="1"/>
  <c r="G24" i="538"/>
  <c r="G73" i="538" s="1"/>
  <c r="K14" i="556"/>
  <c r="K14" i="555" s="1"/>
  <c r="K13" i="555"/>
  <c r="H15" i="556"/>
  <c r="H15" i="555" s="1"/>
  <c r="H23" i="538"/>
  <c r="E16" i="556"/>
  <c r="E16" i="555" s="1"/>
  <c r="E24" i="538"/>
  <c r="E69" i="538" s="1"/>
  <c r="L13" i="556"/>
  <c r="J5" i="406"/>
  <c r="L5" i="544"/>
  <c r="S33" i="90"/>
  <c r="S41" i="538"/>
  <c r="S46" i="517"/>
  <c r="D22" i="417"/>
  <c r="R22" i="417" s="1"/>
  <c r="Q21" i="417"/>
  <c r="D20" i="535"/>
  <c r="R20" i="535" s="1"/>
  <c r="Q19" i="535"/>
  <c r="I14" i="90"/>
  <c r="I13" i="542" s="1"/>
  <c r="G14" i="90"/>
  <c r="O14" i="90"/>
  <c r="M13" i="90"/>
  <c r="K14" i="90"/>
  <c r="E14" i="90"/>
  <c r="L13" i="90"/>
  <c r="F15" i="90"/>
  <c r="F14" i="542" s="1"/>
  <c r="E16" i="90"/>
  <c r="G8" i="406"/>
  <c r="G8" i="544" s="1"/>
  <c r="J16" i="90"/>
  <c r="J15" i="542" s="1"/>
  <c r="C7" i="406"/>
  <c r="C7" i="544" s="1"/>
  <c r="G16" i="90"/>
  <c r="G15" i="542" s="1"/>
  <c r="E7" i="406"/>
  <c r="E7" i="544" s="1"/>
  <c r="H15" i="90"/>
  <c r="H14" i="542" s="1"/>
  <c r="G7" i="406"/>
  <c r="G7" i="544" s="1"/>
  <c r="J15" i="90"/>
  <c r="J14" i="542" s="1"/>
  <c r="I5" i="406"/>
  <c r="S17" i="451"/>
  <c r="D8" i="406"/>
  <c r="D8" i="544" s="1"/>
  <c r="R17" i="451"/>
  <c r="B8" i="406"/>
  <c r="B8" i="544" s="1"/>
  <c r="B51" i="544" l="1"/>
  <c r="D51" i="544"/>
  <c r="G69" i="538"/>
  <c r="F17" i="539"/>
  <c r="J24" i="571"/>
  <c r="K24" i="571" s="1"/>
  <c r="I5" i="544"/>
  <c r="K12" i="547"/>
  <c r="I25" i="571"/>
  <c r="O12" i="547"/>
  <c r="L25" i="571"/>
  <c r="M25" i="571" s="1"/>
  <c r="N25" i="571" s="1"/>
  <c r="E15" i="542"/>
  <c r="C27" i="571"/>
  <c r="D27" i="571" s="1"/>
  <c r="E27" i="571" s="1"/>
  <c r="M24" i="571"/>
  <c r="N24" i="571" s="1"/>
  <c r="D24" i="571"/>
  <c r="E24" i="571" s="1"/>
  <c r="E12" i="547"/>
  <c r="C25" i="571"/>
  <c r="D25" i="571" s="1"/>
  <c r="E25" i="571" s="1"/>
  <c r="J5" i="544"/>
  <c r="G11" i="547"/>
  <c r="G12" i="547"/>
  <c r="I11" i="547"/>
  <c r="M12" i="542"/>
  <c r="E11" i="547"/>
  <c r="J73" i="538"/>
  <c r="L12" i="542"/>
  <c r="E73" i="538"/>
  <c r="E59" i="556"/>
  <c r="E54" i="555"/>
  <c r="H17" i="539"/>
  <c r="E70" i="90"/>
  <c r="E13" i="542"/>
  <c r="F16" i="556"/>
  <c r="F16" i="555" s="1"/>
  <c r="F24" i="538"/>
  <c r="F73" i="538" s="1"/>
  <c r="K70" i="90"/>
  <c r="K13" i="542"/>
  <c r="K17" i="556"/>
  <c r="K17" i="555" s="1"/>
  <c r="K25" i="538"/>
  <c r="H16" i="556"/>
  <c r="H16" i="555" s="1"/>
  <c r="H24" i="538"/>
  <c r="H73" i="538" s="1"/>
  <c r="M14" i="90"/>
  <c r="M13" i="542" s="1"/>
  <c r="O13" i="542"/>
  <c r="G54" i="556"/>
  <c r="I58" i="556"/>
  <c r="E54" i="556"/>
  <c r="G70" i="90"/>
  <c r="G13" i="542"/>
  <c r="G63" i="542" s="1"/>
  <c r="L13" i="555"/>
  <c r="L14" i="556"/>
  <c r="L59" i="556" s="1"/>
  <c r="G58" i="556"/>
  <c r="K15" i="556"/>
  <c r="K15" i="555" s="1"/>
  <c r="K23" i="538"/>
  <c r="K16" i="556"/>
  <c r="K16" i="555" s="1"/>
  <c r="K24" i="538"/>
  <c r="K59" i="556"/>
  <c r="G54" i="555"/>
  <c r="E58" i="556"/>
  <c r="S44" i="540"/>
  <c r="S38" i="537"/>
  <c r="S35" i="536"/>
  <c r="O70" i="90"/>
  <c r="L14" i="90"/>
  <c r="L13" i="542" s="1"/>
  <c r="F16" i="90"/>
  <c r="F15" i="542" s="1"/>
  <c r="E8" i="406"/>
  <c r="E8" i="544" s="1"/>
  <c r="H16" i="90"/>
  <c r="H15" i="542" s="1"/>
  <c r="O16" i="90"/>
  <c r="L27" i="571" s="1"/>
  <c r="M27" i="571" s="1"/>
  <c r="N27" i="571" s="1"/>
  <c r="O15" i="90"/>
  <c r="L26" i="571" s="1"/>
  <c r="M26" i="571" s="1"/>
  <c r="N26" i="571" s="1"/>
  <c r="K17" i="90"/>
  <c r="C8" i="406"/>
  <c r="C8" i="544" s="1"/>
  <c r="K16" i="90"/>
  <c r="K15" i="90"/>
  <c r="O17" i="90"/>
  <c r="L28" i="571" s="1"/>
  <c r="M28" i="571" s="1"/>
  <c r="N28" i="571" s="1"/>
  <c r="V18" i="451"/>
  <c r="L9" i="406"/>
  <c r="L9" i="544" s="1"/>
  <c r="U18" i="451"/>
  <c r="H9" i="406"/>
  <c r="H9" i="544" s="1"/>
  <c r="V17" i="451"/>
  <c r="L8" i="406"/>
  <c r="L8" i="544" s="1"/>
  <c r="U16" i="451"/>
  <c r="H7" i="406"/>
  <c r="H7" i="544" s="1"/>
  <c r="U17" i="451"/>
  <c r="H8" i="406"/>
  <c r="H8" i="544" s="1"/>
  <c r="V16" i="451"/>
  <c r="L7" i="406"/>
  <c r="L7" i="544" s="1"/>
  <c r="K69" i="538" l="1"/>
  <c r="L17" i="539" s="1"/>
  <c r="K64" i="90"/>
  <c r="L50" i="571"/>
  <c r="M50" i="571" s="1"/>
  <c r="N50" i="571" s="1"/>
  <c r="E63" i="542"/>
  <c r="K15" i="542"/>
  <c r="I27" i="571"/>
  <c r="J27" i="571" s="1"/>
  <c r="K27" i="571" s="1"/>
  <c r="J25" i="571"/>
  <c r="K25" i="571" s="1"/>
  <c r="K16" i="542"/>
  <c r="I28" i="571"/>
  <c r="J28" i="571" s="1"/>
  <c r="K28" i="571" s="1"/>
  <c r="I26" i="571"/>
  <c r="J26" i="571" s="1"/>
  <c r="K26" i="571" s="1"/>
  <c r="K11" i="547"/>
  <c r="M70" i="90"/>
  <c r="M12" i="547"/>
  <c r="O11" i="547"/>
  <c r="L12" i="547"/>
  <c r="K14" i="542"/>
  <c r="L70" i="90"/>
  <c r="K54" i="556"/>
  <c r="K54" i="555"/>
  <c r="M17" i="90"/>
  <c r="M16" i="542" s="1"/>
  <c r="O16" i="542"/>
  <c r="L15" i="556"/>
  <c r="L23" i="538"/>
  <c r="P16" i="556"/>
  <c r="P24" i="538"/>
  <c r="N24" i="538" s="1"/>
  <c r="K73" i="538"/>
  <c r="K58" i="556"/>
  <c r="P15" i="556"/>
  <c r="P23" i="538"/>
  <c r="M16" i="90"/>
  <c r="M15" i="542" s="1"/>
  <c r="O15" i="542"/>
  <c r="L17" i="556"/>
  <c r="L17" i="555" s="1"/>
  <c r="L25" i="538"/>
  <c r="M15" i="90"/>
  <c r="O14" i="542"/>
  <c r="L16" i="556"/>
  <c r="L16" i="555" s="1"/>
  <c r="L24" i="538"/>
  <c r="P17" i="556"/>
  <c r="P25" i="538"/>
  <c r="N25" i="538" s="1"/>
  <c r="L14" i="555"/>
  <c r="N9" i="406"/>
  <c r="N9" i="544" s="1"/>
  <c r="J9" i="406"/>
  <c r="J9" i="544" s="1"/>
  <c r="N8" i="406"/>
  <c r="N8" i="544" s="1"/>
  <c r="J8" i="406"/>
  <c r="J8" i="544" s="1"/>
  <c r="N7" i="406"/>
  <c r="N7" i="544" s="1"/>
  <c r="J7" i="406"/>
  <c r="J7" i="544" s="1"/>
  <c r="M8" i="406"/>
  <c r="M8" i="544" s="1"/>
  <c r="P16" i="90"/>
  <c r="I9" i="406"/>
  <c r="I9" i="544" s="1"/>
  <c r="L17" i="90"/>
  <c r="L16" i="542" s="1"/>
  <c r="I7" i="406"/>
  <c r="I7" i="544" s="1"/>
  <c r="L15" i="90"/>
  <c r="L14" i="542" s="1"/>
  <c r="M7" i="406"/>
  <c r="M7" i="544" s="1"/>
  <c r="P15" i="90"/>
  <c r="I8" i="406"/>
  <c r="I8" i="544" s="1"/>
  <c r="L16" i="90"/>
  <c r="L15" i="542" s="1"/>
  <c r="M9" i="406"/>
  <c r="M9" i="544" s="1"/>
  <c r="P17" i="90"/>
  <c r="M64" i="90" l="1"/>
  <c r="N14" i="539" s="1"/>
  <c r="N22" i="539" s="1"/>
  <c r="L69" i="538"/>
  <c r="M17" i="539" s="1"/>
  <c r="K63" i="542"/>
  <c r="I50" i="571"/>
  <c r="L63" i="542"/>
  <c r="L64" i="90"/>
  <c r="L52" i="571"/>
  <c r="M52" i="571"/>
  <c r="L11" i="547"/>
  <c r="M14" i="542"/>
  <c r="M63" i="542" s="1"/>
  <c r="M11" i="547"/>
  <c r="M69" i="90"/>
  <c r="N17" i="90"/>
  <c r="N16" i="542" s="1"/>
  <c r="P16" i="542"/>
  <c r="N16" i="556"/>
  <c r="N16" i="555" s="1"/>
  <c r="P16" i="555"/>
  <c r="N16" i="90"/>
  <c r="N15" i="542" s="1"/>
  <c r="P15" i="542"/>
  <c r="L73" i="538"/>
  <c r="N17" i="556"/>
  <c r="N17" i="555" s="1"/>
  <c r="P17" i="555"/>
  <c r="N15" i="90"/>
  <c r="N14" i="542" s="1"/>
  <c r="P14" i="542"/>
  <c r="N23" i="538"/>
  <c r="N69" i="538" s="1"/>
  <c r="P73" i="538"/>
  <c r="L15" i="555"/>
  <c r="L54" i="555" s="1"/>
  <c r="L54" i="556"/>
  <c r="L58" i="556"/>
  <c r="N15" i="556"/>
  <c r="N15" i="555" s="1"/>
  <c r="P15" i="555"/>
  <c r="O9" i="406"/>
  <c r="O9" i="544" s="1"/>
  <c r="K9" i="406"/>
  <c r="K9" i="544" s="1"/>
  <c r="O8" i="406"/>
  <c r="O8" i="544" s="1"/>
  <c r="K8" i="406"/>
  <c r="K8" i="544" s="1"/>
  <c r="O7" i="406"/>
  <c r="O7" i="544" s="1"/>
  <c r="K7" i="406"/>
  <c r="K7" i="544" s="1"/>
  <c r="F32" i="451"/>
  <c r="F31" i="451"/>
  <c r="J50" i="571" l="1"/>
  <c r="K50" i="571" s="1"/>
  <c r="I52" i="571"/>
  <c r="N73" i="538"/>
  <c r="O17" i="539"/>
  <c r="I69" i="90"/>
  <c r="E78" i="517"/>
  <c r="G69" i="90"/>
  <c r="E69" i="90"/>
  <c r="K52" i="571" l="1"/>
  <c r="J52" i="571"/>
  <c r="G41" i="463"/>
  <c r="F41" i="463"/>
  <c r="E41" i="463"/>
  <c r="D41" i="463"/>
  <c r="C41" i="463"/>
  <c r="F29" i="463"/>
  <c r="N42" i="405" l="1"/>
  <c r="N60" i="405" s="1"/>
  <c r="I36" i="458" l="1"/>
  <c r="F36" i="458"/>
  <c r="O52" i="517"/>
  <c r="O73" i="517" s="1"/>
  <c r="O37" i="555" l="1"/>
  <c r="O54" i="555" s="1"/>
  <c r="O41" i="536"/>
  <c r="P15" i="539" s="1"/>
  <c r="O50" i="540"/>
  <c r="O67" i="540" s="1"/>
  <c r="O52" i="501"/>
  <c r="O73" i="501" s="1"/>
  <c r="O38" i="542"/>
  <c r="O63" i="542" s="1"/>
  <c r="N35" i="406"/>
  <c r="N29" i="544" s="1"/>
  <c r="N42" i="531"/>
  <c r="N60" i="531" s="1"/>
  <c r="L35" i="406"/>
  <c r="L29" i="544" s="1"/>
  <c r="L42" i="531"/>
  <c r="L60" i="531" s="1"/>
  <c r="O39" i="90"/>
  <c r="O64" i="90" s="1"/>
  <c r="D35" i="231"/>
  <c r="D34" i="231"/>
  <c r="D33" i="231"/>
  <c r="D32" i="231"/>
  <c r="D31" i="231"/>
  <c r="D30" i="231"/>
  <c r="D29" i="231"/>
  <c r="D22" i="231"/>
  <c r="D19" i="231"/>
  <c r="D18" i="231"/>
  <c r="D17" i="231"/>
  <c r="D16" i="231"/>
  <c r="D14" i="231"/>
  <c r="D26" i="231" l="1"/>
  <c r="N5" i="406" l="1"/>
  <c r="N5" i="544" l="1"/>
  <c r="B19" i="411"/>
  <c r="B2" i="451" l="1"/>
  <c r="B2" i="515" s="1"/>
  <c r="B62" i="515" s="1"/>
  <c r="G32" i="451"/>
  <c r="G31" i="451"/>
  <c r="E31" i="451"/>
  <c r="B30" i="451"/>
  <c r="E15" i="451"/>
  <c r="E32" i="451" s="1"/>
  <c r="B32" i="451"/>
  <c r="B31" i="451"/>
  <c r="J32" i="451" l="1"/>
  <c r="C12" i="463"/>
  <c r="F42" i="463" s="1"/>
  <c r="F43" i="463" s="1"/>
  <c r="I31" i="451"/>
  <c r="T14" i="451"/>
  <c r="D31" i="451"/>
  <c r="K31" i="451"/>
  <c r="H32" i="451"/>
  <c r="L32" i="451"/>
  <c r="H31" i="451"/>
  <c r="L31" i="451"/>
  <c r="I32" i="451"/>
  <c r="J31" i="451"/>
  <c r="K32" i="451"/>
  <c r="M31" i="451" l="1"/>
  <c r="N31" i="451"/>
  <c r="S31" i="451" s="1"/>
  <c r="O31" i="451"/>
  <c r="G42" i="463"/>
  <c r="G43" i="463" s="1"/>
  <c r="Q31" i="451"/>
  <c r="V31" i="451" s="1"/>
  <c r="C42" i="463"/>
  <c r="C43" i="463" s="1"/>
  <c r="D5" i="535" s="1"/>
  <c r="P31" i="451"/>
  <c r="D42" i="463"/>
  <c r="C19" i="463"/>
  <c r="E42" i="463"/>
  <c r="E43" i="463" s="1"/>
  <c r="D33" i="451"/>
  <c r="J13" i="556"/>
  <c r="E5" i="535"/>
  <c r="E6" i="535" s="1"/>
  <c r="E5" i="417"/>
  <c r="E6" i="417" s="1"/>
  <c r="C13" i="514"/>
  <c r="C13" i="463"/>
  <c r="C13" i="513"/>
  <c r="G5" i="406"/>
  <c r="J13" i="90"/>
  <c r="S15" i="451"/>
  <c r="T15" i="451"/>
  <c r="V14" i="451"/>
  <c r="S14" i="451"/>
  <c r="R14" i="451"/>
  <c r="D32" i="451"/>
  <c r="G5" i="544" l="1"/>
  <c r="D34" i="451"/>
  <c r="D35" i="451" s="1"/>
  <c r="D43" i="463"/>
  <c r="F5" i="535" s="1"/>
  <c r="F6" i="535" s="1"/>
  <c r="Q13" i="556"/>
  <c r="Q14" i="556" s="1"/>
  <c r="Q14" i="555" s="1"/>
  <c r="H42" i="463"/>
  <c r="F5" i="417"/>
  <c r="U31" i="451"/>
  <c r="J6" i="567"/>
  <c r="J6" i="552"/>
  <c r="J12" i="542"/>
  <c r="I6" i="567"/>
  <c r="I6" i="552"/>
  <c r="Q32" i="451"/>
  <c r="V32" i="451" s="1"/>
  <c r="N32" i="451"/>
  <c r="S32" i="451" s="1"/>
  <c r="O32" i="451"/>
  <c r="T32" i="451" s="1"/>
  <c r="M32" i="451"/>
  <c r="R32" i="451" s="1"/>
  <c r="M33" i="451"/>
  <c r="R33" i="451" s="1"/>
  <c r="Q33" i="451"/>
  <c r="V33" i="451" s="1"/>
  <c r="N33" i="451"/>
  <c r="P33" i="451"/>
  <c r="U33" i="451" s="1"/>
  <c r="O33" i="451"/>
  <c r="T33" i="451" s="1"/>
  <c r="P32" i="451"/>
  <c r="U32" i="451" s="1"/>
  <c r="J14" i="556"/>
  <c r="J14" i="555" s="1"/>
  <c r="J13" i="555"/>
  <c r="P13" i="556"/>
  <c r="F13" i="556"/>
  <c r="H13" i="556"/>
  <c r="D5" i="417"/>
  <c r="J14" i="90"/>
  <c r="J13" i="542" s="1"/>
  <c r="F13" i="90"/>
  <c r="P13" i="90"/>
  <c r="C34" i="513"/>
  <c r="G29" i="513"/>
  <c r="E29" i="513"/>
  <c r="D29" i="513"/>
  <c r="C29" i="513"/>
  <c r="C14" i="513"/>
  <c r="G29" i="514"/>
  <c r="C34" i="514"/>
  <c r="C14" i="514"/>
  <c r="C29" i="514"/>
  <c r="E29" i="514"/>
  <c r="D29" i="514"/>
  <c r="Q13" i="90"/>
  <c r="G6" i="406"/>
  <c r="G6" i="544" s="1"/>
  <c r="E5" i="406"/>
  <c r="H13" i="90"/>
  <c r="E6" i="406"/>
  <c r="E6" i="544" s="1"/>
  <c r="L6" i="406"/>
  <c r="L57" i="406" s="1"/>
  <c r="C5" i="406"/>
  <c r="C5" i="544" s="1"/>
  <c r="M5" i="406"/>
  <c r="U15" i="451"/>
  <c r="H6" i="406"/>
  <c r="H57" i="406" s="1"/>
  <c r="R15" i="451"/>
  <c r="T31" i="451"/>
  <c r="V15" i="451"/>
  <c r="R31" i="451"/>
  <c r="P34" i="451" l="1"/>
  <c r="U34" i="451" s="1"/>
  <c r="N34" i="451"/>
  <c r="S34" i="451" s="1"/>
  <c r="O34" i="451"/>
  <c r="T34" i="451" s="1"/>
  <c r="Q34" i="451"/>
  <c r="V34" i="451" s="1"/>
  <c r="M34" i="451"/>
  <c r="Q16" i="90" s="1"/>
  <c r="Q15" i="542" s="1"/>
  <c r="M5" i="544"/>
  <c r="Q13" i="555"/>
  <c r="E5" i="544"/>
  <c r="E51" i="544" s="1"/>
  <c r="I7" i="567"/>
  <c r="J7" i="567"/>
  <c r="J7" i="552"/>
  <c r="I7" i="552"/>
  <c r="L6" i="544"/>
  <c r="L51" i="544" s="1"/>
  <c r="H6" i="544"/>
  <c r="H51" i="544" s="1"/>
  <c r="H43" i="463"/>
  <c r="S13" i="517" s="1"/>
  <c r="S33" i="451"/>
  <c r="R23" i="538" s="1"/>
  <c r="I8" i="567"/>
  <c r="I9" i="567" s="1"/>
  <c r="I8" i="552"/>
  <c r="J11" i="547"/>
  <c r="H12" i="542"/>
  <c r="P12" i="542"/>
  <c r="F12" i="542"/>
  <c r="Q23" i="538"/>
  <c r="Q16" i="556"/>
  <c r="Q16" i="555" s="1"/>
  <c r="M35" i="451"/>
  <c r="N35" i="451"/>
  <c r="P35" i="451"/>
  <c r="U35" i="451" s="1"/>
  <c r="U39" i="451" s="1"/>
  <c r="Q35" i="451"/>
  <c r="V35" i="451" s="1"/>
  <c r="V39" i="451" s="1"/>
  <c r="O35" i="451"/>
  <c r="T35" i="451" s="1"/>
  <c r="T39" i="451" s="1"/>
  <c r="Q24" i="538"/>
  <c r="R34" i="451"/>
  <c r="R24" i="538" s="1"/>
  <c r="Q15" i="556"/>
  <c r="Q15" i="555" s="1"/>
  <c r="Q15" i="90"/>
  <c r="Q14" i="542" s="1"/>
  <c r="Q14" i="90"/>
  <c r="Q13" i="542" s="1"/>
  <c r="Q12" i="542"/>
  <c r="F14" i="556"/>
  <c r="F14" i="555" s="1"/>
  <c r="F13" i="555"/>
  <c r="J58" i="556"/>
  <c r="R13" i="556"/>
  <c r="P14" i="556"/>
  <c r="P59" i="556" s="1"/>
  <c r="P13" i="555"/>
  <c r="N13" i="556"/>
  <c r="H14" i="556"/>
  <c r="H59" i="556" s="1"/>
  <c r="H13" i="555"/>
  <c r="D6" i="535"/>
  <c r="R6" i="535" s="1"/>
  <c r="S6" i="535" s="1"/>
  <c r="Q5" i="535"/>
  <c r="P14" i="90"/>
  <c r="P12" i="547" s="1"/>
  <c r="N13" i="90"/>
  <c r="F14" i="90"/>
  <c r="F11" i="547" s="1"/>
  <c r="H14" i="90"/>
  <c r="H11" i="547" s="1"/>
  <c r="N6" i="406"/>
  <c r="N57" i="406" s="1"/>
  <c r="J6" i="406"/>
  <c r="J57" i="406" s="1"/>
  <c r="O5" i="406"/>
  <c r="K5" i="406"/>
  <c r="G30" i="514"/>
  <c r="G31" i="514" s="1"/>
  <c r="G30" i="513"/>
  <c r="G31" i="513" s="1"/>
  <c r="C35" i="514"/>
  <c r="C36" i="514" s="1"/>
  <c r="P14" i="539"/>
  <c r="L14" i="539"/>
  <c r="D30" i="513"/>
  <c r="D31" i="513" s="1"/>
  <c r="P18" i="539"/>
  <c r="E30" i="513"/>
  <c r="E31" i="513" s="1"/>
  <c r="D30" i="514"/>
  <c r="D31" i="514" s="1"/>
  <c r="E30" i="514"/>
  <c r="E31" i="514" s="1"/>
  <c r="C30" i="514"/>
  <c r="C31" i="514" s="1"/>
  <c r="C35" i="513"/>
  <c r="C36" i="513" s="1"/>
  <c r="J69" i="90"/>
  <c r="K69" i="90"/>
  <c r="L18" i="539"/>
  <c r="F30" i="514"/>
  <c r="F31" i="514" s="1"/>
  <c r="C15" i="514"/>
  <c r="F30" i="513"/>
  <c r="F31" i="513" s="1"/>
  <c r="C15" i="513"/>
  <c r="O69" i="90"/>
  <c r="C30" i="513"/>
  <c r="C31" i="513" s="1"/>
  <c r="I6" i="406"/>
  <c r="I57" i="406" s="1"/>
  <c r="R13" i="90"/>
  <c r="M6" i="406"/>
  <c r="M6" i="544" s="1"/>
  <c r="C6" i="406"/>
  <c r="C6" i="544" s="1"/>
  <c r="C51" i="544" s="1"/>
  <c r="L22" i="539" l="1"/>
  <c r="P22" i="539"/>
  <c r="O5" i="544"/>
  <c r="K5" i="544"/>
  <c r="I6" i="544"/>
  <c r="I51" i="544" s="1"/>
  <c r="S17" i="517"/>
  <c r="S16" i="537" s="1"/>
  <c r="S12" i="554"/>
  <c r="S16" i="554" s="1"/>
  <c r="R15" i="556"/>
  <c r="R15" i="555" s="1"/>
  <c r="S13" i="556"/>
  <c r="S14" i="556" s="1"/>
  <c r="J6" i="544"/>
  <c r="J51" i="544" s="1"/>
  <c r="S13" i="90"/>
  <c r="N6" i="544"/>
  <c r="N51" i="544" s="1"/>
  <c r="P11" i="547"/>
  <c r="F12" i="547"/>
  <c r="R16" i="90"/>
  <c r="R15" i="542" s="1"/>
  <c r="H12" i="547"/>
  <c r="R15" i="90"/>
  <c r="R14" i="542" s="1"/>
  <c r="S35" i="451"/>
  <c r="I10" i="567"/>
  <c r="I11" i="567" s="1"/>
  <c r="I10" i="552"/>
  <c r="I9" i="552"/>
  <c r="J8" i="567"/>
  <c r="J8" i="552"/>
  <c r="N12" i="542"/>
  <c r="R35" i="451"/>
  <c r="Q17" i="90"/>
  <c r="Q16" i="542" s="1"/>
  <c r="Q63" i="542" s="1"/>
  <c r="Q17" i="556"/>
  <c r="Q17" i="555" s="1"/>
  <c r="Q54" i="555" s="1"/>
  <c r="Q25" i="538"/>
  <c r="R16" i="556"/>
  <c r="R16" i="555" s="1"/>
  <c r="S15" i="517"/>
  <c r="S14" i="517"/>
  <c r="S13" i="538" s="1"/>
  <c r="S16" i="517"/>
  <c r="S15" i="537" s="1"/>
  <c r="F59" i="556"/>
  <c r="F58" i="556"/>
  <c r="F54" i="555"/>
  <c r="P58" i="556"/>
  <c r="P14" i="555"/>
  <c r="N14" i="556"/>
  <c r="N14" i="555" s="1"/>
  <c r="H70" i="90"/>
  <c r="H13" i="542"/>
  <c r="H63" i="542" s="1"/>
  <c r="R14" i="90"/>
  <c r="R13" i="542" s="1"/>
  <c r="R12" i="542"/>
  <c r="S13" i="540"/>
  <c r="S12" i="536"/>
  <c r="S12" i="537"/>
  <c r="S12" i="538"/>
  <c r="H58" i="556"/>
  <c r="H14" i="555"/>
  <c r="H54" i="555" s="1"/>
  <c r="R14" i="556"/>
  <c r="R14" i="555" s="1"/>
  <c r="R13" i="555"/>
  <c r="F69" i="90"/>
  <c r="F13" i="542"/>
  <c r="F63" i="542" s="1"/>
  <c r="N14" i="90"/>
  <c r="N13" i="542" s="1"/>
  <c r="P13" i="542"/>
  <c r="N13" i="555"/>
  <c r="H69" i="90"/>
  <c r="P70" i="90"/>
  <c r="F70" i="90"/>
  <c r="O6" i="406"/>
  <c r="O6" i="544" s="1"/>
  <c r="K6" i="406"/>
  <c r="K6" i="544" s="1"/>
  <c r="M14" i="539"/>
  <c r="M18" i="539"/>
  <c r="P69" i="90"/>
  <c r="L69" i="90"/>
  <c r="K51" i="544" l="1"/>
  <c r="M22" i="539"/>
  <c r="S18" i="517"/>
  <c r="S17" i="537" s="1"/>
  <c r="S17" i="540"/>
  <c r="S21" i="517"/>
  <c r="S22" i="517" s="1"/>
  <c r="S19" i="517"/>
  <c r="S18" i="538" s="1"/>
  <c r="S20" i="517"/>
  <c r="S20" i="540" s="1"/>
  <c r="K57" i="406"/>
  <c r="S16" i="538"/>
  <c r="N63" i="542"/>
  <c r="N64" i="90"/>
  <c r="O14" i="539" s="1"/>
  <c r="O22" i="539" s="1"/>
  <c r="J9" i="567"/>
  <c r="S14" i="90"/>
  <c r="S15" i="554"/>
  <c r="S14" i="554"/>
  <c r="S13" i="554"/>
  <c r="S15" i="538"/>
  <c r="S15" i="536"/>
  <c r="N12" i="547"/>
  <c r="S39" i="451"/>
  <c r="J14" i="567" s="1"/>
  <c r="J15" i="567" s="1"/>
  <c r="J10" i="567"/>
  <c r="J11" i="567" s="1"/>
  <c r="N11" i="547"/>
  <c r="S15" i="540"/>
  <c r="S14" i="536"/>
  <c r="S14" i="537"/>
  <c r="J10" i="552"/>
  <c r="J9" i="552"/>
  <c r="S13" i="537"/>
  <c r="S13" i="536"/>
  <c r="S14" i="538"/>
  <c r="S14" i="540"/>
  <c r="R39" i="451"/>
  <c r="R17" i="90"/>
  <c r="R16" i="542" s="1"/>
  <c r="R63" i="542" s="1"/>
  <c r="R25" i="538"/>
  <c r="R17" i="556"/>
  <c r="R17" i="555" s="1"/>
  <c r="R54" i="555" s="1"/>
  <c r="S16" i="540"/>
  <c r="N70" i="90"/>
  <c r="N54" i="556"/>
  <c r="N58" i="556"/>
  <c r="N59" i="556"/>
  <c r="N69" i="90"/>
  <c r="N54" i="555"/>
  <c r="S21" i="540"/>
  <c r="S19" i="554"/>
  <c r="S17" i="554"/>
  <c r="S18" i="554"/>
  <c r="S20" i="554"/>
  <c r="S18" i="540"/>
  <c r="S24" i="517"/>
  <c r="S24" i="540" s="1"/>
  <c r="S23" i="517"/>
  <c r="S19" i="540" l="1"/>
  <c r="S19" i="538"/>
  <c r="S65" i="536"/>
  <c r="S17" i="538"/>
  <c r="R41" i="451"/>
  <c r="S23" i="540"/>
  <c r="S22" i="554"/>
  <c r="S21" i="554"/>
  <c r="S23" i="554"/>
  <c r="S22" i="540"/>
  <c r="D10" i="417"/>
  <c r="E10" i="417"/>
  <c r="F10" i="417"/>
  <c r="R10" i="417" l="1"/>
  <c r="Q9" i="417"/>
  <c r="F25" i="430"/>
  <c r="B2" i="430" l="1"/>
  <c r="A2" i="150"/>
  <c r="A1" i="150"/>
  <c r="A606" i="150"/>
  <c r="A605" i="150"/>
  <c r="A576" i="150"/>
  <c r="A575" i="150"/>
  <c r="A545" i="150"/>
  <c r="A544" i="150"/>
  <c r="A516" i="150"/>
  <c r="A515" i="150"/>
  <c r="A486" i="150"/>
  <c r="A485" i="150"/>
  <c r="A456" i="150"/>
  <c r="A455" i="150"/>
  <c r="A426" i="150"/>
  <c r="A425" i="150"/>
  <c r="A395" i="150"/>
  <c r="A394" i="150"/>
  <c r="A365" i="150"/>
  <c r="A364" i="150"/>
  <c r="A336" i="150"/>
  <c r="A335" i="150"/>
  <c r="A305" i="150"/>
  <c r="A304" i="150"/>
  <c r="A276" i="150"/>
  <c r="A275" i="150"/>
  <c r="A246" i="150"/>
  <c r="A245" i="150"/>
  <c r="A215" i="150"/>
  <c r="A214" i="150"/>
  <c r="A186" i="150"/>
  <c r="A185" i="150"/>
  <c r="A156" i="150"/>
  <c r="A155" i="150"/>
  <c r="A126" i="150"/>
  <c r="A125" i="150"/>
  <c r="A96" i="150"/>
  <c r="A95" i="150"/>
  <c r="A67" i="150"/>
  <c r="A66" i="150"/>
  <c r="A36" i="150"/>
  <c r="B2" i="231"/>
  <c r="G16" i="231"/>
  <c r="B2" i="6"/>
  <c r="G16" i="6"/>
  <c r="G49" i="6" s="1"/>
  <c r="I49" i="6" s="1"/>
  <c r="D8" i="417"/>
  <c r="E8" i="417"/>
  <c r="F8" i="417"/>
  <c r="Q7" i="417"/>
  <c r="B2" i="274"/>
  <c r="I16" i="231" l="1"/>
  <c r="H16" i="231" s="1"/>
  <c r="J49" i="6"/>
  <c r="H49" i="6"/>
  <c r="I16" i="6"/>
  <c r="H16" i="6" s="1"/>
  <c r="G20" i="6"/>
  <c r="D15" i="231"/>
  <c r="D23" i="231"/>
  <c r="D27" i="231"/>
  <c r="D13" i="231"/>
  <c r="I13" i="231" s="1"/>
  <c r="D21" i="231"/>
  <c r="D25" i="231"/>
  <c r="G20" i="231"/>
  <c r="G24" i="231" s="1"/>
  <c r="G28" i="231" s="1"/>
  <c r="D12" i="231"/>
  <c r="I12" i="231" s="1"/>
  <c r="D20" i="231"/>
  <c r="I12" i="6"/>
  <c r="J12" i="6" s="1"/>
  <c r="B3" i="6"/>
  <c r="B3" i="231"/>
  <c r="B3" i="274"/>
  <c r="B3" i="451"/>
  <c r="B3" i="515" s="1"/>
  <c r="B63" i="515" s="1"/>
  <c r="R8" i="417"/>
  <c r="G14" i="231"/>
  <c r="I14" i="231" s="1"/>
  <c r="I13" i="6"/>
  <c r="G14" i="6"/>
  <c r="F18" i="417"/>
  <c r="E18" i="417"/>
  <c r="E12" i="417"/>
  <c r="B3" i="430"/>
  <c r="J16" i="231" l="1"/>
  <c r="I20" i="231"/>
  <c r="J20" i="231" s="1"/>
  <c r="B3" i="486"/>
  <c r="G24" i="6"/>
  <c r="I24" i="6" s="1"/>
  <c r="G53" i="6"/>
  <c r="I53" i="6" s="1"/>
  <c r="G15" i="6"/>
  <c r="G48" i="6" s="1"/>
  <c r="I48" i="6" s="1"/>
  <c r="G47" i="6"/>
  <c r="I47" i="6" s="1"/>
  <c r="J16" i="6"/>
  <c r="I20" i="6"/>
  <c r="D24" i="231"/>
  <c r="I24" i="231" s="1"/>
  <c r="J12" i="231"/>
  <c r="H12" i="231"/>
  <c r="D28" i="231"/>
  <c r="I28" i="231" s="1"/>
  <c r="H12" i="6"/>
  <c r="G32" i="231"/>
  <c r="I32" i="231" s="1"/>
  <c r="H13" i="231"/>
  <c r="J13" i="231"/>
  <c r="G15" i="231"/>
  <c r="I15" i="231" s="1"/>
  <c r="J13" i="6"/>
  <c r="H13" i="6"/>
  <c r="I14" i="6"/>
  <c r="Q17" i="417"/>
  <c r="D18" i="417"/>
  <c r="R18" i="417" s="1"/>
  <c r="B3" i="488" l="1"/>
  <c r="B3" i="568"/>
  <c r="B3" i="569"/>
  <c r="B3" i="525"/>
  <c r="B3" i="529" s="1"/>
  <c r="B3" i="526"/>
  <c r="B3" i="487"/>
  <c r="B3" i="495" s="1"/>
  <c r="B3" i="499" s="1"/>
  <c r="B3" i="485"/>
  <c r="J47" i="6"/>
  <c r="H47" i="6"/>
  <c r="J48" i="6"/>
  <c r="H48" i="6"/>
  <c r="J53" i="6"/>
  <c r="H53" i="6"/>
  <c r="G28" i="6"/>
  <c r="G57" i="6"/>
  <c r="I57" i="6" s="1"/>
  <c r="H20" i="231"/>
  <c r="H20" i="6"/>
  <c r="J20" i="6"/>
  <c r="J24" i="231"/>
  <c r="H24" i="231"/>
  <c r="H24" i="6"/>
  <c r="J24" i="6"/>
  <c r="H32" i="231"/>
  <c r="J32" i="231"/>
  <c r="J28" i="231"/>
  <c r="H28" i="231"/>
  <c r="G19" i="231"/>
  <c r="I19" i="231" s="1"/>
  <c r="J14" i="231"/>
  <c r="H14" i="231"/>
  <c r="G19" i="6"/>
  <c r="G52" i="6" s="1"/>
  <c r="I52" i="6" s="1"/>
  <c r="I15" i="6"/>
  <c r="J14" i="6"/>
  <c r="H14" i="6"/>
  <c r="B3" i="530" l="1"/>
  <c r="B3" i="579"/>
  <c r="B3" i="520"/>
  <c r="B3" i="528"/>
  <c r="B3" i="496"/>
  <c r="B3" i="490"/>
  <c r="B3" i="493"/>
  <c r="B3" i="491"/>
  <c r="B3" i="519"/>
  <c r="G32" i="6"/>
  <c r="G61" i="6"/>
  <c r="I61" i="6" s="1"/>
  <c r="I28" i="6"/>
  <c r="J52" i="6"/>
  <c r="H52" i="6"/>
  <c r="J57" i="6"/>
  <c r="H57" i="6"/>
  <c r="M12" i="231"/>
  <c r="G18" i="231"/>
  <c r="I18" i="231" s="1"/>
  <c r="G23" i="231"/>
  <c r="I23" i="231" s="1"/>
  <c r="H15" i="231"/>
  <c r="J15" i="231"/>
  <c r="G23" i="6"/>
  <c r="G56" i="6" s="1"/>
  <c r="I56" i="6" s="1"/>
  <c r="I19" i="6"/>
  <c r="G18" i="6"/>
  <c r="G51" i="6" s="1"/>
  <c r="I51" i="6" s="1"/>
  <c r="H15" i="6"/>
  <c r="J15" i="6"/>
  <c r="L19" i="430"/>
  <c r="E12" i="430" s="1"/>
  <c r="H11" i="430" s="1"/>
  <c r="E34" i="430" s="1"/>
  <c r="H34" i="430" s="1"/>
  <c r="E42" i="430" s="1"/>
  <c r="H44" i="430" s="1"/>
  <c r="E49" i="430" s="1"/>
  <c r="G49" i="430" s="1"/>
  <c r="F9" i="535" l="1"/>
  <c r="F10" i="535" s="1"/>
  <c r="F11" i="417"/>
  <c r="F12" i="417" s="1"/>
  <c r="F37" i="458"/>
  <c r="J51" i="6"/>
  <c r="H51" i="6"/>
  <c r="J56" i="6"/>
  <c r="H56" i="6"/>
  <c r="J61" i="6"/>
  <c r="H61" i="6"/>
  <c r="J28" i="6"/>
  <c r="H28" i="6"/>
  <c r="I32" i="6"/>
  <c r="G65" i="6"/>
  <c r="I65" i="6" s="1"/>
  <c r="H49" i="430"/>
  <c r="G17" i="231"/>
  <c r="I17" i="231" s="1"/>
  <c r="J19" i="231"/>
  <c r="H19" i="231"/>
  <c r="G27" i="231"/>
  <c r="I27" i="231" s="1"/>
  <c r="G22" i="231"/>
  <c r="I22" i="231" s="1"/>
  <c r="J19" i="6"/>
  <c r="H19" i="6"/>
  <c r="I18" i="6"/>
  <c r="G17" i="6"/>
  <c r="G22" i="6"/>
  <c r="G55" i="6" s="1"/>
  <c r="I55" i="6" s="1"/>
  <c r="G27" i="6"/>
  <c r="G60" i="6" s="1"/>
  <c r="I60" i="6" s="1"/>
  <c r="I23" i="6"/>
  <c r="E19" i="430"/>
  <c r="H18" i="430" s="1"/>
  <c r="P49" i="554" l="1"/>
  <c r="P37" i="556"/>
  <c r="P54" i="556" s="1"/>
  <c r="P47" i="538"/>
  <c r="P69" i="538" s="1"/>
  <c r="P44" i="537"/>
  <c r="P67" i="537" s="1"/>
  <c r="M35" i="406"/>
  <c r="M57" i="406" s="1"/>
  <c r="M42" i="531"/>
  <c r="M60" i="531" s="1"/>
  <c r="P39" i="90"/>
  <c r="P64" i="90" s="1"/>
  <c r="I37" i="458"/>
  <c r="P52" i="517"/>
  <c r="P73" i="517" s="1"/>
  <c r="J55" i="6"/>
  <c r="H55" i="6"/>
  <c r="I17" i="6"/>
  <c r="J17" i="6" s="1"/>
  <c r="G50" i="6"/>
  <c r="J60" i="6"/>
  <c r="H60" i="6"/>
  <c r="J65" i="6"/>
  <c r="H65" i="6"/>
  <c r="H32" i="6"/>
  <c r="J32" i="6"/>
  <c r="E24" i="430"/>
  <c r="I26" i="430" s="1"/>
  <c r="G21" i="231"/>
  <c r="I21" i="231" s="1"/>
  <c r="H17" i="231"/>
  <c r="J17" i="231"/>
  <c r="G31" i="231"/>
  <c r="I31" i="231" s="1"/>
  <c r="G35" i="231"/>
  <c r="I35" i="231" s="1"/>
  <c r="G26" i="231"/>
  <c r="I26" i="231" s="1"/>
  <c r="G33" i="231"/>
  <c r="I33" i="231" s="1"/>
  <c r="J23" i="231"/>
  <c r="H23" i="231"/>
  <c r="H18" i="231"/>
  <c r="J18" i="231"/>
  <c r="G33" i="6"/>
  <c r="G66" i="6" s="1"/>
  <c r="I66" i="6" s="1"/>
  <c r="I27" i="6"/>
  <c r="G26" i="6"/>
  <c r="G59" i="6" s="1"/>
  <c r="I59" i="6" s="1"/>
  <c r="G35" i="6"/>
  <c r="G31" i="6"/>
  <c r="G64" i="6" s="1"/>
  <c r="I64" i="6" s="1"/>
  <c r="J18" i="6"/>
  <c r="H18" i="6"/>
  <c r="G21" i="6"/>
  <c r="I22" i="6"/>
  <c r="H23" i="6"/>
  <c r="J23" i="6"/>
  <c r="M29" i="544" l="1"/>
  <c r="M51" i="544" s="1"/>
  <c r="P37" i="555"/>
  <c r="P54" i="555" s="1"/>
  <c r="Q18" i="539"/>
  <c r="Q14" i="539"/>
  <c r="P50" i="553"/>
  <c r="P63" i="553" s="1"/>
  <c r="P62" i="554"/>
  <c r="P38" i="542"/>
  <c r="P63" i="542" s="1"/>
  <c r="P41" i="536"/>
  <c r="P65" i="536" s="1"/>
  <c r="P50" i="540"/>
  <c r="P67" i="540" s="1"/>
  <c r="O42" i="405"/>
  <c r="O60" i="405" s="1"/>
  <c r="Q16" i="539"/>
  <c r="Q17" i="539"/>
  <c r="P52" i="501"/>
  <c r="P73" i="501" s="1"/>
  <c r="O35" i="406"/>
  <c r="O57" i="406" s="1"/>
  <c r="O42" i="531"/>
  <c r="O60" i="531" s="1"/>
  <c r="H17" i="6"/>
  <c r="I35" i="6"/>
  <c r="J35" i="6" s="1"/>
  <c r="G68" i="6"/>
  <c r="I68" i="6" s="1"/>
  <c r="I50" i="6"/>
  <c r="J64" i="6"/>
  <c r="H64" i="6"/>
  <c r="J59" i="6"/>
  <c r="H59" i="6"/>
  <c r="I21" i="6"/>
  <c r="J21" i="6" s="1"/>
  <c r="G54" i="6"/>
  <c r="J66" i="6"/>
  <c r="H66" i="6"/>
  <c r="I25" i="430"/>
  <c r="I29" i="430"/>
  <c r="I27" i="430"/>
  <c r="I28" i="430"/>
  <c r="G25" i="231"/>
  <c r="I25" i="231" s="1"/>
  <c r="H22" i="231"/>
  <c r="J22" i="231"/>
  <c r="H35" i="231"/>
  <c r="J35" i="231"/>
  <c r="G30" i="231"/>
  <c r="I30" i="231" s="1"/>
  <c r="G34" i="231"/>
  <c r="I34" i="231" s="1"/>
  <c r="J27" i="231"/>
  <c r="H27" i="231"/>
  <c r="H21" i="231"/>
  <c r="J21" i="231"/>
  <c r="J22" i="6"/>
  <c r="H22" i="6"/>
  <c r="G30" i="6"/>
  <c r="G63" i="6" s="1"/>
  <c r="I63" i="6" s="1"/>
  <c r="I31" i="6"/>
  <c r="G34" i="6"/>
  <c r="I33" i="6"/>
  <c r="I26" i="6"/>
  <c r="G25" i="6"/>
  <c r="H27" i="6"/>
  <c r="J27" i="6"/>
  <c r="Q15" i="539" l="1"/>
  <c r="Q22" i="539" s="1"/>
  <c r="O29" i="544"/>
  <c r="O51" i="544" s="1"/>
  <c r="H35" i="6"/>
  <c r="H21" i="6"/>
  <c r="J63" i="6"/>
  <c r="H63" i="6"/>
  <c r="J50" i="6"/>
  <c r="H50" i="6"/>
  <c r="I34" i="6"/>
  <c r="H34" i="6" s="1"/>
  <c r="G67" i="6"/>
  <c r="I67" i="6" s="1"/>
  <c r="I54" i="6"/>
  <c r="J68" i="6"/>
  <c r="H68" i="6"/>
  <c r="I25" i="6"/>
  <c r="J25" i="6" s="1"/>
  <c r="G58" i="6"/>
  <c r="I58" i="6" s="1"/>
  <c r="I30" i="430"/>
  <c r="E35" i="430" s="1"/>
  <c r="H35" i="430" s="1"/>
  <c r="E43" i="430" s="1"/>
  <c r="H45" i="430" s="1"/>
  <c r="E48" i="430" s="1"/>
  <c r="G48" i="430" s="1"/>
  <c r="H33" i="231"/>
  <c r="J33" i="231"/>
  <c r="G29" i="231"/>
  <c r="I29" i="231" s="1"/>
  <c r="H26" i="231"/>
  <c r="J26" i="231"/>
  <c r="J31" i="231"/>
  <c r="H31" i="231"/>
  <c r="H34" i="231"/>
  <c r="J34" i="231"/>
  <c r="J25" i="231"/>
  <c r="H25" i="231"/>
  <c r="I30" i="6"/>
  <c r="G29" i="6"/>
  <c r="J33" i="6"/>
  <c r="H33" i="6"/>
  <c r="J26" i="6"/>
  <c r="H26" i="6"/>
  <c r="H31" i="6"/>
  <c r="J31" i="6"/>
  <c r="D9" i="535" l="1"/>
  <c r="D11" i="417"/>
  <c r="H48" i="430"/>
  <c r="H50" i="430" s="1"/>
  <c r="S18" i="90" s="1"/>
  <c r="H25" i="6"/>
  <c r="J67" i="6"/>
  <c r="H67" i="6"/>
  <c r="I29" i="6"/>
  <c r="H39" i="6" s="1"/>
  <c r="G62" i="6"/>
  <c r="I62" i="6" s="1"/>
  <c r="J58" i="6"/>
  <c r="H58" i="6"/>
  <c r="J34" i="6"/>
  <c r="J54" i="6"/>
  <c r="H54" i="6"/>
  <c r="H39" i="231"/>
  <c r="G39" i="231" s="1"/>
  <c r="C41" i="567" s="1"/>
  <c r="C61" i="567" s="1"/>
  <c r="H29" i="231"/>
  <c r="J29" i="231"/>
  <c r="H30" i="231"/>
  <c r="J30" i="231"/>
  <c r="J30" i="6"/>
  <c r="H30" i="6"/>
  <c r="S64" i="90" l="1"/>
  <c r="S26" i="538"/>
  <c r="S69" i="538" s="1"/>
  <c r="K41" i="567"/>
  <c r="K61" i="567" s="1"/>
  <c r="M41" i="567"/>
  <c r="M61" i="567" s="1"/>
  <c r="I41" i="567"/>
  <c r="I61" i="567" s="1"/>
  <c r="G41" i="567"/>
  <c r="G61" i="567" s="1"/>
  <c r="E41" i="567"/>
  <c r="E61" i="567" s="1"/>
  <c r="C28" i="552"/>
  <c r="C52" i="552" s="1"/>
  <c r="Q47" i="554"/>
  <c r="Q62" i="554" s="1"/>
  <c r="Q35" i="556"/>
  <c r="Q54" i="556" s="1"/>
  <c r="S18" i="556"/>
  <c r="S54" i="556" s="1"/>
  <c r="S30" i="554"/>
  <c r="Q50" i="517"/>
  <c r="Q73" i="517" s="1"/>
  <c r="Q45" i="538"/>
  <c r="S31" i="517"/>
  <c r="S73" i="517" s="1"/>
  <c r="Q11" i="417"/>
  <c r="D12" i="417"/>
  <c r="R12" i="417" s="1"/>
  <c r="D10" i="535"/>
  <c r="R10" i="535" s="1"/>
  <c r="R42" i="535" s="1"/>
  <c r="Q9" i="535"/>
  <c r="Q41" i="535" s="1"/>
  <c r="Q37" i="90"/>
  <c r="Q64" i="90" s="1"/>
  <c r="H29" i="6"/>
  <c r="G39" i="6" s="1"/>
  <c r="J29" i="6"/>
  <c r="I39" i="6" s="1"/>
  <c r="J62" i="6"/>
  <c r="I72" i="6" s="1"/>
  <c r="H62" i="6"/>
  <c r="G72" i="6" s="1"/>
  <c r="H72" i="6"/>
  <c r="I39" i="231"/>
  <c r="D41" i="567" s="1"/>
  <c r="D61" i="567" s="1"/>
  <c r="M13" i="231"/>
  <c r="F6" i="417"/>
  <c r="Q69" i="538" l="1"/>
  <c r="R17" i="539" s="1"/>
  <c r="R14" i="539"/>
  <c r="L41" i="567"/>
  <c r="L61" i="567" s="1"/>
  <c r="N41" i="567"/>
  <c r="N61" i="567" s="1"/>
  <c r="H41" i="567"/>
  <c r="H61" i="567" s="1"/>
  <c r="J41" i="567"/>
  <c r="J61" i="567" s="1"/>
  <c r="F41" i="567"/>
  <c r="F61" i="567" s="1"/>
  <c r="I28" i="552"/>
  <c r="I52" i="552" s="1"/>
  <c r="K28" i="552"/>
  <c r="K52" i="552" s="1"/>
  <c r="M28" i="552"/>
  <c r="M52" i="552" s="1"/>
  <c r="E28" i="552"/>
  <c r="E52" i="552" s="1"/>
  <c r="G28" i="552"/>
  <c r="G52" i="552" s="1"/>
  <c r="T18" i="539"/>
  <c r="S23" i="537"/>
  <c r="S31" i="540"/>
  <c r="W40" i="540" s="1"/>
  <c r="W39" i="554"/>
  <c r="S62" i="554"/>
  <c r="J35" i="555"/>
  <c r="J54" i="555" s="1"/>
  <c r="J36" i="542"/>
  <c r="J63" i="542" s="1"/>
  <c r="G27" i="544"/>
  <c r="G51" i="544" s="1"/>
  <c r="J50" i="501"/>
  <c r="J73" i="501" s="1"/>
  <c r="J48" i="553"/>
  <c r="J63" i="553" s="1"/>
  <c r="G40" i="405"/>
  <c r="G60" i="405" s="1"/>
  <c r="I47" i="554"/>
  <c r="I35" i="556"/>
  <c r="J47" i="554"/>
  <c r="J35" i="556"/>
  <c r="I35" i="555"/>
  <c r="I54" i="555" s="1"/>
  <c r="I36" i="542"/>
  <c r="I63" i="542" s="1"/>
  <c r="F27" i="544"/>
  <c r="F51" i="544" s="1"/>
  <c r="F40" i="405"/>
  <c r="F60" i="405" s="1"/>
  <c r="I50" i="501"/>
  <c r="I73" i="501" s="1"/>
  <c r="I48" i="553"/>
  <c r="I63" i="553" s="1"/>
  <c r="R47" i="554"/>
  <c r="R62" i="554" s="1"/>
  <c r="R35" i="556"/>
  <c r="R54" i="556" s="1"/>
  <c r="D28" i="552"/>
  <c r="D52" i="552" s="1"/>
  <c r="Q39" i="536"/>
  <c r="R15" i="539" s="1"/>
  <c r="Q42" i="537"/>
  <c r="R16" i="539" s="1"/>
  <c r="Q48" i="540"/>
  <c r="Q67" i="540" s="1"/>
  <c r="R50" i="517"/>
  <c r="R73" i="517" s="1"/>
  <c r="R45" i="538"/>
  <c r="I45" i="538"/>
  <c r="I69" i="538" s="1"/>
  <c r="J45" i="538"/>
  <c r="J69" i="538" s="1"/>
  <c r="W42" i="517"/>
  <c r="J50" i="517"/>
  <c r="J73" i="517" s="1"/>
  <c r="G40" i="531"/>
  <c r="G60" i="531" s="1"/>
  <c r="I50" i="517"/>
  <c r="I73" i="517" s="1"/>
  <c r="F40" i="531"/>
  <c r="F60" i="531" s="1"/>
  <c r="T14" i="539"/>
  <c r="R37" i="90"/>
  <c r="R64" i="90" s="1"/>
  <c r="I37" i="90"/>
  <c r="I64" i="90" s="1"/>
  <c r="F33" i="406"/>
  <c r="F57" i="406" s="1"/>
  <c r="J37" i="90"/>
  <c r="J64" i="90" s="1"/>
  <c r="G33" i="406"/>
  <c r="G57" i="406" s="1"/>
  <c r="R69" i="538" l="1"/>
  <c r="S17" i="539" s="1"/>
  <c r="S67" i="537"/>
  <c r="T16" i="539" s="1"/>
  <c r="S14" i="539"/>
  <c r="I12" i="563"/>
  <c r="J18" i="539"/>
  <c r="J79" i="517"/>
  <c r="J12" i="563"/>
  <c r="I70" i="90"/>
  <c r="I12" i="547"/>
  <c r="N28" i="552"/>
  <c r="N52" i="552" s="1"/>
  <c r="L28" i="552"/>
  <c r="L52" i="552" s="1"/>
  <c r="J28" i="552"/>
  <c r="J52" i="552" s="1"/>
  <c r="H28" i="552"/>
  <c r="H52" i="552" s="1"/>
  <c r="F28" i="552"/>
  <c r="F52" i="552" s="1"/>
  <c r="S67" i="540"/>
  <c r="I54" i="556"/>
  <c r="I59" i="556"/>
  <c r="J67" i="554"/>
  <c r="J62" i="554"/>
  <c r="L76" i="554" s="1"/>
  <c r="I67" i="554"/>
  <c r="I62" i="554"/>
  <c r="J59" i="556"/>
  <c r="J54" i="556"/>
  <c r="L68" i="556" s="1"/>
  <c r="J48" i="540"/>
  <c r="J67" i="540" s="1"/>
  <c r="J42" i="537"/>
  <c r="J39" i="536"/>
  <c r="J65" i="536" s="1"/>
  <c r="R48" i="540"/>
  <c r="R67" i="540" s="1"/>
  <c r="R42" i="537"/>
  <c r="R39" i="536"/>
  <c r="R65" i="536" s="1"/>
  <c r="I39" i="536"/>
  <c r="J15" i="539" s="1"/>
  <c r="I48" i="540"/>
  <c r="I67" i="540" s="1"/>
  <c r="I42" i="537"/>
  <c r="J16" i="539" s="1"/>
  <c r="T15" i="539"/>
  <c r="T17" i="539"/>
  <c r="I74" i="538"/>
  <c r="J17" i="539"/>
  <c r="J74" i="538"/>
  <c r="I79" i="517"/>
  <c r="J14" i="539"/>
  <c r="J72" i="537" l="1"/>
  <c r="J67" i="537"/>
  <c r="L81" i="537" s="1"/>
  <c r="R67" i="537"/>
  <c r="S16" i="539" s="1"/>
  <c r="J22" i="539"/>
  <c r="S15" i="539"/>
  <c r="J70" i="536"/>
  <c r="I70" i="536"/>
  <c r="I72" i="537"/>
  <c r="L79" i="536"/>
  <c r="L83" i="538"/>
  <c r="K17" i="539"/>
  <c r="K18" i="539"/>
  <c r="K14" i="539"/>
  <c r="K16" i="539" l="1"/>
  <c r="K15" i="539"/>
  <c r="Q5" i="417"/>
  <c r="Q35" i="417" s="1"/>
  <c r="D6" i="417"/>
  <c r="R6" i="417" s="1"/>
  <c r="R36" i="417" s="1"/>
  <c r="K22" i="539" l="1"/>
  <c r="E29" i="463"/>
  <c r="C29" i="463"/>
  <c r="C34" i="463"/>
  <c r="C14" i="463"/>
  <c r="D29" i="463"/>
  <c r="G29" i="463"/>
  <c r="G30" i="463" l="1"/>
  <c r="G31" i="463" s="1"/>
  <c r="D30" i="463"/>
  <c r="D31" i="463" s="1"/>
  <c r="C35" i="463"/>
  <c r="C36" i="463" s="1"/>
  <c r="F30" i="463"/>
  <c r="F31" i="463" s="1"/>
  <c r="C15" i="463"/>
  <c r="C30" i="463"/>
  <c r="C31" i="463" s="1"/>
  <c r="E30" i="463"/>
  <c r="E31" i="463" s="1"/>
  <c r="C84" i="507" l="1"/>
  <c r="B84" i="507"/>
  <c r="B75" i="507"/>
  <c r="C75" i="507"/>
  <c r="R18" i="539" l="1"/>
  <c r="R22" i="539" s="1"/>
  <c r="S18" i="539" l="1"/>
  <c r="S22" i="539" s="1"/>
  <c r="C53" i="485" l="1"/>
  <c r="J27" i="532" s="1"/>
  <c r="J28" i="532" s="1"/>
  <c r="J29" i="532" s="1"/>
  <c r="D37" i="531" l="1"/>
  <c r="D38" i="531" l="1"/>
  <c r="D39" i="531"/>
  <c r="G47" i="517"/>
  <c r="G34" i="90"/>
  <c r="D30" i="406"/>
  <c r="E34" i="90"/>
  <c r="E47" i="517"/>
  <c r="K12" i="486"/>
  <c r="B30" i="406"/>
  <c r="D60" i="531" l="1"/>
  <c r="C35" i="571"/>
  <c r="E37" i="531"/>
  <c r="E39" i="531" s="1"/>
  <c r="H44" i="554"/>
  <c r="H32" i="556"/>
  <c r="H42" i="538"/>
  <c r="G36" i="536"/>
  <c r="G39" i="537"/>
  <c r="G45" i="540"/>
  <c r="F44" i="554"/>
  <c r="F32" i="556"/>
  <c r="F42" i="538"/>
  <c r="E36" i="536"/>
  <c r="E39" i="537"/>
  <c r="E45" i="540"/>
  <c r="C37" i="531"/>
  <c r="F34" i="90"/>
  <c r="E35" i="90"/>
  <c r="C36" i="571" s="1"/>
  <c r="D36" i="571" s="1"/>
  <c r="E36" i="90"/>
  <c r="E37" i="571" s="1"/>
  <c r="G36" i="90"/>
  <c r="G35" i="90"/>
  <c r="C30" i="406"/>
  <c r="F47" i="517"/>
  <c r="D31" i="406"/>
  <c r="D32" i="406"/>
  <c r="E30" i="406"/>
  <c r="H34" i="90"/>
  <c r="H47" i="517"/>
  <c r="B31" i="406"/>
  <c r="B32" i="406"/>
  <c r="G49" i="517"/>
  <c r="G48" i="517"/>
  <c r="E49" i="517"/>
  <c r="E48" i="517"/>
  <c r="G73" i="517" l="1"/>
  <c r="E73" i="517"/>
  <c r="G64" i="90"/>
  <c r="D35" i="571"/>
  <c r="E35" i="571" s="1"/>
  <c r="D57" i="406"/>
  <c r="E36" i="571"/>
  <c r="F18" i="539"/>
  <c r="B57" i="406"/>
  <c r="E38" i="531"/>
  <c r="E60" i="531" s="1"/>
  <c r="H44" i="538"/>
  <c r="H43" i="538"/>
  <c r="H69" i="538" s="1"/>
  <c r="H36" i="536"/>
  <c r="H39" i="537"/>
  <c r="H45" i="540"/>
  <c r="E46" i="540"/>
  <c r="E40" i="537"/>
  <c r="E37" i="536"/>
  <c r="H34" i="556"/>
  <c r="H33" i="556"/>
  <c r="G37" i="536"/>
  <c r="G40" i="537"/>
  <c r="G46" i="540"/>
  <c r="H45" i="554"/>
  <c r="H46" i="554"/>
  <c r="F44" i="538"/>
  <c r="F43" i="538"/>
  <c r="E41" i="537"/>
  <c r="E38" i="536"/>
  <c r="E47" i="540"/>
  <c r="F33" i="556"/>
  <c r="F34" i="556"/>
  <c r="G41" i="537"/>
  <c r="G38" i="536"/>
  <c r="G47" i="540"/>
  <c r="F36" i="536"/>
  <c r="F39" i="537"/>
  <c r="F45" i="540"/>
  <c r="F45" i="554"/>
  <c r="F46" i="554"/>
  <c r="C39" i="531"/>
  <c r="C38" i="531"/>
  <c r="H18" i="539"/>
  <c r="F36" i="90"/>
  <c r="F35" i="90"/>
  <c r="H48" i="517"/>
  <c r="H49" i="517"/>
  <c r="H35" i="90"/>
  <c r="H36" i="90"/>
  <c r="E31" i="406"/>
  <c r="E32" i="406"/>
  <c r="C31" i="406"/>
  <c r="C32" i="406"/>
  <c r="F48" i="517"/>
  <c r="F49" i="517"/>
  <c r="G65" i="536" l="1"/>
  <c r="E57" i="406"/>
  <c r="G67" i="537"/>
  <c r="H16" i="539" s="1"/>
  <c r="F69" i="538"/>
  <c r="L81" i="538" s="1"/>
  <c r="L78" i="538" s="1"/>
  <c r="E67" i="537"/>
  <c r="F16" i="539" s="1"/>
  <c r="E65" i="536"/>
  <c r="F15" i="539" s="1"/>
  <c r="F64" i="90"/>
  <c r="H64" i="90"/>
  <c r="C57" i="406"/>
  <c r="I17" i="539"/>
  <c r="C60" i="531"/>
  <c r="H73" i="517"/>
  <c r="I18" i="539" s="1"/>
  <c r="F73" i="517"/>
  <c r="C52" i="571"/>
  <c r="D50" i="571"/>
  <c r="E50" i="571" s="1"/>
  <c r="H54" i="556"/>
  <c r="G67" i="540"/>
  <c r="F62" i="554"/>
  <c r="L74" i="554" s="1"/>
  <c r="L71" i="554" s="1"/>
  <c r="H62" i="554"/>
  <c r="F54" i="556"/>
  <c r="L66" i="556" s="1"/>
  <c r="L63" i="556" s="1"/>
  <c r="H15" i="539"/>
  <c r="E67" i="540"/>
  <c r="F37" i="536"/>
  <c r="F40" i="537"/>
  <c r="F46" i="540"/>
  <c r="F38" i="536"/>
  <c r="F47" i="540"/>
  <c r="F41" i="537"/>
  <c r="H41" i="537"/>
  <c r="H38" i="536"/>
  <c r="H47" i="540"/>
  <c r="H37" i="536"/>
  <c r="H40" i="537"/>
  <c r="H46" i="540"/>
  <c r="H14" i="539"/>
  <c r="F14" i="539"/>
  <c r="H22" i="539" l="1"/>
  <c r="H67" i="537"/>
  <c r="I16" i="539" s="1"/>
  <c r="H65" i="536"/>
  <c r="F67" i="537"/>
  <c r="G16" i="539" s="1"/>
  <c r="F65" i="536"/>
  <c r="L77" i="536" s="1"/>
  <c r="L74" i="536" s="1"/>
  <c r="F22" i="539"/>
  <c r="I15" i="539"/>
  <c r="D52" i="571"/>
  <c r="E71" i="554"/>
  <c r="G71" i="554" s="1"/>
  <c r="E63" i="556"/>
  <c r="E65" i="556" s="1"/>
  <c r="G65" i="556" s="1"/>
  <c r="E78" i="538"/>
  <c r="E89" i="538" s="1"/>
  <c r="G89" i="538" s="1"/>
  <c r="G17" i="539"/>
  <c r="F67" i="540"/>
  <c r="H67" i="540"/>
  <c r="G14" i="539"/>
  <c r="G18" i="539"/>
  <c r="I14" i="539"/>
  <c r="I22" i="539" l="1"/>
  <c r="C10" i="571"/>
  <c r="E74" i="554"/>
  <c r="G75" i="554" s="1"/>
  <c r="E77" i="554"/>
  <c r="G78" i="554" s="1"/>
  <c r="E80" i="554"/>
  <c r="G81" i="554" s="1"/>
  <c r="L79" i="537"/>
  <c r="L76" i="537" s="1"/>
  <c r="E76" i="537"/>
  <c r="E81" i="537" s="1"/>
  <c r="G81" i="537" s="1"/>
  <c r="E68" i="556"/>
  <c r="G68" i="556" s="1"/>
  <c r="E64" i="556"/>
  <c r="G64" i="556" s="1"/>
  <c r="E71" i="556"/>
  <c r="G71" i="556" s="1"/>
  <c r="E74" i="556"/>
  <c r="G74" i="556" s="1"/>
  <c r="G63" i="556"/>
  <c r="E80" i="538"/>
  <c r="G80" i="538" s="1"/>
  <c r="G78" i="538"/>
  <c r="E83" i="538"/>
  <c r="G83" i="538" s="1"/>
  <c r="E79" i="538"/>
  <c r="G79" i="538" s="1"/>
  <c r="E86" i="538"/>
  <c r="G86" i="538" s="1"/>
  <c r="E74" i="536"/>
  <c r="G74" i="536" s="1"/>
  <c r="G15" i="539"/>
  <c r="G22" i="539" s="1"/>
  <c r="E19" i="571" l="1"/>
  <c r="E15" i="571"/>
  <c r="E17" i="571"/>
  <c r="E13" i="571"/>
  <c r="E77" i="537"/>
  <c r="G77" i="537" s="1"/>
  <c r="G76" i="537"/>
  <c r="E87" i="537"/>
  <c r="G87" i="537" s="1"/>
  <c r="E84" i="537"/>
  <c r="G84" i="537" s="1"/>
  <c r="E78" i="537"/>
  <c r="G78" i="537" s="1"/>
  <c r="E82" i="536"/>
  <c r="G82" i="536" s="1"/>
  <c r="E85" i="536"/>
  <c r="G85" i="536" s="1"/>
  <c r="E79" i="536"/>
  <c r="G79" i="536" s="1"/>
  <c r="E75" i="536"/>
  <c r="G75" i="536" s="1"/>
  <c r="E76" i="536"/>
  <c r="G76" i="536" s="1"/>
  <c r="C13" i="90" l="1"/>
  <c r="D13" i="90" l="1"/>
  <c r="D12" i="542" s="1"/>
  <c r="C12" i="5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Boor, Ethan</author>
  </authors>
  <commentList>
    <comment ref="B10" authorId="0" shapeId="0" xr:uid="{00000000-0006-0000-5300-000001000000}">
      <text>
        <r>
          <rPr>
            <sz val="9"/>
            <color indexed="81"/>
            <rFont val="Tahoma"/>
            <family val="2"/>
          </rPr>
          <t>ProMax:
This User Value Set was programmatically generated.  GUID={F82CE5A8-EB9D-490F-867D-C9817F40DFBE}</t>
        </r>
      </text>
    </comment>
    <comment ref="B207" authorId="0" shapeId="0" xr:uid="{00000000-0006-0000-5300-000002000000}">
      <text>
        <r>
          <rPr>
            <sz val="9"/>
            <color indexed="81"/>
            <rFont val="Tahoma"/>
            <family val="2"/>
          </rPr>
          <t>ProMax:
This User Value Set was programmatically generated.  GUID={BD484767-6D5E-4291-AC40-63B1179AAE3C}</t>
        </r>
      </text>
    </comment>
    <comment ref="B404" authorId="0" shapeId="0" xr:uid="{00000000-0006-0000-5300-000003000000}">
      <text>
        <r>
          <rPr>
            <sz val="9"/>
            <color indexed="81"/>
            <rFont val="Tahoma"/>
            <family val="2"/>
          </rPr>
          <t>ProMax:
This User Value Set was programmatically generated.  GUID={7D1191AD-F2C5-40D3-ACF6-4BD926C57748}</t>
        </r>
      </text>
    </comment>
    <comment ref="B601" authorId="0" shapeId="0" xr:uid="{00000000-0006-0000-5300-000004000000}">
      <text>
        <r>
          <rPr>
            <sz val="9"/>
            <color indexed="81"/>
            <rFont val="Tahoma"/>
            <family val="2"/>
          </rPr>
          <t>ProMax:
This User Value Set was programmatically generated.  GUID={DA0C1C04-99D5-467D-B7DC-284F34088AB7}</t>
        </r>
      </text>
    </comment>
    <comment ref="B798" authorId="0" shapeId="0" xr:uid="{00000000-0006-0000-5300-000005000000}">
      <text>
        <r>
          <rPr>
            <sz val="9"/>
            <color indexed="81"/>
            <rFont val="Tahoma"/>
            <family val="2"/>
          </rPr>
          <t>ProMax:
This User Value Set was programmatically generated.  GUID={ADCE19B5-388C-490C-A0F0-927EC4A6AF62}</t>
        </r>
      </text>
    </comment>
    <comment ref="B995" authorId="0" shapeId="0" xr:uid="{00000000-0006-0000-5300-000006000000}">
      <text>
        <r>
          <rPr>
            <sz val="9"/>
            <color indexed="81"/>
            <rFont val="Tahoma"/>
            <family val="2"/>
          </rPr>
          <t>ProMax:
This User Value Set was programmatically generated.  GUID={7DD3EEA4-8493-4B38-86C8-067FACA49CCC}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molivier</author>
    <author>jsertich</author>
    <author>Alec Castellano</author>
  </authors>
  <commentList>
    <comment ref="C7" authorId="0" shapeId="0" xr:uid="{00000000-0006-0000-6000-000001000000}">
      <text>
        <r>
          <rPr>
            <sz val="10"/>
            <color indexed="81"/>
            <rFont val="Tahoma"/>
            <family val="2"/>
          </rPr>
          <t xml:space="preserve">Verify if the county is in a nonattainment area or the East Texas Combustion Area for potentially applicable NOx emission limits.
</t>
        </r>
      </text>
    </comment>
    <comment ref="L7" authorId="1" shapeId="0" xr:uid="{00000000-0006-0000-6000-000002000000}">
      <text>
        <r>
          <rPr>
            <sz val="10"/>
            <color indexed="81"/>
            <rFont val="Tahoma"/>
            <family val="2"/>
          </rPr>
          <t>The emission factors for natural gas below will be used for natural gas, field gas, and propane.</t>
        </r>
      </text>
    </comment>
    <comment ref="C11" authorId="0" shapeId="0" xr:uid="{00000000-0006-0000-6000-000003000000}">
      <text>
        <r>
          <rPr>
            <sz val="10"/>
            <color indexed="81"/>
            <rFont val="Tahoma"/>
            <family val="2"/>
          </rPr>
          <t>Enter the installation date or approximate date if the exact date is unknown (MM/DD/YYYY).</t>
        </r>
        <r>
          <rPr>
            <sz val="8"/>
            <color indexed="81"/>
            <rFont val="Tahoma"/>
            <family val="2"/>
          </rPr>
          <t xml:space="preserve">
</t>
        </r>
      </text>
    </comment>
    <comment ref="I13" authorId="1" shapeId="0" xr:uid="{00000000-0006-0000-6000-000004000000}">
      <text>
        <r>
          <rPr>
            <sz val="10"/>
            <color indexed="81"/>
            <rFont val="Tahoma"/>
            <family val="2"/>
          </rPr>
          <t>Verify that the engine meets the most stringent applicable emission limits.</t>
        </r>
      </text>
    </comment>
    <comment ref="K15" authorId="0" shapeId="0" xr:uid="{00000000-0006-0000-6000-000005000000}">
      <text>
        <r>
          <rPr>
            <sz val="10"/>
            <color indexed="81"/>
            <rFont val="Tahoma"/>
            <family val="2"/>
          </rPr>
          <t>If the engine is subject to the standard, verify that the emission rates entered below do not exceed the required limit.</t>
        </r>
      </text>
    </comment>
    <comment ref="K16" authorId="0" shapeId="0" xr:uid="{00000000-0006-0000-6000-000006000000}">
      <text>
        <r>
          <rPr>
            <sz val="10"/>
            <color indexed="81"/>
            <rFont val="Tahoma"/>
            <family val="2"/>
          </rPr>
          <t>If the engine is subject to the standard, verify that the emission rates entered below do not exceed the required limit.</t>
        </r>
      </text>
    </comment>
    <comment ref="I17" authorId="1" shapeId="0" xr:uid="{00000000-0006-0000-6000-000007000000}">
      <text>
        <r>
          <rPr>
            <sz val="10"/>
            <color indexed="81"/>
            <rFont val="Tahoma"/>
            <family val="2"/>
          </rPr>
          <t>If located in a nonattainment county or East Texas Combustion Area, there are potentially applicable Chapter 117 requirements.</t>
        </r>
      </text>
    </comment>
    <comment ref="K17" authorId="0" shapeId="0" xr:uid="{00000000-0006-0000-6000-000008000000}">
      <text>
        <r>
          <rPr>
            <sz val="10"/>
            <color indexed="81"/>
            <rFont val="Tahoma"/>
            <family val="2"/>
          </rPr>
          <t>If the engine is subject to the standard, verify that the emission rates entered below do not exceed the required limit.</t>
        </r>
      </text>
    </comment>
    <comment ref="C20" authorId="2" shapeId="0" xr:uid="{00000000-0006-0000-6000-000009000000}">
      <text>
        <r>
          <rPr>
            <sz val="10"/>
            <color indexed="81"/>
            <rFont val="Tahoma"/>
            <family val="2"/>
          </rPr>
          <t>Depending on the date of manufacture, NSPS and/or MACT standards may apply.</t>
        </r>
      </text>
    </comment>
    <comment ref="B30" authorId="1" shapeId="0" xr:uid="{00000000-0006-0000-6000-00000A000000}">
      <text>
        <r>
          <rPr>
            <sz val="10"/>
            <color indexed="81"/>
            <rFont val="Tahoma"/>
            <family val="2"/>
          </rPr>
          <t>If the engine is fueled by sour gas, you cannot use the AP-42 emission factors to calculate SO2 emissions, you must use this SO2 mass balance equation.
Fill out the SO2 mass balance inputs here and those values will be reflected in the emissions table below.</t>
        </r>
      </text>
    </comment>
    <comment ref="B39" authorId="1" shapeId="0" xr:uid="{00000000-0006-0000-6000-00000B000000}">
      <text>
        <r>
          <rPr>
            <sz val="10"/>
            <color indexed="81"/>
            <rFont val="Tahoma"/>
            <family val="2"/>
          </rPr>
          <t xml:space="preserve">If No, the formaldehyde emissions </t>
        </r>
        <r>
          <rPr>
            <u/>
            <sz val="10"/>
            <color indexed="81"/>
            <rFont val="Tahoma"/>
            <family val="2"/>
          </rPr>
          <t>will</t>
        </r>
        <r>
          <rPr>
            <sz val="10"/>
            <color indexed="81"/>
            <rFont val="Tahoma"/>
            <family val="2"/>
          </rPr>
          <t xml:space="preserve"> be added into the VOC emissions.
If Yes, the formaldehyde emissions </t>
        </r>
        <r>
          <rPr>
            <u/>
            <sz val="10"/>
            <color indexed="81"/>
            <rFont val="Tahoma"/>
            <family val="2"/>
          </rPr>
          <t>will not</t>
        </r>
        <r>
          <rPr>
            <sz val="10"/>
            <color indexed="81"/>
            <rFont val="Tahoma"/>
            <family val="2"/>
          </rPr>
          <t xml:space="preserve"> be added into the VOC emissions.
If this question is left blank, the formaldehyde emissions </t>
        </r>
        <r>
          <rPr>
            <u/>
            <sz val="10"/>
            <color indexed="81"/>
            <rFont val="Tahoma"/>
            <family val="2"/>
          </rPr>
          <t>will</t>
        </r>
        <r>
          <rPr>
            <sz val="10"/>
            <color indexed="81"/>
            <rFont val="Tahoma"/>
            <family val="2"/>
          </rPr>
          <t xml:space="preserve"> be added into the VOC emissions.
</t>
        </r>
      </text>
    </comment>
    <comment ref="L43" authorId="0" shapeId="0" xr:uid="{00000000-0006-0000-6000-00000C000000}">
      <text>
        <r>
          <rPr>
            <sz val="10"/>
            <color indexed="81"/>
            <rFont val="Tahoma"/>
            <family val="2"/>
          </rPr>
          <t>Leave blank if the controlled emission factor is given in g/hp-hr.</t>
        </r>
      </text>
    </comment>
    <comment ref="M43" authorId="0" shapeId="0" xr:uid="{00000000-0006-0000-6000-00000D000000}">
      <text>
        <r>
          <rPr>
            <sz val="10"/>
            <color indexed="81"/>
            <rFont val="Tahoma"/>
            <family val="2"/>
          </rPr>
          <t>Leave blank if the control efficiency is given as a percent.</t>
        </r>
      </text>
    </comment>
    <comment ref="C44" authorId="0" shapeId="0" xr:uid="{00000000-0006-0000-6000-00000E000000}">
      <text>
        <r>
          <rPr>
            <sz val="10"/>
            <color indexed="81"/>
            <rFont val="Tahoma"/>
            <family val="2"/>
          </rPr>
          <t xml:space="preserve">If subject to NSPS Subpart JJJJ, verify that the emission rate does not exceed the standard.
</t>
        </r>
      </text>
    </comment>
    <comment ref="C45" authorId="0" shapeId="0" xr:uid="{00000000-0006-0000-6000-00000F000000}">
      <text>
        <r>
          <rPr>
            <sz val="10"/>
            <color indexed="81"/>
            <rFont val="Tahoma"/>
            <family val="2"/>
          </rPr>
          <t xml:space="preserve">If located in a nonattainment county, East Texas Combustion Area, or subject to NSPS Subpart JJJJ, verify that the engine meets the most stringent applicable limit.
</t>
        </r>
      </text>
    </comment>
    <comment ref="C46" authorId="0" shapeId="0" xr:uid="{00000000-0006-0000-6000-000010000000}">
      <text>
        <r>
          <rPr>
            <sz val="10"/>
            <color indexed="81"/>
            <rFont val="Tahoma"/>
            <family val="2"/>
          </rPr>
          <t>If subject to NSPS Subpart JJJJ, verify that the engine does not exceed the standard.</t>
        </r>
      </text>
    </comment>
    <comment ref="D47" authorId="1" shapeId="0" xr:uid="{00000000-0006-0000-6000-000011000000}">
      <text>
        <r>
          <rPr>
            <sz val="10"/>
            <color indexed="81"/>
            <rFont val="Tahoma"/>
            <family val="2"/>
          </rPr>
          <t>Sum of PM10 (filterable) + PM Condensable</t>
        </r>
      </text>
    </comment>
    <comment ref="E47" authorId="1" shapeId="0" xr:uid="{00000000-0006-0000-6000-000012000000}">
      <text>
        <r>
          <rPr>
            <sz val="10"/>
            <color indexed="81"/>
            <rFont val="Tahoma"/>
            <family val="2"/>
          </rPr>
          <t>Sum of PM10 (filterable) + PM Condensable</t>
        </r>
      </text>
    </comment>
    <comment ref="F47" authorId="1" shapeId="0" xr:uid="{00000000-0006-0000-6000-000013000000}">
      <text>
        <r>
          <rPr>
            <sz val="10"/>
            <color indexed="81"/>
            <rFont val="Tahoma"/>
            <family val="2"/>
          </rPr>
          <t>Sum of PM10 (filterable) + PM Condensable</t>
        </r>
      </text>
    </comment>
    <comment ref="D48" authorId="1" shapeId="0" xr:uid="{00000000-0006-0000-6000-000014000000}">
      <text>
        <r>
          <rPr>
            <sz val="10"/>
            <color indexed="81"/>
            <rFont val="Tahoma"/>
            <family val="2"/>
          </rPr>
          <t>Sum of PM2.5 (filterable) + PM Condensable</t>
        </r>
      </text>
    </comment>
    <comment ref="E48" authorId="1" shapeId="0" xr:uid="{00000000-0006-0000-6000-000015000000}">
      <text>
        <r>
          <rPr>
            <sz val="10"/>
            <color indexed="81"/>
            <rFont val="Tahoma"/>
            <family val="2"/>
          </rPr>
          <t>Sum of PM2.5 (filterable) + PM Condensable</t>
        </r>
      </text>
    </comment>
    <comment ref="F48" authorId="1" shapeId="0" xr:uid="{00000000-0006-0000-6000-000016000000}">
      <text>
        <r>
          <rPr>
            <sz val="10"/>
            <color indexed="81"/>
            <rFont val="Tahoma"/>
            <family val="2"/>
          </rPr>
          <t>Sum of PM2.5 (filterable) + PM Condensable</t>
        </r>
      </text>
    </comment>
    <comment ref="C49" authorId="2" shapeId="0" xr:uid="{00000000-0006-0000-6000-000017000000}">
      <text>
        <r>
          <rPr>
            <sz val="10"/>
            <color indexed="81"/>
            <rFont val="Tahoma"/>
            <family val="2"/>
          </rPr>
          <t>If the engine is fueled by sour gas, you cannot use the AP-42 emission factors to calculate SO2 emissions, you must use the SO2 mass balance equation above.
Fill out the SO2 mass balance inputs above and those values will be reflected in this table.</t>
        </r>
      </text>
    </comment>
    <comment ref="C65" authorId="0" shapeId="0" xr:uid="{00000000-0006-0000-6000-000018000000}">
      <text>
        <r>
          <rPr>
            <sz val="10"/>
            <color indexed="81"/>
            <rFont val="Tahoma"/>
            <family val="2"/>
          </rPr>
          <t xml:space="preserve">Verify if the county is in a nonattainment area or the East Texas Combustion Area for potentially applicable NOx emission limits.
</t>
        </r>
      </text>
    </comment>
    <comment ref="L65" authorId="1" shapeId="0" xr:uid="{00000000-0006-0000-6000-000019000000}">
      <text>
        <r>
          <rPr>
            <sz val="10"/>
            <color indexed="81"/>
            <rFont val="Tahoma"/>
            <family val="2"/>
          </rPr>
          <t>The emission factors for natural gas below will be used for natural gas, field gas, and propane.</t>
        </r>
      </text>
    </comment>
    <comment ref="C69" authorId="0" shapeId="0" xr:uid="{00000000-0006-0000-6000-00001A000000}">
      <text>
        <r>
          <rPr>
            <sz val="10"/>
            <color indexed="81"/>
            <rFont val="Tahoma"/>
            <family val="2"/>
          </rPr>
          <t>Enter the installation date or approximate date if the exact date is unknown (MM/DD/YYYY).</t>
        </r>
        <r>
          <rPr>
            <sz val="8"/>
            <color indexed="81"/>
            <rFont val="Tahoma"/>
            <family val="2"/>
          </rPr>
          <t xml:space="preserve">
</t>
        </r>
      </text>
    </comment>
    <comment ref="I71" authorId="1" shapeId="0" xr:uid="{00000000-0006-0000-6000-00001B000000}">
      <text>
        <r>
          <rPr>
            <sz val="10"/>
            <color indexed="81"/>
            <rFont val="Tahoma"/>
            <family val="2"/>
          </rPr>
          <t>Verify that the engine meets the most stringent applicable emission limits.</t>
        </r>
      </text>
    </comment>
    <comment ref="K73" authorId="0" shapeId="0" xr:uid="{00000000-0006-0000-6000-00001C000000}">
      <text>
        <r>
          <rPr>
            <sz val="10"/>
            <color indexed="81"/>
            <rFont val="Tahoma"/>
            <family val="2"/>
          </rPr>
          <t>If the engine is subject to the standard, verify that the emission rates entered below do not exceed the required limit.</t>
        </r>
      </text>
    </comment>
    <comment ref="K74" authorId="0" shapeId="0" xr:uid="{00000000-0006-0000-6000-00001D000000}">
      <text>
        <r>
          <rPr>
            <sz val="10"/>
            <color indexed="81"/>
            <rFont val="Tahoma"/>
            <family val="2"/>
          </rPr>
          <t>If the engine is subject to the standard, verify that the emission rates entered below do not exceed the required limit.</t>
        </r>
      </text>
    </comment>
    <comment ref="I75" authorId="1" shapeId="0" xr:uid="{00000000-0006-0000-6000-00001E000000}">
      <text>
        <r>
          <rPr>
            <sz val="10"/>
            <color indexed="81"/>
            <rFont val="Tahoma"/>
            <family val="2"/>
          </rPr>
          <t>If located in a nonattainment county or East Texas Combustion Area, there are potentially applicable Chapter 117 requirements.</t>
        </r>
      </text>
    </comment>
    <comment ref="K75" authorId="0" shapeId="0" xr:uid="{00000000-0006-0000-6000-00001F000000}">
      <text>
        <r>
          <rPr>
            <sz val="10"/>
            <color indexed="81"/>
            <rFont val="Tahoma"/>
            <family val="2"/>
          </rPr>
          <t>If the engine is subject to the standard, verify that the emission rates entered below do not exceed the required limit.</t>
        </r>
      </text>
    </comment>
    <comment ref="C78" authorId="2" shapeId="0" xr:uid="{00000000-0006-0000-6000-000020000000}">
      <text>
        <r>
          <rPr>
            <sz val="10"/>
            <color indexed="81"/>
            <rFont val="Tahoma"/>
            <family val="2"/>
          </rPr>
          <t>Depending on the date of manufacture, NSPS and/or MACT standards may apply.</t>
        </r>
      </text>
    </comment>
    <comment ref="B88" authorId="1" shapeId="0" xr:uid="{00000000-0006-0000-6000-000021000000}">
      <text>
        <r>
          <rPr>
            <sz val="10"/>
            <color indexed="81"/>
            <rFont val="Tahoma"/>
            <family val="2"/>
          </rPr>
          <t>If the engine is fueled by sour gas, you cannot use the AP-42 emission factors to calculate SO2 emissions, you must use this SO2 mass balance equation.
Fill out the SO2 mass balance inputs here and those values will be reflected in the emissions table below.</t>
        </r>
      </text>
    </comment>
    <comment ref="B97" authorId="1" shapeId="0" xr:uid="{00000000-0006-0000-6000-000022000000}">
      <text>
        <r>
          <rPr>
            <sz val="10"/>
            <color indexed="81"/>
            <rFont val="Tahoma"/>
            <family val="2"/>
          </rPr>
          <t xml:space="preserve">If No, the formaldehyde emissions </t>
        </r>
        <r>
          <rPr>
            <u/>
            <sz val="10"/>
            <color indexed="81"/>
            <rFont val="Tahoma"/>
            <family val="2"/>
          </rPr>
          <t>will</t>
        </r>
        <r>
          <rPr>
            <sz val="10"/>
            <color indexed="81"/>
            <rFont val="Tahoma"/>
            <family val="2"/>
          </rPr>
          <t xml:space="preserve"> be added into the VOC emissions.
If Yes, the formaldehyde emissions </t>
        </r>
        <r>
          <rPr>
            <u/>
            <sz val="10"/>
            <color indexed="81"/>
            <rFont val="Tahoma"/>
            <family val="2"/>
          </rPr>
          <t>will not</t>
        </r>
        <r>
          <rPr>
            <sz val="10"/>
            <color indexed="81"/>
            <rFont val="Tahoma"/>
            <family val="2"/>
          </rPr>
          <t xml:space="preserve"> be added into the VOC emissions.
If this question is left blank, the formaldehyde emissions </t>
        </r>
        <r>
          <rPr>
            <u/>
            <sz val="10"/>
            <color indexed="81"/>
            <rFont val="Tahoma"/>
            <family val="2"/>
          </rPr>
          <t>will</t>
        </r>
        <r>
          <rPr>
            <sz val="10"/>
            <color indexed="81"/>
            <rFont val="Tahoma"/>
            <family val="2"/>
          </rPr>
          <t xml:space="preserve"> be added into the VOC emissions.
</t>
        </r>
      </text>
    </comment>
    <comment ref="L101" authorId="0" shapeId="0" xr:uid="{00000000-0006-0000-6000-000023000000}">
      <text>
        <r>
          <rPr>
            <sz val="10"/>
            <color indexed="81"/>
            <rFont val="Tahoma"/>
            <family val="2"/>
          </rPr>
          <t>Leave blank if the controlled emission factor is given in g/hp-hr.</t>
        </r>
      </text>
    </comment>
    <comment ref="M101" authorId="0" shapeId="0" xr:uid="{00000000-0006-0000-6000-000024000000}">
      <text>
        <r>
          <rPr>
            <sz val="10"/>
            <color indexed="81"/>
            <rFont val="Tahoma"/>
            <family val="2"/>
          </rPr>
          <t>Leave blank if the control efficiency is given as a percent.</t>
        </r>
      </text>
    </comment>
    <comment ref="C102" authorId="0" shapeId="0" xr:uid="{00000000-0006-0000-6000-000025000000}">
      <text>
        <r>
          <rPr>
            <sz val="10"/>
            <color indexed="81"/>
            <rFont val="Tahoma"/>
            <family val="2"/>
          </rPr>
          <t xml:space="preserve">If subject to NSPS Subpart JJJJ, verify that the emission rate does not exceed the standard.
</t>
        </r>
      </text>
    </comment>
    <comment ref="C103" authorId="0" shapeId="0" xr:uid="{00000000-0006-0000-6000-000026000000}">
      <text>
        <r>
          <rPr>
            <sz val="10"/>
            <color indexed="81"/>
            <rFont val="Tahoma"/>
            <family val="2"/>
          </rPr>
          <t xml:space="preserve">If located in a nonattainment county, East Texas Combustion Area, or subject to NSPS Subpart JJJJ, verify that the engine meets the most stringent applicable limit.
</t>
        </r>
      </text>
    </comment>
    <comment ref="C104" authorId="0" shapeId="0" xr:uid="{00000000-0006-0000-6000-000027000000}">
      <text>
        <r>
          <rPr>
            <sz val="10"/>
            <color indexed="81"/>
            <rFont val="Tahoma"/>
            <family val="2"/>
          </rPr>
          <t>If subject to NSPS Subpart JJJJ, verify that the engine does not exceed the standard.</t>
        </r>
      </text>
    </comment>
    <comment ref="D105" authorId="1" shapeId="0" xr:uid="{00000000-0006-0000-6000-000028000000}">
      <text>
        <r>
          <rPr>
            <sz val="10"/>
            <color indexed="81"/>
            <rFont val="Tahoma"/>
            <family val="2"/>
          </rPr>
          <t>Sum of PM10 (filterable) + PM Condensable</t>
        </r>
      </text>
    </comment>
    <comment ref="E105" authorId="1" shapeId="0" xr:uid="{00000000-0006-0000-6000-000029000000}">
      <text>
        <r>
          <rPr>
            <sz val="10"/>
            <color indexed="81"/>
            <rFont val="Tahoma"/>
            <family val="2"/>
          </rPr>
          <t>Sum of PM10 (filterable) + PM Condensable</t>
        </r>
      </text>
    </comment>
    <comment ref="F105" authorId="1" shapeId="0" xr:uid="{00000000-0006-0000-6000-00002A000000}">
      <text>
        <r>
          <rPr>
            <sz val="10"/>
            <color indexed="81"/>
            <rFont val="Tahoma"/>
            <family val="2"/>
          </rPr>
          <t>Sum of PM10 (filterable) + PM Condensable</t>
        </r>
      </text>
    </comment>
    <comment ref="D106" authorId="1" shapeId="0" xr:uid="{00000000-0006-0000-6000-00002B000000}">
      <text>
        <r>
          <rPr>
            <sz val="10"/>
            <color indexed="81"/>
            <rFont val="Tahoma"/>
            <family val="2"/>
          </rPr>
          <t>Sum of PM2.5 (filterable) + PM Condensable</t>
        </r>
      </text>
    </comment>
    <comment ref="E106" authorId="1" shapeId="0" xr:uid="{00000000-0006-0000-6000-00002C000000}">
      <text>
        <r>
          <rPr>
            <sz val="10"/>
            <color indexed="81"/>
            <rFont val="Tahoma"/>
            <family val="2"/>
          </rPr>
          <t>Sum of PM2.5 (filterable) + PM Condensable</t>
        </r>
      </text>
    </comment>
    <comment ref="F106" authorId="1" shapeId="0" xr:uid="{00000000-0006-0000-6000-00002D000000}">
      <text>
        <r>
          <rPr>
            <sz val="10"/>
            <color indexed="81"/>
            <rFont val="Tahoma"/>
            <family val="2"/>
          </rPr>
          <t>Sum of PM2.5 (filterable) + PM Condensable</t>
        </r>
      </text>
    </comment>
    <comment ref="C107" authorId="2" shapeId="0" xr:uid="{00000000-0006-0000-6000-00002E000000}">
      <text>
        <r>
          <rPr>
            <sz val="10"/>
            <color indexed="81"/>
            <rFont val="Tahoma"/>
            <family val="2"/>
          </rPr>
          <t>If the engine is fueled by sour gas, you cannot use the AP-42 emission factors to calculate SO2 emissions, you must use the SO2 mass balance equation above.
Fill out the SO2 mass balance inputs above and those values will be reflected in this table.</t>
        </r>
      </text>
    </comment>
    <comment ref="C122" authorId="0" shapeId="0" xr:uid="{00000000-0006-0000-6000-00002F000000}">
      <text>
        <r>
          <rPr>
            <sz val="10"/>
            <color indexed="81"/>
            <rFont val="Tahoma"/>
            <family val="2"/>
          </rPr>
          <t xml:space="preserve">Verify if the county is in a nonattainment area or the East Texas Combustion Area for potentially applicable NOx emission limits.
</t>
        </r>
      </text>
    </comment>
    <comment ref="L122" authorId="1" shapeId="0" xr:uid="{00000000-0006-0000-6000-000030000000}">
      <text>
        <r>
          <rPr>
            <sz val="10"/>
            <color indexed="81"/>
            <rFont val="Tahoma"/>
            <family val="2"/>
          </rPr>
          <t>The emission factors for natural gas below will be used for natural gas, field gas, and propane.</t>
        </r>
      </text>
    </comment>
    <comment ref="C126" authorId="0" shapeId="0" xr:uid="{00000000-0006-0000-6000-000031000000}">
      <text>
        <r>
          <rPr>
            <sz val="10"/>
            <color indexed="81"/>
            <rFont val="Tahoma"/>
            <family val="2"/>
          </rPr>
          <t>Enter the installation date or approximate date if the exact date is unknown (MM/DD/YYYY).</t>
        </r>
        <r>
          <rPr>
            <sz val="8"/>
            <color indexed="81"/>
            <rFont val="Tahoma"/>
            <family val="2"/>
          </rPr>
          <t xml:space="preserve">
</t>
        </r>
      </text>
    </comment>
    <comment ref="I128" authorId="1" shapeId="0" xr:uid="{00000000-0006-0000-6000-000032000000}">
      <text>
        <r>
          <rPr>
            <sz val="10"/>
            <color indexed="81"/>
            <rFont val="Tahoma"/>
            <family val="2"/>
          </rPr>
          <t>Verify that the engine meets the most stringent applicable emission limits.</t>
        </r>
      </text>
    </comment>
    <comment ref="K130" authorId="0" shapeId="0" xr:uid="{00000000-0006-0000-6000-000033000000}">
      <text>
        <r>
          <rPr>
            <sz val="10"/>
            <color indexed="81"/>
            <rFont val="Tahoma"/>
            <family val="2"/>
          </rPr>
          <t>If the engine is subject to the standard, verify that the emission rates entered below do not exceed the required limit.</t>
        </r>
      </text>
    </comment>
    <comment ref="K131" authorId="0" shapeId="0" xr:uid="{00000000-0006-0000-6000-000034000000}">
      <text>
        <r>
          <rPr>
            <sz val="10"/>
            <color indexed="81"/>
            <rFont val="Tahoma"/>
            <family val="2"/>
          </rPr>
          <t>If the engine is subject to the standard, verify that the emission rates entered below do not exceed the required limit.</t>
        </r>
      </text>
    </comment>
    <comment ref="I132" authorId="1" shapeId="0" xr:uid="{00000000-0006-0000-6000-000035000000}">
      <text>
        <r>
          <rPr>
            <sz val="10"/>
            <color indexed="81"/>
            <rFont val="Tahoma"/>
            <family val="2"/>
          </rPr>
          <t>If located in a nonattainment county or East Texas Combustion Area, there are potentially applicable Chapter 117 requirements.</t>
        </r>
      </text>
    </comment>
    <comment ref="K132" authorId="0" shapeId="0" xr:uid="{00000000-0006-0000-6000-000036000000}">
      <text>
        <r>
          <rPr>
            <sz val="10"/>
            <color indexed="81"/>
            <rFont val="Tahoma"/>
            <family val="2"/>
          </rPr>
          <t>If the engine is subject to the standard, verify that the emission rates entered below do not exceed the required limit.</t>
        </r>
      </text>
    </comment>
    <comment ref="C135" authorId="2" shapeId="0" xr:uid="{00000000-0006-0000-6000-000037000000}">
      <text>
        <r>
          <rPr>
            <sz val="10"/>
            <color indexed="81"/>
            <rFont val="Tahoma"/>
            <family val="2"/>
          </rPr>
          <t>Depending on the date of manufacture, NSPS and/or MACT standards may apply.</t>
        </r>
      </text>
    </comment>
    <comment ref="B145" authorId="1" shapeId="0" xr:uid="{00000000-0006-0000-6000-000038000000}">
      <text>
        <r>
          <rPr>
            <sz val="10"/>
            <color indexed="81"/>
            <rFont val="Tahoma"/>
            <family val="2"/>
          </rPr>
          <t>If the engine is fueled by sour gas, you cannot use the AP-42 emission factors to calculate SO2 emissions, you must use this SO2 mass balance equation.
Fill out the SO2 mass balance inputs here and those values will be reflected in the emissions table below.</t>
        </r>
      </text>
    </comment>
    <comment ref="B154" authorId="1" shapeId="0" xr:uid="{00000000-0006-0000-6000-000039000000}">
      <text>
        <r>
          <rPr>
            <sz val="10"/>
            <color indexed="81"/>
            <rFont val="Tahoma"/>
            <family val="2"/>
          </rPr>
          <t xml:space="preserve">If No, the formaldehyde emissions </t>
        </r>
        <r>
          <rPr>
            <u/>
            <sz val="10"/>
            <color indexed="81"/>
            <rFont val="Tahoma"/>
            <family val="2"/>
          </rPr>
          <t>will</t>
        </r>
        <r>
          <rPr>
            <sz val="10"/>
            <color indexed="81"/>
            <rFont val="Tahoma"/>
            <family val="2"/>
          </rPr>
          <t xml:space="preserve"> be added into the VOC emissions.
If Yes, the formaldehyde emissions </t>
        </r>
        <r>
          <rPr>
            <u/>
            <sz val="10"/>
            <color indexed="81"/>
            <rFont val="Tahoma"/>
            <family val="2"/>
          </rPr>
          <t>will not</t>
        </r>
        <r>
          <rPr>
            <sz val="10"/>
            <color indexed="81"/>
            <rFont val="Tahoma"/>
            <family val="2"/>
          </rPr>
          <t xml:space="preserve"> be added into the VOC emissions.
If this question is left blank, the formaldehyde emissions </t>
        </r>
        <r>
          <rPr>
            <u/>
            <sz val="10"/>
            <color indexed="81"/>
            <rFont val="Tahoma"/>
            <family val="2"/>
          </rPr>
          <t>will</t>
        </r>
        <r>
          <rPr>
            <sz val="10"/>
            <color indexed="81"/>
            <rFont val="Tahoma"/>
            <family val="2"/>
          </rPr>
          <t xml:space="preserve"> be added into the VOC emissions.
</t>
        </r>
      </text>
    </comment>
    <comment ref="L158" authorId="0" shapeId="0" xr:uid="{00000000-0006-0000-6000-00003A000000}">
      <text>
        <r>
          <rPr>
            <sz val="10"/>
            <color indexed="81"/>
            <rFont val="Tahoma"/>
            <family val="2"/>
          </rPr>
          <t>Leave blank if the controlled emission factor is given in g/hp-hr.</t>
        </r>
      </text>
    </comment>
    <comment ref="M158" authorId="0" shapeId="0" xr:uid="{00000000-0006-0000-6000-00003B000000}">
      <text>
        <r>
          <rPr>
            <sz val="10"/>
            <color indexed="81"/>
            <rFont val="Tahoma"/>
            <family val="2"/>
          </rPr>
          <t>Leave blank if the control efficiency is given as a percent.</t>
        </r>
      </text>
    </comment>
    <comment ref="C159" authorId="0" shapeId="0" xr:uid="{00000000-0006-0000-6000-00003C000000}">
      <text>
        <r>
          <rPr>
            <sz val="10"/>
            <color indexed="81"/>
            <rFont val="Tahoma"/>
            <family val="2"/>
          </rPr>
          <t xml:space="preserve">If subject to NSPS Subpart JJJJ, verify that the emission rate does not exceed the standard.
</t>
        </r>
      </text>
    </comment>
    <comment ref="C160" authorId="0" shapeId="0" xr:uid="{00000000-0006-0000-6000-00003D000000}">
      <text>
        <r>
          <rPr>
            <sz val="10"/>
            <color indexed="81"/>
            <rFont val="Tahoma"/>
            <family val="2"/>
          </rPr>
          <t xml:space="preserve">If located in a nonattainment county, East Texas Combustion Area, or subject to NSPS Subpart JJJJ, verify that the engine meets the most stringent applicable limit.
</t>
        </r>
      </text>
    </comment>
    <comment ref="C161" authorId="0" shapeId="0" xr:uid="{00000000-0006-0000-6000-00003E000000}">
      <text>
        <r>
          <rPr>
            <sz val="10"/>
            <color indexed="81"/>
            <rFont val="Tahoma"/>
            <family val="2"/>
          </rPr>
          <t>If subject to NSPS Subpart JJJJ, verify that the engine does not exceed the standard.</t>
        </r>
      </text>
    </comment>
    <comment ref="D162" authorId="1" shapeId="0" xr:uid="{00000000-0006-0000-6000-00003F000000}">
      <text>
        <r>
          <rPr>
            <sz val="10"/>
            <color indexed="81"/>
            <rFont val="Tahoma"/>
            <family val="2"/>
          </rPr>
          <t>Sum of PM10 (filterable) + PM Condensable</t>
        </r>
      </text>
    </comment>
    <comment ref="E162" authorId="1" shapeId="0" xr:uid="{00000000-0006-0000-6000-000040000000}">
      <text>
        <r>
          <rPr>
            <sz val="10"/>
            <color indexed="81"/>
            <rFont val="Tahoma"/>
            <family val="2"/>
          </rPr>
          <t>Sum of PM10 (filterable) + PM Condensable</t>
        </r>
      </text>
    </comment>
    <comment ref="F162" authorId="1" shapeId="0" xr:uid="{00000000-0006-0000-6000-000041000000}">
      <text>
        <r>
          <rPr>
            <sz val="10"/>
            <color indexed="81"/>
            <rFont val="Tahoma"/>
            <family val="2"/>
          </rPr>
          <t>Sum of PM10 (filterable) + PM Condensable</t>
        </r>
      </text>
    </comment>
    <comment ref="D163" authorId="1" shapeId="0" xr:uid="{00000000-0006-0000-6000-000042000000}">
      <text>
        <r>
          <rPr>
            <sz val="10"/>
            <color indexed="81"/>
            <rFont val="Tahoma"/>
            <family val="2"/>
          </rPr>
          <t>Sum of PM2.5 (filterable) + PM Condensable</t>
        </r>
      </text>
    </comment>
    <comment ref="E163" authorId="1" shapeId="0" xr:uid="{00000000-0006-0000-6000-000043000000}">
      <text>
        <r>
          <rPr>
            <sz val="10"/>
            <color indexed="81"/>
            <rFont val="Tahoma"/>
            <family val="2"/>
          </rPr>
          <t>Sum of PM2.5 (filterable) + PM Condensable</t>
        </r>
      </text>
    </comment>
    <comment ref="F163" authorId="1" shapeId="0" xr:uid="{00000000-0006-0000-6000-000044000000}">
      <text>
        <r>
          <rPr>
            <sz val="10"/>
            <color indexed="81"/>
            <rFont val="Tahoma"/>
            <family val="2"/>
          </rPr>
          <t>Sum of PM2.5 (filterable) + PM Condensable</t>
        </r>
      </text>
    </comment>
    <comment ref="C164" authorId="2" shapeId="0" xr:uid="{00000000-0006-0000-6000-000045000000}">
      <text>
        <r>
          <rPr>
            <sz val="10"/>
            <color indexed="81"/>
            <rFont val="Tahoma"/>
            <family val="2"/>
          </rPr>
          <t>If the engine is fueled by sour gas, you cannot use the AP-42 emission factors to calculate SO2 emissions, you must use the SO2 mass balance equation above.
Fill out the SO2 mass balance inputs above and those values will be reflected in this table.</t>
        </r>
      </text>
    </comment>
    <comment ref="C179" authorId="0" shapeId="0" xr:uid="{00000000-0006-0000-6000-000046000000}">
      <text>
        <r>
          <rPr>
            <sz val="10"/>
            <color indexed="81"/>
            <rFont val="Tahoma"/>
            <family val="2"/>
          </rPr>
          <t xml:space="preserve">Verify if the county is in a nonattainment area or the East Texas Combustion Area for potentially applicable NOx emission limits.
</t>
        </r>
      </text>
    </comment>
    <comment ref="L179" authorId="1" shapeId="0" xr:uid="{00000000-0006-0000-6000-000047000000}">
      <text>
        <r>
          <rPr>
            <sz val="10"/>
            <color indexed="81"/>
            <rFont val="Tahoma"/>
            <family val="2"/>
          </rPr>
          <t>The emission factors for natural gas below will be used for natural gas, field gas, and propane.</t>
        </r>
      </text>
    </comment>
    <comment ref="C183" authorId="0" shapeId="0" xr:uid="{00000000-0006-0000-6000-000048000000}">
      <text>
        <r>
          <rPr>
            <sz val="10"/>
            <color indexed="81"/>
            <rFont val="Tahoma"/>
            <family val="2"/>
          </rPr>
          <t>Enter the installation date or approximate date if the exact date is unknown (MM/DD/YYYY).</t>
        </r>
        <r>
          <rPr>
            <sz val="8"/>
            <color indexed="81"/>
            <rFont val="Tahoma"/>
            <family val="2"/>
          </rPr>
          <t xml:space="preserve">
</t>
        </r>
      </text>
    </comment>
    <comment ref="I185" authorId="1" shapeId="0" xr:uid="{00000000-0006-0000-6000-000049000000}">
      <text>
        <r>
          <rPr>
            <sz val="10"/>
            <color indexed="81"/>
            <rFont val="Tahoma"/>
            <family val="2"/>
          </rPr>
          <t>Verify that the engine meets the most stringent applicable emission limits.</t>
        </r>
      </text>
    </comment>
    <comment ref="K187" authorId="0" shapeId="0" xr:uid="{00000000-0006-0000-6000-00004A000000}">
      <text>
        <r>
          <rPr>
            <sz val="10"/>
            <color indexed="81"/>
            <rFont val="Tahoma"/>
            <family val="2"/>
          </rPr>
          <t>If the engine is subject to the standard, verify that the emission rates entered below do not exceed the required limit.</t>
        </r>
      </text>
    </comment>
    <comment ref="K188" authorId="0" shapeId="0" xr:uid="{00000000-0006-0000-6000-00004B000000}">
      <text>
        <r>
          <rPr>
            <sz val="10"/>
            <color indexed="81"/>
            <rFont val="Tahoma"/>
            <family val="2"/>
          </rPr>
          <t>If the engine is subject to the standard, verify that the emission rates entered below do not exceed the required limit.</t>
        </r>
      </text>
    </comment>
    <comment ref="I189" authorId="1" shapeId="0" xr:uid="{00000000-0006-0000-6000-00004C000000}">
      <text>
        <r>
          <rPr>
            <sz val="10"/>
            <color indexed="81"/>
            <rFont val="Tahoma"/>
            <family val="2"/>
          </rPr>
          <t>If located in a nonattainment county or East Texas Combustion Area, there are potentially applicable Chapter 117 requirements.</t>
        </r>
      </text>
    </comment>
    <comment ref="K189" authorId="0" shapeId="0" xr:uid="{00000000-0006-0000-6000-00004D000000}">
      <text>
        <r>
          <rPr>
            <sz val="10"/>
            <color indexed="81"/>
            <rFont val="Tahoma"/>
            <family val="2"/>
          </rPr>
          <t>If the engine is subject to the standard, verify that the emission rates entered below do not exceed the required limit.</t>
        </r>
      </text>
    </comment>
    <comment ref="C192" authorId="2" shapeId="0" xr:uid="{00000000-0006-0000-6000-00004E000000}">
      <text>
        <r>
          <rPr>
            <sz val="10"/>
            <color indexed="81"/>
            <rFont val="Tahoma"/>
            <family val="2"/>
          </rPr>
          <t>Depending on the date of manufacture, NSPS and/or MACT standards may apply.</t>
        </r>
      </text>
    </comment>
    <comment ref="B202" authorId="1" shapeId="0" xr:uid="{00000000-0006-0000-6000-00004F000000}">
      <text>
        <r>
          <rPr>
            <sz val="10"/>
            <color indexed="81"/>
            <rFont val="Tahoma"/>
            <family val="2"/>
          </rPr>
          <t>If the engine is fueled by sour gas, you cannot use the AP-42 emission factors to calculate SO2 emissions, you must use this SO2 mass balance equation.
Fill out the SO2 mass balance inputs here and those values will be reflected in the emissions table below.</t>
        </r>
      </text>
    </comment>
    <comment ref="B211" authorId="1" shapeId="0" xr:uid="{00000000-0006-0000-6000-000050000000}">
      <text>
        <r>
          <rPr>
            <sz val="10"/>
            <color indexed="81"/>
            <rFont val="Tahoma"/>
            <family val="2"/>
          </rPr>
          <t xml:space="preserve">If No, the formaldehyde emissions </t>
        </r>
        <r>
          <rPr>
            <u/>
            <sz val="10"/>
            <color indexed="81"/>
            <rFont val="Tahoma"/>
            <family val="2"/>
          </rPr>
          <t>will</t>
        </r>
        <r>
          <rPr>
            <sz val="10"/>
            <color indexed="81"/>
            <rFont val="Tahoma"/>
            <family val="2"/>
          </rPr>
          <t xml:space="preserve"> be added into the VOC emissions.
If Yes, the formaldehyde emissions </t>
        </r>
        <r>
          <rPr>
            <u/>
            <sz val="10"/>
            <color indexed="81"/>
            <rFont val="Tahoma"/>
            <family val="2"/>
          </rPr>
          <t>will not</t>
        </r>
        <r>
          <rPr>
            <sz val="10"/>
            <color indexed="81"/>
            <rFont val="Tahoma"/>
            <family val="2"/>
          </rPr>
          <t xml:space="preserve"> be added into the VOC emissions.
If this question is left blank, the formaldehyde emissions </t>
        </r>
        <r>
          <rPr>
            <u/>
            <sz val="10"/>
            <color indexed="81"/>
            <rFont val="Tahoma"/>
            <family val="2"/>
          </rPr>
          <t>will</t>
        </r>
        <r>
          <rPr>
            <sz val="10"/>
            <color indexed="81"/>
            <rFont val="Tahoma"/>
            <family val="2"/>
          </rPr>
          <t xml:space="preserve"> be added into the VOC emissions.
</t>
        </r>
      </text>
    </comment>
    <comment ref="L215" authorId="0" shapeId="0" xr:uid="{00000000-0006-0000-6000-000051000000}">
      <text>
        <r>
          <rPr>
            <sz val="10"/>
            <color indexed="81"/>
            <rFont val="Tahoma"/>
            <family val="2"/>
          </rPr>
          <t>Leave blank if the controlled emission factor is given in g/hp-hr.</t>
        </r>
      </text>
    </comment>
    <comment ref="M215" authorId="0" shapeId="0" xr:uid="{00000000-0006-0000-6000-000052000000}">
      <text>
        <r>
          <rPr>
            <sz val="10"/>
            <color indexed="81"/>
            <rFont val="Tahoma"/>
            <family val="2"/>
          </rPr>
          <t>Leave blank if the control efficiency is given as a percent.</t>
        </r>
      </text>
    </comment>
    <comment ref="C216" authorId="0" shapeId="0" xr:uid="{00000000-0006-0000-6000-000053000000}">
      <text>
        <r>
          <rPr>
            <sz val="10"/>
            <color indexed="81"/>
            <rFont val="Tahoma"/>
            <family val="2"/>
          </rPr>
          <t xml:space="preserve">If subject to NSPS Subpart JJJJ, verify that the emission rate does not exceed the standard.
</t>
        </r>
      </text>
    </comment>
    <comment ref="C217" authorId="0" shapeId="0" xr:uid="{00000000-0006-0000-6000-000054000000}">
      <text>
        <r>
          <rPr>
            <sz val="10"/>
            <color indexed="81"/>
            <rFont val="Tahoma"/>
            <family val="2"/>
          </rPr>
          <t xml:space="preserve">If located in a nonattainment county, East Texas Combustion Area, or subject to NSPS Subpart JJJJ, verify that the engine meets the most stringent applicable limit.
</t>
        </r>
      </text>
    </comment>
    <comment ref="C218" authorId="0" shapeId="0" xr:uid="{00000000-0006-0000-6000-000055000000}">
      <text>
        <r>
          <rPr>
            <sz val="10"/>
            <color indexed="81"/>
            <rFont val="Tahoma"/>
            <family val="2"/>
          </rPr>
          <t>If subject to NSPS Subpart JJJJ, verify that the engine does not exceed the standard.</t>
        </r>
      </text>
    </comment>
    <comment ref="D219" authorId="1" shapeId="0" xr:uid="{00000000-0006-0000-6000-000056000000}">
      <text>
        <r>
          <rPr>
            <sz val="10"/>
            <color indexed="81"/>
            <rFont val="Tahoma"/>
            <family val="2"/>
          </rPr>
          <t>Sum of PM10 (filterable) + PM Condensable</t>
        </r>
      </text>
    </comment>
    <comment ref="E219" authorId="1" shapeId="0" xr:uid="{00000000-0006-0000-6000-000057000000}">
      <text>
        <r>
          <rPr>
            <sz val="10"/>
            <color indexed="81"/>
            <rFont val="Tahoma"/>
            <family val="2"/>
          </rPr>
          <t>Sum of PM10 (filterable) + PM Condensable</t>
        </r>
      </text>
    </comment>
    <comment ref="F219" authorId="1" shapeId="0" xr:uid="{00000000-0006-0000-6000-000058000000}">
      <text>
        <r>
          <rPr>
            <sz val="10"/>
            <color indexed="81"/>
            <rFont val="Tahoma"/>
            <family val="2"/>
          </rPr>
          <t>Sum of PM10 (filterable) + PM Condensable</t>
        </r>
      </text>
    </comment>
    <comment ref="D220" authorId="1" shapeId="0" xr:uid="{00000000-0006-0000-6000-000059000000}">
      <text>
        <r>
          <rPr>
            <sz val="10"/>
            <color indexed="81"/>
            <rFont val="Tahoma"/>
            <family val="2"/>
          </rPr>
          <t>Sum of PM2.5 (filterable) + PM Condensable</t>
        </r>
      </text>
    </comment>
    <comment ref="E220" authorId="1" shapeId="0" xr:uid="{00000000-0006-0000-6000-00005A000000}">
      <text>
        <r>
          <rPr>
            <sz val="10"/>
            <color indexed="81"/>
            <rFont val="Tahoma"/>
            <family val="2"/>
          </rPr>
          <t>Sum of PM2.5 (filterable) + PM Condensable</t>
        </r>
      </text>
    </comment>
    <comment ref="F220" authorId="1" shapeId="0" xr:uid="{00000000-0006-0000-6000-00005B000000}">
      <text>
        <r>
          <rPr>
            <sz val="10"/>
            <color indexed="81"/>
            <rFont val="Tahoma"/>
            <family val="2"/>
          </rPr>
          <t>Sum of PM2.5 (filterable) + PM Condensable</t>
        </r>
      </text>
    </comment>
    <comment ref="C221" authorId="2" shapeId="0" xr:uid="{00000000-0006-0000-6000-00005C000000}">
      <text>
        <r>
          <rPr>
            <sz val="10"/>
            <color indexed="81"/>
            <rFont val="Tahoma"/>
            <family val="2"/>
          </rPr>
          <t>If the engine is fueled by sour gas, you cannot use the AP-42 emission factors to calculate SO2 emissions, you must use the SO2 mass balance equation above.
Fill out the SO2 mass balance inputs above and those values will be reflected in this table.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SBhaskar</author>
    <author>jsertich</author>
  </authors>
  <commentList>
    <comment ref="A3" authorId="0" shapeId="0" xr:uid="{00000000-0006-0000-6200-000001000000}">
      <text>
        <r>
          <rPr>
            <sz val="9"/>
            <color indexed="81"/>
            <rFont val="Tahoma"/>
            <family val="2"/>
          </rPr>
          <t xml:space="preserve">Overview: 
1. Floating roof tanks storing liquids may have their roof landed to perform maintenance. For floating roof tank landing planned MSS emissions, standing and refilling losses can be calculated using </t>
        </r>
        <r>
          <rPr>
            <b/>
            <sz val="9"/>
            <color indexed="81"/>
            <rFont val="Tahoma"/>
            <family val="2"/>
          </rPr>
          <t>(I) "MSS_FLR_Tank_Landing_Loss"</t>
        </r>
        <r>
          <rPr>
            <sz val="9"/>
            <color indexed="81"/>
            <rFont val="Tahoma"/>
            <family val="2"/>
          </rPr>
          <t xml:space="preserve"> sheet tab. 
2. For both fixed and floating roof tank degassing emissions, use either (II) "MSS_Tank_Non_Forced_Vent" sheet tab or (III) "MSS_Tank_Forced_Vent_Degas" sheet tab, depending on the type of ventilation. 
 </t>
        </r>
        <r>
          <rPr>
            <b/>
            <sz val="9"/>
            <color indexed="81"/>
            <rFont val="Tahoma"/>
            <family val="2"/>
          </rPr>
          <t xml:space="preserve">I. MSS_FLR_Tank_Landing_Loss </t>
        </r>
        <r>
          <rPr>
            <sz val="9"/>
            <color indexed="81"/>
            <rFont val="Tahoma"/>
            <family val="2"/>
          </rPr>
          <t xml:space="preserve">
II. MSS_Tank_Non_Forced_Vent
III. MSS_Tank_Forced_Vent_Degas
</t>
        </r>
        <r>
          <rPr>
            <b/>
            <sz val="9"/>
            <color indexed="81"/>
            <rFont val="Tahoma"/>
            <family val="2"/>
          </rPr>
          <t xml:space="preserve">I. MSS_FLR_Tank_Landing_Loss: </t>
        </r>
        <r>
          <rPr>
            <sz val="9"/>
            <color indexed="81"/>
            <rFont val="Tahoma"/>
            <family val="2"/>
          </rPr>
          <t xml:space="preserve">This section calculates standing idle and refilling emissions from landing of the floating roof tank.                                                                                                                                        
1. Standing Idle emissions while the roof remains landed:                                                                                                                                                                                                                  a. volatile material, capable of generating vapors, remains in the tank (as a full or partial liquid heel, or as clingage on the tank bottom),
b. the height of the vapor space is reasonably constant (change is limited to stripping of the heel, or pump in of diluent) during the period in question, and
c. During a standing idle period, vapors are generated inside the tank by evaporation at the surface of the remaining volatile material.                                                                                                                                                                                                                                   2. Refilling losses when the tank is refilled. The incoming stock liquid generates vapors, which are then displaced from the tank as the stock liquid level rises.
Note:   This section only calcualtes the standing and refilling losses from floating roof tank landings. For fixed roof tanks, standing idle emissions are estimated as normal standing storage (breathing) losses, as specified in API 19.1. Similarly, refilling emissions for fixed roof tanks are accounted for in the estimate of normal working losses that result from fixed roof tank throughput, as specified in API 19.1. In that these filling losses are not included in the estimation of tank cleaning emissions for fixed roof tanks.     
</t>
        </r>
      </text>
    </comment>
    <comment ref="A6" authorId="1" shapeId="0" xr:uid="{00000000-0006-0000-6200-000002000000}">
      <text>
        <r>
          <rPr>
            <sz val="10"/>
            <color indexed="81"/>
            <rFont val="Arial"/>
            <family val="2"/>
          </rPr>
          <t>If emissions from this source are controlled by a flare, vapor combustor, thermal oxidizer, or vapor recovery unit (VRU), then the control efficiency will not be applied on this tab; it will be applied on the appropriate control device tab.  You will need to take the uncontrolled emissions and input them into the appropriate control device emission calculation tab.
If emissions from this source are controlled by another type of control device, then the control efficiency will be applied on this tab.</t>
        </r>
      </text>
    </comment>
    <comment ref="A9" authorId="1" shapeId="0" xr:uid="{00000000-0006-0000-6200-000003000000}">
      <text>
        <r>
          <rPr>
            <sz val="10"/>
            <color indexed="81"/>
            <rFont val="Tahoma"/>
            <family val="2"/>
          </rPr>
          <t xml:space="preserve">The question is:
"Are tank vapors (A) uncontrolled; (B) controlled by a flare, vapor combustor, thermal oxidizer, or vapor recovery unit (VRU); or (C) controlled by another type of control device?"
You have to answer this question in order for the right values to get pulled into the Emissions Summary tab in the right places.
</t>
        </r>
      </text>
    </comment>
    <comment ref="A10" authorId="1" shapeId="0" xr:uid="{00000000-0006-0000-6200-000004000000}">
      <text>
        <r>
          <rPr>
            <b/>
            <sz val="10"/>
            <color indexed="81"/>
            <rFont val="Tahoma"/>
            <family val="2"/>
          </rPr>
          <t>VOC emissions need to be designated as Crude Oil or Condensate VOC or Natural Gas VOC (or as Other if the emissions are neither of those two options), except as stated below***.</t>
        </r>
        <r>
          <rPr>
            <sz val="10"/>
            <color indexed="81"/>
            <rFont val="Tahoma"/>
            <family val="2"/>
          </rPr>
          <t xml:space="preserve">
This is necessary because there are different level limits (or caps) which cannot be exceeded for the two specific VOC types, Crude Oil or Condensate VOC and Natural Gas VOC.  
Examples of Crude Oil or Condensate VOC emissions are VOC emissions from an oil tank, oil tank loading, or liquid service fugitives.  
Examples of Natural Gas VOC emissions are VOC emissions from the blowdown of a natural gas pipe or vessel, or gas service fugitives.  
***VOC emissions which result from the combustion of fuel </t>
        </r>
        <r>
          <rPr>
            <u/>
            <sz val="10"/>
            <color indexed="81"/>
            <rFont val="Tahoma"/>
            <family val="2"/>
          </rPr>
          <t>do not</t>
        </r>
        <r>
          <rPr>
            <sz val="10"/>
            <color indexed="81"/>
            <rFont val="Tahoma"/>
            <family val="2"/>
          </rPr>
          <t xml:space="preserve"> need to be classified into a VOC type.  This means that VOC emissions from an engine, turbine, heater, reboiler, etc. only need to be counted in the Total VOC emissions; they do not need to be counted as Natural Gas VOC emissions.
Since the limits are lower for Crude Oil or Condensate VOC, you may choose to represent all VOCs as Crude Oil or Condensate VOCs, if the limits can be met.  This would be a choice that should be explained on the emissions summary table.
</t>
        </r>
        <r>
          <rPr>
            <b/>
            <sz val="10"/>
            <color indexed="81"/>
            <rFont val="Tahoma"/>
            <family val="2"/>
          </rPr>
          <t xml:space="preserve">
All emissions from each emission point need to be designated as Steady State (continuous), Low Pressure Periodic, or High Pressure Periodic.</t>
        </r>
        <r>
          <rPr>
            <sz val="10"/>
            <color indexed="81"/>
            <rFont val="Tahoma"/>
            <family val="2"/>
          </rPr>
          <t xml:space="preserve">
This is necessary because there are different level limits (or caps) which cannot be exceeded for the three emission types; also, the impacts review may need to be done on the basis of each emission type.  
These emission types are described in detail on the Emissions Summary tab. 
You may choose to represent all hourly emissions as steady state if the level limits can be met.  This would be a choice that should be explained on the emissions summary table.  You may also perform the impacts review (which may or may not be required) assuming all emissions occur on a steady state, continuous basis if the impacts review can be passed assuming this.</t>
        </r>
      </text>
    </comment>
    <comment ref="B23" authorId="0" shapeId="0" xr:uid="{00000000-0006-0000-6200-000005000000}">
      <text>
        <r>
          <rPr>
            <sz val="9"/>
            <color indexed="81"/>
            <rFont val="Tahoma"/>
            <family val="2"/>
          </rPr>
          <t>IFR (Internal Floating Roof) 
EFR (External Floating Roof)
If left blank, IFR will be assumed for the calculation.
Use the box provided below for entering any notes necessary.</t>
        </r>
      </text>
    </comment>
    <comment ref="B24" authorId="0" shapeId="0" xr:uid="{00000000-0006-0000-6200-000006000000}">
      <text>
        <r>
          <rPr>
            <sz val="9"/>
            <color indexed="81"/>
            <rFont val="Tahoma"/>
            <family val="2"/>
          </rPr>
          <t>Check table below from AP-42, Table 7.1-6.
If left blank, 0.97 value will be assumed in the calciulation.
Use the box provided below for entering any notes necessary.</t>
        </r>
      </text>
    </comment>
    <comment ref="B25" authorId="0" shapeId="0" xr:uid="{00000000-0006-0000-6200-000007000000}">
      <text>
        <r>
          <rPr>
            <sz val="9"/>
            <color indexed="81"/>
            <rFont val="Tahoma"/>
            <family val="2"/>
          </rPr>
          <t>If left blank, full liquid heel type will be assumed.
Saturation factor (S) based on Heel type:
For Full liquid heel use S factor of 0.6
For Partial liquid heel use S factor of 0.5
For Drain dry, use S factor of 0.15.
If left blank, full liquid heel saturation factor of 0.6 will be assumed for the calculation.</t>
        </r>
      </text>
    </comment>
    <comment ref="B26" authorId="0" shapeId="0" xr:uid="{00000000-0006-0000-6200-000008000000}">
      <text>
        <r>
          <rPr>
            <sz val="9"/>
            <color indexed="81"/>
            <rFont val="Tahoma"/>
            <family val="2"/>
          </rPr>
          <t>Check table below from AP-42, Table 7.1.7 for I (Btu/ft</t>
        </r>
        <r>
          <rPr>
            <vertAlign val="superscript"/>
            <sz val="9"/>
            <color indexed="81"/>
            <rFont val="Tahoma"/>
            <family val="2"/>
          </rPr>
          <t>2</t>
        </r>
        <r>
          <rPr>
            <sz val="9"/>
            <color indexed="81"/>
            <rFont val="Tahoma"/>
            <family val="2"/>
          </rPr>
          <t>-d) values.
If left blank, an I value of 2562 (Btu/ft</t>
        </r>
        <r>
          <rPr>
            <vertAlign val="superscript"/>
            <sz val="9"/>
            <color indexed="81"/>
            <rFont val="Tahoma"/>
            <family val="2"/>
          </rPr>
          <t>2</t>
        </r>
        <r>
          <rPr>
            <sz val="9"/>
            <color indexed="81"/>
            <rFont val="Tahoma"/>
            <family val="2"/>
          </rPr>
          <t xml:space="preserve">-d) will be assumed in the calculation
</t>
        </r>
      </text>
    </comment>
    <comment ref="B28" authorId="0" shapeId="0" xr:uid="{00000000-0006-0000-6200-000009000000}">
      <text>
        <r>
          <rPr>
            <sz val="9"/>
            <color indexed="81"/>
            <rFont val="Tahoma"/>
            <family val="2"/>
          </rPr>
          <t>Check table below from AP-42,  (Table 3/ Table 7.1-2) to calculate the true vapor pressure</t>
        </r>
        <r>
          <rPr>
            <b/>
            <sz val="9"/>
            <color indexed="81"/>
            <rFont val="Tahoma"/>
            <family val="2"/>
          </rPr>
          <t xml:space="preserve"> </t>
        </r>
        <r>
          <rPr>
            <sz val="9"/>
            <color indexed="81"/>
            <rFont val="Tahoma"/>
            <family val="2"/>
          </rPr>
          <t xml:space="preserve">
</t>
        </r>
        <r>
          <rPr>
            <b/>
            <sz val="9"/>
            <color indexed="81"/>
            <rFont val="Tahoma"/>
            <family val="2"/>
          </rPr>
          <t xml:space="preserve">
Note:</t>
        </r>
        <r>
          <rPr>
            <sz val="9"/>
            <color indexed="81"/>
            <rFont val="Tahoma"/>
            <family val="2"/>
          </rPr>
          <t xml:space="preserve"> An error message will be displayed in cell C29 if:
1. Max. True vapor pressure &lt; Avarage vapor pressure.
2. If either of the maximum or avarage true vapor pressure is left blank.</t>
        </r>
      </text>
    </comment>
    <comment ref="C28" authorId="0" shapeId="0" xr:uid="{00000000-0006-0000-6200-00000A000000}">
      <text>
        <r>
          <rPr>
            <b/>
            <sz val="9"/>
            <color indexed="81"/>
            <rFont val="Tahoma"/>
            <family val="2"/>
          </rPr>
          <t>Note</t>
        </r>
        <r>
          <rPr>
            <sz val="9"/>
            <color indexed="81"/>
            <rFont val="Tahoma"/>
            <family val="2"/>
          </rPr>
          <t>: An error message will be displayed in this cell  if:
1. Max. True vapor pressure &lt; Avarage vapor pressure.
2. If either of the maximum or avarage true vapor pressure is left blank.</t>
        </r>
      </text>
    </comment>
    <comment ref="E28" authorId="0" shapeId="0" xr:uid="{00000000-0006-0000-6200-00000B000000}">
      <text>
        <r>
          <rPr>
            <sz val="9"/>
            <color indexed="81"/>
            <rFont val="Tahoma"/>
            <family val="2"/>
          </rPr>
          <t>Check table below from AP-42, (Table 3/ Table 7.1-2) to calculate the true vapor pressure.
Note: An error message will be displayed in cell C29 if:
1. Max. True vapor pressure &lt; Avarage vapor pressure.
2. If either of the maximum or avarage true vapor pressure is left blank.</t>
        </r>
      </text>
    </comment>
    <comment ref="B32" authorId="0" shapeId="0" xr:uid="{00000000-0006-0000-6200-00000C000000}">
      <text>
        <r>
          <rPr>
            <sz val="9"/>
            <color indexed="81"/>
            <rFont val="Tahoma"/>
            <family val="2"/>
          </rPr>
          <t>Note: An error message will be displayed in cell C33 if:
1. Max. temperature &lt; Avarage temperature.
2. If either of the maximum or avarage temperature is left blank.</t>
        </r>
      </text>
    </comment>
    <comment ref="C32" authorId="0" shapeId="0" xr:uid="{00000000-0006-0000-6200-00000D000000}">
      <text>
        <r>
          <rPr>
            <sz val="9"/>
            <color indexed="81"/>
            <rFont val="Tahoma"/>
            <family val="2"/>
          </rPr>
          <t>Note: An error message will be displayed in this cell  if:
1. Max. temperature &lt; Avarage temperature.
2. If either of the maximum or avarage temperature is left blank.</t>
        </r>
      </text>
    </comment>
    <comment ref="E32" authorId="0" shapeId="0" xr:uid="{00000000-0006-0000-6200-00000E000000}">
      <text>
        <r>
          <rPr>
            <sz val="9"/>
            <color indexed="81"/>
            <rFont val="Tahoma"/>
            <family val="2"/>
          </rPr>
          <t xml:space="preserve">Note: An error message will be displayed in cell C33 if:
1. Max. temperature &lt; Avarage temperature.
2. If either of the maximum or avarage temperature is left blank.
</t>
        </r>
      </text>
    </comment>
    <comment ref="B33" authorId="0" shapeId="0" xr:uid="{00000000-0006-0000-6200-00000F000000}">
      <text>
        <r>
          <rPr>
            <sz val="9"/>
            <color indexed="81"/>
            <rFont val="Tahoma"/>
            <family val="2"/>
          </rPr>
          <t>This is required to calculate daily temp. range (°R) ∆Tv</t>
        </r>
      </text>
    </comment>
    <comment ref="E33" authorId="0" shapeId="0" xr:uid="{00000000-0006-0000-6200-000010000000}">
      <text>
        <r>
          <rPr>
            <sz val="9"/>
            <color indexed="81"/>
            <rFont val="Tahoma"/>
            <family val="2"/>
          </rPr>
          <t>This is required to calculate avg. temperature range (°R) ∆Tv</t>
        </r>
      </text>
    </comment>
    <comment ref="B34" authorId="0" shapeId="0" xr:uid="{00000000-0006-0000-6200-000011000000}">
      <text>
        <r>
          <rPr>
            <sz val="9"/>
            <color indexed="81"/>
            <rFont val="Tahoma"/>
            <family val="2"/>
          </rPr>
          <t>Check table below from AP-42, (Table 7.1-2) to interpolate or calculate the Antoine's equation constant (B)</t>
        </r>
        <r>
          <rPr>
            <b/>
            <sz val="9"/>
            <color indexed="81"/>
            <rFont val="Tahoma"/>
            <family val="2"/>
          </rPr>
          <t xml:space="preserve">
</t>
        </r>
      </text>
    </comment>
    <comment ref="D34" authorId="0" shapeId="0" xr:uid="{00000000-0006-0000-6200-000012000000}">
      <text>
        <r>
          <rPr>
            <sz val="9"/>
            <color indexed="81"/>
            <rFont val="Tahoma"/>
            <family val="2"/>
          </rPr>
          <t xml:space="preserve">Check table below from AP-42, (Table 7.1-2) to interpolate or calculate the Antoine's equation constant (B)
</t>
        </r>
      </text>
    </comment>
    <comment ref="E34" authorId="0" shapeId="0" xr:uid="{00000000-0006-0000-6200-000013000000}">
      <text>
        <r>
          <rPr>
            <sz val="9"/>
            <color indexed="81"/>
            <rFont val="Tahoma"/>
            <family val="2"/>
          </rPr>
          <t xml:space="preserve">Check table below from AP-42, (Table 7.1-2) to interpolate or calculate the Antoine's equation constant (B)
</t>
        </r>
      </text>
    </comment>
    <comment ref="B42" authorId="0" shapeId="0" xr:uid="{00000000-0006-0000-6200-000014000000}">
      <text>
        <r>
          <rPr>
            <sz val="9"/>
            <color indexed="81"/>
            <rFont val="Tahoma"/>
            <family val="2"/>
          </rPr>
          <t xml:space="preserve">For Full liquid heel use S factor of 0.6
For Partial liquid heel use S factor of 0.5
For Drain dry, use S factor of 0.15.
If left blank, full liquid heel saturation factor of 0.6 will be assumed for the calculation.
</t>
        </r>
      </text>
    </comment>
    <comment ref="B44" authorId="0" shapeId="0" xr:uid="{00000000-0006-0000-6200-000015000000}">
      <text>
        <r>
          <rPr>
            <sz val="9"/>
            <color indexed="81"/>
            <rFont val="Tahoma"/>
            <family val="2"/>
          </rPr>
          <t>IFR (Internal Floating Roof) 
EFR (External Floating Roof)</t>
        </r>
      </text>
    </comment>
    <comment ref="B84" authorId="0" shapeId="0" xr:uid="{00000000-0006-0000-6200-000016000000}">
      <text>
        <r>
          <rPr>
            <sz val="9"/>
            <color indexed="81"/>
            <rFont val="Tahoma"/>
            <family val="2"/>
          </rPr>
          <t xml:space="preserve">Refer to "Site Wide Gas &amp; Liquid Analyses" tab to get the VOC Wt%. 
If no VOC weight percent is entered due to the tank vapor composition being unknown, it will automatically assume 100% VOC.  
If other percent is entered, please justify why it is appropriate and representative of the tank vapor composition.  
Use the box provided below for entering any notes necessary.
</t>
        </r>
      </text>
    </comment>
    <comment ref="B85" authorId="0" shapeId="0" xr:uid="{00000000-0006-0000-6200-000017000000}">
      <text>
        <r>
          <rPr>
            <sz val="9"/>
            <color indexed="81"/>
            <rFont val="Tahoma"/>
            <family val="2"/>
          </rPr>
          <t>Refer to "Site Wide Gas &amp; Liquid Analyses" tab to get the H</t>
        </r>
        <r>
          <rPr>
            <vertAlign val="subscript"/>
            <sz val="9"/>
            <color indexed="81"/>
            <rFont val="Tahoma"/>
            <family val="2"/>
          </rPr>
          <t>2</t>
        </r>
        <r>
          <rPr>
            <sz val="9"/>
            <color indexed="81"/>
            <rFont val="Tahoma"/>
            <family val="2"/>
          </rPr>
          <t xml:space="preserve">S Wt%. 
If no H2S weight percent is entered due to the tank vapor composition being unknown, it will automatically assume 0.001% H2S.  
If other percent is entered, please justify why it is appropriate and representative of the tank vapor composition.  
Use the box provided below for entering any notes necessary.
</t>
        </r>
      </text>
    </comment>
    <comment ref="B86" authorId="0" shapeId="0" xr:uid="{00000000-0006-0000-6200-000018000000}">
      <text>
        <r>
          <rPr>
            <sz val="9"/>
            <color indexed="81"/>
            <rFont val="Tahoma"/>
            <family val="2"/>
          </rPr>
          <t>Refer to "Site Wide Gas &amp; Liquid Analyses" tab to get the HAP Wt%.</t>
        </r>
      </text>
    </comment>
    <comment ref="A89" authorId="0" shapeId="0" xr:uid="{00000000-0006-0000-6200-000019000000}">
      <text>
        <r>
          <rPr>
            <sz val="9"/>
            <color indexed="81"/>
            <rFont val="Tahoma"/>
            <family val="2"/>
          </rPr>
          <t xml:space="preserve">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
</t>
        </r>
      </text>
    </comment>
    <comment ref="B89" authorId="0" shapeId="0" xr:uid="{00000000-0006-0000-6200-00001A000000}">
      <text>
        <r>
          <rPr>
            <sz val="9"/>
            <color indexed="81"/>
            <rFont val="Tahoma"/>
            <family val="2"/>
          </rPr>
          <t>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t>
        </r>
        <r>
          <rPr>
            <b/>
            <sz val="9"/>
            <color indexed="81"/>
            <rFont val="Tahoma"/>
            <family val="2"/>
          </rPr>
          <t xml:space="preserve">
</t>
        </r>
        <r>
          <rPr>
            <sz val="9"/>
            <color indexed="81"/>
            <rFont val="Tahoma"/>
            <family val="2"/>
          </rPr>
          <t xml:space="preserve">
</t>
        </r>
      </text>
    </comment>
    <comment ref="B90" authorId="0" shapeId="0" xr:uid="{00000000-0006-0000-6200-00001B000000}">
      <text>
        <r>
          <rPr>
            <sz val="9"/>
            <color indexed="81"/>
            <rFont val="Tahoma"/>
            <family val="2"/>
          </rPr>
          <t xml:space="preserve">If left blank, all emissions will be assumed uncontrolled.
</t>
        </r>
      </text>
    </comment>
    <comment ref="B91" authorId="0" shapeId="0" xr:uid="{00000000-0006-0000-6200-00001C000000}">
      <text>
        <r>
          <rPr>
            <sz val="9"/>
            <color indexed="81"/>
            <rFont val="Tahoma"/>
            <family val="2"/>
          </rPr>
          <t>If left blank, all emissions will be assumed uncontrolled.</t>
        </r>
      </text>
    </comment>
    <comment ref="A109" authorId="0" shapeId="0" xr:uid="{00000000-0006-0000-6200-00001D000000}">
      <text>
        <r>
          <rPr>
            <sz val="9"/>
            <color indexed="81"/>
            <rFont val="Tahoma"/>
            <family val="2"/>
          </rPr>
          <t xml:space="preserve">You need to take these results and input them into the appropriate control device emission calculation tab, where the control efficiency will be applied, so that the controlled emissions will be reported on the Emissions Summary tab as being emitted from the control device.
"Planned MSS Emissions" (shown in the box right) will be reported on the the Emissions Summary tab as being emitted from this source.
</t>
        </r>
      </text>
    </comment>
    <comment ref="A118" authorId="0" shapeId="0" xr:uid="{00000000-0006-0000-6200-00001E000000}">
      <text>
        <r>
          <rPr>
            <sz val="9"/>
            <color indexed="81"/>
            <rFont val="Tahoma"/>
            <family val="2"/>
          </rPr>
          <t xml:space="preserve">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SBhaskar</author>
    <author>jsertich</author>
  </authors>
  <commentList>
    <comment ref="A5" authorId="0" shapeId="0" xr:uid="{00000000-0006-0000-6300-000001000000}">
      <text>
        <r>
          <rPr>
            <sz val="9"/>
            <color indexed="81"/>
            <rFont val="Tahoma"/>
            <family val="2"/>
          </rPr>
          <t xml:space="preserve">1. Floating roof tanks storing liquids may have their roof landed to perform maintenance. For floating roof tank landing planned MSS emissions, standing and refilling losses can be calculated using (I) "MSS_FLR_Tank_Landing_Loss" sheet tab. 
2. For both fixed and floating roof tank degassing emissions, use either (II) "MSS_Tank_Non_Forced_Vent" sheet tab or (III) "MSS_Tank_Forced_Vent_Degas" sheet tab, depending on the type of ventilation. 
I. MSS_FLR_Tank_Landing_Loss 
</t>
        </r>
        <r>
          <rPr>
            <b/>
            <sz val="9"/>
            <color indexed="81"/>
            <rFont val="Tahoma"/>
            <family val="2"/>
          </rPr>
          <t>II. MSS_Tank_Non_Forced_Vent</t>
        </r>
        <r>
          <rPr>
            <sz val="9"/>
            <color indexed="81"/>
            <rFont val="Tahoma"/>
            <family val="2"/>
          </rPr>
          <t xml:space="preserve">
III. MSS_Tank_Forced_Vent_Degas
</t>
        </r>
        <r>
          <rPr>
            <b/>
            <sz val="9"/>
            <color indexed="81"/>
            <rFont val="Tahoma"/>
            <family val="2"/>
          </rPr>
          <t>II. MSS_Tank_Non_Forced_Vent:</t>
        </r>
        <r>
          <rPr>
            <sz val="9"/>
            <color indexed="81"/>
            <rFont val="Tahoma"/>
            <family val="2"/>
          </rPr>
          <t xml:space="preserve"> This section calculates planned MSS emissions due to degassing by passive / thermal expansion for both floating roof and fixed roof tanks. 
In the event of no forced ventilation of the vapor space (i.e., no eductors, fans, or blowers are engaged in expelling the air/hydrocarbon mixture (i.e., vapors) from the tank), the tank emissions from opening the emptied tank are calculated using the ideal gas law and are based on the entire tank volume venting to the atmosphere at the opening concentration. During this  period, vapors are generated inside the tank by evaporation at the surface of the remaining volatile material. The diurnal temperature cycle causes expansion and contraction of the vapors in the tank, thereby causing some of these vapors to be expelled from the tank (This factor is incorporated in the calculation using Temperature Expansion (%) factor).
</t>
        </r>
      </text>
    </comment>
    <comment ref="A8" authorId="1" shapeId="0" xr:uid="{00000000-0006-0000-6300-000002000000}">
      <text>
        <r>
          <rPr>
            <sz val="10"/>
            <color indexed="81"/>
            <rFont val="Arial"/>
            <family val="2"/>
          </rPr>
          <t>If emissions from this source are controlled by a flare, vapor combustor, thermal oxidizer, or vapor recovery unit (VRU), then the control efficiency will not be applied on this tab; it will be applied on the appropriate control device tab.  You will need to take the uncontrolled emissions and input them into the appropriate control device emission calculation tab.
If emissions from this source are controlled by another type of control device, then the control efficiency will be applied on this tab.</t>
        </r>
      </text>
    </comment>
    <comment ref="A10" authorId="1" shapeId="0" xr:uid="{00000000-0006-0000-6300-000003000000}">
      <text>
        <r>
          <rPr>
            <sz val="10"/>
            <color indexed="81"/>
            <rFont val="Tahoma"/>
            <family val="2"/>
          </rPr>
          <t xml:space="preserve">The question is:
"Are tank vapors (A) uncontrolled; (B) controlled by a flare, vapor combustor, thermal oxidizer, or vapor recovery unit (VRU); or (C) controlled by another type of control device?"
You have to answer this question in order for the right values to get pulled into the Emissions Summary tab in the right places.
</t>
        </r>
      </text>
    </comment>
    <comment ref="A11" authorId="1" shapeId="0" xr:uid="{00000000-0006-0000-6300-000004000000}">
      <text>
        <r>
          <rPr>
            <b/>
            <sz val="10"/>
            <color indexed="81"/>
            <rFont val="Tahoma"/>
            <family val="2"/>
          </rPr>
          <t>VOC emissions need to be designated as Crude Oil or Condensate VOC or Natural Gas VOC (or as Other if the emissions are neither of those two options), except as stated below***.</t>
        </r>
        <r>
          <rPr>
            <sz val="10"/>
            <color indexed="81"/>
            <rFont val="Tahoma"/>
            <family val="2"/>
          </rPr>
          <t xml:space="preserve">
This is necessary because there are different level limits (or caps) which cannot be exceeded for the two specific VOC types, Crude Oil or Condensate VOC and Natural Gas VOC.  
Examples of Crude Oil or Condensate VOC emissions are VOC emissions from an oil tank, oil tank loading, or liquid service fugitives.  
Examples of Natural Gas VOC emissions are VOC emissions from the blowdown of a natural gas pipe or vessel, or gas service fugitives.  
***VOC emissions which result from the combustion of fuel </t>
        </r>
        <r>
          <rPr>
            <u/>
            <sz val="10"/>
            <color indexed="81"/>
            <rFont val="Tahoma"/>
            <family val="2"/>
          </rPr>
          <t>do not</t>
        </r>
        <r>
          <rPr>
            <sz val="10"/>
            <color indexed="81"/>
            <rFont val="Tahoma"/>
            <family val="2"/>
          </rPr>
          <t xml:space="preserve"> need to be classified into a VOC type.  This means that VOC emissions from an engine, turbine, heater, reboiler, etc. only need to be counted in the Total VOC emissions; they do not need to be counted as Natural Gas VOC emissions.
Since the limits are lower for Crude Oil or Condensate VOC, you may choose to represent all VOCs as Crude Oil or Condensate VOCs, if the limits can be met.  This would be a choice that should be explained on the emissions summary table.
</t>
        </r>
        <r>
          <rPr>
            <b/>
            <sz val="10"/>
            <color indexed="81"/>
            <rFont val="Tahoma"/>
            <family val="2"/>
          </rPr>
          <t xml:space="preserve">
All emissions from each emission point need to be designated as Steady State (continuous), Low Pressure Periodic, or High Pressure Periodic.</t>
        </r>
        <r>
          <rPr>
            <sz val="10"/>
            <color indexed="81"/>
            <rFont val="Tahoma"/>
            <family val="2"/>
          </rPr>
          <t xml:space="preserve">
This is necessary because there are different level limits (or caps) which cannot be exceeded for the three emission types; also, the impacts review may need to be done on the basis of each emission type.  
These emission types are described in detail on the Emissions Summary tab. 
You may choose to represent all hourly emissions as steady state if the level limits can be met.  This would be a choice that should be explained on the emissions summary table.  You may also perform the impacts review (which may or may not be required) assuming all emissions occur on a steady state, continuous basis if the impacts review can be passed assuming this.</t>
        </r>
      </text>
    </comment>
    <comment ref="B28" authorId="0" shapeId="0" xr:uid="{00000000-0006-0000-6300-000005000000}">
      <text>
        <r>
          <rPr>
            <sz val="9"/>
            <color indexed="81"/>
            <rFont val="Tahoma"/>
            <family val="2"/>
          </rPr>
          <t>Saturation factor of 1 is assumed for Non forced ventilation</t>
        </r>
      </text>
    </comment>
    <comment ref="B37" authorId="0" shapeId="0" xr:uid="{00000000-0006-0000-6300-000006000000}">
      <text>
        <r>
          <rPr>
            <sz val="9"/>
            <color indexed="81"/>
            <rFont val="Tahoma"/>
            <family val="2"/>
          </rPr>
          <t>Check table below from AP-42, (Table 3/ Table 7.1-2) to calculate the true vapor pressure. This pressure corresponds to temperature of the liquid at day time.</t>
        </r>
      </text>
    </comment>
    <comment ref="C37" authorId="0" shapeId="0" xr:uid="{00000000-0006-0000-6300-000007000000}">
      <text>
        <r>
          <rPr>
            <sz val="9"/>
            <color indexed="81"/>
            <rFont val="Tahoma"/>
            <family val="2"/>
          </rPr>
          <t>Check table below from AP-42, (Table 3/ Table 7.1-2) to calculate the true vapor pressure.
This pressure corresponds to temperature of the liquid at day time.</t>
        </r>
      </text>
    </comment>
    <comment ref="D37" authorId="0" shapeId="0" xr:uid="{00000000-0006-0000-6300-000008000000}">
      <text>
        <r>
          <rPr>
            <sz val="9"/>
            <color indexed="81"/>
            <rFont val="Tahoma"/>
            <family val="2"/>
          </rPr>
          <t xml:space="preserve">Note: An error message will be displayed in this cell  if:
1. Max. True vapor pressure &lt; Avarage vapor pressure.
2. If either of the maximum or avarage true vapor pressure is left blank.
</t>
        </r>
      </text>
    </comment>
    <comment ref="D38" authorId="0" shapeId="0" xr:uid="{00000000-0006-0000-6300-000009000000}">
      <text>
        <r>
          <rPr>
            <sz val="9"/>
            <color indexed="81"/>
            <rFont val="Tahoma"/>
            <family val="2"/>
          </rPr>
          <t xml:space="preserve">Note: An error message will be displayed in this cell  if:
1. Max. temperature &lt; Avarage temperature.
2. If either of the maximum or avarage temperature is left blank.
</t>
        </r>
      </text>
    </comment>
    <comment ref="B47" authorId="0" shapeId="0" xr:uid="{00000000-0006-0000-6300-00000A000000}">
      <text>
        <r>
          <rPr>
            <sz val="9"/>
            <color indexed="81"/>
            <rFont val="Tahoma"/>
            <family val="2"/>
          </rPr>
          <t xml:space="preserve">Refer to "Site Wide Gas &amp; Liquid Analyses" tab to get the VOC Wt%. 
If no VOC weight percent is entered due to the tank vapor composition being unknown, it will automatically assume 100% VOC.  
If other percent is entered, please justify why it is appropriate and representative of the tank vapor composition.  
Use the box provided below for entering any notes necessary.
</t>
        </r>
      </text>
    </comment>
    <comment ref="B48" authorId="0" shapeId="0" xr:uid="{00000000-0006-0000-6300-00000B000000}">
      <text>
        <r>
          <rPr>
            <sz val="9"/>
            <color indexed="81"/>
            <rFont val="Tahoma"/>
            <family val="2"/>
          </rPr>
          <t>Refer to "Site Wide Gas &amp; Liquid Analyses" tab to get the H</t>
        </r>
        <r>
          <rPr>
            <vertAlign val="subscript"/>
            <sz val="9"/>
            <color indexed="81"/>
            <rFont val="Tahoma"/>
            <family val="2"/>
          </rPr>
          <t>2</t>
        </r>
        <r>
          <rPr>
            <sz val="9"/>
            <color indexed="81"/>
            <rFont val="Tahoma"/>
            <family val="2"/>
          </rPr>
          <t xml:space="preserve">S Wt%. 
If no H2S weight percent is entered due to the tank vapor composition being unknown, it will automatically assume 0.001% H2S.  
If other percent is entered, please justify why it is appropriate and representative of the tank vapor composition.  
Use the box provided below for entering any notes necessary.
</t>
        </r>
      </text>
    </comment>
    <comment ref="B49" authorId="0" shapeId="0" xr:uid="{00000000-0006-0000-6300-00000C000000}">
      <text>
        <r>
          <rPr>
            <sz val="9"/>
            <color indexed="81"/>
            <rFont val="Tahoma"/>
            <family val="2"/>
          </rPr>
          <t xml:space="preserve">Refer to "Site Wide Gas &amp; Liquid Analyses" tab to get the HAP Wt%.
</t>
        </r>
      </text>
    </comment>
    <comment ref="A52" authorId="0" shapeId="0" xr:uid="{00000000-0006-0000-6300-00000D000000}">
      <text>
        <r>
          <rPr>
            <sz val="9"/>
            <color indexed="81"/>
            <rFont val="Tahoma"/>
            <family val="2"/>
          </rPr>
          <t xml:space="preserve">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
</t>
        </r>
      </text>
    </comment>
    <comment ref="B52" authorId="0" shapeId="0" xr:uid="{00000000-0006-0000-6300-00000E000000}">
      <text>
        <r>
          <rPr>
            <sz val="9"/>
            <color indexed="81"/>
            <rFont val="Tahoma"/>
            <family val="2"/>
          </rPr>
          <t>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t>
        </r>
      </text>
    </comment>
    <comment ref="B53" authorId="0" shapeId="0" xr:uid="{00000000-0006-0000-6300-00000F000000}">
      <text>
        <r>
          <rPr>
            <sz val="9"/>
            <color indexed="81"/>
            <rFont val="Tahoma"/>
            <family val="2"/>
          </rPr>
          <t xml:space="preserve">If left blank, all emissions will be assumed uncontrolled.
</t>
        </r>
      </text>
    </comment>
    <comment ref="B54" authorId="0" shapeId="0" xr:uid="{00000000-0006-0000-6300-000010000000}">
      <text>
        <r>
          <rPr>
            <sz val="9"/>
            <color indexed="81"/>
            <rFont val="Tahoma"/>
            <family val="2"/>
          </rPr>
          <t>If left blank, all emissions will be assumed uncontrolled.</t>
        </r>
      </text>
    </comment>
    <comment ref="A68" authorId="0" shapeId="0" xr:uid="{00000000-0006-0000-6300-000011000000}">
      <text>
        <r>
          <rPr>
            <sz val="9"/>
            <color indexed="81"/>
            <rFont val="Tahoma"/>
            <family val="2"/>
          </rPr>
          <t>You need to take these results and input them into the appropriate control device emission calculation tab, where the control efficiency will be applied, so that the controlled emissions will be reported on the Emissions Summary tab as being emitted from the control device.
"Planned MSS Emissions" (shown in the box right) will be reported on the the Emissions Summary tab as being emitted from this source.</t>
        </r>
        <r>
          <rPr>
            <b/>
            <sz val="9"/>
            <color indexed="81"/>
            <rFont val="Tahoma"/>
            <family val="2"/>
          </rPr>
          <t xml:space="preserve">
</t>
        </r>
      </text>
    </comment>
    <comment ref="A77" authorId="0" shapeId="0" xr:uid="{00000000-0006-0000-6300-000012000000}">
      <text>
        <r>
          <rPr>
            <sz val="9"/>
            <color indexed="81"/>
            <rFont val="Tahoma"/>
            <family val="2"/>
          </rPr>
          <t xml:space="preserve">If emissions from this source are:
(A) uncontrolled, then the uncontrolled emissions will be reported on the Emissions Summary tab as being emitted from this source.
(B) controlled by a flare, vapor combustor, thermal oxidizer, or vapor recovery unit (VRU), then you need to take the uncontrolled emissions and input them into the appropriate control device emission calculation tab, where the control efficiency will be applied, so that the controlled emissions will be reported on the Emissions Summary tab as being emitted from the control device.  
(C) controlled by another type of control device, then you need to apply the control efficiency on this tab (since there is not an emission calculation tab for the control device) so that the controlled emissions will be reported on the Emissions Summary tab for this source (even though emissions are actually being emitted at the control device).
</t>
        </r>
      </text>
    </comment>
  </commentList>
</comments>
</file>

<file path=xl/sharedStrings.xml><?xml version="1.0" encoding="utf-8"?>
<sst xmlns="http://schemas.openxmlformats.org/spreadsheetml/2006/main" count="21508" uniqueCount="2057">
  <si>
    <t>CO</t>
  </si>
  <si>
    <t>VOC</t>
  </si>
  <si>
    <t>Component</t>
  </si>
  <si>
    <t>Carbon Dioxide</t>
  </si>
  <si>
    <t>Nitrogen</t>
  </si>
  <si>
    <t>Hydrogen Sulfide</t>
  </si>
  <si>
    <t>Methane</t>
  </si>
  <si>
    <t>Ethane</t>
  </si>
  <si>
    <t>Propane</t>
  </si>
  <si>
    <t>Methylcyclopentane</t>
  </si>
  <si>
    <t>n-Hexane</t>
  </si>
  <si>
    <t>Benzene</t>
  </si>
  <si>
    <t>Cyclohexane</t>
  </si>
  <si>
    <t>n-Heptane</t>
  </si>
  <si>
    <t>Toluene</t>
  </si>
  <si>
    <t>HAPs</t>
  </si>
  <si>
    <t>Ethylbenzene</t>
  </si>
  <si>
    <t>-</t>
  </si>
  <si>
    <t xml:space="preserve"> </t>
  </si>
  <si>
    <t>Total</t>
  </si>
  <si>
    <t>Molecular Weight</t>
  </si>
  <si>
    <t>NOx</t>
  </si>
  <si>
    <t>lb/hr</t>
  </si>
  <si>
    <t>tpy</t>
  </si>
  <si>
    <t>Hours</t>
  </si>
  <si>
    <t>Factors</t>
  </si>
  <si>
    <t>Emissions</t>
  </si>
  <si>
    <t>lb/year</t>
  </si>
  <si>
    <t>tons/year</t>
  </si>
  <si>
    <t>Valves</t>
  </si>
  <si>
    <t>Gas/Vapor</t>
  </si>
  <si>
    <t xml:space="preserve">Light Oil </t>
  </si>
  <si>
    <t>Heavy Oil</t>
  </si>
  <si>
    <t>Water/Light Oil</t>
  </si>
  <si>
    <t>Flanges</t>
  </si>
  <si>
    <t>Open-ended Lines</t>
  </si>
  <si>
    <t>Connectors</t>
  </si>
  <si>
    <t>TPY</t>
  </si>
  <si>
    <t>Estimated Components Count</t>
  </si>
  <si>
    <t xml:space="preserve">Other: </t>
  </si>
  <si>
    <t>Component Type</t>
  </si>
  <si>
    <t>Service</t>
  </si>
  <si>
    <t>Yes</t>
  </si>
  <si>
    <t>No</t>
  </si>
  <si>
    <t>Total Emissions</t>
  </si>
  <si>
    <t>Total HAPs</t>
  </si>
  <si>
    <t>Emission Component</t>
  </si>
  <si>
    <t>H2S</t>
  </si>
  <si>
    <t>2,2,4-Trimethylpentane</t>
  </si>
  <si>
    <t>Mole Fraction</t>
  </si>
  <si>
    <t>Totals</t>
  </si>
  <si>
    <r>
      <t>SO</t>
    </r>
    <r>
      <rPr>
        <b/>
        <vertAlign val="subscript"/>
        <sz val="12"/>
        <rFont val="Book Antiqua"/>
        <family val="1"/>
      </rPr>
      <t>2</t>
    </r>
  </si>
  <si>
    <r>
      <t>PM</t>
    </r>
    <r>
      <rPr>
        <b/>
        <vertAlign val="subscript"/>
        <sz val="12"/>
        <rFont val="Book Antiqua"/>
        <family val="1"/>
      </rPr>
      <t>10 &amp; 2.5</t>
    </r>
  </si>
  <si>
    <t>Unit Description</t>
  </si>
  <si>
    <t>XTO ENERGY INC.</t>
  </si>
  <si>
    <t>Total VOC</t>
  </si>
  <si>
    <t>(lb/hr)</t>
  </si>
  <si>
    <t>MMSCFD</t>
  </si>
  <si>
    <t>Mass Fraction</t>
  </si>
  <si>
    <t>Make</t>
  </si>
  <si>
    <t>Pump Seals</t>
  </si>
  <si>
    <t>lb/hour</t>
  </si>
  <si>
    <t>FUGITIVE EMISSIONS - HAPs</t>
  </si>
  <si>
    <t>FUGITIVE EMISSIONS - VOCs</t>
  </si>
  <si>
    <t>TOTAL FACILITY WIDE EMISSIONS</t>
  </si>
  <si>
    <t>Methylcyclohexane</t>
  </si>
  <si>
    <t>Isobutane</t>
  </si>
  <si>
    <t>n-Butane</t>
  </si>
  <si>
    <t>Isopentane</t>
  </si>
  <si>
    <t>n-Pentane</t>
  </si>
  <si>
    <t>Location</t>
  </si>
  <si>
    <t>Property</t>
  </si>
  <si>
    <t>Units</t>
  </si>
  <si>
    <t>Dallas, TX</t>
  </si>
  <si>
    <t>Paint Color</t>
  </si>
  <si>
    <t>Paint Condition</t>
  </si>
  <si>
    <t>Good</t>
  </si>
  <si>
    <t>Poor</t>
  </si>
  <si>
    <t>Aluminum</t>
  </si>
  <si>
    <t>Diffuse</t>
  </si>
  <si>
    <t>Black</t>
  </si>
  <si>
    <t>Light</t>
  </si>
  <si>
    <t>Medium</t>
  </si>
  <si>
    <t>Green</t>
  </si>
  <si>
    <t>Dark</t>
  </si>
  <si>
    <t>Red</t>
  </si>
  <si>
    <t>Primer</t>
  </si>
  <si>
    <t>Tan</t>
  </si>
  <si>
    <t>Flash Losses</t>
  </si>
  <si>
    <t>FIN</t>
  </si>
  <si>
    <t>Lb/hr</t>
  </si>
  <si>
    <t>EMISSION SOURCE DESCRIPTION</t>
  </si>
  <si>
    <t>Tank Controlled (Yes/No)</t>
  </si>
  <si>
    <t>Control Type</t>
  </si>
  <si>
    <t>TBD</t>
  </si>
  <si>
    <t>Oil</t>
  </si>
  <si>
    <t>Composition</t>
  </si>
  <si>
    <t>Uncontrolled</t>
  </si>
  <si>
    <t>Gas</t>
  </si>
  <si>
    <t>Cyclopentane</t>
  </si>
  <si>
    <t>n-Octane</t>
  </si>
  <si>
    <t>n-Nonane</t>
  </si>
  <si>
    <t>Working &amp; Breathing Losses</t>
  </si>
  <si>
    <r>
      <t xml:space="preserve">VOC
</t>
    </r>
    <r>
      <rPr>
        <b/>
        <sz val="9"/>
        <rFont val="Book Antiqua"/>
        <family val="1"/>
      </rPr>
      <t>(INCLUDES HAPs)</t>
    </r>
  </si>
  <si>
    <t>a</t>
  </si>
  <si>
    <t>b</t>
  </si>
  <si>
    <t>k</t>
  </si>
  <si>
    <t>Vehicle Weight (tons)</t>
  </si>
  <si>
    <t>Emissions (lbs/hr)</t>
  </si>
  <si>
    <t>Emissions (tpy)</t>
  </si>
  <si>
    <t>References:</t>
  </si>
  <si>
    <t>Driving Distance Per Load (ft)</t>
  </si>
  <si>
    <t>Truckloads per year</t>
  </si>
  <si>
    <t>Annual Distance (miles)</t>
  </si>
  <si>
    <t>Emissions (tpy) = Annual Distance * E / 2000</t>
  </si>
  <si>
    <t>ROAD EMISSIONS</t>
  </si>
  <si>
    <t>TOTAL EMISSIONS SUMMARY</t>
  </si>
  <si>
    <t>n-Decane</t>
  </si>
  <si>
    <t xml:space="preserve">Unit and stack numbering must correspond throughout the application package.  Equipment exemptions under 2.72.202 NMAC do not apply to 20.2.73 NMAC.  Identify process equipment that is used to reroute emissions back into the process or sales pipeline in Table 2-A, such as a VRU, VRT, ULPS, Flashing Vessel, or Blowcase. </t>
  </si>
  <si>
    <r>
      <t>Unit Number</t>
    </r>
    <r>
      <rPr>
        <b/>
        <vertAlign val="superscript"/>
        <sz val="8"/>
        <rFont val="Times New Roman"/>
        <family val="1"/>
      </rPr>
      <t>1</t>
    </r>
  </si>
  <si>
    <t>Source Description</t>
  </si>
  <si>
    <t>Model #</t>
  </si>
  <si>
    <t>Serial #</t>
  </si>
  <si>
    <r>
      <t>Manufact-urer's Rated Capacity</t>
    </r>
    <r>
      <rPr>
        <b/>
        <vertAlign val="superscript"/>
        <sz val="8"/>
        <rFont val="Times New Roman"/>
        <family val="1"/>
      </rPr>
      <t>3</t>
    </r>
    <r>
      <rPr>
        <b/>
        <sz val="8"/>
        <rFont val="Times New Roman"/>
        <family val="1"/>
      </rPr>
      <t xml:space="preserve"> (Specify Units)</t>
    </r>
  </si>
  <si>
    <r>
      <t>Requested Permitted Capacity</t>
    </r>
    <r>
      <rPr>
        <b/>
        <vertAlign val="superscript"/>
        <sz val="8"/>
        <rFont val="Times New Roman"/>
        <family val="1"/>
      </rPr>
      <t>3</t>
    </r>
    <r>
      <rPr>
        <b/>
        <sz val="8"/>
        <rFont val="Times New Roman"/>
        <family val="1"/>
      </rPr>
      <t xml:space="preserve"> (Specify Units)</t>
    </r>
  </si>
  <si>
    <r>
      <t>Date of Manufacture</t>
    </r>
    <r>
      <rPr>
        <b/>
        <vertAlign val="superscript"/>
        <sz val="8"/>
        <rFont val="Times New Roman"/>
        <family val="1"/>
      </rPr>
      <t>2</t>
    </r>
  </si>
  <si>
    <t>Controlled by Unit #</t>
  </si>
  <si>
    <t>Source Classi- fication Code (SCC)</t>
  </si>
  <si>
    <t>For Each Piece of Equipment, Check One</t>
  </si>
  <si>
    <r>
      <rPr>
        <b/>
        <sz val="8"/>
        <rFont val="Times New Roman"/>
        <family val="1"/>
      </rPr>
      <t>RICE Ignition Type (CI, SI, 4SLB, 4SRB, 2SLB)</t>
    </r>
    <r>
      <rPr>
        <b/>
        <vertAlign val="superscript"/>
        <sz val="8"/>
        <rFont val="Times New Roman"/>
        <family val="1"/>
      </rPr>
      <t>4</t>
    </r>
  </si>
  <si>
    <t>Replacing Unit No.</t>
  </si>
  <si>
    <r>
      <t>Date of Construction/ Reconstruction</t>
    </r>
    <r>
      <rPr>
        <b/>
        <vertAlign val="superscript"/>
        <sz val="8"/>
        <rFont val="Times New Roman"/>
        <family val="1"/>
      </rPr>
      <t>2</t>
    </r>
  </si>
  <si>
    <t>Emissions vented to       Stack #</t>
  </si>
  <si>
    <t>N/A</t>
  </si>
  <si>
    <r>
      <t>1</t>
    </r>
    <r>
      <rPr>
        <sz val="8"/>
        <rFont val="Arial"/>
        <family val="2"/>
      </rPr>
      <t xml:space="preserve"> Unit numbers must correspond to unit numbers in the previous NOI unless a complete cross reference table of all units in both NOIs is provided.</t>
    </r>
  </si>
  <si>
    <r>
      <t>2</t>
    </r>
    <r>
      <rPr>
        <sz val="8"/>
        <rFont val="Arial"/>
        <family val="2"/>
      </rPr>
      <t xml:space="preserve"> Specify dates required to determine regulatory applicability.</t>
    </r>
  </si>
  <si>
    <r>
      <t>3</t>
    </r>
    <r>
      <rPr>
        <sz val="8"/>
        <rFont val="Arial"/>
        <family val="2"/>
      </rPr>
      <t xml:space="preserve"> To properly account for power conversion efficiencies, generator set rated capacity shall be reported as the rated capacity of the engine in horsepower, not the kilowatt capacity of the generator set.</t>
    </r>
  </si>
  <si>
    <r>
      <t xml:space="preserve">4 </t>
    </r>
    <r>
      <rPr>
        <sz val="8"/>
        <rFont val="Arial"/>
        <family val="2"/>
      </rPr>
      <t xml:space="preserve">"4SLB" means four stroke lean burn engine, "4SRB" means four stroke rich burn engine, "2SLB" means two stroke lean burn engine, "CI" means compression ignition, and "SI" means spark ignition </t>
    </r>
  </si>
  <si>
    <t>Table 2-C:  Emissions Control Equipment</t>
  </si>
  <si>
    <t>Unit and stack numbering must correspond throughout the application package.  The permittee shall report all control devices and list each pollutant controlled by the control device regardless if the applicant takes credit for the reduction in emissions.  Flares, Enclosed Combustion Devices, Catalytic Converters and Air Fuel Ratio (AFR) Controllers shall be reported on Table 2-C.  For each AFR, note whether the AFR are aftermarket or integral to the engine.</t>
  </si>
  <si>
    <t>Control Equipment Unit No.</t>
  </si>
  <si>
    <t>Control Equipment Description</t>
  </si>
  <si>
    <t>Date Installed</t>
  </si>
  <si>
    <t>Controlled Pollutant(s)</t>
  </si>
  <si>
    <r>
      <t>Controlling Emissions for Unit Number(s)</t>
    </r>
    <r>
      <rPr>
        <b/>
        <vertAlign val="superscript"/>
        <sz val="9"/>
        <rFont val="Times New Roman"/>
        <family val="1"/>
      </rPr>
      <t>1</t>
    </r>
  </si>
  <si>
    <t>Efficiency
(% Control by Weight)</t>
  </si>
  <si>
    <t>Method used to Estimate Efficiency</t>
  </si>
  <si>
    <r>
      <t>1</t>
    </r>
    <r>
      <rPr>
        <sz val="10"/>
        <rFont val="Times New Roman"/>
        <family val="1"/>
      </rPr>
      <t xml:space="preserve"> List each control device on a separate line.  For each control device, list all emission units controlled by the control device.</t>
    </r>
  </si>
  <si>
    <t>Unit No.</t>
  </si>
  <si>
    <t xml:space="preserve">VOC </t>
  </si>
  <si>
    <t>SOx</t>
  </si>
  <si>
    <r>
      <t>PM10</t>
    </r>
    <r>
      <rPr>
        <b/>
        <vertAlign val="superscript"/>
        <sz val="10"/>
        <rFont val="Times New Roman"/>
        <family val="1"/>
      </rPr>
      <t>2</t>
    </r>
  </si>
  <si>
    <r>
      <t>PM2.5</t>
    </r>
    <r>
      <rPr>
        <b/>
        <vertAlign val="superscript"/>
        <sz val="10"/>
        <rFont val="Times New Roman"/>
        <family val="1"/>
      </rPr>
      <t>2</t>
    </r>
  </si>
  <si>
    <r>
      <t>H</t>
    </r>
    <r>
      <rPr>
        <b/>
        <vertAlign val="subscript"/>
        <sz val="10"/>
        <rFont val="Times New Roman"/>
        <family val="1"/>
      </rPr>
      <t>2</t>
    </r>
    <r>
      <rPr>
        <b/>
        <sz val="10"/>
        <rFont val="Times New Roman"/>
        <family val="1"/>
      </rPr>
      <t>S</t>
    </r>
  </si>
  <si>
    <t>Lead</t>
  </si>
  <si>
    <t>ton/yr</t>
  </si>
  <si>
    <r>
      <t>PM10</t>
    </r>
    <r>
      <rPr>
        <b/>
        <vertAlign val="superscript"/>
        <sz val="10"/>
        <rFont val="Times New Roman"/>
        <family val="1"/>
      </rPr>
      <t>1</t>
    </r>
  </si>
  <si>
    <r>
      <t>PM2.5</t>
    </r>
    <r>
      <rPr>
        <b/>
        <vertAlign val="superscript"/>
        <sz val="10"/>
        <rFont val="Times New Roman"/>
        <family val="1"/>
      </rPr>
      <t>1</t>
    </r>
  </si>
  <si>
    <r>
      <t>Table 2-F:   Additional Emissions during Startup, Shutdown, and Routine Maintenance (SSM)</t>
    </r>
    <r>
      <rPr>
        <b/>
        <vertAlign val="superscript"/>
        <sz val="10"/>
        <rFont val="Times New Roman"/>
        <family val="1"/>
      </rPr>
      <t xml:space="preserve">                                                                                                                 </t>
    </r>
    <r>
      <rPr>
        <b/>
        <sz val="14"/>
        <rFont val="Times New Roman"/>
        <family val="1"/>
      </rPr>
      <t xml:space="preserve"> </t>
    </r>
    <r>
      <rPr>
        <b/>
        <sz val="10"/>
        <rFont val="Times New Roman"/>
        <family val="1"/>
      </rPr>
      <t/>
    </r>
  </si>
  <si>
    <r>
      <t>All applications for facilities that have emissions during routine our predictable startup, shutdown or scheduled maintenance (SSM)</t>
    </r>
    <r>
      <rPr>
        <b/>
        <vertAlign val="superscript"/>
        <sz val="10"/>
        <rFont val="Times New Roman"/>
        <family val="1"/>
      </rPr>
      <t>1</t>
    </r>
    <r>
      <rPr>
        <sz val="10"/>
        <rFont val="Times New Roman"/>
        <family val="1"/>
      </rPr>
      <t xml:space="preserve">, including NOI applications, must include in this table the Maximum Emissions during routine or predictable startup, shutdown and scheduled maintenance (20.2.7 NMAC, 20.2.72.203.A.3 NMAC, 20.2.73.200.D.2 NMAC).  In Section 6 and 6a, provide emissions calculations for all SSM emissions reported in this table. Refer to "Guidance for Submittal of Startup, Shutdown, Maintenance Emissions in Permit Applications (https://www.env.nm.gov/aqb/permit/aqb_pol.html) for more detailed instructions. Numbers shall be expressed to at least 2 decimal points (e.g. 0.41, 1.41, or 1.41E-4).  </t>
    </r>
  </si>
  <si>
    <r>
      <t xml:space="preserve"> 1</t>
    </r>
    <r>
      <rPr>
        <b/>
        <sz val="8"/>
        <rFont val="Times New Roman"/>
        <family val="1"/>
      </rPr>
      <t xml:space="preserve"> For instance</t>
    </r>
    <r>
      <rPr>
        <sz val="8"/>
        <rFont val="Times New Roman"/>
        <family val="1"/>
      </rPr>
      <t>, if the short term steady-state Table 2-E emissions are 5 lb/hr and the SSM rate is 12 lb/hr, enter 7 lb/hr in this table.  If the annual steady-state Table 2-E emissions are 21.9 TPY, and the number of scheduled SSM events result in annual emissions of 31.9 TPY, enter 10.0 TPY in the table below.</t>
    </r>
  </si>
  <si>
    <t>Table 2-H:  Stack Exit Conditions</t>
  </si>
  <si>
    <t xml:space="preserve">Unit and stack numbering must correspond throughout the application package.  Include the stack exit conditions for each unit that emits from a stack, including blowdown venting parameters and tank emissions.   </t>
  </si>
  <si>
    <t>Stack Number</t>
  </si>
  <si>
    <t>Serving Unit Number(s) from Table 2-A</t>
  </si>
  <si>
    <t>Orientation       (H-Horizontal V=Vertical)</t>
  </si>
  <si>
    <t>Rain Caps</t>
  </si>
  <si>
    <t>Height Above</t>
  </si>
  <si>
    <t>Temp.</t>
  </si>
  <si>
    <t>Flow Rate</t>
  </si>
  <si>
    <t>Moisture by</t>
  </si>
  <si>
    <t>Velocity</t>
  </si>
  <si>
    <t>Inside Diameter (ft)</t>
  </si>
  <si>
    <t>(Yes or No)</t>
  </si>
  <si>
    <t>Ground (ft)</t>
  </si>
  <si>
    <t>(F)</t>
  </si>
  <si>
    <t>(acfs)</t>
  </si>
  <si>
    <t>(dscfs)</t>
  </si>
  <si>
    <t>Volume              (%)</t>
  </si>
  <si>
    <t>(ft/sec)</t>
  </si>
  <si>
    <t>V</t>
  </si>
  <si>
    <t>In the table below, report the Potential to Emit for each HAP from each regulated emission unit listed in Table 2-A, only if the entire facility emits the HAP at a rate greater than or equal to one (1) ton per year For each such emission unit, HAPs shall be reported to the nearest 0.1 tpy.  Each facility-wide Individual HAP total and the facility-wide Total HAPs shall be the sum of all HAP sources calculated to the nearest 0.1 ton per year. Per 20.2.72.403.A.1 NMAC, facilities not exempt [see 20.2.72.402.C NMAC] from TAP permitting shall report each TAP that has an uncontrolled emission rate in excess of its pounds per hour screening level specified in 20.2.72.502 NMAC.  TAPs shall be reported using one more significant figure than the number of significant figures shown in the pound per hour threshold corresponding to the substance. Use the HAP nomenclature as it appears in Section 112 (b) of the 1990 CAAA and the TAP nomenclature as it listed in 20.2.72.502 NMAC. Include tank-flashing emissions estimates of HAPs in this table. For each HAP or TAP listed, fill all cells in this table with the emission numbers or a "-" symbol.  A “-” symbol indicates that emissions of this pollutant are not expected or the pollutant is emitted in a quantity less than the threshold amounts described above.</t>
  </si>
  <si>
    <t>Stack No.</t>
  </si>
  <si>
    <t xml:space="preserve">Unit No.(s) </t>
  </si>
  <si>
    <r>
      <t xml:space="preserve">Provide Pollutant Name Here
 </t>
    </r>
    <r>
      <rPr>
        <b/>
        <sz val="10"/>
        <rFont val="Times New Roman"/>
        <family val="1"/>
      </rPr>
      <t> HAP or  TAP</t>
    </r>
  </si>
  <si>
    <t xml:space="preserve">                Totals:</t>
  </si>
  <si>
    <t>Table 2-J:  Fuel</t>
  </si>
  <si>
    <t>Specify fuel characteristics and usage.  Unit and stack numbering must correspond throughout the application package.</t>
  </si>
  <si>
    <t xml:space="preserve">Fuel Type (low sulfur Diesel, ultra low sulfur diesel, Natural Gas, Coal, …) </t>
  </si>
  <si>
    <t>Fuel Source: purchased commercial, pipeline quality natural gas, residue gas, raw/field natural gas, process gas (e.g. SRU tail gas) or other</t>
  </si>
  <si>
    <t>Specify Units</t>
  </si>
  <si>
    <t>Hourly Usage (scf)</t>
  </si>
  <si>
    <t>Annual Usage (mmscf)</t>
  </si>
  <si>
    <t>% Ash</t>
  </si>
  <si>
    <t>Natural Gas</t>
  </si>
  <si>
    <t>Field Gas</t>
  </si>
  <si>
    <t>Table 2-K:  Liquid Data for Tanks Listed in Table 2-L</t>
  </si>
  <si>
    <t>For each tank, list the liquid(s) to be stored in each tank.  If it is expected that a tank may store a variety of hydrocarbon liquids, enter "mixed hydrocarbons" in the Composition column for that tank and enter the corresponding data of the most volatile liquid to be stored in the tank.  If tank is to be used for storage of different materials, list all the materials in the "All Calculations" attachment, run the newest version of TANKS on each, and use the material with the highest emission rate to determine maximum uncontrolled and requested allowable emissions rate.  The permit will specify the most volatile category of liquids that may be stored in each tank.  Include appropriate tank-flashing modeling input data.  Use additional sheets if necessary.  Unit and stack numbering must correspond throughout the application package.</t>
  </si>
  <si>
    <t>Tank No.</t>
  </si>
  <si>
    <t>SCC    Code</t>
  </si>
  <si>
    <t>Material Name</t>
  </si>
  <si>
    <t>Liquid Density (lb/gal)</t>
  </si>
  <si>
    <t>Vapor Molecular Weight (lb/lb*mol)</t>
  </si>
  <si>
    <t>Average Storage Conditions</t>
  </si>
  <si>
    <t>Max Storage Conditions</t>
  </si>
  <si>
    <t>Temperature (°F)</t>
  </si>
  <si>
    <t>True Vapor Pressure    (psia)</t>
  </si>
  <si>
    <t>Produced Water</t>
  </si>
  <si>
    <t xml:space="preserve">Table 2-L:  Tank Data </t>
  </si>
  <si>
    <t xml:space="preserve">Include appropriate tank-flashing modeling input data.  Use an addendum to this table for unlisted data categories.  Unit and stack numbering must correspond throughout the application package.  Use additional sheets if necessary.  See reference Table 2-L2.  Note: 1.00 bbl = 10.159 M3 = 42.0 gal </t>
  </si>
  <si>
    <t xml:space="preserve">Date Installed </t>
  </si>
  <si>
    <t>Materials Stored</t>
  </si>
  <si>
    <r>
      <t>Seal Type</t>
    </r>
    <r>
      <rPr>
        <sz val="8"/>
        <rFont val="Times New Roman"/>
        <family val="1"/>
      </rPr>
      <t xml:space="preserve"> (refer to Table 2-LR below)</t>
    </r>
  </si>
  <si>
    <r>
      <t>Roof Type</t>
    </r>
    <r>
      <rPr>
        <sz val="8"/>
        <rFont val="Times New Roman"/>
        <family val="1"/>
      </rPr>
      <t xml:space="preserve"> (refer to Table 2-LR below)</t>
    </r>
  </si>
  <si>
    <t>Capacity</t>
  </si>
  <si>
    <t>Diameter (M)</t>
  </si>
  <si>
    <t>Vapor Space        (M)</t>
  </si>
  <si>
    <r>
      <t>Color</t>
    </r>
    <r>
      <rPr>
        <sz val="8"/>
        <rFont val="Times New Roman"/>
        <family val="1"/>
      </rPr>
      <t xml:space="preserve">                                 (from Table VI-C)</t>
    </r>
  </si>
  <si>
    <r>
      <t>Paint Condition</t>
    </r>
    <r>
      <rPr>
        <sz val="8"/>
        <rFont val="Times New Roman"/>
        <family val="1"/>
      </rPr>
      <t xml:space="preserve"> (from Table VI-C)</t>
    </r>
  </si>
  <si>
    <r>
      <t>Annual Throughput</t>
    </r>
    <r>
      <rPr>
        <sz val="8"/>
        <rFont val="Times New Roman"/>
        <family val="1"/>
      </rPr>
      <t xml:space="preserve"> (gal/yr)</t>
    </r>
  </si>
  <si>
    <r>
      <t>Turn-  overs</t>
    </r>
    <r>
      <rPr>
        <sz val="8"/>
        <rFont val="Times New Roman"/>
        <family val="1"/>
      </rPr>
      <t xml:space="preserve">        (per year)</t>
    </r>
  </si>
  <si>
    <t>(bbl)</t>
  </si>
  <si>
    <r>
      <t>(M</t>
    </r>
    <r>
      <rPr>
        <b/>
        <vertAlign val="superscript"/>
        <sz val="10"/>
        <rFont val="Times New Roman"/>
        <family val="1"/>
      </rPr>
      <t>3</t>
    </r>
    <r>
      <rPr>
        <b/>
        <sz val="10"/>
        <rFont val="Times New Roman"/>
        <family val="1"/>
      </rPr>
      <t>)</t>
    </r>
  </si>
  <si>
    <t>Roof</t>
  </si>
  <si>
    <t>Shell</t>
  </si>
  <si>
    <t>FX</t>
  </si>
  <si>
    <t>Table 2-L2:  Liquid Storage Tank Data Codes Reference Table</t>
  </si>
  <si>
    <t>Roof Type</t>
  </si>
  <si>
    <t>Seal Type, Welded Tank Seal Type</t>
  </si>
  <si>
    <t>Seal Type, Riveted Tank Seal Type</t>
  </si>
  <si>
    <t>Roof, Shell Color</t>
  </si>
  <si>
    <r>
      <t>FX</t>
    </r>
    <r>
      <rPr>
        <sz val="8"/>
        <rFont val="Times New Roman"/>
        <family val="1"/>
      </rPr>
      <t>: Fixed Roof</t>
    </r>
  </si>
  <si>
    <t>Mechanical Shoe Seal</t>
  </si>
  <si>
    <t>Liquid-mounted resilient seal</t>
  </si>
  <si>
    <t>Vapor-mounted resilient seal</t>
  </si>
  <si>
    <t>Seal Type</t>
  </si>
  <si>
    <r>
      <t>WH</t>
    </r>
    <r>
      <rPr>
        <sz val="8"/>
        <rFont val="Times New Roman"/>
        <family val="1"/>
      </rPr>
      <t>: White</t>
    </r>
  </si>
  <si>
    <r>
      <t>IF</t>
    </r>
    <r>
      <rPr>
        <sz val="8"/>
        <rFont val="Times New Roman"/>
        <family val="1"/>
      </rPr>
      <t>: Internal Floating Roof</t>
    </r>
  </si>
  <si>
    <r>
      <t>A</t>
    </r>
    <r>
      <rPr>
        <sz val="8"/>
        <rFont val="Times New Roman"/>
        <family val="1"/>
      </rPr>
      <t>: Primary only</t>
    </r>
  </si>
  <si>
    <r>
      <t>A</t>
    </r>
    <r>
      <rPr>
        <sz val="8"/>
        <rFont val="Times New Roman"/>
        <family val="1"/>
      </rPr>
      <t>:  Primary only</t>
    </r>
  </si>
  <si>
    <r>
      <t>A</t>
    </r>
    <r>
      <rPr>
        <sz val="8"/>
        <rFont val="Times New Roman"/>
        <family val="1"/>
      </rPr>
      <t>: Mechanical shoe, primary only</t>
    </r>
  </si>
  <si>
    <r>
      <t>AS</t>
    </r>
    <r>
      <rPr>
        <sz val="8"/>
        <rFont val="Times New Roman"/>
        <family val="1"/>
      </rPr>
      <t>: Aluminum (specular)</t>
    </r>
  </si>
  <si>
    <r>
      <t>EF</t>
    </r>
    <r>
      <rPr>
        <sz val="8"/>
        <rFont val="Times New Roman"/>
        <family val="1"/>
      </rPr>
      <t>: External Floating Roof</t>
    </r>
  </si>
  <si>
    <r>
      <t>B</t>
    </r>
    <r>
      <rPr>
        <sz val="8"/>
        <rFont val="Times New Roman"/>
        <family val="1"/>
      </rPr>
      <t>: Shoe-mounted secondary</t>
    </r>
  </si>
  <si>
    <r>
      <t>B</t>
    </r>
    <r>
      <rPr>
        <sz val="8"/>
        <rFont val="Times New Roman"/>
        <family val="1"/>
      </rPr>
      <t>: Weather shield</t>
    </r>
  </si>
  <si>
    <r>
      <t>AD</t>
    </r>
    <r>
      <rPr>
        <sz val="8"/>
        <rFont val="Times New Roman"/>
        <family val="1"/>
      </rPr>
      <t>: Aluminum (diffuse)</t>
    </r>
  </si>
  <si>
    <r>
      <t>P</t>
    </r>
    <r>
      <rPr>
        <sz val="8"/>
        <rFont val="Times New Roman"/>
        <family val="1"/>
      </rPr>
      <t>: Pressure</t>
    </r>
  </si>
  <si>
    <r>
      <t>C</t>
    </r>
    <r>
      <rPr>
        <sz val="8"/>
        <rFont val="Times New Roman"/>
        <family val="1"/>
      </rPr>
      <t>: Rim-mounted secondary</t>
    </r>
  </si>
  <si>
    <r>
      <t>LG</t>
    </r>
    <r>
      <rPr>
        <sz val="8"/>
        <rFont val="Times New Roman"/>
        <family val="1"/>
      </rPr>
      <t>: Light Gray</t>
    </r>
  </si>
  <si>
    <r>
      <t>MG</t>
    </r>
    <r>
      <rPr>
        <sz val="8"/>
        <rFont val="Times New Roman"/>
        <family val="1"/>
      </rPr>
      <t>: Medium Gray</t>
    </r>
  </si>
  <si>
    <r>
      <t>Note:  1.00 bbl = 0.159 M</t>
    </r>
    <r>
      <rPr>
        <vertAlign val="superscript"/>
        <sz val="10"/>
        <rFont val="Times New Roman"/>
        <family val="1"/>
      </rPr>
      <t xml:space="preserve">3 </t>
    </r>
    <r>
      <rPr>
        <sz val="10"/>
        <rFont val="Times New Roman"/>
        <family val="1"/>
      </rPr>
      <t>= 42.0 gal</t>
    </r>
  </si>
  <si>
    <r>
      <t>BL</t>
    </r>
    <r>
      <rPr>
        <sz val="8"/>
        <rFont val="Times New Roman"/>
        <family val="1"/>
      </rPr>
      <t>: Black</t>
    </r>
  </si>
  <si>
    <r>
      <t>OT</t>
    </r>
    <r>
      <rPr>
        <sz val="8"/>
        <rFont val="Times New Roman"/>
        <family val="1"/>
      </rPr>
      <t>: Other (specify)</t>
    </r>
  </si>
  <si>
    <r>
      <t xml:space="preserve">Table 2-M:  Materials Processed and Produced </t>
    </r>
    <r>
      <rPr>
        <sz val="8"/>
        <rFont val="Times New Roman"/>
        <family val="1"/>
      </rPr>
      <t>(Use additional sheets as necessary.)</t>
    </r>
  </si>
  <si>
    <t>Material Processed</t>
  </si>
  <si>
    <t>Material Produced</t>
  </si>
  <si>
    <t>Description</t>
  </si>
  <si>
    <t>Chemical Composition</t>
  </si>
  <si>
    <t>Quantity (specify units)</t>
  </si>
  <si>
    <t xml:space="preserve"> Phase</t>
  </si>
  <si>
    <t>Mixed Hydrocarbons</t>
  </si>
  <si>
    <t>Table 2-P:    Green House Gas Emissions</t>
  </si>
  <si>
    <r>
      <t>CO</t>
    </r>
    <r>
      <rPr>
        <b/>
        <vertAlign val="subscript"/>
        <sz val="10"/>
        <rFont val="Times New Roman"/>
        <family val="1"/>
      </rPr>
      <t>2</t>
    </r>
    <r>
      <rPr>
        <vertAlign val="subscript"/>
        <sz val="10"/>
        <rFont val="Times New Roman"/>
        <family val="1"/>
      </rPr>
      <t xml:space="preserve">   </t>
    </r>
    <r>
      <rPr>
        <sz val="10"/>
        <rFont val="Times New Roman"/>
        <family val="1"/>
      </rPr>
      <t>ton/yr</t>
    </r>
  </si>
  <si>
    <r>
      <t>N</t>
    </r>
    <r>
      <rPr>
        <b/>
        <vertAlign val="subscript"/>
        <sz val="10"/>
        <rFont val="Times New Roman"/>
        <family val="1"/>
      </rPr>
      <t>2</t>
    </r>
    <r>
      <rPr>
        <b/>
        <sz val="10"/>
        <rFont val="Times New Roman"/>
        <family val="1"/>
      </rPr>
      <t xml:space="preserve">O   </t>
    </r>
    <r>
      <rPr>
        <sz val="10"/>
        <rFont val="Times New Roman"/>
        <family val="1"/>
      </rPr>
      <t xml:space="preserve"> ton/yr</t>
    </r>
  </si>
  <si>
    <r>
      <t>CH</t>
    </r>
    <r>
      <rPr>
        <b/>
        <vertAlign val="subscript"/>
        <sz val="10"/>
        <rFont val="Times New Roman"/>
        <family val="1"/>
      </rPr>
      <t>4</t>
    </r>
    <r>
      <rPr>
        <sz val="10"/>
        <rFont val="Times New Roman"/>
        <family val="1"/>
      </rPr>
      <t xml:space="preserve">     ton/yr</t>
    </r>
  </si>
  <si>
    <r>
      <t>SF</t>
    </r>
    <r>
      <rPr>
        <b/>
        <vertAlign val="subscript"/>
        <sz val="10"/>
        <rFont val="Times New Roman"/>
        <family val="1"/>
      </rPr>
      <t>6</t>
    </r>
    <r>
      <rPr>
        <sz val="10"/>
        <rFont val="Times New Roman"/>
        <family val="1"/>
      </rPr>
      <t xml:space="preserve">      ton/yr</t>
    </r>
  </si>
  <si>
    <r>
      <t>PFC/HFC</t>
    </r>
    <r>
      <rPr>
        <sz val="10"/>
        <rFont val="Times New Roman"/>
        <family val="1"/>
      </rPr>
      <t xml:space="preserve">   ton/yr</t>
    </r>
    <r>
      <rPr>
        <vertAlign val="superscript"/>
        <sz val="8"/>
        <rFont val="Times New Roman"/>
        <family val="1"/>
      </rPr>
      <t>2</t>
    </r>
  </si>
  <si>
    <r>
      <t>Total GHG</t>
    </r>
    <r>
      <rPr>
        <b/>
        <sz val="9"/>
        <rFont val="Times New Roman"/>
        <family val="1"/>
      </rPr>
      <t xml:space="preserve"> </t>
    </r>
    <r>
      <rPr>
        <sz val="9"/>
        <rFont val="Times New Roman"/>
        <family val="1"/>
      </rPr>
      <t>Mass Basis ton/yr</t>
    </r>
    <r>
      <rPr>
        <vertAlign val="superscript"/>
        <sz val="9"/>
        <rFont val="Times New Roman"/>
        <family val="1"/>
      </rPr>
      <t>4</t>
    </r>
  </si>
  <si>
    <r>
      <t>Total CO</t>
    </r>
    <r>
      <rPr>
        <b/>
        <vertAlign val="subscript"/>
        <sz val="10"/>
        <rFont val="Times New Roman"/>
        <family val="1"/>
      </rPr>
      <t>2</t>
    </r>
    <r>
      <rPr>
        <b/>
        <sz val="10"/>
        <rFont val="Times New Roman"/>
        <family val="1"/>
      </rPr>
      <t>e</t>
    </r>
    <r>
      <rPr>
        <sz val="9"/>
        <rFont val="Times New Roman"/>
        <family val="1"/>
      </rPr>
      <t xml:space="preserve"> ton/yr</t>
    </r>
    <r>
      <rPr>
        <vertAlign val="superscript"/>
        <sz val="9"/>
        <rFont val="Times New Roman"/>
        <family val="1"/>
      </rPr>
      <t>5</t>
    </r>
  </si>
  <si>
    <r>
      <t xml:space="preserve">GWPs </t>
    </r>
    <r>
      <rPr>
        <b/>
        <vertAlign val="superscript"/>
        <sz val="10"/>
        <rFont val="Times New Roman"/>
        <family val="1"/>
      </rPr>
      <t>1</t>
    </r>
  </si>
  <si>
    <t>footnote 3</t>
  </si>
  <si>
    <t>mass GHG</t>
  </si>
  <si>
    <r>
      <t>CO</t>
    </r>
    <r>
      <rPr>
        <b/>
        <vertAlign val="subscript"/>
        <sz val="9"/>
        <rFont val="Times New Roman"/>
        <family val="1"/>
      </rPr>
      <t>2</t>
    </r>
    <r>
      <rPr>
        <b/>
        <sz val="9"/>
        <rFont val="Times New Roman"/>
        <family val="1"/>
      </rPr>
      <t>e</t>
    </r>
  </si>
  <si>
    <t>CO2e</t>
  </si>
  <si>
    <r>
      <t>1</t>
    </r>
    <r>
      <rPr>
        <b/>
        <sz val="10"/>
        <rFont val="Times New Roman"/>
        <family val="1"/>
      </rPr>
      <t xml:space="preserve"> </t>
    </r>
    <r>
      <rPr>
        <b/>
        <sz val="8"/>
        <rFont val="Times New Roman"/>
        <family val="1"/>
      </rPr>
      <t>GWP</t>
    </r>
    <r>
      <rPr>
        <sz val="8"/>
        <rFont val="Times New Roman"/>
        <family val="1"/>
      </rPr>
      <t xml:space="preserve"> means Global Warming Potential.  Applicant's must use the most current GWPs codified in Table A-1 of 40 CFR part 98.  GWPs are subject to change, therefore, applicants need to check 40 CFR 98 to confirm GWP values.</t>
    </r>
  </si>
  <si>
    <r>
      <t>1</t>
    </r>
    <r>
      <rPr>
        <b/>
        <sz val="8"/>
        <rFont val="Times New Roman"/>
        <family val="1"/>
      </rPr>
      <t xml:space="preserve"> GWP</t>
    </r>
    <r>
      <rPr>
        <sz val="8"/>
        <rFont val="Times New Roman"/>
        <family val="1"/>
      </rPr>
      <t xml:space="preserve"> (Global Warming Potential):  Applicants must use the most current GWPs codified in Table A-1 of 40 CFR part 98.  GWPs are subject to change, therefore, applicants need to check 40 CFR 98 to confirm GWP values.</t>
    </r>
  </si>
  <si>
    <r>
      <t>2</t>
    </r>
    <r>
      <rPr>
        <sz val="10"/>
        <rFont val="Times New Roman"/>
        <family val="1"/>
      </rPr>
      <t xml:space="preserve"> </t>
    </r>
    <r>
      <rPr>
        <sz val="8"/>
        <rFont val="Times New Roman"/>
        <family val="1"/>
      </rPr>
      <t xml:space="preserve">For  </t>
    </r>
    <r>
      <rPr>
        <b/>
        <sz val="8"/>
        <rFont val="Times New Roman"/>
        <family val="1"/>
      </rPr>
      <t>HFCs</t>
    </r>
    <r>
      <rPr>
        <sz val="8"/>
        <rFont val="Times New Roman"/>
        <family val="1"/>
      </rPr>
      <t xml:space="preserve"> or </t>
    </r>
    <r>
      <rPr>
        <b/>
        <sz val="8"/>
        <rFont val="Times New Roman"/>
        <family val="1"/>
      </rPr>
      <t>PFCs</t>
    </r>
    <r>
      <rPr>
        <sz val="8"/>
        <rFont val="Times New Roman"/>
        <family val="1"/>
      </rPr>
      <t xml:space="preserve"> describe the specific HFC or PFC compound and use a separate column for each individual compound.  </t>
    </r>
  </si>
  <si>
    <r>
      <t>2</t>
    </r>
    <r>
      <rPr>
        <sz val="8"/>
        <rFont val="Times New Roman"/>
        <family val="1"/>
      </rPr>
      <t xml:space="preserve"> For  </t>
    </r>
    <r>
      <rPr>
        <b/>
        <sz val="8"/>
        <rFont val="Times New Roman"/>
        <family val="1"/>
      </rPr>
      <t>HFCs</t>
    </r>
    <r>
      <rPr>
        <sz val="8"/>
        <rFont val="Times New Roman"/>
        <family val="1"/>
      </rPr>
      <t xml:space="preserve"> or </t>
    </r>
    <r>
      <rPr>
        <b/>
        <sz val="8"/>
        <rFont val="Times New Roman"/>
        <family val="1"/>
      </rPr>
      <t>PFCs</t>
    </r>
    <r>
      <rPr>
        <sz val="8"/>
        <rFont val="Times New Roman"/>
        <family val="1"/>
      </rPr>
      <t xml:space="preserve"> describe the specific HFC or PFC compound and use a separate column for each individual compound.  </t>
    </r>
  </si>
  <si>
    <r>
      <t>3</t>
    </r>
    <r>
      <rPr>
        <sz val="10"/>
        <rFont val="Times New Roman"/>
        <family val="1"/>
      </rPr>
      <t xml:space="preserve"> </t>
    </r>
    <r>
      <rPr>
        <sz val="8"/>
        <rFont val="Times New Roman"/>
        <family val="1"/>
      </rPr>
      <t>You must enter the appropriate GWP for each HFC or PFC compound from Table A-1 in 40 CFR 98.</t>
    </r>
  </si>
  <si>
    <r>
      <t>3</t>
    </r>
    <r>
      <rPr>
        <sz val="8"/>
        <rFont val="Times New Roman"/>
        <family val="1"/>
      </rPr>
      <t xml:space="preserve"> For each new compound, enter the appropriate GWP for each HFC or PFC compound from Table A-1 in 40 CFR 98.</t>
    </r>
  </si>
  <si>
    <r>
      <t>4</t>
    </r>
    <r>
      <rPr>
        <sz val="10"/>
        <rFont val="Times New Roman"/>
        <family val="1"/>
      </rPr>
      <t xml:space="preserve"> </t>
    </r>
    <r>
      <rPr>
        <sz val="8"/>
        <rFont val="Times New Roman"/>
        <family val="1"/>
      </rPr>
      <t xml:space="preserve">Green house gas emissions on a </t>
    </r>
    <r>
      <rPr>
        <b/>
        <sz val="8"/>
        <rFont val="Times New Roman"/>
        <family val="1"/>
      </rPr>
      <t>mass basis</t>
    </r>
    <r>
      <rPr>
        <sz val="8"/>
        <rFont val="Times New Roman"/>
        <family val="1"/>
      </rPr>
      <t>, is the ton per year green house gas emission before adjustment with its GWP.</t>
    </r>
  </si>
  <si>
    <r>
      <t>4</t>
    </r>
    <r>
      <rPr>
        <sz val="8"/>
        <rFont val="Times New Roman"/>
        <family val="1"/>
      </rPr>
      <t xml:space="preserve"> Green house gas emissions on a </t>
    </r>
    <r>
      <rPr>
        <b/>
        <sz val="8"/>
        <rFont val="Times New Roman"/>
        <family val="1"/>
      </rPr>
      <t>mass basis</t>
    </r>
    <r>
      <rPr>
        <sz val="8"/>
        <rFont val="Times New Roman"/>
        <family val="1"/>
      </rPr>
      <t xml:space="preserve"> is the ton per year green house gas emission before adjustment with its GWP.</t>
    </r>
  </si>
  <si>
    <r>
      <t>5</t>
    </r>
    <r>
      <rPr>
        <b/>
        <sz val="8"/>
        <rFont val="Times New Roman"/>
        <family val="1"/>
      </rPr>
      <t xml:space="preserve"> CO</t>
    </r>
    <r>
      <rPr>
        <b/>
        <vertAlign val="subscript"/>
        <sz val="8"/>
        <rFont val="Times New Roman"/>
        <family val="1"/>
      </rPr>
      <t>2</t>
    </r>
    <r>
      <rPr>
        <b/>
        <sz val="8"/>
        <rFont val="Times New Roman"/>
        <family val="1"/>
      </rPr>
      <t>e</t>
    </r>
    <r>
      <rPr>
        <sz val="8"/>
        <rFont val="Times New Roman"/>
        <family val="1"/>
      </rPr>
      <t xml:space="preserve"> means Carbon Dioxide Equivalent and is calculated by multiplying the TPY mass emissions of the green house gas by its GWP. </t>
    </r>
  </si>
  <si>
    <t>VOC
(INCLUDES HAPs)</t>
  </si>
  <si>
    <r>
      <t>SO</t>
    </r>
    <r>
      <rPr>
        <b/>
        <vertAlign val="subscript"/>
        <sz val="14"/>
        <rFont val="Book Antiqua"/>
        <family val="1"/>
      </rPr>
      <t>2</t>
    </r>
  </si>
  <si>
    <r>
      <t>PM</t>
    </r>
    <r>
      <rPr>
        <b/>
        <vertAlign val="subscript"/>
        <sz val="14"/>
        <rFont val="Book Antiqua"/>
        <family val="1"/>
      </rPr>
      <t>10 &amp; 2.5</t>
    </r>
  </si>
  <si>
    <t>2,2,4 Trimethylpentane</t>
  </si>
  <si>
    <t>lb/MMBtu</t>
  </si>
  <si>
    <t>Manufacturer</t>
  </si>
  <si>
    <t>ft</t>
  </si>
  <si>
    <t>CO2</t>
  </si>
  <si>
    <t>Reboiler</t>
  </si>
  <si>
    <t>Other Hexanes</t>
  </si>
  <si>
    <t>Total VOC
Weight %</t>
  </si>
  <si>
    <t>F</t>
  </si>
  <si>
    <t>psia</t>
  </si>
  <si>
    <t>%</t>
  </si>
  <si>
    <t>psig</t>
  </si>
  <si>
    <t>Water</t>
  </si>
  <si>
    <t>°F</t>
  </si>
  <si>
    <t>CH4</t>
  </si>
  <si>
    <t>LL= 12.46 * SPM/T * (1-EFF/100)</t>
  </si>
  <si>
    <t>Saturation Factor (S) =</t>
  </si>
  <si>
    <t>Estimated Throughput (bbls/Year) =</t>
  </si>
  <si>
    <t>Truck Loading Rate (bbls/hour) =</t>
  </si>
  <si>
    <t>Total VOC Emissions</t>
  </si>
  <si>
    <t xml:space="preserve"> Storage Tank Emissions</t>
  </si>
  <si>
    <r>
      <t>SO</t>
    </r>
    <r>
      <rPr>
        <vertAlign val="subscript"/>
        <sz val="12"/>
        <rFont val="Book Antiqua"/>
        <family val="1"/>
      </rPr>
      <t>2</t>
    </r>
  </si>
  <si>
    <t>Gun Barrel Separator</t>
  </si>
  <si>
    <t>EMISSIONS SUMMARY TABLE</t>
  </si>
  <si>
    <r>
      <t>Table 2-B:   Insignificant Activities</t>
    </r>
    <r>
      <rPr>
        <vertAlign val="superscript"/>
        <sz val="10"/>
        <rFont val="Times New Roman"/>
        <family val="1"/>
      </rPr>
      <t>1</t>
    </r>
    <r>
      <rPr>
        <b/>
        <sz val="8"/>
        <rFont val="Times New Roman"/>
        <family val="1"/>
      </rPr>
      <t xml:space="preserve"> </t>
    </r>
    <r>
      <rPr>
        <sz val="10"/>
        <rFont val="Times New Roman"/>
        <family val="1"/>
      </rPr>
      <t>(20.2.70 NMAC)</t>
    </r>
    <r>
      <rPr>
        <sz val="8"/>
        <rFont val="Times New Roman"/>
        <family val="1"/>
      </rPr>
      <t xml:space="preserve"> </t>
    </r>
    <r>
      <rPr>
        <b/>
        <sz val="8"/>
        <rFont val="Times New Roman"/>
        <family val="1"/>
      </rPr>
      <t xml:space="preserve">      </t>
    </r>
    <r>
      <rPr>
        <b/>
        <sz val="14"/>
        <rFont val="Times New Roman"/>
        <family val="1"/>
      </rPr>
      <t>OR       Exempted Equipment</t>
    </r>
    <r>
      <rPr>
        <sz val="14"/>
        <rFont val="Times New Roman"/>
        <family val="1"/>
      </rPr>
      <t xml:space="preserve"> </t>
    </r>
    <r>
      <rPr>
        <sz val="10"/>
        <rFont val="Times New Roman"/>
        <family val="1"/>
      </rPr>
      <t xml:space="preserve">(20.2.72 NMAC) </t>
    </r>
    <r>
      <rPr>
        <b/>
        <sz val="14"/>
        <rFont val="Times New Roman"/>
        <family val="1"/>
      </rPr>
      <t/>
    </r>
  </si>
  <si>
    <t>All 20.2.70 NMAC (Title V) applications must list all Insignificant Activities in this table.  All 20.2.72 NMAC applications must list Exempted Equipment in this table.  If equipment listed on this table is exempt under 20.2.72.202.B.5, include emissions calculations and emissions totals for 202.B.5 "similar functions" units, operations, and activities in Section 6, Calculations.  Equipment and activities exempted under 20.2.72.202 NMAC may not necessarily be Insignificant under 20.2.70 NMAC (and vice versa).  Unit &amp; stack numbering must be consistent throughout the application package.  Per Exemptions Policy 02-012.00 (see http://www.env.nm.gov/aqb/permit/aqb_pol.html ), 20.2.72.202.B NMAC Exemptions do not apply, but 20.2.72.202.A NMAC exemptions do apply to NOI facilities under 20.2.73 NMAC.  List 20.2.72.301.D.4 NMAC Auxiliary Equipment for Streamline applications in Table 2-A.  The List of Insignificant Activities (for TV) can be found online at http://www.env.nm.gov/aqb/forms/InsignificantListTitleV.pdf .  TV sources may elect to enter both TV Insignificant Activities and Part 72 Exemptions on this form.</t>
  </si>
  <si>
    <t>Unit Number</t>
  </si>
  <si>
    <t>Model No.</t>
  </si>
  <si>
    <t>Max Capacity</t>
  </si>
  <si>
    <t>List Specific 20.2.72.202 NMAC Exemption (e.g. 20.2.72.202.B.5)</t>
  </si>
  <si>
    <r>
      <t>Date of Manufacture /Reconstruction</t>
    </r>
    <r>
      <rPr>
        <b/>
        <vertAlign val="superscript"/>
        <sz val="8"/>
        <rFont val="Times New Roman"/>
        <family val="1"/>
      </rPr>
      <t>2</t>
    </r>
  </si>
  <si>
    <t>For Each Piece of Equipment, Check Onc</t>
  </si>
  <si>
    <t>Serial No.</t>
  </si>
  <si>
    <t>Capacity Units</t>
  </si>
  <si>
    <t>Insignificant Activity citation (e.g. IA List Item #1.a)</t>
  </si>
  <si>
    <r>
      <t>Date of Installation /Construction</t>
    </r>
    <r>
      <rPr>
        <b/>
        <vertAlign val="superscript"/>
        <sz val="8"/>
        <rFont val="Times New Roman"/>
        <family val="1"/>
      </rPr>
      <t>2</t>
    </r>
  </si>
  <si>
    <t xml:space="preserve">   Existing (unchanged)       To be Removed
   New/Additional                Replacement Unit
   To Be Modified               To be Replaced</t>
  </si>
  <si>
    <r>
      <t>1</t>
    </r>
    <r>
      <rPr>
        <sz val="8"/>
        <rFont val="Times New Roman"/>
        <family val="1"/>
      </rPr>
      <t xml:space="preserve"> Insignificant activities exempted due to size or production rate are defined in 20.2.70.300.D.6, 20.2.70.7.Q NMAC, and the NMED/AQB List of Insignificant Activities, dated September 15, 2008.  Emissions from these insignificant activities do not need to be reported, unless specifically requested.</t>
    </r>
  </si>
  <si>
    <r>
      <t>2</t>
    </r>
    <r>
      <rPr>
        <sz val="8"/>
        <rFont val="Times New Roman"/>
        <family val="1"/>
      </rPr>
      <t xml:space="preserve"> Specify date(s) required to determine regulatory applicability.</t>
    </r>
  </si>
  <si>
    <t>Table 2-G:  Stack Exit and Fugitive Emission Rates for Special Stacks</t>
  </si>
  <si>
    <t>Use this table to list stack emissions (requested allowable) from split and combined stacks.   List Toxic Air Pollutants (TAPs) and Hazardous Air Pollutants (HAPs) in Table 2-I.  List all fugitives that are associated with the normal, routine, and non-emergency operation of the facility.  Unit and stack numbering must correspond throughout the application package.  Refer to Table 2-E for instructions on use of the “-“ symbol and on significant figures.</t>
  </si>
  <si>
    <t>PM10</t>
  </si>
  <si>
    <t>PM2.5</t>
  </si>
  <si>
    <r>
      <t> H</t>
    </r>
    <r>
      <rPr>
        <b/>
        <vertAlign val="subscript"/>
        <sz val="10"/>
        <rFont val="Times New Roman"/>
        <family val="1"/>
      </rPr>
      <t>2</t>
    </r>
    <r>
      <rPr>
        <b/>
        <sz val="10"/>
        <rFont val="Times New Roman"/>
        <family val="1"/>
      </rPr>
      <t>S or  Lead</t>
    </r>
  </si>
  <si>
    <r>
      <t>Totals</t>
    </r>
    <r>
      <rPr>
        <sz val="8"/>
        <rFont val="Times New Roman"/>
        <family val="1"/>
      </rPr>
      <t>:</t>
    </r>
  </si>
  <si>
    <t>Table 2-N:  CEM Equipment</t>
  </si>
  <si>
    <t>Enter Continuous Emissions Measurement (CEM) Data in this table.  If CEM data will be used as part of a federally enforceable permit condition, or used to satisfy the requirements of a state or federal regulation, include a copy of the CEM's manufacturer specification sheet in the Information Used to Determine Emissions attachment.  Unit and stack numbering must correspond throughout the application package.  Use additional sheets if necessary.</t>
  </si>
  <si>
    <t>Pollutant(s)</t>
  </si>
  <si>
    <t>Sample Frequency</t>
  </si>
  <si>
    <t>Averaging Time</t>
  </si>
  <si>
    <t>Range</t>
  </si>
  <si>
    <t>Sensitivity</t>
  </si>
  <si>
    <t>Accuracy</t>
  </si>
  <si>
    <t>Table 2-O:  Parametric Emissions Measurement Equipment</t>
  </si>
  <si>
    <t>Unit and stack numbering must correspond throughout the application package.   Use additional sheets if necessary.</t>
  </si>
  <si>
    <t>Parameter/Pollutant Measured</t>
  </si>
  <si>
    <t>Location of Measurement</t>
  </si>
  <si>
    <t>Unit of Measure</t>
  </si>
  <si>
    <t>Acceptable Range</t>
  </si>
  <si>
    <t>Frequency of Maintenance</t>
  </si>
  <si>
    <t>Nature of Maintenance</t>
  </si>
  <si>
    <t>Method of Recording</t>
  </si>
  <si>
    <t>Flare Emissions Summary Table - Normal Operations</t>
  </si>
  <si>
    <t>Total VOC
(Includes Total HAPs)</t>
  </si>
  <si>
    <t>=</t>
  </si>
  <si>
    <t>500 bbl</t>
  </si>
  <si>
    <t>NSR PERMIT APPLICATION</t>
  </si>
  <si>
    <t>1)</t>
  </si>
  <si>
    <t xml:space="preserve">Va = </t>
  </si>
  <si>
    <t>N =</t>
  </si>
  <si>
    <t>2)</t>
  </si>
  <si>
    <t>SCF/Yr</t>
  </si>
  <si>
    <t>3)</t>
  </si>
  <si>
    <t>Butane</t>
  </si>
  <si>
    <t>Pentane +</t>
  </si>
  <si>
    <t xml:space="preserve">Rj = </t>
  </si>
  <si>
    <t>60º F</t>
  </si>
  <si>
    <t xml:space="preserve">Ts = </t>
  </si>
  <si>
    <t xml:space="preserve">Ta = </t>
  </si>
  <si>
    <t>93.7º F</t>
  </si>
  <si>
    <t>Roswell, AP-42</t>
  </si>
  <si>
    <t xml:space="preserve">Ps = </t>
  </si>
  <si>
    <t xml:space="preserve">Pa = </t>
  </si>
  <si>
    <t>4)</t>
  </si>
  <si>
    <t>kg/ft3</t>
  </si>
  <si>
    <t>5)</t>
  </si>
  <si>
    <t>CH4 GWP =</t>
  </si>
  <si>
    <t>CH4 =</t>
  </si>
  <si>
    <t>CO2 =</t>
  </si>
  <si>
    <t>metric tons</t>
  </si>
  <si>
    <t>short tons</t>
  </si>
  <si>
    <r>
      <t xml:space="preserve">Applications submitted under 20.2.70, 20.2.72, &amp; 20.2.74 NMAC are required to complete this Table.  Power plants, Title V major sources, and PSD major sources must report and calculate all GHG emissions for each unit. Applicants must report potential emission rates in short tons per year (see Section 6.a for assistance).  Include GHG emissions during Startup, Shutdown, and Scheduled Maintenance in this table.  For minor source facilities that are not power plants, are not Title V, or are not PSD, there are three options for reporting GHGs 1) report GHGs for each individual piece of equipment; 2) report all GHGs from a group of unit types, for example report all combustion source GHGs as a single unit and all venting GHG as a second separate unit;  OR  3) check the following box  </t>
    </r>
    <r>
      <rPr>
        <sz val="9"/>
        <rFont val="Wingdings"/>
        <charset val="2"/>
      </rPr>
      <t>¨</t>
    </r>
    <r>
      <rPr>
        <sz val="9"/>
        <rFont val="Times New Roman"/>
        <family val="1"/>
      </rPr>
      <t xml:space="preserve">  By checking this box, the applicant acknowledges the total CO2e emissions are less than 75,000 tons per year.  </t>
    </r>
  </si>
  <si>
    <t>Source</t>
  </si>
  <si>
    <t>Annual Volume</t>
  </si>
  <si>
    <t>Control Efficiency - 15 MPH Limit</t>
  </si>
  <si>
    <t>Material Throughput (bbls/day)</t>
  </si>
  <si>
    <t>AP-42 Factors</t>
  </si>
  <si>
    <t>Source ID</t>
  </si>
  <si>
    <t>HCHO</t>
  </si>
  <si>
    <t>Client Name:</t>
  </si>
  <si>
    <t>Location:</t>
  </si>
  <si>
    <t>Job:</t>
  </si>
  <si>
    <t/>
  </si>
  <si>
    <t>Process Streams</t>
  </si>
  <si>
    <t>1</t>
  </si>
  <si>
    <t>2</t>
  </si>
  <si>
    <t>3</t>
  </si>
  <si>
    <t>4</t>
  </si>
  <si>
    <t>5</t>
  </si>
  <si>
    <t>6</t>
  </si>
  <si>
    <t>7</t>
  </si>
  <si>
    <t>8</t>
  </si>
  <si>
    <t>9</t>
  </si>
  <si>
    <t>10</t>
  </si>
  <si>
    <t>11</t>
  </si>
  <si>
    <t>12</t>
  </si>
  <si>
    <t>13</t>
  </si>
  <si>
    <t>14</t>
  </si>
  <si>
    <t>15</t>
  </si>
  <si>
    <t>16</t>
  </si>
  <si>
    <t>17</t>
  </si>
  <si>
    <t>18</t>
  </si>
  <si>
    <t>19</t>
  </si>
  <si>
    <t>20</t>
  </si>
  <si>
    <t>21</t>
  </si>
  <si>
    <t>22</t>
  </si>
  <si>
    <t>23</t>
  </si>
  <si>
    <t xml:space="preserve">Status: </t>
  </si>
  <si>
    <t>Solved</t>
  </si>
  <si>
    <r>
      <t xml:space="preserve">Phase: </t>
    </r>
    <r>
      <rPr>
        <b/>
        <sz val="10"/>
        <color indexed="12"/>
        <rFont val="Arial"/>
        <family val="2"/>
      </rPr>
      <t xml:space="preserve"> Total</t>
    </r>
  </si>
  <si>
    <t>From Block:</t>
  </si>
  <si>
    <t>VLVE-100</t>
  </si>
  <si>
    <t>MIX-100</t>
  </si>
  <si>
    <t>MIX-101</t>
  </si>
  <si>
    <t>SPLT-100</t>
  </si>
  <si>
    <t>To Block:</t>
  </si>
  <si>
    <t>i-C6</t>
  </si>
  <si>
    <t>o-Xylene</t>
  </si>
  <si>
    <t>Octane</t>
  </si>
  <si>
    <t>Mass Flow</t>
  </si>
  <si>
    <t>lb/h</t>
  </si>
  <si>
    <t>Properties</t>
  </si>
  <si>
    <t>Temperature</t>
  </si>
  <si>
    <t>lb/lbmol</t>
  </si>
  <si>
    <t>Std Vapor Volumetric Flow</t>
  </si>
  <si>
    <t>Std Liquid Volumetric Flow</t>
  </si>
  <si>
    <t>sgpm</t>
  </si>
  <si>
    <t>Gross Ideal Gas Heating Value</t>
  </si>
  <si>
    <t>Btu/ft^3</t>
  </si>
  <si>
    <r>
      <t xml:space="preserve">Phase: </t>
    </r>
    <r>
      <rPr>
        <b/>
        <sz val="10"/>
        <color indexed="12"/>
        <rFont val="Arial"/>
        <family val="2"/>
      </rPr>
      <t xml:space="preserve"> Vapor</t>
    </r>
  </si>
  <si>
    <r>
      <t xml:space="preserve">Phase: </t>
    </r>
    <r>
      <rPr>
        <b/>
        <sz val="10"/>
        <color indexed="12"/>
        <rFont val="Arial"/>
        <family val="2"/>
      </rPr>
      <t xml:space="preserve"> Light Liquid</t>
    </r>
  </si>
  <si>
    <r>
      <t xml:space="preserve">Phase: </t>
    </r>
    <r>
      <rPr>
        <b/>
        <sz val="10"/>
        <color indexed="12"/>
        <rFont val="Arial"/>
        <family val="2"/>
      </rPr>
      <t xml:space="preserve"> Heavy Liquid</t>
    </r>
  </si>
  <si>
    <r>
      <t xml:space="preserve">Phase: </t>
    </r>
    <r>
      <rPr>
        <b/>
        <sz val="10"/>
        <color indexed="12"/>
        <rFont val="Arial"/>
        <family val="2"/>
      </rPr>
      <t xml:space="preserve"> Mixed Liquid</t>
    </r>
  </si>
  <si>
    <t>24</t>
  </si>
  <si>
    <t>25</t>
  </si>
  <si>
    <t>26</t>
  </si>
  <si>
    <t>XCHG-100</t>
  </si>
  <si>
    <t>XCHG-102</t>
  </si>
  <si>
    <t>XCHG-101</t>
  </si>
  <si>
    <t>--</t>
  </si>
  <si>
    <t>RCYL-1</t>
  </si>
  <si>
    <t>MIX-102</t>
  </si>
  <si>
    <t>MIX-103</t>
  </si>
  <si>
    <t>MIX-104</t>
  </si>
  <si>
    <t>MIX-105</t>
  </si>
  <si>
    <t>Xylene</t>
  </si>
  <si>
    <t>BURNER CALCULATIONS</t>
  </si>
  <si>
    <t>CRITERIA &amp; REGULATED POLLUTANTS</t>
  </si>
  <si>
    <t>lb/MMSCF</t>
  </si>
  <si>
    <t>Fuel Gas (BTU/SCF)</t>
  </si>
  <si>
    <t xml:space="preserve"> Operating Hours</t>
  </si>
  <si>
    <t>Burner Rating (MMBTU/Hr)</t>
  </si>
  <si>
    <t>*Source:  AP-42 Table 1.4-1, 1.4-2, &amp; 1.4-3</t>
  </si>
  <si>
    <t>Total (tpy)</t>
  </si>
  <si>
    <t>HAZARDOUS AIR POLLUTANTS (HAPs)</t>
  </si>
  <si>
    <t>Heating Value (btu/scf)</t>
  </si>
  <si>
    <t>PREPARED FOR:</t>
  </si>
  <si>
    <t>User Value Sets Report</t>
  </si>
  <si>
    <t>Flowsheet:</t>
  </si>
  <si>
    <t>User Value [BlockReady]</t>
  </si>
  <si>
    <t>Parameter</t>
  </si>
  <si>
    <t>Upper Bound</t>
  </si>
  <si>
    <t>Lower Bound</t>
  </si>
  <si>
    <t>Enforce Bounds</t>
  </si>
  <si>
    <t>User Value [ShellLength]</t>
  </si>
  <si>
    <t>User Value [ShellDiam]</t>
  </si>
  <si>
    <t>User Value [BreatherVP]</t>
  </si>
  <si>
    <t>User Value [BreatherVacP]</t>
  </si>
  <si>
    <t>User Value [DomeRadius]</t>
  </si>
  <si>
    <t>User Value [OpPress]</t>
  </si>
  <si>
    <t>User Value [AvgPercentLiq]</t>
  </si>
  <si>
    <t>User Value [MaxPercentLiq]</t>
  </si>
  <si>
    <t>User Value [AnnNetTP]</t>
  </si>
  <si>
    <t>bbl/day</t>
  </si>
  <si>
    <t>User Value [OREff]</t>
  </si>
  <si>
    <t>User Value [MaxAvgT]</t>
  </si>
  <si>
    <t>User Value [MinAvgT]</t>
  </si>
  <si>
    <t>User Value [BulkLiqT]</t>
  </si>
  <si>
    <t>User Value [AvgP]</t>
  </si>
  <si>
    <t>User Value [ThermI]</t>
  </si>
  <si>
    <t>Btu/ft^2/day</t>
  </si>
  <si>
    <t>User Value [AvgWindSpeed]</t>
  </si>
  <si>
    <t>mi/h</t>
  </si>
  <si>
    <t>User Value [MaxHourlyLoadingRate]</t>
  </si>
  <si>
    <t>bbl/hr</t>
  </si>
  <si>
    <t>User Value [EntrainedOilFrac]</t>
  </si>
  <si>
    <t>User Value [TurnoverRate]</t>
  </si>
  <si>
    <t>User Value [LLossSatFactor]</t>
  </si>
  <si>
    <t>User Value [AtmPressure]</t>
  </si>
  <si>
    <t>User Value [TVP]</t>
  </si>
  <si>
    <t>User Value [MaxVP]</t>
  </si>
  <si>
    <t>User Value [MinVP]</t>
  </si>
  <si>
    <t>User Value [AvgLiqSurfaceT]</t>
  </si>
  <si>
    <t>User Value [MaxLiqSurfaceT]</t>
  </si>
  <si>
    <t>User Value [TotalLosses]</t>
  </si>
  <si>
    <t>User Value [WorkingLosses]</t>
  </si>
  <si>
    <t>User Value [StandingLosses]</t>
  </si>
  <si>
    <t>User Value [RimSealLosses]</t>
  </si>
  <si>
    <t>User Value [WithdrawalLoss]</t>
  </si>
  <si>
    <t>User Value [LoadingLosses]</t>
  </si>
  <si>
    <t>User Value [MaxHourlyLoadingLoss]</t>
  </si>
  <si>
    <t>User Value [PStar]</t>
  </si>
  <si>
    <t>User Value [AllCTotalLosses]</t>
  </si>
  <si>
    <t>User Value [AllCLoadingLosses]</t>
  </si>
  <si>
    <t>User Value [AllCMaxHLoadingLoss]</t>
  </si>
  <si>
    <t>User Value [AllCFlashingLosses]</t>
  </si>
  <si>
    <t>User Value [DeckFittingLosses]</t>
  </si>
  <si>
    <t>User Value [DeckSeamLosses]</t>
  </si>
  <si>
    <t>User Value [FlashingLosses]</t>
  </si>
  <si>
    <t>User Value [TotalResidual]</t>
  </si>
  <si>
    <t>User Value [GasMoleWeight]</t>
  </si>
  <si>
    <t>kg/mol</t>
  </si>
  <si>
    <t>User Value [VapReportableFrac]</t>
  </si>
  <si>
    <t>User Value [LiqReportableFrac]</t>
  </si>
  <si>
    <t>User Value [FlashReportableFrac]</t>
  </si>
  <si>
    <t>Notes:</t>
  </si>
  <si>
    <r>
      <t>PM</t>
    </r>
    <r>
      <rPr>
        <vertAlign val="subscript"/>
        <sz val="12"/>
        <rFont val="Book Antiqua"/>
        <family val="1"/>
      </rPr>
      <t>10 &amp; 2.5</t>
    </r>
  </si>
  <si>
    <t>PM</t>
  </si>
  <si>
    <r>
      <t>E</t>
    </r>
    <r>
      <rPr>
        <vertAlign val="subscript"/>
        <sz val="12"/>
        <rFont val="Book Antiqua"/>
        <family val="1"/>
      </rPr>
      <t>a,CH4</t>
    </r>
    <r>
      <rPr>
        <sz val="12"/>
        <rFont val="Book Antiqua"/>
        <family val="1"/>
      </rPr>
      <t xml:space="preserve"> = V</t>
    </r>
    <r>
      <rPr>
        <vertAlign val="subscript"/>
        <sz val="12"/>
        <rFont val="Book Antiqua"/>
        <family val="1"/>
      </rPr>
      <t>a</t>
    </r>
    <r>
      <rPr>
        <sz val="12"/>
        <rFont val="Book Antiqua"/>
        <family val="1"/>
      </rPr>
      <t xml:space="preserve"> * Χ</t>
    </r>
    <r>
      <rPr>
        <vertAlign val="subscript"/>
        <sz val="12"/>
        <rFont val="Book Antiqua"/>
        <family val="1"/>
      </rPr>
      <t>CH4</t>
    </r>
    <r>
      <rPr>
        <sz val="12"/>
        <rFont val="Book Antiqua"/>
        <family val="1"/>
      </rPr>
      <t xml:space="preserve"> * [(1- η)* Z</t>
    </r>
    <r>
      <rPr>
        <vertAlign val="subscript"/>
        <sz val="12"/>
        <rFont val="Book Antiqua"/>
        <family val="1"/>
      </rPr>
      <t>L</t>
    </r>
    <r>
      <rPr>
        <sz val="12"/>
        <rFont val="Book Antiqua"/>
        <family val="1"/>
      </rPr>
      <t xml:space="preserve"> + Z</t>
    </r>
    <r>
      <rPr>
        <vertAlign val="subscript"/>
        <sz val="12"/>
        <rFont val="Book Antiqua"/>
        <family val="1"/>
      </rPr>
      <t>U</t>
    </r>
  </si>
  <si>
    <r>
      <t xml:space="preserve"> Χ</t>
    </r>
    <r>
      <rPr>
        <b/>
        <vertAlign val="subscript"/>
        <sz val="12"/>
        <rFont val="Book Antiqua"/>
        <family val="1"/>
      </rPr>
      <t>CH4</t>
    </r>
    <r>
      <rPr>
        <b/>
        <sz val="12"/>
        <rFont val="Book Antiqua"/>
        <family val="1"/>
      </rPr>
      <t xml:space="preserve"> =</t>
    </r>
    <r>
      <rPr>
        <b/>
        <vertAlign val="subscript"/>
        <sz val="12"/>
        <rFont val="Book Antiqua"/>
        <family val="1"/>
      </rPr>
      <t xml:space="preserve"> </t>
    </r>
  </si>
  <si>
    <r>
      <t>Z</t>
    </r>
    <r>
      <rPr>
        <b/>
        <vertAlign val="subscript"/>
        <sz val="12"/>
        <rFont val="Book Antiqua"/>
        <family val="1"/>
      </rPr>
      <t>L</t>
    </r>
    <r>
      <rPr>
        <b/>
        <sz val="12"/>
        <rFont val="Book Antiqua"/>
        <family val="1"/>
      </rPr>
      <t xml:space="preserve"> =</t>
    </r>
  </si>
  <si>
    <r>
      <t>Z</t>
    </r>
    <r>
      <rPr>
        <b/>
        <vertAlign val="subscript"/>
        <sz val="12"/>
        <rFont val="Book Antiqua"/>
        <family val="1"/>
      </rPr>
      <t>U</t>
    </r>
    <r>
      <rPr>
        <b/>
        <sz val="12"/>
        <rFont val="Book Antiqua"/>
        <family val="1"/>
      </rPr>
      <t xml:space="preserve"> =</t>
    </r>
  </si>
  <si>
    <r>
      <t>E</t>
    </r>
    <r>
      <rPr>
        <vertAlign val="subscript"/>
        <sz val="12"/>
        <rFont val="Book Antiqua"/>
        <family val="1"/>
      </rPr>
      <t>a,CO2</t>
    </r>
    <r>
      <rPr>
        <sz val="12"/>
        <rFont val="Book Antiqua"/>
        <family val="1"/>
      </rPr>
      <t xml:space="preserve"> (uncombusted) = V</t>
    </r>
    <r>
      <rPr>
        <vertAlign val="subscript"/>
        <sz val="12"/>
        <rFont val="Book Antiqua"/>
        <family val="1"/>
      </rPr>
      <t>a</t>
    </r>
    <r>
      <rPr>
        <sz val="12"/>
        <rFont val="Book Antiqua"/>
        <family val="1"/>
      </rPr>
      <t xml:space="preserve"> * Χ</t>
    </r>
    <r>
      <rPr>
        <vertAlign val="subscript"/>
        <sz val="12"/>
        <rFont val="Book Antiqua"/>
        <family val="1"/>
      </rPr>
      <t>CO2</t>
    </r>
    <r>
      <rPr>
        <sz val="12"/>
        <rFont val="Book Antiqua"/>
        <family val="1"/>
      </rPr>
      <t xml:space="preserve"> </t>
    </r>
  </si>
  <si>
    <r>
      <t xml:space="preserve"> Χ</t>
    </r>
    <r>
      <rPr>
        <b/>
        <vertAlign val="subscript"/>
        <sz val="12"/>
        <rFont val="Book Antiqua"/>
        <family val="1"/>
      </rPr>
      <t>CO2</t>
    </r>
    <r>
      <rPr>
        <b/>
        <sz val="12"/>
        <rFont val="Book Antiqua"/>
        <family val="1"/>
      </rPr>
      <t xml:space="preserve"> =</t>
    </r>
    <r>
      <rPr>
        <b/>
        <vertAlign val="subscript"/>
        <sz val="12"/>
        <rFont val="Book Antiqua"/>
        <family val="1"/>
      </rPr>
      <t xml:space="preserve"> </t>
    </r>
  </si>
  <si>
    <r>
      <t>E</t>
    </r>
    <r>
      <rPr>
        <vertAlign val="subscript"/>
        <sz val="12"/>
        <rFont val="Book Antiqua"/>
        <family val="1"/>
      </rPr>
      <t>a,CO2</t>
    </r>
    <r>
      <rPr>
        <sz val="12"/>
        <rFont val="Book Antiqua"/>
        <family val="1"/>
      </rPr>
      <t xml:space="preserve"> (combusted) = Σ (η * Va * Yj * Rj * Z</t>
    </r>
    <r>
      <rPr>
        <vertAlign val="subscript"/>
        <sz val="12"/>
        <rFont val="Book Antiqua"/>
        <family val="1"/>
      </rPr>
      <t>L</t>
    </r>
    <r>
      <rPr>
        <sz val="12"/>
        <rFont val="Book Antiqua"/>
        <family val="1"/>
      </rPr>
      <t>)</t>
    </r>
  </si>
  <si>
    <r>
      <t>V</t>
    </r>
    <r>
      <rPr>
        <b/>
        <vertAlign val="subscript"/>
        <sz val="12"/>
        <rFont val="Book Antiqua"/>
        <family val="1"/>
      </rPr>
      <t>a</t>
    </r>
    <r>
      <rPr>
        <b/>
        <sz val="12"/>
        <rFont val="Book Antiqua"/>
        <family val="1"/>
      </rPr>
      <t xml:space="preserve"> =</t>
    </r>
  </si>
  <si>
    <r>
      <t>E</t>
    </r>
    <r>
      <rPr>
        <b/>
        <vertAlign val="subscript"/>
        <sz val="12"/>
        <rFont val="Book Antiqua"/>
        <family val="1"/>
      </rPr>
      <t xml:space="preserve">a, CO2 </t>
    </r>
    <r>
      <rPr>
        <b/>
        <sz val="12"/>
        <rFont val="Book Antiqua"/>
        <family val="1"/>
      </rPr>
      <t>=</t>
    </r>
  </si>
  <si>
    <r>
      <t>Y</t>
    </r>
    <r>
      <rPr>
        <b/>
        <vertAlign val="subscript"/>
        <sz val="12"/>
        <rFont val="Book Antiqua"/>
        <family val="1"/>
      </rPr>
      <t>J</t>
    </r>
    <r>
      <rPr>
        <b/>
        <sz val="12"/>
        <rFont val="Book Antiqua"/>
        <family val="1"/>
      </rPr>
      <t xml:space="preserve">= </t>
    </r>
  </si>
  <si>
    <r>
      <t>E</t>
    </r>
    <r>
      <rPr>
        <vertAlign val="subscript"/>
        <sz val="12"/>
        <rFont val="Book Antiqua"/>
        <family val="1"/>
      </rPr>
      <t>s,n</t>
    </r>
    <r>
      <rPr>
        <sz val="12"/>
        <rFont val="Book Antiqua"/>
        <family val="1"/>
      </rPr>
      <t xml:space="preserve"> = </t>
    </r>
    <r>
      <rPr>
        <u/>
        <sz val="12"/>
        <rFont val="Book Antiqua"/>
        <family val="1"/>
      </rPr>
      <t>E</t>
    </r>
    <r>
      <rPr>
        <u/>
        <vertAlign val="subscript"/>
        <sz val="12"/>
        <rFont val="Book Antiqua"/>
        <family val="1"/>
      </rPr>
      <t>a,n</t>
    </r>
    <r>
      <rPr>
        <u/>
        <sz val="12"/>
        <rFont val="Book Antiqua"/>
        <family val="1"/>
      </rPr>
      <t xml:space="preserve"> * (459.67 + T</t>
    </r>
    <r>
      <rPr>
        <u/>
        <vertAlign val="subscript"/>
        <sz val="12"/>
        <rFont val="Book Antiqua"/>
        <family val="1"/>
      </rPr>
      <t>s</t>
    </r>
    <r>
      <rPr>
        <u/>
        <sz val="12"/>
        <rFont val="Book Antiqua"/>
        <family val="1"/>
      </rPr>
      <t>) * P</t>
    </r>
    <r>
      <rPr>
        <u/>
        <vertAlign val="subscript"/>
        <sz val="12"/>
        <rFont val="Book Antiqua"/>
        <family val="1"/>
      </rPr>
      <t>a</t>
    </r>
  </si>
  <si>
    <r>
      <t xml:space="preserve">         (459.67 + T</t>
    </r>
    <r>
      <rPr>
        <vertAlign val="subscript"/>
        <sz val="12"/>
        <rFont val="Book Antiqua"/>
        <family val="1"/>
      </rPr>
      <t>a</t>
    </r>
    <r>
      <rPr>
        <sz val="12"/>
        <rFont val="Book Antiqua"/>
        <family val="1"/>
      </rPr>
      <t>) * P</t>
    </r>
    <r>
      <rPr>
        <vertAlign val="subscript"/>
        <sz val="12"/>
        <rFont val="Book Antiqua"/>
        <family val="1"/>
      </rPr>
      <t>s</t>
    </r>
  </si>
  <si>
    <r>
      <t>E</t>
    </r>
    <r>
      <rPr>
        <b/>
        <vertAlign val="subscript"/>
        <sz val="12"/>
        <rFont val="Book Antiqua"/>
        <family val="1"/>
      </rPr>
      <t>a,n</t>
    </r>
    <r>
      <rPr>
        <b/>
        <sz val="12"/>
        <rFont val="Book Antiqua"/>
        <family val="1"/>
      </rPr>
      <t>(CH4) =</t>
    </r>
  </si>
  <si>
    <r>
      <t>E</t>
    </r>
    <r>
      <rPr>
        <b/>
        <vertAlign val="subscript"/>
        <sz val="12"/>
        <rFont val="Book Antiqua"/>
        <family val="1"/>
      </rPr>
      <t>a,n</t>
    </r>
    <r>
      <rPr>
        <b/>
        <sz val="12"/>
        <rFont val="Book Antiqua"/>
        <family val="1"/>
      </rPr>
      <t>(CO2) =</t>
    </r>
  </si>
  <si>
    <r>
      <t>Mass</t>
    </r>
    <r>
      <rPr>
        <vertAlign val="subscript"/>
        <sz val="12"/>
        <rFont val="Book Antiqua"/>
        <family val="1"/>
      </rPr>
      <t>s,i</t>
    </r>
    <r>
      <rPr>
        <sz val="12"/>
        <rFont val="Book Antiqua"/>
        <family val="1"/>
      </rPr>
      <t xml:space="preserve"> = E</t>
    </r>
    <r>
      <rPr>
        <vertAlign val="subscript"/>
        <sz val="12"/>
        <rFont val="Book Antiqua"/>
        <family val="1"/>
      </rPr>
      <t>s,i</t>
    </r>
    <r>
      <rPr>
        <sz val="12"/>
        <rFont val="Book Antiqua"/>
        <family val="1"/>
      </rPr>
      <t xml:space="preserve"> * ρ</t>
    </r>
    <r>
      <rPr>
        <vertAlign val="subscript"/>
        <sz val="12"/>
        <rFont val="Book Antiqua"/>
        <family val="1"/>
      </rPr>
      <t>i</t>
    </r>
    <r>
      <rPr>
        <sz val="12"/>
        <rFont val="Book Antiqua"/>
        <family val="1"/>
      </rPr>
      <t xml:space="preserve"> * 10</t>
    </r>
    <r>
      <rPr>
        <vertAlign val="superscript"/>
        <sz val="12"/>
        <rFont val="Book Antiqua"/>
        <family val="1"/>
      </rPr>
      <t>3</t>
    </r>
  </si>
  <si>
    <r>
      <t>E</t>
    </r>
    <r>
      <rPr>
        <b/>
        <vertAlign val="subscript"/>
        <sz val="12"/>
        <rFont val="Book Antiqua"/>
        <family val="1"/>
      </rPr>
      <t xml:space="preserve">s,i </t>
    </r>
    <r>
      <rPr>
        <b/>
        <sz val="12"/>
        <rFont val="Book Antiqua"/>
        <family val="1"/>
      </rPr>
      <t>(CH4) =</t>
    </r>
  </si>
  <si>
    <r>
      <t>E</t>
    </r>
    <r>
      <rPr>
        <b/>
        <vertAlign val="subscript"/>
        <sz val="12"/>
        <rFont val="Book Antiqua"/>
        <family val="1"/>
      </rPr>
      <t xml:space="preserve">s,i </t>
    </r>
    <r>
      <rPr>
        <b/>
        <sz val="12"/>
        <rFont val="Book Antiqua"/>
        <family val="1"/>
      </rPr>
      <t>(CO2) =</t>
    </r>
  </si>
  <si>
    <r>
      <t>p</t>
    </r>
    <r>
      <rPr>
        <b/>
        <vertAlign val="subscript"/>
        <sz val="12"/>
        <rFont val="Book Antiqua"/>
        <family val="1"/>
      </rPr>
      <t xml:space="preserve">i </t>
    </r>
    <r>
      <rPr>
        <b/>
        <sz val="12"/>
        <rFont val="Book Antiqua"/>
        <family val="1"/>
      </rPr>
      <t xml:space="preserve">(CH4) = </t>
    </r>
  </si>
  <si>
    <r>
      <t>p</t>
    </r>
    <r>
      <rPr>
        <b/>
        <vertAlign val="subscript"/>
        <sz val="12"/>
        <rFont val="Book Antiqua"/>
        <family val="1"/>
      </rPr>
      <t xml:space="preserve">i </t>
    </r>
    <r>
      <rPr>
        <b/>
        <sz val="12"/>
        <rFont val="Book Antiqua"/>
        <family val="1"/>
      </rPr>
      <t xml:space="preserve">(CO2) = </t>
    </r>
  </si>
  <si>
    <r>
      <t>CO</t>
    </r>
    <r>
      <rPr>
        <vertAlign val="subscript"/>
        <sz val="12"/>
        <rFont val="Book Antiqua"/>
        <family val="1"/>
      </rPr>
      <t>2</t>
    </r>
    <r>
      <rPr>
        <sz val="12"/>
        <rFont val="Book Antiqua"/>
        <family val="1"/>
      </rPr>
      <t>e = CO</t>
    </r>
    <r>
      <rPr>
        <vertAlign val="subscript"/>
        <sz val="12"/>
        <rFont val="Book Antiqua"/>
        <family val="1"/>
      </rPr>
      <t>2</t>
    </r>
    <r>
      <rPr>
        <sz val="12"/>
        <rFont val="Book Antiqua"/>
        <family val="1"/>
      </rPr>
      <t xml:space="preserve"> + (CH</t>
    </r>
    <r>
      <rPr>
        <vertAlign val="subscript"/>
        <sz val="12"/>
        <rFont val="Book Antiqua"/>
        <family val="1"/>
      </rPr>
      <t>4</t>
    </r>
    <r>
      <rPr>
        <sz val="12"/>
        <rFont val="Book Antiqua"/>
        <family val="1"/>
      </rPr>
      <t xml:space="preserve"> X GWP)</t>
    </r>
  </si>
  <si>
    <r>
      <t>CO</t>
    </r>
    <r>
      <rPr>
        <vertAlign val="subscript"/>
        <sz val="12"/>
        <rFont val="Book Antiqua"/>
        <family val="1"/>
      </rPr>
      <t>2</t>
    </r>
    <r>
      <rPr>
        <sz val="12"/>
        <rFont val="Book Antiqua"/>
        <family val="1"/>
      </rPr>
      <t>e</t>
    </r>
  </si>
  <si>
    <r>
      <t>PM</t>
    </r>
    <r>
      <rPr>
        <b/>
        <vertAlign val="subscript"/>
        <sz val="12"/>
        <color indexed="8"/>
        <rFont val="Book Antiqua"/>
        <family val="1"/>
      </rPr>
      <t>10</t>
    </r>
    <r>
      <rPr>
        <b/>
        <sz val="12"/>
        <color indexed="8"/>
        <rFont val="Book Antiqua"/>
        <family val="1"/>
      </rPr>
      <t xml:space="preserve"> Emissions</t>
    </r>
  </si>
  <si>
    <r>
      <t>PM</t>
    </r>
    <r>
      <rPr>
        <b/>
        <vertAlign val="subscript"/>
        <sz val="12"/>
        <color indexed="8"/>
        <rFont val="Book Antiqua"/>
        <family val="1"/>
      </rPr>
      <t>2.5</t>
    </r>
    <r>
      <rPr>
        <b/>
        <sz val="12"/>
        <color indexed="8"/>
        <rFont val="Book Antiqua"/>
        <family val="1"/>
      </rPr>
      <t xml:space="preserve"> Emissions</t>
    </r>
  </si>
  <si>
    <t>ESTIMATED NUMBER OF TRUCK LOADS PER YEAR</t>
  </si>
  <si>
    <t>E-Hourly (lbs/VMT)</t>
  </si>
  <si>
    <t>TOTAL ESTIMATED SITE VISITS PER YEAR</t>
  </si>
  <si>
    <t>Rain Days</t>
  </si>
  <si>
    <t>E-Annual (lbs/VMT)</t>
  </si>
  <si>
    <t>Total Individual 
HAPS (tpy)</t>
  </si>
  <si>
    <t>Dichloro
benzene</t>
  </si>
  <si>
    <t>N-
Hexane</t>
  </si>
  <si>
    <t xml:space="preserve">FACILITY IDENTIFICATION NUMBER </t>
  </si>
  <si>
    <t>STACK NUMBER</t>
  </si>
  <si>
    <t>Total HAPs 
Weight %</t>
  </si>
  <si>
    <t>Phase
(Gas, Liquid, or Solid)</t>
  </si>
  <si>
    <t>Total Combined 
HAPS (tpy)</t>
  </si>
  <si>
    <t>Condensate Storage Tank</t>
  </si>
  <si>
    <t>Condensate</t>
  </si>
  <si>
    <t>Emission unit number(s):</t>
  </si>
  <si>
    <t>Source description:</t>
  </si>
  <si>
    <t>Fuel Consumption</t>
  </si>
  <si>
    <t>Input heat rate:</t>
  </si>
  <si>
    <t>MMBtu/hr</t>
  </si>
  <si>
    <t>Fuel heat value:</t>
  </si>
  <si>
    <t>Btu/scf</t>
  </si>
  <si>
    <t>Fuel rate:</t>
  </si>
  <si>
    <t>scf/hr</t>
  </si>
  <si>
    <t>Input heat rate / fuel heat value</t>
  </si>
  <si>
    <t>Annual fuel usage:</t>
  </si>
  <si>
    <t>MMscf/yr</t>
  </si>
  <si>
    <t>8760 hrs/yr operation</t>
  </si>
  <si>
    <t>Exhaust Parameters</t>
  </si>
  <si>
    <t>Heat Rate:</t>
  </si>
  <si>
    <t>MBtu/hr</t>
  </si>
  <si>
    <t>Exhaust temp (Tstk):</t>
  </si>
  <si>
    <t>Stack diameter:</t>
  </si>
  <si>
    <t>Stack height:</t>
  </si>
  <si>
    <t>Exhaust velocity:</t>
  </si>
  <si>
    <t>ft/sec</t>
  </si>
  <si>
    <t>Emission Rates</t>
  </si>
  <si>
    <t>Uncontrolled Heater Emissions</t>
  </si>
  <si>
    <t>lb/MMscf (Adjusted for site Btu)</t>
  </si>
  <si>
    <t>tpy (8760 hrs)</t>
  </si>
  <si>
    <t>lb/MMscf</t>
  </si>
  <si>
    <t>GHG Emissions</t>
  </si>
  <si>
    <t>lb/MMbtu</t>
  </si>
  <si>
    <t>40 CFR 98 Emission Factors. Global warming potential of 25 for CH4 and 298 for N20.</t>
  </si>
  <si>
    <t>EDDY COUNTY, NEW MEXICO</t>
  </si>
  <si>
    <t>NO2 MW</t>
  </si>
  <si>
    <t>lb/lb-mole</t>
  </si>
  <si>
    <t>CO MW</t>
  </si>
  <si>
    <t>Ideal Gas Law</t>
  </si>
  <si>
    <t>SCF/lb-mole</t>
  </si>
  <si>
    <t>Burner Output Rating  (MMBTU/Hr)</t>
  </si>
  <si>
    <t>Burner Design Input (MMBTU/Hr)</t>
  </si>
  <si>
    <t>CO
(lb/MMBtu)</t>
  </si>
  <si>
    <t>VOC
(lb/MMBtu)</t>
  </si>
  <si>
    <r>
      <t>PM</t>
    </r>
    <r>
      <rPr>
        <vertAlign val="subscript"/>
        <sz val="12"/>
        <rFont val="Book Antiqua"/>
        <family val="1"/>
      </rPr>
      <t xml:space="preserve">10 &amp; 2.5
</t>
    </r>
    <r>
      <rPr>
        <sz val="12"/>
        <rFont val="Book Antiqua"/>
        <family val="1"/>
      </rPr>
      <t>(lb/MMscf)</t>
    </r>
  </si>
  <si>
    <t xml:space="preserve">Manufacturer's Data (NOx, CO, VOC) </t>
  </si>
  <si>
    <t>THM</t>
  </si>
  <si>
    <t>NA</t>
  </si>
  <si>
    <t>Emergency Flare 1</t>
  </si>
  <si>
    <t>250
MMscfd</t>
  </si>
  <si>
    <t>Emergency Flare 2</t>
  </si>
  <si>
    <t>Emergency Flare 3</t>
  </si>
  <si>
    <t>Advance Tank</t>
  </si>
  <si>
    <t>100,000 bbl</t>
  </si>
  <si>
    <t>3rd-Party Oil Storage 1</t>
  </si>
  <si>
    <t>2,000 bbl</t>
  </si>
  <si>
    <t>3rd-Party Oil Storage 2</t>
  </si>
  <si>
    <t>3rd-Party Oil Storage 3</t>
  </si>
  <si>
    <t>3rd-Party Oil Storage 4</t>
  </si>
  <si>
    <t>3rd-Party Oil Storage 5</t>
  </si>
  <si>
    <t>3rd-Party Oil Storage 6</t>
  </si>
  <si>
    <t>Combustor</t>
  </si>
  <si>
    <t>Fugitives</t>
  </si>
  <si>
    <t>Haul Road Fugitives</t>
  </si>
  <si>
    <t>Produced Water Tank 1</t>
  </si>
  <si>
    <t>750 bbl</t>
  </si>
  <si>
    <t>Produced Water Tank 2</t>
  </si>
  <si>
    <t>Produced Water Loading</t>
  </si>
  <si>
    <t>Amine Unit 1</t>
  </si>
  <si>
    <t>250 MMSCFD</t>
  </si>
  <si>
    <t>Amine Unit 2</t>
  </si>
  <si>
    <t>Amine Unit 3</t>
  </si>
  <si>
    <t>Gunbarrel Tank</t>
  </si>
  <si>
    <t>1,000 bbl</t>
  </si>
  <si>
    <t>Slop Oil Tank</t>
  </si>
  <si>
    <r>
      <t>SO</t>
    </r>
    <r>
      <rPr>
        <vertAlign val="subscript"/>
        <sz val="12"/>
        <rFont val="Book Antiqua"/>
        <family val="1"/>
      </rPr>
      <t>2</t>
    </r>
    <r>
      <rPr>
        <vertAlign val="subscript"/>
        <sz val="12"/>
        <rFont val="Book Antiqua"/>
        <family val="1"/>
      </rPr>
      <t xml:space="preserve">
</t>
    </r>
    <r>
      <rPr>
        <sz val="12"/>
        <rFont val="Book Antiqua"/>
        <family val="1"/>
      </rPr>
      <t>(lb/MMscf)</t>
    </r>
  </si>
  <si>
    <t>Zeeco, Inc.</t>
  </si>
  <si>
    <t>HUSKY CDP</t>
  </si>
  <si>
    <r>
      <t>NOx</t>
    </r>
    <r>
      <rPr>
        <sz val="12"/>
        <rFont val="Book Antiqua"/>
        <family val="1"/>
      </rPr>
      <t xml:space="preserve">
(lb/MMBtu)</t>
    </r>
  </si>
  <si>
    <t xml:space="preserve">Truck Loading Losses Calculations </t>
  </si>
  <si>
    <t xml:space="preserve"> Average BOPD </t>
  </si>
  <si>
    <t xml:space="preserve"> Average BOPY</t>
  </si>
  <si>
    <t>Average True Vapor Pressure of liquid loaded (P) =</t>
  </si>
  <si>
    <t>Maximum True Vapor Pressure of liquid loaded (P) =</t>
  </si>
  <si>
    <t>Average Temperature of liquid loaded in Rankin (T) =</t>
  </si>
  <si>
    <t>Maximum Temperature of liquid loaded in Rankin (T) =</t>
  </si>
  <si>
    <t>Molecular Weight (M) =</t>
  </si>
  <si>
    <t>Control Efficiency * Collection Efficiency (EFF)=</t>
  </si>
  <si>
    <t>LL-Average (lb Total HC / bbl Throughput) =</t>
  </si>
  <si>
    <t>LL-Maximum (lb Total HC / bbl Throughput) =</t>
  </si>
  <si>
    <t>LL-Average (lb VOC / bbl Throughput) =</t>
  </si>
  <si>
    <t>LL-Maximum (lb VOC / bbl Throughput) =</t>
  </si>
  <si>
    <t>Estimated # of Loads (Approximately 1 hr/Load) =</t>
  </si>
  <si>
    <t>Total HAP Emissions</t>
  </si>
  <si>
    <t xml:space="preserve"> Average BWPD </t>
  </si>
  <si>
    <t xml:space="preserve"> Average BWPY</t>
  </si>
  <si>
    <t>Emergency Generator</t>
  </si>
  <si>
    <t>CAT</t>
  </si>
  <si>
    <t>20.2.72.202.B.3</t>
  </si>
  <si>
    <t>kW</t>
  </si>
  <si>
    <t>Standby Generator &lt; 500 hrs/yr</t>
  </si>
  <si>
    <t>Mnf. Guarantee</t>
  </si>
  <si>
    <t>N/A - This facility does not have Special Stacks</t>
  </si>
  <si>
    <r>
      <rPr>
        <sz val="10"/>
        <rFont val="Wingdings"/>
        <charset val="2"/>
      </rPr>
      <t>þ</t>
    </r>
    <r>
      <rPr>
        <sz val="10"/>
        <rFont val="Times New Roman"/>
        <family val="1"/>
      </rPr>
      <t xml:space="preserve">  I have elected to leave this table blank because this facility does not have any stacks/vents that split emissions from a single source or combine emissions from more than one source listed in table 2-A.  Additionally, the emission rates of all stacks match the Requested allowable emission rates  stated in Table 2-E.</t>
    </r>
  </si>
  <si>
    <t>80 MMBTU/h Heater</t>
  </si>
  <si>
    <t>Regen Heaters</t>
  </si>
  <si>
    <t>Flares</t>
  </si>
  <si>
    <t>TOs</t>
  </si>
  <si>
    <r>
      <t xml:space="preserve">Benzene
</t>
    </r>
    <r>
      <rPr>
        <b/>
        <sz val="8"/>
        <rFont val="Wingdings"/>
        <charset val="2"/>
      </rPr>
      <t>þ</t>
    </r>
    <r>
      <rPr>
        <b/>
        <sz val="10"/>
        <rFont val="Times New Roman"/>
        <family val="1"/>
      </rPr>
      <t xml:space="preserve"> HAP or  TAP</t>
    </r>
  </si>
  <si>
    <t>Lower Heating Value
(Btu/scf)</t>
  </si>
  <si>
    <t>% Sulfur
(by weight)</t>
  </si>
  <si>
    <t>Natural Gas VOC</t>
  </si>
  <si>
    <t>Pentane</t>
  </si>
  <si>
    <t>Pollutant</t>
  </si>
  <si>
    <t>(ppmv)</t>
  </si>
  <si>
    <t>lbmol/hr</t>
  </si>
  <si>
    <t>H2O</t>
  </si>
  <si>
    <t>N2</t>
  </si>
  <si>
    <t>O2</t>
  </si>
  <si>
    <t>PV=nRT</t>
  </si>
  <si>
    <t>ft3/hr</t>
  </si>
  <si>
    <t>i-Butane</t>
  </si>
  <si>
    <t>i-Pentane</t>
  </si>
  <si>
    <t>MDEA</t>
  </si>
  <si>
    <t>Piperazine</t>
  </si>
  <si>
    <t>Amine Reboiler Still Vent</t>
  </si>
  <si>
    <t>Destruction Efficiency</t>
  </si>
  <si>
    <t>Flare Exhaust (controlled)</t>
  </si>
  <si>
    <t xml:space="preserve">Emission Rate </t>
  </si>
  <si>
    <t>Emission Factor</t>
  </si>
  <si>
    <t>Emission Factor Units</t>
  </si>
  <si>
    <t>H2S molecular weight</t>
  </si>
  <si>
    <t>SO2 molecular weight</t>
  </si>
  <si>
    <t>(%)</t>
  </si>
  <si>
    <t>Destruction Efficeincy</t>
  </si>
  <si>
    <t xml:space="preserve">Total </t>
  </si>
  <si>
    <t>Total HAP</t>
  </si>
  <si>
    <t>Heating Value (Btu/scf)</t>
  </si>
  <si>
    <t>SO2 Emissions (lb/hr)</t>
  </si>
  <si>
    <t>Volumetric Flow (scf/hr)</t>
  </si>
  <si>
    <t>Heat Release (MMBtu/hr)</t>
  </si>
  <si>
    <t>Footnotes:</t>
  </si>
  <si>
    <r>
      <rPr>
        <vertAlign val="superscript"/>
        <sz val="9"/>
        <rFont val="Book Antiqua"/>
        <family val="1"/>
      </rPr>
      <t xml:space="preserve">a </t>
    </r>
    <r>
      <rPr>
        <sz val="9"/>
        <rFont val="Book Antiqua"/>
        <family val="1"/>
      </rPr>
      <t>Uncontrolled stream properties determined via ProMax.</t>
    </r>
  </si>
  <si>
    <t>Exhaust Stream (controlled)</t>
  </si>
  <si>
    <t>(ton/yr)</t>
  </si>
  <si>
    <t>12 Month Operating Hours</t>
  </si>
  <si>
    <t>Days</t>
  </si>
  <si>
    <t>SO2 Emissions (tpy)</t>
  </si>
  <si>
    <t>Volumetric Flow (scf/yr)</t>
  </si>
  <si>
    <t>Heat Release (MMBtu/yr)</t>
  </si>
  <si>
    <t>Blowdown</t>
  </si>
  <si>
    <t>Dry Basis Sour Gas</t>
  </si>
  <si>
    <t>LA Circulation</t>
  </si>
  <si>
    <t>Makeup</t>
  </si>
  <si>
    <t>Recycle Guess</t>
  </si>
  <si>
    <t>Sour Feed</t>
  </si>
  <si>
    <t>Steam</t>
  </si>
  <si>
    <t>4 Sweet Gas</t>
  </si>
  <si>
    <t>5 Rich Amine</t>
  </si>
  <si>
    <t>6 Flash Gas</t>
  </si>
  <si>
    <t>11 Vent Gas</t>
  </si>
  <si>
    <t>14 Lean Amine</t>
  </si>
  <si>
    <t>MDEA+ Makeup</t>
  </si>
  <si>
    <t>Steam Tubes</t>
  </si>
  <si>
    <t>Recycle</t>
  </si>
  <si>
    <t>Absorber</t>
  </si>
  <si>
    <t>Rich Flash</t>
  </si>
  <si>
    <t>Lean Rich Exchanger</t>
  </si>
  <si>
    <t>Regenerator</t>
  </si>
  <si>
    <t>Condenser</t>
  </si>
  <si>
    <t>Circulation Pump</t>
  </si>
  <si>
    <t>Trim Cooler</t>
  </si>
  <si>
    <t>VSSL-100</t>
  </si>
  <si>
    <t>Pressure</t>
  </si>
  <si>
    <t>Net Ideal Gas Heating Value</t>
  </si>
  <si>
    <t>Amine Flash Gas</t>
  </si>
  <si>
    <t>Thermal Oxidizer DRE</t>
  </si>
  <si>
    <t>Calculation Factors:</t>
  </si>
  <si>
    <t>Manufacturers Guaranteed Outlet Concentration</t>
  </si>
  <si>
    <r>
      <rPr>
        <vertAlign val="superscript"/>
        <sz val="9"/>
        <rFont val="Book Antiqua"/>
        <family val="1"/>
      </rPr>
      <t xml:space="preserve">b </t>
    </r>
    <r>
      <rPr>
        <sz val="9"/>
        <rFont val="Book Antiqua"/>
        <family val="1"/>
      </rPr>
      <t>TO CO and NOx exhuast emissions gaurantee provided by ZEECO.  PM and PM2.5 emission factors from AP-42, Table 1.4-1 and 1.4-2, July 1998.  SO2 emissions assume 100% conversion of H2S to SO2.</t>
    </r>
  </si>
  <si>
    <t>LP Header Purge Gas</t>
  </si>
  <si>
    <t>L.P.  Flare Header Purge Gas</t>
  </si>
  <si>
    <t>H.P. Flare Header Purge Gas</t>
  </si>
  <si>
    <t>TO Assist Fuel</t>
  </si>
  <si>
    <t>HP Header Purge Gas</t>
  </si>
  <si>
    <t>Pilot Fuel</t>
  </si>
  <si>
    <t>TO Fuel</t>
  </si>
  <si>
    <t>Flare DRE</t>
  </si>
  <si>
    <r>
      <rPr>
        <vertAlign val="superscript"/>
        <sz val="9"/>
        <rFont val="Book Antiqua"/>
        <family val="1"/>
      </rPr>
      <t xml:space="preserve">b </t>
    </r>
    <r>
      <rPr>
        <sz val="9"/>
        <rFont val="Book Antiqua"/>
        <family val="1"/>
      </rPr>
      <t>Flare CO and NOx emission factors from TCEQ Air Permit Techincal Guidance for Chemical Sources.  PM and PM2.5 emission factors from AP-42, Table 1.4-1 and 1.4-2, July 1998.  SO2 emissions assume 100% conversion of H2S to SO2.</t>
    </r>
  </si>
  <si>
    <t>Mole%</t>
  </si>
  <si>
    <t>Iso-butane</t>
  </si>
  <si>
    <t>N-butane</t>
  </si>
  <si>
    <t>Iso-pentane</t>
  </si>
  <si>
    <t>N-pentane</t>
  </si>
  <si>
    <t>i-C7</t>
  </si>
  <si>
    <t>Undecanes Plus</t>
  </si>
  <si>
    <t>TOTALS</t>
  </si>
  <si>
    <t>Specific Gravity</t>
  </si>
  <si>
    <t>Oxygen</t>
  </si>
  <si>
    <t>22-Mpropane</t>
  </si>
  <si>
    <t>22-Mbutane</t>
  </si>
  <si>
    <t>23-Mbutane</t>
  </si>
  <si>
    <t>2-Mpentane</t>
  </si>
  <si>
    <t>3-Mpentane</t>
  </si>
  <si>
    <t>Hexanes*</t>
  </si>
  <si>
    <t>Mcyclopentan</t>
  </si>
  <si>
    <t>2-Mhexane</t>
  </si>
  <si>
    <t>3-Mhexane</t>
  </si>
  <si>
    <t>224-Mpentane</t>
  </si>
  <si>
    <t>Heptanes*</t>
  </si>
  <si>
    <t>Mcyclohexane</t>
  </si>
  <si>
    <t>Octanes*</t>
  </si>
  <si>
    <t>E-Benzene</t>
  </si>
  <si>
    <t>m-Xylene</t>
  </si>
  <si>
    <t>p-Xylene</t>
  </si>
  <si>
    <t>Nonanes*</t>
  </si>
  <si>
    <t>Decanes*</t>
  </si>
  <si>
    <t>Undecanes_3*</t>
  </si>
  <si>
    <t>Dodecanes_3*</t>
  </si>
  <si>
    <t>Triadecanes_3*</t>
  </si>
  <si>
    <t>Tetradecanes_3*</t>
  </si>
  <si>
    <t>Pentadecanes_3*</t>
  </si>
  <si>
    <t>Hexadecanes_3*</t>
  </si>
  <si>
    <t>Heptadecanes_3*</t>
  </si>
  <si>
    <t>Octadecanes_3*</t>
  </si>
  <si>
    <t>Nonadecanes_3*</t>
  </si>
  <si>
    <t>eicosanes_3*</t>
  </si>
  <si>
    <t>Heneicosanes_3*</t>
  </si>
  <si>
    <t>Dodocosanes_3*</t>
  </si>
  <si>
    <t>Triacosanes_3*</t>
  </si>
  <si>
    <t>Tetracosanes_3*</t>
  </si>
  <si>
    <t>Pentacosanes_3*</t>
  </si>
  <si>
    <t>Hexacosanes_3*</t>
  </si>
  <si>
    <t>Heptacosanes_3*</t>
  </si>
  <si>
    <t>Octacosanes_3*</t>
  </si>
  <si>
    <t>Nonacosanes_3*</t>
  </si>
  <si>
    <t>Triacontanes*</t>
  </si>
  <si>
    <t>C31+_2*</t>
  </si>
  <si>
    <t>DTRM-G</t>
  </si>
  <si>
    <t>NC30*</t>
  </si>
  <si>
    <t>NC31-35*</t>
  </si>
  <si>
    <t>TexaTherm</t>
  </si>
  <si>
    <t>NC31-35_1*</t>
  </si>
  <si>
    <t>Cyclopentanes</t>
  </si>
  <si>
    <t>Other Heptanes</t>
  </si>
  <si>
    <t>M&amp;P-Xylene</t>
  </si>
  <si>
    <t>Nonanes</t>
  </si>
  <si>
    <t>Octanes</t>
  </si>
  <si>
    <t xml:space="preserve">Decanes </t>
  </si>
  <si>
    <t xml:space="preserve">Undecanes </t>
  </si>
  <si>
    <t>HYSYS COMPONENTS</t>
  </si>
  <si>
    <t>PROMAX COMPONENTS</t>
  </si>
  <si>
    <t>PROCESS SIMULATION COMPONENTS</t>
  </si>
  <si>
    <t>Characteristics of Undecanes Plus</t>
  </si>
  <si>
    <t>Molecular Weight (lb/lbmol)</t>
  </si>
  <si>
    <t>PROCESS SIMULATION COMPONENTS - SURGE VESSEL WATER</t>
  </si>
  <si>
    <t>PROCESS SIMULATION COMPONENTS - IFR TANKS INLET OIL</t>
  </si>
  <si>
    <t>PROCESS SIMULATION COMPONENTS - DRAIN VESSEL OUTLET WATER</t>
  </si>
  <si>
    <t>PROCESS SIMULATION COMPONENTS - DRAIN VESSEL OUTLET OIL</t>
  </si>
  <si>
    <t>W&amp;B Losses</t>
  </si>
  <si>
    <t>Flashing Losses</t>
  </si>
  <si>
    <t>Combustor DRE</t>
  </si>
  <si>
    <t>COMBUSTOR HOURLY EMISSIONS</t>
  </si>
  <si>
    <t>COMBUSTOR ANNUAL EMISSIONS</t>
  </si>
  <si>
    <t>Drain Vessel Oil</t>
  </si>
  <si>
    <t>Drain Vessel Water</t>
  </si>
  <si>
    <t>IFR inlet</t>
  </si>
  <si>
    <t>STAB Outlet</t>
  </si>
  <si>
    <t>Surge Vessel Water</t>
  </si>
  <si>
    <t>Third Party Oil</t>
  </si>
  <si>
    <t>Working Losses</t>
  </si>
  <si>
    <t>100 K Breathing Losses</t>
  </si>
  <si>
    <t>IFR - 100k</t>
  </si>
  <si>
    <t>Oil Storage Tanks</t>
  </si>
  <si>
    <t>Produced Water Tanks</t>
  </si>
  <si>
    <t>Nitrogen, Atomic</t>
  </si>
  <si>
    <t>Nonane</t>
  </si>
  <si>
    <t>Decane</t>
  </si>
  <si>
    <t>TO PILOT FUEL</t>
  </si>
  <si>
    <r>
      <rPr>
        <vertAlign val="superscript"/>
        <sz val="9"/>
        <rFont val="Book Antiqua"/>
        <family val="1"/>
      </rPr>
      <t>b</t>
    </r>
    <r>
      <rPr>
        <sz val="9"/>
        <rFont val="Book Antiqua"/>
        <family val="1"/>
      </rPr>
      <t>Flare CO and NOx emission factors from TCEQ Air Permit Techincal Guidance for Chemical Sources.  PM and PM2.5 emission factors from AP-42, Table 1.4-1 and 1.4-2, July 1998.  SO2 emissions assume 100% conversion of H2S to SO2.</t>
    </r>
  </si>
  <si>
    <t>COMBUSTOR - HOURLY (EPN: ECD1)</t>
  </si>
  <si>
    <t>COMBUSTOR - ANNUAL (EPN: ECD1)</t>
  </si>
  <si>
    <t>Number of Tanks</t>
  </si>
  <si>
    <t>Tank Size</t>
  </si>
  <si>
    <t>BBL</t>
  </si>
  <si>
    <t>Control Device</t>
  </si>
  <si>
    <t>Condensate Throughput</t>
  </si>
  <si>
    <t>BBL/Day</t>
  </si>
  <si>
    <t>IFR TANK EMISSIONS</t>
  </si>
  <si>
    <t>IFR</t>
  </si>
  <si>
    <t>IFR Tank Information</t>
  </si>
  <si>
    <t>Manufacturer's Guaranteed Outlet Concentration</t>
  </si>
  <si>
    <t>Site Location</t>
  </si>
  <si>
    <t>Discharge Parameters</t>
  </si>
  <si>
    <t>Fuel Data</t>
  </si>
  <si>
    <t>County</t>
  </si>
  <si>
    <t>Stack height (feet)</t>
  </si>
  <si>
    <t>Fuel Type</t>
  </si>
  <si>
    <t>Stack diameter (feet)</t>
  </si>
  <si>
    <t>Fuel Consumption (BTU/bhp-hr)</t>
  </si>
  <si>
    <t>Stage Temperature (°F)</t>
  </si>
  <si>
    <t>Heat Value (HHV)</t>
  </si>
  <si>
    <t>field gas</t>
  </si>
  <si>
    <t>Existing or new source:</t>
  </si>
  <si>
    <t>Exit Velocity (fps)</t>
  </si>
  <si>
    <t>Heat Value (LHV)</t>
  </si>
  <si>
    <t>Installation date:</t>
  </si>
  <si>
    <t>Method of Emission Control</t>
  </si>
  <si>
    <t>Yes/No</t>
  </si>
  <si>
    <t>SCR Catalyst</t>
  </si>
  <si>
    <t>Model Number</t>
  </si>
  <si>
    <t>Serial Number</t>
  </si>
  <si>
    <t>Manufacture Date</t>
  </si>
  <si>
    <t>Last Rebuild Date</t>
  </si>
  <si>
    <t>Additional Required Information</t>
  </si>
  <si>
    <t>Horsepower:</t>
  </si>
  <si>
    <t>1.  Submit a copy of the engine manufacturer's site rating or general rating specification data.</t>
  </si>
  <si>
    <t>Fuel consumption (Btu/hp-hr):</t>
  </si>
  <si>
    <t>2.  Submit a typical fuel analysis, including sulfur content and heating value.  For gaseous fuels, provide mole percent of constituents.</t>
  </si>
  <si>
    <t>Hours of operation per year:</t>
  </si>
  <si>
    <t>3.  Submit a description of the air/fuel ratio control system (manufactuer's information is acceptable).</t>
  </si>
  <si>
    <t>Fuel Heat Value (Btu/SCF)</t>
  </si>
  <si>
    <r>
      <t>Fuel H</t>
    </r>
    <r>
      <rPr>
        <b/>
        <vertAlign val="subscript"/>
        <sz val="10"/>
        <rFont val="Arial"/>
        <family val="2"/>
      </rPr>
      <t>2</t>
    </r>
    <r>
      <rPr>
        <b/>
        <sz val="10"/>
        <rFont val="Arial"/>
        <family val="2"/>
      </rPr>
      <t>S content (mol%)</t>
    </r>
  </si>
  <si>
    <r>
      <t>MW SO</t>
    </r>
    <r>
      <rPr>
        <vertAlign val="subscript"/>
        <sz val="10"/>
        <color indexed="23"/>
        <rFont val="Arial"/>
        <family val="2"/>
      </rPr>
      <t>2</t>
    </r>
    <r>
      <rPr>
        <sz val="10"/>
        <color indexed="23"/>
        <rFont val="Arial"/>
        <family val="2"/>
      </rPr>
      <t xml:space="preserve"> = </t>
    </r>
  </si>
  <si>
    <t>grams/mole</t>
  </si>
  <si>
    <r>
      <t>SO</t>
    </r>
    <r>
      <rPr>
        <b/>
        <vertAlign val="subscript"/>
        <sz val="10"/>
        <rFont val="Arial"/>
        <family val="2"/>
      </rPr>
      <t>2</t>
    </r>
    <r>
      <rPr>
        <b/>
        <sz val="10"/>
        <rFont val="Arial"/>
        <family val="2"/>
      </rPr>
      <t xml:space="preserve"> produced (lb/hr) =</t>
    </r>
  </si>
  <si>
    <r>
      <t>SO</t>
    </r>
    <r>
      <rPr>
        <b/>
        <vertAlign val="subscript"/>
        <sz val="10"/>
        <rFont val="Arial"/>
        <family val="2"/>
      </rPr>
      <t>2</t>
    </r>
    <r>
      <rPr>
        <b/>
        <sz val="10"/>
        <rFont val="Arial"/>
        <family val="2"/>
      </rPr>
      <t xml:space="preserve"> produced (tpy) =</t>
    </r>
  </si>
  <si>
    <t>To Determine Emissions for Air Permitting</t>
  </si>
  <si>
    <t>from AP-42:</t>
  </si>
  <si>
    <r>
      <t>If available</t>
    </r>
    <r>
      <rPr>
        <b/>
        <sz val="10"/>
        <rFont val="Arial"/>
        <family val="2"/>
      </rPr>
      <t>, enter the test results or manufacturer's emission factors before control
(g/hp-hr)</t>
    </r>
  </si>
  <si>
    <t>appropriate
AP-42 factor</t>
  </si>
  <si>
    <t>emission factor used</t>
  </si>
  <si>
    <t>units</t>
  </si>
  <si>
    <t>Uncontrolled
lb/hr</t>
  </si>
  <si>
    <t>Uncontrolled
tpy</t>
  </si>
  <si>
    <r>
      <t>If present</t>
    </r>
    <r>
      <rPr>
        <b/>
        <sz val="10"/>
        <rFont val="Arial"/>
        <family val="2"/>
      </rPr>
      <t>, enter the efficiency of any control device
(as a %)</t>
    </r>
  </si>
  <si>
    <t>control factor used</t>
  </si>
  <si>
    <r>
      <t>SO</t>
    </r>
    <r>
      <rPr>
        <b/>
        <vertAlign val="subscript"/>
        <sz val="10"/>
        <rFont val="Arial"/>
        <family val="2"/>
      </rPr>
      <t>2</t>
    </r>
  </si>
  <si>
    <t>Formaldehyde</t>
  </si>
  <si>
    <t>Gunbarrel</t>
  </si>
  <si>
    <t xml:space="preserve">PROMAX WATER LOADING </t>
  </si>
  <si>
    <t>RVP</t>
  </si>
  <si>
    <t xml:space="preserve">W&amp;B Composition - </t>
  </si>
  <si>
    <t>CDP Pstreams Tab - Column W (Stream 14)</t>
  </si>
  <si>
    <t xml:space="preserve">VOC WT%= </t>
  </si>
  <si>
    <t xml:space="preserve">BWPD= </t>
  </si>
  <si>
    <t>bbl/d</t>
  </si>
  <si>
    <t>Truck Loading Losses - Slop Oil</t>
  </si>
  <si>
    <t>VOC Wt%</t>
  </si>
  <si>
    <t>HAP Wt%</t>
  </si>
  <si>
    <t>Volumetric Flow (scf/year)</t>
  </si>
  <si>
    <t>IFR TANKS EMISSION SUMMARY (PER TANK)</t>
  </si>
  <si>
    <t>ECD1</t>
  </si>
  <si>
    <t>COMBUSTOR (ECD1) GHG EMISSIONS SUMMARY</t>
  </si>
  <si>
    <t>THERMAL OXIDIZER HOURLY EMISSIONS (PER UNIT)</t>
  </si>
  <si>
    <t>TO</t>
  </si>
  <si>
    <t>Site Name</t>
  </si>
  <si>
    <t>Name</t>
  </si>
  <si>
    <t>Enter any notes here:</t>
  </si>
  <si>
    <t>Uncontrolled VOC Emissions</t>
  </si>
  <si>
    <t>Controlled VOC Emissions</t>
  </si>
  <si>
    <t xml:space="preserve">Valves </t>
  </si>
  <si>
    <t>Gas Vapor</t>
  </si>
  <si>
    <t>Light Liquid</t>
  </si>
  <si>
    <t>Pump</t>
  </si>
  <si>
    <t>Flanges/Connectors</t>
  </si>
  <si>
    <t>Controlled HAP Emissions</t>
  </si>
  <si>
    <t>Planned MSS - Internal and external floating roof tank landing emissions</t>
  </si>
  <si>
    <t xml:space="preserve">This section calculates standing idle and refilling emissions from landing of the floating roof tank.                                                                                                                                        
</t>
  </si>
  <si>
    <t xml:space="preserve">3. Enter information into the yellow boxes. </t>
  </si>
  <si>
    <t>4. VOC and H2S control efficiencies may be entered (if applicable).</t>
  </si>
  <si>
    <t>5. Use site specific analysis for input parameters such as weight percents, molecular weight, stock liquid density etc., of the liquid / product stored.</t>
  </si>
  <si>
    <t>6. Use the box provided below for entering any notes necessary (such as the source/justification for any calculation inputs).</t>
  </si>
  <si>
    <t>7. Make sure to answer the control device question.</t>
  </si>
  <si>
    <t>8. Make sure to select the correct VOC Type and Emission Type from the pull down menus below.</t>
  </si>
  <si>
    <t>Hourly Emissions</t>
  </si>
  <si>
    <t>Annual Emissions</t>
  </si>
  <si>
    <t>Company Name:</t>
  </si>
  <si>
    <t xml:space="preserve">EPN No: </t>
  </si>
  <si>
    <t>Tank No.:</t>
  </si>
  <si>
    <t>Product stored:</t>
  </si>
  <si>
    <t>Crude</t>
  </si>
  <si>
    <t xml:space="preserve">Type of floating roof </t>
  </si>
  <si>
    <t>Paint solar absorptance based on tank color (α)</t>
  </si>
  <si>
    <t>Liquid Heel Type</t>
  </si>
  <si>
    <t>Partial</t>
  </si>
  <si>
    <t>Solar Insolation factor (I) (Btu/ft2-d)</t>
  </si>
  <si>
    <t>Tank Capacity (bbl)</t>
  </si>
  <si>
    <t>Max. True Vapor Pressure (psia) (P)</t>
  </si>
  <si>
    <t>Avg. True Vapor Pressure (psia) (P)</t>
  </si>
  <si>
    <t>Tank Diameter (ft) (D)</t>
  </si>
  <si>
    <r>
      <t>Vapor Molecular Wt. (lb/lb mol) (M</t>
    </r>
    <r>
      <rPr>
        <vertAlign val="subscript"/>
        <sz val="10"/>
        <rFont val="Arial"/>
        <family val="2"/>
      </rPr>
      <t>v</t>
    </r>
    <r>
      <rPr>
        <sz val="10"/>
        <rFont val="Arial"/>
        <family val="2"/>
      </rPr>
      <t>)</t>
    </r>
  </si>
  <si>
    <r>
      <t>Number of idle days (n</t>
    </r>
    <r>
      <rPr>
        <vertAlign val="subscript"/>
        <sz val="10"/>
        <rFont val="Arial"/>
        <family val="2"/>
      </rPr>
      <t>d</t>
    </r>
    <r>
      <rPr>
        <sz val="10"/>
        <rFont val="Arial"/>
        <family val="2"/>
      </rPr>
      <t>)</t>
    </r>
  </si>
  <si>
    <t>Max. Temperature (°F) (T)</t>
  </si>
  <si>
    <t>Avg. Temperature (°F) (T)</t>
  </si>
  <si>
    <t>Min. daily ambient temperature (°F)</t>
  </si>
  <si>
    <t>Min. Avg temperature  (°F)</t>
  </si>
  <si>
    <t>B (Antoine's Equation Constant)</t>
  </si>
  <si>
    <t>Stock Liquid Density (lb/gal)</t>
  </si>
  <si>
    <r>
      <t>Height of Liquid Heel (ft)  (h</t>
    </r>
    <r>
      <rPr>
        <vertAlign val="subscript"/>
        <sz val="10"/>
        <rFont val="Arial"/>
        <family val="2"/>
      </rPr>
      <t>l</t>
    </r>
    <r>
      <rPr>
        <sz val="10"/>
        <rFont val="Arial"/>
        <family val="2"/>
      </rPr>
      <t>)</t>
    </r>
  </si>
  <si>
    <t>Tank Leg Height (ft)</t>
  </si>
  <si>
    <t>Tank Filling Rate (gph)</t>
  </si>
  <si>
    <t>Frequency / Number of roof Landings (events/yr)</t>
  </si>
  <si>
    <t>Tank Color / Paint factor (α)</t>
  </si>
  <si>
    <t>Saturation factor based on heel type</t>
  </si>
  <si>
    <t>Solar insolation Factor (I) (Btu/ft2-d)</t>
  </si>
  <si>
    <r>
      <t>Vapor Space Volume (ft</t>
    </r>
    <r>
      <rPr>
        <vertAlign val="superscript"/>
        <sz val="10"/>
        <rFont val="Arial"/>
        <family val="2"/>
      </rPr>
      <t>3</t>
    </r>
    <r>
      <rPr>
        <sz val="10"/>
        <rFont val="Arial"/>
        <family val="2"/>
      </rPr>
      <t>) (V</t>
    </r>
    <r>
      <rPr>
        <vertAlign val="subscript"/>
        <sz val="10"/>
        <rFont val="Arial"/>
        <family val="2"/>
      </rPr>
      <t>v</t>
    </r>
    <r>
      <rPr>
        <sz val="10"/>
        <rFont val="Arial"/>
        <family val="2"/>
      </rPr>
      <t>)</t>
    </r>
  </si>
  <si>
    <r>
      <t>Ht of Vapor Space under roof (ft) (h</t>
    </r>
    <r>
      <rPr>
        <vertAlign val="subscript"/>
        <sz val="10"/>
        <rFont val="Arial"/>
        <family val="2"/>
      </rPr>
      <t>v</t>
    </r>
    <r>
      <rPr>
        <sz val="10"/>
        <rFont val="Arial"/>
        <family val="2"/>
      </rPr>
      <t>)</t>
    </r>
  </si>
  <si>
    <r>
      <t>Daily Temp. Range (°R) ∆T</t>
    </r>
    <r>
      <rPr>
        <vertAlign val="subscript"/>
        <sz val="10"/>
        <rFont val="Arial"/>
        <family val="2"/>
      </rPr>
      <t>v</t>
    </r>
  </si>
  <si>
    <r>
      <t>Vapor Space Expansion Factor (K</t>
    </r>
    <r>
      <rPr>
        <b/>
        <vertAlign val="subscript"/>
        <sz val="10"/>
        <rFont val="Arial"/>
        <family val="2"/>
      </rPr>
      <t>E</t>
    </r>
    <r>
      <rPr>
        <sz val="10"/>
        <rFont val="Arial"/>
        <family val="2"/>
      </rPr>
      <t>)</t>
    </r>
  </si>
  <si>
    <r>
      <t>Standing Idle Saturation Factor (K</t>
    </r>
    <r>
      <rPr>
        <vertAlign val="subscript"/>
        <sz val="10"/>
        <rFont val="Arial"/>
        <family val="2"/>
      </rPr>
      <t>S</t>
    </r>
    <r>
      <rPr>
        <sz val="10"/>
        <rFont val="Arial"/>
        <family val="2"/>
      </rPr>
      <t>)</t>
    </r>
  </si>
  <si>
    <t>Internal Floating Roof Tank Emissions (IFR)</t>
  </si>
  <si>
    <r>
      <t>IFR Standing Idle Losses (lb/event) L</t>
    </r>
    <r>
      <rPr>
        <vertAlign val="subscript"/>
        <sz val="10"/>
        <rFont val="Arial"/>
        <family val="2"/>
      </rPr>
      <t>s</t>
    </r>
  </si>
  <si>
    <r>
      <t>IFR Filling Losses (lb/event) L</t>
    </r>
    <r>
      <rPr>
        <vertAlign val="subscript"/>
        <sz val="10"/>
        <rFont val="Arial"/>
        <family val="2"/>
      </rPr>
      <t>f</t>
    </r>
  </si>
  <si>
    <t>IFR with liquid heel: (lb/event)</t>
  </si>
  <si>
    <t>Max. Hourly Emissions: (lb/hr)</t>
  </si>
  <si>
    <t>Avg. Annual Emissions (tpy)</t>
  </si>
  <si>
    <t>Drain Dry Tank Emissions (IFR)</t>
  </si>
  <si>
    <r>
      <t>Drain Dry Standing Idle Loss (lb) L</t>
    </r>
    <r>
      <rPr>
        <vertAlign val="subscript"/>
        <sz val="10"/>
        <rFont val="Arial"/>
        <family val="2"/>
      </rPr>
      <t>s</t>
    </r>
  </si>
  <si>
    <r>
      <t>Drain Dry Filling Loss (lb) L</t>
    </r>
    <r>
      <rPr>
        <vertAlign val="subscript"/>
        <sz val="10"/>
        <rFont val="Arial"/>
        <family val="2"/>
      </rPr>
      <t>f</t>
    </r>
  </si>
  <si>
    <t>Drain Dry Tanks: (lb/event)</t>
  </si>
  <si>
    <t>External Floating Roof Tank Emissions (EFR)</t>
  </si>
  <si>
    <t>EFR Csf Value</t>
  </si>
  <si>
    <t>Vapor Pressure Function (P*)</t>
  </si>
  <si>
    <r>
      <t>EFR Standing Idle Losses (lb/event) L</t>
    </r>
    <r>
      <rPr>
        <vertAlign val="subscript"/>
        <sz val="10"/>
        <rFont val="Arial"/>
        <family val="2"/>
      </rPr>
      <t>s</t>
    </r>
  </si>
  <si>
    <r>
      <t>EFR Filling Losses (lb/event) L</t>
    </r>
    <r>
      <rPr>
        <vertAlign val="subscript"/>
        <sz val="10"/>
        <rFont val="Arial"/>
        <family val="2"/>
      </rPr>
      <t>f</t>
    </r>
  </si>
  <si>
    <t>One Day w/o Wind Standing Idle Loss (lb)</t>
  </si>
  <si>
    <t>One Day Wind Driven Standing Idle Loss (lb)</t>
  </si>
  <si>
    <t>One Day w/o Wind Filling Loss (lb)</t>
  </si>
  <si>
    <t>EFR with liquid heel: (lb/event)</t>
  </si>
  <si>
    <t>Max Hourly Emissions: (lb/hr)</t>
  </si>
  <si>
    <t>Drain Dry Tank Emissions (EFR)</t>
  </si>
  <si>
    <r>
      <t>H</t>
    </r>
    <r>
      <rPr>
        <vertAlign val="subscript"/>
        <sz val="10"/>
        <rFont val="Arial"/>
        <family val="2"/>
      </rPr>
      <t>2</t>
    </r>
    <r>
      <rPr>
        <sz val="10"/>
        <rFont val="Arial"/>
        <family val="2"/>
      </rPr>
      <t>S Wt%</t>
    </r>
  </si>
  <si>
    <t>Type of control device</t>
  </si>
  <si>
    <r>
      <t xml:space="preserve">Are tank vapors </t>
    </r>
    <r>
      <rPr>
        <sz val="10"/>
        <color rgb="FFFF0000"/>
        <rFont val="Arial"/>
        <family val="2"/>
      </rPr>
      <t>(A)</t>
    </r>
    <r>
      <rPr>
        <sz val="10"/>
        <rFont val="Arial"/>
        <family val="2"/>
      </rPr>
      <t xml:space="preserve"> uncontrolled; </t>
    </r>
    <r>
      <rPr>
        <sz val="10"/>
        <color rgb="FFFF0000"/>
        <rFont val="Arial"/>
        <family val="2"/>
      </rPr>
      <t>(B)</t>
    </r>
    <r>
      <rPr>
        <sz val="10"/>
        <rFont val="Arial"/>
        <family val="2"/>
      </rPr>
      <t xml:space="preserve"> controlled by a flare, vapor combustor, thermal oxidizer, or vapor recovery unit (VRU); or </t>
    </r>
    <r>
      <rPr>
        <sz val="10"/>
        <color rgb="FFFF0000"/>
        <rFont val="Arial"/>
        <family val="2"/>
      </rPr>
      <t xml:space="preserve">(C) </t>
    </r>
    <r>
      <rPr>
        <sz val="10"/>
        <rFont val="Arial"/>
        <family val="2"/>
      </rPr>
      <t>controlled by another type of control device?</t>
    </r>
  </si>
  <si>
    <t>(A) uncontrolled</t>
  </si>
  <si>
    <t>VOC Control Efficiency</t>
  </si>
  <si>
    <r>
      <t>H</t>
    </r>
    <r>
      <rPr>
        <vertAlign val="subscript"/>
        <sz val="10"/>
        <rFont val="Arial"/>
        <family val="2"/>
      </rPr>
      <t>2</t>
    </r>
    <r>
      <rPr>
        <sz val="10"/>
        <rFont val="Arial"/>
        <family val="2"/>
      </rPr>
      <t>S Control Efficiency</t>
    </r>
  </si>
  <si>
    <r>
      <t>VOC Type:</t>
    </r>
    <r>
      <rPr>
        <sz val="10"/>
        <rFont val="Arial"/>
        <family val="2"/>
      </rPr>
      <t xml:space="preserve"> (pick from list)</t>
    </r>
  </si>
  <si>
    <r>
      <t>Emission Type:</t>
    </r>
    <r>
      <rPr>
        <sz val="10"/>
        <rFont val="Arial"/>
        <family val="2"/>
      </rPr>
      <t xml:space="preserve"> (pick from list)</t>
    </r>
  </si>
  <si>
    <t>Low Pressure Periodic</t>
  </si>
  <si>
    <t>Emissions before control and before wt% reduction</t>
  </si>
  <si>
    <t>Type of Losses</t>
  </si>
  <si>
    <t>Max. hourly emissions lb/hr</t>
  </si>
  <si>
    <t>Avg.Annual emissions tpy</t>
  </si>
  <si>
    <t>IFR Losses</t>
  </si>
  <si>
    <t>EFR Losses</t>
  </si>
  <si>
    <t>Drain dry losses</t>
  </si>
  <si>
    <t>Total Losses</t>
  </si>
  <si>
    <t>Vapors Captured by Control Device</t>
  </si>
  <si>
    <t xml:space="preserve">Air contaminant </t>
  </si>
  <si>
    <r>
      <t>Total H</t>
    </r>
    <r>
      <rPr>
        <vertAlign val="subscript"/>
        <sz val="10"/>
        <rFont val="Arial"/>
        <family val="2"/>
      </rPr>
      <t>2</t>
    </r>
    <r>
      <rPr>
        <sz val="10"/>
        <rFont val="Arial"/>
        <family val="2"/>
      </rPr>
      <t>S</t>
    </r>
  </si>
  <si>
    <t>Total Benzene</t>
  </si>
  <si>
    <t>Planned MSS Emissions</t>
  </si>
  <si>
    <r>
      <t>Total H</t>
    </r>
    <r>
      <rPr>
        <b/>
        <vertAlign val="subscript"/>
        <sz val="10"/>
        <rFont val="Arial"/>
        <family val="2"/>
      </rPr>
      <t>2</t>
    </r>
    <r>
      <rPr>
        <b/>
        <sz val="10"/>
        <rFont val="Arial"/>
        <family val="2"/>
      </rPr>
      <t>S</t>
    </r>
  </si>
  <si>
    <t xml:space="preserve">Notes: </t>
  </si>
  <si>
    <r>
      <t>AP-42: Table 7.1-7 Meteorological data for Solar Insolation factor (I) Btu/ft</t>
    </r>
    <r>
      <rPr>
        <vertAlign val="superscript"/>
        <sz val="10"/>
        <rFont val="Arial"/>
        <family val="2"/>
      </rPr>
      <t>2</t>
    </r>
    <r>
      <rPr>
        <sz val="10"/>
        <rFont val="Arial"/>
        <family val="2"/>
      </rPr>
      <t>-d</t>
    </r>
  </si>
  <si>
    <r>
      <t>Max. Value of I (Btu/ft</t>
    </r>
    <r>
      <rPr>
        <vertAlign val="superscript"/>
        <sz val="10"/>
        <rFont val="Arial"/>
        <family val="2"/>
      </rPr>
      <t>2</t>
    </r>
    <r>
      <rPr>
        <sz val="10"/>
        <rFont val="Arial"/>
        <family val="2"/>
      </rPr>
      <t>-d)</t>
    </r>
  </si>
  <si>
    <t>Amarillo, TX</t>
  </si>
  <si>
    <t>Corpus Christi, TX</t>
  </si>
  <si>
    <t>Houston, TX</t>
  </si>
  <si>
    <t>Midland-Odessa, TX</t>
  </si>
  <si>
    <t>AP-42, Table 7.1-2</t>
  </si>
  <si>
    <r>
      <t xml:space="preserve">M </t>
    </r>
    <r>
      <rPr>
        <sz val="10"/>
        <rFont val="Arial"/>
        <family val="2"/>
      </rPr>
      <t>Mol.Wt of Vapors @ 60°F (lb/lb-mole)</t>
    </r>
  </si>
  <si>
    <r>
      <t xml:space="preserve">P         </t>
    </r>
    <r>
      <rPr>
        <sz val="10"/>
        <rFont val="Arial"/>
        <family val="2"/>
      </rPr>
      <t xml:space="preserve">
True vapor pressure (psia)
</t>
    </r>
  </si>
  <si>
    <t xml:space="preserve">Liquid in Tank
</t>
  </si>
  <si>
    <t>40°F</t>
  </si>
  <si>
    <t>50°F</t>
  </si>
  <si>
    <t>60°F</t>
  </si>
  <si>
    <t>70°F</t>
  </si>
  <si>
    <t>80°F</t>
  </si>
  <si>
    <t>90°F</t>
  </si>
  <si>
    <t>100°F</t>
  </si>
  <si>
    <t>RVP 5 (crude oil)</t>
  </si>
  <si>
    <t>RVP 7 (gasoline)</t>
  </si>
  <si>
    <t>RVP 7.8 (gasoline)</t>
  </si>
  <si>
    <t>RVP 8.3 (gasoline)</t>
  </si>
  <si>
    <t>RVP 10 (gasoline)</t>
  </si>
  <si>
    <t>RVP 11.5 (gasoline)</t>
  </si>
  <si>
    <t>RVP 13 (gasoline)</t>
  </si>
  <si>
    <t>RVP 13.5 (gasoline)</t>
  </si>
  <si>
    <t>RVP 15 (gasoline)</t>
  </si>
  <si>
    <t>Jet Naphtha</t>
  </si>
  <si>
    <t>Disillate Fuel Oil No. 2</t>
  </si>
  <si>
    <t>Jet Kerosene</t>
  </si>
  <si>
    <t>Residual Oil No. 6</t>
  </si>
  <si>
    <t>AP-42: Table 7.1-6. Paint solar absorptance for fixed roof tanks</t>
  </si>
  <si>
    <r>
      <t>Paint Factors (</t>
    </r>
    <r>
      <rPr>
        <sz val="11.5"/>
        <rFont val="Arial"/>
        <family val="2"/>
      </rPr>
      <t>α</t>
    </r>
    <r>
      <rPr>
        <sz val="11.5"/>
        <rFont val="Times New Roman"/>
        <family val="1"/>
      </rPr>
      <t>)</t>
    </r>
  </si>
  <si>
    <t>Paint Shade / Type</t>
  </si>
  <si>
    <t>Specular</t>
  </si>
  <si>
    <t>Mill finish, unpainted</t>
  </si>
  <si>
    <t>Beige/Cream</t>
  </si>
  <si>
    <t>Brown</t>
  </si>
  <si>
    <t>Gray</t>
  </si>
  <si>
    <t>Rust</t>
  </si>
  <si>
    <t>Red Iron Oxide</t>
  </si>
  <si>
    <t>White</t>
  </si>
  <si>
    <t>AP-42 Table 7.1-2 Typical* Properties of Selected Petroleum Stocks</t>
  </si>
  <si>
    <r>
      <t>W</t>
    </r>
    <r>
      <rPr>
        <vertAlign val="subscript"/>
        <sz val="10"/>
        <rFont val="Arial"/>
        <family val="2"/>
      </rPr>
      <t>l</t>
    </r>
  </si>
  <si>
    <t xml:space="preserve">Mv </t>
  </si>
  <si>
    <t xml:space="preserve">A </t>
  </si>
  <si>
    <t>B</t>
  </si>
  <si>
    <t>True Vapor Press, P (psia), at Selected Temp's (°F)</t>
  </si>
  <si>
    <t>Petroleum Stock</t>
  </si>
  <si>
    <t>lb/gal</t>
  </si>
  <si>
    <t xml:space="preserve">lb/lb-mole </t>
  </si>
  <si>
    <t>dim'less</t>
  </si>
  <si>
    <t>°R</t>
  </si>
  <si>
    <t>Motor Gasoline (RVP 13)</t>
  </si>
  <si>
    <t>Motor Gasoline (RVP 10)</t>
  </si>
  <si>
    <t>Motor Gasoline (RVP 7)</t>
  </si>
  <si>
    <t>Crude Oil (RVP 5)</t>
  </si>
  <si>
    <t>Jet Naphtha (.11)-4)</t>
  </si>
  <si>
    <t>Jet Kerosene(Jet A)</t>
  </si>
  <si>
    <t>Distillate Fuel Oil No.2</t>
  </si>
  <si>
    <t>Source: U.S. EPA Report AP-42, Fifth Edition, Supplement D,9 Table 7.1-2; except the Antoine's equation constants, A and B, are from API MPMS 19.2.'°
* These are suggested values to be used in the absence of actual data.</t>
  </si>
  <si>
    <t>S factor</t>
  </si>
  <si>
    <t>Full</t>
  </si>
  <si>
    <t>Drain dry</t>
  </si>
  <si>
    <t>""</t>
  </si>
  <si>
    <t>Planned MSS - Degassing due to Passive Expansion / Thermal Expansion / Non Forced Ventilation</t>
  </si>
  <si>
    <t xml:space="preserve">This section calculates planned MSS emissions due to degassing by passive / thermal expansion for both floating roof and fixed roof tanks. </t>
  </si>
  <si>
    <t>Note:                                                                                                                                                                                                                    1.Enter information into the yellow boxes.                                                                                                                                                                                  2. The tank calculations are applied to product stored at ambient temperature. For heated tanks or tanks storing hot product, please provide more explanation on the input parameters used such as vapor pressure of heated product, Antoine's constant etc., and how they are derived.                                                                                                                                                                                                                                                                                                                                                        
3. Use site specific analysis for input parameters such as weight percents, molecular weight, stock liquid density etc., of the liquid / product stored.</t>
  </si>
  <si>
    <t>5. Use the box provided below for entering any notes necessary (such as the source/justification for any calculation inputs).</t>
  </si>
  <si>
    <t>6. Make sure to answer the control device question.</t>
  </si>
  <si>
    <t>7. Make sure to select the correct VOC Type and Emission Type from the pull down menus below.</t>
  </si>
  <si>
    <t>XTO Energy, Inc</t>
  </si>
  <si>
    <t>Site Name.:</t>
  </si>
  <si>
    <t>Husky CDP</t>
  </si>
  <si>
    <t>3rd Party Oil Storage</t>
  </si>
  <si>
    <t>Crude Oil</t>
  </si>
  <si>
    <t xml:space="preserve">Type of tank roof </t>
  </si>
  <si>
    <r>
      <t>Vapor Molecular Wt. (lb/lb mol) (M</t>
    </r>
    <r>
      <rPr>
        <vertAlign val="subscript"/>
        <sz val="10"/>
        <rFont val="Calibri"/>
        <family val="2"/>
        <scheme val="minor"/>
      </rPr>
      <t>v</t>
    </r>
    <r>
      <rPr>
        <sz val="10"/>
        <rFont val="Calibri"/>
        <family val="2"/>
        <scheme val="minor"/>
      </rPr>
      <t>)</t>
    </r>
  </si>
  <si>
    <t>Number of events/yr</t>
  </si>
  <si>
    <t>Height of the roof (ft)</t>
  </si>
  <si>
    <t xml:space="preserve">Saturation factor (S) </t>
  </si>
  <si>
    <t>Max. Stock Temp.</t>
  </si>
  <si>
    <t>TVP</t>
  </si>
  <si>
    <t>Stock Temp.</t>
  </si>
  <si>
    <t>(psia)</t>
  </si>
  <si>
    <r>
      <t>Vapor Space Volume (ft</t>
    </r>
    <r>
      <rPr>
        <vertAlign val="superscript"/>
        <sz val="10"/>
        <rFont val="Calibri"/>
        <family val="2"/>
        <scheme val="minor"/>
      </rPr>
      <t>3</t>
    </r>
    <r>
      <rPr>
        <sz val="10"/>
        <rFont val="Calibri"/>
        <family val="2"/>
        <scheme val="minor"/>
      </rPr>
      <t>) (V</t>
    </r>
    <r>
      <rPr>
        <vertAlign val="subscript"/>
        <sz val="10"/>
        <rFont val="Calibri"/>
        <family val="2"/>
        <scheme val="minor"/>
      </rPr>
      <t>v</t>
    </r>
    <r>
      <rPr>
        <sz val="10"/>
        <rFont val="Calibri"/>
        <family val="2"/>
        <scheme val="minor"/>
      </rPr>
      <t>)</t>
    </r>
  </si>
  <si>
    <r>
      <t>Height of Vapor Space under roof (ft)* (h</t>
    </r>
    <r>
      <rPr>
        <vertAlign val="subscript"/>
        <sz val="10"/>
        <rFont val="Calibri"/>
        <family val="2"/>
        <scheme val="minor"/>
      </rPr>
      <t>v</t>
    </r>
    <r>
      <rPr>
        <sz val="10"/>
        <rFont val="Calibri"/>
        <family val="2"/>
        <scheme val="minor"/>
      </rPr>
      <t>)</t>
    </r>
  </si>
  <si>
    <t>Duration of activity (hrs/event)</t>
  </si>
  <si>
    <t>True Vapor Pressure (psia) (P)</t>
  </si>
  <si>
    <t>Day time temperature (°F)</t>
  </si>
  <si>
    <t>Night time temperature (°F)</t>
  </si>
  <si>
    <t>Temperature Expansion %</t>
  </si>
  <si>
    <t>Emissions (lb/event)</t>
  </si>
  <si>
    <t>Max. Hourly Emissions (lb/hr)</t>
  </si>
  <si>
    <t>Avg. Hourly Emissions (lb/hr)</t>
  </si>
  <si>
    <t>Avg. Annual emissions (tpy)</t>
  </si>
  <si>
    <r>
      <t>H</t>
    </r>
    <r>
      <rPr>
        <vertAlign val="subscript"/>
        <sz val="10"/>
        <rFont val="Calibri"/>
        <family val="2"/>
        <scheme val="minor"/>
      </rPr>
      <t>2</t>
    </r>
    <r>
      <rPr>
        <sz val="10"/>
        <rFont val="Calibri"/>
        <family val="2"/>
        <scheme val="minor"/>
      </rPr>
      <t>S Wt%</t>
    </r>
  </si>
  <si>
    <t>Type of Control Device</t>
  </si>
  <si>
    <r>
      <t xml:space="preserve">Are tank vapors </t>
    </r>
    <r>
      <rPr>
        <sz val="10"/>
        <color rgb="FFFF0000"/>
        <rFont val="Calibri"/>
        <family val="2"/>
        <scheme val="minor"/>
      </rPr>
      <t>(A)</t>
    </r>
    <r>
      <rPr>
        <sz val="10"/>
        <rFont val="Calibri"/>
        <family val="2"/>
        <scheme val="minor"/>
      </rPr>
      <t xml:space="preserve"> uncontrolled; </t>
    </r>
    <r>
      <rPr>
        <sz val="10"/>
        <color rgb="FFFF0000"/>
        <rFont val="Calibri"/>
        <family val="2"/>
        <scheme val="minor"/>
      </rPr>
      <t>(B)</t>
    </r>
    <r>
      <rPr>
        <sz val="10"/>
        <rFont val="Calibri"/>
        <family val="2"/>
        <scheme val="minor"/>
      </rPr>
      <t xml:space="preserve"> controlled by a flare, vapor combustor, thermal oxidizer, or vapor recovery unit (VRU); or </t>
    </r>
    <r>
      <rPr>
        <sz val="10"/>
        <color rgb="FFFF0000"/>
        <rFont val="Calibri"/>
        <family val="2"/>
        <scheme val="minor"/>
      </rPr>
      <t xml:space="preserve">(C) </t>
    </r>
    <r>
      <rPr>
        <sz val="10"/>
        <rFont val="Calibri"/>
        <family val="2"/>
        <scheme val="minor"/>
      </rPr>
      <t>controlled by another type of control device?</t>
    </r>
  </si>
  <si>
    <r>
      <t>H</t>
    </r>
    <r>
      <rPr>
        <vertAlign val="subscript"/>
        <sz val="10"/>
        <rFont val="Calibri"/>
        <family val="2"/>
        <scheme val="minor"/>
      </rPr>
      <t>2</t>
    </r>
    <r>
      <rPr>
        <sz val="10"/>
        <rFont val="Calibri"/>
        <family val="2"/>
        <scheme val="minor"/>
      </rPr>
      <t>S Control Efficiency</t>
    </r>
  </si>
  <si>
    <r>
      <t>VOC Type:</t>
    </r>
    <r>
      <rPr>
        <sz val="10"/>
        <rFont val="Calibri"/>
        <family val="2"/>
        <scheme val="minor"/>
      </rPr>
      <t xml:space="preserve"> (pick from list)</t>
    </r>
  </si>
  <si>
    <r>
      <t>Emission Type:</t>
    </r>
    <r>
      <rPr>
        <sz val="10"/>
        <rFont val="Calibri"/>
        <family val="2"/>
        <scheme val="minor"/>
      </rPr>
      <t xml:space="preserve"> (pick from list)</t>
    </r>
  </si>
  <si>
    <t>Thermal / Passive Expansion</t>
  </si>
  <si>
    <t>Air Contaminant</t>
  </si>
  <si>
    <r>
      <t>Total H</t>
    </r>
    <r>
      <rPr>
        <vertAlign val="subscript"/>
        <sz val="10"/>
        <rFont val="Calibri"/>
        <family val="2"/>
        <scheme val="minor"/>
      </rPr>
      <t>2</t>
    </r>
    <r>
      <rPr>
        <sz val="10"/>
        <rFont val="Calibri"/>
        <family val="2"/>
        <scheme val="minor"/>
      </rPr>
      <t>S</t>
    </r>
  </si>
  <si>
    <r>
      <t>Total H</t>
    </r>
    <r>
      <rPr>
        <b/>
        <vertAlign val="subscript"/>
        <sz val="10"/>
        <rFont val="Calibri"/>
        <family val="2"/>
        <scheme val="minor"/>
      </rPr>
      <t>2</t>
    </r>
    <r>
      <rPr>
        <b/>
        <sz val="10"/>
        <rFont val="Calibri"/>
        <family val="2"/>
        <scheme val="minor"/>
      </rPr>
      <t>S</t>
    </r>
  </si>
  <si>
    <r>
      <t xml:space="preserve">M </t>
    </r>
    <r>
      <rPr>
        <sz val="10"/>
        <rFont val="Calibri"/>
        <family val="2"/>
        <scheme val="minor"/>
      </rPr>
      <t>Mol.Wt of Vapors @ 60°F (lb/lb-mole)</t>
    </r>
  </si>
  <si>
    <r>
      <t xml:space="preserve">P         </t>
    </r>
    <r>
      <rPr>
        <sz val="10"/>
        <rFont val="Calibri"/>
        <family val="2"/>
        <scheme val="minor"/>
      </rPr>
      <t xml:space="preserve">
True vapor pressure (psia)
</t>
    </r>
  </si>
  <si>
    <r>
      <t>W</t>
    </r>
    <r>
      <rPr>
        <vertAlign val="subscript"/>
        <sz val="10"/>
        <rFont val="Calibri"/>
        <family val="2"/>
        <scheme val="minor"/>
      </rPr>
      <t>l</t>
    </r>
  </si>
  <si>
    <t>100k bbl IFR</t>
  </si>
  <si>
    <t>User Value [FlashingT]</t>
  </si>
  <si>
    <t>This User Value Set was programmatically generated.  GUID={F82CE5A8-EB9D-490F-867D-C9817F40DFBE}</t>
  </si>
  <si>
    <t>Oil TK</t>
  </si>
  <si>
    <t>This User Value Set was programmatically generated.  GUID={BD484767-6D5E-4291-AC40-63B1179AAE3C}</t>
  </si>
  <si>
    <t>PW TK</t>
  </si>
  <si>
    <t>This User Value Set was programmatically generated.  GUID={7D1191AD-F2C5-40D3-ACF6-4BD926C57748}</t>
  </si>
  <si>
    <t>Slop</t>
  </si>
  <si>
    <t>This User Value Set was programmatically generated.  GUID={DA0C1C04-99D5-467D-B7DC-284F34088AB7}</t>
  </si>
  <si>
    <t>GB</t>
  </si>
  <si>
    <t>This User Value Set was programmatically generated.  GUID={ADCE19B5-388C-490C-A0F0-927EC4A6AF62}</t>
  </si>
  <si>
    <t>PSD SOURCE CATEGORY</t>
  </si>
  <si>
    <t>BURNERS - THRESHOLD 100 TPY</t>
  </si>
  <si>
    <t>CRUDE OIL STORAGE - THRESHOLD 100 TPY</t>
  </si>
  <si>
    <t>MSS - Floating Roof Landing 100 KBBL Tanks</t>
  </si>
  <si>
    <r>
      <rPr>
        <b/>
        <vertAlign val="superscript"/>
        <sz val="10"/>
        <rFont val="Book Antiqua"/>
        <family val="1"/>
      </rPr>
      <t>1</t>
    </r>
    <r>
      <rPr>
        <b/>
        <sz val="10"/>
        <rFont val="Book Antiqua"/>
        <family val="1"/>
      </rPr>
      <t>Molecular Weight and VOC weight % were obtained from Promax</t>
    </r>
  </si>
  <si>
    <t>THERMAL OXIDIZER ANNUAL EMISSIONS (PER UNIT)</t>
  </si>
  <si>
    <t xml:space="preserve"> 4X1 COGEN - THRESHOLD 100 TPY</t>
  </si>
  <si>
    <t>Source
Description</t>
  </si>
  <si>
    <t>Exhaust Stack and Fuel Consumption Data</t>
  </si>
  <si>
    <t>Source Name</t>
  </si>
  <si>
    <t>Burner Rating (btu/hr)</t>
  </si>
  <si>
    <r>
      <t>3" eclipse air mixer:  (Air/Gas Ratio)</t>
    </r>
    <r>
      <rPr>
        <vertAlign val="superscript"/>
        <sz val="10"/>
        <rFont val="Book Antiqua"/>
        <family val="1"/>
      </rPr>
      <t>1</t>
    </r>
  </si>
  <si>
    <t>5/1</t>
  </si>
  <si>
    <t>Stack Temperature (°F)</t>
  </si>
  <si>
    <t>Stack Diameter (ft)</t>
  </si>
  <si>
    <t>Stack Height (ft)</t>
  </si>
  <si>
    <t>Fuel Consumption (scf/hr)</t>
  </si>
  <si>
    <t>Fuel Consumption (scf/day)</t>
  </si>
  <si>
    <t>Fuel Consumption (mmscf/year)</t>
  </si>
  <si>
    <t>Air Injection Rate (scf/hr)</t>
  </si>
  <si>
    <t>Total exhaust flow rate @ STP (scf/hr)</t>
  </si>
  <si>
    <t>Total exhaust flow rate @ STP (scf/sec)</t>
  </si>
  <si>
    <t>Total exhaust flow rate @ 750 °F (acf/hr)</t>
  </si>
  <si>
    <t>Total exhaust flow rate @ 750 °F (acf/sec)</t>
  </si>
  <si>
    <t>Exhaust Stack Exit Velocity @ STP (ft/sec)</t>
  </si>
  <si>
    <t>Exhaust Stack Exit Velocity @ 750 °F (ft/sec)</t>
  </si>
  <si>
    <t>HTR2 - EXHAUST STACK FLOW &amp; FUEL CONSUMPTION RATES</t>
  </si>
  <si>
    <t>HTR2</t>
  </si>
  <si>
    <r>
      <t>1</t>
    </r>
    <r>
      <rPr>
        <b/>
        <sz val="8"/>
        <rFont val="Book Antiqua"/>
        <family val="1"/>
      </rPr>
      <t>Air/Gas Ratio is based on the Manufacturer's Data of XTO's typical burner installations</t>
    </r>
  </si>
  <si>
    <t>Total exhaust flow rate @ 470 °F (acf/hr)</t>
  </si>
  <si>
    <t>Total exhaust flow rate @ 470 °F (acf/sec)</t>
  </si>
  <si>
    <t>Exhaust Stack Exit Velocity @ 470 °F (ft/sec)</t>
  </si>
  <si>
    <t>Total exhaust flow rate @ 488 °F (acf/hr)</t>
  </si>
  <si>
    <t>Total exhaust flow rate @ 488 °F (acf/sec)</t>
  </si>
  <si>
    <t>Exhaust Stack Exit Velocity @ 488 °F (ft/sec)</t>
  </si>
  <si>
    <t xml:space="preserve"> HEATERS - EXHAUST STACK FLOW &amp; FUEL CONSUMPTION RATES</t>
  </si>
  <si>
    <t xml:space="preserve">Source </t>
  </si>
  <si>
    <t>new</t>
  </si>
  <si>
    <t>Sulfur Content (grains/100 scf)</t>
  </si>
  <si>
    <t>Engine Data</t>
  </si>
  <si>
    <t>NSCR Catalyst</t>
  </si>
  <si>
    <t>NSPS Subpart JJJJ</t>
  </si>
  <si>
    <t>Emergency Generators 1-5</t>
  </si>
  <si>
    <t>MACT Subpart ZZZZ</t>
  </si>
  <si>
    <t>Caterpillar</t>
  </si>
  <si>
    <t>JLCC Catalyst</t>
  </si>
  <si>
    <t>Parameter Adjustment</t>
  </si>
  <si>
    <t>Stratified Charge</t>
  </si>
  <si>
    <t>Other (Specify)</t>
  </si>
  <si>
    <t>Lean Operation</t>
  </si>
  <si>
    <t>Ignition/Injection Timing</t>
  </si>
  <si>
    <t>variable</t>
  </si>
  <si>
    <t>Engine Type:</t>
  </si>
  <si>
    <t>4 Stroke, Lean-Burn</t>
  </si>
  <si>
    <r>
      <t>SO</t>
    </r>
    <r>
      <rPr>
        <b/>
        <u/>
        <vertAlign val="subscript"/>
        <sz val="10"/>
        <rFont val="Arial"/>
        <family val="2"/>
      </rPr>
      <t>2</t>
    </r>
    <r>
      <rPr>
        <b/>
        <u/>
        <sz val="10"/>
        <rFont val="Arial"/>
        <family val="2"/>
      </rPr>
      <t xml:space="preserve"> Mass Balance calculation for sour gas fuel:</t>
    </r>
  </si>
  <si>
    <t>Does the VOC emission factor being used below include formaldehyde? (pick Yes or No from list)</t>
  </si>
  <si>
    <r>
      <t>Table 3.2-1</t>
    </r>
    <r>
      <rPr>
        <b/>
        <sz val="10"/>
        <rFont val="Arial"/>
        <family val="2"/>
      </rPr>
      <t xml:space="preserve">
2 stroke lean-burn engine emission factors (lb/MMBtu)</t>
    </r>
  </si>
  <si>
    <r>
      <t>Table 3.2-2</t>
    </r>
    <r>
      <rPr>
        <b/>
        <sz val="10"/>
        <rFont val="Arial"/>
        <family val="2"/>
      </rPr>
      <t xml:space="preserve">
4 stroke, lean-burn engine emission factors
(lb/MMBtu)</t>
    </r>
  </si>
  <si>
    <r>
      <t>Table 3.2-3</t>
    </r>
    <r>
      <rPr>
        <b/>
        <sz val="10"/>
        <rFont val="Arial"/>
        <family val="2"/>
      </rPr>
      <t xml:space="preserve">
4 stroke, rich burn engine emission factors (lb/MMBtu)</t>
    </r>
  </si>
  <si>
    <r>
      <t>If present</t>
    </r>
    <r>
      <rPr>
        <b/>
        <sz val="10"/>
        <rFont val="Arial"/>
        <family val="2"/>
      </rPr>
      <t>, enter the controlled emission factor
(as g/hp-hr)</t>
    </r>
  </si>
  <si>
    <r>
      <t>PM</t>
    </r>
    <r>
      <rPr>
        <b/>
        <vertAlign val="subscript"/>
        <sz val="10"/>
        <rFont val="Arial"/>
        <family val="2"/>
      </rPr>
      <t>10</t>
    </r>
    <r>
      <rPr>
        <b/>
        <sz val="10"/>
        <rFont val="Arial"/>
        <family val="2"/>
      </rPr>
      <t xml:space="preserve"> </t>
    </r>
  </si>
  <si>
    <r>
      <t>PM</t>
    </r>
    <r>
      <rPr>
        <b/>
        <vertAlign val="subscript"/>
        <sz val="10"/>
        <rFont val="Arial"/>
        <family val="2"/>
      </rPr>
      <t>2.5</t>
    </r>
    <r>
      <rPr>
        <b/>
        <sz val="10"/>
        <rFont val="Arial"/>
        <family val="2"/>
      </rPr>
      <t xml:space="preserve"> </t>
    </r>
  </si>
  <si>
    <r>
      <t>Emission Type:</t>
    </r>
    <r>
      <rPr>
        <b/>
        <sz val="10"/>
        <rFont val="Arial"/>
        <family val="2"/>
      </rPr>
      <t xml:space="preserve"> </t>
    </r>
    <r>
      <rPr>
        <sz val="10"/>
        <rFont val="Arial"/>
        <family val="2"/>
      </rPr>
      <t>(pick from list)</t>
    </r>
  </si>
  <si>
    <t>Steady State (continuous)</t>
  </si>
  <si>
    <t xml:space="preserve">Fuel consumption and exhaust temperature at 100% rating. Exit velocity was calculated based on the exhaust flowarte at 100% rating.  </t>
  </si>
  <si>
    <t>Emergency Generator 2</t>
  </si>
  <si>
    <t>Cummins</t>
  </si>
  <si>
    <t>QSK60</t>
  </si>
  <si>
    <t>Eddy County</t>
  </si>
  <si>
    <t>Case</t>
  </si>
  <si>
    <t>NOX (lb/hr)</t>
  </si>
  <si>
    <t>NOX (ppmvd @ 15% O2)</t>
  </si>
  <si>
    <t>CO (lb/hr)</t>
  </si>
  <si>
    <t>CO (ppmvd @ 15% O2)</t>
  </si>
  <si>
    <t>VOC (lb/hr, molecular weight of CH4)</t>
  </si>
  <si>
    <t>VOC (ppmvd @ 15% O2, molecular weight of CH4)</t>
  </si>
  <si>
    <t>VOC (lb/hr, molecular weight of formaldehyde)</t>
  </si>
  <si>
    <t>VOC (ppmvd @ 15% O2, molecular weight of formaldehyde)</t>
  </si>
  <si>
    <t>UHC (lb/hr)</t>
  </si>
  <si>
    <t>UHC (ppmvd @ 15% O2)</t>
  </si>
  <si>
    <t>SOx as SO2 (fuel sulfur 0.75 grains/scf, lb/hr)</t>
  </si>
  <si>
    <t>SOx as SO2 (fuel sulfur 0.75 grains/scf, ppmvd @ 15% O2)</t>
  </si>
  <si>
    <t>H2SO4 (lb/hr)</t>
  </si>
  <si>
    <t>PM (fuel sulfur 0.75 grains/scf, lb/hr)</t>
  </si>
  <si>
    <t>Burner duty (MMBtu/hr)</t>
  </si>
  <si>
    <t>n/a</t>
  </si>
  <si>
    <t>4 Turbines</t>
  </si>
  <si>
    <t>MMSCFY</t>
  </si>
  <si>
    <t xml:space="preserve">Q = </t>
  </si>
  <si>
    <t xml:space="preserve">D = </t>
  </si>
  <si>
    <t>PROCESS SIMULATION COMPONENTS - INLET GAS</t>
  </si>
  <si>
    <t>Carlsbad Caverns</t>
  </si>
  <si>
    <t>Guadelupe Mountains</t>
  </si>
  <si>
    <t>Salt Creek Wilderness</t>
  </si>
  <si>
    <t>White Mountains</t>
  </si>
  <si>
    <t>PROCESS SIMULATION COMPONENTS - RESIDUE GAS - ETHANE REJECTION</t>
  </si>
  <si>
    <t>WT%</t>
  </si>
  <si>
    <t>VOC WT%</t>
  </si>
  <si>
    <t>HAP WT%</t>
  </si>
  <si>
    <t>Raw Data from Nooter:</t>
  </si>
  <si>
    <t>VOC numbers updated 7/31/19</t>
  </si>
  <si>
    <t>1A</t>
  </si>
  <si>
    <t>1D</t>
  </si>
  <si>
    <t>3E</t>
  </si>
  <si>
    <t>Max Fired</t>
  </si>
  <si>
    <t>70% Unfired - Oil Exit Temp 575 F, HP Economizer Bypass</t>
  </si>
  <si>
    <t>70% Unfired - No Recirculation</t>
  </si>
  <si>
    <t>Max Fired - HP Economizer Bypass</t>
  </si>
  <si>
    <t>Emissions Use</t>
  </si>
  <si>
    <t>Tpy calculation</t>
  </si>
  <si>
    <t>lb/hr calculation</t>
  </si>
  <si>
    <t>Dispersion modelling - lower exit temperature limit</t>
  </si>
  <si>
    <t>Dispersion modelling - upper exit temperature limit</t>
  </si>
  <si>
    <t>Dispersion modelling - lower exit velocity limit</t>
  </si>
  <si>
    <t>Dispersion modelling - upper exit velocity limit</t>
  </si>
  <si>
    <t>Ambient Temperature (F)</t>
  </si>
  <si>
    <t>MBTU per HRSG</t>
  </si>
  <si>
    <t xml:space="preserve">*Assumes four fully fired HRSG </t>
  </si>
  <si>
    <t>VOC, HAP</t>
  </si>
  <si>
    <t>32-37, 64, 65</t>
  </si>
  <si>
    <t xml:space="preserve">Maximum Emissions are the emissions at maximum capacity and prior to (in the absence of) pollution control, emission-reducing process equipment, or any other emission reduction.  Calculate the hourly emissions using the worst case hourly emissions for each pollutant.  For each pollutant, calculate the annual emissions as if the facility were operating at maximum plant capacity without pollution controls for 8760 hours per year, unless otherwise approved by the Department.  List Hazardous Air Pollutants (HAP) &amp; Toxic Air Pollutants (TAPs) in Table 2-I.  Unit &amp; stack numbering must be consistent throughout the application package.  Fill all cells in this table with the emission numbers or a "-" symbol.  A “-“ symbol indicates that emissions of this pollutant are not expected.  Numbers shall be expressed to at least 2 decimal points (e.g. 0.41, 1.41, or 1.41E-4).  </t>
  </si>
  <si>
    <r>
      <t>1</t>
    </r>
    <r>
      <rPr>
        <b/>
        <sz val="8"/>
        <rFont val="Times New Roman"/>
        <family val="1"/>
      </rPr>
      <t>Condensable Particulate Matter:</t>
    </r>
    <r>
      <rPr>
        <sz val="8"/>
        <rFont val="Times New Roman"/>
        <family val="1"/>
      </rPr>
      <t xml:space="preserve"> Include condensable particulate matter emissions for PM10 and PM2.5 if the source is a combustion source.  Do not include condensable particulate matter for PM unless PM is set equal to PM10 and PM2.5. Particulate matter (PM) is not subject to an ambient air quality standard, but PM is a regulated air pollutant under PSD (20.2.74 NMAC) and Title V (20.2.70 NMAC).</t>
    </r>
  </si>
  <si>
    <r>
      <t>Unit &amp; stack numbering must be consistent throughout the application package.  Fill all cells in this table with the emission numbers or a "-" symbol.  A “-“ symbol indicates that emissions of this pollutant are not expected.  Numbers shall be expressed to at least 2 decimal points (e.g. 0.41, 1.41, or 1.41E</t>
    </r>
    <r>
      <rPr>
        <vertAlign val="superscript"/>
        <sz val="10"/>
        <rFont val="Times New Roman"/>
        <family val="1"/>
      </rPr>
      <t>-4</t>
    </r>
    <r>
      <rPr>
        <sz val="10"/>
        <rFont val="Times New Roman"/>
        <family val="1"/>
      </rPr>
      <t xml:space="preserve">).  </t>
    </r>
  </si>
  <si>
    <r>
      <t xml:space="preserve">1 </t>
    </r>
    <r>
      <rPr>
        <b/>
        <sz val="8"/>
        <rFont val="Times New Roman"/>
        <family val="1"/>
      </rPr>
      <t>Condensable Particulate Matter:</t>
    </r>
    <r>
      <rPr>
        <sz val="8"/>
        <rFont val="Times New Roman"/>
        <family val="1"/>
      </rPr>
      <t xml:space="preserve"> Include condensable particulate matter emissions for PM10 and PM2.5 if the source is a combustion source.  Do not include condensable particulate matter for PM unless PM is set equal to PM10 and PM2.5. Particulate matter (PM) is not subject to an ambient air quality standard, but it is a regulated air pollutant under PSD (20.2.74 NMAC) and Title V (20.2.70 NMAC).</t>
    </r>
  </si>
  <si>
    <r>
      <t xml:space="preserve">2 </t>
    </r>
    <r>
      <rPr>
        <b/>
        <sz val="8"/>
        <rFont val="Times New Roman"/>
        <family val="1"/>
      </rPr>
      <t>Condensable Particulate Matter:</t>
    </r>
    <r>
      <rPr>
        <sz val="8"/>
        <rFont val="Times New Roman"/>
        <family val="1"/>
      </rPr>
      <t xml:space="preserve"> Include condensable particulate matter emissions for PM10 and PM2.5 if the source is a combustion source.  Do not include condensable particulate matter for PM unless PM is set equal to PM10 and PM2.5. Particulate matter (PM) is not subject to an ambient air quality standard, but it is a regulated air pollutant under PSD (20.2.74 NMAC) and Title V (20.2.70 NMAC).</t>
    </r>
  </si>
  <si>
    <r>
      <t xml:space="preserve"> </t>
    </r>
    <r>
      <rPr>
        <sz val="9"/>
        <rFont val="Times New Roman"/>
        <family val="1"/>
      </rPr>
      <t>This table is intentionally left blank since all emissions at this facility due to routine or predictable startup, shutdown, or scehduled maintenance are no higher than those listed in Table 2-E and a malfunction emission limit is not already permitted or requested.  If you are required to report GHG emissions as described in Section 6a, include any GHG emissions during Startup, Shutdown, and/or Scheduled Maintenance (SSM) in Table 2-P.  Provide an explanations of SSM emissions in Section 6 and 6a.</t>
    </r>
  </si>
  <si>
    <r>
      <t>PM</t>
    </r>
    <r>
      <rPr>
        <b/>
        <vertAlign val="superscript"/>
        <sz val="10"/>
        <rFont val="Times New Roman"/>
        <family val="1"/>
      </rPr>
      <t>1</t>
    </r>
  </si>
  <si>
    <r>
      <t>PM</t>
    </r>
    <r>
      <rPr>
        <b/>
        <vertAlign val="superscript"/>
        <sz val="10"/>
        <rFont val="Times New Roman"/>
        <family val="1"/>
      </rPr>
      <t>2</t>
    </r>
  </si>
  <si>
    <t xml:space="preserve">58.93 mmbtu/h Heater </t>
  </si>
  <si>
    <t>58.93MMBTU/HR Heaters</t>
  </si>
  <si>
    <t>Turbine</t>
  </si>
  <si>
    <r>
      <t xml:space="preserve"> </t>
    </r>
    <r>
      <rPr>
        <sz val="8"/>
        <rFont val="Symbol"/>
        <family val="1"/>
        <charset val="2"/>
      </rPr>
      <t>ÿ</t>
    </r>
    <r>
      <rPr>
        <sz val="8"/>
        <rFont val="Times New Roman"/>
        <family val="1"/>
      </rPr>
      <t xml:space="preserve">  Existing (unchanged)       To be Removed
 </t>
    </r>
    <r>
      <rPr>
        <sz val="8"/>
        <rFont val="Wingdings"/>
        <charset val="2"/>
      </rPr>
      <t>þ</t>
    </r>
    <r>
      <rPr>
        <sz val="8"/>
        <rFont val="Times New Roman"/>
        <family val="1"/>
      </rPr>
      <t xml:space="preserve">  New/Additional                Replacement Unit
   To Be Modified               To be Replaced</t>
    </r>
  </si>
  <si>
    <t>Oil/Water</t>
  </si>
  <si>
    <t>IF</t>
  </si>
  <si>
    <t>WH</t>
  </si>
  <si>
    <t>C</t>
  </si>
  <si>
    <t>IFR Condensate Storage Tank</t>
  </si>
  <si>
    <t xml:space="preserve">Material Type </t>
  </si>
  <si>
    <t>Oil Tanks (32-37)</t>
  </si>
  <si>
    <t>PW Tanks (53-54)</t>
  </si>
  <si>
    <t>Slop Tank</t>
  </si>
  <si>
    <t>Produced Water Tank</t>
  </si>
  <si>
    <t>---</t>
  </si>
  <si>
    <t># of IFR</t>
  </si>
  <si>
    <t># of 3rd party</t>
  </si>
  <si>
    <t>STORAGE TANK EMISSIONS SUMMARY - UNCONTROLLED</t>
  </si>
  <si>
    <t># of H2O</t>
  </si>
  <si>
    <t>Thermal Oxidizer</t>
  </si>
  <si>
    <t>Catalytic Reduction</t>
  </si>
  <si>
    <t>Controlled COGEN Emissions per Turbine</t>
  </si>
  <si>
    <t xml:space="preserve"> Emissions Summary Table - Flash Gas Stream</t>
  </si>
  <si>
    <t xml:space="preserve"> Emissions Summary Table - Still Vent Stream</t>
  </si>
  <si>
    <t>THERMAL OXIDIZERS (TO1-TO6) GHG EMISSIONS SUMMARY (PER UNIT)</t>
  </si>
  <si>
    <t>TO Amine Flash</t>
  </si>
  <si>
    <t>Amine Still Vent</t>
  </si>
  <si>
    <t>CH4+</t>
  </si>
  <si>
    <t>ton/day</t>
  </si>
  <si>
    <t>Unfired</t>
  </si>
  <si>
    <t>ton/year</t>
  </si>
  <si>
    <t>1 Turbine</t>
  </si>
  <si>
    <t xml:space="preserve">1 FT3 = </t>
  </si>
  <si>
    <t xml:space="preserve">L </t>
  </si>
  <si>
    <t>Conversions</t>
  </si>
  <si>
    <t xml:space="preserve">1 lb= </t>
  </si>
  <si>
    <t>g</t>
  </si>
  <si>
    <t>Total lb-Mol/hr</t>
  </si>
  <si>
    <t>Fired hours</t>
  </si>
  <si>
    <t>PROCESS SIMULATION COMPONENTS - STABILIZER OVERHEAD GAS</t>
  </si>
  <si>
    <t>Flare Emissions Summary Table</t>
  </si>
  <si>
    <t>lb/day</t>
  </si>
  <si>
    <t>hrs/day</t>
  </si>
  <si>
    <t>hrs/year</t>
  </si>
  <si>
    <t>Inlet Gas</t>
  </si>
  <si>
    <t>Process Purge Gas Flaring</t>
  </si>
  <si>
    <t>MERPs</t>
  </si>
  <si>
    <t xml:space="preserve">TPY </t>
  </si>
  <si>
    <t xml:space="preserve">Class II Modeling </t>
  </si>
  <si>
    <r>
      <t>PM</t>
    </r>
    <r>
      <rPr>
        <b/>
        <vertAlign val="subscript"/>
        <sz val="12"/>
        <color indexed="8"/>
        <rFont val="Book Antiqua"/>
        <family val="1"/>
      </rPr>
      <t>30</t>
    </r>
    <r>
      <rPr>
        <b/>
        <sz val="12"/>
        <color indexed="8"/>
        <rFont val="Book Antiqua"/>
        <family val="1"/>
      </rPr>
      <t xml:space="preserve">  (Total) Emissions</t>
    </r>
  </si>
  <si>
    <t>Silt Loading</t>
  </si>
  <si>
    <t>TSP</t>
  </si>
  <si>
    <t>ft3/sec</t>
  </si>
  <si>
    <t>Velocity = Flow Rate/Area</t>
  </si>
  <si>
    <t>Inside Diameter =</t>
  </si>
  <si>
    <t>Flow rate =</t>
  </si>
  <si>
    <t>T =</t>
  </si>
  <si>
    <t>n =</t>
  </si>
  <si>
    <t>P =</t>
  </si>
  <si>
    <t>R =</t>
  </si>
  <si>
    <t>Velocity =</t>
  </si>
  <si>
    <t>feet</t>
  </si>
  <si>
    <t>Area =</t>
  </si>
  <si>
    <t>ft2</t>
  </si>
  <si>
    <t>Zeeco Specifications</t>
  </si>
  <si>
    <t>Truck Unloading (xx BOPD @ 210 Bbl/Truck)</t>
  </si>
  <si>
    <t>Q/D</t>
  </si>
  <si>
    <t xml:space="preserve">Q total = </t>
  </si>
  <si>
    <t>hrs</t>
  </si>
  <si>
    <t>Q cogen=</t>
  </si>
  <si>
    <t>Q burners=</t>
  </si>
  <si>
    <t>Max lb/hr rates (Fired)</t>
  </si>
  <si>
    <r>
      <t>Manufacturer's Data (NOx, CO, VOC)</t>
    </r>
    <r>
      <rPr>
        <vertAlign val="superscript"/>
        <sz val="12"/>
        <rFont val="Book Antiqua"/>
        <family val="1"/>
      </rPr>
      <t>1</t>
    </r>
    <r>
      <rPr>
        <sz val="12"/>
        <rFont val="Book Antiqua"/>
        <family val="1"/>
      </rPr>
      <t xml:space="preserve"> </t>
    </r>
  </si>
  <si>
    <r>
      <t>and AP-42 Factors (SO2, PM)</t>
    </r>
    <r>
      <rPr>
        <vertAlign val="superscript"/>
        <sz val="12"/>
        <rFont val="Book Antiqua"/>
        <family val="1"/>
      </rPr>
      <t>2</t>
    </r>
  </si>
  <si>
    <t>NOx, CO, and VOC factors were provided by the equipment manufacturers.</t>
  </si>
  <si>
    <t>Minimum Stack Exit Temperature (F)</t>
  </si>
  <si>
    <t>Minimum Stack Exit Velocity (ft/sec)</t>
  </si>
  <si>
    <t>Maximum Stack Exit Temperature (F)</t>
  </si>
  <si>
    <t>Maximum Stack Exit Velocity (ft/sec)</t>
  </si>
  <si>
    <t>3520H</t>
  </si>
  <si>
    <t>Plant Inlet - PSV</t>
  </si>
  <si>
    <t>Fired Capacity</t>
  </si>
  <si>
    <t>Combined Cycle Turbines</t>
  </si>
  <si>
    <t>28-31</t>
  </si>
  <si>
    <t>Note: 
1. This section only calcualtes the standing and refilling losses from floating roof tank landings. For fixed roof tanks, standing idle emissions are estimated as normal standing storage (breathing) losses, as specified in API 19.1. Similarly, refilling emissions for fixed roof tanks are accounted for in the estimate of normal working losses that result from fixed roof tank throughput, as specified in API 19.1. In that these filling losses are not included in the estimation of tank cleaning emissions for fixed roof tanks.                                                                                                                                    
2. The tank calculations are applied to product stored at ambient temperature. For heated tanks or tanks storing hot product, please provide more explanation on the input parameters used such as vapor pressure of heated product, Antoine's constant etc., and how they are derived.</t>
  </si>
  <si>
    <t>XTO Energy</t>
  </si>
  <si>
    <t>Promax</t>
  </si>
  <si>
    <t>IFR1-IFR4</t>
  </si>
  <si>
    <t>Stabilization Heaters</t>
  </si>
  <si>
    <t>Regeneration Heaters</t>
  </si>
  <si>
    <t>Cryogenic Heaters</t>
  </si>
  <si>
    <t>FL1-FL3 Purge</t>
  </si>
  <si>
    <t>FL1-FL3 MSS</t>
  </si>
  <si>
    <t># OF COGENERATION UNITS</t>
  </si>
  <si>
    <t># OF STABILIZER HEATERS</t>
  </si>
  <si>
    <t xml:space="preserve">Benzene (lb/hr) - AP-42 </t>
  </si>
  <si>
    <t>24 Fired Hours per Day</t>
  </si>
  <si>
    <t xml:space="preserve">Toluene (lb/hr) - AP-42 </t>
  </si>
  <si>
    <t xml:space="preserve">Ethylbenzene (lb/hr) - AP-42 </t>
  </si>
  <si>
    <t xml:space="preserve">Xylene (lb/hr) - AP-42 </t>
  </si>
  <si>
    <t>FACILITY EMISSIONS SUMMARY - ALL EQUIPMENT INCLUDING COGENERATION TURBINES, STABILIZER HEATERS, AND CRYOGENIC HEATERS (FOR WORST-CASE MODELING)</t>
  </si>
  <si>
    <t>FACILITY EMISSIONS SUMMARY - 4 COGENERATION TURBINES/2 STABILIZER HEATERS/3 CRYOGENIC HEATERS</t>
  </si>
  <si>
    <t>FACILITY EMISSIONS SUMMARY - NO COGENERATION TURBINES/12 STABILIZERS/3 CRYOGENIC HEATERS</t>
  </si>
  <si>
    <t>FACILITY EMISSIONS SUMMARY - 1 COGENERATION TURBINE/11 STABILIZER HEATERS/3 CRYOGENIC HEATERS</t>
  </si>
  <si>
    <t>EMISSIONS RATES WITH VARIABLE HEAT NEEDS DURING TURBINE DOWNTIME</t>
  </si>
  <si>
    <t>CO, VOC, HAP</t>
  </si>
  <si>
    <t>?????</t>
  </si>
  <si>
    <t>UNCONTROLLED FACILITY EMISSIONS SUMMARY - NO COGENERATION TURBINES/12 STABILIZERS/3 CRYOGENIC HEATERS</t>
  </si>
  <si>
    <t>UNCONTROLLED EMISSIONS SUMMARY TABLE</t>
  </si>
  <si>
    <t>Slop Oil Loading</t>
  </si>
  <si>
    <t>10,308 bbl/day</t>
  </si>
  <si>
    <t>Not operating in uncontrolled emissions scenario.</t>
  </si>
  <si>
    <t>Flare 1 (Dual Tip Flare) - Pilot Only</t>
  </si>
  <si>
    <t>Flare 2 (Dual Tip Flare) - Pilot Only</t>
  </si>
  <si>
    <t>Flare 3 (Dual Tip Flare) - Pilot Only</t>
  </si>
  <si>
    <t>UNCONTROLLED FACILITY EMISSIONS SUMMARY - 4 COGENERATION TURBINES/2 STABILIZER HEATERS/3 CRYOGENIC HEATERS</t>
  </si>
  <si>
    <t>Pilot Fuel &amp; Purge Gas (FL1)</t>
  </si>
  <si>
    <t>Pilot Fuel &amp; Purge Gas (FL2)</t>
  </si>
  <si>
    <t>Pilot Fuel &amp; Purge Gas (FL3)</t>
  </si>
  <si>
    <t>DUAL TIP FLARE SUMMARY - FL1/FL2/FL3</t>
  </si>
  <si>
    <t>DUAL TIP 20 MMSCFD FLARES - ANNUAL (FL1 - FL3)</t>
  </si>
  <si>
    <t>DUAL TIP 20 MMSCFD FLARES - HOURLY (FL1 - FL3)</t>
  </si>
  <si>
    <t>DUAL TIP FLARE PILOT/PURGE GAS HOURLY EMISSIONS (COMBINED BETWEEN ALL FLARES)</t>
  </si>
  <si>
    <t>DUAL TIP FLARE PILOT/PURGE GAS ANNUAL EMISSIONS (COMBINED BETWEEN ALL FLARES)</t>
  </si>
  <si>
    <t>Storage Tank SSM Emissions</t>
  </si>
  <si>
    <t xml:space="preserve">FACILITY  NUMBER </t>
  </si>
  <si>
    <t>lb/Load</t>
  </si>
  <si>
    <t>Gas Constant</t>
  </si>
  <si>
    <t>MW</t>
  </si>
  <si>
    <t>TEMP</t>
  </si>
  <si>
    <t>Uncontrolled Vapor Rate</t>
  </si>
  <si>
    <t>SCF/load</t>
  </si>
  <si>
    <t>Total Loads per year</t>
  </si>
  <si>
    <t>Total Gas Rate</t>
  </si>
  <si>
    <t>scf/year</t>
  </si>
  <si>
    <t>Total vapor generated</t>
  </si>
  <si>
    <t>lb / hr</t>
  </si>
  <si>
    <t>Total Hydrocarbon Emissions</t>
  </si>
  <si>
    <r>
      <t>Molecular Weight (M)</t>
    </r>
    <r>
      <rPr>
        <vertAlign val="superscript"/>
        <sz val="10"/>
        <rFont val="Book Antiqua"/>
        <family val="1"/>
      </rPr>
      <t>a</t>
    </r>
    <r>
      <rPr>
        <sz val="10"/>
        <rFont val="Book Antiqua"/>
        <family val="1"/>
      </rPr>
      <t xml:space="preserve"> =</t>
    </r>
  </si>
  <si>
    <r>
      <t>Maximum True Vapor Pressure of liquid loaded (P)</t>
    </r>
    <r>
      <rPr>
        <vertAlign val="superscript"/>
        <sz val="10"/>
        <rFont val="Book Antiqua"/>
        <family val="1"/>
      </rPr>
      <t>a</t>
    </r>
    <r>
      <rPr>
        <sz val="10"/>
        <rFont val="Book Antiqua"/>
        <family val="1"/>
      </rPr>
      <t xml:space="preserve"> =</t>
    </r>
  </si>
  <si>
    <r>
      <t>Average True Vapor Pressure of liquid loaded (P)</t>
    </r>
    <r>
      <rPr>
        <vertAlign val="superscript"/>
        <sz val="10"/>
        <rFont val="Book Antiqua"/>
        <family val="1"/>
      </rPr>
      <t>a</t>
    </r>
    <r>
      <rPr>
        <sz val="10"/>
        <rFont val="Book Antiqua"/>
        <family val="1"/>
      </rPr>
      <t xml:space="preserve"> =</t>
    </r>
  </si>
  <si>
    <r>
      <rPr>
        <b/>
        <vertAlign val="superscript"/>
        <sz val="10"/>
        <rFont val="Book Antiqua"/>
        <family val="1"/>
      </rPr>
      <t xml:space="preserve">a </t>
    </r>
    <r>
      <rPr>
        <b/>
        <sz val="10"/>
        <rFont val="Book Antiqua"/>
        <family val="1"/>
      </rPr>
      <t>Molecular Weight and VOC/HAP weight percent were obtained from Promax</t>
    </r>
  </si>
  <si>
    <r>
      <rPr>
        <b/>
        <vertAlign val="superscript"/>
        <sz val="10"/>
        <rFont val="Book Antiqua"/>
        <family val="1"/>
      </rPr>
      <t xml:space="preserve">b </t>
    </r>
    <r>
      <rPr>
        <b/>
        <sz val="10"/>
        <rFont val="Book Antiqua"/>
        <family val="1"/>
      </rPr>
      <t>Loading emissions include total hydrocarbons as calculated using AP-42, Section 5.2.</t>
    </r>
  </si>
  <si>
    <r>
      <rPr>
        <b/>
        <vertAlign val="superscript"/>
        <sz val="10"/>
        <rFont val="Book Antiqua"/>
        <family val="1"/>
      </rPr>
      <t xml:space="preserve">c </t>
    </r>
    <r>
      <rPr>
        <b/>
        <sz val="10"/>
        <rFont val="Book Antiqua"/>
        <family val="1"/>
      </rPr>
      <t>98.7% of the vapors are collected and routed to the combustor. The remaining 1.3% is illustrated as truck loading emissions.</t>
    </r>
  </si>
  <si>
    <r>
      <t>Uncollected Emissions</t>
    </r>
    <r>
      <rPr>
        <vertAlign val="superscript"/>
        <sz val="12"/>
        <rFont val="Book Antiqua"/>
        <family val="1"/>
      </rPr>
      <t>c</t>
    </r>
  </si>
  <si>
    <r>
      <t>Total Loading Emissions</t>
    </r>
    <r>
      <rPr>
        <vertAlign val="superscript"/>
        <sz val="12"/>
        <rFont val="Book Antiqua"/>
        <family val="1"/>
      </rPr>
      <t>b</t>
    </r>
  </si>
  <si>
    <r>
      <t>Mass Fraction</t>
    </r>
    <r>
      <rPr>
        <b/>
        <vertAlign val="superscript"/>
        <sz val="10"/>
        <rFont val="Book Antiqua"/>
        <family val="1"/>
      </rPr>
      <t>d</t>
    </r>
  </si>
  <si>
    <t>ton / year</t>
  </si>
  <si>
    <t>SHTR1</t>
  </si>
  <si>
    <t>SHTR2</t>
  </si>
  <si>
    <t>SHTR3</t>
  </si>
  <si>
    <t>SHTR4</t>
  </si>
  <si>
    <t>SHTR5</t>
  </si>
  <si>
    <t>SHTR6</t>
  </si>
  <si>
    <t>SHTR7</t>
  </si>
  <si>
    <t>SHTR8</t>
  </si>
  <si>
    <t>SHTR9</t>
  </si>
  <si>
    <t>SHTR10</t>
  </si>
  <si>
    <t>SHTR11</t>
  </si>
  <si>
    <t>SHTR12</t>
  </si>
  <si>
    <t>CHTR1</t>
  </si>
  <si>
    <t>CHTR2</t>
  </si>
  <si>
    <t>CHTR3</t>
  </si>
  <si>
    <t>RHTR1</t>
  </si>
  <si>
    <t>RHTR2</t>
  </si>
  <si>
    <t>RHTR3</t>
  </si>
  <si>
    <t>FL1</t>
  </si>
  <si>
    <t>FL2</t>
  </si>
  <si>
    <t>FL3</t>
  </si>
  <si>
    <t>IFR1</t>
  </si>
  <si>
    <t>IFR2</t>
  </si>
  <si>
    <t>IFR3</t>
  </si>
  <si>
    <t>IFR4</t>
  </si>
  <si>
    <t>OTK3</t>
  </si>
  <si>
    <t>OTK1</t>
  </si>
  <si>
    <t>OTK2</t>
  </si>
  <si>
    <t>OTK4</t>
  </si>
  <si>
    <t>OTK5</t>
  </si>
  <si>
    <t>OTK6</t>
  </si>
  <si>
    <t>TO1</t>
  </si>
  <si>
    <t>TO2</t>
  </si>
  <si>
    <t>TO3</t>
  </si>
  <si>
    <t>SSM</t>
  </si>
  <si>
    <t>FUG</t>
  </si>
  <si>
    <t>ROAD</t>
  </si>
  <si>
    <t>PWTK1</t>
  </si>
  <si>
    <t>PWTK2</t>
  </si>
  <si>
    <t>PWTL</t>
  </si>
  <si>
    <t>OTL</t>
  </si>
  <si>
    <t>AU1</t>
  </si>
  <si>
    <t>AU2</t>
  </si>
  <si>
    <t>AU3</t>
  </si>
  <si>
    <t>OTK7</t>
  </si>
  <si>
    <t>210 bbl/day</t>
  </si>
  <si>
    <t>TUR1</t>
  </si>
  <si>
    <t>TUR2</t>
  </si>
  <si>
    <t>TUR3</t>
  </si>
  <si>
    <t>TUR4</t>
  </si>
  <si>
    <t>Emissions represented at ECD.</t>
  </si>
  <si>
    <t>Emissions represented at TO1.</t>
  </si>
  <si>
    <t>Emissions represented at TO2.</t>
  </si>
  <si>
    <t>Emissions represented at TO3.</t>
  </si>
  <si>
    <t xml:space="preserve">Combustor </t>
  </si>
  <si>
    <t>FACILITY EMISSIONS SUMMARY - 2 COGENERATION TURBINE/6 STABILIZER HEATERS/3 CRYOGENIC HEATERS</t>
  </si>
  <si>
    <t>FACILITY EMISSIONS SUMMARY - 3 COGENERATION TURBINE/3 STABILIZER HEATERS/2 CRYOGENIC HEATERS</t>
  </si>
  <si>
    <r>
      <t xml:space="preserve">n-Hexane
</t>
    </r>
    <r>
      <rPr>
        <b/>
        <sz val="8"/>
        <rFont val="Wingdings"/>
        <charset val="2"/>
      </rPr>
      <t>þ</t>
    </r>
    <r>
      <rPr>
        <b/>
        <sz val="10"/>
        <rFont val="Times New Roman"/>
        <family val="1"/>
      </rPr>
      <t xml:space="preserve"> HAP or  TAP</t>
    </r>
  </si>
  <si>
    <r>
      <t xml:space="preserve">Xylene
</t>
    </r>
    <r>
      <rPr>
        <b/>
        <sz val="8"/>
        <rFont val="Wingdings"/>
        <charset val="2"/>
      </rPr>
      <t>þ</t>
    </r>
    <r>
      <rPr>
        <b/>
        <sz val="10"/>
        <rFont val="Times New Roman"/>
        <family val="1"/>
      </rPr>
      <t xml:space="preserve"> HAP or  TAP</t>
    </r>
  </si>
  <si>
    <r>
      <t xml:space="preserve">Formaldehyde
</t>
    </r>
    <r>
      <rPr>
        <b/>
        <sz val="8"/>
        <rFont val="Wingdings"/>
        <charset val="2"/>
      </rPr>
      <t>þ</t>
    </r>
    <r>
      <rPr>
        <b/>
        <sz val="10"/>
        <rFont val="Times New Roman"/>
        <family val="1"/>
      </rPr>
      <t xml:space="preserve"> HAP or  TAP</t>
    </r>
  </si>
  <si>
    <t>Slop Oil Tank (OTK7)</t>
  </si>
  <si>
    <t>Gunbarrel (GBS1)</t>
  </si>
  <si>
    <t>GBS1</t>
  </si>
  <si>
    <t>Truck Loading (OTL)</t>
  </si>
  <si>
    <t>Emissions are represented at ECD1.</t>
  </si>
  <si>
    <t>THERMAL OXIDIZERS - HOURLY (EPNS: TO1-TO3)</t>
  </si>
  <si>
    <t>THERMAL OXIDIZER - ANNUAL (EPNS: TO1-TO3)</t>
  </si>
  <si>
    <t>Liquids</t>
  </si>
  <si>
    <t>n-hexane %</t>
  </si>
  <si>
    <t>benzene %</t>
  </si>
  <si>
    <t>xylene %</t>
  </si>
  <si>
    <t xml:space="preserve">Total Speciated Vapors 
Emitted During Loading  </t>
  </si>
  <si>
    <t>Uncontrolled Speciated 
Vapor Collected to Combustor</t>
  </si>
  <si>
    <t>Emissions are represented at TO1.</t>
  </si>
  <si>
    <t>Emissions are represented at TO2.</t>
  </si>
  <si>
    <t>Emissions are represented at TO3.</t>
  </si>
  <si>
    <r>
      <rPr>
        <b/>
        <vertAlign val="superscript"/>
        <sz val="10"/>
        <rFont val="Book Antiqua"/>
        <family val="1"/>
      </rPr>
      <t xml:space="preserve">d </t>
    </r>
    <r>
      <rPr>
        <b/>
        <sz val="10"/>
        <rFont val="Book Antiqua"/>
        <family val="1"/>
      </rPr>
      <t>The component speciation was obtained from Promax (Slop Tank W&amp;B) and multiplied by the total hydrocarbon emissions. (VOC = 54.47 lb/hr * 98. 7% = 53.76 lb/hr)</t>
    </r>
  </si>
  <si>
    <r>
      <t xml:space="preserve">Table 2-D:   Maximum Emissions </t>
    </r>
    <r>
      <rPr>
        <sz val="10"/>
        <rFont val="Times New Roman"/>
        <family val="1"/>
      </rPr>
      <t xml:space="preserve">(under normal operating conditions) - </t>
    </r>
    <r>
      <rPr>
        <b/>
        <sz val="14"/>
        <rFont val="Times New Roman"/>
        <family val="1"/>
      </rPr>
      <t>WITHOUT COGENERATION</t>
    </r>
  </si>
  <si>
    <t>Emissions are represented at TO3</t>
  </si>
  <si>
    <t>Table 2-E:    Requested Allowable Emissions - WITHOUT COGENERATION</t>
  </si>
  <si>
    <r>
      <t xml:space="preserve">Table 2-D:   Maximum Emissions </t>
    </r>
    <r>
      <rPr>
        <sz val="10"/>
        <rFont val="Times New Roman"/>
        <family val="1"/>
      </rPr>
      <t>(under normal operating conditions)</t>
    </r>
    <r>
      <rPr>
        <b/>
        <sz val="10"/>
        <rFont val="Times New Roman"/>
        <family val="1"/>
      </rPr>
      <t xml:space="preserve"> </t>
    </r>
    <r>
      <rPr>
        <b/>
        <sz val="14"/>
        <rFont val="Times New Roman"/>
        <family val="1"/>
      </rPr>
      <t>- WITH COGENERATION</t>
    </r>
  </si>
  <si>
    <t>Table 2-E:    Requested Allowable Emissions - WITH COGENERATION</t>
  </si>
  <si>
    <t xml:space="preserve">HCHO (lb/hr) - AP-42 </t>
  </si>
  <si>
    <r>
      <t xml:space="preserve">H2SO4
</t>
    </r>
    <r>
      <rPr>
        <b/>
        <sz val="10"/>
        <rFont val="Times New Roman"/>
        <family val="1"/>
      </rPr>
      <t xml:space="preserve"> HAP or </t>
    </r>
    <r>
      <rPr>
        <b/>
        <sz val="10"/>
        <rFont val="Wingdings"/>
        <charset val="2"/>
      </rPr>
      <t>þ</t>
    </r>
    <r>
      <rPr>
        <b/>
        <sz val="10"/>
        <rFont val="Times New Roman"/>
        <family val="1"/>
      </rPr>
      <t xml:space="preserve"> TAP</t>
    </r>
  </si>
  <si>
    <t>Unit and stack numbering must correspond throughout the application package.  If applying for a NOI under 20.2.73 NMAC, equipment exemptions under 2.72.202 NMAC do not apply.</t>
  </si>
  <si>
    <t>Unit and stack numbering must correspond throughout the application package.  Only list control equipment for TAPs if the TAP’s maximum uncontrolled emissions rate is over its respective threshold as listed in 20.2.72 NMAC, Subpart V, Tables A and B.  In accordance with 20.2.72.203.A(3) and (8) NMAC, 20.2.70.300.D(5)(b) and (e) NMAC, and 20.2.73.200.B(7) NMAC, the permittee shall report all control devices and list each pollutant controlled by the control device regardless if the applicant takes credit for the reduction in emissions.</t>
  </si>
  <si>
    <t xml:space="preserve">Unit and stack numbering must correspond throughout the application package.  Include the stack exit conditions for each unit that emits from a stack, including blowdown venting parameters and tank emissions.   If the facility has multiple operating scenarios, complete a separate Table 2-H for each scenario and, for each, type scenario name here: </t>
  </si>
  <si>
    <t xml:space="preserve">Applications submitted under 20.2.70, 20.2.72, &amp; 20.2.74 NMAC are required to complete this Table.  Power plants, Title V major sources, and PSD major sources must report and calculate all GHG emissions for each unit. Applicants must report potential emission rates in short tons per year (see Section 6.a for assistance).  Include GHG emissions during Startup, Shutdown, and Scheduled Maintenance in this table.  For minor source facilities that are not power plants, are not Title V, or are not PSD, there are three options for reporting GHGs 1) report GHGs for each individual piece of equipment; 2) report all GHGs from a group of unit types, for example report all combustion source GHGs as a single unit and all venting GHG as a second separate unit;  OR  3) check the following box    By checking this box, the applicant acknowledges the total CO2e emissions are less than 75,000 tons per year.  </t>
  </si>
  <si>
    <t>5A_New</t>
  </si>
  <si>
    <t>Ammonia (ppbvd @ 15% O2)</t>
  </si>
  <si>
    <t>Ammonia (lb/hr)</t>
  </si>
  <si>
    <r>
      <t xml:space="preserve">Ammonia
</t>
    </r>
    <r>
      <rPr>
        <b/>
        <sz val="10"/>
        <rFont val="Times New Roman"/>
        <family val="1"/>
      </rPr>
      <t xml:space="preserve"> HAP or </t>
    </r>
    <r>
      <rPr>
        <b/>
        <sz val="10"/>
        <rFont val="Wingdings"/>
        <charset val="2"/>
      </rPr>
      <t>þ</t>
    </r>
    <r>
      <rPr>
        <b/>
        <sz val="10"/>
        <rFont val="Times New Roman"/>
        <family val="1"/>
      </rPr>
      <t xml:space="preserve"> TAP</t>
    </r>
  </si>
  <si>
    <t>Max tpy rates (Fired)</t>
  </si>
  <si>
    <t>Total exhaust flow rate @ 599 °F (acf/hr)</t>
  </si>
  <si>
    <t>Total exhaust flow rate @ 599 °F (acf/sec)</t>
  </si>
  <si>
    <t>Exhaust Stack Exit Velocity @ 599 °F (ft/sec)</t>
  </si>
  <si>
    <t>CAT1</t>
  </si>
  <si>
    <t>CAT2</t>
  </si>
  <si>
    <t>CAT3</t>
  </si>
  <si>
    <t>CAT4</t>
  </si>
  <si>
    <t>GEN1</t>
  </si>
  <si>
    <t>GEN2</t>
  </si>
  <si>
    <t>GEN3</t>
  </si>
  <si>
    <t>GEN4</t>
  </si>
  <si>
    <t>GEN5</t>
  </si>
  <si>
    <t xml:space="preserve"> Flare 1</t>
  </si>
  <si>
    <t xml:space="preserve"> Flare 2</t>
  </si>
  <si>
    <t xml:space="preserve"> Flare 3</t>
  </si>
  <si>
    <t>Produced Water w/ Trace Oils</t>
  </si>
  <si>
    <t>SHTR1-12</t>
  </si>
  <si>
    <t>CHTR1-3</t>
  </si>
  <si>
    <t>RHTR1-3</t>
  </si>
  <si>
    <t>FL1-FL3</t>
  </si>
  <si>
    <t>OTK1-OTK6</t>
  </si>
  <si>
    <t>SHTR1-2</t>
  </si>
  <si>
    <t>PSD NESTED 
SOURCE CATEGORY</t>
  </si>
  <si>
    <t>Emissions represented at ECD1.</t>
  </si>
  <si>
    <t>Sum Component Flow/Frac.73</t>
  </si>
  <si>
    <t>User Value [CompSum]</t>
  </si>
  <si>
    <t>This User Value Set was programmatically generated.  GUID={7DD3EEA4-8493-4B38-86C8-067FACA49CCC}</t>
  </si>
  <si>
    <t>BURNER CALCULATIONS - COGEN OPERATING SCENARIO</t>
  </si>
  <si>
    <t>HAP</t>
  </si>
  <si>
    <t>XTO ENERGY INC</t>
  </si>
  <si>
    <t>DELAWARE DEVELOPMENT</t>
  </si>
  <si>
    <t>Sulfur Dioxide and Sulfuric Acid, and Particulate Matter Calculations for Gas Turbines</t>
  </si>
  <si>
    <t>MW for S</t>
  </si>
  <si>
    <t>MW for H2S</t>
  </si>
  <si>
    <t>MW for SO2</t>
  </si>
  <si>
    <t>MW for H2SO4</t>
  </si>
  <si>
    <t>Fuel Gas, LHV =</t>
  </si>
  <si>
    <t>Fuel Gas HHV:LHV</t>
  </si>
  <si>
    <t>Calculation Case:</t>
  </si>
  <si>
    <t>SO2 to SO3/H2SO4 conversion is 25% at the catalyst and PM emissions per BACT analysis for permit for Hobbs Generating Station, NM</t>
  </si>
  <si>
    <t>PM10, GT</t>
  </si>
  <si>
    <t>(Hobbs Gen Station, NM - BACT)</t>
  </si>
  <si>
    <t>lb/MMBtu for GT</t>
  </si>
  <si>
    <t>PM10, DB</t>
  </si>
  <si>
    <t>lb/MMBtu Duct Burners</t>
  </si>
  <si>
    <t>Case 5A(new)
Winter, reduced DB</t>
  </si>
  <si>
    <t>GT</t>
  </si>
  <si>
    <t>DB</t>
  </si>
  <si>
    <t>1 GT+DB</t>
  </si>
  <si>
    <t>Total for 4 GT+DB</t>
  </si>
  <si>
    <t xml:space="preserve">GT Net Output @ Gen End </t>
  </si>
  <si>
    <t>Net Heat Rate (LHV) @ Gen end</t>
  </si>
  <si>
    <t>Btu/kWh</t>
  </si>
  <si>
    <t>Fuel Gas Firing rate, LHV</t>
  </si>
  <si>
    <t>Fuel Gas Flow</t>
  </si>
  <si>
    <t>scfh</t>
  </si>
  <si>
    <t>Annual Hours of Operations</t>
  </si>
  <si>
    <t>Sulfur In</t>
  </si>
  <si>
    <t>lbmol/h</t>
  </si>
  <si>
    <t>SO2 formed from fuel</t>
  </si>
  <si>
    <t>SO2-&gt;SO3-&gt;H2SO4 conv due to combustion</t>
  </si>
  <si>
    <t>Sulfuric Acid formed</t>
  </si>
  <si>
    <t>SO2-&gt;SO3-&gt;H2SO4 conv due to DB flame pass through</t>
  </si>
  <si>
    <t>SO2-&gt;SO3-&gt;H2SO4 conv at Dual Function Catalyst</t>
  </si>
  <si>
    <t>SO2-&gt;SO3-&gt;H2SO4 conv at Stack Exit Condition of 300 F</t>
  </si>
  <si>
    <t>Estimated Stack Emissions</t>
  </si>
  <si>
    <t>Sulfuric Acid Stack Emissions</t>
  </si>
  <si>
    <t>SO2 Stack Emissions</t>
  </si>
  <si>
    <t xml:space="preserve">1. SO2-&gt;SO3-&gt;H2SO4 conversion at Dual Function Catalyst is based on vendor guarantee from catalyst vendor (pass thru from N/E) </t>
  </si>
  <si>
    <t>2. SO2-&gt;SO3-&gt;H2SO4 conversion at Stack Conditions are EPRI (Electric Power Research Institute), Estimating Total Sulfuric Acid Emissions from Stationary Power Plants, doc# 3002012398, 2018 Update</t>
  </si>
  <si>
    <t>Sulfur lbmol Check</t>
  </si>
  <si>
    <t>STACK EMISSIONS - HAZARDOUS AIR POLLUTANTS FOR EACH COGEN STACK</t>
  </si>
  <si>
    <t>UNCONTROLLED BASIS</t>
  </si>
  <si>
    <t>CONTROLLED WITH CATOX</t>
  </si>
  <si>
    <t>g/s</t>
  </si>
  <si>
    <t>kg/hr</t>
  </si>
  <si>
    <t xml:space="preserve"> Formaldehyde</t>
  </si>
  <si>
    <t xml:space="preserve"> Inorganic HAPs</t>
  </si>
  <si>
    <t xml:space="preserve"> Total HAPs</t>
  </si>
  <si>
    <t xml:space="preserve"> Total Metals</t>
  </si>
  <si>
    <t>FUEL GAS BASIS</t>
  </si>
  <si>
    <t xml:space="preserve">Fuel Gas, LHV </t>
  </si>
  <si>
    <t>FIRING RATE</t>
  </si>
  <si>
    <t>Gas Turbine</t>
  </si>
  <si>
    <t>MMbtu-LHV/h</t>
  </si>
  <si>
    <t>Duct Burner</t>
  </si>
  <si>
    <t xml:space="preserve"> CATALYTIC OXIDATION CONTROL STATUS</t>
  </si>
  <si>
    <t>Removal Efficiency %</t>
  </si>
  <si>
    <t>CATOX-VOC</t>
  </si>
  <si>
    <t>CATOX-HCHO</t>
  </si>
  <si>
    <t>GT+DB EXHAUST FLOW - BEFORE SCR</t>
  </si>
  <si>
    <t>FLOWS</t>
  </si>
  <si>
    <t>Exhaust</t>
  </si>
  <si>
    <t>wet mol%</t>
  </si>
  <si>
    <t>dry mol%</t>
  </si>
  <si>
    <t xml:space="preserve">O2 =  </t>
  </si>
  <si>
    <t xml:space="preserve">Total, Wet =  </t>
  </si>
  <si>
    <t>Total, Dry =</t>
  </si>
  <si>
    <t>STACK EXHAUST MOLAR BALANCE - POST SCR</t>
  </si>
  <si>
    <t>O2 =</t>
  </si>
  <si>
    <t>GAS TURBINE - VOC and HAPs EMISSIONS - EMISSION FACTOR BASED DETERMINATIONS</t>
  </si>
  <si>
    <t>EMISSION RATES</t>
  </si>
  <si>
    <t>Em. Factor Source</t>
  </si>
  <si>
    <t>Notes</t>
  </si>
  <si>
    <t>AP-42, Table 3.1-2a</t>
  </si>
  <si>
    <t>VOC (as HCHO)</t>
  </si>
  <si>
    <t>Per GT Vendor</t>
  </si>
  <si>
    <t>1,3 Butadiene</t>
  </si>
  <si>
    <t>AP-42, Table 3.1-3</t>
  </si>
  <si>
    <t>Acetaldehyde</t>
  </si>
  <si>
    <t>Acrolein</t>
  </si>
  <si>
    <t>Naphthalene</t>
  </si>
  <si>
    <t>Xylenes</t>
  </si>
  <si>
    <t>a.  Criteria pollutant by name or association, i.e., VOC as surrogates for O3</t>
  </si>
  <si>
    <t>b.   Hazardous Air Pollutant (HAP) as defined by Section 112(b) of the Clean Air Act.</t>
  </si>
  <si>
    <t>c.   HAP because it is Polycyclic Organic Matter (POM). POM is a HAP as defined by Section 112(b) of Clean Air Act</t>
  </si>
  <si>
    <t xml:space="preserve">d.   non-VOC per 40 CFR 51.100(s)(1) methane and ethane are not considered as regulated photochemical reactive VOC </t>
  </si>
  <si>
    <t>DUCT BURNER - VOC and HAPs EMISSIONS EMISSION FACTOR BASED DETERMINATIONS</t>
  </si>
  <si>
    <t>AP-42, Table 1.4-2</t>
  </si>
  <si>
    <t>Per HRSG Vendor</t>
  </si>
  <si>
    <t>2-Methylnaphthalene</t>
  </si>
  <si>
    <t>AP-42, Table 1.4-3</t>
  </si>
  <si>
    <t>3-Methylchloranthrene</t>
  </si>
  <si>
    <t>7,12-Dimethylbenz(a)anthracene</t>
  </si>
  <si>
    <t>b, c</t>
  </si>
  <si>
    <t>Acenaphthene</t>
  </si>
  <si>
    <t>Acenaphthylene</t>
  </si>
  <si>
    <t>Anthracene</t>
  </si>
  <si>
    <t>Benz(a)anthracene</t>
  </si>
  <si>
    <t>Benzo(a)pyrene</t>
  </si>
  <si>
    <t>Benzo(b)fluoranthene</t>
  </si>
  <si>
    <t>Benzo(g,h,i)perylene</t>
  </si>
  <si>
    <t>Benzo(k)fluoranthene</t>
  </si>
  <si>
    <t>Chrysene</t>
  </si>
  <si>
    <t>Dibenzo(a,h)anthracene</t>
  </si>
  <si>
    <t>Dichlorobenzene</t>
  </si>
  <si>
    <t>Fluoranthene</t>
  </si>
  <si>
    <t>Fluorene</t>
  </si>
  <si>
    <t>Hexane</t>
  </si>
  <si>
    <t>Indeno(1,2,3-cd)pyrene</t>
  </si>
  <si>
    <t>Phenanathrene</t>
  </si>
  <si>
    <t>Pyrene</t>
  </si>
  <si>
    <t>Arsenic</t>
  </si>
  <si>
    <t>AP-42, Table 1.4-4</t>
  </si>
  <si>
    <t>Beryllium</t>
  </si>
  <si>
    <t>Cadmium</t>
  </si>
  <si>
    <t>Chromium</t>
  </si>
  <si>
    <t>Cobalt</t>
  </si>
  <si>
    <t>Manganese</t>
  </si>
  <si>
    <t>Mercury</t>
  </si>
  <si>
    <t>Nickel</t>
  </si>
  <si>
    <t>Selenium</t>
  </si>
  <si>
    <t>b.  Hazardous Air Pollutant (HAP) as defined by Section 112(b) of the Clean Air Act.</t>
  </si>
  <si>
    <t>c.  POM is a HAP as defined by Section 112(b) of Clean Air Act</t>
  </si>
  <si>
    <t xml:space="preserve">d.  non-VOC per 40 CFR 51.100(s)(1); methane and ethane are not considered as regulated photochemical reactive VOC </t>
  </si>
  <si>
    <t>tpy (8760)</t>
  </si>
  <si>
    <t>COGENERATION TURBINES</t>
  </si>
  <si>
    <t>Sulfur Dioxide and Sulfuric Acid Emissions</t>
  </si>
  <si>
    <t>3. SO2-&gt;SO3-&gt;H2SO4 conversion at the combustors/DB and due to combustion at flame conditions is based on information from N/E)</t>
  </si>
  <si>
    <t>hr/y</t>
  </si>
  <si>
    <t>AP-42 Factor</t>
  </si>
  <si>
    <t>lb/100 scf</t>
  </si>
  <si>
    <t>lbmol-S/100 scf</t>
  </si>
  <si>
    <t>lbmol-H2S/100 scf</t>
  </si>
  <si>
    <t>gr/100 scf</t>
  </si>
  <si>
    <t>SO2 and PM emission factors were adjusted based on site heat content versus the AP-42 value of 1,020 Btu/scf. SO2 factor was adjusted to 7500 gr/MMscf (0.75 gr/100 scf)</t>
  </si>
  <si>
    <t>Stabilization Hot Oil Heater
(64.83 MMBtu/hr)</t>
  </si>
  <si>
    <t>64.83 MMBtu/hr</t>
  </si>
  <si>
    <t>Cryo Hot Oil Heater
(103.99 MMBtu/hr)</t>
  </si>
  <si>
    <t>103.99 MMBtu/hr</t>
  </si>
  <si>
    <t>39.14 MMBtu/hr</t>
  </si>
  <si>
    <t>VOC AND HAP EMISSIONS SUMMARY</t>
  </si>
  <si>
    <t>H2SO4</t>
  </si>
  <si>
    <t>MAJOR SOURCE THRESHOLD COMPARISON - COGEN OPTION (4 COGENERATION TURBINES/2 STABILIZER HEATERS/3 CRYOGENIC HEATERS)</t>
  </si>
  <si>
    <t>* The PSD significant emission rate (SER) for NOx, CO, VOC, SO2, and TSP/PM10 is 100 tpy for the nested source categories. The SER for sulfuric acid is 7 tpy.</t>
  </si>
  <si>
    <t>ppmvd-15% O2</t>
  </si>
  <si>
    <t>Mitsubishi</t>
  </si>
  <si>
    <t>H-100</t>
  </si>
  <si>
    <t>Fuel gas Total Sulfur content (from AP-42: 2000 gr/MMscf) =</t>
  </si>
  <si>
    <t>ºF</t>
  </si>
  <si>
    <t>Vendor-Supplied Data</t>
  </si>
  <si>
    <t>Natural Gas Liquids</t>
  </si>
  <si>
    <t>Liquid (BOPD)</t>
  </si>
  <si>
    <t>Liquid (BWPD)</t>
  </si>
  <si>
    <t>Gas (MMSCFD)</t>
  </si>
  <si>
    <t>SUMMARY OF SITE EMISSIONS WITH VARIABLE HEAT NEEDS DURING TURBINE DOWNTIME</t>
  </si>
  <si>
    <t>LOV1</t>
  </si>
  <si>
    <t>Turbine Lube Oil Vent</t>
  </si>
  <si>
    <t>20.2.72.202.B.5</t>
  </si>
  <si>
    <t>Units with PTE &lt; 0.5 tpy</t>
  </si>
  <si>
    <t>LOV2</t>
  </si>
  <si>
    <t>LOV3</t>
  </si>
  <si>
    <t>LOV4</t>
  </si>
  <si>
    <t>TK5001</t>
  </si>
  <si>
    <t>TK5002</t>
  </si>
  <si>
    <t>Thermal Fluid Surge Tank (Nitrogen and Trace VOC)</t>
  </si>
  <si>
    <t>VOC/HAP - 37%, HCOH - 63%</t>
  </si>
  <si>
    <t>Tab 1</t>
  </si>
  <si>
    <t>Tab 2</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</si>
  <si>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</si>
  <si>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</si>
  <si>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</si>
  <si>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</si>
  <si>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</si>
  <si>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</si>
  <si>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</si>
  <si>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</si>
  <si>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</si>
  <si>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</si>
  <si>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</si>
  <si>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</si>
  <si>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</si>
  <si>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</si>
  <si>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</si>
  <si>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</si>
  <si>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</si>
  <si>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</si>
  <si>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</si>
  <si>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Tab 22</t>
  </si>
  <si>
    <t>UA2 Form - Application Tables</t>
  </si>
  <si>
    <t>Table of Contents</t>
  </si>
  <si>
    <t>Section 3 - Application Summary</t>
  </si>
  <si>
    <t>Section 4 - Process Flow Sheet</t>
  </si>
  <si>
    <t>Section 5 - Plot Plan Drawn To Scale</t>
  </si>
  <si>
    <t xml:space="preserve">Section 6 - All Calculations </t>
  </si>
  <si>
    <t>Section 7 - Information Used To Determine Emissions</t>
  </si>
  <si>
    <t>Section 8 - Map(s)</t>
  </si>
  <si>
    <t>Section 9 - Proof of Public Notice</t>
  </si>
  <si>
    <t>Section 10 - Written Description of the Routine Operations of the Facility</t>
  </si>
  <si>
    <t>Section 11 -Source Determination</t>
  </si>
  <si>
    <t>Section 12 - PSD Applicability Determination for All Sources</t>
  </si>
  <si>
    <t>Section 13 - Determination of State &amp; Federal Air Quality Regulations</t>
  </si>
  <si>
    <t>Section 14 - Operational Plan to Mitigate Emissions</t>
  </si>
  <si>
    <t>Section 15 - Alternative Operating Scenarios</t>
  </si>
  <si>
    <t>Section 16 - Air Dispersion Modeling</t>
  </si>
  <si>
    <t>Section 17 - Compliance Test History</t>
  </si>
  <si>
    <t>Section 19 - Requirements for Title V Program</t>
  </si>
  <si>
    <t>Section 20 - Other Relevant Information</t>
  </si>
  <si>
    <t>Section 18 - Addendum for Streamline Applications (Not Applicable)</t>
  </si>
  <si>
    <t>Section 21 - Addendum for Landfill Applications (Not Applicable)</t>
  </si>
  <si>
    <t>Section 22 - Certification</t>
  </si>
  <si>
    <t>Tab 23</t>
  </si>
  <si>
    <t>Section 23 - UA4</t>
  </si>
  <si>
    <t>Table 2-A:    Regulated Emission Sources  (4 TURBINES W/2 STABILIZERS)</t>
  </si>
  <si>
    <t>OKT7</t>
  </si>
  <si>
    <t xml:space="preserve">Fossil fuel boilers (or combination thereof) totaling more than 250 MMBtu/hr heat input </t>
  </si>
  <si>
    <t>Petroleum storage transfer units, total storage capacity
over 300,000 barrels</t>
  </si>
  <si>
    <t>Fossil fuel fired steam electric plants of more than 250
MMBtu/hr heat input</t>
  </si>
  <si>
    <t>PREPARED BY:</t>
  </si>
  <si>
    <t>120 MW</t>
  </si>
  <si>
    <t>Amine Makeup Tank</t>
  </si>
  <si>
    <t>Utility Water Tank</t>
  </si>
  <si>
    <t xml:space="preserve">1000 bbl Demin Water Tank </t>
  </si>
  <si>
    <t xml:space="preserve">1000 bbl Raw Water Tank </t>
  </si>
  <si>
    <t>1000 bbl Firefighting Foam Tank</t>
  </si>
  <si>
    <t>100 bbl Lube Oil Tank</t>
  </si>
  <si>
    <t>GEN1-GEN5</t>
  </si>
  <si>
    <r>
      <t xml:space="preserve">Toluene
</t>
    </r>
    <r>
      <rPr>
        <b/>
        <sz val="8"/>
        <rFont val="Wingdings"/>
        <charset val="2"/>
      </rPr>
      <t>þ</t>
    </r>
    <r>
      <rPr>
        <b/>
        <sz val="10"/>
        <rFont val="Times New Roman"/>
        <family val="1"/>
      </rPr>
      <t xml:space="preserve"> HAP or  TAP</t>
    </r>
  </si>
  <si>
    <r>
      <t xml:space="preserve">Ethylbenzene
</t>
    </r>
    <r>
      <rPr>
        <b/>
        <sz val="8"/>
        <rFont val="Wingdings"/>
        <charset val="2"/>
      </rPr>
      <t>þ</t>
    </r>
    <r>
      <rPr>
        <b/>
        <sz val="10"/>
        <rFont val="Times New Roman"/>
        <family val="1"/>
      </rPr>
      <t xml:space="preserve"> HAP or  TAP</t>
    </r>
  </si>
  <si>
    <t xml:space="preserve"> Organic HAPs excl. HCOH</t>
  </si>
  <si>
    <t># OF CRYO HEATERS</t>
  </si>
  <si>
    <r>
      <t>SO</t>
    </r>
    <r>
      <rPr>
        <b/>
        <vertAlign val="subscript"/>
        <sz val="18"/>
        <rFont val="Book Antiqua"/>
        <family val="1"/>
      </rPr>
      <t>2</t>
    </r>
  </si>
  <si>
    <r>
      <t>PM</t>
    </r>
    <r>
      <rPr>
        <b/>
        <vertAlign val="subscript"/>
        <sz val="18"/>
        <rFont val="Book Antiqua"/>
        <family val="1"/>
      </rPr>
      <t>10 &amp; 2.5</t>
    </r>
  </si>
  <si>
    <t>CONTROLLED FACILITY EMISSIONS SUMMARY - COGENERATION OPERATING SCENARIO</t>
  </si>
  <si>
    <t xml:space="preserve"> VOC (as Formaldehyde)</t>
  </si>
  <si>
    <t>Table 2-A:    Regulated Emission Sources (ALL EQUIPMENT FOR FULL CDP/COGEN BUILDOUT)</t>
  </si>
  <si>
    <t>Table 2-A:    Regulated Emission Sources (3 TURBINES W/4 STABILIZERS AND 1 CRYO)</t>
  </si>
  <si>
    <t>Table 2-A:    Regulated Emission Sources (2 TURBINES W/6 STABILIZERS AND 2 CRYOS)</t>
  </si>
  <si>
    <t>Table 2-A:    Regulated Emission Sources (1 TURBINE W/8 STABILIZERS AND 3 CRYOS)</t>
  </si>
  <si>
    <t xml:space="preserve">SO2 to SO3/H2SO4 conversion is 25% at the catalyst </t>
  </si>
  <si>
    <t>OTK1-OTK7, PWTK1-PWTK2, OTL</t>
  </si>
  <si>
    <r>
      <t>SO</t>
    </r>
    <r>
      <rPr>
        <b/>
        <vertAlign val="subscript"/>
        <sz val="16"/>
        <rFont val="Book Antiqua"/>
        <family val="1"/>
      </rPr>
      <t>2</t>
    </r>
  </si>
  <si>
    <r>
      <t>PM</t>
    </r>
    <r>
      <rPr>
        <b/>
        <vertAlign val="subscript"/>
        <sz val="16"/>
        <rFont val="Book Antiqua"/>
        <family val="1"/>
      </rPr>
      <t>10 &amp; 2.5</t>
    </r>
  </si>
  <si>
    <t xml:space="preserve">* The PSD significant emission rate (SER) for NOx, CO, VOC, SO2, and TSP/PM10 is 100 tpy for the nested source categories. </t>
  </si>
  <si>
    <t>Table 2-A:    Regulated Emission Sources (CDP BUILDOUT WITH NO TURBINES)</t>
  </si>
  <si>
    <t>Table 2-I:    Stack Exit and Fugitive Emission Rates for HAPs and TAPs - WITHOUT COGENERATION</t>
  </si>
  <si>
    <t>Table 2-I:    Stack Exit and Fugitive Emission Rates for HAPs and TAPs - WITH COGENERATION</t>
  </si>
  <si>
    <t>&lt; 0.0001</t>
  </si>
  <si>
    <t>Oil/Condensate</t>
  </si>
  <si>
    <t>Slop - Oil/Condensate</t>
  </si>
  <si>
    <t>HYSYS PROCESS STREAM NAME:</t>
  </si>
  <si>
    <t>PROMAX PROCESS STREAM NAME:</t>
  </si>
  <si>
    <t>IFR Inlet</t>
  </si>
  <si>
    <t>To slop oil</t>
  </si>
  <si>
    <t>To GB2</t>
  </si>
  <si>
    <t>WiO2</t>
  </si>
  <si>
    <t>Oil OVHD</t>
  </si>
  <si>
    <t>Pilot Fuel, TO Fuel, LP Header Purge Gas, HP Header Purge gas</t>
  </si>
  <si>
    <t>Residue Gas</t>
  </si>
  <si>
    <t>DELAWARE WELLSTREAM SAMPLE:</t>
  </si>
  <si>
    <t>Wellstream</t>
  </si>
  <si>
    <r>
      <t>E = k(s/12)</t>
    </r>
    <r>
      <rPr>
        <b/>
        <vertAlign val="superscript"/>
        <sz val="12"/>
        <color indexed="8"/>
        <rFont val="Book Antiqua"/>
        <family val="1"/>
      </rPr>
      <t>a</t>
    </r>
    <r>
      <rPr>
        <b/>
        <sz val="12"/>
        <color indexed="8"/>
        <rFont val="Book Antiqua"/>
        <family val="1"/>
      </rPr>
      <t>(W/3)</t>
    </r>
    <r>
      <rPr>
        <b/>
        <vertAlign val="superscript"/>
        <sz val="12"/>
        <color indexed="8"/>
        <rFont val="Book Antiqua"/>
        <family val="1"/>
      </rPr>
      <t>b</t>
    </r>
  </si>
  <si>
    <t>Emissions (lbs/hr) =  Driving Distance (ft)/ 5280 * E (lbs/VMT) * 4 * (1-control efficiency). (Four trucks per hour for 365 days a year)</t>
  </si>
  <si>
    <t>EPA.  "Compilation of Air Pollutant Emission Factors, Volume 1: Stationary Point and Area Sources," AP-42, Section 13.2.1</t>
  </si>
  <si>
    <t>WRAP Fugitive Dust Handbook; September 7, 2006</t>
  </si>
  <si>
    <t>DUAL TIP FLARE OVERHEAD SSM HOURLY EMISSIONS (COMBINED BETWEEN ALL FLARES)</t>
  </si>
  <si>
    <t>Stabilizer Overhead SSM Gas</t>
  </si>
  <si>
    <t>DUAL TIP FLARE OVERHEAD SSM ANNUAL EMISSIONS (COMBINED BETWEEN ALL FLARES)</t>
  </si>
  <si>
    <t>OVHD-MSS Flare Time</t>
  </si>
  <si>
    <t>DUAL TIP FLARE CRYO SSM ANNUAL EMISSIONS (COMBINED BETWEEN ALL FLARES)</t>
  </si>
  <si>
    <t>CRYO-MSS Flare Time</t>
  </si>
  <si>
    <t>DUAL TIP FLARE CRYO SSM HOURLY EMISSIONS (COMBINED BETWEEN ALL FLARES)</t>
  </si>
  <si>
    <t>DUAL TIP 20 MMSCFD FLARES - ANNUAL (FL1 - FL3CRYO-MSS)</t>
  </si>
  <si>
    <t>DUAL TIP 20 MMSCFD FLARES - HOURLY (FL1 - FL3CRYO-MSS)</t>
  </si>
  <si>
    <t>DUAL TIP 20 MMSCFD FLARES - HOURLY (FL1 - FL3OVHD-MSS)</t>
  </si>
  <si>
    <t>DUAL TIP 20 MMSCFD FLARES - ANNUAL (FL1 - FL3OVHD-MSS)</t>
  </si>
  <si>
    <t>CRYO Blowdown SSM Gas</t>
  </si>
  <si>
    <r>
      <rPr>
        <vertAlign val="superscript"/>
        <sz val="9"/>
        <rFont val="Book Antiqua"/>
        <family val="1"/>
      </rPr>
      <t xml:space="preserve">a </t>
    </r>
    <r>
      <rPr>
        <sz val="9"/>
        <rFont val="Book Antiqua"/>
        <family val="1"/>
      </rPr>
      <t>SSM gas can be routed to one or any combination of the three flares. For emissions tracking purposes in accordance with the permit, XTO Energy is requesting a combined emisison limit for flaring.</t>
    </r>
  </si>
  <si>
    <t>Stabilizer Overhead SSM Gas (FL1 - FL3OVHD-SSM)</t>
  </si>
  <si>
    <r>
      <t>Stream Source</t>
    </r>
    <r>
      <rPr>
        <b/>
        <vertAlign val="superscript"/>
        <sz val="12"/>
        <rFont val="Book Antiqua"/>
        <family val="1"/>
      </rPr>
      <t>a,b</t>
    </r>
  </si>
  <si>
    <r>
      <rPr>
        <vertAlign val="superscript"/>
        <sz val="9"/>
        <rFont val="Book Antiqua"/>
        <family val="1"/>
      </rPr>
      <t xml:space="preserve">b </t>
    </r>
    <r>
      <rPr>
        <sz val="9"/>
        <rFont val="Book Antiqua"/>
        <family val="1"/>
      </rPr>
      <t>SSM Stabilizer Overhead Gas and Cryo Blowdown SSM events can not occur wihtin the same 24 hour period. PTE for total hourly rate and the Q/D analysis assumes the highest lb/day &amp; lb/hr value from either SSM stream to be conservative.</t>
    </r>
  </si>
  <si>
    <t>Control Efficiency - Base Course</t>
  </si>
  <si>
    <r>
      <rPr>
        <vertAlign val="superscript"/>
        <sz val="9"/>
        <rFont val="Book Antiqua"/>
        <family val="1"/>
      </rPr>
      <t xml:space="preserve">c </t>
    </r>
    <r>
      <rPr>
        <sz val="9"/>
        <rFont val="Book Antiqua"/>
        <family val="1"/>
      </rPr>
      <t xml:space="preserve">SSM Stabilizer Overhead Gas and Cryo Blowdown SSM events can not occur wihtin the same 24 hour period, so XTO conservatively is assuming each can occur 182 days per year. </t>
    </r>
  </si>
  <si>
    <t>Operated only as backup to FL1-FL2</t>
  </si>
  <si>
    <t>FL1-FL3 Stabilizer Overhead SSM Gas</t>
  </si>
  <si>
    <t>FL1-FL3CRYO-SSM</t>
  </si>
  <si>
    <t>SSM/Emergency 
Flare 1 
(Dual Tip Flare)</t>
  </si>
  <si>
    <t>SSM/Emergency 
Flare 2 
(Dual Tip Flare)</t>
  </si>
  <si>
    <t>Backup SSM/Emergency 
Flare 3 
(Dual Tip Flare)</t>
  </si>
  <si>
    <t>Flare 1 (Dual Tip Flare) - Pilot/Purge Only</t>
  </si>
  <si>
    <t>Flare 2 (Dual Tip Flare) - Pilot/Purge Only</t>
  </si>
  <si>
    <t>SSM/Emergency Flare 1 
(Dual Tip Flare) - Pilot/Purge</t>
  </si>
  <si>
    <t>SSM/Emergency Flare 2 
(Dual Tip Flare) - Pilot/Purge</t>
  </si>
  <si>
    <t>TOTAL FACILITY EMISSIONS</t>
  </si>
  <si>
    <t>Cryo Blowdown SSM Gas 
(FL1-FL3CRYO-SSM)</t>
  </si>
  <si>
    <t>FL1-FL3 - 
Pilot/Purge</t>
  </si>
  <si>
    <t>FL1-FL3 Cryo Blowdown SSM Gas</t>
  </si>
  <si>
    <t>FL1-FL3OVHD-SSM</t>
  </si>
  <si>
    <t>CLASS 1 AREA AQRV ANALYSIS</t>
  </si>
  <si>
    <t>Q/D Analysis &amp; Emissions Summary Table</t>
  </si>
  <si>
    <t>Emissions Increase: Q (tpy) =</t>
  </si>
  <si>
    <t>Class 1 Area:</t>
  </si>
  <si>
    <t>Distance: d (km)</t>
  </si>
  <si>
    <t>Q/d</t>
  </si>
  <si>
    <r>
      <rPr>
        <vertAlign val="superscript"/>
        <sz val="9"/>
        <rFont val="Book Antiqua"/>
        <family val="1"/>
      </rPr>
      <t xml:space="preserve">a </t>
    </r>
    <r>
      <rPr>
        <sz val="9"/>
        <rFont val="Book Antiqua"/>
        <family val="1"/>
      </rPr>
      <t>SSM Stabilizer Overhead Gas and Cryo Blowdown SSM events can not occur wihtin the same 24 hour period. PTE for total hourly rate and the Q/D analysis assumes the highest lb/day &amp; lb/hr value from either SSM stream to be conservative.</t>
    </r>
  </si>
  <si>
    <t xml:space="preserve"> H2SO4</t>
  </si>
  <si>
    <r>
      <t>Stream Source</t>
    </r>
    <r>
      <rPr>
        <b/>
        <vertAlign val="superscript"/>
        <sz val="12"/>
        <rFont val="Book Antiqua"/>
        <family val="1"/>
      </rPr>
      <t>a,b,c</t>
    </r>
  </si>
  <si>
    <t>CRYO GAS COMBUSTION (FL1-FL3CRYO-MSS) - GHG EMISSIONS SUMMARY</t>
  </si>
  <si>
    <t>OVERHEAD GAS COMBUSTION (FL1-FL3OVHD-SSM) - GHG EMISSIONS SUMMARY</t>
  </si>
  <si>
    <t>PILOT/PURGE GAS COMBUSTION (FL1-FL3) - GHG EMISSIONS SUMMARY</t>
  </si>
  <si>
    <t>SHTR1-SHTR12</t>
  </si>
  <si>
    <t>Uncollected THC</t>
  </si>
  <si>
    <t>VOC Emissions</t>
  </si>
  <si>
    <t>Total CH4
Weight %</t>
  </si>
  <si>
    <t>Total CO2
Weight %</t>
  </si>
  <si>
    <t>FUGITIVE GREENHOUSE GAS EMISSIONS</t>
  </si>
  <si>
    <t>Uncontrolled Emissions</t>
  </si>
  <si>
    <t>CO2 emissions are based ratio of CH4 weight % to CO2 weight % per Exhibit 6.1 of API Compendium of Greenhouse Gas Emission Methodologies for the Oil and Natural Gas Industry; August 2009.</t>
  </si>
  <si>
    <r>
      <t>CH4 Emissions</t>
    </r>
    <r>
      <rPr>
        <b/>
        <vertAlign val="superscript"/>
        <sz val="12"/>
        <rFont val="Book Antiqua"/>
        <family val="1"/>
      </rPr>
      <t>1</t>
    </r>
  </si>
  <si>
    <r>
      <t>CO2 Emissions</t>
    </r>
    <r>
      <rPr>
        <b/>
        <vertAlign val="superscript"/>
        <sz val="12"/>
        <rFont val="Book Antiqua"/>
        <family val="1"/>
      </rPr>
      <t>2</t>
    </r>
  </si>
  <si>
    <t>CH4 emissions were calculated as follow: TOC lb/hr * CH4 weight % = CH4 lb/hr.</t>
  </si>
  <si>
    <t>Uncontrolled  Emissions</t>
  </si>
  <si>
    <t>CH4 TPY</t>
  </si>
  <si>
    <t>CO2 TPY</t>
  </si>
  <si>
    <t>Manufacturer's Data</t>
  </si>
  <si>
    <t>g/hp-hr</t>
  </si>
  <si>
    <t>Yearly Operating Hours</t>
  </si>
  <si>
    <t>Rated HP</t>
  </si>
  <si>
    <r>
      <t>MMbtu/hp-hr</t>
    </r>
    <r>
      <rPr>
        <b/>
        <vertAlign val="superscript"/>
        <sz val="9"/>
        <rFont val="Book Antiqua"/>
        <family val="1"/>
      </rPr>
      <t xml:space="preserve">1
</t>
    </r>
    <r>
      <rPr>
        <b/>
        <sz val="9"/>
        <rFont val="Book Antiqua"/>
        <family val="1"/>
      </rPr>
      <t>(HHV)</t>
    </r>
  </si>
  <si>
    <r>
      <t>NOx</t>
    </r>
    <r>
      <rPr>
        <b/>
        <vertAlign val="superscript"/>
        <sz val="9"/>
        <rFont val="Book Antiqua"/>
        <family val="1"/>
      </rPr>
      <t>2</t>
    </r>
  </si>
  <si>
    <r>
      <t>CO</t>
    </r>
    <r>
      <rPr>
        <b/>
        <vertAlign val="superscript"/>
        <sz val="9"/>
        <rFont val="Book Antiqua"/>
        <family val="1"/>
      </rPr>
      <t>2</t>
    </r>
  </si>
  <si>
    <r>
      <t>VOC</t>
    </r>
    <r>
      <rPr>
        <b/>
        <vertAlign val="superscript"/>
        <sz val="9"/>
        <rFont val="Book Antiqua"/>
        <family val="1"/>
      </rPr>
      <t>2</t>
    </r>
  </si>
  <si>
    <r>
      <t>SO</t>
    </r>
    <r>
      <rPr>
        <b/>
        <vertAlign val="subscript"/>
        <sz val="9"/>
        <rFont val="Book Antiqua"/>
        <family val="1"/>
      </rPr>
      <t>2</t>
    </r>
    <r>
      <rPr>
        <b/>
        <vertAlign val="superscript"/>
        <sz val="9"/>
        <rFont val="Book Antiqua"/>
        <family val="1"/>
      </rPr>
      <t>3</t>
    </r>
  </si>
  <si>
    <r>
      <t>PM</t>
    </r>
    <r>
      <rPr>
        <b/>
        <vertAlign val="subscript"/>
        <sz val="9"/>
        <rFont val="Book Antiqua"/>
        <family val="1"/>
      </rPr>
      <t>10 &amp; 2.5</t>
    </r>
    <r>
      <rPr>
        <b/>
        <vertAlign val="superscript"/>
        <sz val="9"/>
        <rFont val="Book Antiqua"/>
        <family val="1"/>
      </rPr>
      <t>4</t>
    </r>
  </si>
  <si>
    <t>Aceta-ldehyde</t>
  </si>
  <si>
    <r>
      <t>SO</t>
    </r>
    <r>
      <rPr>
        <b/>
        <vertAlign val="subscript"/>
        <sz val="9"/>
        <rFont val="Book Antiqua"/>
        <family val="1"/>
      </rPr>
      <t>2</t>
    </r>
  </si>
  <si>
    <r>
      <t>PM</t>
    </r>
    <r>
      <rPr>
        <b/>
        <vertAlign val="subscript"/>
        <sz val="9"/>
        <rFont val="Book Antiqua"/>
        <family val="1"/>
      </rPr>
      <t>10 &amp; 2.5</t>
    </r>
  </si>
  <si>
    <r>
      <rPr>
        <b/>
        <vertAlign val="superscript"/>
        <sz val="8"/>
        <rFont val="Book Antiqua"/>
        <family val="1"/>
      </rPr>
      <t>1</t>
    </r>
    <r>
      <rPr>
        <b/>
        <sz val="8"/>
        <rFont val="Book Antiqua"/>
        <family val="1"/>
      </rPr>
      <t>HHV is based on the Fuel Consumption Rate @ 75% Load from the Gas Engine Rating Pro Report</t>
    </r>
  </si>
  <si>
    <r>
      <rPr>
        <b/>
        <vertAlign val="superscript"/>
        <sz val="8"/>
        <rFont val="Book Antiqua"/>
        <family val="1"/>
      </rPr>
      <t>2</t>
    </r>
    <r>
      <rPr>
        <b/>
        <sz val="8"/>
        <rFont val="Book Antiqua"/>
        <family val="1"/>
      </rPr>
      <t>Emission factors are based on NSPS Subpart JJJJ limitations for the 3516B engines</t>
    </r>
  </si>
  <si>
    <t>Total Emissions Per Pollutant (TPY)</t>
  </si>
  <si>
    <r>
      <rPr>
        <b/>
        <vertAlign val="superscript"/>
        <sz val="8"/>
        <rFont val="Book Antiqua"/>
        <family val="1"/>
      </rPr>
      <t>3</t>
    </r>
    <r>
      <rPr>
        <b/>
        <sz val="8"/>
        <rFont val="Book Antiqua"/>
        <family val="1"/>
      </rPr>
      <t>SO</t>
    </r>
    <r>
      <rPr>
        <b/>
        <vertAlign val="subscript"/>
        <sz val="8"/>
        <rFont val="Book Antiqua"/>
        <family val="1"/>
      </rPr>
      <t>2</t>
    </r>
    <r>
      <rPr>
        <b/>
        <sz val="8"/>
        <rFont val="Book Antiqua"/>
        <family val="1"/>
      </rPr>
      <t xml:space="preserve"> Emissions were calculated based on 5 gr S/100 scf</t>
    </r>
  </si>
  <si>
    <r>
      <rPr>
        <b/>
        <vertAlign val="superscript"/>
        <sz val="8"/>
        <rFont val="Book Antiqua"/>
        <family val="1"/>
      </rPr>
      <t>4</t>
    </r>
    <r>
      <rPr>
        <b/>
        <sz val="8"/>
        <rFont val="Book Antiqua"/>
        <family val="1"/>
      </rPr>
      <t>PM Emission Factor = Sum of all PM factors in AP-42.</t>
    </r>
  </si>
  <si>
    <t>Exhaust temp</t>
  </si>
  <si>
    <t>deg F</t>
  </si>
  <si>
    <t>Stack diameter</t>
  </si>
  <si>
    <t>Estimated</t>
  </si>
  <si>
    <t>Stack height</t>
  </si>
  <si>
    <t>Exhaust flow</t>
  </si>
  <si>
    <t>acfm</t>
  </si>
  <si>
    <t>Stack velocity</t>
  </si>
  <si>
    <t>ft/s</t>
  </si>
  <si>
    <t>Exhaust flow / stack area</t>
  </si>
  <si>
    <r>
      <rPr>
        <b/>
        <vertAlign val="superscript"/>
        <sz val="8"/>
        <rFont val="Book Antiqua"/>
        <family val="1"/>
      </rPr>
      <t>2</t>
    </r>
    <r>
      <rPr>
        <b/>
        <sz val="8"/>
        <rFont val="Book Antiqua"/>
        <family val="1"/>
      </rPr>
      <t>Emission Factor Includes HCHO</t>
    </r>
  </si>
  <si>
    <t>GENERATOR ENGINES</t>
  </si>
  <si>
    <t xml:space="preserve">Controlled Emissions Calculations </t>
  </si>
  <si>
    <t xml:space="preserve">Uncontrolled Emissions Calculations </t>
  </si>
  <si>
    <t>Caterpillar G3520H Emergency Generator</t>
  </si>
  <si>
    <t>G3520H</t>
  </si>
  <si>
    <t>4SLB</t>
  </si>
  <si>
    <r>
      <rPr>
        <b/>
        <vertAlign val="superscript"/>
        <sz val="8"/>
        <rFont val="Book Antiqua"/>
        <family val="1"/>
      </rPr>
      <t>3</t>
    </r>
    <r>
      <rPr>
        <b/>
        <sz val="8"/>
        <rFont val="Book Antiqua"/>
        <family val="1"/>
      </rPr>
      <t>SO</t>
    </r>
    <r>
      <rPr>
        <b/>
        <vertAlign val="subscript"/>
        <sz val="8"/>
        <rFont val="Book Antiqua"/>
        <family val="1"/>
      </rPr>
      <t>2</t>
    </r>
    <r>
      <rPr>
        <b/>
        <sz val="8"/>
        <rFont val="Book Antiqua"/>
        <family val="1"/>
      </rPr>
      <t xml:space="preserve"> Emissions were calculated based on 0.75 gr S/100 scf</t>
    </r>
  </si>
  <si>
    <t>Fuel gas Total Sulfur content (from AP-42: 7500 gr/MMscf) =</t>
  </si>
  <si>
    <t>Hours per year:</t>
  </si>
  <si>
    <t>hrs/yr</t>
  </si>
  <si>
    <r>
      <t>NOx</t>
    </r>
    <r>
      <rPr>
        <vertAlign val="superscript"/>
        <sz val="14"/>
        <rFont val="Book Antiqua"/>
        <family val="1"/>
      </rPr>
      <t>1</t>
    </r>
  </si>
  <si>
    <r>
      <t>CO</t>
    </r>
    <r>
      <rPr>
        <vertAlign val="superscript"/>
        <sz val="14"/>
        <rFont val="Book Antiqua"/>
        <family val="1"/>
      </rPr>
      <t>1</t>
    </r>
  </si>
  <si>
    <r>
      <t>VOC</t>
    </r>
    <r>
      <rPr>
        <vertAlign val="superscript"/>
        <sz val="14"/>
        <rFont val="Book Antiqua"/>
        <family val="1"/>
      </rPr>
      <t>1</t>
    </r>
  </si>
  <si>
    <r>
      <t>SO</t>
    </r>
    <r>
      <rPr>
        <vertAlign val="subscript"/>
        <sz val="14"/>
        <rFont val="Book Antiqua"/>
        <family val="1"/>
      </rPr>
      <t>2</t>
    </r>
    <r>
      <rPr>
        <vertAlign val="superscript"/>
        <sz val="14"/>
        <rFont val="Book Antiqua"/>
        <family val="1"/>
      </rPr>
      <t>2</t>
    </r>
  </si>
  <si>
    <r>
      <t>PM</t>
    </r>
    <r>
      <rPr>
        <vertAlign val="superscript"/>
        <sz val="14"/>
        <rFont val="Book Antiqua"/>
        <family val="1"/>
      </rPr>
      <t>1</t>
    </r>
    <r>
      <rPr>
        <sz val="14"/>
        <rFont val="Book Antiqua"/>
        <family val="1"/>
      </rPr>
      <t xml:space="preserve"> </t>
    </r>
  </si>
  <si>
    <r>
      <t>Hexane</t>
    </r>
    <r>
      <rPr>
        <vertAlign val="superscript"/>
        <sz val="14"/>
        <rFont val="Book Antiqua"/>
        <family val="1"/>
      </rPr>
      <t>1</t>
    </r>
  </si>
  <si>
    <r>
      <t>CH</t>
    </r>
    <r>
      <rPr>
        <vertAlign val="subscript"/>
        <sz val="14"/>
        <rFont val="Book Antiqua"/>
        <family val="1"/>
      </rPr>
      <t>4</t>
    </r>
    <r>
      <rPr>
        <sz val="14"/>
        <rFont val="Book Antiqua"/>
        <family val="1"/>
      </rPr>
      <t xml:space="preserve"> as</t>
    </r>
  </si>
  <si>
    <r>
      <t>N</t>
    </r>
    <r>
      <rPr>
        <vertAlign val="subscript"/>
        <sz val="14"/>
        <rFont val="Book Antiqua"/>
        <family val="1"/>
      </rPr>
      <t>2</t>
    </r>
    <r>
      <rPr>
        <sz val="14"/>
        <rFont val="Book Antiqua"/>
        <family val="1"/>
      </rPr>
      <t>O as</t>
    </r>
  </si>
  <si>
    <r>
      <t>CO</t>
    </r>
    <r>
      <rPr>
        <vertAlign val="subscript"/>
        <sz val="14"/>
        <rFont val="Book Antiqua"/>
        <family val="1"/>
      </rPr>
      <t>2</t>
    </r>
  </si>
  <si>
    <r>
      <t>CO</t>
    </r>
    <r>
      <rPr>
        <vertAlign val="subscript"/>
        <sz val="14"/>
        <rFont val="Book Antiqua"/>
        <family val="1"/>
      </rPr>
      <t>2</t>
    </r>
    <r>
      <rPr>
        <sz val="14"/>
        <rFont val="Book Antiqua"/>
        <family val="1"/>
      </rPr>
      <t>e</t>
    </r>
  </si>
  <si>
    <r>
      <t>N</t>
    </r>
    <r>
      <rPr>
        <vertAlign val="subscript"/>
        <sz val="14"/>
        <rFont val="Book Antiqua"/>
        <family val="1"/>
      </rPr>
      <t>2</t>
    </r>
    <r>
      <rPr>
        <sz val="14"/>
        <rFont val="Book Antiqua"/>
        <family val="1"/>
      </rPr>
      <t>O</t>
    </r>
  </si>
  <si>
    <t>RHTR1-RHTR3</t>
  </si>
  <si>
    <t>CHTR1-CHTR3</t>
  </si>
  <si>
    <t>g65</t>
  </si>
  <si>
    <r>
      <t>lb/hr</t>
    </r>
    <r>
      <rPr>
        <b/>
        <vertAlign val="superscript"/>
        <sz val="10"/>
        <rFont val="Times New Roman"/>
        <family val="1"/>
      </rPr>
      <t>2</t>
    </r>
  </si>
  <si>
    <r>
      <t xml:space="preserve">Regen Heater 
</t>
    </r>
    <r>
      <rPr>
        <sz val="10"/>
        <color theme="1"/>
        <rFont val="Times New Roman"/>
        <family val="1"/>
      </rPr>
      <t>(39.14 MMBtu/hr)</t>
    </r>
  </si>
  <si>
    <r>
      <t xml:space="preserve">Regen Heater
</t>
    </r>
    <r>
      <rPr>
        <sz val="10"/>
        <color theme="1"/>
        <rFont val="Times New Roman"/>
        <family val="1"/>
      </rPr>
      <t>(39.14 MMBtu/hr)</t>
    </r>
  </si>
  <si>
    <t>Maximum SSM Emissions</t>
  </si>
  <si>
    <t>Maximum Facility Emissions - Minus SSM and Generators</t>
  </si>
  <si>
    <r>
      <t>FL1-FL3</t>
    </r>
    <r>
      <rPr>
        <vertAlign val="superscript"/>
        <sz val="16"/>
        <rFont val="Book Antiqua"/>
        <family val="1"/>
      </rPr>
      <t>1</t>
    </r>
  </si>
  <si>
    <t>Since FL3 serves as a backup flare, the pilot/purge gas emissions for the flares includes only two flares. The NGL/condensate overheads and cryo SSM stream can be routed to any of the flare; therefore, emissions were combined between the three flares. Since the two SSM events cannot occur simulataneously, the highest of the two stream hourly rates was used in the Total Facility Emissions.</t>
  </si>
  <si>
    <r>
      <t>lb/hr</t>
    </r>
    <r>
      <rPr>
        <b/>
        <vertAlign val="superscript"/>
        <sz val="16"/>
        <rFont val="Book Antiqua"/>
        <family val="1"/>
      </rPr>
      <t>2</t>
    </r>
  </si>
  <si>
    <t xml:space="preserve">For all pollutants except VOC/HAP, the hourly emission rate excludes the generators and overhead SSM stream as they cannot occur at the same time and the cryo SSM stream has a higher emission rate. For VOC, the overhead SSM stream is included with the highest hourly rate. For HAP, the generators have the highest hourly rate.  </t>
  </si>
  <si>
    <r>
      <t xml:space="preserve">2 </t>
    </r>
    <r>
      <rPr>
        <sz val="8"/>
        <rFont val="Times New Roman"/>
        <family val="1"/>
      </rPr>
      <t xml:space="preserve">For all pollutants except VOC/HAP, the hourly emission rate excludes the generators and overhead SSM stream as they cannot occur at the same time and the cryo SSM stream has a higher emission rate. For VOC, the overhead SSM stream is included with the highest hourly rate. For HAP, the generators have the highest hourly rate.  </t>
    </r>
  </si>
  <si>
    <r>
      <t xml:space="preserve">1 </t>
    </r>
    <r>
      <rPr>
        <sz val="8"/>
        <rFont val="Times New Roman"/>
        <family val="1"/>
      </rPr>
      <t>The hourly emission rate excludes the SSM rates and includes the generator rates as they cannot occur at the same time and the generators have a higher total HAP emission rate.</t>
    </r>
  </si>
  <si>
    <r>
      <rPr>
        <vertAlign val="superscript"/>
        <sz val="9"/>
        <rFont val="Book Antiqua"/>
        <family val="1"/>
      </rPr>
      <t xml:space="preserve">b </t>
    </r>
    <r>
      <rPr>
        <sz val="9"/>
        <rFont val="Book Antiqua"/>
        <family val="1"/>
      </rPr>
      <t xml:space="preserve">SSM Stabilizer Overhead Gas and Cryo Blowdown SSM events can not occur wihtin the same 24 hour period, so XTO conservatively is assuming each can occur 182 days per year. </t>
    </r>
  </si>
  <si>
    <r>
      <t>Maximum Facility Emissions</t>
    </r>
    <r>
      <rPr>
        <b/>
        <vertAlign val="superscript"/>
        <sz val="12"/>
        <rFont val="Book Antiqua"/>
        <family val="1"/>
      </rPr>
      <t>c</t>
    </r>
  </si>
  <si>
    <t>GEN6</t>
  </si>
  <si>
    <t>GEN7</t>
  </si>
  <si>
    <t>GEN8</t>
  </si>
  <si>
    <r>
      <rPr>
        <vertAlign val="superscript"/>
        <sz val="9"/>
        <rFont val="Book Antiqua"/>
        <family val="1"/>
      </rPr>
      <t xml:space="preserve">c </t>
    </r>
    <r>
      <rPr>
        <sz val="9"/>
        <rFont val="Book Antiqua"/>
        <family val="1"/>
      </rPr>
      <t>The maximum daily facility rates do not include the generators since they cannot occur at the same time as the SSM event and have lower hourly emission rates.</t>
    </r>
  </si>
  <si>
    <t>TUR1-TUR4</t>
  </si>
  <si>
    <t>DROP THIS LINE TO PILOT ONLY - ONE TRAIN NOT RUNNING DURING SSM</t>
  </si>
  <si>
    <t>Backup SSM/Emergency Flare (Dual Tip Flare) - Pilot/Purge</t>
  </si>
  <si>
    <t>Backup SSM/Emergency Flare (Dual Tip Flare) - Pilot/Purge Only</t>
  </si>
  <si>
    <t>GEN1-GEN8</t>
  </si>
  <si>
    <t>Emergency Generators</t>
  </si>
  <si>
    <t>Engine Output:</t>
  </si>
  <si>
    <t>horsepower</t>
  </si>
  <si>
    <t>hrs/yr each</t>
  </si>
  <si>
    <t>CO2 factor provided by engine manufacturer</t>
  </si>
  <si>
    <r>
      <t>Total GHG</t>
    </r>
    <r>
      <rPr>
        <b/>
        <sz val="9"/>
        <rFont val="Times New Roman"/>
        <family val="1"/>
      </rPr>
      <t xml:space="preserve"> </t>
    </r>
    <r>
      <rPr>
        <sz val="9"/>
        <rFont val="Times New Roman"/>
        <family val="1"/>
      </rPr>
      <t>Mass ton/yr</t>
    </r>
    <r>
      <rPr>
        <vertAlign val="superscript"/>
        <sz val="9"/>
        <rFont val="Times New Roman"/>
        <family val="1"/>
      </rPr>
      <t>4</t>
    </r>
  </si>
  <si>
    <t>This unit will not operate at the same time as the SSM event, which has a daily hourly emission rate.</t>
  </si>
  <si>
    <t>Generator</t>
  </si>
  <si>
    <r>
      <t>MMbtu/hp-hr</t>
    </r>
    <r>
      <rPr>
        <b/>
        <vertAlign val="superscript"/>
        <sz val="9"/>
        <rFont val="Book Antiqua"/>
        <family val="1"/>
      </rPr>
      <t>1</t>
    </r>
  </si>
  <si>
    <r>
      <rPr>
        <b/>
        <vertAlign val="superscript"/>
        <sz val="8"/>
        <rFont val="Book Antiqua"/>
        <family val="1"/>
      </rPr>
      <t>1</t>
    </r>
    <r>
      <rPr>
        <b/>
        <sz val="8"/>
        <rFont val="Book Antiqua"/>
        <family val="1"/>
      </rPr>
      <t>Fuel Consumption Rate @ 75% Load from the Gas Engine Rating Pro Report</t>
    </r>
  </si>
  <si>
    <t>64.83 MMBTU/HR Heaters</t>
  </si>
  <si>
    <t xml:space="preserve">39.14 MMBtu/hr </t>
  </si>
  <si>
    <t>103.99 MMBTU/hr</t>
  </si>
  <si>
    <t>MMscfd</t>
  </si>
  <si>
    <t>This will not occur at the same time as the cryo SSM stream and has a lower daily emission rate.</t>
  </si>
  <si>
    <t>* 98% was used for iso-butane and heavier compounds.</t>
  </si>
  <si>
    <r>
      <t>Maximum Hourly Emission Rates and Composition to Combustor</t>
    </r>
    <r>
      <rPr>
        <b/>
        <vertAlign val="superscript"/>
        <sz val="12"/>
        <rFont val="Book Antiqua"/>
        <family val="1"/>
      </rPr>
      <t>a,b</t>
    </r>
  </si>
  <si>
    <r>
      <t xml:space="preserve">Criteria Pollutant Emissions from ECD </t>
    </r>
    <r>
      <rPr>
        <b/>
        <vertAlign val="superscript"/>
        <sz val="12"/>
        <rFont val="Book Antiqua"/>
        <family val="1"/>
      </rPr>
      <t xml:space="preserve">b </t>
    </r>
  </si>
  <si>
    <r>
      <t>Pilot Fuel</t>
    </r>
    <r>
      <rPr>
        <b/>
        <vertAlign val="superscript"/>
        <sz val="12"/>
        <rFont val="Book Antiqua"/>
        <family val="1"/>
      </rPr>
      <t>c</t>
    </r>
  </si>
  <si>
    <r>
      <t>NO</t>
    </r>
    <r>
      <rPr>
        <b/>
        <vertAlign val="subscript"/>
        <sz val="12"/>
        <rFont val="Book Antiqua"/>
        <family val="1"/>
      </rPr>
      <t>X</t>
    </r>
  </si>
  <si>
    <r>
      <t>PM</t>
    </r>
    <r>
      <rPr>
        <b/>
        <vertAlign val="subscript"/>
        <sz val="12"/>
        <rFont val="Book Antiqua"/>
        <family val="1"/>
      </rPr>
      <t>10</t>
    </r>
  </si>
  <si>
    <r>
      <t>PM</t>
    </r>
    <r>
      <rPr>
        <b/>
        <vertAlign val="subscript"/>
        <sz val="12"/>
        <rFont val="Book Antiqua"/>
        <family val="1"/>
      </rPr>
      <t>2.5</t>
    </r>
  </si>
  <si>
    <r>
      <t>H</t>
    </r>
    <r>
      <rPr>
        <b/>
        <vertAlign val="subscript"/>
        <sz val="12"/>
        <rFont val="Book Antiqua"/>
        <family val="1"/>
      </rPr>
      <t>2</t>
    </r>
    <r>
      <rPr>
        <b/>
        <sz val="12"/>
        <rFont val="Book Antiqua"/>
        <family val="1"/>
      </rPr>
      <t>S</t>
    </r>
  </si>
  <si>
    <r>
      <t>Annual Emission Rates and Composition to Combustor</t>
    </r>
    <r>
      <rPr>
        <b/>
        <vertAlign val="superscript"/>
        <sz val="12"/>
        <rFont val="Book Antiqua"/>
        <family val="1"/>
      </rPr>
      <t>a,b</t>
    </r>
  </si>
  <si>
    <r>
      <t>Criteria Pollutant Emissions from ECD</t>
    </r>
    <r>
      <rPr>
        <b/>
        <vertAlign val="superscript"/>
        <sz val="12"/>
        <rFont val="Book Antiqua"/>
        <family val="1"/>
      </rPr>
      <t>b</t>
    </r>
    <r>
      <rPr>
        <b/>
        <sz val="12"/>
        <rFont val="Book Antiqua"/>
        <family val="1"/>
      </rPr>
      <t xml:space="preserve"> </t>
    </r>
  </si>
  <si>
    <r>
      <t>Annual Emission Rates and Composition to Flare</t>
    </r>
    <r>
      <rPr>
        <b/>
        <vertAlign val="superscript"/>
        <sz val="12"/>
        <rFont val="Book Antiqua"/>
        <family val="1"/>
      </rPr>
      <t>a,b</t>
    </r>
  </si>
  <si>
    <r>
      <t xml:space="preserve">Criteria Pollutant Emissions from Flare </t>
    </r>
    <r>
      <rPr>
        <b/>
        <vertAlign val="superscript"/>
        <sz val="12"/>
        <rFont val="Book Antiqua"/>
        <family val="1"/>
      </rPr>
      <t xml:space="preserve">b </t>
    </r>
  </si>
  <si>
    <r>
      <t>Maximum Hourly Emission Rates and Composition to Flare</t>
    </r>
    <r>
      <rPr>
        <b/>
        <vertAlign val="superscript"/>
        <sz val="12"/>
        <rFont val="Book Antiqua"/>
        <family val="1"/>
      </rPr>
      <t>a,b</t>
    </r>
  </si>
  <si>
    <r>
      <t>Annual Emission OVHD-SSM Rates and Composition to Flare</t>
    </r>
    <r>
      <rPr>
        <b/>
        <vertAlign val="superscript"/>
        <sz val="12"/>
        <rFont val="Book Antiqua"/>
        <family val="1"/>
      </rPr>
      <t>a,b</t>
    </r>
  </si>
  <si>
    <r>
      <t>Maximum Hourly OVHD-SSM Emission Rates and Composition to Flare</t>
    </r>
    <r>
      <rPr>
        <b/>
        <vertAlign val="superscript"/>
        <sz val="12"/>
        <rFont val="Book Antiqua"/>
        <family val="1"/>
      </rPr>
      <t>a,b</t>
    </r>
  </si>
  <si>
    <r>
      <t>Annual Emission CRYO-SSM Rates and Composition to Flare</t>
    </r>
    <r>
      <rPr>
        <b/>
        <vertAlign val="superscript"/>
        <sz val="12"/>
        <rFont val="Book Antiqua"/>
        <family val="1"/>
      </rPr>
      <t>a,b</t>
    </r>
  </si>
  <si>
    <r>
      <t>Maximum Hourly CRYO-SSM Emission Rates and Composition to Flare</t>
    </r>
    <r>
      <rPr>
        <b/>
        <vertAlign val="superscript"/>
        <sz val="12"/>
        <rFont val="Book Antiqua"/>
        <family val="1"/>
      </rPr>
      <t>a,b</t>
    </r>
  </si>
  <si>
    <r>
      <t>100,000 BBL Internal Floating Roof Storage Tank Emissions (Each)</t>
    </r>
    <r>
      <rPr>
        <b/>
        <vertAlign val="superscript"/>
        <sz val="12"/>
        <rFont val="Book Antiqua"/>
        <family val="1"/>
      </rPr>
      <t>a</t>
    </r>
  </si>
  <si>
    <r>
      <t>Maximum Hourly Emission Rates and Composition to Thermal Oxidizer</t>
    </r>
    <r>
      <rPr>
        <b/>
        <vertAlign val="superscript"/>
        <sz val="12"/>
        <rFont val="Book Antiqua"/>
        <family val="1"/>
      </rPr>
      <t>a,b</t>
    </r>
  </si>
  <si>
    <r>
      <t xml:space="preserve">Criteria Pollutant Emissions from TO </t>
    </r>
    <r>
      <rPr>
        <b/>
        <vertAlign val="superscript"/>
        <sz val="12"/>
        <rFont val="Book Antiqua"/>
        <family val="1"/>
      </rPr>
      <t xml:space="preserve">b </t>
    </r>
  </si>
  <si>
    <r>
      <t>Annual Emission Rates and Composition to Thermal Oxidizer</t>
    </r>
    <r>
      <rPr>
        <b/>
        <vertAlign val="superscript"/>
        <sz val="12"/>
        <rFont val="Book Antiqua"/>
        <family val="1"/>
      </rPr>
      <t>a,b</t>
    </r>
  </si>
  <si>
    <t>Control efficiencies based on Table 5.2 of EPA-453/R-095-017</t>
  </si>
  <si>
    <t>0*</t>
  </si>
  <si>
    <t>5.00000E-05*</t>
  </si>
  <si>
    <t>1.60032*</t>
  </si>
  <si>
    <t>0.170034*</t>
  </si>
  <si>
    <t>69.5339*</t>
  </si>
  <si>
    <t>15.4331*</t>
  </si>
  <si>
    <t>8.78175*</t>
  </si>
  <si>
    <t>1.06021*</t>
  </si>
  <si>
    <t>2.43048*</t>
  </si>
  <si>
    <t>0.410082*</t>
  </si>
  <si>
    <t>0.370074*</t>
  </si>
  <si>
    <t>0.0900180*</t>
  </si>
  <si>
    <t>0.0300060*</t>
  </si>
  <si>
    <t>0.0200040*</t>
  </si>
  <si>
    <t>0.0100020*</t>
  </si>
  <si>
    <t>7.49372E-05*</t>
  </si>
  <si>
    <t>0.985733*</t>
  </si>
  <si>
    <t>49.0551*</t>
  </si>
  <si>
    <t>20.4075*</t>
  </si>
  <si>
    <t>17.0292*</t>
  </si>
  <si>
    <t>2.70989*</t>
  </si>
  <si>
    <t>6.21229*</t>
  </si>
  <si>
    <t>1.30112*</t>
  </si>
  <si>
    <t>1.17418*</t>
  </si>
  <si>
    <t>0.341137*</t>
  </si>
  <si>
    <t>0.113712*</t>
  </si>
  <si>
    <t>0.0740349*</t>
  </si>
  <si>
    <t>0.0687148*</t>
  </si>
  <si>
    <t>0.111052*</t>
  </si>
  <si>
    <t>0.0440737*</t>
  </si>
  <si>
    <t>0.0431870*</t>
  </si>
  <si>
    <t>2-2 Dimethylpropane</t>
  </si>
  <si>
    <t>2-2 Dimethylbutane</t>
  </si>
  <si>
    <t>2-3 Dimethylbutane</t>
  </si>
  <si>
    <t>2 Methylpentane</t>
  </si>
  <si>
    <t>3 Methylpentane</t>
  </si>
  <si>
    <t>Heptanes Plus</t>
  </si>
  <si>
    <t>DELAWARE  GAS SAMPLE:</t>
  </si>
  <si>
    <t>PROCESS SIMULATION COMPONENTS - AMINE INLET GAS</t>
  </si>
  <si>
    <t>PROCESS SIMULATION COMPONENTS - AMINE</t>
  </si>
  <si>
    <t>Mass Cp</t>
  </si>
  <si>
    <t>Btu/(lb*°F)</t>
  </si>
  <si>
    <t xml:space="preserve">PVT Sample </t>
  </si>
  <si>
    <t>Greenhouse Gas Emissions - COGEN (TUR1 - TUR4)</t>
  </si>
  <si>
    <t>Greenhouse Gas Emissions - Generators (GEN1 - GEN8)</t>
  </si>
  <si>
    <t>Greenhouse Gas Emissions - Stabilizer Heaters</t>
  </si>
  <si>
    <t>Greenhouse Gas Emissions - Cryo Heaters</t>
  </si>
  <si>
    <t>Greenhouse Gas Emissions - Regen Heaters</t>
  </si>
  <si>
    <t>UA1 Form - Company and Facility Information</t>
  </si>
  <si>
    <t>TABLE 1</t>
  </si>
  <si>
    <t xml:space="preserve"> Water Makeup Tank</t>
  </si>
  <si>
    <t>78A</t>
  </si>
  <si>
    <t>78B</t>
  </si>
  <si>
    <t>40A</t>
  </si>
  <si>
    <t>40B</t>
  </si>
  <si>
    <t>OVHD-MSS 
Flare Time</t>
  </si>
  <si>
    <t>UNCONTROLLED FACILITY EMISSIONS SUMMARY - COGENERATION OPERATING SCENARIO</t>
  </si>
  <si>
    <t>Oil Storage 1 (100,000 bbl)</t>
  </si>
  <si>
    <t>Oil Storage 2 (100,000 bbl)</t>
  </si>
  <si>
    <t>Oil Storage 3 (100,000 bbl)</t>
  </si>
  <si>
    <t>Oil Storage 4 (100,000 bbl)</t>
  </si>
  <si>
    <t>22777 Springwoods Village Parkway</t>
  </si>
  <si>
    <t>Spring, Texas 77389</t>
  </si>
  <si>
    <t>Ethan Boor</t>
  </si>
  <si>
    <t>Evan Tullos</t>
  </si>
  <si>
    <t>Vice President</t>
  </si>
  <si>
    <t>Not a source of regulated emissions</t>
  </si>
  <si>
    <t>Table 2-P:    Greenhouse Gas Emissions - WITHOUT COGENERATION</t>
  </si>
  <si>
    <t>Table 2-P:    Greenhouse Gas Emissions - WITH COGENERATION</t>
  </si>
  <si>
    <t>UNCONTROLLED FACILITY EMISSIONS SUMMARY - CDP BUILDOUT WITHOUT COGEN</t>
  </si>
  <si>
    <t>CONTROLLED FACILITY EMISSIONS SUMMARY - WITHOUT COGEN</t>
  </si>
  <si>
    <t>to oil PL</t>
  </si>
  <si>
    <t>Tab 24</t>
  </si>
  <si>
    <t>Confidential Black Oil PVT Study</t>
  </si>
  <si>
    <t xml:space="preserve">31.5 MMBtu/hr </t>
  </si>
  <si>
    <t>3448 HP</t>
  </si>
  <si>
    <t>1.2 MMscfd</t>
  </si>
  <si>
    <t>0.375 MMscfd</t>
  </si>
  <si>
    <t xml:space="preserve">Plant Inlet &amp; SSM Activities </t>
  </si>
  <si>
    <t>EREGCOMP1 - EREGCOMP3</t>
  </si>
  <si>
    <t>Electric Regen Gas Compressors</t>
  </si>
  <si>
    <t>EREFCOMP1 - EREFCOMP3</t>
  </si>
  <si>
    <t>Electric Refrigeration Gas Compressors</t>
  </si>
  <si>
    <t>ESTCOMP1 - ESTCOMP17</t>
  </si>
  <si>
    <t>ERESCOMP1 - ERESCOMP5</t>
  </si>
  <si>
    <t>Electric Residue Gas Compressors</t>
  </si>
  <si>
    <t>Electric Oil/Condensate Stabilizer Gas Compressors</t>
  </si>
  <si>
    <t>EIACOMP1 - EIACOMP5</t>
  </si>
  <si>
    <t>Electric Instrument Air Compressors</t>
  </si>
  <si>
    <t>W4.6B.355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</si>
</sst>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0.00000"/>
    <numFmt numFmtId="167" formatCode="0.0000"/>
    <numFmt numFmtId="168" formatCode="0.000000"/>
    <numFmt numFmtId="169" formatCode="0.00000000"/>
    <numFmt numFmtId="170" formatCode="[$-409]mmmm\ d\,\ yyyy;@"/>
    <numFmt numFmtId="171" formatCode="0.0000000"/>
    <numFmt numFmtId="172" formatCode="###,###,###.##"/>
    <numFmt numFmtId="173" formatCode="#.0"/>
    <numFmt numFmtId="174" formatCode="mm/dd"/>
    <numFmt numFmtId="175" formatCode="_-* #,##0_-;\-* #,##0_-;_-* &quot;-&quot;??_-;_-@_-"/>
    <numFmt numFmtId="176" formatCode="0.0%"/>
    <numFmt numFmtId="177" formatCode="\+\ ?,??0.00;\-\ ?,??0.00;_=_0_,_0_00.00"/>
    <numFmt numFmtId="178" formatCode="_ * #,##0_ ;_ * \-#,##0_ ;_ * &quot;-&quot;_ ;_ @_ "/>
    <numFmt numFmtId="179" formatCode="#,##0.000000000_);\(#,##0.000000000\)"/>
    <numFmt numFmtId="180" formatCode="&quot;(&quot;General&quot; % load)&quot;"/>
    <numFmt numFmtId="181" formatCode="#,##0.0_);\(#,##0.0\)"/>
    <numFmt numFmtId="182" formatCode="_(&quot;$&quot;* #,##0.0_);_(&quot;$&quot;* \(#,##0.0\);_(&quot;$&quot;* &quot;-&quot;??_);_(@_)"/>
    <numFmt numFmtId="183" formatCode="#,##0.00&quot; $&quot;;\-#,##0.00&quot; $&quot;"/>
    <numFmt numFmtId="184" formatCode="_-* #,##0\ _F_-;\-* #,##0\ _F_-;_-* &quot;-&quot;\ _F_-;_-@_-"/>
    <numFmt numFmtId="185" formatCode="_-* #,##0.00\ _F_-;\-* #,##0.00\ _F_-;_-* &quot;-&quot;??\ _F_-;_-@_-"/>
    <numFmt numFmtId="186" formatCode="_-* #,##0\ &quot;F&quot;_-;\-* #,##0\ &quot;F&quot;_-;_-* &quot;-&quot;\ &quot;F&quot;_-;_-@_-"/>
    <numFmt numFmtId="187" formatCode="_-* #,##0.00\ &quot;F&quot;_-;\-* #,##0.00\ &quot;F&quot;_-;_-* &quot;-&quot;??\ &quot;F&quot;_-;_-@_-"/>
    <numFmt numFmtId="188" formatCode="&quot;£&quot;#,##0.00;\-&quot;£&quot;#,##0.00"/>
    <numFmt numFmtId="189" formatCode="?,??0.00"/>
    <numFmt numFmtId="190" formatCode="_(* #,##0.00000_);_(* \(#,##0.00000\);_(* &quot;-&quot;?????_);_(@_)"/>
    <numFmt numFmtId="191" formatCode="0.0E+00"/>
    <numFmt numFmtId="192" formatCode="General_)"/>
    <numFmt numFmtId="193" formatCode="#,##0.0"/>
    <numFmt numFmtId="194" formatCode="0.00000E+00"/>
    <numFmt numFmtId="195" formatCode="General\*"/>
    <numFmt numFmtId="196" formatCode="0.000000000"/>
    <numFmt numFmtId="197" formatCode="0.0000\*"/>
    <numFmt numFmtId="198" formatCode="0.0000000\*"/>
    <numFmt numFmtId="199" formatCode="0.00000\*"/>
    <numFmt numFmtId="200" formatCode="0.000000000\*"/>
    <numFmt numFmtId="201" formatCode="0.000000\*"/>
    <numFmt numFmtId="202" formatCode="0.0\*"/>
    <numFmt numFmtId="203" formatCode="0.00\*"/>
    <numFmt numFmtId="204" formatCode="0\*"/>
    <numFmt numFmtId="205" formatCode="0.000\*"/>
    <numFmt numFmtId="206" formatCode="0.00000000\*"/>
    <numFmt numFmtId="207" formatCode="#,##0.000"/>
    <numFmt numFmtId="208" formatCode="_(* #,##0_);_(* \(#,##0\);_(* &quot;-&quot;??_);_(@_)"/>
    <numFmt numFmtId="209" formatCode="?0.000_)"/>
    <numFmt numFmtId="210" formatCode="###0.000;###0.000"/>
    <numFmt numFmtId="211" formatCode="###0.0000;###0.0000"/>
    <numFmt numFmtId="212" formatCode="###0.00000;###0.00000"/>
    <numFmt numFmtId="213" formatCode="0.00000E+00\*"/>
    <numFmt numFmtId="214" formatCode="m/d/yyyy;@"/>
    <numFmt numFmtId="215" formatCode="0.00_);\(0.00\)"/>
    <numFmt numFmtId="216" formatCode="_(* #,##0.0_);_(* \(#,##0.0\);_(* &quot;-&quot;??_);_(@_)"/>
    <numFmt numFmtId="217" formatCode="&quot;$&quot;#,##0\ ;\(&quot;$&quot;#,##0\)"/>
    <numFmt numFmtId="218" formatCode="[$-409]mmmm\-yy;@"/>
    <numFmt numFmtId="219" formatCode="0_)"/>
    <numFmt numFmtId="220" formatCode="0.0000_)"/>
    <numFmt numFmtId="221" formatCode="0.000%"/>
    <numFmt numFmtId="222" formatCode="###0.00;###0.00"/>
    <numFmt numFmtId="223" formatCode="00&quot;% DRE&quot;"/>
    <numFmt numFmtId="224" formatCode="0.000000000000"/>
    <numFmt numFmtId="225" formatCode="0.000000000000000"/>
    <numFmt numFmtId="226" formatCode="0.000000\?"/>
  </numFmts>
  <fonts count="2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sz val="10"/>
      <name val="Book Antiqua"/>
      <family val="1"/>
    </font>
    <font>
      <b/>
      <sz val="14"/>
      <name val="Book Antiqua"/>
      <family val="1"/>
    </font>
    <font>
      <b/>
      <sz val="10"/>
      <name val="Book Antiqua"/>
      <family val="1"/>
    </font>
    <font>
      <b/>
      <sz val="10"/>
      <name val="Arial"/>
      <family val="2"/>
    </font>
    <font>
      <b/>
      <sz val="12"/>
      <name val="Arial"/>
      <family val="2"/>
    </font>
    <font>
      <b/>
      <sz val="8"/>
      <name val="Arial"/>
      <family val="2"/>
    </font>
    <font>
      <b/>
      <sz val="16"/>
      <name val="Book Antiqua"/>
      <family val="1"/>
    </font>
    <font>
      <b/>
      <sz val="14"/>
      <name val="Arial"/>
      <family val="2"/>
    </font>
    <font>
      <b/>
      <sz val="11"/>
      <name val="Book Antiqua"/>
      <family val="1"/>
    </font>
    <font>
      <sz val="14"/>
      <name val="Book Antiqua"/>
      <family val="1"/>
    </font>
    <font>
      <sz val="9"/>
      <name val="Arial"/>
      <family val="2"/>
    </font>
    <font>
      <sz val="8"/>
      <name val="Book Antiqua"/>
      <family val="1"/>
    </font>
    <font>
      <sz val="9"/>
      <name val="Book Antiqua"/>
      <family val="1"/>
    </font>
    <font>
      <sz val="12"/>
      <name val="Book Antiqua"/>
      <family val="1"/>
    </font>
    <font>
      <b/>
      <sz val="12"/>
      <name val="Book Antiqua"/>
      <family val="1"/>
    </font>
    <font>
      <b/>
      <sz val="10"/>
      <color indexed="12"/>
      <name val="Arial"/>
      <family val="2"/>
    </font>
    <font>
      <sz val="14"/>
      <name val="Arial"/>
      <family val="2"/>
    </font>
    <font>
      <sz val="10"/>
      <color indexed="12"/>
      <name val="Arial"/>
      <family val="2"/>
    </font>
    <font>
      <b/>
      <sz val="9"/>
      <name val="Book Antiqua"/>
      <family val="1"/>
    </font>
    <font>
      <b/>
      <vertAlign val="subscript"/>
      <sz val="12"/>
      <name val="Book Antiqua"/>
      <family val="1"/>
    </font>
    <font>
      <b/>
      <sz val="22"/>
      <name val="Book Antiqua"/>
      <family val="1"/>
    </font>
    <font>
      <b/>
      <sz val="8"/>
      <name val="Book Antiqua"/>
      <family val="1"/>
    </font>
    <font>
      <vertAlign val="superscript"/>
      <sz val="10"/>
      <name val="Book Antiqua"/>
      <family val="1"/>
    </font>
    <font>
      <b/>
      <vertAlign val="superscript"/>
      <sz val="10"/>
      <name val="Book Antiqua"/>
      <family val="1"/>
    </font>
    <font>
      <b/>
      <vertAlign val="subscript"/>
      <sz val="14"/>
      <name val="Book Antiqua"/>
      <family val="1"/>
    </font>
    <font>
      <sz val="10"/>
      <name val="Times New Roman"/>
      <family val="1"/>
    </font>
    <font>
      <sz val="18"/>
      <name val="Arial"/>
      <family val="2"/>
    </font>
    <font>
      <vertAlign val="superscript"/>
      <sz val="9"/>
      <name val="Book Antiqua"/>
      <family val="1"/>
    </font>
    <font>
      <vertAlign val="superscript"/>
      <sz val="8"/>
      <name val="Arial"/>
      <family val="2"/>
    </font>
    <font>
      <b/>
      <sz val="11"/>
      <name val="Arial"/>
      <family val="2"/>
    </font>
    <font>
      <b/>
      <u/>
      <sz val="12"/>
      <name val="Book Antiqua"/>
      <family val="1"/>
    </font>
    <font>
      <sz val="10"/>
      <color theme="1"/>
      <name val="Arial"/>
      <family val="2"/>
    </font>
    <font>
      <sz val="13"/>
      <name val="Tms Rmn"/>
    </font>
    <font>
      <sz val="9"/>
      <name val="Times New Roman"/>
      <family val="1"/>
    </font>
    <font>
      <sz val="11"/>
      <color indexed="8"/>
      <name val="Calibri"/>
      <family val="2"/>
    </font>
    <font>
      <sz val="10"/>
      <name val="Geneva"/>
    </font>
    <font>
      <sz val="11"/>
      <color indexed="9"/>
      <name val="Calibri"/>
      <family val="2"/>
    </font>
    <font>
      <sz val="8"/>
      <name val="Helvetica"/>
      <family val="2"/>
    </font>
    <font>
      <sz val="8"/>
      <name val="Times New Roman"/>
      <family val="1"/>
    </font>
    <font>
      <sz val="11"/>
      <color indexed="20"/>
      <name val="Calibri"/>
      <family val="2"/>
    </font>
    <font>
      <sz val="12"/>
      <name val="Arial"/>
      <family val="2"/>
    </font>
    <font>
      <sz val="12"/>
      <name val="Times"/>
      <family val="1"/>
    </font>
    <font>
      <sz val="12"/>
      <name val="Helv"/>
    </font>
    <font>
      <b/>
      <sz val="11"/>
      <color indexed="52"/>
      <name val="Calibri"/>
      <family val="2"/>
    </font>
    <font>
      <b/>
      <sz val="11"/>
      <color indexed="9"/>
      <name val="Calibri"/>
      <family val="2"/>
    </font>
    <font>
      <b/>
      <sz val="13"/>
      <name val="Tms Rmn"/>
    </font>
    <font>
      <sz val="10"/>
      <name val="MS Sans Serif"/>
      <family val="2"/>
    </font>
    <font>
      <sz val="12"/>
      <color indexed="24"/>
      <name val="Times New Roman"/>
      <family val="1"/>
    </font>
    <font>
      <sz val="10"/>
      <name val="MS Serif"/>
      <family val="1"/>
    </font>
    <font>
      <sz val="10"/>
      <color indexed="16"/>
      <name val="MS Serif"/>
      <family val="1"/>
    </font>
    <font>
      <i/>
      <sz val="11"/>
      <color indexed="23"/>
      <name val="Calibri"/>
      <family val="2"/>
    </font>
    <font>
      <sz val="8"/>
      <color indexed="48"/>
      <name val="Arial"/>
      <family val="2"/>
    </font>
    <font>
      <sz val="10"/>
      <name val="Helv"/>
    </font>
    <font>
      <sz val="9"/>
      <name val="Helv"/>
    </font>
    <font>
      <sz val="11"/>
      <color indexed="17"/>
      <name val="Calibri"/>
      <family val="2"/>
    </font>
    <font>
      <u/>
      <sz val="12"/>
      <name val="Times"/>
      <family val="1"/>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u/>
      <sz val="10"/>
      <color indexed="12"/>
      <name val="Arial"/>
      <family val="2"/>
    </font>
    <font>
      <sz val="11"/>
      <color indexed="62"/>
      <name val="Calibri"/>
      <family val="2"/>
    </font>
    <font>
      <sz val="11"/>
      <color indexed="52"/>
      <name val="Calibri"/>
      <family val="2"/>
    </font>
    <font>
      <sz val="11"/>
      <color indexed="60"/>
      <name val="Calibri"/>
      <family val="2"/>
    </font>
    <font>
      <sz val="7"/>
      <name val="Small Fonts"/>
      <family val="2"/>
    </font>
    <font>
      <sz val="11"/>
      <color theme="1"/>
      <name val="Times New Roman"/>
      <family val="2"/>
    </font>
    <font>
      <b/>
      <sz val="11"/>
      <color indexed="63"/>
      <name val="Calibri"/>
      <family val="2"/>
    </font>
    <font>
      <sz val="8"/>
      <color indexed="8"/>
      <name val="Arial"/>
      <family val="2"/>
    </font>
    <font>
      <b/>
      <sz val="8"/>
      <color indexed="8"/>
      <name val="Arial"/>
      <family val="2"/>
    </font>
    <font>
      <b/>
      <sz val="10"/>
      <color indexed="8"/>
      <name val="Arial"/>
      <family val="2"/>
    </font>
    <font>
      <b/>
      <sz val="12"/>
      <color indexed="8"/>
      <name val="Arial"/>
      <family val="2"/>
    </font>
    <font>
      <b/>
      <sz val="10"/>
      <name val="MS Sans Serif"/>
      <family val="2"/>
    </font>
    <font>
      <b/>
      <sz val="12"/>
      <color indexed="9"/>
      <name val="Arial"/>
      <family val="2"/>
    </font>
    <font>
      <sz val="8"/>
      <name val="Helv"/>
    </font>
    <font>
      <b/>
      <sz val="8"/>
      <color indexed="8"/>
      <name val="Helv"/>
    </font>
    <font>
      <b/>
      <sz val="18"/>
      <color indexed="56"/>
      <name val="Cambria"/>
      <family val="2"/>
    </font>
    <font>
      <b/>
      <i/>
      <sz val="10"/>
      <color indexed="10"/>
      <name val="Arial"/>
      <family val="2"/>
    </font>
    <font>
      <b/>
      <sz val="11"/>
      <color indexed="10"/>
      <name val="Arial"/>
      <family val="2"/>
    </font>
    <font>
      <sz val="11"/>
      <name val="Helv"/>
    </font>
    <font>
      <b/>
      <sz val="11"/>
      <color indexed="8"/>
      <name val="Calibri"/>
      <family val="2"/>
    </font>
    <font>
      <sz val="8"/>
      <color indexed="12"/>
      <name val="Arial"/>
      <family val="2"/>
    </font>
    <font>
      <sz val="11"/>
      <color indexed="10"/>
      <name val="Calibri"/>
      <family val="2"/>
    </font>
    <font>
      <b/>
      <sz val="12"/>
      <name val="Times New Roman"/>
      <family val="1"/>
    </font>
    <font>
      <b/>
      <sz val="14"/>
      <name val="Times New Roman"/>
      <family val="1"/>
    </font>
    <font>
      <b/>
      <sz val="16"/>
      <name val="Times New Roman"/>
      <family val="1"/>
    </font>
    <font>
      <b/>
      <sz val="8"/>
      <name val="Times New Roman"/>
      <family val="1"/>
    </font>
    <font>
      <b/>
      <vertAlign val="superscript"/>
      <sz val="8"/>
      <name val="Times New Roman"/>
      <family val="1"/>
    </font>
    <font>
      <sz val="8"/>
      <name val="Symbol"/>
      <family val="1"/>
      <charset val="2"/>
    </font>
    <font>
      <sz val="8"/>
      <name val="Wingdings"/>
      <charset val="2"/>
    </font>
    <font>
      <b/>
      <sz val="9"/>
      <name val="Times New Roman"/>
      <family val="1"/>
    </font>
    <font>
      <b/>
      <sz val="10"/>
      <name val="Times New Roman"/>
      <family val="1"/>
    </font>
    <font>
      <b/>
      <vertAlign val="superscript"/>
      <sz val="9"/>
      <name val="Times New Roman"/>
      <family val="1"/>
    </font>
    <font>
      <vertAlign val="superscript"/>
      <sz val="10"/>
      <name val="Times New Roman"/>
      <family val="1"/>
    </font>
    <font>
      <b/>
      <vertAlign val="superscript"/>
      <sz val="10"/>
      <name val="Times New Roman"/>
      <family val="1"/>
    </font>
    <font>
      <b/>
      <vertAlign val="subscript"/>
      <sz val="10"/>
      <name val="Times New Roman"/>
      <family val="1"/>
    </font>
    <font>
      <sz val="10"/>
      <name val="Times"/>
      <family val="1"/>
    </font>
    <font>
      <vertAlign val="superscript"/>
      <sz val="8"/>
      <name val="Times New Roman"/>
      <family val="1"/>
    </font>
    <font>
      <sz val="14"/>
      <name val="Times New Roman"/>
      <family val="1"/>
    </font>
    <font>
      <sz val="9"/>
      <name val="Wingdings"/>
      <charset val="2"/>
    </font>
    <font>
      <vertAlign val="subscript"/>
      <sz val="10"/>
      <name val="Times New Roman"/>
      <family val="1"/>
    </font>
    <font>
      <vertAlign val="superscript"/>
      <sz val="9"/>
      <name val="Times New Roman"/>
      <family val="1"/>
    </font>
    <font>
      <b/>
      <vertAlign val="subscript"/>
      <sz val="9"/>
      <name val="Times New Roman"/>
      <family val="1"/>
    </font>
    <font>
      <b/>
      <vertAlign val="subscript"/>
      <sz val="8"/>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Book Antiqua"/>
      <family val="1"/>
    </font>
    <font>
      <sz val="16"/>
      <name val="Book Antiqua"/>
      <family val="1"/>
    </font>
    <font>
      <b/>
      <vertAlign val="superscript"/>
      <sz val="12"/>
      <name val="Book Antiqua"/>
      <family val="1"/>
    </font>
    <font>
      <vertAlign val="superscript"/>
      <sz val="12"/>
      <name val="Book Antiqua"/>
      <family val="1"/>
    </font>
    <font>
      <vertAlign val="subscript"/>
      <sz val="12"/>
      <name val="Book Antiqua"/>
      <family val="1"/>
    </font>
    <font>
      <sz val="12"/>
      <color indexed="8"/>
      <name val="Book Antiqua"/>
      <family val="1"/>
    </font>
    <font>
      <b/>
      <vertAlign val="superscript"/>
      <sz val="11"/>
      <name val="Times New Roman"/>
      <family val="1"/>
    </font>
    <font>
      <b/>
      <sz val="9"/>
      <name val="Arial"/>
      <family val="2"/>
    </font>
    <font>
      <b/>
      <vertAlign val="superscript"/>
      <sz val="8"/>
      <name val="Book Antiqua"/>
      <family val="1"/>
    </font>
    <font>
      <b/>
      <sz val="8"/>
      <color indexed="17"/>
      <name val="Arial"/>
      <family val="2"/>
    </font>
    <font>
      <b/>
      <u/>
      <sz val="10"/>
      <name val="Arial"/>
      <family val="2"/>
    </font>
    <font>
      <vertAlign val="superscript"/>
      <sz val="10"/>
      <name val="Arial"/>
      <family val="2"/>
    </font>
    <font>
      <sz val="11"/>
      <name val="Book Antiqua"/>
      <family val="1"/>
    </font>
    <font>
      <sz val="9"/>
      <color indexed="81"/>
      <name val="Tahoma"/>
      <family val="2"/>
    </font>
    <font>
      <u/>
      <sz val="12"/>
      <name val="Book Antiqua"/>
      <family val="1"/>
    </font>
    <font>
      <u/>
      <vertAlign val="subscript"/>
      <sz val="12"/>
      <name val="Book Antiqua"/>
      <family val="1"/>
    </font>
    <font>
      <b/>
      <sz val="12"/>
      <color indexed="8"/>
      <name val="Book Antiqua"/>
      <family val="1"/>
    </font>
    <font>
      <b/>
      <vertAlign val="subscript"/>
      <sz val="12"/>
      <color indexed="8"/>
      <name val="Book Antiqua"/>
      <family val="1"/>
    </font>
    <font>
      <b/>
      <vertAlign val="superscript"/>
      <sz val="12"/>
      <color indexed="8"/>
      <name val="Book Antiqua"/>
      <family val="1"/>
    </font>
    <font>
      <b/>
      <sz val="10"/>
      <color rgb="FF002060"/>
      <name val="Book Antiqua"/>
      <family val="1"/>
    </font>
    <font>
      <sz val="11"/>
      <color indexed="8"/>
      <name val="Book Antiqua"/>
      <family val="1"/>
    </font>
    <font>
      <sz val="9"/>
      <color indexed="8"/>
      <name val="Geneva"/>
    </font>
    <font>
      <i/>
      <sz val="8"/>
      <name val="Book Antiqua"/>
      <family val="1"/>
    </font>
    <font>
      <sz val="8"/>
      <color indexed="8"/>
      <name val="Book Antiqua"/>
      <family val="1"/>
    </font>
    <font>
      <sz val="10"/>
      <color theme="1"/>
      <name val="Times New Roman"/>
      <family val="1"/>
    </font>
    <font>
      <sz val="10"/>
      <color rgb="FFFF0000"/>
      <name val="Arial"/>
      <family val="2"/>
    </font>
    <font>
      <sz val="10"/>
      <name val="Wingdings"/>
      <charset val="2"/>
    </font>
    <font>
      <sz val="18"/>
      <color rgb="FFFF0000"/>
      <name val="Times New Roman"/>
      <family val="1"/>
    </font>
    <font>
      <sz val="12"/>
      <name val="Times New Roman"/>
      <family val="1"/>
    </font>
    <font>
      <b/>
      <sz val="8"/>
      <name val="Wingdings"/>
      <charset val="2"/>
    </font>
    <font>
      <u/>
      <sz val="10"/>
      <name val="Arial"/>
      <family val="2"/>
    </font>
    <font>
      <vertAlign val="subscript"/>
      <sz val="10"/>
      <name val="Arial"/>
      <family val="2"/>
    </font>
    <font>
      <b/>
      <vertAlign val="subscript"/>
      <sz val="10"/>
      <name val="Arial"/>
      <family val="2"/>
    </font>
    <font>
      <sz val="10"/>
      <color indexed="81"/>
      <name val="Tahoma"/>
      <family val="2"/>
    </font>
    <font>
      <b/>
      <sz val="9"/>
      <color indexed="81"/>
      <name val="Tahoma"/>
      <family val="2"/>
    </font>
    <font>
      <i/>
      <sz val="10"/>
      <color rgb="FF7F7F7F"/>
      <name val="Times New Roman"/>
      <family val="2"/>
    </font>
    <font>
      <sz val="10"/>
      <color theme="1"/>
      <name val="Book Antiqua"/>
      <family val="2"/>
    </font>
    <font>
      <sz val="10"/>
      <name val="Calibri"/>
      <family val="2"/>
      <scheme val="minor"/>
    </font>
    <font>
      <u/>
      <sz val="10"/>
      <name val="Calibri"/>
      <family val="2"/>
      <scheme val="minor"/>
    </font>
    <font>
      <b/>
      <sz val="10"/>
      <name val="Calibri"/>
      <family val="2"/>
      <scheme val="minor"/>
    </font>
    <font>
      <vertAlign val="subscript"/>
      <sz val="10"/>
      <name val="Calibri"/>
      <family val="2"/>
      <scheme val="minor"/>
    </font>
    <font>
      <b/>
      <vertAlign val="subscript"/>
      <sz val="10"/>
      <name val="Calibri"/>
      <family val="2"/>
      <scheme val="minor"/>
    </font>
    <font>
      <vertAlign val="superscript"/>
      <sz val="10"/>
      <name val="Calibri"/>
      <family val="2"/>
      <scheme val="minor"/>
    </font>
    <font>
      <sz val="10"/>
      <color theme="3" tint="-0.249977111117893"/>
      <name val="Arial"/>
      <family val="2"/>
    </font>
    <font>
      <b/>
      <u/>
      <sz val="10"/>
      <name val="Book Antiqua"/>
      <family val="1"/>
    </font>
    <font>
      <sz val="6"/>
      <color indexed="8"/>
      <name val="Arial"/>
      <family val="2"/>
    </font>
    <font>
      <sz val="10"/>
      <name val="Times New Roman"/>
      <family val="1"/>
      <charset val="204"/>
    </font>
    <font>
      <b/>
      <sz val="6"/>
      <color indexed="8"/>
      <name val="Times New Roman"/>
      <family val="1"/>
      <charset val="204"/>
    </font>
    <font>
      <sz val="6"/>
      <color indexed="8"/>
      <name val="Times New Roman"/>
      <family val="1"/>
      <charset val="204"/>
    </font>
    <font>
      <sz val="12"/>
      <color indexed="8"/>
      <name val="Times New Roman"/>
      <family val="1"/>
      <charset val="204"/>
    </font>
    <font>
      <sz val="12"/>
      <name val="Times New Roman"/>
      <family val="1"/>
      <charset val="204"/>
    </font>
    <font>
      <sz val="14"/>
      <color indexed="8"/>
      <name val="Times New Roman"/>
      <family val="1"/>
      <charset val="204"/>
    </font>
    <font>
      <sz val="14"/>
      <color indexed="8"/>
      <name val="Arial"/>
      <family val="2"/>
    </font>
    <font>
      <b/>
      <sz val="12"/>
      <color indexed="8"/>
      <name val="Times New Roman"/>
      <family val="1"/>
    </font>
    <font>
      <b/>
      <u/>
      <vertAlign val="subscript"/>
      <sz val="10"/>
      <name val="Arial"/>
      <family val="2"/>
    </font>
    <font>
      <sz val="10"/>
      <color indexed="23"/>
      <name val="Arial"/>
      <family val="2"/>
    </font>
    <font>
      <vertAlign val="subscript"/>
      <sz val="10"/>
      <color indexed="23"/>
      <name val="Arial"/>
      <family val="2"/>
    </font>
    <font>
      <b/>
      <sz val="10"/>
      <color indexed="23"/>
      <name val="Arial"/>
      <family val="2"/>
    </font>
    <font>
      <sz val="8"/>
      <color indexed="81"/>
      <name val="Tahoma"/>
      <family val="2"/>
    </font>
    <font>
      <b/>
      <sz val="10"/>
      <color indexed="81"/>
      <name val="Tahoma"/>
      <family val="2"/>
    </font>
    <font>
      <sz val="10"/>
      <color indexed="81"/>
      <name val="Arial"/>
      <family val="2"/>
    </font>
    <font>
      <sz val="11.5"/>
      <name val="Times New Roman"/>
      <family val="1"/>
    </font>
    <font>
      <sz val="11.5"/>
      <name val="Arial"/>
      <family val="2"/>
    </font>
    <font>
      <u/>
      <sz val="10"/>
      <color indexed="81"/>
      <name val="Tahoma"/>
      <family val="2"/>
    </font>
    <font>
      <vertAlign val="superscript"/>
      <sz val="9"/>
      <color indexed="81"/>
      <name val="Tahoma"/>
      <family val="2"/>
    </font>
    <font>
      <vertAlign val="subscript"/>
      <sz val="9"/>
      <color indexed="81"/>
      <name val="Tahoma"/>
      <family val="2"/>
    </font>
    <font>
      <b/>
      <sz val="12"/>
      <name val="Calibri"/>
      <family val="2"/>
      <scheme val="minor"/>
    </font>
    <font>
      <b/>
      <i/>
      <sz val="11"/>
      <name val="Calibri"/>
      <family val="2"/>
      <scheme val="minor"/>
    </font>
    <font>
      <sz val="10"/>
      <color rgb="FFFF0000"/>
      <name val="Calibri"/>
      <family val="2"/>
      <scheme val="minor"/>
    </font>
    <font>
      <u/>
      <sz val="10"/>
      <color theme="10"/>
      <name val="Arial"/>
      <family val="2"/>
    </font>
    <font>
      <sz val="10"/>
      <color rgb="FF000000"/>
      <name val="Times New Roman"/>
      <family val="1"/>
    </font>
    <font>
      <b/>
      <sz val="10"/>
      <name val="Helv"/>
    </font>
    <font>
      <sz val="12"/>
      <name val="Tms Rmn"/>
    </font>
    <font>
      <sz val="10"/>
      <name val="Courier"/>
      <family val="3"/>
    </font>
    <font>
      <b/>
      <sz val="18"/>
      <name val="Book Antiqua"/>
      <family val="1"/>
    </font>
    <font>
      <b/>
      <sz val="10"/>
      <color theme="0" tint="-0.499984740745262"/>
      <name val="Arial"/>
      <family val="2"/>
    </font>
    <font>
      <b/>
      <sz val="12"/>
      <color rgb="FF000000"/>
      <name val="Arial"/>
      <family val="2"/>
    </font>
    <font>
      <b/>
      <sz val="10"/>
      <color rgb="FF000000"/>
      <name val="Arial"/>
      <family val="2"/>
    </font>
    <font>
      <sz val="11"/>
      <color rgb="FF000000"/>
      <name val="Arial"/>
      <family val="2"/>
    </font>
    <font>
      <sz val="10"/>
      <name val="Arial"/>
      <family val="2"/>
    </font>
    <font>
      <sz val="18"/>
      <name val="Book Antiqua"/>
      <family val="1"/>
    </font>
    <font>
      <b/>
      <u/>
      <sz val="16"/>
      <name val="Book Antiqua"/>
      <family val="1"/>
    </font>
    <font>
      <sz val="12"/>
      <color rgb="FF000000"/>
      <name val="Arial"/>
      <family val="2"/>
    </font>
    <font>
      <b/>
      <sz val="10"/>
      <color rgb="FFFF0000"/>
      <name val="Arial"/>
      <family val="2"/>
    </font>
    <font>
      <sz val="18"/>
      <color rgb="FFC00000"/>
      <name val="Book Antiqua"/>
      <family val="1"/>
    </font>
    <font>
      <sz val="9"/>
      <color rgb="FFFF0000"/>
      <name val="Times New Roman"/>
      <family val="1"/>
    </font>
    <font>
      <b/>
      <sz val="10"/>
      <name val="Wingdings"/>
      <charset val="2"/>
    </font>
    <font>
      <sz val="11"/>
      <name val="Arial"/>
      <family val="2"/>
    </font>
    <font>
      <b/>
      <i/>
      <sz val="8"/>
      <name val="Book Antiqua"/>
      <family val="1"/>
    </font>
    <font>
      <b/>
      <sz val="8"/>
      <color indexed="8"/>
      <name val="Book Antiqua"/>
      <family val="1"/>
    </font>
    <font>
      <b/>
      <sz val="16"/>
      <name val="Arial"/>
      <family val="2"/>
    </font>
    <font>
      <b/>
      <sz val="20"/>
      <name val="Arial"/>
      <family val="2"/>
    </font>
    <font>
      <sz val="12"/>
      <color theme="1"/>
      <name val="Calibri"/>
      <family val="2"/>
      <scheme val="minor"/>
    </font>
    <font>
      <sz val="12"/>
      <name val="Calibri"/>
      <family val="2"/>
      <scheme val="minor"/>
    </font>
    <font>
      <sz val="11"/>
      <name val="Calibri"/>
      <family val="2"/>
      <scheme val="minor"/>
    </font>
    <font>
      <b/>
      <sz val="11"/>
      <name val="Calibri"/>
      <family val="2"/>
      <scheme val="minor"/>
    </font>
    <font>
      <b/>
      <sz val="12"/>
      <color theme="1"/>
      <name val="Calibri"/>
      <family val="2"/>
      <scheme val="minor"/>
    </font>
    <font>
      <sz val="12"/>
      <color indexed="13"/>
      <name val="Calibri"/>
      <family val="2"/>
      <scheme val="minor"/>
    </font>
    <font>
      <sz val="10"/>
      <name val="Arial"/>
      <family val="2"/>
    </font>
    <font>
      <sz val="11"/>
      <color theme="1"/>
      <name val="Book Antiqua"/>
      <family val="1"/>
    </font>
    <font>
      <b/>
      <sz val="11"/>
      <color theme="1"/>
      <name val="Book Antiqua"/>
      <family val="1"/>
    </font>
    <font>
      <b/>
      <u/>
      <sz val="11"/>
      <color theme="1"/>
      <name val="Book Antiqua"/>
      <family val="1"/>
    </font>
    <font>
      <sz val="7"/>
      <name val="Times New Roman"/>
      <family val="1"/>
    </font>
    <font>
      <b/>
      <vertAlign val="subscript"/>
      <sz val="18"/>
      <name val="Book Antiqua"/>
      <family val="1"/>
    </font>
    <font>
      <sz val="22"/>
      <name val="Book Antiqua"/>
      <family val="1"/>
    </font>
    <font>
      <b/>
      <vertAlign val="subscript"/>
      <sz val="16"/>
      <name val="Book Antiqua"/>
      <family val="1"/>
    </font>
    <font>
      <b/>
      <vertAlign val="superscript"/>
      <sz val="9"/>
      <name val="Book Antiqua"/>
      <family val="1"/>
    </font>
    <font>
      <b/>
      <vertAlign val="subscript"/>
      <sz val="9"/>
      <name val="Book Antiqua"/>
      <family val="1"/>
    </font>
    <font>
      <b/>
      <vertAlign val="subscript"/>
      <sz val="8"/>
      <name val="Book Antiqua"/>
      <family val="1"/>
    </font>
    <font>
      <i/>
      <sz val="10"/>
      <name val="Book Antiqua"/>
      <family val="1"/>
    </font>
    <font>
      <vertAlign val="superscript"/>
      <sz val="14"/>
      <name val="Book Antiqua"/>
      <family val="1"/>
    </font>
    <font>
      <vertAlign val="subscript"/>
      <sz val="14"/>
      <name val="Book Antiqua"/>
      <family val="1"/>
    </font>
    <font>
      <sz val="14"/>
      <color indexed="8"/>
      <name val="Book Antiqua"/>
      <family val="1"/>
    </font>
    <font>
      <vertAlign val="superscript"/>
      <sz val="16"/>
      <name val="Book Antiqua"/>
      <family val="1"/>
    </font>
    <font>
      <b/>
      <vertAlign val="superscript"/>
      <sz val="16"/>
      <name val="Book Antiqua"/>
      <family val="1"/>
    </font>
    <font>
      <sz val="12"/>
      <color theme="3" tint="-0.249977111117893"/>
      <name val="Arial"/>
      <family val="2"/>
    </font>
    <font>
      <u/>
      <sz val="12"/>
      <name val="Arial"/>
      <family val="2"/>
    </font>
    <font>
      <b/>
      <sz val="15"/>
      <name val="Book Antiqua"/>
      <family val="1"/>
    </font>
    <font>
      <b/>
      <u/>
      <sz val="12"/>
      <name val="Arial"/>
      <family val="2"/>
    </font>
  </fonts>
  <fills count="9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indexed="57"/>
        <bgColor indexed="64"/>
      </patternFill>
    </fill>
    <fill>
      <patternFill patternType="solid">
        <fgColor indexed="59"/>
        <bgColor indexed="64"/>
      </patternFill>
    </fill>
    <fill>
      <patternFill patternType="solid">
        <fgColor indexed="62"/>
        <bgColor indexed="64"/>
      </patternFill>
    </fill>
    <fill>
      <patternFill patternType="solid">
        <fgColor indexed="61"/>
        <bgColor indexed="64"/>
      </patternFill>
    </fill>
    <fill>
      <patternFill patternType="solid">
        <fgColor indexed="60"/>
        <bgColor indexed="64"/>
      </patternFill>
    </fill>
    <fill>
      <patternFill patternType="mediumGray">
        <fgColor indexed="22"/>
      </patternFill>
    </fill>
    <fill>
      <patternFill patternType="solid">
        <fgColor indexed="8"/>
      </patternFill>
    </fill>
    <fill>
      <patternFill patternType="gray0625">
        <fgColor indexed="23"/>
      </patternFill>
    </fill>
    <fill>
      <patternFill patternType="solid">
        <fgColor indexed="47"/>
        <bgColor indexed="64"/>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8"/>
      </patternFill>
    </fill>
    <fill>
      <patternFill patternType="solid">
        <fgColor indexed="26"/>
      </patternFill>
    </fill>
    <fill>
      <patternFill patternType="solid">
        <fgColor rgb="FFFFFF9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rgb="FFFFFF9F"/>
        <bgColor indexed="64"/>
      </patternFill>
    </fill>
    <fill>
      <patternFill patternType="solid">
        <fgColor indexed="9"/>
      </patternFill>
    </fill>
    <fill>
      <patternFill patternType="solid">
        <fgColor theme="4" tint="0.79998168889431442"/>
        <bgColor indexed="64"/>
      </patternFill>
    </fill>
    <fill>
      <patternFill patternType="solid">
        <fgColor rgb="FFCCCCFF"/>
        <bgColor indexed="64"/>
      </patternFill>
    </fill>
    <fill>
      <patternFill patternType="solid">
        <fgColor theme="0"/>
        <bgColor indexed="8"/>
      </patternFill>
    </fill>
  </fills>
  <borders count="2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bottom style="medium">
        <color indexed="64"/>
      </bottom>
      <diagonal/>
    </border>
    <border>
      <left style="medium">
        <color indexed="64"/>
      </left>
      <right/>
      <top style="thin">
        <color indexed="64"/>
      </top>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8"/>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medium">
        <color indexed="64"/>
      </top>
      <bottom/>
      <diagonal/>
    </border>
    <border>
      <left/>
      <right style="thick">
        <color indexed="64"/>
      </right>
      <top/>
      <bottom style="thin">
        <color indexed="64"/>
      </bottom>
      <diagonal/>
    </border>
    <border>
      <left style="thick">
        <color indexed="64"/>
      </left>
      <right/>
      <top style="double">
        <color indexed="64"/>
      </top>
      <bottom/>
      <diagonal/>
    </border>
    <border>
      <left/>
      <right style="thin">
        <color indexed="64"/>
      </right>
      <top style="double">
        <color indexed="64"/>
      </top>
      <bottom/>
      <diagonal/>
    </border>
    <border>
      <left/>
      <right style="thin">
        <color indexed="64"/>
      </right>
      <top/>
      <bottom style="thick">
        <color indexed="64"/>
      </bottom>
      <diagonal/>
    </border>
    <border>
      <left/>
      <right/>
      <top/>
      <bottom style="thick">
        <color indexed="64"/>
      </bottom>
      <diagonal/>
    </border>
    <border>
      <left style="thick">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ck">
        <color indexed="64"/>
      </top>
      <bottom/>
      <diagonal/>
    </border>
    <border>
      <left style="thin">
        <color indexed="64"/>
      </left>
      <right/>
      <top style="thin">
        <color indexed="64"/>
      </top>
      <bottom/>
      <diagonal/>
    </border>
    <border>
      <left style="thick">
        <color indexed="64"/>
      </left>
      <right/>
      <top style="medium">
        <color indexed="64"/>
      </top>
      <bottom style="double">
        <color indexed="64"/>
      </bottom>
      <diagonal/>
    </border>
    <border>
      <left/>
      <right/>
      <top style="medium">
        <color indexed="64"/>
      </top>
      <bottom style="double">
        <color indexed="64"/>
      </bottom>
      <diagonal/>
    </border>
    <border>
      <left/>
      <right style="thick">
        <color indexed="64"/>
      </right>
      <top style="medium">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auto="1"/>
      </right>
      <top style="thin">
        <color auto="1"/>
      </top>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auto="1"/>
      </left>
      <right style="thin">
        <color auto="1"/>
      </right>
      <top style="thin">
        <color auto="1"/>
      </top>
      <bottom style="thin">
        <color auto="1"/>
      </bottom>
      <diagonal/>
    </border>
    <border>
      <left/>
      <right style="double">
        <color indexed="64"/>
      </right>
      <top style="thin">
        <color indexed="64"/>
      </top>
      <bottom style="thin">
        <color indexed="64"/>
      </bottom>
      <diagonal/>
    </border>
    <border>
      <left style="double">
        <color auto="1"/>
      </left>
      <right style="thin">
        <color auto="1"/>
      </right>
      <top style="thin">
        <color auto="1"/>
      </top>
      <bottom style="double">
        <color auto="1"/>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thin">
        <color indexed="64"/>
      </top>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auto="1"/>
      </top>
      <bottom style="medium">
        <color auto="1"/>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diagonal/>
    </border>
    <border>
      <left style="thin">
        <color indexed="64"/>
      </left>
      <right style="thin">
        <color indexed="64"/>
      </right>
      <top/>
      <bottom style="medium">
        <color indexed="64"/>
      </bottom>
      <diagonal/>
    </border>
    <border>
      <left style="medium">
        <color auto="1"/>
      </left>
      <right style="thin">
        <color auto="1"/>
      </right>
      <top/>
      <bottom style="medium">
        <color auto="1"/>
      </bottom>
      <diagonal/>
    </border>
    <border>
      <left style="medium">
        <color auto="1"/>
      </left>
      <right style="medium">
        <color auto="1"/>
      </right>
      <top/>
      <bottom style="medium">
        <color auto="1"/>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thick">
        <color indexed="64"/>
      </left>
      <right/>
      <top style="thin">
        <color auto="1"/>
      </top>
      <bottom style="double">
        <color indexed="64"/>
      </bottom>
      <diagonal/>
    </border>
    <border>
      <left/>
      <right style="thin">
        <color indexed="64"/>
      </right>
      <top style="thin">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thin">
        <color auto="1"/>
      </top>
      <bottom style="medium">
        <color indexed="64"/>
      </bottom>
      <diagonal/>
    </border>
    <border>
      <left style="thick">
        <color indexed="64"/>
      </left>
      <right/>
      <top style="thin">
        <color auto="1"/>
      </top>
      <bottom style="double">
        <color indexed="64"/>
      </bottom>
      <diagonal/>
    </border>
    <border>
      <left/>
      <right style="thin">
        <color indexed="64"/>
      </right>
      <top style="thin">
        <color auto="1"/>
      </top>
      <bottom style="double">
        <color indexed="64"/>
      </bottom>
      <diagonal/>
    </border>
    <border>
      <left style="thin">
        <color indexed="64"/>
      </left>
      <right style="thick">
        <color indexed="64"/>
      </right>
      <top style="thin">
        <color indexed="64"/>
      </top>
      <bottom style="double">
        <color indexed="64"/>
      </bottom>
      <diagonal/>
    </border>
    <border>
      <left/>
      <right style="thin">
        <color indexed="64"/>
      </right>
      <top style="thin">
        <color auto="1"/>
      </top>
      <bottom style="double">
        <color indexed="64"/>
      </bottom>
      <diagonal/>
    </border>
    <border>
      <left style="thick">
        <color indexed="64"/>
      </left>
      <right/>
      <top style="thin">
        <color auto="1"/>
      </top>
      <bottom style="double">
        <color indexed="64"/>
      </bottom>
      <diagonal/>
    </border>
  </borders>
  <cellStyleXfs count="20912">
    <xf numFmtId="0" fontId="0" fillId="0" borderId="0"/>
    <xf numFmtId="0" fontId="19" fillId="0" borderId="0"/>
    <xf numFmtId="172" fontId="19" fillId="0" borderId="0"/>
    <xf numFmtId="173"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5"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174" fontId="19" fillId="9" borderId="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51" fillId="0" borderId="0"/>
    <xf numFmtId="0" fontId="51" fillId="0" borderId="0"/>
    <xf numFmtId="0" fontId="19" fillId="0" borderId="0"/>
    <xf numFmtId="0" fontId="51" fillId="0" borderId="0"/>
    <xf numFmtId="0" fontId="19" fillId="0" borderId="0"/>
    <xf numFmtId="0" fontId="19" fillId="0" borderId="0"/>
    <xf numFmtId="0" fontId="17" fillId="0" borderId="0"/>
    <xf numFmtId="0" fontId="19" fillId="0" borderId="0"/>
    <xf numFmtId="0" fontId="19" fillId="0" borderId="0"/>
    <xf numFmtId="0" fontId="51" fillId="0" borderId="0"/>
    <xf numFmtId="0" fontId="51" fillId="0" borderId="0"/>
    <xf numFmtId="0" fontId="51"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51"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9" fillId="0" borderId="0"/>
    <xf numFmtId="0" fontId="51" fillId="0" borderId="0"/>
    <xf numFmtId="0" fontId="51" fillId="0" borderId="0"/>
    <xf numFmtId="0" fontId="51" fillId="0" borderId="0"/>
    <xf numFmtId="0" fontId="19" fillId="0" borderId="0"/>
    <xf numFmtId="0" fontId="51" fillId="0" borderId="0"/>
    <xf numFmtId="0" fontId="51" fillId="0" borderId="0"/>
    <xf numFmtId="0" fontId="51" fillId="0" borderId="0"/>
    <xf numFmtId="0" fontId="51" fillId="0" borderId="0"/>
    <xf numFmtId="0" fontId="45" fillId="0" borderId="0"/>
    <xf numFmtId="0" fontId="45" fillId="0" borderId="0"/>
    <xf numFmtId="0" fontId="19" fillId="0" borderId="0"/>
    <xf numFmtId="0" fontId="19" fillId="0" borderId="0"/>
    <xf numFmtId="0" fontId="51" fillId="0" borderId="0"/>
    <xf numFmtId="0" fontId="51" fillId="0" borderId="0"/>
    <xf numFmtId="0" fontId="51" fillId="0" borderId="0"/>
    <xf numFmtId="0" fontId="51"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6" fontId="52" fillId="0" borderId="0" applyFont="0" applyFill="0" applyBorder="0" applyAlignment="0" applyProtection="0"/>
    <xf numFmtId="176" fontId="53" fillId="0" borderId="0" applyFont="0" applyFill="0" applyBorder="0" applyAlignment="0" applyProtection="0"/>
    <xf numFmtId="10" fontId="52" fillId="0" borderId="0" applyFont="0" applyFill="0" applyBorder="0" applyAlignment="0" applyProtection="0"/>
    <xf numFmtId="10" fontId="53" fillId="0" borderId="0" applyFont="0" applyFill="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6" fontId="55" fillId="0" borderId="0" applyFont="0" applyFill="0" applyBorder="0" applyAlignment="0" applyProtection="0"/>
    <xf numFmtId="8" fontId="55" fillId="0" borderId="0" applyFont="0" applyFill="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6" fillId="20"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7" borderId="0" applyNumberFormat="0" applyBorder="0" applyAlignment="0" applyProtection="0"/>
    <xf numFmtId="177" fontId="57" fillId="0" borderId="0" applyFill="0" applyBorder="0" applyProtection="0">
      <alignment horizontal="center" vertical="top" wrapText="1"/>
    </xf>
    <xf numFmtId="178" fontId="19" fillId="28" borderId="77">
      <alignment horizontal="center" vertical="center"/>
    </xf>
    <xf numFmtId="0" fontId="19" fillId="0" borderId="15" applyNumberFormat="0" applyFont="0" applyFill="0" applyAlignment="0" applyProtection="0"/>
    <xf numFmtId="0" fontId="58" fillId="0" borderId="0">
      <alignment horizontal="center" wrapText="1"/>
      <protection locked="0"/>
    </xf>
    <xf numFmtId="0" fontId="59" fillId="11" borderId="0" applyNumberFormat="0" applyBorder="0" applyAlignment="0" applyProtection="0"/>
    <xf numFmtId="179" fontId="60" fillId="0" borderId="0" applyFont="0" applyFill="0" applyBorder="0" applyAlignment="0" applyProtection="0">
      <alignment horizontal="right"/>
    </xf>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62" fillId="0" borderId="0" applyFill="0" applyBorder="0" applyAlignment="0"/>
    <xf numFmtId="0" fontId="63" fillId="29" borderId="79" applyNumberFormat="0" applyAlignment="0" applyProtection="0"/>
    <xf numFmtId="0" fontId="64" fillId="30" borderId="80" applyNumberFormat="0" applyAlignment="0" applyProtection="0"/>
    <xf numFmtId="0" fontId="65" fillId="0" borderId="72" applyNumberFormat="0" applyFill="0" applyProtection="0">
      <alignment horizontal="center"/>
    </xf>
    <xf numFmtId="0" fontId="55" fillId="0" borderId="72" applyNumberFormat="0" applyFill="0" applyProtection="0">
      <alignment horizontal="center"/>
    </xf>
    <xf numFmtId="0" fontId="35" fillId="0" borderId="0">
      <alignment horizontal="center" vertical="center" wrapText="1"/>
    </xf>
    <xf numFmtId="180" fontId="18" fillId="0" borderId="0"/>
    <xf numFmtId="180" fontId="18" fillId="0" borderId="0"/>
    <xf numFmtId="180" fontId="18" fillId="0" borderId="0"/>
    <xf numFmtId="180" fontId="18" fillId="0" borderId="0"/>
    <xf numFmtId="180" fontId="27" fillId="0" borderId="0"/>
    <xf numFmtId="180" fontId="18" fillId="0" borderId="0"/>
    <xf numFmtId="18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0" fontId="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7" fontId="52" fillId="0" borderId="0" applyFont="0" applyFill="0" applyBorder="0" applyAlignment="0" applyProtection="0"/>
    <xf numFmtId="37" fontId="53" fillId="0" borderId="0" applyFont="0" applyFill="0" applyBorder="0" applyAlignment="0" applyProtection="0"/>
    <xf numFmtId="181" fontId="52" fillId="0" borderId="0" applyFont="0" applyFill="0" applyBorder="0" applyAlignment="0" applyProtection="0"/>
    <xf numFmtId="181" fontId="53" fillId="0" borderId="0" applyFont="0" applyFill="0" applyBorder="0" applyAlignment="0" applyProtection="0"/>
    <xf numFmtId="39" fontId="52" fillId="0" borderId="0" applyFont="0" applyFill="0" applyBorder="0" applyAlignment="0" applyProtection="0"/>
    <xf numFmtId="39" fontId="53" fillId="0" borderId="0" applyFont="0" applyFill="0" applyBorder="0" applyAlignment="0" applyProtection="0"/>
    <xf numFmtId="1" fontId="67" fillId="0" borderId="0" applyFont="0" applyFill="0" applyBorder="0" applyAlignment="0" applyProtection="0"/>
    <xf numFmtId="0" fontId="61" fillId="0" borderId="0"/>
    <xf numFmtId="0" fontId="61" fillId="0" borderId="0"/>
    <xf numFmtId="3" fontId="19" fillId="0" borderId="0" applyFill="0" applyBorder="0" applyAlignment="0" applyProtection="0"/>
    <xf numFmtId="0" fontId="68" fillId="0" borderId="0" applyNumberFormat="0" applyAlignment="0">
      <alignment horizontal="left"/>
    </xf>
    <xf numFmtId="180" fontId="18" fillId="0" borderId="0"/>
    <xf numFmtId="180" fontId="18" fillId="0" borderId="0"/>
    <xf numFmtId="180" fontId="18" fillId="0" borderId="0"/>
    <xf numFmtId="180" fontId="18" fillId="0" borderId="0"/>
    <xf numFmtId="180" fontId="27" fillId="0" borderId="0"/>
    <xf numFmtId="180" fontId="18" fillId="0" borderId="0"/>
    <xf numFmtId="180" fontId="18"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52" fillId="0" borderId="0" applyFont="0" applyFill="0" applyBorder="0" applyAlignment="0" applyProtection="0"/>
    <xf numFmtId="5" fontId="53" fillId="0" borderId="0" applyFont="0" applyFill="0" applyBorder="0" applyAlignment="0" applyProtection="0"/>
    <xf numFmtId="7" fontId="52" fillId="0" borderId="0" applyFont="0" applyFill="0" applyBorder="0" applyAlignment="0" applyProtection="0"/>
    <xf numFmtId="7" fontId="53" fillId="0" borderId="0" applyFont="0" applyFill="0" applyBorder="0" applyAlignment="0" applyProtection="0"/>
    <xf numFmtId="0" fontId="18" fillId="31" borderId="0"/>
    <xf numFmtId="0" fontId="69" fillId="0" borderId="0" applyNumberFormat="0" applyAlignment="0">
      <alignment horizontal="left"/>
    </xf>
    <xf numFmtId="0" fontId="18" fillId="0" borderId="0">
      <alignment horizontal="left" vertical="center"/>
    </xf>
    <xf numFmtId="0" fontId="70"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71" fillId="0" borderId="0" applyBorder="0">
      <protection locked="0"/>
    </xf>
    <xf numFmtId="1" fontId="19" fillId="0" borderId="0" applyFill="0" applyBorder="0" applyAlignment="0" applyProtection="0"/>
    <xf numFmtId="164" fontId="19" fillId="0" borderId="0" applyFont="0" applyFill="0" applyBorder="0" applyAlignment="0" applyProtection="0"/>
    <xf numFmtId="0" fontId="61" fillId="0" borderId="0"/>
    <xf numFmtId="164" fontId="19" fillId="0" borderId="0" applyFill="0" applyBorder="0" applyAlignment="0" applyProtection="0"/>
    <xf numFmtId="2" fontId="19" fillId="0" borderId="0" applyFont="0" applyFill="0" applyBorder="0" applyAlignment="0" applyProtection="0"/>
    <xf numFmtId="0" fontId="72" fillId="0" borderId="0"/>
    <xf numFmtId="0" fontId="61" fillId="0" borderId="0"/>
    <xf numFmtId="2" fontId="19" fillId="0" borderId="0" applyFill="0" applyBorder="0" applyAlignment="0" applyProtection="0"/>
    <xf numFmtId="165" fontId="19" fillId="0" borderId="0" applyFont="0" applyFill="0" applyBorder="0" applyAlignment="0" applyProtection="0"/>
    <xf numFmtId="0" fontId="72" fillId="0" borderId="0"/>
    <xf numFmtId="0" fontId="61" fillId="0" borderId="0"/>
    <xf numFmtId="165" fontId="19" fillId="0" borderId="0" applyFill="0" applyBorder="0" applyAlignment="0" applyProtection="0"/>
    <xf numFmtId="167" fontId="19" fillId="0" borderId="0" applyFont="0" applyFill="0" applyBorder="0" applyAlignment="0" applyProtection="0"/>
    <xf numFmtId="0" fontId="61" fillId="0" borderId="0"/>
    <xf numFmtId="0" fontId="61" fillId="0" borderId="0"/>
    <xf numFmtId="0" fontId="61" fillId="0" borderId="0"/>
    <xf numFmtId="0" fontId="72" fillId="0" borderId="0"/>
    <xf numFmtId="167" fontId="19" fillId="0" borderId="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0" fontId="73" fillId="0" borderId="0" applyNumberFormat="0" applyFill="0" applyBorder="0" applyAlignment="0" applyProtection="0">
      <alignment horizontal="left"/>
    </xf>
    <xf numFmtId="0" fontId="74" fillId="1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30"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182" fontId="49" fillId="0" borderId="0" applyNumberFormat="0" applyFill="0" applyBorder="0" applyProtection="0">
      <alignment horizontal="right"/>
    </xf>
    <xf numFmtId="0" fontId="24" fillId="0" borderId="62" applyNumberFormat="0" applyAlignment="0" applyProtection="0">
      <alignment horizontal="left" vertical="center"/>
    </xf>
    <xf numFmtId="0" fontId="23" fillId="0" borderId="62" applyNumberFormat="0" applyAlignment="0" applyProtection="0">
      <alignment horizontal="left" vertical="center"/>
    </xf>
    <xf numFmtId="0" fontId="23" fillId="0" borderId="62" applyNumberFormat="0" applyAlignment="0" applyProtection="0">
      <alignment horizontal="left" vertical="center"/>
    </xf>
    <xf numFmtId="0" fontId="24" fillId="0" borderId="47">
      <alignment horizontal="left" vertical="center"/>
    </xf>
    <xf numFmtId="0" fontId="23" fillId="0" borderId="47">
      <alignment horizontal="left" vertical="center"/>
    </xf>
    <xf numFmtId="0" fontId="23" fillId="0" borderId="47">
      <alignment horizontal="left" vertical="center"/>
    </xf>
    <xf numFmtId="0" fontId="72" fillId="0" borderId="0"/>
    <xf numFmtId="0" fontId="65" fillId="0" borderId="0"/>
    <xf numFmtId="0" fontId="75" fillId="0" borderId="0"/>
    <xf numFmtId="0" fontId="76" fillId="0" borderId="81" applyNumberFormat="0" applyFill="0" applyAlignment="0" applyProtection="0"/>
    <xf numFmtId="0" fontId="77" fillId="0" borderId="82" applyNumberFormat="0" applyFill="0" applyAlignment="0" applyProtection="0"/>
    <xf numFmtId="0" fontId="78" fillId="0" borderId="83" applyNumberFormat="0" applyFill="0" applyAlignment="0" applyProtection="0"/>
    <xf numFmtId="0" fontId="78" fillId="0" borderId="0" applyNumberFormat="0" applyFill="0" applyBorder="0" applyAlignment="0" applyProtection="0"/>
    <xf numFmtId="183" fontId="19" fillId="0" borderId="0">
      <protection locked="0"/>
    </xf>
    <xf numFmtId="183" fontId="19" fillId="0" borderId="0">
      <protection locked="0"/>
    </xf>
    <xf numFmtId="0" fontId="37" fillId="0" borderId="84"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10" fontId="18" fillId="31" borderId="15" applyNumberFormat="0" applyBorder="0" applyAlignment="0" applyProtection="0"/>
    <xf numFmtId="10" fontId="18" fillId="31" borderId="15" applyNumberFormat="0" applyBorder="0" applyAlignment="0" applyProtection="0"/>
    <xf numFmtId="10" fontId="18" fillId="31" borderId="15" applyNumberFormat="0" applyBorder="0" applyAlignment="0" applyProtection="0"/>
    <xf numFmtId="10" fontId="18" fillId="31" borderId="15" applyNumberFormat="0" applyBorder="0" applyAlignment="0" applyProtection="0"/>
    <xf numFmtId="10" fontId="30" fillId="31" borderId="15" applyNumberFormat="0" applyBorder="0" applyAlignment="0" applyProtection="0"/>
    <xf numFmtId="10" fontId="18" fillId="31" borderId="15" applyNumberFormat="0" applyBorder="0" applyAlignment="0" applyProtection="0"/>
    <xf numFmtId="10" fontId="18" fillId="31" borderId="15" applyNumberFormat="0" applyBorder="0" applyAlignment="0" applyProtection="0"/>
    <xf numFmtId="0" fontId="81" fillId="15" borderId="79" applyNumberFormat="0" applyAlignment="0" applyProtection="0"/>
    <xf numFmtId="0" fontId="82" fillId="0" borderId="85" applyNumberFormat="0" applyFill="0" applyAlignment="0" applyProtection="0"/>
    <xf numFmtId="184" fontId="19" fillId="0" borderId="0" applyFont="0" applyFill="0" applyBorder="0" applyAlignment="0" applyProtection="0"/>
    <xf numFmtId="185" fontId="19" fillId="0" borderId="0" applyFont="0" applyFill="0" applyBorder="0" applyAlignment="0" applyProtection="0"/>
    <xf numFmtId="186" fontId="19" fillId="0" borderId="0" applyFont="0" applyFill="0" applyBorder="0" applyAlignment="0" applyProtection="0"/>
    <xf numFmtId="187" fontId="19" fillId="0" borderId="0" applyFont="0" applyFill="0" applyBorder="0" applyAlignment="0" applyProtection="0"/>
    <xf numFmtId="0" fontId="83" fillId="32" borderId="0" applyNumberFormat="0" applyBorder="0" applyAlignment="0" applyProtection="0"/>
    <xf numFmtId="37" fontId="84" fillId="0" borderId="0"/>
    <xf numFmtId="37" fontId="84" fillId="0" borderId="0"/>
    <xf numFmtId="37" fontId="84"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188"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19" fillId="0" borderId="0"/>
    <xf numFmtId="0" fontId="19"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6" fillId="0" borderId="0"/>
    <xf numFmtId="0" fontId="66" fillId="0" borderId="0"/>
    <xf numFmtId="0" fontId="19" fillId="0" borderId="0">
      <alignment wrapText="1"/>
    </xf>
    <xf numFmtId="0" fontId="19" fillId="0" borderId="0">
      <alignment wrapText="1"/>
    </xf>
    <xf numFmtId="0" fontId="19" fillId="0" borderId="0"/>
    <xf numFmtId="0" fontId="19"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6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17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xf numFmtId="0" fontId="66" fillId="0" borderId="0"/>
    <xf numFmtId="0" fontId="54" fillId="0" borderId="0"/>
    <xf numFmtId="0" fontId="66" fillId="0" borderId="0"/>
    <xf numFmtId="0" fontId="54" fillId="0" borderId="0"/>
    <xf numFmtId="0" fontId="66" fillId="0" borderId="0"/>
    <xf numFmtId="0" fontId="54" fillId="0" borderId="0"/>
    <xf numFmtId="0" fontId="66" fillId="0" borderId="0"/>
    <xf numFmtId="0" fontId="54" fillId="0" borderId="0"/>
    <xf numFmtId="0" fontId="66" fillId="0" borderId="0"/>
    <xf numFmtId="0" fontId="66" fillId="0" borderId="0"/>
    <xf numFmtId="0" fontId="66" fillId="0" borderId="0"/>
    <xf numFmtId="0" fontId="66" fillId="0" borderId="0"/>
    <xf numFmtId="0" fontId="6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alignment wrapText="1"/>
    </xf>
    <xf numFmtId="0" fontId="19" fillId="0" borderId="0">
      <alignment wrapText="1"/>
    </xf>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6" fillId="0" borderId="0"/>
    <xf numFmtId="0" fontId="54" fillId="0" borderId="0"/>
    <xf numFmtId="0" fontId="54" fillId="0" borderId="0"/>
    <xf numFmtId="0" fontId="19" fillId="0" borderId="0"/>
    <xf numFmtId="0" fontId="19" fillId="0" borderId="0"/>
    <xf numFmtId="0" fontId="19" fillId="0" borderId="0"/>
    <xf numFmtId="0" fontId="54" fillId="0" borderId="0"/>
    <xf numFmtId="0" fontId="54" fillId="0" borderId="0"/>
    <xf numFmtId="0" fontId="66" fillId="0" borderId="0"/>
    <xf numFmtId="0" fontId="66" fillId="0" borderId="0"/>
    <xf numFmtId="0" fontId="54" fillId="0" borderId="0"/>
    <xf numFmtId="0" fontId="54" fillId="0" borderId="0"/>
    <xf numFmtId="0" fontId="66" fillId="0" borderId="0"/>
    <xf numFmtId="0" fontId="6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wrapText="1"/>
    </xf>
    <xf numFmtId="0" fontId="19" fillId="0" borderId="0"/>
    <xf numFmtId="0" fontId="51" fillId="0" borderId="0"/>
    <xf numFmtId="0" fontId="51" fillId="0" borderId="0"/>
    <xf numFmtId="0" fontId="51"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9" fontId="57" fillId="0" borderId="0" applyFill="0" applyBorder="0" applyProtection="0">
      <alignment horizontal="center" vertical="top" wrapText="1"/>
    </xf>
    <xf numFmtId="0" fontId="19" fillId="8" borderId="76" applyNumberFormat="0" applyFont="0" applyAlignment="0" applyProtection="0"/>
    <xf numFmtId="0" fontId="19" fillId="8" borderId="76" applyNumberFormat="0" applyFont="0" applyAlignment="0" applyProtection="0"/>
    <xf numFmtId="43" fontId="19" fillId="0" borderId="0" applyFont="0" applyFill="0" applyBorder="0" applyAlignment="0" applyProtection="0"/>
    <xf numFmtId="41" fontId="19" fillId="0" borderId="0" applyFont="0" applyFill="0" applyBorder="0" applyAlignment="0" applyProtection="0"/>
    <xf numFmtId="0" fontId="86" fillId="29" borderId="86" applyNumberFormat="0" applyAlignment="0" applyProtection="0"/>
    <xf numFmtId="14" fontId="58" fillId="0" borderId="0">
      <alignment horizontal="center" wrapText="1"/>
      <protection locked="0"/>
    </xf>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ill="0" applyBorder="0" applyAlignment="0" applyProtection="0"/>
    <xf numFmtId="49" fontId="87" fillId="33" borderId="0">
      <alignment horizontal="center"/>
    </xf>
    <xf numFmtId="49" fontId="88" fillId="34" borderId="0">
      <alignment horizontal="center"/>
    </xf>
    <xf numFmtId="49" fontId="89" fillId="34" borderId="0">
      <alignment horizontal="center"/>
    </xf>
    <xf numFmtId="0" fontId="88" fillId="35" borderId="0">
      <alignment horizontal="center"/>
    </xf>
    <xf numFmtId="49" fontId="90" fillId="35" borderId="0">
      <alignment horizontal="center"/>
    </xf>
    <xf numFmtId="49" fontId="89" fillId="35" borderId="0">
      <alignment horizontal="center"/>
    </xf>
    <xf numFmtId="0" fontId="87" fillId="35" borderId="0">
      <alignment horizontal="center"/>
    </xf>
    <xf numFmtId="0" fontId="88" fillId="0" borderId="0">
      <alignment horizontal="center"/>
    </xf>
    <xf numFmtId="0" fontId="87" fillId="0" borderId="0">
      <alignment horizontal="center"/>
    </xf>
    <xf numFmtId="49" fontId="88" fillId="36" borderId="0">
      <alignment horizontal="center"/>
    </xf>
    <xf numFmtId="49" fontId="89" fillId="36" borderId="0">
      <alignment horizontal="center"/>
    </xf>
    <xf numFmtId="49" fontId="88" fillId="37" borderId="0">
      <alignment horizontal="center"/>
    </xf>
    <xf numFmtId="49" fontId="89" fillId="37" borderId="0">
      <alignment horizontal="center"/>
    </xf>
    <xf numFmtId="49" fontId="87" fillId="37" borderId="0">
      <alignment horizontal="center"/>
    </xf>
    <xf numFmtId="190" fontId="18" fillId="0" borderId="0" applyBorder="0"/>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15" fontId="66" fillId="0" borderId="0" applyFont="0" applyFill="0" applyBorder="0" applyAlignment="0" applyProtection="0"/>
    <xf numFmtId="4" fontId="66" fillId="0" borderId="0" applyFont="0" applyFill="0" applyBorder="0" applyAlignment="0" applyProtection="0"/>
    <xf numFmtId="0" fontId="91" fillId="0" borderId="7">
      <alignment horizontal="center"/>
    </xf>
    <xf numFmtId="3" fontId="66" fillId="0" borderId="0" applyFont="0" applyFill="0" applyBorder="0" applyAlignment="0" applyProtection="0"/>
    <xf numFmtId="0" fontId="66" fillId="38" borderId="0" applyNumberFormat="0" applyFont="0" applyBorder="0" applyAlignment="0" applyProtection="0"/>
    <xf numFmtId="0" fontId="92" fillId="39" borderId="0">
      <alignment horizontal="center"/>
    </xf>
    <xf numFmtId="14" fontId="93" fillId="0" borderId="0" applyNumberFormat="0" applyFill="0" applyBorder="0" applyAlignment="0" applyProtection="0">
      <alignment horizontal="left"/>
    </xf>
    <xf numFmtId="0" fontId="72" fillId="0" borderId="0"/>
    <xf numFmtId="191" fontId="19" fillId="0" borderId="0" applyFill="0" applyBorder="0" applyAlignment="0" applyProtection="0"/>
    <xf numFmtId="11" fontId="19" fillId="0" borderId="0" applyFill="0" applyBorder="0" applyAlignment="0" applyProtection="0"/>
    <xf numFmtId="0" fontId="23" fillId="0" borderId="0">
      <alignment horizontal="centerContinuous"/>
    </xf>
    <xf numFmtId="0" fontId="19" fillId="40" borderId="0" applyNumberFormat="0" applyFont="0" applyBorder="0" applyAlignment="0" applyProtection="0"/>
    <xf numFmtId="0" fontId="45" fillId="0" borderId="0" applyNumberFormat="0" applyAlignment="0">
      <alignment horizontal="justify"/>
    </xf>
    <xf numFmtId="0" fontId="19" fillId="0" borderId="0" applyNumberFormat="0" applyFill="0" applyBorder="0" applyAlignment="0" applyProtection="0"/>
    <xf numFmtId="40" fontId="94" fillId="0" borderId="0" applyBorder="0">
      <alignment horizontal="right"/>
    </xf>
    <xf numFmtId="0" fontId="30" fillId="0" borderId="87">
      <alignment horizontal="left"/>
    </xf>
    <xf numFmtId="0" fontId="23" fillId="0" borderId="0">
      <alignment horizontal="centerContinuous"/>
    </xf>
    <xf numFmtId="0" fontId="95" fillId="0" borderId="0" applyNumberFormat="0" applyFill="0" applyBorder="0" applyAlignment="0" applyProtection="0"/>
    <xf numFmtId="0" fontId="96" fillId="0" borderId="0">
      <alignment horizontal="left" vertical="center"/>
    </xf>
    <xf numFmtId="0" fontId="97" fillId="0" borderId="0">
      <alignment horizontal="left" vertical="center"/>
    </xf>
    <xf numFmtId="192" fontId="98" fillId="0" borderId="0"/>
    <xf numFmtId="0" fontId="99" fillId="0" borderId="88" applyNumberFormat="0" applyFill="0" applyAlignment="0" applyProtection="0"/>
    <xf numFmtId="0" fontId="72" fillId="0" borderId="89"/>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61" fillId="0" borderId="78"/>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0" fontId="19" fillId="0" borderId="72" applyNumberFormat="0" applyFont="0" applyFill="0" applyAlignment="0" applyProtection="0"/>
    <xf numFmtId="37" fontId="18" fillId="5" borderId="0" applyNumberFormat="0" applyBorder="0" applyAlignment="0" applyProtection="0"/>
    <xf numFmtId="37" fontId="18" fillId="0" borderId="0"/>
    <xf numFmtId="37" fontId="18" fillId="2" borderId="0" applyNumberFormat="0" applyBorder="0" applyAlignment="0" applyProtection="0"/>
    <xf numFmtId="3" fontId="100" fillId="0" borderId="84" applyProtection="0"/>
    <xf numFmtId="0" fontId="101" fillId="0" borderId="0" applyNumberFormat="0" applyFill="0" applyBorder="0" applyAlignment="0" applyProtection="0"/>
    <xf numFmtId="9" fontId="54" fillId="0" borderId="0" applyFont="0" applyFill="0" applyBorder="0" applyAlignment="0" applyProtection="0"/>
    <xf numFmtId="0" fontId="19"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15" fillId="0" borderId="0"/>
    <xf numFmtId="0" fontId="123" fillId="0" borderId="0" applyNumberFormat="0" applyFill="0" applyBorder="0" applyAlignment="0" applyProtection="0"/>
    <xf numFmtId="0" fontId="124" fillId="0" borderId="91" applyNumberFormat="0" applyFill="0" applyAlignment="0" applyProtection="0"/>
    <xf numFmtId="0" fontId="125" fillId="0" borderId="92" applyNumberFormat="0" applyFill="0" applyAlignment="0" applyProtection="0"/>
    <xf numFmtId="0" fontId="126" fillId="0" borderId="93" applyNumberFormat="0" applyFill="0" applyAlignment="0" applyProtection="0"/>
    <xf numFmtId="0" fontId="126" fillId="0" borderId="0" applyNumberFormat="0" applyFill="0" applyBorder="0" applyAlignment="0" applyProtection="0"/>
    <xf numFmtId="0" fontId="127" fillId="43" borderId="0" applyNumberFormat="0" applyBorder="0" applyAlignment="0" applyProtection="0"/>
    <xf numFmtId="0" fontId="128" fillId="44" borderId="0" applyNumberFormat="0" applyBorder="0" applyAlignment="0" applyProtection="0"/>
    <xf numFmtId="0" fontId="129" fillId="45" borderId="0" applyNumberFormat="0" applyBorder="0" applyAlignment="0" applyProtection="0"/>
    <xf numFmtId="0" fontId="130" fillId="46" borderId="94" applyNumberFormat="0" applyAlignment="0" applyProtection="0"/>
    <xf numFmtId="0" fontId="131" fillId="47" borderId="95" applyNumberFormat="0" applyAlignment="0" applyProtection="0"/>
    <xf numFmtId="0" fontId="132" fillId="47" borderId="94" applyNumberFormat="0" applyAlignment="0" applyProtection="0"/>
    <xf numFmtId="0" fontId="133" fillId="0" borderId="96" applyNumberFormat="0" applyFill="0" applyAlignment="0" applyProtection="0"/>
    <xf numFmtId="0" fontId="134" fillId="48" borderId="97" applyNumberFormat="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7" fillId="0" borderId="98" applyNumberFormat="0" applyFill="0" applyAlignment="0" applyProtection="0"/>
    <xf numFmtId="0" fontId="138" fillId="49" borderId="0" applyNumberFormat="0" applyBorder="0" applyAlignment="0" applyProtection="0"/>
    <xf numFmtId="0" fontId="14" fillId="50" borderId="0" applyNumberFormat="0" applyBorder="0" applyAlignment="0" applyProtection="0"/>
    <xf numFmtId="0" fontId="14" fillId="51" borderId="0" applyNumberFormat="0" applyBorder="0" applyAlignment="0" applyProtection="0"/>
    <xf numFmtId="0" fontId="138" fillId="52" borderId="0" applyNumberFormat="0" applyBorder="0" applyAlignment="0" applyProtection="0"/>
    <xf numFmtId="0" fontId="138" fillId="53" borderId="0" applyNumberFormat="0" applyBorder="0" applyAlignment="0" applyProtection="0"/>
    <xf numFmtId="0" fontId="14" fillId="54" borderId="0" applyNumberFormat="0" applyBorder="0" applyAlignment="0" applyProtection="0"/>
    <xf numFmtId="0" fontId="14" fillId="55" borderId="0" applyNumberFormat="0" applyBorder="0" applyAlignment="0" applyProtection="0"/>
    <xf numFmtId="0" fontId="138" fillId="56" borderId="0" applyNumberFormat="0" applyBorder="0" applyAlignment="0" applyProtection="0"/>
    <xf numFmtId="0" fontId="138" fillId="57"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38" fillId="60" borderId="0" applyNumberFormat="0" applyBorder="0" applyAlignment="0" applyProtection="0"/>
    <xf numFmtId="0" fontId="138" fillId="61" borderId="0" applyNumberFormat="0" applyBorder="0" applyAlignment="0" applyProtection="0"/>
    <xf numFmtId="0" fontId="14" fillId="62" borderId="0" applyNumberFormat="0" applyBorder="0" applyAlignment="0" applyProtection="0"/>
    <xf numFmtId="0" fontId="14" fillId="63" borderId="0" applyNumberFormat="0" applyBorder="0" applyAlignment="0" applyProtection="0"/>
    <xf numFmtId="0" fontId="138" fillId="64" borderId="0" applyNumberFormat="0" applyBorder="0" applyAlignment="0" applyProtection="0"/>
    <xf numFmtId="0" fontId="138" fillId="65"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38" fillId="68" borderId="0" applyNumberFormat="0" applyBorder="0" applyAlignment="0" applyProtection="0"/>
    <xf numFmtId="0" fontId="138" fillId="69" borderId="0" applyNumberFormat="0" applyBorder="0" applyAlignment="0" applyProtection="0"/>
    <xf numFmtId="0" fontId="14" fillId="70" borderId="0" applyNumberFormat="0" applyBorder="0" applyAlignment="0" applyProtection="0"/>
    <xf numFmtId="0" fontId="14" fillId="71" borderId="0" applyNumberFormat="0" applyBorder="0" applyAlignment="0" applyProtection="0"/>
    <xf numFmtId="0" fontId="138" fillId="72" borderId="0" applyNumberFormat="0" applyBorder="0" applyAlignment="0" applyProtection="0"/>
    <xf numFmtId="0" fontId="14" fillId="0" borderId="0"/>
    <xf numFmtId="9" fontId="14" fillId="0" borderId="0" applyFont="0" applyFill="0" applyBorder="0" applyAlignment="0" applyProtection="0"/>
    <xf numFmtId="0" fontId="14" fillId="0" borderId="0"/>
    <xf numFmtId="0" fontId="14" fillId="8" borderId="76"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3" fillId="0" borderId="0"/>
    <xf numFmtId="0" fontId="19" fillId="0" borderId="0"/>
    <xf numFmtId="0" fontId="12" fillId="0" borderId="0"/>
    <xf numFmtId="0" fontId="54" fillId="8" borderId="76" applyNumberFormat="0" applyFont="0" applyAlignment="0" applyProtection="0"/>
    <xf numFmtId="0" fontId="54" fillId="8" borderId="76" applyNumberFormat="0" applyFont="0" applyAlignment="0" applyProtection="0"/>
    <xf numFmtId="0" fontId="54" fillId="8" borderId="76" applyNumberFormat="0" applyFont="0" applyAlignment="0" applyProtection="0"/>
    <xf numFmtId="0" fontId="54" fillId="8" borderId="76" applyNumberFormat="0" applyFont="0" applyAlignment="0" applyProtection="0"/>
    <xf numFmtId="0" fontId="54" fillId="8" borderId="76" applyNumberFormat="0" applyFont="0" applyAlignment="0" applyProtection="0"/>
    <xf numFmtId="0" fontId="87" fillId="0" borderId="0">
      <alignment horizontal="center"/>
    </xf>
    <xf numFmtId="0" fontId="11"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19" fillId="0" borderId="0"/>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19" fillId="0" borderId="0"/>
    <xf numFmtId="0" fontId="87" fillId="0" borderId="0">
      <alignment horizontal="center"/>
    </xf>
    <xf numFmtId="0" fontId="87" fillId="0" borderId="0">
      <alignment horizontal="center"/>
    </xf>
    <xf numFmtId="0" fontId="160" fillId="0" borderId="0" applyNumberFormat="0" applyFont="0" applyFill="0" applyBorder="0" applyAlignment="0" applyProtection="0">
      <alignment vertical="justify" textRotation="18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76" applyNumberFormat="0" applyFont="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24" fillId="0" borderId="132">
      <alignment horizontal="left" vertical="center"/>
    </xf>
    <xf numFmtId="10" fontId="18" fillId="31" borderId="126" applyNumberFormat="0" applyBorder="0" applyAlignment="0" applyProtection="0"/>
    <xf numFmtId="9" fontId="19" fillId="0" borderId="0" applyFont="0" applyFill="0" applyBorder="0" applyAlignment="0" applyProtection="0"/>
    <xf numFmtId="0" fontId="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173" fontId="54" fillId="0" borderId="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4" fillId="0" borderId="0" applyNumberFormat="0" applyFill="0" applyBorder="0" applyAlignment="0" applyProtection="0"/>
    <xf numFmtId="0" fontId="7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5"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8" fillId="0" borderId="0"/>
    <xf numFmtId="0" fontId="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5" fillId="0" borderId="0"/>
    <xf numFmtId="0" fontId="19" fillId="8" borderId="76" applyNumberFormat="0" applyFont="0" applyAlignment="0" applyProtection="0"/>
    <xf numFmtId="0" fontId="19" fillId="8" borderId="76"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54" fillId="74" borderId="141" applyNumberFormat="0" applyFont="0" applyAlignment="0" applyProtection="0"/>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19" fillId="0" borderId="0"/>
    <xf numFmtId="43" fontId="19" fillId="0" borderId="0" applyFont="0" applyFill="0" applyBorder="0" applyAlignment="0" applyProtection="0"/>
    <xf numFmtId="9" fontId="19" fillId="0" borderId="0" applyFont="0" applyFill="0" applyBorder="0" applyAlignment="0" applyProtection="0"/>
    <xf numFmtId="0" fontId="7" fillId="0" borderId="0"/>
    <xf numFmtId="0" fontId="7" fillId="0" borderId="0"/>
    <xf numFmtId="0" fontId="7" fillId="0" borderId="0"/>
    <xf numFmtId="0" fontId="87" fillId="0" borderId="0">
      <alignment horizontal="center"/>
    </xf>
    <xf numFmtId="9" fontId="19" fillId="0" borderId="0" applyFont="0" applyFill="0" applyBorder="0" applyAlignment="0" applyProtection="0"/>
    <xf numFmtId="43" fontId="19" fillId="0" borderId="0" applyFont="0" applyFill="0" applyBorder="0" applyAlignment="0" applyProtection="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9" fillId="0" borderId="0"/>
    <xf numFmtId="0" fontId="7" fillId="0" borderId="0"/>
    <xf numFmtId="0" fontId="7" fillId="0" borderId="0"/>
    <xf numFmtId="43" fontId="7" fillId="0" borderId="0" applyFont="0" applyFill="0" applyBorder="0" applyAlignment="0" applyProtection="0"/>
    <xf numFmtId="3" fontId="19" fillId="0" borderId="0" applyFont="0" applyFill="0" applyBorder="0" applyAlignment="0" applyProtection="0"/>
    <xf numFmtId="217" fontId="19" fillId="0" borderId="0" applyFont="0" applyFill="0" applyBorder="0" applyAlignment="0" applyProtection="0"/>
    <xf numFmtId="0" fontId="19" fillId="0" borderId="0" applyFont="0" applyFill="0" applyBorder="0" applyAlignment="0" applyProtection="0"/>
    <xf numFmtId="0" fontId="210" fillId="0" borderId="0" applyNumberFormat="0" applyFill="0" applyBorder="0" applyAlignment="0" applyProtection="0">
      <alignment horizontal="left"/>
    </xf>
    <xf numFmtId="0" fontId="24" fillId="0" borderId="164">
      <alignment horizontal="left" vertical="center"/>
    </xf>
    <xf numFmtId="0" fontId="208" fillId="0" borderId="0" applyNumberFormat="0" applyFill="0" applyBorder="0" applyAlignment="0" applyProtection="0">
      <alignment vertical="top"/>
      <protection locked="0"/>
    </xf>
    <xf numFmtId="10" fontId="18" fillId="31" borderId="142" applyNumberFormat="0" applyBorder="0" applyAlignment="0" applyProtection="0"/>
    <xf numFmtId="0" fontId="211" fillId="0" borderId="0"/>
    <xf numFmtId="0" fontId="175" fillId="0" borderId="0"/>
    <xf numFmtId="0" fontId="7" fillId="0" borderId="0"/>
    <xf numFmtId="218"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9" fontId="212" fillId="0" borderId="0"/>
    <xf numFmtId="219" fontId="212" fillId="0" borderId="0"/>
    <xf numFmtId="219" fontId="212" fillId="0" borderId="0"/>
    <xf numFmtId="0" fontId="7" fillId="0" borderId="0"/>
    <xf numFmtId="0" fontId="7" fillId="0" borderId="0"/>
    <xf numFmtId="0" fontId="7" fillId="0" borderId="0"/>
    <xf numFmtId="0" fontId="7" fillId="0" borderId="0"/>
    <xf numFmtId="0" fontId="7" fillId="0" borderId="0"/>
    <xf numFmtId="0" fontId="7" fillId="0" borderId="0"/>
    <xf numFmtId="219" fontId="212" fillId="0" borderId="0"/>
    <xf numFmtId="219" fontId="212" fillId="0" borderId="0"/>
    <xf numFmtId="219" fontId="212" fillId="0" borderId="0"/>
    <xf numFmtId="219" fontId="212" fillId="0" borderId="0"/>
    <xf numFmtId="0" fontId="7" fillId="0" borderId="0"/>
    <xf numFmtId="0" fontId="7" fillId="0" borderId="0"/>
    <xf numFmtId="0" fontId="7" fillId="0" borderId="0"/>
    <xf numFmtId="219" fontId="212" fillId="0" borderId="0"/>
    <xf numFmtId="219" fontId="212" fillId="0" borderId="0"/>
    <xf numFmtId="219" fontId="212" fillId="0" borderId="0"/>
    <xf numFmtId="0" fontId="19" fillId="0" borderId="0"/>
    <xf numFmtId="219" fontId="212" fillId="0" borderId="0"/>
    <xf numFmtId="219" fontId="212" fillId="0" borderId="0"/>
    <xf numFmtId="0" fontId="7" fillId="0" borderId="0"/>
    <xf numFmtId="0" fontId="7" fillId="0" borderId="0"/>
    <xf numFmtId="0" fontId="7" fillId="0" borderId="0"/>
    <xf numFmtId="0" fontId="7" fillId="0" borderId="0"/>
    <xf numFmtId="0" fontId="7" fillId="0" borderId="0"/>
    <xf numFmtId="0" fontId="7" fillId="0" borderId="0"/>
    <xf numFmtId="219" fontId="212" fillId="0" borderId="0"/>
    <xf numFmtId="219" fontId="212" fillId="0" borderId="0"/>
    <xf numFmtId="219" fontId="212"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219" fontId="212" fillId="0" borderId="0"/>
    <xf numFmtId="219" fontId="212" fillId="0" borderId="0"/>
    <xf numFmtId="0" fontId="19"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219" fontId="212" fillId="0" borderId="0"/>
    <xf numFmtId="219" fontId="212" fillId="0" borderId="0"/>
    <xf numFmtId="218" fontId="7" fillId="0" borderId="0"/>
    <xf numFmtId="218" fontId="7" fillId="0" borderId="0"/>
    <xf numFmtId="218" fontId="7" fillId="0" borderId="0"/>
    <xf numFmtId="218" fontId="7" fillId="0" borderId="0"/>
    <xf numFmtId="219" fontId="212" fillId="0" borderId="0"/>
    <xf numFmtId="219" fontId="212" fillId="0" borderId="0"/>
    <xf numFmtId="218" fontId="7" fillId="0" borderId="0"/>
    <xf numFmtId="218" fontId="7" fillId="0" borderId="0"/>
    <xf numFmtId="218" fontId="7" fillId="0" borderId="0"/>
    <xf numFmtId="218" fontId="7"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218" fontId="7" fillId="0" borderId="0"/>
    <xf numFmtId="218" fontId="7" fillId="0" borderId="0"/>
    <xf numFmtId="218" fontId="7" fillId="0" borderId="0"/>
    <xf numFmtId="219" fontId="212" fillId="0" borderId="0"/>
    <xf numFmtId="218" fontId="7" fillId="0" borderId="0"/>
    <xf numFmtId="218" fontId="7" fillId="0" borderId="0"/>
    <xf numFmtId="218" fontId="7" fillId="0" borderId="0"/>
    <xf numFmtId="218" fontId="7"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0" fontId="18" fillId="31" borderId="207" applyNumberFormat="0" applyBorder="0" applyAlignment="0" applyProtection="0"/>
    <xf numFmtId="0" fontId="24" fillId="0" borderId="206">
      <alignment horizontal="lef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1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7" fillId="0" borderId="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74" borderId="201" applyNumberFormat="0" applyFont="0" applyAlignment="0" applyProtection="0"/>
    <xf numFmtId="0" fontId="54" fillId="74" borderId="201" applyNumberFormat="0" applyFont="0" applyAlignment="0" applyProtection="0"/>
    <xf numFmtId="0" fontId="54" fillId="74" borderId="201" applyNumberFormat="0" applyFont="0" applyAlignment="0" applyProtection="0"/>
    <xf numFmtId="0" fontId="54" fillId="74" borderId="201" applyNumberFormat="0" applyFont="0" applyAlignment="0" applyProtection="0"/>
    <xf numFmtId="0" fontId="54" fillId="74" borderId="201" applyNumberFormat="0" applyFont="0" applyAlignment="0" applyProtection="0"/>
    <xf numFmtId="0" fontId="54" fillId="74" borderId="201" applyNumberFormat="0" applyFont="0" applyAlignment="0" applyProtection="0"/>
    <xf numFmtId="43" fontId="7" fillId="0" borderId="0" applyFont="0" applyFill="0" applyBorder="0" applyAlignment="0" applyProtection="0"/>
    <xf numFmtId="10" fontId="18" fillId="31" borderId="202"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74" borderId="203" applyNumberFormat="0" applyFont="0" applyAlignment="0" applyProtection="0"/>
    <xf numFmtId="0" fontId="54" fillId="74" borderId="203" applyNumberFormat="0" applyFont="0" applyAlignment="0" applyProtection="0"/>
    <xf numFmtId="0" fontId="54" fillId="74" borderId="203" applyNumberFormat="0" applyFont="0" applyAlignment="0" applyProtection="0"/>
    <xf numFmtId="0" fontId="54" fillId="74" borderId="203" applyNumberFormat="0" applyFont="0" applyAlignment="0" applyProtection="0"/>
    <xf numFmtId="0" fontId="54" fillId="74" borderId="203" applyNumberFormat="0" applyFont="0" applyAlignment="0" applyProtection="0"/>
    <xf numFmtId="0" fontId="54" fillId="74" borderId="203" applyNumberFormat="0" applyFont="0" applyAlignment="0" applyProtection="0"/>
    <xf numFmtId="0" fontId="7" fillId="0" borderId="0"/>
    <xf numFmtId="0" fontId="65" fillId="0" borderId="200" applyNumberFormat="0" applyFill="0" applyProtection="0">
      <alignment horizontal="center"/>
    </xf>
    <xf numFmtId="0" fontId="24" fillId="0" borderId="204">
      <alignment horizontal="left" vertical="center"/>
    </xf>
    <xf numFmtId="0" fontId="24" fillId="0" borderId="204">
      <alignment horizontal="left" vertical="center"/>
    </xf>
    <xf numFmtId="0" fontId="208" fillId="0" borderId="0" applyNumberFormat="0" applyFill="0" applyBorder="0" applyAlignment="0" applyProtection="0">
      <alignment vertical="top"/>
      <protection locked="0"/>
    </xf>
    <xf numFmtId="10" fontId="18" fillId="31" borderId="142" applyNumberFormat="0" applyBorder="0" applyAlignment="0" applyProtection="0"/>
    <xf numFmtId="10" fontId="18" fillId="31" borderId="142" applyNumberFormat="0" applyBorder="0" applyAlignment="0" applyProtection="0"/>
    <xf numFmtId="10" fontId="18" fillId="31" borderId="142" applyNumberFormat="0" applyBorder="0" applyAlignment="0" applyProtection="0"/>
    <xf numFmtId="0" fontId="211" fillId="0" borderId="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54" fillId="74" borderId="205" applyNumberFormat="0" applyFont="0" applyAlignment="0" applyProtection="0"/>
    <xf numFmtId="0" fontId="7" fillId="0" borderId="0"/>
    <xf numFmtId="0" fontId="7" fillId="0" borderId="0"/>
    <xf numFmtId="0" fontId="19" fillId="0" borderId="0"/>
    <xf numFmtId="0" fontId="19" fillId="0" borderId="0"/>
    <xf numFmtId="0" fontId="54" fillId="74" borderId="208" applyNumberFormat="0" applyFont="0" applyAlignment="0" applyProtection="0"/>
    <xf numFmtId="0" fontId="54" fillId="74" borderId="208" applyNumberFormat="0" applyFont="0" applyAlignment="0" applyProtection="0"/>
    <xf numFmtId="0" fontId="54" fillId="74" borderId="208" applyNumberFormat="0" applyFont="0" applyAlignment="0" applyProtection="0"/>
    <xf numFmtId="0" fontId="54" fillId="74" borderId="208" applyNumberFormat="0" applyFont="0" applyAlignment="0" applyProtection="0"/>
    <xf numFmtId="0" fontId="54" fillId="74" borderId="208" applyNumberFormat="0" applyFont="0" applyAlignment="0" applyProtection="0"/>
    <xf numFmtId="0" fontId="54" fillId="74" borderId="208" applyNumberFormat="0" applyFont="0" applyAlignment="0" applyProtection="0"/>
    <xf numFmtId="10" fontId="18" fillId="31" borderId="209" applyNumberFormat="0" applyBorder="0" applyAlignment="0" applyProtection="0"/>
    <xf numFmtId="0" fontId="54" fillId="74" borderId="210" applyNumberFormat="0" applyFont="0" applyAlignment="0" applyProtection="0"/>
    <xf numFmtId="0" fontId="54" fillId="74" borderId="210" applyNumberFormat="0" applyFont="0" applyAlignment="0" applyProtection="0"/>
    <xf numFmtId="0" fontId="54" fillId="74" borderId="210" applyNumberFormat="0" applyFont="0" applyAlignment="0" applyProtection="0"/>
    <xf numFmtId="0" fontId="54" fillId="74" borderId="210" applyNumberFormat="0" applyFont="0" applyAlignment="0" applyProtection="0"/>
    <xf numFmtId="0" fontId="54" fillId="74" borderId="210" applyNumberFormat="0" applyFont="0" applyAlignment="0" applyProtection="0"/>
    <xf numFmtId="0" fontId="54" fillId="74" borderId="210" applyNumberFormat="0" applyFont="0" applyAlignment="0" applyProtection="0"/>
    <xf numFmtId="0" fontId="24" fillId="0" borderId="211">
      <alignment horizontal="left" vertical="center"/>
    </xf>
    <xf numFmtId="0" fontId="24" fillId="0" borderId="211">
      <alignment horizontal="left" vertical="center"/>
    </xf>
    <xf numFmtId="10" fontId="18" fillId="31" borderId="207" applyNumberFormat="0" applyBorder="0" applyAlignment="0" applyProtection="0"/>
    <xf numFmtId="10" fontId="18" fillId="31" borderId="207" applyNumberFormat="0" applyBorder="0" applyAlignment="0" applyProtection="0"/>
    <xf numFmtId="10" fontId="18" fillId="31" borderId="207" applyNumberFormat="0" applyBorder="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54" fillId="74" borderId="212" applyNumberFormat="0" applyFont="0" applyAlignment="0" applyProtection="0"/>
    <xf numFmtId="0" fontId="19" fillId="0" borderId="209" applyNumberFormat="0" applyFon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0" fontId="18" fillId="31" borderId="209" applyNumberFormat="0" applyBorder="0" applyAlignment="0" applyProtection="0"/>
    <xf numFmtId="10" fontId="30" fillId="31" borderId="209"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7" fillId="0" borderId="0">
      <alignment horizontal="center"/>
    </xf>
    <xf numFmtId="0" fontId="87" fillId="0"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218" fillId="0" borderId="0" applyFont="0" applyFill="0" applyBorder="0" applyAlignment="0" applyProtection="0"/>
    <xf numFmtId="0" fontId="5" fillId="0" borderId="0"/>
    <xf numFmtId="0" fontId="87" fillId="0" borderId="0">
      <alignment horizontal="center"/>
    </xf>
    <xf numFmtId="0" fontId="87" fillId="0" borderId="0">
      <alignment horizontal="center"/>
    </xf>
    <xf numFmtId="0" fontId="87" fillId="0" borderId="0">
      <alignment horizontal="center"/>
    </xf>
    <xf numFmtId="0" fontId="1" fillId="0" borderId="0"/>
    <xf numFmtId="0" fontId="19" fillId="0" borderId="0"/>
    <xf numFmtId="0" fontId="60" fillId="86" borderId="0"/>
    <xf numFmtId="9" fontId="1" fillId="0" borderId="0" applyFont="0" applyFill="0" applyBorder="0" applyAlignment="0" applyProtection="0"/>
    <xf numFmtId="192" fontId="62" fillId="0" borderId="0"/>
    <xf numFmtId="9" fontId="237" fillId="0" borderId="0" applyFont="0" applyFill="0" applyBorder="0" applyAlignment="0" applyProtection="0"/>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xf numFmtId="0" fontId="87" fillId="0" borderId="0">
      <alignment horizontal="center"/>
    </xf>
  </cellStyleXfs>
  <cellXfs count="5360">
    <xf numFmtId="0" fontId="0" fillId="0" borderId="0" xfId="0"/>
    <xf numFmtId="0" fontId="20" fillId="0" borderId="0" xfId="0" applyFont="1"/>
    <xf numFmtId="0" fontId="20" fillId="0" borderId="0" xfId="0" applyFont="1" applyAlignment="1">
      <alignment horizontal="center" vertical="center"/>
    </xf>
    <xf numFmtId="0" fontId="0" fillId="4" borderId="0" xfId="0" applyFill="1"/>
    <xf numFmtId="0" fontId="26" fillId="0" borderId="0" xfId="0" applyFont="1" applyAlignment="1">
      <alignment horizontal="center"/>
    </xf>
    <xf numFmtId="0" fontId="31" fillId="0" borderId="0" xfId="0" applyFont="1" applyBorder="1" applyAlignment="1">
      <alignment vertical="center"/>
    </xf>
    <xf numFmtId="0" fontId="31" fillId="0" borderId="2" xfId="0" applyFont="1" applyBorder="1" applyAlignment="1">
      <alignment vertical="center"/>
    </xf>
    <xf numFmtId="0" fontId="20" fillId="0" borderId="0" xfId="0" applyFont="1"/>
    <xf numFmtId="2" fontId="20" fillId="0" borderId="0" xfId="0" applyNumberFormat="1" applyFont="1"/>
    <xf numFmtId="0" fontId="34" fillId="0" borderId="0" xfId="0" applyFont="1"/>
    <xf numFmtId="0" fontId="40" fillId="0" borderId="0" xfId="0" applyFont="1" applyAlignment="1">
      <alignment horizontal="center" vertical="center"/>
    </xf>
    <xf numFmtId="0" fontId="33" fillId="0" borderId="0" xfId="0" applyFont="1" applyAlignment="1">
      <alignment horizontal="center" vertical="center"/>
    </xf>
    <xf numFmtId="0" fontId="0" fillId="0" borderId="0" xfId="0"/>
    <xf numFmtId="0" fontId="20" fillId="0" borderId="0" xfId="0" applyFont="1"/>
    <xf numFmtId="0" fontId="20" fillId="6" borderId="1" xfId="0" applyFont="1" applyFill="1" applyBorder="1"/>
    <xf numFmtId="0" fontId="20" fillId="6" borderId="2" xfId="0" applyFont="1" applyFill="1" applyBorder="1"/>
    <xf numFmtId="0" fontId="20" fillId="6" borderId="3" xfId="0" applyFont="1" applyFill="1" applyBorder="1"/>
    <xf numFmtId="0" fontId="20" fillId="6" borderId="4" xfId="0" applyFont="1" applyFill="1" applyBorder="1"/>
    <xf numFmtId="0" fontId="20" fillId="6" borderId="5" xfId="0" applyFont="1" applyFill="1" applyBorder="1"/>
    <xf numFmtId="0" fontId="20" fillId="6" borderId="6" xfId="0" applyFont="1" applyFill="1" applyBorder="1"/>
    <xf numFmtId="0" fontId="20" fillId="6" borderId="8" xfId="0" applyFont="1" applyFill="1" applyBorder="1"/>
    <xf numFmtId="0" fontId="20" fillId="6" borderId="4" xfId="0" applyFont="1" applyFill="1" applyBorder="1" applyAlignment="1">
      <alignment horizontal="center" vertical="center"/>
    </xf>
    <xf numFmtId="0" fontId="20" fillId="6" borderId="5" xfId="0" applyFont="1" applyFill="1" applyBorder="1" applyAlignment="1">
      <alignment horizontal="center" vertical="center"/>
    </xf>
    <xf numFmtId="0" fontId="34" fillId="6" borderId="4" xfId="0" applyFont="1" applyFill="1" applyBorder="1"/>
    <xf numFmtId="0" fontId="34" fillId="6" borderId="5" xfId="0" applyFont="1" applyFill="1" applyBorder="1"/>
    <xf numFmtId="0" fontId="26" fillId="6" borderId="7" xfId="0" applyFont="1" applyFill="1" applyBorder="1" applyAlignment="1">
      <alignment horizontal="center"/>
    </xf>
    <xf numFmtId="0" fontId="40" fillId="4" borderId="0" xfId="0" applyFont="1" applyFill="1" applyAlignment="1">
      <alignment vertical="center"/>
    </xf>
    <xf numFmtId="0" fontId="46" fillId="0" borderId="0" xfId="0" applyFont="1" applyAlignment="1">
      <alignment vertical="center"/>
    </xf>
    <xf numFmtId="0" fontId="20" fillId="0" borderId="0" xfId="0" applyFont="1"/>
    <xf numFmtId="0" fontId="20" fillId="6" borderId="2" xfId="0" applyFont="1" applyFill="1" applyBorder="1"/>
    <xf numFmtId="0" fontId="0" fillId="6" borderId="0" xfId="0" applyFill="1" applyBorder="1"/>
    <xf numFmtId="0" fontId="20" fillId="6" borderId="6" xfId="0" applyFont="1" applyFill="1" applyBorder="1"/>
    <xf numFmtId="0" fontId="20" fillId="6" borderId="3" xfId="0" applyFont="1" applyFill="1" applyBorder="1"/>
    <xf numFmtId="0" fontId="20" fillId="6" borderId="1" xfId="0" applyFont="1" applyFill="1" applyBorder="1"/>
    <xf numFmtId="0" fontId="20" fillId="6" borderId="2" xfId="0" applyFont="1" applyFill="1" applyBorder="1"/>
    <xf numFmtId="0" fontId="20" fillId="0" borderId="0" xfId="0" applyFont="1"/>
    <xf numFmtId="0" fontId="20" fillId="6" borderId="4" xfId="0" applyFont="1" applyFill="1" applyBorder="1"/>
    <xf numFmtId="0" fontId="20" fillId="6" borderId="5" xfId="0" applyFont="1" applyFill="1" applyBorder="1"/>
    <xf numFmtId="0" fontId="20" fillId="0" borderId="0" xfId="0" applyFont="1"/>
    <xf numFmtId="0" fontId="20" fillId="6" borderId="7" xfId="0" applyFont="1" applyFill="1" applyBorder="1"/>
    <xf numFmtId="0" fontId="20" fillId="6" borderId="8" xfId="0" applyFont="1" applyFill="1" applyBorder="1"/>
    <xf numFmtId="0" fontId="20" fillId="4" borderId="0" xfId="0" applyFont="1" applyFill="1"/>
    <xf numFmtId="0" fontId="19" fillId="0" borderId="0" xfId="0" applyFont="1"/>
    <xf numFmtId="0" fontId="20" fillId="6" borderId="0" xfId="0" applyFont="1" applyFill="1" applyBorder="1"/>
    <xf numFmtId="0" fontId="20" fillId="6" borderId="5" xfId="0" applyFont="1" applyFill="1" applyBorder="1"/>
    <xf numFmtId="0" fontId="34" fillId="4" borderId="20" xfId="0" applyFont="1" applyFill="1" applyBorder="1" applyAlignment="1">
      <alignment horizontal="center" vertical="center"/>
    </xf>
    <xf numFmtId="0" fontId="34" fillId="4" borderId="45" xfId="0" applyFont="1" applyFill="1" applyBorder="1" applyAlignment="1">
      <alignment horizontal="center" vertical="center"/>
    </xf>
    <xf numFmtId="0" fontId="0" fillId="0" borderId="0" xfId="0"/>
    <xf numFmtId="0" fontId="19" fillId="0" borderId="0" xfId="1"/>
    <xf numFmtId="0" fontId="19" fillId="0" borderId="0" xfId="1" applyFont="1"/>
    <xf numFmtId="0" fontId="19" fillId="0" borderId="0" xfId="1" applyFill="1"/>
    <xf numFmtId="0" fontId="20" fillId="6" borderId="5" xfId="1" applyFont="1" applyFill="1" applyBorder="1"/>
    <xf numFmtId="0" fontId="19" fillId="0" borderId="0" xfId="1" applyBorder="1"/>
    <xf numFmtId="0" fontId="20" fillId="7" borderId="0" xfId="0" applyFont="1" applyFill="1"/>
    <xf numFmtId="0" fontId="20" fillId="6" borderId="4" xfId="0" applyFont="1" applyFill="1" applyBorder="1" applyAlignment="1">
      <alignment horizontal="center" vertical="center"/>
    </xf>
    <xf numFmtId="0" fontId="27" fillId="0" borderId="0" xfId="63" applyFont="1" applyAlignment="1">
      <alignment horizontal="center"/>
    </xf>
    <xf numFmtId="0" fontId="19" fillId="0" borderId="0" xfId="63"/>
    <xf numFmtId="0" fontId="19" fillId="0" borderId="0" xfId="63" applyBorder="1" applyAlignment="1"/>
    <xf numFmtId="0" fontId="19" fillId="0" borderId="49" xfId="63" applyBorder="1" applyAlignment="1"/>
    <xf numFmtId="0" fontId="19" fillId="0" borderId="0" xfId="63" applyBorder="1"/>
    <xf numFmtId="0" fontId="30" fillId="0" borderId="0" xfId="63" applyFont="1" applyBorder="1"/>
    <xf numFmtId="0" fontId="48" fillId="0" borderId="0" xfId="63" applyFont="1"/>
    <xf numFmtId="0" fontId="18" fillId="0" borderId="0" xfId="63" applyFont="1"/>
    <xf numFmtId="0" fontId="19" fillId="0" borderId="66" xfId="63" applyBorder="1"/>
    <xf numFmtId="0" fontId="45" fillId="0" borderId="0" xfId="63" applyFont="1" applyBorder="1" applyAlignment="1"/>
    <xf numFmtId="0" fontId="45" fillId="0" borderId="49" xfId="63" applyFont="1" applyBorder="1" applyAlignment="1"/>
    <xf numFmtId="0" fontId="45" fillId="0" borderId="0" xfId="63" applyFont="1"/>
    <xf numFmtId="0" fontId="53" fillId="0" borderId="0" xfId="63" applyFont="1" applyBorder="1" applyAlignment="1"/>
    <xf numFmtId="0" fontId="45" fillId="0" borderId="0" xfId="63" applyFont="1" applyBorder="1"/>
    <xf numFmtId="0" fontId="53" fillId="0" borderId="56" xfId="63" applyFont="1" applyBorder="1" applyAlignment="1"/>
    <xf numFmtId="0" fontId="53" fillId="0" borderId="0" xfId="63" applyFont="1"/>
    <xf numFmtId="0" fontId="53" fillId="3" borderId="16" xfId="63" applyFont="1" applyFill="1" applyBorder="1" applyAlignment="1">
      <alignment vertical="center" wrapText="1"/>
    </xf>
    <xf numFmtId="0" fontId="53" fillId="3" borderId="15" xfId="63" applyFont="1" applyFill="1" applyBorder="1" applyAlignment="1">
      <alignment vertical="center" wrapText="1"/>
    </xf>
    <xf numFmtId="0" fontId="58" fillId="3" borderId="15" xfId="63" applyFont="1" applyFill="1" applyBorder="1" applyAlignment="1">
      <alignment horizontal="center" vertical="center" wrapText="1"/>
    </xf>
    <xf numFmtId="0" fontId="53" fillId="0" borderId="0" xfId="63" applyFont="1" applyAlignment="1">
      <alignment vertical="center" wrapText="1"/>
    </xf>
    <xf numFmtId="0" fontId="53" fillId="3" borderId="17" xfId="63" applyFont="1" applyFill="1" applyBorder="1" applyAlignment="1">
      <alignment vertical="center" wrapText="1"/>
    </xf>
    <xf numFmtId="0" fontId="45" fillId="0" borderId="0" xfId="63" applyFont="1" applyAlignment="1">
      <alignment vertical="center" wrapText="1"/>
    </xf>
    <xf numFmtId="0" fontId="103" fillId="0" borderId="0" xfId="63" applyFont="1" applyFill="1" applyBorder="1" applyAlignment="1">
      <alignment wrapText="1"/>
    </xf>
    <xf numFmtId="0" fontId="45" fillId="0" borderId="0" xfId="63" applyFont="1" applyFill="1"/>
    <xf numFmtId="0" fontId="110" fillId="0" borderId="16" xfId="63" applyFont="1" applyFill="1" applyBorder="1" applyAlignment="1">
      <alignment horizontal="center" vertical="center" wrapText="1"/>
    </xf>
    <xf numFmtId="0" fontId="110" fillId="0" borderId="17" xfId="63" applyFont="1" applyFill="1" applyBorder="1" applyAlignment="1">
      <alignment horizontal="center" vertical="center" wrapText="1"/>
    </xf>
    <xf numFmtId="0" fontId="110" fillId="0" borderId="46" xfId="63" applyFont="1" applyFill="1" applyBorder="1" applyAlignment="1">
      <alignment horizontal="center" vertical="center" wrapText="1"/>
    </xf>
    <xf numFmtId="0" fontId="110" fillId="0" borderId="48" xfId="63" applyFont="1" applyFill="1" applyBorder="1" applyAlignment="1">
      <alignment horizontal="center" vertical="center" wrapText="1"/>
    </xf>
    <xf numFmtId="0" fontId="110" fillId="0" borderId="55" xfId="63" applyFont="1" applyFill="1" applyBorder="1" applyAlignment="1">
      <alignment horizontal="center" vertical="center" wrapText="1"/>
    </xf>
    <xf numFmtId="0" fontId="110" fillId="0" borderId="50" xfId="63" applyFont="1" applyFill="1" applyBorder="1" applyAlignment="1">
      <alignment horizontal="center" vertical="center" wrapText="1"/>
    </xf>
    <xf numFmtId="0" fontId="45" fillId="0" borderId="16" xfId="63" applyFont="1" applyFill="1" applyBorder="1" applyAlignment="1">
      <alignment horizontal="center" vertical="center"/>
    </xf>
    <xf numFmtId="0" fontId="45" fillId="0" borderId="17" xfId="63" applyFont="1" applyFill="1" applyBorder="1" applyAlignment="1">
      <alignment horizontal="center" vertical="center"/>
    </xf>
    <xf numFmtId="0" fontId="45" fillId="0" borderId="46" xfId="63" applyFont="1" applyFill="1" applyBorder="1" applyAlignment="1">
      <alignment horizontal="center" vertical="center"/>
    </xf>
    <xf numFmtId="0" fontId="45" fillId="0" borderId="48" xfId="63" applyFont="1" applyFill="1" applyBorder="1" applyAlignment="1">
      <alignment horizontal="center" vertical="center"/>
    </xf>
    <xf numFmtId="0" fontId="45" fillId="0" borderId="46" xfId="63" applyFont="1" applyFill="1" applyBorder="1" applyAlignment="1">
      <alignment horizontal="center" vertical="center" wrapText="1"/>
    </xf>
    <xf numFmtId="0" fontId="45" fillId="0" borderId="48" xfId="63" applyFont="1" applyFill="1" applyBorder="1" applyAlignment="1">
      <alignment horizontal="center" vertical="center" wrapText="1"/>
    </xf>
    <xf numFmtId="0" fontId="45" fillId="0" borderId="16" xfId="63" applyFont="1" applyFill="1" applyBorder="1" applyAlignment="1">
      <alignment horizontal="center" vertical="center" wrapText="1"/>
    </xf>
    <xf numFmtId="0" fontId="45" fillId="0" borderId="17" xfId="63" applyFont="1" applyFill="1" applyBorder="1" applyAlignment="1">
      <alignment horizontal="center" vertical="center" wrapText="1"/>
    </xf>
    <xf numFmtId="2" fontId="45" fillId="0" borderId="46" xfId="63" applyNumberFormat="1" applyFont="1" applyFill="1" applyBorder="1" applyAlignment="1">
      <alignment horizontal="center" vertical="center"/>
    </xf>
    <xf numFmtId="2" fontId="45" fillId="0" borderId="48" xfId="63" applyNumberFormat="1" applyFont="1" applyFill="1" applyBorder="1" applyAlignment="1">
      <alignment horizontal="center" vertical="center"/>
    </xf>
    <xf numFmtId="2" fontId="45" fillId="0" borderId="16" xfId="63" applyNumberFormat="1" applyFont="1" applyFill="1" applyBorder="1" applyAlignment="1">
      <alignment horizontal="center" vertical="center"/>
    </xf>
    <xf numFmtId="2" fontId="45" fillId="0" borderId="17" xfId="63" applyNumberFormat="1" applyFont="1" applyFill="1" applyBorder="1" applyAlignment="1">
      <alignment horizontal="center" vertical="center"/>
    </xf>
    <xf numFmtId="0" fontId="45" fillId="0" borderId="18" xfId="63" applyFont="1" applyFill="1" applyBorder="1" applyAlignment="1">
      <alignment horizontal="center" vertical="center" wrapText="1"/>
    </xf>
    <xf numFmtId="0" fontId="45" fillId="0" borderId="20" xfId="63" applyFont="1" applyFill="1" applyBorder="1" applyAlignment="1">
      <alignment horizontal="center" vertical="center" wrapText="1"/>
    </xf>
    <xf numFmtId="0" fontId="45" fillId="0" borderId="43" xfId="63" applyFont="1" applyFill="1" applyBorder="1" applyAlignment="1">
      <alignment horizontal="center" vertical="center" wrapText="1"/>
    </xf>
    <xf numFmtId="0" fontId="45" fillId="0" borderId="45" xfId="63" applyFont="1" applyFill="1" applyBorder="1" applyAlignment="1">
      <alignment horizontal="center" vertical="center" wrapText="1"/>
    </xf>
    <xf numFmtId="0" fontId="58" fillId="0" borderId="0" xfId="63" applyFont="1" applyFill="1" applyAlignment="1">
      <alignment horizontal="left"/>
    </xf>
    <xf numFmtId="0" fontId="110" fillId="0" borderId="49" xfId="63" applyFont="1" applyFill="1" applyBorder="1" applyAlignment="1">
      <alignment horizontal="center" vertical="center" wrapText="1"/>
    </xf>
    <xf numFmtId="0" fontId="110" fillId="0" borderId="69" xfId="63" applyFont="1" applyFill="1" applyBorder="1" applyAlignment="1">
      <alignment horizontal="center" vertical="center" wrapText="1"/>
    </xf>
    <xf numFmtId="2" fontId="45" fillId="0" borderId="17" xfId="63" applyNumberFormat="1" applyFont="1" applyFill="1" applyBorder="1" applyAlignment="1">
      <alignment horizontal="center" vertical="center" wrapText="1"/>
    </xf>
    <xf numFmtId="0" fontId="110" fillId="0" borderId="6" xfId="63" applyFont="1" applyFill="1" applyBorder="1" applyAlignment="1">
      <alignment horizontal="center" vertical="center" wrapText="1"/>
    </xf>
    <xf numFmtId="0" fontId="53" fillId="0" borderId="0" xfId="63" applyFont="1" applyFill="1"/>
    <xf numFmtId="0" fontId="45" fillId="0" borderId="0" xfId="63" applyFont="1" applyFill="1" applyAlignment="1">
      <alignment horizontal="left"/>
    </xf>
    <xf numFmtId="0" fontId="109" fillId="0" borderId="26" xfId="63" applyFont="1" applyFill="1" applyBorder="1" applyAlignment="1">
      <alignment horizontal="center" vertical="center" wrapText="1"/>
    </xf>
    <xf numFmtId="0" fontId="58" fillId="0" borderId="0" xfId="63" applyNumberFormat="1" applyFont="1" applyFill="1"/>
    <xf numFmtId="0" fontId="110" fillId="0" borderId="38" xfId="63" applyFont="1" applyFill="1" applyBorder="1" applyAlignment="1">
      <alignment horizontal="center" vertical="center" wrapText="1"/>
    </xf>
    <xf numFmtId="0" fontId="110" fillId="0" borderId="15" xfId="63" applyFont="1" applyFill="1" applyBorder="1" applyAlignment="1">
      <alignment horizontal="center" vertical="center" wrapText="1"/>
    </xf>
    <xf numFmtId="0" fontId="109" fillId="42" borderId="16" xfId="63" applyFont="1" applyFill="1" applyBorder="1" applyAlignment="1">
      <alignment horizontal="center" vertical="center" wrapText="1"/>
    </xf>
    <xf numFmtId="0" fontId="109" fillId="42" borderId="48" xfId="63" applyFont="1" applyFill="1" applyBorder="1" applyAlignment="1">
      <alignment horizontal="center" vertical="center" wrapText="1"/>
    </xf>
    <xf numFmtId="0" fontId="45" fillId="42" borderId="16" xfId="63" applyFont="1" applyFill="1" applyBorder="1" applyAlignment="1">
      <alignment horizontal="center" vertical="center" wrapText="1"/>
    </xf>
    <xf numFmtId="0" fontId="45" fillId="42" borderId="17" xfId="63" applyFont="1" applyFill="1" applyBorder="1" applyAlignment="1">
      <alignment horizontal="center" vertical="center" wrapText="1"/>
    </xf>
    <xf numFmtId="0" fontId="102" fillId="0" borderId="21" xfId="63" applyFont="1" applyFill="1" applyBorder="1" applyAlignment="1">
      <alignment horizontal="center" vertical="center"/>
    </xf>
    <xf numFmtId="0" fontId="109" fillId="0" borderId="62" xfId="63" applyFont="1" applyFill="1" applyBorder="1" applyAlignment="1">
      <alignment horizontal="center" vertical="center" wrapText="1"/>
    </xf>
    <xf numFmtId="0" fontId="45" fillId="42" borderId="46" xfId="63" applyFont="1" applyFill="1" applyBorder="1" applyAlignment="1">
      <alignment horizontal="center" vertical="center" wrapText="1"/>
    </xf>
    <xf numFmtId="0" fontId="45" fillId="42" borderId="15" xfId="63" applyFont="1" applyFill="1" applyBorder="1" applyAlignment="1">
      <alignment horizontal="center" vertical="center" wrapText="1"/>
    </xf>
    <xf numFmtId="164" fontId="45" fillId="42" borderId="15" xfId="63" applyNumberFormat="1" applyFont="1" applyFill="1" applyBorder="1" applyAlignment="1">
      <alignment horizontal="center" vertical="center" wrapText="1"/>
    </xf>
    <xf numFmtId="0" fontId="103" fillId="0" borderId="0" xfId="63" applyFont="1" applyAlignment="1"/>
    <xf numFmtId="0" fontId="45" fillId="3" borderId="16" xfId="63" applyFont="1" applyFill="1" applyBorder="1" applyAlignment="1">
      <alignment horizontal="center" vertical="center" wrapText="1"/>
    </xf>
    <xf numFmtId="0" fontId="45" fillId="3" borderId="15" xfId="63" applyFont="1" applyFill="1" applyBorder="1" applyAlignment="1">
      <alignment horizontal="center" vertical="center" wrapText="1"/>
    </xf>
    <xf numFmtId="0" fontId="45" fillId="3" borderId="15" xfId="63" applyNumberFormat="1" applyFont="1" applyFill="1" applyBorder="1" applyAlignment="1">
      <alignment horizontal="center" vertical="center" wrapText="1"/>
    </xf>
    <xf numFmtId="0" fontId="45" fillId="3" borderId="17" xfId="63" applyFont="1" applyFill="1" applyBorder="1" applyAlignment="1">
      <alignment horizontal="center" vertical="center" wrapText="1"/>
    </xf>
    <xf numFmtId="0" fontId="45" fillId="0" borderId="66" xfId="63" applyFont="1" applyBorder="1"/>
    <xf numFmtId="0" fontId="58" fillId="0" borderId="0" xfId="63" applyFont="1"/>
    <xf numFmtId="0" fontId="58" fillId="0" borderId="0" xfId="63" applyFont="1" applyBorder="1" applyAlignment="1"/>
    <xf numFmtId="0" fontId="110" fillId="0" borderId="66" xfId="63" applyFont="1" applyBorder="1" applyAlignment="1">
      <alignment horizontal="center" vertical="center" wrapText="1"/>
    </xf>
    <xf numFmtId="0" fontId="58" fillId="0" borderId="0" xfId="63" applyFont="1" applyBorder="1"/>
    <xf numFmtId="38" fontId="58" fillId="3" borderId="15" xfId="63" applyNumberFormat="1" applyFont="1" applyFill="1" applyBorder="1" applyAlignment="1">
      <alignment horizontal="center" vertical="center" wrapText="1"/>
    </xf>
    <xf numFmtId="3" fontId="58" fillId="3" borderId="15" xfId="63" applyNumberFormat="1" applyFont="1" applyFill="1" applyBorder="1" applyAlignment="1">
      <alignment horizontal="center" vertical="center" wrapText="1"/>
    </xf>
    <xf numFmtId="2" fontId="58" fillId="3" borderId="17" xfId="63" applyNumberFormat="1" applyFont="1" applyFill="1" applyBorder="1" applyAlignment="1">
      <alignment horizontal="center" vertical="center" wrapText="1"/>
    </xf>
    <xf numFmtId="0" fontId="58" fillId="3" borderId="16" xfId="63" applyFont="1" applyFill="1" applyBorder="1" applyAlignment="1">
      <alignment horizontal="center" vertical="center" wrapText="1"/>
    </xf>
    <xf numFmtId="0" fontId="58" fillId="3" borderId="46" xfId="63" applyFont="1" applyFill="1" applyBorder="1" applyAlignment="1">
      <alignment horizontal="center" vertical="center" wrapText="1"/>
    </xf>
    <xf numFmtId="0" fontId="105" fillId="3" borderId="11" xfId="63" applyFont="1" applyFill="1" applyBorder="1" applyAlignment="1">
      <alignment horizontal="center" vertical="center" wrapText="1"/>
    </xf>
    <xf numFmtId="0" fontId="105" fillId="3" borderId="10" xfId="63" applyFont="1" applyFill="1" applyBorder="1" applyAlignment="1">
      <alignment horizontal="center" vertical="center" wrapText="1"/>
    </xf>
    <xf numFmtId="0" fontId="105" fillId="3" borderId="74" xfId="63" applyFont="1" applyFill="1" applyBorder="1" applyAlignment="1">
      <alignment horizontal="left" vertical="center" wrapText="1"/>
    </xf>
    <xf numFmtId="0" fontId="105" fillId="3" borderId="37" xfId="63" applyFont="1" applyFill="1" applyBorder="1" applyAlignment="1">
      <alignment horizontal="center" vertical="center" wrapText="1"/>
    </xf>
    <xf numFmtId="0" fontId="105" fillId="3" borderId="39" xfId="63" applyFont="1" applyFill="1" applyBorder="1" applyAlignment="1">
      <alignment horizontal="center" vertical="center" wrapText="1"/>
    </xf>
    <xf numFmtId="0" fontId="105" fillId="3" borderId="61" xfId="63" applyFont="1" applyFill="1" applyBorder="1" applyAlignment="1">
      <alignment horizontal="center" vertical="center" wrapText="1"/>
    </xf>
    <xf numFmtId="0" fontId="105" fillId="0" borderId="74" xfId="63" applyFont="1" applyFill="1" applyBorder="1"/>
    <xf numFmtId="0" fontId="58" fillId="0" borderId="74" xfId="63" applyFont="1" applyFill="1" applyBorder="1" applyAlignment="1">
      <alignment horizontal="center"/>
    </xf>
    <xf numFmtId="0" fontId="105" fillId="0" borderId="28" xfId="63" applyFont="1" applyFill="1" applyBorder="1" applyAlignment="1">
      <alignment horizontal="left" vertical="center" wrapText="1"/>
    </xf>
    <xf numFmtId="0" fontId="105" fillId="0" borderId="28" xfId="63" applyFont="1" applyFill="1" applyBorder="1"/>
    <xf numFmtId="0" fontId="58" fillId="0" borderId="29" xfId="63" applyFont="1" applyFill="1" applyBorder="1" applyAlignment="1">
      <alignment horizontal="center"/>
    </xf>
    <xf numFmtId="0" fontId="105" fillId="3" borderId="16" xfId="63" applyFont="1" applyFill="1" applyBorder="1"/>
    <xf numFmtId="0" fontId="105" fillId="3" borderId="17" xfId="63" applyFont="1" applyFill="1" applyBorder="1"/>
    <xf numFmtId="0" fontId="105" fillId="3" borderId="48" xfId="63" applyFont="1" applyFill="1" applyBorder="1"/>
    <xf numFmtId="0" fontId="58" fillId="3" borderId="0" xfId="63" applyFont="1" applyFill="1" applyBorder="1"/>
    <xf numFmtId="0" fontId="105" fillId="0" borderId="29" xfId="63" applyFont="1" applyFill="1" applyBorder="1" applyAlignment="1">
      <alignment horizontal="left" vertical="center" wrapText="1"/>
    </xf>
    <xf numFmtId="0" fontId="112" fillId="0" borderId="0" xfId="63" applyFont="1"/>
    <xf numFmtId="0" fontId="105" fillId="0" borderId="29" xfId="63" applyFont="1" applyFill="1" applyBorder="1"/>
    <xf numFmtId="0" fontId="58" fillId="3" borderId="17" xfId="63" applyFont="1" applyFill="1" applyBorder="1" applyAlignment="1">
      <alignment horizontal="center" vertical="center" wrapText="1"/>
    </xf>
    <xf numFmtId="0" fontId="58" fillId="3" borderId="18" xfId="63" applyFont="1" applyFill="1" applyBorder="1" applyAlignment="1">
      <alignment horizontal="center" vertical="center" wrapText="1"/>
    </xf>
    <xf numFmtId="0" fontId="58" fillId="3" borderId="45" xfId="63" applyFont="1" applyFill="1" applyBorder="1" applyAlignment="1">
      <alignment horizontal="center" vertical="center" wrapText="1"/>
    </xf>
    <xf numFmtId="0" fontId="58" fillId="3" borderId="19" xfId="63" applyFont="1" applyFill="1" applyBorder="1" applyAlignment="1">
      <alignment horizontal="center" vertical="center" wrapText="1"/>
    </xf>
    <xf numFmtId="0" fontId="58" fillId="3" borderId="20" xfId="63" applyFont="1" applyFill="1" applyBorder="1" applyAlignment="1">
      <alignment horizontal="center" vertical="center" wrapText="1"/>
    </xf>
    <xf numFmtId="0" fontId="103" fillId="0" borderId="0" xfId="63" applyFont="1" applyFill="1" applyBorder="1" applyAlignment="1">
      <alignment horizontal="centerContinuous" vertical="center" wrapText="1"/>
    </xf>
    <xf numFmtId="0" fontId="110" fillId="0" borderId="1" xfId="63" applyFont="1" applyFill="1" applyBorder="1" applyAlignment="1">
      <alignment horizontal="center" vertical="center" wrapText="1"/>
    </xf>
    <xf numFmtId="0" fontId="110" fillId="0" borderId="59" xfId="63" applyFont="1" applyFill="1" applyBorder="1" applyAlignment="1">
      <alignment horizontal="center" vertical="center" wrapText="1"/>
    </xf>
    <xf numFmtId="0" fontId="105" fillId="0" borderId="34" xfId="63" applyFont="1" applyFill="1" applyBorder="1" applyAlignment="1">
      <alignment horizontal="center" vertical="center" wrapText="1"/>
    </xf>
    <xf numFmtId="0" fontId="105" fillId="0" borderId="33" xfId="63" applyFont="1" applyFill="1" applyBorder="1" applyAlignment="1">
      <alignment horizontal="center" vertical="center" wrapText="1"/>
    </xf>
    <xf numFmtId="3" fontId="105" fillId="0" borderId="33" xfId="63" applyNumberFormat="1" applyFont="1" applyFill="1" applyBorder="1" applyAlignment="1">
      <alignment horizontal="center" vertical="center" wrapText="1"/>
    </xf>
    <xf numFmtId="0" fontId="105" fillId="0" borderId="36" xfId="63" applyFont="1" applyFill="1" applyBorder="1" applyAlignment="1">
      <alignment horizontal="center" vertical="center" wrapText="1"/>
    </xf>
    <xf numFmtId="0" fontId="109" fillId="0" borderId="38" xfId="63" applyFont="1" applyFill="1" applyBorder="1" applyAlignment="1">
      <alignment horizontal="center" vertical="center"/>
    </xf>
    <xf numFmtId="0" fontId="45" fillId="0" borderId="38" xfId="63" applyFont="1" applyFill="1" applyBorder="1" applyAlignment="1">
      <alignment horizontal="center" vertical="center"/>
    </xf>
    <xf numFmtId="0" fontId="45" fillId="0" borderId="38" xfId="63" applyFont="1" applyFill="1" applyBorder="1" applyAlignment="1">
      <alignment horizontal="center" vertical="center" wrapText="1"/>
    </xf>
    <xf numFmtId="0" fontId="109" fillId="0" borderId="58" xfId="63" applyFont="1" applyFill="1" applyBorder="1" applyAlignment="1">
      <alignment horizontal="center" vertical="center" wrapText="1"/>
    </xf>
    <xf numFmtId="0" fontId="45" fillId="0" borderId="58" xfId="63" applyFont="1" applyFill="1" applyBorder="1" applyAlignment="1">
      <alignment horizontal="center" vertical="center"/>
    </xf>
    <xf numFmtId="0" fontId="45" fillId="0" borderId="58" xfId="63" applyFont="1" applyFill="1" applyBorder="1" applyAlignment="1">
      <alignment horizontal="center" vertical="center" wrapText="1"/>
    </xf>
    <xf numFmtId="0" fontId="23" fillId="41" borderId="6" xfId="63" applyFont="1" applyFill="1" applyBorder="1" applyAlignment="1">
      <alignment horizontal="center" vertical="center"/>
    </xf>
    <xf numFmtId="0" fontId="113" fillId="0" borderId="0" xfId="63" applyFont="1"/>
    <xf numFmtId="0" fontId="106" fillId="0" borderId="0" xfId="63" applyFont="1"/>
    <xf numFmtId="0" fontId="29" fillId="4" borderId="25" xfId="0" applyFont="1" applyFill="1" applyBorder="1" applyAlignment="1">
      <alignment horizontal="left" vertical="center" wrapText="1"/>
    </xf>
    <xf numFmtId="0" fontId="29" fillId="4" borderId="16" xfId="0" applyFont="1" applyFill="1" applyBorder="1" applyAlignment="1">
      <alignment horizontal="center" vertical="center" wrapText="1"/>
    </xf>
    <xf numFmtId="0" fontId="29" fillId="4" borderId="51"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48" xfId="0" applyFont="1" applyFill="1" applyBorder="1" applyAlignment="1">
      <alignment horizontal="center" vertical="center" wrapText="1"/>
    </xf>
    <xf numFmtId="0" fontId="21" fillId="6" borderId="0" xfId="0" applyFont="1" applyFill="1" applyBorder="1" applyAlignment="1">
      <alignment horizontal="left" vertical="center"/>
    </xf>
    <xf numFmtId="165" fontId="29" fillId="6" borderId="0" xfId="0" applyNumberFormat="1" applyFont="1" applyFill="1" applyBorder="1" applyAlignment="1">
      <alignment horizontal="center" vertical="center"/>
    </xf>
    <xf numFmtId="165" fontId="29" fillId="6" borderId="0" xfId="0" quotePrefix="1" applyNumberFormat="1" applyFont="1" applyFill="1" applyBorder="1" applyAlignment="1">
      <alignment horizontal="center" vertical="center"/>
    </xf>
    <xf numFmtId="0" fontId="21" fillId="4" borderId="16" xfId="0" applyFont="1" applyFill="1" applyBorder="1" applyAlignment="1">
      <alignment horizontal="center" vertical="center"/>
    </xf>
    <xf numFmtId="0" fontId="21" fillId="4" borderId="48" xfId="0" applyFont="1" applyFill="1" applyBorder="1" applyAlignment="1">
      <alignment horizontal="center" vertical="center"/>
    </xf>
    <xf numFmtId="0" fontId="21" fillId="4" borderId="17" xfId="0" applyFont="1" applyFill="1" applyBorder="1" applyAlignment="1">
      <alignment horizontal="center" vertical="center"/>
    </xf>
    <xf numFmtId="0" fontId="21" fillId="4" borderId="46" xfId="0" applyFont="1" applyFill="1" applyBorder="1" applyAlignment="1">
      <alignment horizontal="center" vertical="center"/>
    </xf>
    <xf numFmtId="2" fontId="21" fillId="4" borderId="18" xfId="0" applyNumberFormat="1" applyFont="1" applyFill="1" applyBorder="1" applyAlignment="1">
      <alignment horizontal="center" vertical="center"/>
    </xf>
    <xf numFmtId="2" fontId="21" fillId="4" borderId="43" xfId="0" applyNumberFormat="1" applyFont="1" applyFill="1" applyBorder="1" applyAlignment="1">
      <alignment horizontal="center" vertical="center"/>
    </xf>
    <xf numFmtId="1" fontId="45" fillId="42" borderId="15" xfId="63" applyNumberFormat="1" applyFont="1" applyFill="1" applyBorder="1" applyAlignment="1">
      <alignment horizontal="center" vertical="center" wrapText="1"/>
    </xf>
    <xf numFmtId="164" fontId="45" fillId="3" borderId="15" xfId="63" applyNumberFormat="1" applyFont="1" applyFill="1" applyBorder="1" applyAlignment="1">
      <alignment horizontal="center" vertical="center" wrapText="1"/>
    </xf>
    <xf numFmtId="0" fontId="29" fillId="4" borderId="31" xfId="0" applyFont="1" applyFill="1" applyBorder="1" applyAlignment="1">
      <alignment horizontal="center" vertical="center" wrapText="1"/>
    </xf>
    <xf numFmtId="0" fontId="33" fillId="0" borderId="9" xfId="1" applyFont="1" applyFill="1" applyBorder="1" applyAlignment="1">
      <alignment horizontal="center" vertical="center"/>
    </xf>
    <xf numFmtId="0" fontId="33" fillId="0" borderId="11" xfId="1" applyFont="1" applyFill="1" applyBorder="1" applyAlignment="1">
      <alignment horizontal="center" vertical="center"/>
    </xf>
    <xf numFmtId="0" fontId="33" fillId="0" borderId="10" xfId="1" applyFont="1" applyFill="1" applyBorder="1" applyAlignment="1">
      <alignment horizontal="center" vertical="center"/>
    </xf>
    <xf numFmtId="2" fontId="33" fillId="0" borderId="40" xfId="1" applyNumberFormat="1" applyFont="1" applyFill="1" applyBorder="1" applyAlignment="1">
      <alignment horizontal="center" vertical="center"/>
    </xf>
    <xf numFmtId="2" fontId="33" fillId="0" borderId="41" xfId="1" applyNumberFormat="1" applyFont="1" applyFill="1" applyBorder="1" applyAlignment="1">
      <alignment horizontal="center" vertical="center"/>
    </xf>
    <xf numFmtId="2" fontId="33" fillId="0" borderId="23" xfId="1" applyNumberFormat="1" applyFont="1" applyFill="1" applyBorder="1" applyAlignment="1">
      <alignment horizontal="center" vertical="center"/>
    </xf>
    <xf numFmtId="2" fontId="33" fillId="0" borderId="19" xfId="1" applyNumberFormat="1" applyFont="1" applyFill="1" applyBorder="1" applyAlignment="1">
      <alignment horizontal="center" vertical="center"/>
    </xf>
    <xf numFmtId="2" fontId="20" fillId="0" borderId="0" xfId="0" applyNumberFormat="1" applyFont="1" applyAlignment="1">
      <alignment horizontal="center"/>
    </xf>
    <xf numFmtId="0" fontId="103" fillId="0" borderId="0" xfId="63" applyFont="1" applyAlignment="1">
      <alignment horizontal="center"/>
    </xf>
    <xf numFmtId="0" fontId="110" fillId="0" borderId="15" xfId="63" applyFont="1" applyBorder="1" applyAlignment="1">
      <alignment horizontal="center" vertical="center" wrapText="1"/>
    </xf>
    <xf numFmtId="0" fontId="110" fillId="0" borderId="25" xfId="63" applyFont="1" applyFill="1" applyBorder="1" applyAlignment="1">
      <alignment horizontal="center" vertical="center" wrapText="1"/>
    </xf>
    <xf numFmtId="0" fontId="45" fillId="0" borderId="25" xfId="63" applyFont="1" applyFill="1" applyBorder="1" applyAlignment="1">
      <alignment horizontal="center" vertical="center"/>
    </xf>
    <xf numFmtId="0" fontId="110" fillId="0" borderId="32" xfId="63" applyFont="1" applyFill="1" applyBorder="1" applyAlignment="1">
      <alignment horizontal="center" vertical="center" wrapText="1"/>
    </xf>
    <xf numFmtId="0" fontId="110" fillId="0" borderId="33" xfId="63" applyFont="1" applyFill="1" applyBorder="1" applyAlignment="1">
      <alignment horizontal="center" vertical="center" wrapText="1"/>
    </xf>
    <xf numFmtId="0" fontId="110" fillId="0" borderId="36" xfId="63" applyFont="1" applyFill="1" applyBorder="1" applyAlignment="1">
      <alignment horizontal="center" vertical="center" wrapText="1"/>
    </xf>
    <xf numFmtId="0" fontId="105" fillId="3" borderId="9" xfId="63" applyFont="1" applyFill="1" applyBorder="1" applyAlignment="1">
      <alignment horizontal="center" vertical="center" wrapText="1"/>
    </xf>
    <xf numFmtId="0" fontId="110" fillId="41" borderId="71" xfId="63" applyFont="1" applyFill="1" applyBorder="1" applyAlignment="1">
      <alignment horizontal="center" vertical="center"/>
    </xf>
    <xf numFmtId="0" fontId="23" fillId="0" borderId="4" xfId="63" applyFont="1" applyFill="1" applyBorder="1" applyAlignment="1">
      <alignment horizontal="center" vertical="center"/>
    </xf>
    <xf numFmtId="0" fontId="45" fillId="0" borderId="0" xfId="1" applyFont="1" applyBorder="1" applyAlignment="1"/>
    <xf numFmtId="0" fontId="45" fillId="0" borderId="0" xfId="1" applyFont="1" applyBorder="1"/>
    <xf numFmtId="0" fontId="53" fillId="0" borderId="0" xfId="1" applyFont="1" applyBorder="1" applyAlignment="1"/>
    <xf numFmtId="14" fontId="53" fillId="0" borderId="15" xfId="1" applyNumberFormat="1" applyFont="1" applyBorder="1" applyAlignment="1">
      <alignment horizontal="center" vertical="center" wrapText="1"/>
    </xf>
    <xf numFmtId="0" fontId="53" fillId="0" borderId="15" xfId="1" applyFont="1" applyBorder="1" applyAlignment="1">
      <alignment horizontal="center" vertical="center" wrapText="1"/>
    </xf>
    <xf numFmtId="0" fontId="53" fillId="0" borderId="0" xfId="1" applyFont="1" applyBorder="1"/>
    <xf numFmtId="0" fontId="116" fillId="0" borderId="0" xfId="1" applyFont="1" applyBorder="1"/>
    <xf numFmtId="0" fontId="45" fillId="0" borderId="0" xfId="1" applyFont="1"/>
    <xf numFmtId="0" fontId="45" fillId="0" borderId="0" xfId="1" applyFont="1" applyFill="1"/>
    <xf numFmtId="0" fontId="45" fillId="0" borderId="0" xfId="1" applyNumberFormat="1" applyFont="1" applyFill="1"/>
    <xf numFmtId="0" fontId="45" fillId="0" borderId="48" xfId="1" applyFont="1" applyFill="1" applyBorder="1" applyAlignment="1">
      <alignment horizontal="center" vertical="center" wrapText="1"/>
    </xf>
    <xf numFmtId="0" fontId="45" fillId="0" borderId="16" xfId="1" applyFont="1" applyFill="1" applyBorder="1" applyAlignment="1">
      <alignment horizontal="center" vertical="center" wrapText="1"/>
    </xf>
    <xf numFmtId="0" fontId="45" fillId="0" borderId="17" xfId="1" applyFont="1" applyFill="1" applyBorder="1" applyAlignment="1">
      <alignment horizontal="center" vertical="center" wrapText="1"/>
    </xf>
    <xf numFmtId="0" fontId="45" fillId="0" borderId="46" xfId="1" applyFont="1" applyFill="1" applyBorder="1" applyAlignment="1">
      <alignment horizontal="center" vertical="center" wrapText="1"/>
    </xf>
    <xf numFmtId="0" fontId="53" fillId="3" borderId="16" xfId="1" applyFont="1" applyFill="1" applyBorder="1" applyAlignment="1">
      <alignment horizontal="center" vertical="center" wrapText="1"/>
    </xf>
    <xf numFmtId="0" fontId="53" fillId="0" borderId="16" xfId="1" applyFont="1" applyFill="1" applyBorder="1" applyAlignment="1">
      <alignment horizontal="center" vertical="center" wrapText="1"/>
    </xf>
    <xf numFmtId="0" fontId="45" fillId="0" borderId="18" xfId="1" applyFont="1" applyFill="1" applyBorder="1" applyAlignment="1">
      <alignment horizontal="center" vertical="center" wrapText="1"/>
    </xf>
    <xf numFmtId="0" fontId="45" fillId="0" borderId="20" xfId="1" applyFont="1" applyFill="1" applyBorder="1" applyAlignment="1">
      <alignment horizontal="center" vertical="center" wrapText="1"/>
    </xf>
    <xf numFmtId="0" fontId="45" fillId="0" borderId="45" xfId="1" applyFont="1" applyFill="1" applyBorder="1" applyAlignment="1">
      <alignment horizontal="center" vertical="center" wrapText="1"/>
    </xf>
    <xf numFmtId="0" fontId="45" fillId="0" borderId="43" xfId="1" applyFont="1" applyFill="1" applyBorder="1" applyAlignment="1">
      <alignment horizontal="center" vertical="center" wrapText="1"/>
    </xf>
    <xf numFmtId="0" fontId="106" fillId="0" borderId="0" xfId="1" applyFont="1" applyFill="1"/>
    <xf numFmtId="0" fontId="145" fillId="0" borderId="0" xfId="1" applyFont="1" applyFill="1"/>
    <xf numFmtId="2" fontId="45" fillId="3" borderId="15" xfId="63" applyNumberFormat="1" applyFont="1" applyFill="1" applyBorder="1" applyAlignment="1">
      <alignment horizontal="center" vertical="center" wrapText="1"/>
    </xf>
    <xf numFmtId="2" fontId="45" fillId="3" borderId="17" xfId="63" applyNumberFormat="1" applyFont="1" applyFill="1" applyBorder="1" applyAlignment="1">
      <alignment horizontal="center" vertical="center" wrapText="1"/>
    </xf>
    <xf numFmtId="0" fontId="45" fillId="0" borderId="0" xfId="1" applyFont="1" applyAlignment="1">
      <alignment horizontal="center"/>
    </xf>
    <xf numFmtId="0" fontId="45" fillId="0" borderId="16" xfId="1" applyFont="1" applyBorder="1" applyAlignment="1">
      <alignment horizontal="center" wrapText="1"/>
    </xf>
    <xf numFmtId="0" fontId="45" fillId="0" borderId="15" xfId="1" applyFont="1" applyBorder="1" applyAlignment="1">
      <alignment horizontal="center"/>
    </xf>
    <xf numFmtId="0" fontId="45" fillId="0" borderId="15" xfId="1" applyFont="1" applyFill="1" applyBorder="1" applyAlignment="1">
      <alignment horizontal="center" wrapText="1"/>
    </xf>
    <xf numFmtId="0" fontId="45" fillId="0" borderId="15" xfId="1" applyFont="1" applyFill="1" applyBorder="1" applyAlignment="1">
      <alignment horizontal="center"/>
    </xf>
    <xf numFmtId="0" fontId="45" fillId="0" borderId="17" xfId="1" applyFont="1" applyFill="1" applyBorder="1" applyAlignment="1">
      <alignment horizontal="center"/>
    </xf>
    <xf numFmtId="0" fontId="45" fillId="0" borderId="16" xfId="1" applyFont="1" applyFill="1" applyBorder="1" applyAlignment="1">
      <alignment horizontal="center" wrapText="1"/>
    </xf>
    <xf numFmtId="0" fontId="45" fillId="0" borderId="17" xfId="1" applyFont="1" applyFill="1" applyBorder="1" applyAlignment="1">
      <alignment horizontal="center" wrapText="1"/>
    </xf>
    <xf numFmtId="0" fontId="45" fillId="0" borderId="16" xfId="1" applyFont="1" applyFill="1" applyBorder="1"/>
    <xf numFmtId="0" fontId="45" fillId="0" borderId="15" xfId="1" applyFont="1" applyFill="1" applyBorder="1"/>
    <xf numFmtId="0" fontId="45" fillId="0" borderId="17" xfId="1" applyFont="1" applyFill="1" applyBorder="1"/>
    <xf numFmtId="0" fontId="45" fillId="0" borderId="16" xfId="1" applyFont="1" applyBorder="1" applyAlignment="1">
      <alignment horizontal="center" vertical="center" wrapText="1"/>
    </xf>
    <xf numFmtId="0" fontId="45" fillId="0" borderId="15" xfId="1" applyFont="1" applyBorder="1" applyAlignment="1">
      <alignment horizontal="center" vertical="center" wrapText="1"/>
    </xf>
    <xf numFmtId="0" fontId="45" fillId="0" borderId="17" xfId="1" applyFont="1" applyBorder="1" applyAlignment="1">
      <alignment horizontal="center" vertical="center" wrapText="1"/>
    </xf>
    <xf numFmtId="164" fontId="45" fillId="0" borderId="38" xfId="63" applyNumberFormat="1" applyFont="1" applyFill="1" applyBorder="1" applyAlignment="1">
      <alignment horizontal="center" vertical="center" wrapText="1"/>
    </xf>
    <xf numFmtId="164" fontId="45" fillId="0" borderId="39" xfId="63" applyNumberFormat="1" applyFont="1" applyFill="1" applyBorder="1" applyAlignment="1">
      <alignment horizontal="center" vertical="center" wrapText="1"/>
    </xf>
    <xf numFmtId="164" fontId="45" fillId="0" borderId="58" xfId="63" applyNumberFormat="1" applyFont="1" applyFill="1" applyBorder="1" applyAlignment="1">
      <alignment horizontal="center" vertical="center" wrapText="1"/>
    </xf>
    <xf numFmtId="164" fontId="45" fillId="0" borderId="50" xfId="63" applyNumberFormat="1" applyFont="1" applyFill="1" applyBorder="1" applyAlignment="1">
      <alignment horizontal="center" vertical="center" wrapText="1"/>
    </xf>
    <xf numFmtId="2" fontId="19" fillId="0" borderId="0" xfId="1" applyNumberFormat="1" applyFill="1"/>
    <xf numFmtId="0" fontId="40" fillId="4" borderId="0" xfId="0" applyFont="1" applyFill="1" applyAlignment="1">
      <alignment horizontal="center" vertical="center"/>
    </xf>
    <xf numFmtId="0" fontId="33" fillId="4" borderId="0" xfId="0" applyFont="1" applyFill="1" applyAlignment="1">
      <alignment horizontal="center" vertical="center"/>
    </xf>
    <xf numFmtId="0" fontId="33" fillId="4" borderId="0" xfId="0" applyFont="1" applyFill="1" applyAlignment="1">
      <alignment horizontal="left" vertical="center"/>
    </xf>
    <xf numFmtId="0" fontId="45" fillId="0" borderId="25" xfId="63" applyFont="1" applyFill="1" applyBorder="1" applyAlignment="1">
      <alignment horizontal="center" vertical="center"/>
    </xf>
    <xf numFmtId="2" fontId="45" fillId="0" borderId="38" xfId="63" applyNumberFormat="1" applyFont="1" applyFill="1" applyBorder="1" applyAlignment="1">
      <alignment horizontal="center" vertical="center"/>
    </xf>
    <xf numFmtId="2" fontId="45" fillId="0" borderId="58" xfId="63" applyNumberFormat="1" applyFont="1" applyFill="1" applyBorder="1" applyAlignment="1">
      <alignment horizontal="center" vertical="center"/>
    </xf>
    <xf numFmtId="2" fontId="45" fillId="0" borderId="56" xfId="63" applyNumberFormat="1" applyFont="1" applyFill="1" applyBorder="1" applyAlignment="1">
      <alignment horizontal="center" vertical="center"/>
    </xf>
    <xf numFmtId="2" fontId="45" fillId="0" borderId="12" xfId="63" applyNumberFormat="1" applyFont="1" applyFill="1" applyBorder="1" applyAlignment="1">
      <alignment horizontal="center" vertical="center" wrapText="1"/>
    </xf>
    <xf numFmtId="2" fontId="45" fillId="0" borderId="70" xfId="63" applyNumberFormat="1" applyFont="1" applyFill="1" applyBorder="1" applyAlignment="1">
      <alignment horizontal="center" vertical="center" wrapText="1"/>
    </xf>
    <xf numFmtId="0" fontId="45" fillId="0" borderId="12" xfId="63" applyFont="1" applyFill="1" applyBorder="1" applyAlignment="1">
      <alignment horizontal="center" vertical="center" wrapText="1"/>
    </xf>
    <xf numFmtId="0" fontId="45" fillId="0" borderId="70" xfId="63" applyFont="1" applyFill="1" applyBorder="1" applyAlignment="1">
      <alignment horizontal="center" vertical="center" wrapText="1"/>
    </xf>
    <xf numFmtId="0" fontId="45" fillId="0" borderId="14" xfId="63" applyFont="1" applyFill="1" applyBorder="1" applyAlignment="1">
      <alignment horizontal="center" vertical="center" wrapText="1"/>
    </xf>
    <xf numFmtId="0" fontId="45" fillId="3" borderId="46" xfId="63" applyFont="1" applyFill="1" applyBorder="1" applyAlignment="1">
      <alignment horizontal="center" vertical="center" wrapText="1"/>
    </xf>
    <xf numFmtId="2" fontId="20" fillId="0" borderId="52" xfId="1" applyNumberFormat="1" applyFont="1" applyFill="1" applyBorder="1" applyAlignment="1">
      <alignment horizontal="center" vertical="center"/>
    </xf>
    <xf numFmtId="38" fontId="45" fillId="3" borderId="15" xfId="63" applyNumberFormat="1" applyFont="1" applyFill="1" applyBorder="1" applyAlignment="1">
      <alignment horizontal="center" vertical="center" wrapText="1"/>
    </xf>
    <xf numFmtId="3" fontId="45" fillId="3" borderId="15" xfId="63" applyNumberFormat="1" applyFont="1" applyFill="1" applyBorder="1" applyAlignment="1">
      <alignment horizontal="center" vertical="center" wrapText="1"/>
    </xf>
    <xf numFmtId="2" fontId="45" fillId="0" borderId="18" xfId="63" applyNumberFormat="1" applyFont="1" applyFill="1" applyBorder="1" applyAlignment="1">
      <alignment horizontal="center" vertical="center" wrapText="1"/>
    </xf>
    <xf numFmtId="2" fontId="45" fillId="0" borderId="20" xfId="63" applyNumberFormat="1" applyFont="1" applyFill="1" applyBorder="1" applyAlignment="1">
      <alignment horizontal="center" vertical="center" wrapText="1"/>
    </xf>
    <xf numFmtId="0" fontId="45" fillId="6" borderId="15" xfId="63" applyFont="1" applyFill="1" applyBorder="1" applyAlignment="1">
      <alignment horizontal="center" vertical="center" wrapText="1"/>
    </xf>
    <xf numFmtId="1" fontId="45" fillId="6" borderId="15" xfId="63" applyNumberFormat="1" applyFont="1" applyFill="1" applyBorder="1" applyAlignment="1">
      <alignment horizontal="center" vertical="center" wrapText="1"/>
    </xf>
    <xf numFmtId="14" fontId="53" fillId="6" borderId="15" xfId="1" applyNumberFormat="1" applyFont="1" applyFill="1" applyBorder="1" applyAlignment="1">
      <alignment horizontal="center" vertical="center" wrapText="1"/>
    </xf>
    <xf numFmtId="0" fontId="53" fillId="6" borderId="15" xfId="1" applyFont="1" applyFill="1" applyBorder="1" applyAlignment="1">
      <alignment horizontal="center" vertical="center" wrapText="1"/>
    </xf>
    <xf numFmtId="14" fontId="53" fillId="6" borderId="19" xfId="1" applyNumberFormat="1" applyFont="1" applyFill="1" applyBorder="1" applyAlignment="1">
      <alignment horizontal="center" vertical="center" wrapText="1"/>
    </xf>
    <xf numFmtId="0" fontId="53" fillId="6" borderId="19" xfId="1" applyFont="1" applyFill="1" applyBorder="1" applyAlignment="1">
      <alignment horizontal="center" vertical="center" wrapText="1"/>
    </xf>
    <xf numFmtId="0" fontId="53" fillId="6" borderId="15" xfId="63" applyFont="1" applyFill="1" applyBorder="1" applyAlignment="1">
      <alignment vertical="center" wrapText="1"/>
    </xf>
    <xf numFmtId="0" fontId="53" fillId="6" borderId="15" xfId="63" applyFont="1" applyFill="1" applyBorder="1" applyAlignment="1">
      <alignment horizontal="center" vertical="center" wrapText="1"/>
    </xf>
    <xf numFmtId="0" fontId="58" fillId="6" borderId="15" xfId="63" applyFont="1" applyFill="1" applyBorder="1" applyAlignment="1">
      <alignment horizontal="center" vertical="center" wrapText="1"/>
    </xf>
    <xf numFmtId="0" fontId="53" fillId="6" borderId="17" xfId="63" applyFont="1" applyFill="1" applyBorder="1" applyAlignment="1">
      <alignment horizontal="center" vertical="center" wrapText="1"/>
    </xf>
    <xf numFmtId="0" fontId="53" fillId="6" borderId="16" xfId="63" applyFont="1" applyFill="1" applyBorder="1" applyAlignment="1">
      <alignment vertical="center" wrapText="1"/>
    </xf>
    <xf numFmtId="0" fontId="53" fillId="6" borderId="17" xfId="63" applyFont="1" applyFill="1" applyBorder="1" applyAlignment="1">
      <alignment vertical="center" wrapText="1"/>
    </xf>
    <xf numFmtId="0" fontId="45" fillId="6" borderId="25" xfId="63" applyFont="1" applyFill="1" applyBorder="1" applyAlignment="1">
      <alignment horizontal="center" vertical="center"/>
    </xf>
    <xf numFmtId="2" fontId="45" fillId="6" borderId="16" xfId="63" applyNumberFormat="1" applyFont="1" applyFill="1" applyBorder="1" applyAlignment="1">
      <alignment horizontal="center" vertical="center"/>
    </xf>
    <xf numFmtId="2" fontId="45" fillId="6" borderId="17" xfId="63" applyNumberFormat="1" applyFont="1" applyFill="1" applyBorder="1" applyAlignment="1">
      <alignment horizontal="center" vertical="center"/>
    </xf>
    <xf numFmtId="2" fontId="45" fillId="6" borderId="46" xfId="63" applyNumberFormat="1" applyFont="1" applyFill="1" applyBorder="1" applyAlignment="1">
      <alignment horizontal="center" vertical="center"/>
    </xf>
    <xf numFmtId="2" fontId="45" fillId="6" borderId="48" xfId="63" applyNumberFormat="1" applyFont="1" applyFill="1" applyBorder="1" applyAlignment="1">
      <alignment horizontal="center" vertical="center"/>
    </xf>
    <xf numFmtId="2" fontId="45" fillId="6" borderId="46" xfId="63" applyNumberFormat="1" applyFont="1" applyFill="1" applyBorder="1" applyAlignment="1">
      <alignment horizontal="center" vertical="center" wrapText="1"/>
    </xf>
    <xf numFmtId="2" fontId="45" fillId="6" borderId="48" xfId="63" applyNumberFormat="1" applyFont="1" applyFill="1" applyBorder="1" applyAlignment="1">
      <alignment horizontal="center" vertical="center" wrapText="1"/>
    </xf>
    <xf numFmtId="2" fontId="45" fillId="6" borderId="16" xfId="63" applyNumberFormat="1" applyFont="1" applyFill="1" applyBorder="1" applyAlignment="1">
      <alignment horizontal="center" vertical="center" wrapText="1"/>
    </xf>
    <xf numFmtId="2" fontId="45" fillId="6" borderId="17" xfId="63" applyNumberFormat="1" applyFont="1" applyFill="1" applyBorder="1" applyAlignment="1">
      <alignment horizontal="center" vertical="center" wrapText="1"/>
    </xf>
    <xf numFmtId="0" fontId="45" fillId="6" borderId="16" xfId="63" applyFont="1" applyFill="1" applyBorder="1" applyAlignment="1">
      <alignment horizontal="center" vertical="center" wrapText="1"/>
    </xf>
    <xf numFmtId="0" fontId="45" fillId="6" borderId="17" xfId="63" applyFont="1" applyFill="1" applyBorder="1" applyAlignment="1">
      <alignment horizontal="center" vertical="center" wrapText="1"/>
    </xf>
    <xf numFmtId="0" fontId="45" fillId="6" borderId="46" xfId="63" applyFont="1" applyFill="1" applyBorder="1" applyAlignment="1">
      <alignment horizontal="center" vertical="center" wrapText="1"/>
    </xf>
    <xf numFmtId="0" fontId="45" fillId="6" borderId="48" xfId="63" applyFont="1" applyFill="1" applyBorder="1" applyAlignment="1">
      <alignment horizontal="center" vertical="center" wrapText="1"/>
    </xf>
    <xf numFmtId="0" fontId="45" fillId="6" borderId="16" xfId="63" applyFont="1" applyFill="1" applyBorder="1" applyAlignment="1">
      <alignment horizontal="center" vertical="center"/>
    </xf>
    <xf numFmtId="0" fontId="45" fillId="6" borderId="17" xfId="63" applyFont="1" applyFill="1" applyBorder="1" applyAlignment="1">
      <alignment horizontal="center" vertical="center"/>
    </xf>
    <xf numFmtId="0" fontId="45" fillId="6" borderId="46" xfId="63" applyFont="1" applyFill="1" applyBorder="1" applyAlignment="1">
      <alignment horizontal="center" vertical="center"/>
    </xf>
    <xf numFmtId="0" fontId="45" fillId="6" borderId="48" xfId="63" applyFont="1" applyFill="1" applyBorder="1" applyAlignment="1">
      <alignment horizontal="center" vertical="center"/>
    </xf>
    <xf numFmtId="0" fontId="110" fillId="6" borderId="16" xfId="1" applyFont="1" applyFill="1" applyBorder="1" applyAlignment="1">
      <alignment horizontal="center" vertical="center" wrapText="1"/>
    </xf>
    <xf numFmtId="0" fontId="110" fillId="6" borderId="17" xfId="1" applyFont="1" applyFill="1" applyBorder="1" applyAlignment="1">
      <alignment horizontal="center" vertical="center" wrapText="1"/>
    </xf>
    <xf numFmtId="0" fontId="110" fillId="6" borderId="46" xfId="1" applyFont="1" applyFill="1" applyBorder="1" applyAlignment="1">
      <alignment horizontal="center" vertical="center" wrapText="1"/>
    </xf>
    <xf numFmtId="0" fontId="110" fillId="6" borderId="48" xfId="1" applyFont="1" applyFill="1" applyBorder="1" applyAlignment="1">
      <alignment horizontal="center" vertical="center" wrapText="1"/>
    </xf>
    <xf numFmtId="0" fontId="53" fillId="6" borderId="16" xfId="1" applyFont="1" applyFill="1" applyBorder="1" applyAlignment="1">
      <alignment horizontal="center" vertical="center" wrapText="1"/>
    </xf>
    <xf numFmtId="0" fontId="45" fillId="6" borderId="48" xfId="1" applyFont="1" applyFill="1" applyBorder="1" applyAlignment="1">
      <alignment horizontal="center" vertical="center" wrapText="1"/>
    </xf>
    <xf numFmtId="0" fontId="45" fillId="6" borderId="16" xfId="1" applyFont="1" applyFill="1" applyBorder="1" applyAlignment="1">
      <alignment horizontal="center" vertical="center" wrapText="1"/>
    </xf>
    <xf numFmtId="0" fontId="45" fillId="6" borderId="17" xfId="1" applyFont="1" applyFill="1" applyBorder="1" applyAlignment="1">
      <alignment horizontal="center" vertical="center" wrapText="1"/>
    </xf>
    <xf numFmtId="0" fontId="45" fillId="6" borderId="46" xfId="1" applyFont="1" applyFill="1" applyBorder="1" applyAlignment="1">
      <alignment horizontal="center" vertical="center" wrapText="1"/>
    </xf>
    <xf numFmtId="2" fontId="45" fillId="6" borderId="15" xfId="63" applyNumberFormat="1" applyFont="1" applyFill="1" applyBorder="1" applyAlignment="1">
      <alignment horizontal="center" vertical="center" wrapText="1"/>
    </xf>
    <xf numFmtId="0" fontId="109" fillId="73" borderId="16" xfId="63" applyFont="1" applyFill="1" applyBorder="1" applyAlignment="1">
      <alignment horizontal="center" vertical="center" wrapText="1"/>
    </xf>
    <xf numFmtId="0" fontId="109" fillId="73" borderId="48" xfId="63" applyFont="1" applyFill="1" applyBorder="1" applyAlignment="1">
      <alignment horizontal="center" vertical="center" wrapText="1"/>
    </xf>
    <xf numFmtId="0" fontId="45" fillId="73" borderId="16" xfId="63" applyFont="1" applyFill="1" applyBorder="1" applyAlignment="1">
      <alignment horizontal="center" vertical="center" wrapText="1"/>
    </xf>
    <xf numFmtId="0" fontId="45" fillId="73" borderId="46" xfId="63" applyFont="1" applyFill="1" applyBorder="1" applyAlignment="1">
      <alignment horizontal="center" vertical="center" wrapText="1"/>
    </xf>
    <xf numFmtId="1" fontId="45" fillId="73" borderId="15" xfId="63" applyNumberFormat="1" applyFont="1" applyFill="1" applyBorder="1" applyAlignment="1">
      <alignment horizontal="center" vertical="center" wrapText="1"/>
    </xf>
    <xf numFmtId="164" fontId="45" fillId="6" borderId="15" xfId="63" applyNumberFormat="1" applyFont="1" applyFill="1" applyBorder="1" applyAlignment="1">
      <alignment horizontal="center" vertical="center" wrapText="1"/>
    </xf>
    <xf numFmtId="0" fontId="45" fillId="73" borderId="15" xfId="63" applyFont="1" applyFill="1" applyBorder="1" applyAlignment="1">
      <alignment horizontal="center" vertical="center" wrapText="1"/>
    </xf>
    <xf numFmtId="0" fontId="45" fillId="6" borderId="15" xfId="63" applyNumberFormat="1" applyFont="1" applyFill="1" applyBorder="1" applyAlignment="1">
      <alignment horizontal="center" vertical="center" wrapText="1"/>
    </xf>
    <xf numFmtId="38" fontId="45" fillId="6" borderId="15" xfId="63" applyNumberFormat="1" applyFont="1" applyFill="1" applyBorder="1" applyAlignment="1">
      <alignment horizontal="center" vertical="center" wrapText="1"/>
    </xf>
    <xf numFmtId="193" fontId="45" fillId="6" borderId="15" xfId="63" applyNumberFormat="1" applyFont="1" applyFill="1" applyBorder="1" applyAlignment="1">
      <alignment horizontal="center" vertical="center" wrapText="1"/>
    </xf>
    <xf numFmtId="0" fontId="53" fillId="6" borderId="46" xfId="63" applyFont="1" applyFill="1" applyBorder="1" applyAlignment="1">
      <alignment horizontal="center" vertical="center" wrapText="1"/>
    </xf>
    <xf numFmtId="38" fontId="58" fillId="6" borderId="15" xfId="63" applyNumberFormat="1" applyFont="1" applyFill="1" applyBorder="1" applyAlignment="1">
      <alignment horizontal="center" vertical="center" wrapText="1"/>
    </xf>
    <xf numFmtId="3" fontId="58" fillId="6" borderId="15" xfId="63" applyNumberFormat="1" applyFont="1" applyFill="1" applyBorder="1" applyAlignment="1">
      <alignment horizontal="center" vertical="center" wrapText="1"/>
    </xf>
    <xf numFmtId="2" fontId="58" fillId="6" borderId="17" xfId="63" applyNumberFormat="1" applyFont="1" applyFill="1" applyBorder="1" applyAlignment="1">
      <alignment horizontal="center" vertical="center" wrapText="1"/>
    </xf>
    <xf numFmtId="0" fontId="58" fillId="6" borderId="25" xfId="63" applyFont="1" applyFill="1" applyBorder="1" applyAlignment="1">
      <alignment horizontal="center" vertical="center" wrapText="1"/>
    </xf>
    <xf numFmtId="0" fontId="58" fillId="6" borderId="17" xfId="63" applyFont="1" applyFill="1" applyBorder="1" applyAlignment="1">
      <alignment horizontal="center" vertical="center" wrapText="1"/>
    </xf>
    <xf numFmtId="0" fontId="58" fillId="6" borderId="16" xfId="63" applyFont="1" applyFill="1" applyBorder="1" applyAlignment="1">
      <alignment horizontal="center" vertical="center" wrapText="1"/>
    </xf>
    <xf numFmtId="0" fontId="45" fillId="6" borderId="16" xfId="1" applyFont="1" applyFill="1" applyBorder="1" applyAlignment="1">
      <alignment horizontal="center"/>
    </xf>
    <xf numFmtId="0" fontId="45" fillId="6" borderId="15" xfId="1" applyFont="1" applyFill="1" applyBorder="1" applyAlignment="1">
      <alignment horizontal="center" wrapText="1"/>
    </xf>
    <xf numFmtId="0" fontId="45" fillId="6" borderId="15" xfId="1" applyFont="1" applyFill="1" applyBorder="1" applyAlignment="1">
      <alignment horizontal="center"/>
    </xf>
    <xf numFmtId="0" fontId="45" fillId="6" borderId="17" xfId="1" applyFont="1" applyFill="1" applyBorder="1" applyAlignment="1">
      <alignment horizontal="center"/>
    </xf>
    <xf numFmtId="0" fontId="45" fillId="6" borderId="15" xfId="1" applyFont="1" applyFill="1" applyBorder="1" applyAlignment="1">
      <alignment horizontal="center" vertical="center" wrapText="1"/>
    </xf>
    <xf numFmtId="0" fontId="109" fillId="6" borderId="41" xfId="63" applyFont="1" applyFill="1" applyBorder="1" applyAlignment="1">
      <alignment horizontal="center" vertical="center"/>
    </xf>
    <xf numFmtId="2" fontId="45" fillId="6" borderId="41" xfId="63" applyNumberFormat="1" applyFont="1" applyFill="1" applyBorder="1" applyAlignment="1">
      <alignment horizontal="center" vertical="center"/>
    </xf>
    <xf numFmtId="2" fontId="45" fillId="6" borderId="41" xfId="63" applyNumberFormat="1" applyFont="1" applyFill="1" applyBorder="1" applyAlignment="1">
      <alignment horizontal="center"/>
    </xf>
    <xf numFmtId="0" fontId="45" fillId="6" borderId="41" xfId="63" applyFont="1" applyFill="1" applyBorder="1" applyAlignment="1">
      <alignment horizontal="center" vertical="center"/>
    </xf>
    <xf numFmtId="0" fontId="45" fillId="6" borderId="41" xfId="63" applyFont="1" applyFill="1" applyBorder="1" applyAlignment="1">
      <alignment horizontal="center" vertical="center" wrapText="1"/>
    </xf>
    <xf numFmtId="164" fontId="45" fillId="6" borderId="41" xfId="63" applyNumberFormat="1" applyFont="1" applyFill="1" applyBorder="1" applyAlignment="1">
      <alignment horizontal="center" vertical="center" wrapText="1"/>
    </xf>
    <xf numFmtId="164" fontId="45" fillId="6" borderId="23" xfId="63" applyNumberFormat="1" applyFont="1" applyFill="1" applyBorder="1" applyAlignment="1">
      <alignment horizontal="center" vertical="center" wrapText="1"/>
    </xf>
    <xf numFmtId="0" fontId="109" fillId="6" borderId="19" xfId="63" applyFont="1" applyFill="1" applyBorder="1" applyAlignment="1">
      <alignment horizontal="center" vertical="center" wrapText="1"/>
    </xf>
    <xf numFmtId="2" fontId="45" fillId="6" borderId="19" xfId="63" applyNumberFormat="1" applyFont="1" applyFill="1" applyBorder="1" applyAlignment="1">
      <alignment horizontal="center" vertical="center"/>
    </xf>
    <xf numFmtId="0" fontId="45" fillId="6" borderId="19" xfId="63" applyFont="1" applyFill="1" applyBorder="1" applyAlignment="1">
      <alignment horizontal="center" vertical="center"/>
    </xf>
    <xf numFmtId="0" fontId="45" fillId="6" borderId="19" xfId="63" applyFont="1" applyFill="1" applyBorder="1" applyAlignment="1">
      <alignment horizontal="center" vertical="center" wrapText="1"/>
    </xf>
    <xf numFmtId="164" fontId="45" fillId="6" borderId="19" xfId="63" applyNumberFormat="1" applyFont="1" applyFill="1" applyBorder="1" applyAlignment="1">
      <alignment horizontal="center" vertical="center" wrapText="1"/>
    </xf>
    <xf numFmtId="164" fontId="45" fillId="6" borderId="20" xfId="63" applyNumberFormat="1" applyFont="1" applyFill="1" applyBorder="1" applyAlignment="1">
      <alignment horizontal="center" vertical="center" wrapText="1"/>
    </xf>
    <xf numFmtId="2" fontId="45" fillId="6" borderId="44" xfId="63" applyNumberFormat="1" applyFont="1" applyFill="1" applyBorder="1" applyAlignment="1">
      <alignment horizontal="center" vertical="center"/>
    </xf>
    <xf numFmtId="0" fontId="105" fillId="6" borderId="16" xfId="63" applyFont="1" applyFill="1" applyBorder="1"/>
    <xf numFmtId="0" fontId="105" fillId="6" borderId="17" xfId="63" applyFont="1" applyFill="1" applyBorder="1"/>
    <xf numFmtId="0" fontId="105" fillId="6" borderId="48" xfId="63" applyFont="1" applyFill="1" applyBorder="1"/>
    <xf numFmtId="0" fontId="105" fillId="6" borderId="18" xfId="63" applyFont="1" applyFill="1" applyBorder="1"/>
    <xf numFmtId="0" fontId="105" fillId="6" borderId="20" xfId="63" applyFont="1" applyFill="1" applyBorder="1"/>
    <xf numFmtId="0" fontId="105" fillId="6" borderId="43" xfId="63" applyFont="1" applyFill="1" applyBorder="1"/>
    <xf numFmtId="0" fontId="88" fillId="35" borderId="99" xfId="10201" applyBorder="1">
      <alignment horizontal="center"/>
    </xf>
    <xf numFmtId="0" fontId="88" fillId="35" borderId="100" xfId="10201" applyBorder="1">
      <alignment horizontal="center"/>
    </xf>
    <xf numFmtId="1" fontId="0" fillId="0" borderId="0" xfId="0" applyNumberFormat="1"/>
    <xf numFmtId="0" fontId="0" fillId="0" borderId="0" xfId="0" applyFill="1"/>
    <xf numFmtId="0" fontId="45" fillId="6" borderId="25" xfId="63" applyFont="1" applyFill="1" applyBorder="1" applyAlignment="1">
      <alignment horizontal="center" vertical="center"/>
    </xf>
    <xf numFmtId="1" fontId="45" fillId="3" borderId="17" xfId="63" applyNumberFormat="1" applyFont="1" applyFill="1" applyBorder="1" applyAlignment="1">
      <alignment horizontal="center" vertical="center" wrapText="1"/>
    </xf>
    <xf numFmtId="3" fontId="45" fillId="6" borderId="15" xfId="63" applyNumberFormat="1" applyFont="1" applyFill="1" applyBorder="1" applyAlignment="1">
      <alignment horizontal="center" vertical="center" wrapText="1"/>
    </xf>
    <xf numFmtId="1" fontId="45" fillId="6" borderId="17" xfId="63" applyNumberFormat="1" applyFont="1" applyFill="1" applyBorder="1" applyAlignment="1">
      <alignment horizontal="center" vertical="center" wrapText="1"/>
    </xf>
    <xf numFmtId="2" fontId="45" fillId="0" borderId="46" xfId="63" applyNumberFormat="1" applyFont="1" applyFill="1" applyBorder="1" applyAlignment="1">
      <alignment horizontal="center" vertical="center" wrapText="1"/>
    </xf>
    <xf numFmtId="2" fontId="45" fillId="0" borderId="48" xfId="63" applyNumberFormat="1" applyFont="1" applyFill="1" applyBorder="1" applyAlignment="1">
      <alignment horizontal="center" vertical="center" wrapText="1"/>
    </xf>
    <xf numFmtId="2" fontId="45" fillId="0" borderId="16" xfId="63" applyNumberFormat="1" applyFont="1" applyFill="1" applyBorder="1" applyAlignment="1">
      <alignment horizontal="center" vertical="center" wrapText="1"/>
    </xf>
    <xf numFmtId="0" fontId="20" fillId="0" borderId="0" xfId="1" applyFont="1" applyFill="1"/>
    <xf numFmtId="2" fontId="29" fillId="0" borderId="30" xfId="0" applyNumberFormat="1" applyFont="1" applyBorder="1" applyAlignment="1">
      <alignment horizontal="center" vertical="center"/>
    </xf>
    <xf numFmtId="49" fontId="89" fillId="35" borderId="101" xfId="10203" applyBorder="1">
      <alignment horizontal="center"/>
    </xf>
    <xf numFmtId="49" fontId="89" fillId="35" borderId="102" xfId="10203" applyBorder="1">
      <alignment horizontal="center"/>
    </xf>
    <xf numFmtId="0" fontId="29" fillId="4" borderId="39" xfId="0" applyFont="1" applyFill="1" applyBorder="1" applyAlignment="1">
      <alignment horizontal="center" vertical="center" wrapText="1"/>
    </xf>
    <xf numFmtId="0" fontId="0" fillId="0" borderId="113" xfId="0" quotePrefix="1" applyBorder="1" applyAlignment="1">
      <alignment horizontal="left"/>
    </xf>
    <xf numFmtId="0" fontId="0" fillId="0" borderId="52" xfId="0" quotePrefix="1" applyBorder="1" applyAlignment="1">
      <alignment horizontal="left"/>
    </xf>
    <xf numFmtId="0" fontId="0" fillId="0" borderId="0" xfId="0" applyBorder="1" applyAlignment="1">
      <alignment horizontal="center"/>
    </xf>
    <xf numFmtId="0" fontId="0" fillId="0" borderId="115" xfId="0" applyBorder="1" applyAlignment="1">
      <alignment horizontal="center"/>
    </xf>
    <xf numFmtId="0" fontId="0" fillId="0" borderId="102" xfId="0" applyBorder="1" applyAlignment="1">
      <alignment horizontal="center"/>
    </xf>
    <xf numFmtId="0" fontId="0" fillId="0" borderId="104" xfId="0" applyBorder="1" applyAlignment="1">
      <alignment horizontal="center"/>
    </xf>
    <xf numFmtId="195" fontId="0" fillId="0" borderId="0" xfId="0" applyNumberFormat="1" applyBorder="1" applyAlignment="1">
      <alignment horizontal="right"/>
    </xf>
    <xf numFmtId="0" fontId="0" fillId="0" borderId="0" xfId="0" quotePrefix="1" applyBorder="1" applyAlignment="1">
      <alignment horizontal="right"/>
    </xf>
    <xf numFmtId="197" fontId="0" fillId="0" borderId="0" xfId="0" applyNumberFormat="1" applyBorder="1" applyAlignment="1">
      <alignment horizontal="right"/>
    </xf>
    <xf numFmtId="199" fontId="0" fillId="0" borderId="0" xfId="0" applyNumberFormat="1" applyBorder="1" applyAlignment="1">
      <alignment horizontal="right"/>
    </xf>
    <xf numFmtId="198" fontId="0" fillId="0" borderId="0" xfId="0" applyNumberFormat="1" applyBorder="1" applyAlignment="1">
      <alignment horizontal="right"/>
    </xf>
    <xf numFmtId="0" fontId="0" fillId="0" borderId="0" xfId="0" applyBorder="1" applyAlignment="1">
      <alignment horizontal="right"/>
    </xf>
    <xf numFmtId="0" fontId="0" fillId="0" borderId="0" xfId="0" quotePrefix="1" applyNumberFormat="1" applyBorder="1" applyAlignment="1">
      <alignment horizontal="right"/>
    </xf>
    <xf numFmtId="0" fontId="88" fillId="35" borderId="133" xfId="10201" applyBorder="1">
      <alignment horizontal="center"/>
    </xf>
    <xf numFmtId="49" fontId="89" fillId="35" borderId="0" xfId="10203" applyBorder="1">
      <alignment horizontal="center"/>
    </xf>
    <xf numFmtId="0" fontId="88" fillId="35" borderId="116" xfId="10201" applyBorder="1">
      <alignment horizontal="center"/>
    </xf>
    <xf numFmtId="0" fontId="88" fillId="35" borderId="111" xfId="10201" applyBorder="1">
      <alignment horizontal="center"/>
    </xf>
    <xf numFmtId="2" fontId="34" fillId="0" borderId="0" xfId="1" applyNumberFormat="1" applyFont="1" applyFill="1" applyBorder="1" applyAlignment="1">
      <alignment horizontal="right" vertical="center"/>
    </xf>
    <xf numFmtId="2" fontId="34" fillId="0" borderId="0" xfId="1" applyNumberFormat="1" applyFont="1" applyFill="1" applyBorder="1" applyAlignment="1">
      <alignment horizontal="center" vertical="center"/>
    </xf>
    <xf numFmtId="2" fontId="33" fillId="0" borderId="15" xfId="1" applyNumberFormat="1" applyFont="1" applyFill="1" applyBorder="1" applyAlignment="1">
      <alignment horizontal="center" vertical="center"/>
    </xf>
    <xf numFmtId="2" fontId="33" fillId="0" borderId="0" xfId="1" applyNumberFormat="1" applyFont="1" applyFill="1" applyBorder="1" applyAlignment="1">
      <alignment horizontal="left" vertical="center"/>
    </xf>
    <xf numFmtId="4" fontId="34" fillId="0" borderId="0" xfId="1" applyNumberFormat="1" applyFont="1" applyFill="1" applyBorder="1" applyAlignment="1">
      <alignment horizontal="center" vertical="center"/>
    </xf>
    <xf numFmtId="2" fontId="33" fillId="0" borderId="38" xfId="1" applyNumberFormat="1" applyFont="1" applyFill="1" applyBorder="1" applyAlignment="1">
      <alignment horizontal="center" vertical="center"/>
    </xf>
    <xf numFmtId="167" fontId="34" fillId="0" borderId="0" xfId="1" applyNumberFormat="1" applyFont="1" applyFill="1" applyBorder="1" applyAlignment="1">
      <alignment horizontal="center" vertical="center"/>
    </xf>
    <xf numFmtId="4" fontId="33" fillId="0" borderId="0" xfId="1" applyNumberFormat="1" applyFont="1" applyFill="1" applyBorder="1" applyAlignment="1">
      <alignment horizontal="center" vertical="center"/>
    </xf>
    <xf numFmtId="167" fontId="33" fillId="0" borderId="0" xfId="1" applyNumberFormat="1" applyFont="1" applyFill="1" applyBorder="1" applyAlignment="1">
      <alignment vertical="center"/>
    </xf>
    <xf numFmtId="1" fontId="33" fillId="0" borderId="0" xfId="1" applyNumberFormat="1" applyFont="1" applyFill="1" applyBorder="1" applyAlignment="1">
      <alignment vertical="center"/>
    </xf>
    <xf numFmtId="2" fontId="33" fillId="0" borderId="0" xfId="1" applyNumberFormat="1" applyFont="1" applyFill="1" applyBorder="1" applyAlignment="1">
      <alignment vertical="center"/>
    </xf>
    <xf numFmtId="4" fontId="33" fillId="0" borderId="0" xfId="1" applyNumberFormat="1" applyFont="1" applyFill="1" applyBorder="1" applyAlignment="1">
      <alignment vertical="center"/>
    </xf>
    <xf numFmtId="2" fontId="29" fillId="0" borderId="130" xfId="0" applyNumberFormat="1" applyFont="1" applyBorder="1" applyAlignment="1">
      <alignment horizontal="center" vertical="center"/>
    </xf>
    <xf numFmtId="2" fontId="29" fillId="0" borderId="125" xfId="0" applyNumberFormat="1" applyFont="1" applyBorder="1" applyAlignment="1">
      <alignment horizontal="center" vertical="center"/>
    </xf>
    <xf numFmtId="2" fontId="29" fillId="0" borderId="40" xfId="0" applyNumberFormat="1" applyFont="1" applyBorder="1" applyAlignment="1">
      <alignment horizontal="center" vertical="center"/>
    </xf>
    <xf numFmtId="2" fontId="29" fillId="0" borderId="42" xfId="0" applyNumberFormat="1" applyFont="1" applyBorder="1" applyAlignment="1">
      <alignment horizontal="center" vertical="center"/>
    </xf>
    <xf numFmtId="0" fontId="109" fillId="0" borderId="41" xfId="63" applyFont="1" applyFill="1" applyBorder="1" applyAlignment="1">
      <alignment horizontal="center" vertical="center"/>
    </xf>
    <xf numFmtId="1" fontId="45" fillId="6" borderId="41" xfId="63" applyNumberFormat="1" applyFont="1" applyFill="1" applyBorder="1" applyAlignment="1">
      <alignment horizontal="center" vertical="center" wrapText="1"/>
    </xf>
    <xf numFmtId="1" fontId="45" fillId="6" borderId="23" xfId="63" applyNumberFormat="1" applyFont="1" applyFill="1" applyBorder="1" applyAlignment="1">
      <alignment horizontal="center" vertical="center" wrapText="1"/>
    </xf>
    <xf numFmtId="1" fontId="45" fillId="6" borderId="19" xfId="63" applyNumberFormat="1" applyFont="1" applyFill="1" applyBorder="1" applyAlignment="1">
      <alignment horizontal="center" vertical="center" wrapText="1"/>
    </xf>
    <xf numFmtId="1" fontId="45" fillId="6" borderId="20" xfId="63" applyNumberFormat="1" applyFont="1" applyFill="1" applyBorder="1" applyAlignment="1">
      <alignment horizontal="center" vertical="center" wrapText="1"/>
    </xf>
    <xf numFmtId="2" fontId="29" fillId="0" borderId="119" xfId="0" applyNumberFormat="1" applyFont="1" applyBorder="1" applyAlignment="1">
      <alignment horizontal="center" vertical="center"/>
    </xf>
    <xf numFmtId="0" fontId="109" fillId="0" borderId="55" xfId="63" applyFont="1" applyFill="1" applyBorder="1" applyAlignment="1">
      <alignment horizontal="center" vertical="center" wrapText="1"/>
    </xf>
    <xf numFmtId="0" fontId="109" fillId="0" borderId="69" xfId="63" applyFont="1" applyFill="1" applyBorder="1" applyAlignment="1">
      <alignment horizontal="center" vertical="center" wrapText="1"/>
    </xf>
    <xf numFmtId="0" fontId="29" fillId="4" borderId="118" xfId="0" applyFont="1" applyFill="1" applyBorder="1" applyAlignment="1">
      <alignment horizontal="center" vertical="center" wrapText="1"/>
    </xf>
    <xf numFmtId="2" fontId="29" fillId="0" borderId="118" xfId="0" applyNumberFormat="1" applyFont="1" applyFill="1" applyBorder="1" applyAlignment="1">
      <alignment horizontal="center" vertical="center"/>
    </xf>
    <xf numFmtId="2" fontId="29" fillId="0" borderId="117" xfId="0" applyNumberFormat="1" applyFont="1" applyFill="1" applyBorder="1" applyAlignment="1">
      <alignment horizontal="center" vertical="center"/>
    </xf>
    <xf numFmtId="2" fontId="33" fillId="0" borderId="0" xfId="1" applyNumberFormat="1" applyFont="1" applyFill="1" applyBorder="1" applyAlignment="1">
      <alignment horizontal="center" vertical="center"/>
    </xf>
    <xf numFmtId="2" fontId="45" fillId="6" borderId="46" xfId="63" quotePrefix="1" applyNumberFormat="1" applyFont="1" applyFill="1" applyBorder="1" applyAlignment="1">
      <alignment horizontal="center" vertical="center" wrapText="1"/>
    </xf>
    <xf numFmtId="2" fontId="45" fillId="6" borderId="48" xfId="63" quotePrefix="1" applyNumberFormat="1" applyFont="1" applyFill="1" applyBorder="1" applyAlignment="1">
      <alignment horizontal="center" vertical="center" wrapText="1"/>
    </xf>
    <xf numFmtId="0" fontId="20" fillId="0" borderId="7" xfId="1" applyFont="1" applyFill="1" applyBorder="1"/>
    <xf numFmtId="0" fontId="20" fillId="0" borderId="8" xfId="1" applyFont="1" applyFill="1" applyBorder="1"/>
    <xf numFmtId="0" fontId="20" fillId="0" borderId="5" xfId="1" applyFont="1" applyFill="1" applyBorder="1"/>
    <xf numFmtId="0" fontId="34" fillId="0" borderId="0" xfId="1" applyFont="1" applyFill="1" applyBorder="1" applyAlignment="1">
      <alignment horizontal="center" vertical="center"/>
    </xf>
    <xf numFmtId="167" fontId="33" fillId="0" borderId="0" xfId="1" applyNumberFormat="1" applyFont="1" applyFill="1" applyBorder="1" applyAlignment="1">
      <alignment horizontal="center" vertical="center"/>
    </xf>
    <xf numFmtId="1" fontId="33" fillId="0" borderId="0" xfId="1" applyNumberFormat="1" applyFont="1" applyFill="1" applyBorder="1" applyAlignment="1">
      <alignment horizontal="center" vertical="center"/>
    </xf>
    <xf numFmtId="0" fontId="33" fillId="0" borderId="0" xfId="1" applyFont="1" applyFill="1" applyBorder="1" applyAlignment="1">
      <alignment horizontal="center"/>
    </xf>
    <xf numFmtId="0" fontId="0" fillId="0" borderId="0" xfId="0" applyFill="1" applyAlignment="1">
      <alignment horizontal="center" vertical="center"/>
    </xf>
    <xf numFmtId="0" fontId="0" fillId="0" borderId="0" xfId="0" applyFill="1" applyBorder="1"/>
    <xf numFmtId="0" fontId="21" fillId="0" borderId="0" xfId="0" applyFont="1" applyFill="1" applyBorder="1" applyAlignment="1">
      <alignment horizontal="center"/>
    </xf>
    <xf numFmtId="0" fontId="20" fillId="0" borderId="0" xfId="0" applyFont="1" applyFill="1" applyBorder="1" applyAlignment="1">
      <alignment horizontal="center"/>
    </xf>
    <xf numFmtId="0" fontId="0" fillId="0" borderId="4" xfId="0" applyFill="1" applyBorder="1"/>
    <xf numFmtId="0" fontId="0" fillId="0" borderId="5" xfId="0" applyFill="1" applyBorder="1"/>
    <xf numFmtId="0" fontId="20" fillId="0" borderId="0" xfId="0" applyFont="1" applyFill="1" applyAlignment="1">
      <alignment wrapText="1"/>
    </xf>
    <xf numFmtId="0" fontId="0" fillId="0" borderId="0" xfId="0" applyFill="1" applyAlignment="1">
      <alignment wrapText="1"/>
    </xf>
    <xf numFmtId="0" fontId="20" fillId="0" borderId="0" xfId="0" applyFont="1" applyFill="1"/>
    <xf numFmtId="167" fontId="20" fillId="0" borderId="0" xfId="0" applyNumberFormat="1" applyFont="1" applyFill="1"/>
    <xf numFmtId="165" fontId="20" fillId="0" borderId="0" xfId="0" applyNumberFormat="1" applyFont="1" applyFill="1"/>
    <xf numFmtId="167" fontId="0" fillId="0" borderId="0" xfId="0" applyNumberFormat="1" applyFill="1"/>
    <xf numFmtId="169" fontId="0" fillId="0" borderId="0" xfId="0" applyNumberFormat="1" applyFill="1" applyAlignment="1">
      <alignment horizontal="center"/>
    </xf>
    <xf numFmtId="10" fontId="0" fillId="0" borderId="0" xfId="0" applyNumberFormat="1" applyFill="1" applyAlignment="1">
      <alignment horizontal="center"/>
    </xf>
    <xf numFmtId="0" fontId="0" fillId="0" borderId="0" xfId="0" applyFill="1" applyAlignment="1">
      <alignment horizontal="center"/>
    </xf>
    <xf numFmtId="0" fontId="20" fillId="0" borderId="1" xfId="1" applyFont="1" applyFill="1" applyBorder="1"/>
    <xf numFmtId="0" fontId="20" fillId="0" borderId="2" xfId="1" applyFont="1" applyFill="1" applyBorder="1"/>
    <xf numFmtId="0" fontId="139" fillId="0" borderId="0" xfId="1" applyFont="1" applyFill="1"/>
    <xf numFmtId="0" fontId="20" fillId="0" borderId="4" xfId="1" applyFont="1" applyFill="1" applyBorder="1"/>
    <xf numFmtId="0" fontId="20" fillId="0" borderId="6" xfId="1" applyFont="1" applyFill="1" applyBorder="1"/>
    <xf numFmtId="0" fontId="20" fillId="0" borderId="3" xfId="1" applyFont="1" applyFill="1" applyBorder="1"/>
    <xf numFmtId="0" fontId="20" fillId="0" borderId="0" xfId="1" applyFont="1" applyFill="1" applyAlignment="1">
      <alignment horizontal="left" vertical="center"/>
    </xf>
    <xf numFmtId="0" fontId="20" fillId="0" borderId="126" xfId="1" applyFont="1" applyFill="1" applyBorder="1" applyAlignment="1">
      <alignment horizontal="center" vertical="center"/>
    </xf>
    <xf numFmtId="0" fontId="22" fillId="0" borderId="126" xfId="1" applyFont="1" applyFill="1" applyBorder="1" applyAlignment="1">
      <alignment horizontal="center" vertical="center"/>
    </xf>
    <xf numFmtId="1" fontId="22" fillId="0" borderId="126" xfId="1" applyNumberFormat="1" applyFont="1" applyFill="1" applyBorder="1" applyAlignment="1">
      <alignment horizontal="center" vertical="center"/>
    </xf>
    <xf numFmtId="0" fontId="158" fillId="0" borderId="126" xfId="1" applyFont="1" applyFill="1" applyBorder="1" applyAlignment="1">
      <alignment horizontal="center" vertical="center"/>
    </xf>
    <xf numFmtId="1" fontId="158" fillId="0" borderId="126" xfId="1" applyNumberFormat="1" applyFont="1" applyFill="1" applyBorder="1" applyAlignment="1">
      <alignment horizontal="center" vertical="center"/>
    </xf>
    <xf numFmtId="0" fontId="158" fillId="0" borderId="0" xfId="1" applyFont="1" applyFill="1" applyBorder="1" applyAlignment="1">
      <alignment horizontal="center" vertical="center"/>
    </xf>
    <xf numFmtId="1" fontId="158" fillId="0" borderId="0" xfId="1" applyNumberFormat="1" applyFont="1" applyFill="1" applyBorder="1" applyAlignment="1">
      <alignment horizontal="center" vertical="center"/>
    </xf>
    <xf numFmtId="0" fontId="19" fillId="0" borderId="0" xfId="1" applyFont="1" applyFill="1"/>
    <xf numFmtId="0" fontId="20" fillId="0" borderId="49" xfId="1" applyFont="1" applyFill="1" applyBorder="1"/>
    <xf numFmtId="0" fontId="20" fillId="0" borderId="52" xfId="1" applyFont="1" applyFill="1" applyBorder="1" applyAlignment="1">
      <alignment horizontal="center"/>
    </xf>
    <xf numFmtId="0" fontId="20" fillId="0" borderId="4" xfId="1" applyFont="1" applyFill="1" applyBorder="1" applyAlignment="1">
      <alignment horizontal="left"/>
    </xf>
    <xf numFmtId="0" fontId="22" fillId="0" borderId="52" xfId="1" applyFont="1" applyFill="1" applyBorder="1" applyAlignment="1">
      <alignment vertical="center" wrapText="1"/>
    </xf>
    <xf numFmtId="0" fontId="20" fillId="0" borderId="5" xfId="1" applyFont="1" applyFill="1" applyBorder="1" applyAlignment="1">
      <alignment horizontal="left"/>
    </xf>
    <xf numFmtId="0" fontId="22" fillId="0" borderId="52" xfId="1" applyFont="1" applyFill="1" applyBorder="1" applyAlignment="1">
      <alignment horizontal="center" vertical="center" wrapText="1"/>
    </xf>
    <xf numFmtId="0" fontId="20" fillId="0" borderId="4" xfId="1" applyFont="1" applyFill="1" applyBorder="1" applyAlignment="1"/>
    <xf numFmtId="0" fontId="20" fillId="0" borderId="5" xfId="1" applyFont="1" applyFill="1" applyBorder="1" applyAlignment="1"/>
    <xf numFmtId="2" fontId="22" fillId="0" borderId="52" xfId="1" applyNumberFormat="1" applyFont="1" applyFill="1" applyBorder="1" applyAlignment="1">
      <alignment horizontal="center" vertical="center"/>
    </xf>
    <xf numFmtId="0" fontId="20" fillId="0" borderId="56" xfId="1" applyFont="1" applyFill="1" applyBorder="1"/>
    <xf numFmtId="1" fontId="20" fillId="0" borderId="5" xfId="1" applyNumberFormat="1" applyFont="1" applyFill="1" applyBorder="1"/>
    <xf numFmtId="165" fontId="19" fillId="0" borderId="0" xfId="1" applyNumberFormat="1" applyFill="1"/>
    <xf numFmtId="0" fontId="33" fillId="0" borderId="69" xfId="1" applyFont="1" applyFill="1" applyBorder="1"/>
    <xf numFmtId="0" fontId="33" fillId="0" borderId="90" xfId="1" applyFont="1" applyFill="1" applyBorder="1"/>
    <xf numFmtId="0" fontId="33" fillId="0" borderId="47" xfId="1" applyFont="1" applyFill="1" applyBorder="1"/>
    <xf numFmtId="0" fontId="33" fillId="0" borderId="75" xfId="1" applyFont="1" applyFill="1" applyBorder="1" applyAlignment="1">
      <alignment horizontal="right"/>
    </xf>
    <xf numFmtId="0" fontId="33" fillId="0" borderId="0" xfId="1" applyFont="1" applyFill="1" applyBorder="1" applyAlignment="1">
      <alignment horizontal="left"/>
    </xf>
    <xf numFmtId="4" fontId="34" fillId="0" borderId="0" xfId="1" applyNumberFormat="1" applyFont="1" applyFill="1" applyBorder="1" applyAlignment="1">
      <alignment horizontal="center"/>
    </xf>
    <xf numFmtId="0" fontId="34" fillId="0" borderId="0" xfId="1" applyFont="1" applyFill="1" applyBorder="1" applyAlignment="1">
      <alignment horizontal="center"/>
    </xf>
    <xf numFmtId="0" fontId="34" fillId="0" borderId="13" xfId="1" applyFont="1" applyFill="1" applyBorder="1" applyAlignment="1">
      <alignment horizontal="center"/>
    </xf>
    <xf numFmtId="0" fontId="34" fillId="0" borderId="75" xfId="1" applyFont="1" applyFill="1" applyBorder="1" applyAlignment="1">
      <alignment vertical="center" wrapText="1"/>
    </xf>
    <xf numFmtId="0" fontId="34" fillId="0" borderId="0" xfId="1" applyFont="1" applyFill="1" applyBorder="1" applyAlignment="1">
      <alignment horizontal="right" vertical="center" wrapText="1"/>
    </xf>
    <xf numFmtId="4" fontId="34" fillId="0" borderId="0" xfId="1" applyNumberFormat="1" applyFont="1" applyFill="1" applyBorder="1" applyAlignment="1">
      <alignment horizontal="center" vertical="center" wrapText="1"/>
    </xf>
    <xf numFmtId="0" fontId="34" fillId="0" borderId="0" xfId="1" applyFont="1" applyFill="1" applyBorder="1" applyAlignment="1">
      <alignment vertical="center" wrapText="1"/>
    </xf>
    <xf numFmtId="1" fontId="33" fillId="0" borderId="38" xfId="1" applyNumberFormat="1" applyFont="1" applyFill="1" applyBorder="1" applyAlignment="1">
      <alignment horizontal="center" vertical="center" wrapText="1"/>
    </xf>
    <xf numFmtId="2" fontId="33" fillId="0" borderId="38" xfId="1" applyNumberFormat="1" applyFont="1" applyFill="1" applyBorder="1" applyAlignment="1">
      <alignment horizontal="center" vertical="center" wrapText="1"/>
    </xf>
    <xf numFmtId="0" fontId="34" fillId="0" borderId="0" xfId="1" applyFont="1" applyFill="1" applyBorder="1" applyAlignment="1">
      <alignment horizontal="center" vertical="center" wrapText="1"/>
    </xf>
    <xf numFmtId="1" fontId="33" fillId="0" borderId="15" xfId="1" applyNumberFormat="1" applyFont="1" applyFill="1" applyBorder="1" applyAlignment="1">
      <alignment horizontal="center" vertical="center" wrapText="1"/>
    </xf>
    <xf numFmtId="0" fontId="33" fillId="0" borderId="75" xfId="1" applyFont="1" applyFill="1" applyBorder="1" applyAlignment="1">
      <alignment horizontal="right" vertical="center" wrapText="1"/>
    </xf>
    <xf numFmtId="0" fontId="34" fillId="0" borderId="75" xfId="1" applyFont="1" applyFill="1" applyBorder="1" applyAlignment="1">
      <alignment horizontal="right" vertical="center"/>
    </xf>
    <xf numFmtId="0" fontId="33" fillId="0" borderId="61" xfId="1" applyFont="1" applyFill="1" applyBorder="1" applyAlignment="1">
      <alignment horizontal="right"/>
    </xf>
    <xf numFmtId="0" fontId="33" fillId="0" borderId="72" xfId="1" applyFont="1" applyFill="1" applyBorder="1"/>
    <xf numFmtId="167" fontId="33" fillId="0" borderId="72" xfId="1" applyNumberFormat="1" applyFont="1" applyFill="1" applyBorder="1"/>
    <xf numFmtId="0" fontId="33" fillId="0" borderId="7" xfId="1" applyFont="1" applyFill="1" applyBorder="1"/>
    <xf numFmtId="0" fontId="19" fillId="0" borderId="0" xfId="0" applyFont="1" applyFill="1"/>
    <xf numFmtId="2" fontId="20" fillId="0" borderId="0" xfId="0" applyNumberFormat="1" applyFont="1" applyFill="1"/>
    <xf numFmtId="1" fontId="20" fillId="0" borderId="0" xfId="0" applyNumberFormat="1" applyFont="1" applyFill="1"/>
    <xf numFmtId="0" fontId="33" fillId="0" borderId="32" xfId="1" applyFont="1" applyFill="1" applyBorder="1" applyAlignment="1">
      <alignment horizontal="center" vertical="center" wrapText="1"/>
    </xf>
    <xf numFmtId="0" fontId="33" fillId="0" borderId="33" xfId="1" applyFont="1" applyFill="1" applyBorder="1" applyAlignment="1">
      <alignment horizontal="center" vertical="center" wrapText="1"/>
    </xf>
    <xf numFmtId="0" fontId="33" fillId="0" borderId="36" xfId="1" applyFont="1" applyFill="1" applyBorder="1" applyAlignment="1">
      <alignment horizontal="center" vertical="center" wrapText="1"/>
    </xf>
    <xf numFmtId="0" fontId="33" fillId="0" borderId="32" xfId="1" applyFont="1" applyFill="1" applyBorder="1" applyAlignment="1">
      <alignment horizontal="center" vertical="center"/>
    </xf>
    <xf numFmtId="0" fontId="33" fillId="0" borderId="33" xfId="1" applyFont="1" applyFill="1" applyBorder="1" applyAlignment="1">
      <alignment horizontal="center" vertical="center"/>
    </xf>
    <xf numFmtId="0" fontId="33" fillId="0" borderId="34" xfId="1" applyFont="1" applyFill="1" applyBorder="1" applyAlignment="1">
      <alignment horizontal="center" vertical="center"/>
    </xf>
    <xf numFmtId="0" fontId="33" fillId="0" borderId="36" xfId="1" applyFont="1" applyFill="1" applyBorder="1" applyAlignment="1">
      <alignment horizontal="center" vertical="center"/>
    </xf>
    <xf numFmtId="164" fontId="33" fillId="0" borderId="41" xfId="1" applyNumberFormat="1" applyFont="1" applyFill="1" applyBorder="1" applyAlignment="1">
      <alignment horizontal="center" vertical="center" wrapText="1"/>
    </xf>
    <xf numFmtId="0" fontId="33" fillId="0" borderId="41" xfId="1" applyFont="1" applyFill="1" applyBorder="1" applyAlignment="1">
      <alignment horizontal="center" vertical="center"/>
    </xf>
    <xf numFmtId="2" fontId="33" fillId="0" borderId="42" xfId="1" applyNumberFormat="1" applyFont="1" applyFill="1" applyBorder="1" applyAlignment="1">
      <alignment horizontal="center" vertical="center"/>
    </xf>
    <xf numFmtId="164" fontId="33" fillId="0" borderId="41" xfId="1" applyNumberFormat="1" applyFont="1" applyFill="1" applyBorder="1" applyAlignment="1">
      <alignment horizontal="center" vertical="center"/>
    </xf>
    <xf numFmtId="164" fontId="33" fillId="0" borderId="23" xfId="1" applyNumberFormat="1" applyFont="1" applyFill="1" applyBorder="1" applyAlignment="1">
      <alignment horizontal="center" vertical="center"/>
    </xf>
    <xf numFmtId="2" fontId="33" fillId="0" borderId="44" xfId="1" applyNumberFormat="1" applyFont="1" applyFill="1" applyBorder="1" applyAlignment="1">
      <alignment horizontal="center" vertical="center"/>
    </xf>
    <xf numFmtId="164" fontId="33" fillId="0" borderId="38" xfId="1" applyNumberFormat="1" applyFont="1" applyFill="1" applyBorder="1" applyAlignment="1">
      <alignment horizontal="center" vertical="center" wrapText="1"/>
    </xf>
    <xf numFmtId="0" fontId="33" fillId="0" borderId="38" xfId="1" applyFont="1" applyFill="1" applyBorder="1" applyAlignment="1">
      <alignment horizontal="center" vertical="center"/>
    </xf>
    <xf numFmtId="2" fontId="33" fillId="0" borderId="61" xfId="1" applyNumberFormat="1" applyFont="1" applyFill="1" applyBorder="1" applyAlignment="1">
      <alignment horizontal="center" vertical="center"/>
    </xf>
    <xf numFmtId="2" fontId="34" fillId="0" borderId="11" xfId="1" applyNumberFormat="1" applyFont="1" applyFill="1" applyBorder="1" applyAlignment="1">
      <alignment horizontal="center" vertical="center"/>
    </xf>
    <xf numFmtId="2" fontId="34" fillId="0" borderId="35" xfId="1" applyNumberFormat="1" applyFont="1" applyFill="1" applyBorder="1" applyAlignment="1">
      <alignment horizontal="center" vertical="center"/>
    </xf>
    <xf numFmtId="2" fontId="34" fillId="0" borderId="22" xfId="1" applyNumberFormat="1" applyFont="1" applyFill="1" applyBorder="1" applyAlignment="1">
      <alignment horizontal="center" vertical="center"/>
    </xf>
    <xf numFmtId="0" fontId="33" fillId="0" borderId="67" xfId="1" applyFont="1" applyFill="1" applyBorder="1" applyAlignment="1">
      <alignment horizontal="center" vertical="center" wrapText="1"/>
    </xf>
    <xf numFmtId="167" fontId="33" fillId="0" borderId="40" xfId="1" applyNumberFormat="1" applyFont="1" applyFill="1" applyBorder="1" applyAlignment="1">
      <alignment horizontal="center" vertical="center"/>
    </xf>
    <xf numFmtId="167" fontId="33" fillId="0" borderId="41" xfId="1" applyNumberFormat="1" applyFont="1" applyFill="1" applyBorder="1" applyAlignment="1">
      <alignment horizontal="center" vertical="center"/>
    </xf>
    <xf numFmtId="167" fontId="33" fillId="0" borderId="42" xfId="1" applyNumberFormat="1" applyFont="1" applyFill="1" applyBorder="1" applyAlignment="1">
      <alignment horizontal="center" vertical="center"/>
    </xf>
    <xf numFmtId="164" fontId="33" fillId="0" borderId="38" xfId="1" applyNumberFormat="1" applyFont="1" applyFill="1" applyBorder="1" applyAlignment="1">
      <alignment horizontal="center" vertical="center"/>
    </xf>
    <xf numFmtId="167" fontId="33" fillId="0" borderId="37" xfId="1" applyNumberFormat="1" applyFont="1" applyFill="1" applyBorder="1" applyAlignment="1">
      <alignment horizontal="center" vertical="center"/>
    </xf>
    <xf numFmtId="167" fontId="33" fillId="0" borderId="38" xfId="1" applyNumberFormat="1" applyFont="1" applyFill="1" applyBorder="1" applyAlignment="1">
      <alignment horizontal="center" vertical="center"/>
    </xf>
    <xf numFmtId="167" fontId="33" fillId="0" borderId="61" xfId="1" applyNumberFormat="1" applyFont="1" applyFill="1" applyBorder="1" applyAlignment="1">
      <alignment horizontal="center" vertical="center"/>
    </xf>
    <xf numFmtId="2" fontId="33" fillId="0" borderId="56" xfId="1" applyNumberFormat="1" applyFont="1" applyFill="1" applyBorder="1" applyAlignment="1">
      <alignment horizontal="center" vertical="center"/>
    </xf>
    <xf numFmtId="0" fontId="20" fillId="6" borderId="1" xfId="1194" applyFont="1" applyFill="1" applyBorder="1"/>
    <xf numFmtId="0" fontId="20" fillId="6" borderId="62" xfId="1194" applyFont="1" applyFill="1" applyBorder="1"/>
    <xf numFmtId="0" fontId="20" fillId="6" borderId="3" xfId="1194" applyFont="1" applyFill="1" applyBorder="1"/>
    <xf numFmtId="0" fontId="20" fillId="0" borderId="0" xfId="1194" applyFont="1"/>
    <xf numFmtId="0" fontId="20" fillId="6" borderId="4" xfId="1194" applyFont="1" applyFill="1" applyBorder="1"/>
    <xf numFmtId="0" fontId="20" fillId="0" borderId="0" xfId="1" applyFont="1"/>
    <xf numFmtId="0" fontId="29" fillId="6" borderId="62" xfId="1" applyFont="1" applyFill="1" applyBorder="1" applyAlignment="1">
      <alignment horizontal="center"/>
    </xf>
    <xf numFmtId="0" fontId="159" fillId="6" borderId="4" xfId="213" applyFont="1" applyFill="1" applyBorder="1"/>
    <xf numFmtId="0" fontId="21" fillId="0" borderId="4" xfId="1" applyFont="1" applyBorder="1"/>
    <xf numFmtId="0" fontId="20" fillId="0" borderId="0" xfId="1" applyFont="1" applyBorder="1" applyAlignment="1">
      <alignment horizontal="center"/>
    </xf>
    <xf numFmtId="0" fontId="20" fillId="0" borderId="0" xfId="1" applyFont="1" applyBorder="1"/>
    <xf numFmtId="0" fontId="20" fillId="0" borderId="5" xfId="1" applyFont="1" applyBorder="1"/>
    <xf numFmtId="0" fontId="20" fillId="0" borderId="4" xfId="1" applyFont="1" applyBorder="1"/>
    <xf numFmtId="0" fontId="161" fillId="0" borderId="4" xfId="1" applyFont="1" applyBorder="1"/>
    <xf numFmtId="0" fontId="161" fillId="0" borderId="0" xfId="1194" applyFont="1" applyBorder="1" applyAlignment="1">
      <alignment horizontal="left" vertical="center"/>
    </xf>
    <xf numFmtId="0" fontId="20" fillId="0" borderId="0" xfId="1194" applyFont="1" applyBorder="1"/>
    <xf numFmtId="164" fontId="161" fillId="0" borderId="0" xfId="1194" applyNumberFormat="1" applyFont="1" applyBorder="1" applyAlignment="1">
      <alignment horizontal="center"/>
    </xf>
    <xf numFmtId="0" fontId="162" fillId="0" borderId="5" xfId="10628" applyFont="1" applyBorder="1" applyAlignment="1">
      <alignment vertical="top"/>
    </xf>
    <xf numFmtId="0" fontId="20" fillId="6" borderId="5" xfId="1194" applyFont="1" applyFill="1" applyBorder="1"/>
    <xf numFmtId="0" fontId="20" fillId="0" borderId="6" xfId="1" applyFont="1" applyBorder="1"/>
    <xf numFmtId="0" fontId="20" fillId="0" borderId="7" xfId="1" applyFont="1" applyBorder="1" applyAlignment="1">
      <alignment horizontal="center"/>
    </xf>
    <xf numFmtId="0" fontId="20" fillId="0" borderId="7" xfId="1" applyFont="1" applyBorder="1"/>
    <xf numFmtId="0" fontId="20" fillId="0" borderId="8" xfId="1" applyFont="1" applyBorder="1"/>
    <xf numFmtId="0" fontId="20" fillId="6" borderId="6" xfId="1194" applyFont="1" applyFill="1" applyBorder="1"/>
    <xf numFmtId="0" fontId="20" fillId="6" borderId="7" xfId="1" applyFont="1" applyFill="1" applyBorder="1"/>
    <xf numFmtId="0" fontId="20" fillId="6" borderId="7" xfId="1" applyFont="1" applyFill="1" applyBorder="1" applyAlignment="1">
      <alignment horizontal="center"/>
    </xf>
    <xf numFmtId="0" fontId="20" fillId="6" borderId="8" xfId="1" applyFont="1" applyFill="1" applyBorder="1"/>
    <xf numFmtId="0" fontId="20" fillId="0" borderId="0" xfId="1" applyFont="1" applyAlignment="1">
      <alignment horizontal="center"/>
    </xf>
    <xf numFmtId="1" fontId="45" fillId="6" borderId="126" xfId="63" applyNumberFormat="1" applyFont="1" applyFill="1" applyBorder="1" applyAlignment="1">
      <alignment horizontal="center" vertical="center" wrapText="1"/>
    </xf>
    <xf numFmtId="0" fontId="110" fillId="0" borderId="125" xfId="63" applyFont="1" applyFill="1" applyBorder="1" applyAlignment="1">
      <alignment horizontal="center" vertical="center" wrapText="1"/>
    </xf>
    <xf numFmtId="0" fontId="110" fillId="0" borderId="117" xfId="63" applyFont="1" applyFill="1" applyBorder="1" applyAlignment="1">
      <alignment horizontal="center" vertical="center" wrapText="1"/>
    </xf>
    <xf numFmtId="0" fontId="105" fillId="6" borderId="138" xfId="63" applyFont="1" applyFill="1" applyBorder="1" applyAlignment="1">
      <alignment horizontal="center" vertical="center" wrapText="1"/>
    </xf>
    <xf numFmtId="164" fontId="45" fillId="6" borderId="138" xfId="63" applyNumberFormat="1" applyFont="1" applyFill="1" applyBorder="1" applyAlignment="1">
      <alignment horizontal="center" vertical="center" wrapText="1"/>
    </xf>
    <xf numFmtId="164" fontId="45" fillId="6" borderId="139" xfId="63" applyNumberFormat="1" applyFont="1" applyFill="1" applyBorder="1" applyAlignment="1">
      <alignment horizontal="center" vertical="center" wrapText="1"/>
    </xf>
    <xf numFmtId="164" fontId="45" fillId="0" borderId="16" xfId="63" applyNumberFormat="1" applyFont="1" applyBorder="1" applyAlignment="1">
      <alignment horizontal="center" vertical="center" wrapText="1"/>
    </xf>
    <xf numFmtId="164" fontId="45" fillId="0" borderId="17" xfId="63" applyNumberFormat="1" applyFont="1" applyBorder="1" applyAlignment="1">
      <alignment horizontal="center" vertical="center" wrapText="1"/>
    </xf>
    <xf numFmtId="164" fontId="45" fillId="6" borderId="16" xfId="63" applyNumberFormat="1" applyFont="1" applyFill="1" applyBorder="1" applyAlignment="1">
      <alignment horizontal="center" vertical="center" wrapText="1"/>
    </xf>
    <xf numFmtId="164" fontId="45" fillId="6" borderId="17" xfId="63" applyNumberFormat="1" applyFont="1" applyFill="1" applyBorder="1" applyAlignment="1">
      <alignment horizontal="center" vertical="center" wrapText="1"/>
    </xf>
    <xf numFmtId="164" fontId="45" fillId="0" borderId="16" xfId="63" applyNumberFormat="1" applyFont="1" applyFill="1" applyBorder="1" applyAlignment="1">
      <alignment horizontal="center" vertical="center" wrapText="1"/>
    </xf>
    <xf numFmtId="164" fontId="45" fillId="0" borderId="17" xfId="63" applyNumberFormat="1" applyFont="1" applyFill="1" applyBorder="1" applyAlignment="1">
      <alignment horizontal="center" vertical="center" wrapText="1"/>
    </xf>
    <xf numFmtId="164" fontId="45" fillId="0" borderId="55" xfId="63" applyNumberFormat="1" applyFont="1" applyFill="1" applyBorder="1" applyAlignment="1">
      <alignment horizontal="center" vertical="center" wrapText="1"/>
    </xf>
    <xf numFmtId="164" fontId="45" fillId="0" borderId="11" xfId="63" applyNumberFormat="1" applyFont="1" applyFill="1" applyBorder="1" applyAlignment="1">
      <alignment horizontal="center" vertical="center" wrapText="1"/>
    </xf>
    <xf numFmtId="164" fontId="45" fillId="0" borderId="10" xfId="63" applyNumberFormat="1" applyFont="1" applyFill="1" applyBorder="1" applyAlignment="1">
      <alignment horizontal="center" vertical="center" wrapText="1"/>
    </xf>
    <xf numFmtId="164" fontId="45" fillId="0" borderId="47" xfId="63" applyNumberFormat="1" applyFont="1" applyFill="1" applyBorder="1" applyAlignment="1">
      <alignment horizontal="center" vertical="center"/>
    </xf>
    <xf numFmtId="0" fontId="34" fillId="0" borderId="0" xfId="1" applyFont="1" applyFill="1" applyBorder="1" applyAlignment="1">
      <alignment horizontal="center" vertical="center"/>
    </xf>
    <xf numFmtId="2" fontId="33" fillId="0" borderId="41" xfId="1" quotePrefix="1" applyNumberFormat="1" applyFont="1" applyFill="1" applyBorder="1" applyAlignment="1">
      <alignment horizontal="center" vertical="center"/>
    </xf>
    <xf numFmtId="0" fontId="33" fillId="0" borderId="3" xfId="1" applyFont="1" applyFill="1" applyBorder="1" applyAlignment="1">
      <alignment horizontal="center" vertical="center" wrapText="1"/>
    </xf>
    <xf numFmtId="0" fontId="33" fillId="0" borderId="9" xfId="1" applyFont="1" applyFill="1" applyBorder="1" applyAlignment="1">
      <alignment horizontal="center" vertical="center" wrapText="1"/>
    </xf>
    <xf numFmtId="167" fontId="33" fillId="0" borderId="34" xfId="1" applyNumberFormat="1" applyFont="1" applyFill="1" applyBorder="1" applyAlignment="1">
      <alignment horizontal="center" vertical="center"/>
    </xf>
    <xf numFmtId="0" fontId="45" fillId="0" borderId="126" xfId="0" applyFont="1" applyFill="1" applyBorder="1" applyAlignment="1">
      <alignment horizontal="center" vertical="center" wrapText="1"/>
    </xf>
    <xf numFmtId="0" fontId="45" fillId="0" borderId="126" xfId="0" applyFont="1" applyFill="1" applyBorder="1" applyAlignment="1">
      <alignment horizontal="center" vertical="center"/>
    </xf>
    <xf numFmtId="0" fontId="30" fillId="0" borderId="0" xfId="0" applyFont="1" applyBorder="1"/>
    <xf numFmtId="0" fontId="45" fillId="6" borderId="126" xfId="0" applyFont="1" applyFill="1" applyBorder="1" applyAlignment="1">
      <alignment horizontal="center" vertical="center" wrapText="1"/>
    </xf>
    <xf numFmtId="1" fontId="33" fillId="0" borderId="40" xfId="1" applyNumberFormat="1" applyFont="1" applyFill="1" applyBorder="1" applyAlignment="1">
      <alignment horizontal="center" vertical="center" wrapText="1"/>
    </xf>
    <xf numFmtId="1" fontId="33" fillId="0" borderId="37" xfId="1" applyNumberFormat="1" applyFont="1" applyFill="1" applyBorder="1" applyAlignment="1">
      <alignment horizontal="center" vertical="center" wrapText="1"/>
    </xf>
    <xf numFmtId="2" fontId="45" fillId="0" borderId="46" xfId="63" quotePrefix="1" applyNumberFormat="1" applyFont="1" applyFill="1" applyBorder="1" applyAlignment="1">
      <alignment horizontal="center" vertical="center" wrapText="1"/>
    </xf>
    <xf numFmtId="2" fontId="45" fillId="0" borderId="48" xfId="63" quotePrefix="1" applyNumberFormat="1" applyFont="1" applyFill="1" applyBorder="1" applyAlignment="1">
      <alignment horizontal="center" vertical="center" wrapText="1"/>
    </xf>
    <xf numFmtId="2" fontId="29" fillId="0" borderId="37" xfId="0" applyNumberFormat="1" applyFont="1" applyBorder="1" applyAlignment="1">
      <alignment horizontal="center" vertical="center"/>
    </xf>
    <xf numFmtId="2" fontId="29" fillId="0" borderId="61" xfId="0" applyNumberFormat="1" applyFont="1" applyBorder="1" applyAlignment="1">
      <alignment horizontal="center" vertical="center"/>
    </xf>
    <xf numFmtId="2" fontId="29" fillId="0" borderId="54" xfId="0" applyNumberFormat="1" applyFont="1" applyBorder="1" applyAlignment="1">
      <alignment horizontal="center" vertical="center"/>
    </xf>
    <xf numFmtId="2" fontId="45" fillId="0" borderId="125" xfId="63" quotePrefix="1" applyNumberFormat="1" applyFont="1" applyFill="1" applyBorder="1" applyAlignment="1">
      <alignment horizontal="center" vertical="center" wrapText="1"/>
    </xf>
    <xf numFmtId="2" fontId="45" fillId="0" borderId="117" xfId="63" quotePrefix="1" applyNumberFormat="1" applyFont="1" applyFill="1" applyBorder="1" applyAlignment="1">
      <alignment horizontal="center" vertical="center" wrapText="1"/>
    </xf>
    <xf numFmtId="2" fontId="45" fillId="6" borderId="125" xfId="63" quotePrefix="1" applyNumberFormat="1" applyFont="1" applyFill="1" applyBorder="1" applyAlignment="1">
      <alignment horizontal="center" vertical="center" wrapText="1"/>
    </xf>
    <xf numFmtId="2" fontId="45" fillId="6" borderId="117" xfId="63" quotePrefix="1" applyNumberFormat="1" applyFont="1" applyFill="1" applyBorder="1" applyAlignment="1">
      <alignment horizontal="center" vertical="center" wrapText="1"/>
    </xf>
    <xf numFmtId="164" fontId="19" fillId="0" borderId="0" xfId="1" applyNumberFormat="1"/>
    <xf numFmtId="2" fontId="19" fillId="0" borderId="0" xfId="1" applyNumberFormat="1"/>
    <xf numFmtId="0" fontId="19" fillId="0" borderId="0" xfId="1" applyFont="1" applyBorder="1"/>
    <xf numFmtId="0" fontId="19" fillId="6" borderId="1" xfId="1" applyFill="1" applyBorder="1"/>
    <xf numFmtId="0" fontId="19" fillId="6" borderId="2" xfId="1" applyFill="1" applyBorder="1"/>
    <xf numFmtId="0" fontId="19" fillId="6" borderId="3" xfId="1" applyFill="1" applyBorder="1"/>
    <xf numFmtId="0" fontId="19" fillId="6" borderId="4" xfId="1" applyFill="1" applyBorder="1"/>
    <xf numFmtId="0" fontId="19" fillId="6" borderId="5" xfId="1" applyFill="1" applyBorder="1"/>
    <xf numFmtId="0" fontId="19" fillId="6" borderId="6" xfId="1" applyFill="1" applyBorder="1"/>
    <xf numFmtId="0" fontId="20" fillId="4" borderId="0" xfId="1" applyFont="1" applyFill="1"/>
    <xf numFmtId="0" fontId="26" fillId="6" borderId="1" xfId="1" applyFont="1" applyFill="1" applyBorder="1" applyAlignment="1">
      <alignment horizontal="center" vertical="center"/>
    </xf>
    <xf numFmtId="0" fontId="26" fillId="6" borderId="2" xfId="1" applyFont="1" applyFill="1" applyBorder="1" applyAlignment="1">
      <alignment horizontal="center" vertical="center"/>
    </xf>
    <xf numFmtId="0" fontId="26" fillId="6" borderId="3" xfId="1" applyFont="1" applyFill="1" applyBorder="1" applyAlignment="1">
      <alignment horizontal="center" vertical="center"/>
    </xf>
    <xf numFmtId="176" fontId="53" fillId="6" borderId="126" xfId="10649" applyNumberFormat="1" applyFont="1" applyFill="1" applyBorder="1" applyAlignment="1">
      <alignment horizontal="center" vertical="center" wrapText="1"/>
    </xf>
    <xf numFmtId="0" fontId="53" fillId="3" borderId="125" xfId="10644" applyFont="1" applyFill="1" applyBorder="1" applyAlignment="1">
      <alignment horizontal="center" vertical="center" wrapText="1"/>
    </xf>
    <xf numFmtId="0" fontId="53" fillId="3" borderId="126" xfId="10644" applyFont="1" applyFill="1" applyBorder="1" applyAlignment="1">
      <alignment horizontal="center" vertical="center" wrapText="1"/>
    </xf>
    <xf numFmtId="14" fontId="53" fillId="3" borderId="126" xfId="10644" applyNumberFormat="1" applyFont="1" applyFill="1" applyBorder="1" applyAlignment="1">
      <alignment horizontal="center" vertical="center" wrapText="1"/>
    </xf>
    <xf numFmtId="176" fontId="53" fillId="3" borderId="126" xfId="10649" applyNumberFormat="1" applyFont="1" applyFill="1" applyBorder="1" applyAlignment="1">
      <alignment horizontal="center" vertical="center" wrapText="1"/>
    </xf>
    <xf numFmtId="0" fontId="53" fillId="3" borderId="117" xfId="10644" applyFont="1" applyFill="1" applyBorder="1" applyAlignment="1">
      <alignment horizontal="center" vertical="center" wrapText="1"/>
    </xf>
    <xf numFmtId="0" fontId="53" fillId="6" borderId="125" xfId="10644" applyFont="1" applyFill="1" applyBorder="1" applyAlignment="1">
      <alignment horizontal="center" vertical="center" wrapText="1"/>
    </xf>
    <xf numFmtId="0" fontId="53" fillId="6" borderId="126" xfId="10644" applyFont="1" applyFill="1" applyBorder="1" applyAlignment="1">
      <alignment horizontal="center" vertical="center" wrapText="1"/>
    </xf>
    <xf numFmtId="14" fontId="53" fillId="6" borderId="126" xfId="10644" applyNumberFormat="1" applyFont="1" applyFill="1" applyBorder="1" applyAlignment="1">
      <alignment horizontal="center" vertical="center" wrapText="1"/>
    </xf>
    <xf numFmtId="0" fontId="53" fillId="6" borderId="117" xfId="10644" applyFont="1" applyFill="1" applyBorder="1" applyAlignment="1">
      <alignment horizontal="center" vertical="center" wrapText="1"/>
    </xf>
    <xf numFmtId="0" fontId="167" fillId="0" borderId="0" xfId="10656" applyFont="1" applyFill="1" applyBorder="1"/>
    <xf numFmtId="207" fontId="45" fillId="6" borderId="125" xfId="10643" applyNumberFormat="1" applyFont="1" applyFill="1" applyBorder="1" applyAlignment="1">
      <alignment horizontal="center" vertical="center"/>
    </xf>
    <xf numFmtId="0" fontId="45" fillId="6" borderId="129" xfId="10643" applyFont="1" applyFill="1" applyBorder="1" applyAlignment="1">
      <alignment horizontal="center" vertical="center"/>
    </xf>
    <xf numFmtId="207" fontId="45" fillId="6" borderId="117" xfId="10643" applyNumberFormat="1" applyFont="1" applyFill="1" applyBorder="1" applyAlignment="1">
      <alignment horizontal="center" vertical="center"/>
    </xf>
    <xf numFmtId="0" fontId="45" fillId="0" borderId="129" xfId="10643" applyFont="1" applyFill="1" applyBorder="1" applyAlignment="1">
      <alignment horizontal="center" vertical="center"/>
    </xf>
    <xf numFmtId="207" fontId="45" fillId="0" borderId="125" xfId="10643" applyNumberFormat="1" applyFont="1" applyFill="1" applyBorder="1" applyAlignment="1">
      <alignment horizontal="center" vertical="center"/>
    </xf>
    <xf numFmtId="207" fontId="45" fillId="0" borderId="117" xfId="10643" applyNumberFormat="1" applyFont="1" applyFill="1" applyBorder="1" applyAlignment="1">
      <alignment horizontal="center" vertical="center"/>
    </xf>
    <xf numFmtId="0" fontId="167" fillId="0" borderId="0" xfId="10656" applyFont="1" applyFill="1"/>
    <xf numFmtId="0" fontId="45" fillId="0" borderId="126" xfId="10657" applyFont="1" applyFill="1" applyBorder="1" applyAlignment="1">
      <alignment horizontal="center" vertical="center" wrapText="1"/>
    </xf>
    <xf numFmtId="2" fontId="45" fillId="0" borderId="117" xfId="10652" applyNumberFormat="1" applyFont="1" applyFill="1" applyBorder="1" applyAlignment="1">
      <alignment horizontal="center" vertical="center" wrapText="1"/>
    </xf>
    <xf numFmtId="0" fontId="45" fillId="0" borderId="126" xfId="10652" applyFont="1" applyFill="1" applyBorder="1" applyAlignment="1">
      <alignment horizontal="center" vertical="center" wrapText="1"/>
    </xf>
    <xf numFmtId="164" fontId="45" fillId="0" borderId="126" xfId="10652" applyNumberFormat="1" applyFont="1" applyFill="1" applyBorder="1" applyAlignment="1">
      <alignment horizontal="center" vertical="center" wrapText="1"/>
    </xf>
    <xf numFmtId="1" fontId="45" fillId="0" borderId="126" xfId="10652" applyNumberFormat="1" applyFont="1" applyFill="1" applyBorder="1" applyAlignment="1">
      <alignment horizontal="center" vertical="center" wrapText="1"/>
    </xf>
    <xf numFmtId="164" fontId="45" fillId="0" borderId="117" xfId="10652" applyNumberFormat="1" applyFont="1" applyFill="1" applyBorder="1" applyAlignment="1">
      <alignment horizontal="center" vertical="center" wrapText="1"/>
    </xf>
    <xf numFmtId="4" fontId="45" fillId="0" borderId="126" xfId="10652" applyNumberFormat="1" applyFont="1" applyFill="1" applyBorder="1" applyAlignment="1">
      <alignment horizontal="center" vertical="center" wrapText="1"/>
    </xf>
    <xf numFmtId="0" fontId="19" fillId="0" borderId="0" xfId="10656"/>
    <xf numFmtId="0" fontId="45" fillId="0" borderId="0" xfId="10656" applyFont="1" applyFill="1"/>
    <xf numFmtId="0" fontId="45" fillId="0" borderId="0" xfId="10656" applyFont="1" applyFill="1" applyBorder="1"/>
    <xf numFmtId="0" fontId="53" fillId="0" borderId="0" xfId="10656" applyFont="1" applyFill="1" applyBorder="1" applyAlignment="1">
      <alignment vertical="top" wrapText="1"/>
    </xf>
    <xf numFmtId="0" fontId="45" fillId="0" borderId="57" xfId="10656" applyFont="1" applyFill="1" applyBorder="1"/>
    <xf numFmtId="0" fontId="110" fillId="0" borderId="117" xfId="10661" applyFont="1" applyFill="1" applyBorder="1" applyAlignment="1">
      <alignment horizontal="center" vertical="center" wrapText="1"/>
    </xf>
    <xf numFmtId="0" fontId="110" fillId="0" borderId="125" xfId="10661" applyFont="1" applyFill="1" applyBorder="1" applyAlignment="1">
      <alignment horizontal="center" vertical="center" wrapText="1"/>
    </xf>
    <xf numFmtId="2" fontId="45" fillId="42" borderId="16" xfId="63" applyNumberFormat="1" applyFont="1" applyFill="1" applyBorder="1" applyAlignment="1">
      <alignment horizontal="center" vertical="center" wrapText="1"/>
    </xf>
    <xf numFmtId="2" fontId="45" fillId="42" borderId="17" xfId="63" applyNumberFormat="1" applyFont="1" applyFill="1" applyBorder="1" applyAlignment="1">
      <alignment horizontal="center" vertical="center" wrapText="1"/>
    </xf>
    <xf numFmtId="2" fontId="45" fillId="42" borderId="125" xfId="63" applyNumberFormat="1" applyFont="1" applyFill="1" applyBorder="1" applyAlignment="1">
      <alignment horizontal="center" vertical="center" wrapText="1"/>
    </xf>
    <xf numFmtId="2" fontId="45" fillId="42" borderId="117" xfId="63" applyNumberFormat="1" applyFont="1" applyFill="1" applyBorder="1" applyAlignment="1">
      <alignment horizontal="center" vertical="center" wrapText="1"/>
    </xf>
    <xf numFmtId="2" fontId="45" fillId="73" borderId="16" xfId="63" applyNumberFormat="1" applyFont="1" applyFill="1" applyBorder="1" applyAlignment="1">
      <alignment horizontal="center" vertical="center" wrapText="1"/>
    </xf>
    <xf numFmtId="2" fontId="45" fillId="73" borderId="17" xfId="63" applyNumberFormat="1" applyFont="1" applyFill="1" applyBorder="1" applyAlignment="1">
      <alignment horizontal="center" vertical="center" wrapText="1"/>
    </xf>
    <xf numFmtId="2" fontId="45" fillId="0" borderId="55" xfId="63" applyNumberFormat="1" applyFont="1" applyFill="1" applyBorder="1" applyAlignment="1">
      <alignment horizontal="center" vertical="center" wrapText="1"/>
    </xf>
    <xf numFmtId="2" fontId="45" fillId="0" borderId="50" xfId="63" applyNumberFormat="1" applyFont="1" applyFill="1" applyBorder="1" applyAlignment="1">
      <alignment horizontal="center" vertical="center" wrapText="1"/>
    </xf>
    <xf numFmtId="2" fontId="45" fillId="0" borderId="0" xfId="63" applyNumberFormat="1" applyFont="1"/>
    <xf numFmtId="164" fontId="45" fillId="73" borderId="15" xfId="63" applyNumberFormat="1" applyFont="1" applyFill="1" applyBorder="1" applyAlignment="1">
      <alignment horizontal="center" vertical="center" wrapText="1"/>
    </xf>
    <xf numFmtId="0" fontId="19" fillId="3" borderId="7" xfId="95" applyFont="1" applyFill="1" applyBorder="1" applyAlignment="1">
      <alignment horizontal="center" vertical="center"/>
    </xf>
    <xf numFmtId="0" fontId="19" fillId="3" borderId="4" xfId="95" applyFont="1" applyFill="1" applyBorder="1" applyAlignment="1">
      <alignment vertical="center"/>
    </xf>
    <xf numFmtId="0" fontId="19" fillId="3" borderId="6" xfId="95" applyFont="1" applyFill="1" applyBorder="1" applyAlignment="1">
      <alignment vertical="center"/>
    </xf>
    <xf numFmtId="0" fontId="19" fillId="3" borderId="0" xfId="95" applyFont="1" applyFill="1" applyBorder="1" applyAlignment="1">
      <alignment horizontal="center" vertical="center"/>
    </xf>
    <xf numFmtId="0" fontId="20" fillId="6" borderId="1" xfId="1" applyFont="1" applyFill="1" applyBorder="1"/>
    <xf numFmtId="0" fontId="20" fillId="6" borderId="2" xfId="1" applyFont="1" applyFill="1" applyBorder="1"/>
    <xf numFmtId="0" fontId="20" fillId="6" borderId="3" xfId="1" applyFont="1" applyFill="1" applyBorder="1"/>
    <xf numFmtId="0" fontId="20" fillId="6" borderId="4" xfId="1" applyFont="1" applyFill="1" applyBorder="1"/>
    <xf numFmtId="0" fontId="21" fillId="6" borderId="5" xfId="1" applyFont="1" applyFill="1" applyBorder="1" applyAlignment="1">
      <alignment vertical="center"/>
    </xf>
    <xf numFmtId="0" fontId="20" fillId="6" borderId="6" xfId="1" applyFont="1" applyFill="1" applyBorder="1"/>
    <xf numFmtId="0" fontId="21" fillId="6" borderId="7" xfId="1" applyFont="1" applyFill="1" applyBorder="1" applyAlignment="1">
      <alignment horizontal="center" vertical="center"/>
    </xf>
    <xf numFmtId="0" fontId="21" fillId="6" borderId="8" xfId="1" applyFont="1" applyFill="1" applyBorder="1" applyAlignment="1">
      <alignment horizontal="center" vertical="center"/>
    </xf>
    <xf numFmtId="0" fontId="22" fillId="6" borderId="0" xfId="1" applyFont="1" applyFill="1" applyBorder="1" applyAlignment="1">
      <alignment horizontal="center" vertical="center"/>
    </xf>
    <xf numFmtId="0" fontId="22" fillId="6" borderId="5" xfId="1" applyFont="1" applyFill="1" applyBorder="1" applyAlignment="1">
      <alignment horizontal="center" vertical="center"/>
    </xf>
    <xf numFmtId="0" fontId="182" fillId="0" borderId="0" xfId="1" applyFont="1"/>
    <xf numFmtId="9" fontId="182" fillId="0" borderId="0" xfId="8333" applyFont="1"/>
    <xf numFmtId="11" fontId="19" fillId="0" borderId="0" xfId="1" applyNumberFormat="1"/>
    <xf numFmtId="0" fontId="22" fillId="6" borderId="0" xfId="1" applyFont="1" applyFill="1" applyBorder="1" applyAlignment="1">
      <alignment horizontal="center"/>
    </xf>
    <xf numFmtId="11" fontId="20" fillId="6" borderId="0" xfId="1" applyNumberFormat="1" applyFont="1" applyFill="1" applyBorder="1" applyAlignment="1">
      <alignment horizontal="center"/>
    </xf>
    <xf numFmtId="2" fontId="20" fillId="6" borderId="0" xfId="1" applyNumberFormat="1" applyFont="1" applyFill="1" applyBorder="1" applyAlignment="1">
      <alignment horizontal="center" vertical="center"/>
    </xf>
    <xf numFmtId="0" fontId="20" fillId="6" borderId="0" xfId="1" applyFont="1" applyFill="1" applyBorder="1" applyAlignment="1">
      <alignment horizontal="center" vertical="center"/>
    </xf>
    <xf numFmtId="0" fontId="20" fillId="6" borderId="0" xfId="1" applyFont="1" applyFill="1" applyBorder="1"/>
    <xf numFmtId="167" fontId="20" fillId="6" borderId="5" xfId="1" applyNumberFormat="1" applyFont="1" applyFill="1" applyBorder="1" applyAlignment="1">
      <alignment horizontal="center"/>
    </xf>
    <xf numFmtId="167" fontId="20" fillId="6" borderId="0" xfId="1" applyNumberFormat="1" applyFont="1" applyFill="1" applyBorder="1"/>
    <xf numFmtId="167" fontId="20" fillId="6" borderId="5" xfId="1" applyNumberFormat="1" applyFont="1" applyFill="1" applyBorder="1"/>
    <xf numFmtId="0" fontId="183" fillId="4" borderId="1" xfId="1" applyFont="1" applyFill="1" applyBorder="1" applyAlignment="1">
      <alignment vertical="center"/>
    </xf>
    <xf numFmtId="0" fontId="31" fillId="4" borderId="2" xfId="1" applyFont="1" applyFill="1" applyBorder="1" applyAlignment="1">
      <alignment vertical="center"/>
    </xf>
    <xf numFmtId="0" fontId="20" fillId="4" borderId="2" xfId="1" applyFont="1" applyFill="1" applyBorder="1"/>
    <xf numFmtId="0" fontId="20" fillId="4" borderId="3" xfId="1" applyFont="1" applyFill="1" applyBorder="1"/>
    <xf numFmtId="0" fontId="32" fillId="4" borderId="4" xfId="1" applyFont="1" applyFill="1" applyBorder="1" applyAlignment="1">
      <alignment vertical="center"/>
    </xf>
    <xf numFmtId="0" fontId="31" fillId="4" borderId="0" xfId="1" applyFont="1" applyFill="1" applyBorder="1" applyAlignment="1">
      <alignment vertical="center" wrapText="1"/>
    </xf>
    <xf numFmtId="0" fontId="20" fillId="4" borderId="0" xfId="1" applyFont="1" applyFill="1" applyBorder="1"/>
    <xf numFmtId="0" fontId="20" fillId="4" borderId="5" xfId="1" applyFont="1" applyFill="1" applyBorder="1"/>
    <xf numFmtId="0" fontId="38" fillId="6" borderId="0" xfId="1" applyFont="1" applyFill="1" applyBorder="1" applyAlignment="1">
      <alignment horizontal="left"/>
    </xf>
    <xf numFmtId="0" fontId="38" fillId="6" borderId="5" xfId="1" applyFont="1" applyFill="1" applyBorder="1" applyAlignment="1">
      <alignment horizontal="left"/>
    </xf>
    <xf numFmtId="2" fontId="22" fillId="4" borderId="39" xfId="1" applyNumberFormat="1" applyFont="1" applyFill="1" applyBorder="1" applyAlignment="1">
      <alignment horizontal="center" vertical="center"/>
    </xf>
    <xf numFmtId="1" fontId="19" fillId="0" borderId="0" xfId="1" applyNumberFormat="1"/>
    <xf numFmtId="4" fontId="19" fillId="0" borderId="0" xfId="1" applyNumberFormat="1"/>
    <xf numFmtId="0" fontId="22" fillId="6" borderId="2" xfId="1" applyFont="1" applyFill="1" applyBorder="1" applyAlignment="1">
      <alignment horizontal="center" vertical="center"/>
    </xf>
    <xf numFmtId="0" fontId="22" fillId="6" borderId="3" xfId="1" applyFont="1" applyFill="1" applyBorder="1" applyAlignment="1">
      <alignment horizontal="center" vertical="center"/>
    </xf>
    <xf numFmtId="9" fontId="20" fillId="6" borderId="5" xfId="8333" applyFont="1" applyFill="1" applyBorder="1" applyAlignment="1">
      <alignment vertical="center"/>
    </xf>
    <xf numFmtId="167" fontId="20" fillId="4" borderId="2" xfId="1" applyNumberFormat="1" applyFont="1" applyFill="1" applyBorder="1"/>
    <xf numFmtId="167" fontId="20" fillId="4" borderId="3" xfId="1" applyNumberFormat="1" applyFont="1" applyFill="1" applyBorder="1"/>
    <xf numFmtId="167" fontId="20" fillId="4" borderId="0" xfId="1" applyNumberFormat="1" applyFont="1" applyFill="1" applyBorder="1"/>
    <xf numFmtId="167" fontId="20" fillId="4" borderId="5" xfId="1" applyNumberFormat="1" applyFont="1" applyFill="1" applyBorder="1"/>
    <xf numFmtId="167" fontId="20" fillId="4" borderId="7" xfId="1" applyNumberFormat="1" applyFont="1" applyFill="1" applyBorder="1"/>
    <xf numFmtId="167" fontId="20" fillId="4" borderId="8" xfId="1" applyNumberFormat="1" applyFont="1" applyFill="1" applyBorder="1"/>
    <xf numFmtId="167" fontId="20" fillId="4" borderId="4" xfId="1" applyNumberFormat="1" applyFont="1" applyFill="1" applyBorder="1"/>
    <xf numFmtId="167" fontId="20" fillId="4" borderId="6" xfId="1" applyNumberFormat="1" applyFont="1" applyFill="1" applyBorder="1"/>
    <xf numFmtId="167" fontId="22" fillId="4" borderId="1" xfId="1" applyNumberFormat="1" applyFont="1" applyFill="1" applyBorder="1"/>
    <xf numFmtId="0" fontId="60" fillId="0" borderId="0" xfId="0" applyFont="1"/>
    <xf numFmtId="0" fontId="60" fillId="0" borderId="4" xfId="0" applyFont="1" applyBorder="1" applyAlignment="1">
      <alignment horizontal="left"/>
    </xf>
    <xf numFmtId="209" fontId="60" fillId="0" borderId="0" xfId="0" applyNumberFormat="1" applyFont="1" applyBorder="1" applyAlignment="1" applyProtection="1">
      <alignment horizontal="center"/>
    </xf>
    <xf numFmtId="209" fontId="60" fillId="0" borderId="5" xfId="0" applyNumberFormat="1" applyFont="1" applyBorder="1" applyAlignment="1" applyProtection="1">
      <alignment horizontal="center"/>
    </xf>
    <xf numFmtId="209" fontId="60" fillId="0" borderId="5" xfId="0" applyNumberFormat="1" applyFont="1" applyFill="1" applyBorder="1" applyAlignment="1" applyProtection="1">
      <alignment horizontal="center"/>
    </xf>
    <xf numFmtId="0" fontId="60" fillId="0" borderId="4" xfId="0" applyFont="1" applyBorder="1" applyAlignment="1" applyProtection="1">
      <alignment horizontal="left" vertical="center"/>
    </xf>
    <xf numFmtId="0" fontId="60" fillId="76" borderId="4" xfId="0" applyFont="1" applyFill="1" applyBorder="1" applyAlignment="1" applyProtection="1">
      <alignment horizontal="left" vertical="center"/>
    </xf>
    <xf numFmtId="0" fontId="60" fillId="77" borderId="4" xfId="0" applyFont="1" applyFill="1" applyBorder="1" applyAlignment="1" applyProtection="1">
      <alignment horizontal="left" vertical="center"/>
    </xf>
    <xf numFmtId="0" fontId="60" fillId="78" borderId="4" xfId="0" applyFont="1" applyFill="1" applyBorder="1" applyAlignment="1" applyProtection="1">
      <alignment horizontal="left" vertical="center"/>
    </xf>
    <xf numFmtId="0" fontId="60" fillId="79" borderId="4" xfId="0" applyFont="1" applyFill="1" applyBorder="1" applyAlignment="1" applyProtection="1">
      <alignment horizontal="left" vertical="center"/>
    </xf>
    <xf numFmtId="0" fontId="60" fillId="80" borderId="4" xfId="0" applyFont="1" applyFill="1" applyBorder="1" applyAlignment="1" applyProtection="1">
      <alignment horizontal="left" vertical="center"/>
    </xf>
    <xf numFmtId="0" fontId="60" fillId="0" borderId="0" xfId="0" applyFont="1" applyBorder="1"/>
    <xf numFmtId="11" fontId="0" fillId="0" borderId="0" xfId="0" applyNumberFormat="1"/>
    <xf numFmtId="165" fontId="0" fillId="0" borderId="0" xfId="0" applyNumberFormat="1" applyFill="1" applyBorder="1" applyAlignment="1">
      <alignment horizontal="center"/>
    </xf>
    <xf numFmtId="165" fontId="0" fillId="0" borderId="0" xfId="0" applyNumberFormat="1"/>
    <xf numFmtId="0" fontId="60" fillId="0" borderId="4" xfId="0" applyFont="1" applyFill="1" applyBorder="1" applyAlignment="1" applyProtection="1">
      <alignment horizontal="left" vertical="center"/>
    </xf>
    <xf numFmtId="0" fontId="185" fillId="0" borderId="0" xfId="0" applyFont="1" applyAlignment="1">
      <alignment vertical="top" wrapText="1"/>
    </xf>
    <xf numFmtId="0" fontId="186" fillId="0" borderId="0" xfId="0" applyFont="1" applyBorder="1" applyAlignment="1">
      <alignment horizontal="left" vertical="top" wrapText="1"/>
    </xf>
    <xf numFmtId="210" fontId="184" fillId="0" borderId="0" xfId="0" applyNumberFormat="1" applyFont="1" applyBorder="1" applyAlignment="1">
      <alignment horizontal="left" vertical="top" wrapText="1"/>
    </xf>
    <xf numFmtId="211" fontId="184" fillId="0" borderId="0" xfId="0" applyNumberFormat="1" applyFont="1" applyBorder="1" applyAlignment="1">
      <alignment horizontal="left" vertical="top" wrapText="1"/>
    </xf>
    <xf numFmtId="0" fontId="60" fillId="81" borderId="4" xfId="0" applyFont="1" applyFill="1" applyBorder="1" applyAlignment="1">
      <alignment horizontal="left"/>
    </xf>
    <xf numFmtId="0" fontId="60" fillId="81" borderId="4" xfId="0" applyFont="1" applyFill="1" applyBorder="1" applyAlignment="1" applyProtection="1">
      <alignment horizontal="left" vertical="center"/>
    </xf>
    <xf numFmtId="210" fontId="191" fillId="6" borderId="0" xfId="0" applyNumberFormat="1" applyFont="1" applyFill="1" applyBorder="1" applyAlignment="1">
      <alignment horizontal="left" vertical="top" wrapText="1"/>
    </xf>
    <xf numFmtId="0" fontId="60" fillId="6" borderId="4" xfId="0" applyFont="1" applyFill="1" applyBorder="1" applyAlignment="1" applyProtection="1">
      <alignment horizontal="left" vertical="center"/>
    </xf>
    <xf numFmtId="209" fontId="60" fillId="0" borderId="22" xfId="0" applyNumberFormat="1" applyFont="1" applyBorder="1" applyAlignment="1" applyProtection="1">
      <alignment horizontal="center"/>
    </xf>
    <xf numFmtId="209" fontId="60" fillId="6" borderId="0" xfId="0" applyNumberFormat="1" applyFont="1" applyFill="1" applyBorder="1" applyAlignment="1" applyProtection="1">
      <alignment horizontal="center"/>
    </xf>
    <xf numFmtId="209" fontId="60" fillId="81" borderId="5" xfId="0" applyNumberFormat="1" applyFont="1" applyFill="1" applyBorder="1" applyAlignment="1" applyProtection="1">
      <alignment horizontal="center"/>
    </xf>
    <xf numFmtId="209" fontId="60" fillId="76" borderId="5" xfId="0" applyNumberFormat="1" applyFont="1" applyFill="1" applyBorder="1" applyAlignment="1" applyProtection="1">
      <alignment horizontal="center"/>
    </xf>
    <xf numFmtId="209" fontId="60" fillId="78" borderId="5" xfId="0" applyNumberFormat="1" applyFont="1" applyFill="1" applyBorder="1" applyAlignment="1" applyProtection="1">
      <alignment horizontal="center"/>
    </xf>
    <xf numFmtId="209" fontId="60" fillId="6" borderId="5" xfId="0" applyNumberFormat="1" applyFont="1" applyFill="1" applyBorder="1" applyAlignment="1" applyProtection="1">
      <alignment horizontal="center"/>
    </xf>
    <xf numFmtId="209" fontId="60" fillId="77" borderId="5" xfId="0" applyNumberFormat="1" applyFont="1" applyFill="1" applyBorder="1" applyAlignment="1" applyProtection="1">
      <alignment horizontal="center"/>
    </xf>
    <xf numFmtId="209" fontId="60" fillId="80" borderId="5" xfId="0" applyNumberFormat="1" applyFont="1" applyFill="1" applyBorder="1" applyAlignment="1" applyProtection="1">
      <alignment horizontal="center"/>
    </xf>
    <xf numFmtId="209" fontId="60" fillId="79" borderId="5" xfId="0" applyNumberFormat="1" applyFont="1" applyFill="1" applyBorder="1" applyAlignment="1" applyProtection="1">
      <alignment horizontal="center"/>
    </xf>
    <xf numFmtId="210" fontId="191" fillId="0" borderId="5" xfId="0" applyNumberFormat="1" applyFont="1" applyBorder="1" applyAlignment="1">
      <alignment horizontal="left" vertical="top" wrapText="1"/>
    </xf>
    <xf numFmtId="0" fontId="190" fillId="0" borderId="4" xfId="0" applyFont="1" applyBorder="1" applyAlignment="1">
      <alignment horizontal="left" vertical="top" wrapText="1"/>
    </xf>
    <xf numFmtId="0" fontId="190" fillId="81" borderId="4" xfId="0" applyFont="1" applyFill="1" applyBorder="1" applyAlignment="1">
      <alignment horizontal="left" vertical="top" wrapText="1"/>
    </xf>
    <xf numFmtId="210" fontId="191" fillId="81" borderId="5" xfId="0" applyNumberFormat="1" applyFont="1" applyFill="1" applyBorder="1" applyAlignment="1">
      <alignment horizontal="left" vertical="top" wrapText="1"/>
    </xf>
    <xf numFmtId="0" fontId="190" fillId="76" borderId="4" xfId="0" applyFont="1" applyFill="1" applyBorder="1" applyAlignment="1">
      <alignment horizontal="left" vertical="top" wrapText="1"/>
    </xf>
    <xf numFmtId="210" fontId="191" fillId="76" borderId="5" xfId="0" applyNumberFormat="1" applyFont="1" applyFill="1" applyBorder="1" applyAlignment="1">
      <alignment horizontal="left" vertical="top" wrapText="1"/>
    </xf>
    <xf numFmtId="0" fontId="190" fillId="0" borderId="4" xfId="0" applyFont="1" applyFill="1" applyBorder="1" applyAlignment="1">
      <alignment horizontal="left" vertical="top" wrapText="1"/>
    </xf>
    <xf numFmtId="210" fontId="191" fillId="0" borderId="5" xfId="0" applyNumberFormat="1" applyFont="1" applyFill="1" applyBorder="1" applyAlignment="1">
      <alignment horizontal="left" vertical="top" wrapText="1"/>
    </xf>
    <xf numFmtId="0" fontId="190" fillId="78" borderId="4" xfId="0" applyFont="1" applyFill="1" applyBorder="1" applyAlignment="1">
      <alignment horizontal="left" vertical="top" wrapText="1"/>
    </xf>
    <xf numFmtId="210" fontId="191" fillId="78" borderId="5" xfId="0" applyNumberFormat="1" applyFont="1" applyFill="1" applyBorder="1" applyAlignment="1">
      <alignment horizontal="left" vertical="top" wrapText="1"/>
    </xf>
    <xf numFmtId="0" fontId="190" fillId="6" borderId="4" xfId="0" applyFont="1" applyFill="1" applyBorder="1" applyAlignment="1">
      <alignment horizontal="left" vertical="top" wrapText="1"/>
    </xf>
    <xf numFmtId="210" fontId="191" fillId="6" borderId="5" xfId="0" applyNumberFormat="1" applyFont="1" applyFill="1" applyBorder="1" applyAlignment="1">
      <alignment horizontal="left" vertical="top" wrapText="1"/>
    </xf>
    <xf numFmtId="0" fontId="190" fillId="77" borderId="4" xfId="0" applyFont="1" applyFill="1" applyBorder="1" applyAlignment="1">
      <alignment horizontal="left" vertical="top" wrapText="1"/>
    </xf>
    <xf numFmtId="210" fontId="191" fillId="77" borderId="5" xfId="0" applyNumberFormat="1" applyFont="1" applyFill="1" applyBorder="1" applyAlignment="1">
      <alignment horizontal="left" vertical="top" wrapText="1"/>
    </xf>
    <xf numFmtId="0" fontId="190" fillId="80" borderId="4" xfId="0" applyFont="1" applyFill="1" applyBorder="1" applyAlignment="1">
      <alignment horizontal="left" vertical="top" wrapText="1"/>
    </xf>
    <xf numFmtId="210" fontId="191" fillId="80" borderId="5" xfId="0" applyNumberFormat="1" applyFont="1" applyFill="1" applyBorder="1" applyAlignment="1">
      <alignment horizontal="left" vertical="top" wrapText="1"/>
    </xf>
    <xf numFmtId="0" fontId="190" fillId="79" borderId="4" xfId="0" applyFont="1" applyFill="1" applyBorder="1" applyAlignment="1">
      <alignment horizontal="left" vertical="top" wrapText="1"/>
    </xf>
    <xf numFmtId="210" fontId="191" fillId="79" borderId="5" xfId="0" applyNumberFormat="1" applyFont="1" applyFill="1" applyBorder="1" applyAlignment="1">
      <alignment horizontal="left" vertical="top" wrapText="1"/>
    </xf>
    <xf numFmtId="0" fontId="188" fillId="0" borderId="4" xfId="0" applyFont="1" applyBorder="1" applyAlignment="1">
      <alignment horizontal="left" vertical="top" wrapText="1"/>
    </xf>
    <xf numFmtId="0" fontId="190" fillId="0" borderId="1" xfId="0" applyFont="1" applyBorder="1" applyAlignment="1">
      <alignment horizontal="left" vertical="top" wrapText="1"/>
    </xf>
    <xf numFmtId="0" fontId="188" fillId="0" borderId="21" xfId="0" applyFont="1" applyBorder="1" applyAlignment="1">
      <alignment horizontal="left" vertical="top" wrapText="1"/>
    </xf>
    <xf numFmtId="210" fontId="191" fillId="0" borderId="22" xfId="0" applyNumberFormat="1" applyFont="1" applyBorder="1" applyAlignment="1">
      <alignment horizontal="left" vertical="top" wrapText="1"/>
    </xf>
    <xf numFmtId="0" fontId="60" fillId="0" borderId="21" xfId="0" applyFont="1" applyBorder="1"/>
    <xf numFmtId="0" fontId="188" fillId="6" borderId="0" xfId="0" applyFont="1" applyFill="1" applyBorder="1" applyAlignment="1">
      <alignment horizontal="left" vertical="top" wrapText="1"/>
    </xf>
    <xf numFmtId="210" fontId="184" fillId="6" borderId="0" xfId="0" applyNumberFormat="1" applyFont="1" applyFill="1" applyBorder="1" applyAlignment="1">
      <alignment horizontal="left" vertical="top" wrapText="1"/>
    </xf>
    <xf numFmtId="0" fontId="189" fillId="6" borderId="0" xfId="0" applyFont="1" applyFill="1" applyBorder="1" applyAlignment="1">
      <alignment horizontal="left" vertical="top" wrapText="1"/>
    </xf>
    <xf numFmtId="165" fontId="0" fillId="6" borderId="0" xfId="0" applyNumberFormat="1" applyFill="1" applyBorder="1" applyAlignment="1">
      <alignment horizontal="center"/>
    </xf>
    <xf numFmtId="0" fontId="19" fillId="6" borderId="0" xfId="0" applyFont="1" applyFill="1" applyBorder="1" applyAlignment="1">
      <alignment horizontal="center"/>
    </xf>
    <xf numFmtId="0" fontId="19" fillId="6" borderId="0" xfId="0" applyFont="1" applyFill="1" applyBorder="1"/>
    <xf numFmtId="0" fontId="0" fillId="6" borderId="0" xfId="0" applyFill="1" applyBorder="1" applyAlignment="1">
      <alignment horizontal="center"/>
    </xf>
    <xf numFmtId="0" fontId="60" fillId="6" borderId="0" xfId="0" applyFont="1" applyFill="1" applyBorder="1" applyAlignment="1">
      <alignment horizontal="centerContinuous"/>
    </xf>
    <xf numFmtId="0" fontId="24" fillId="6" borderId="0" xfId="0" applyFont="1" applyFill="1" applyBorder="1" applyAlignment="1">
      <alignment horizontal="center"/>
    </xf>
    <xf numFmtId="0" fontId="23" fillId="6" borderId="0" xfId="0" applyFont="1" applyFill="1" applyBorder="1" applyAlignment="1"/>
    <xf numFmtId="0" fontId="23" fillId="6" borderId="0" xfId="0" applyFont="1" applyFill="1" applyBorder="1" applyAlignment="1">
      <alignment horizontal="center"/>
    </xf>
    <xf numFmtId="2" fontId="0" fillId="6" borderId="0" xfId="0" applyNumberFormat="1" applyFill="1" applyBorder="1" applyAlignment="1">
      <alignment horizontal="center"/>
    </xf>
    <xf numFmtId="11" fontId="0" fillId="6" borderId="0" xfId="0" applyNumberFormat="1" applyFill="1" applyBorder="1"/>
    <xf numFmtId="0" fontId="186" fillId="6" borderId="0" xfId="0" applyFont="1" applyFill="1" applyBorder="1" applyAlignment="1">
      <alignment horizontal="left" vertical="top" wrapText="1"/>
    </xf>
    <xf numFmtId="0" fontId="189" fillId="0" borderId="146" xfId="0" applyFont="1" applyFill="1" applyBorder="1" applyAlignment="1">
      <alignment horizontal="left" vertical="top" wrapText="1"/>
    </xf>
    <xf numFmtId="0" fontId="189" fillId="0" borderId="37" xfId="0" applyFont="1" applyFill="1" applyBorder="1" applyAlignment="1">
      <alignment horizontal="left" vertical="top" wrapText="1"/>
    </xf>
    <xf numFmtId="211" fontId="36" fillId="0" borderId="39" xfId="0" applyNumberFormat="1" applyFont="1" applyFill="1" applyBorder="1" applyAlignment="1">
      <alignment horizontal="center" vertical="top" wrapText="1"/>
    </xf>
    <xf numFmtId="210" fontId="36" fillId="0" borderId="148" xfId="0" applyNumberFormat="1" applyFont="1" applyFill="1" applyBorder="1" applyAlignment="1">
      <alignment horizontal="center" vertical="top" wrapText="1"/>
    </xf>
    <xf numFmtId="0" fontId="0" fillId="6" borderId="4" xfId="0" applyFill="1" applyBorder="1"/>
    <xf numFmtId="0" fontId="60" fillId="6" borderId="0" xfId="0" applyFont="1" applyFill="1" applyBorder="1"/>
    <xf numFmtId="0" fontId="0" fillId="6" borderId="5" xfId="0" applyFill="1" applyBorder="1"/>
    <xf numFmtId="0" fontId="186" fillId="6" borderId="5" xfId="0" applyFont="1" applyFill="1" applyBorder="1" applyAlignment="1">
      <alignment horizontal="left" vertical="top" wrapText="1"/>
    </xf>
    <xf numFmtId="210" fontId="184" fillId="6" borderId="5" xfId="0" applyNumberFormat="1" applyFont="1" applyFill="1" applyBorder="1" applyAlignment="1">
      <alignment horizontal="left" vertical="top" wrapText="1"/>
    </xf>
    <xf numFmtId="0" fontId="185" fillId="6" borderId="0" xfId="0" applyFont="1" applyFill="1" applyBorder="1" applyAlignment="1">
      <alignment vertical="top" wrapText="1"/>
    </xf>
    <xf numFmtId="0" fontId="185" fillId="6" borderId="5" xfId="0" applyFont="1" applyFill="1" applyBorder="1" applyAlignment="1">
      <alignment vertical="top" wrapText="1"/>
    </xf>
    <xf numFmtId="0" fontId="187" fillId="6" borderId="0" xfId="0" applyFont="1" applyFill="1" applyBorder="1" applyAlignment="1">
      <alignment horizontal="left" vertical="top"/>
    </xf>
    <xf numFmtId="0" fontId="0" fillId="6" borderId="6" xfId="0" applyFill="1" applyBorder="1"/>
    <xf numFmtId="209" fontId="60" fillId="6" borderId="7" xfId="0" applyNumberFormat="1" applyFont="1" applyFill="1" applyBorder="1" applyAlignment="1" applyProtection="1">
      <alignment horizontal="center"/>
    </xf>
    <xf numFmtId="0" fontId="0" fillId="6" borderId="7" xfId="0" applyFill="1" applyBorder="1"/>
    <xf numFmtId="165" fontId="0" fillId="6" borderId="7" xfId="0" applyNumberFormat="1" applyFill="1" applyBorder="1" applyAlignment="1">
      <alignment horizontal="center"/>
    </xf>
    <xf numFmtId="11" fontId="0" fillId="6" borderId="7" xfId="0" applyNumberFormat="1" applyFill="1" applyBorder="1"/>
    <xf numFmtId="0" fontId="0" fillId="6" borderId="8" xfId="0" applyFill="1" applyBorder="1"/>
    <xf numFmtId="0" fontId="0" fillId="6" borderId="1" xfId="0" applyFill="1" applyBorder="1"/>
    <xf numFmtId="0" fontId="0" fillId="6" borderId="2" xfId="0" applyFill="1" applyBorder="1"/>
    <xf numFmtId="0" fontId="0" fillId="6" borderId="3" xfId="0" applyFill="1" applyBorder="1"/>
    <xf numFmtId="0" fontId="60" fillId="0" borderId="4" xfId="0" applyFont="1" applyFill="1" applyBorder="1" applyAlignment="1">
      <alignment horizontal="left"/>
    </xf>
    <xf numFmtId="0" fontId="192" fillId="0" borderId="21" xfId="0" applyFont="1" applyBorder="1" applyAlignment="1">
      <alignment horizontal="left" vertical="top" wrapText="1"/>
    </xf>
    <xf numFmtId="211" fontId="191" fillId="0" borderId="5" xfId="0" applyNumberFormat="1" applyFont="1" applyBorder="1" applyAlignment="1">
      <alignment horizontal="left" vertical="top" wrapText="1"/>
    </xf>
    <xf numFmtId="211" fontId="191" fillId="81" borderId="5" xfId="0" applyNumberFormat="1" applyFont="1" applyFill="1" applyBorder="1" applyAlignment="1">
      <alignment horizontal="left" vertical="top" wrapText="1"/>
    </xf>
    <xf numFmtId="211" fontId="191" fillId="76" borderId="5" xfId="0" applyNumberFormat="1" applyFont="1" applyFill="1" applyBorder="1" applyAlignment="1">
      <alignment horizontal="left" vertical="top" wrapText="1"/>
    </xf>
    <xf numFmtId="211" fontId="191" fillId="0" borderId="5" xfId="0" applyNumberFormat="1" applyFont="1" applyFill="1" applyBorder="1" applyAlignment="1">
      <alignment horizontal="left" vertical="top" wrapText="1"/>
    </xf>
    <xf numFmtId="211" fontId="191" fillId="78" borderId="5" xfId="0" applyNumberFormat="1" applyFont="1" applyFill="1" applyBorder="1" applyAlignment="1">
      <alignment horizontal="left" vertical="top" wrapText="1"/>
    </xf>
    <xf numFmtId="211" fontId="191" fillId="6" borderId="5" xfId="0" applyNumberFormat="1" applyFont="1" applyFill="1" applyBorder="1" applyAlignment="1">
      <alignment horizontal="left" vertical="top" wrapText="1"/>
    </xf>
    <xf numFmtId="211" fontId="191" fillId="77" borderId="5" xfId="0" applyNumberFormat="1" applyFont="1" applyFill="1" applyBorder="1" applyAlignment="1">
      <alignment horizontal="left" vertical="top" wrapText="1"/>
    </xf>
    <xf numFmtId="211" fontId="191" fillId="80" borderId="5" xfId="0" applyNumberFormat="1" applyFont="1" applyFill="1" applyBorder="1" applyAlignment="1">
      <alignment horizontal="left" vertical="top" wrapText="1"/>
    </xf>
    <xf numFmtId="211" fontId="191" fillId="79" borderId="5" xfId="0" applyNumberFormat="1" applyFont="1" applyFill="1" applyBorder="1" applyAlignment="1">
      <alignment horizontal="left" vertical="top" wrapText="1"/>
    </xf>
    <xf numFmtId="212" fontId="191" fillId="0" borderId="5" xfId="0" applyNumberFormat="1" applyFont="1" applyBorder="1" applyAlignment="1">
      <alignment horizontal="left" vertical="top" wrapText="1"/>
    </xf>
    <xf numFmtId="212" fontId="191" fillId="81" borderId="5" xfId="0" applyNumberFormat="1" applyFont="1" applyFill="1" applyBorder="1" applyAlignment="1">
      <alignment horizontal="left" vertical="top" wrapText="1"/>
    </xf>
    <xf numFmtId="212" fontId="191" fillId="76" borderId="5" xfId="0" applyNumberFormat="1" applyFont="1" applyFill="1" applyBorder="1" applyAlignment="1">
      <alignment horizontal="left" vertical="top" wrapText="1"/>
    </xf>
    <xf numFmtId="212" fontId="191" fillId="0" borderId="5" xfId="0" applyNumberFormat="1" applyFont="1" applyFill="1" applyBorder="1" applyAlignment="1">
      <alignment horizontal="left" vertical="top" wrapText="1"/>
    </xf>
    <xf numFmtId="212" fontId="191" fillId="78" borderId="5" xfId="0" applyNumberFormat="1" applyFont="1" applyFill="1" applyBorder="1" applyAlignment="1">
      <alignment horizontal="left" vertical="top" wrapText="1"/>
    </xf>
    <xf numFmtId="212" fontId="191" fillId="6" borderId="5" xfId="0" applyNumberFormat="1" applyFont="1" applyFill="1" applyBorder="1" applyAlignment="1">
      <alignment horizontal="left" vertical="top" wrapText="1"/>
    </xf>
    <xf numFmtId="212" fontId="191" fillId="77" borderId="5" xfId="0" applyNumberFormat="1" applyFont="1" applyFill="1" applyBorder="1" applyAlignment="1">
      <alignment horizontal="left" vertical="top" wrapText="1"/>
    </xf>
    <xf numFmtId="212" fontId="191" fillId="80" borderId="5" xfId="0" applyNumberFormat="1" applyFont="1" applyFill="1" applyBorder="1" applyAlignment="1">
      <alignment horizontal="left" vertical="top" wrapText="1"/>
    </xf>
    <xf numFmtId="212" fontId="191" fillId="79" borderId="5" xfId="0" applyNumberFormat="1" applyFont="1" applyFill="1" applyBorder="1" applyAlignment="1">
      <alignment horizontal="left" vertical="top" wrapText="1"/>
    </xf>
    <xf numFmtId="0" fontId="183" fillId="4" borderId="2" xfId="1" applyFont="1" applyFill="1" applyBorder="1" applyAlignment="1">
      <alignment vertical="center"/>
    </xf>
    <xf numFmtId="0" fontId="32" fillId="4" borderId="6" xfId="1" applyFont="1" applyFill="1" applyBorder="1" applyAlignment="1">
      <alignment vertical="center"/>
    </xf>
    <xf numFmtId="0" fontId="32" fillId="4" borderId="7" xfId="1" applyFont="1" applyFill="1" applyBorder="1" applyAlignment="1">
      <alignment vertical="center"/>
    </xf>
    <xf numFmtId="0" fontId="20" fillId="4" borderId="7" xfId="1" applyFont="1" applyFill="1" applyBorder="1"/>
    <xf numFmtId="0" fontId="20" fillId="4" borderId="8" xfId="1" applyFont="1" applyFill="1" applyBorder="1"/>
    <xf numFmtId="0" fontId="19" fillId="6" borderId="7" xfId="1" applyFill="1" applyBorder="1"/>
    <xf numFmtId="0" fontId="34" fillId="4" borderId="18" xfId="0" applyFont="1" applyFill="1" applyBorder="1" applyAlignment="1">
      <alignment horizontal="center" vertical="center"/>
    </xf>
    <xf numFmtId="0" fontId="34" fillId="4" borderId="43" xfId="0" applyFont="1" applyFill="1" applyBorder="1" applyAlignment="1">
      <alignment horizontal="center" vertical="center"/>
    </xf>
    <xf numFmtId="2" fontId="33" fillId="0" borderId="0" xfId="1" applyNumberFormat="1" applyFont="1" applyFill="1" applyBorder="1" applyAlignment="1">
      <alignment horizontal="center" vertical="center"/>
    </xf>
    <xf numFmtId="0" fontId="19" fillId="0" borderId="2" xfId="1" applyBorder="1"/>
    <xf numFmtId="0" fontId="19" fillId="0" borderId="3" xfId="1" applyBorder="1"/>
    <xf numFmtId="0" fontId="19" fillId="0" borderId="4" xfId="1" applyBorder="1"/>
    <xf numFmtId="0" fontId="19" fillId="0" borderId="5" xfId="1" applyBorder="1"/>
    <xf numFmtId="0" fontId="19" fillId="0" borderId="6" xfId="1" applyBorder="1"/>
    <xf numFmtId="0" fontId="19" fillId="0" borderId="7" xfId="1" applyBorder="1"/>
    <xf numFmtId="0" fontId="19" fillId="0" borderId="8" xfId="1" applyBorder="1"/>
    <xf numFmtId="0" fontId="149" fillId="0" borderId="1" xfId="1" applyFont="1" applyBorder="1"/>
    <xf numFmtId="0" fontId="169" fillId="0" borderId="2" xfId="1" applyFont="1" applyBorder="1"/>
    <xf numFmtId="165" fontId="34" fillId="0" borderId="0" xfId="1" applyNumberFormat="1" applyFont="1" applyFill="1" applyBorder="1" applyAlignment="1">
      <alignment horizontal="center" vertical="center" wrapText="1"/>
    </xf>
    <xf numFmtId="168" fontId="34" fillId="0" borderId="0" xfId="1" applyNumberFormat="1" applyFont="1" applyFill="1" applyBorder="1" applyAlignment="1">
      <alignment horizontal="center" vertical="center"/>
    </xf>
    <xf numFmtId="2" fontId="29" fillId="0" borderId="125" xfId="0" quotePrefix="1" applyNumberFormat="1" applyFont="1" applyBorder="1" applyAlignment="1">
      <alignment horizontal="center" vertical="center"/>
    </xf>
    <xf numFmtId="2" fontId="29" fillId="0" borderId="130" xfId="0" quotePrefix="1" applyNumberFormat="1" applyFont="1" applyBorder="1" applyAlignment="1">
      <alignment horizontal="center" vertical="center"/>
    </xf>
    <xf numFmtId="0" fontId="20" fillId="6" borderId="63" xfId="0" applyFont="1" applyFill="1" applyBorder="1"/>
    <xf numFmtId="0" fontId="19" fillId="0" borderId="0" xfId="1" applyFont="1" applyAlignment="1">
      <alignment vertical="center"/>
    </xf>
    <xf numFmtId="0" fontId="19" fillId="0" borderId="0" xfId="1" applyAlignment="1">
      <alignment vertical="center"/>
    </xf>
    <xf numFmtId="0" fontId="23" fillId="0" borderId="2" xfId="1" applyFont="1" applyFill="1" applyBorder="1" applyAlignment="1">
      <alignment vertical="center" wrapText="1"/>
    </xf>
    <xf numFmtId="0" fontId="23" fillId="0" borderId="3" xfId="1" applyFont="1" applyFill="1" applyBorder="1" applyAlignment="1">
      <alignment vertical="center" wrapText="1"/>
    </xf>
    <xf numFmtId="0" fontId="23" fillId="0" borderId="0" xfId="1" applyFont="1" applyFill="1" applyBorder="1" applyAlignment="1">
      <alignment vertical="center" wrapText="1"/>
    </xf>
    <xf numFmtId="0" fontId="23" fillId="0" borderId="5" xfId="1" applyFont="1" applyFill="1" applyBorder="1" applyAlignment="1">
      <alignment vertical="center" wrapText="1"/>
    </xf>
    <xf numFmtId="0" fontId="23" fillId="0" borderId="7" xfId="1" applyFont="1" applyBorder="1" applyAlignment="1">
      <alignment vertical="center" wrapText="1"/>
    </xf>
    <xf numFmtId="0" fontId="23" fillId="0" borderId="8" xfId="1" applyFont="1" applyBorder="1" applyAlignment="1">
      <alignment vertical="center" wrapText="1"/>
    </xf>
    <xf numFmtId="0" fontId="23" fillId="0" borderId="0" xfId="1" applyFont="1" applyBorder="1" applyAlignment="1">
      <alignment vertical="center" wrapText="1"/>
    </xf>
    <xf numFmtId="0" fontId="19" fillId="0" borderId="0" xfId="1" applyFont="1" applyBorder="1" applyAlignment="1">
      <alignment vertical="center"/>
    </xf>
    <xf numFmtId="0" fontId="23" fillId="0" borderId="0" xfId="1" applyFont="1" applyBorder="1" applyAlignment="1">
      <alignment vertical="center"/>
    </xf>
    <xf numFmtId="0" fontId="19" fillId="84" borderId="40" xfId="1" applyFont="1" applyFill="1" applyBorder="1" applyAlignment="1">
      <alignment vertical="center"/>
    </xf>
    <xf numFmtId="43" fontId="19" fillId="83" borderId="23" xfId="4" applyFont="1" applyFill="1" applyBorder="1" applyAlignment="1">
      <alignment horizontal="left" vertical="center" wrapText="1"/>
    </xf>
    <xf numFmtId="0" fontId="19" fillId="84" borderId="144" xfId="1" applyFont="1" applyFill="1" applyBorder="1" applyAlignment="1">
      <alignment vertical="center"/>
    </xf>
    <xf numFmtId="43" fontId="19" fillId="83" borderId="145" xfId="4" applyFont="1" applyFill="1" applyBorder="1" applyAlignment="1">
      <alignment horizontal="left" vertical="center" wrapText="1"/>
    </xf>
    <xf numFmtId="0" fontId="19" fillId="85" borderId="145" xfId="1" applyFont="1" applyFill="1" applyBorder="1" applyAlignment="1" applyProtection="1">
      <alignment horizontal="left" vertical="center" wrapText="1"/>
      <protection locked="0"/>
    </xf>
    <xf numFmtId="208" fontId="19" fillId="85" borderId="145" xfId="4" applyNumberFormat="1" applyFont="1" applyFill="1" applyBorder="1" applyAlignment="1" applyProtection="1">
      <alignment horizontal="left" vertical="center" wrapText="1"/>
      <protection locked="0"/>
    </xf>
    <xf numFmtId="16" fontId="19" fillId="85" borderId="145" xfId="1" quotePrefix="1" applyNumberFormat="1" applyFill="1" applyBorder="1" applyAlignment="1" applyProtection="1">
      <alignment vertical="center" wrapText="1"/>
      <protection locked="0"/>
    </xf>
    <xf numFmtId="0" fontId="19" fillId="85" borderId="145" xfId="1" applyFont="1" applyFill="1" applyBorder="1" applyAlignment="1" applyProtection="1">
      <alignment vertical="center" wrapText="1"/>
      <protection locked="0"/>
    </xf>
    <xf numFmtId="0" fontId="19" fillId="85" borderId="145" xfId="1" applyFont="1" applyFill="1" applyBorder="1" applyAlignment="1" applyProtection="1">
      <alignment horizontal="right" vertical="center" wrapText="1"/>
      <protection locked="0"/>
    </xf>
    <xf numFmtId="2" fontId="19" fillId="85" borderId="145" xfId="1" applyNumberFormat="1" applyFont="1" applyFill="1" applyBorder="1" applyAlignment="1" applyProtection="1">
      <alignment horizontal="right" vertical="center" wrapText="1"/>
      <protection locked="0"/>
    </xf>
    <xf numFmtId="0" fontId="19" fillId="6" borderId="144" xfId="1" applyFont="1" applyFill="1" applyBorder="1" applyAlignment="1">
      <alignment vertical="center"/>
    </xf>
    <xf numFmtId="2" fontId="19" fillId="85" borderId="145" xfId="1" applyNumberFormat="1" applyFont="1" applyFill="1" applyBorder="1" applyAlignment="1" applyProtection="1">
      <alignment vertical="center" wrapText="1"/>
      <protection locked="0"/>
    </xf>
    <xf numFmtId="0" fontId="19" fillId="83" borderId="164" xfId="1" applyFont="1" applyFill="1" applyBorder="1" applyAlignment="1">
      <alignment horizontal="center" vertical="center"/>
    </xf>
    <xf numFmtId="0" fontId="19" fillId="6" borderId="11" xfId="1" applyFont="1" applyFill="1" applyBorder="1" applyAlignment="1">
      <alignment vertical="center"/>
    </xf>
    <xf numFmtId="43" fontId="19" fillId="85" borderId="10" xfId="4" applyNumberFormat="1" applyFont="1" applyFill="1" applyBorder="1" applyAlignment="1" applyProtection="1">
      <alignment vertical="center" wrapText="1"/>
      <protection locked="0"/>
    </xf>
    <xf numFmtId="0" fontId="19" fillId="6" borderId="40" xfId="1" applyFont="1" applyFill="1" applyBorder="1" applyAlignment="1">
      <alignment vertical="center"/>
    </xf>
    <xf numFmtId="43" fontId="19" fillId="85" borderId="23" xfId="4" applyNumberFormat="1" applyFont="1" applyFill="1" applyBorder="1" applyAlignment="1" applyProtection="1">
      <alignment vertical="center" wrapText="1"/>
      <protection locked="0"/>
    </xf>
    <xf numFmtId="43" fontId="19" fillId="85" borderId="145" xfId="1" applyNumberFormat="1" applyFont="1" applyFill="1" applyBorder="1" applyAlignment="1" applyProtection="1">
      <alignment vertical="center" wrapText="1"/>
      <protection locked="0"/>
    </xf>
    <xf numFmtId="43" fontId="19" fillId="85" borderId="145" xfId="4" applyNumberFormat="1" applyFont="1" applyFill="1" applyBorder="1" applyAlignment="1" applyProtection="1">
      <alignment vertical="center" wrapText="1"/>
      <protection locked="0"/>
    </xf>
    <xf numFmtId="43" fontId="19" fillId="85" borderId="145" xfId="4" applyFont="1" applyFill="1" applyBorder="1" applyAlignment="1" applyProtection="1">
      <alignment vertical="center" wrapText="1"/>
      <protection locked="0"/>
    </xf>
    <xf numFmtId="0" fontId="19" fillId="6" borderId="146" xfId="1" applyFont="1" applyFill="1" applyBorder="1" applyAlignment="1">
      <alignment vertical="center"/>
    </xf>
    <xf numFmtId="0" fontId="19" fillId="85" borderId="148" xfId="1" applyFont="1" applyFill="1" applyBorder="1" applyAlignment="1" applyProtection="1">
      <alignment vertical="center" wrapText="1"/>
      <protection locked="0"/>
    </xf>
    <xf numFmtId="43" fontId="19" fillId="83" borderId="23" xfId="4" applyFont="1" applyFill="1" applyBorder="1" applyAlignment="1">
      <alignment horizontal="left" vertical="center"/>
    </xf>
    <xf numFmtId="43" fontId="19" fillId="83" borderId="145" xfId="4" applyNumberFormat="1" applyFont="1" applyFill="1" applyBorder="1" applyAlignment="1">
      <alignment horizontal="left" vertical="center"/>
    </xf>
    <xf numFmtId="208" fontId="19" fillId="83" borderId="145" xfId="4" applyNumberFormat="1" applyFont="1" applyFill="1" applyBorder="1" applyAlignment="1">
      <alignment horizontal="left" vertical="center"/>
    </xf>
    <xf numFmtId="0" fontId="19" fillId="83" borderId="145" xfId="1" applyFont="1" applyFill="1" applyBorder="1" applyAlignment="1">
      <alignment horizontal="right" vertical="center"/>
    </xf>
    <xf numFmtId="215" fontId="19" fillId="83" borderId="145" xfId="4" applyNumberFormat="1" applyFont="1" applyFill="1" applyBorder="1" applyAlignment="1">
      <alignment horizontal="right" vertical="center"/>
    </xf>
    <xf numFmtId="2" fontId="19" fillId="83" borderId="145" xfId="1" applyNumberFormat="1" applyFont="1" applyFill="1" applyBorder="1" applyAlignment="1">
      <alignment horizontal="right" vertical="center"/>
    </xf>
    <xf numFmtId="2" fontId="19" fillId="83" borderId="23" xfId="1" applyNumberFormat="1" applyFont="1" applyFill="1" applyBorder="1" applyAlignment="1">
      <alignment horizontal="right" vertical="center"/>
    </xf>
    <xf numFmtId="2" fontId="19" fillId="83" borderId="145" xfId="1" applyNumberFormat="1" applyFill="1" applyBorder="1" applyAlignment="1">
      <alignment vertical="center"/>
    </xf>
    <xf numFmtId="2" fontId="19" fillId="83" borderId="148" xfId="1" applyNumberFormat="1" applyFont="1" applyFill="1" applyBorder="1" applyAlignment="1">
      <alignment horizontal="right" vertical="center"/>
    </xf>
    <xf numFmtId="2" fontId="19" fillId="83" borderId="148" xfId="1" applyNumberFormat="1" applyFill="1" applyBorder="1" applyAlignment="1">
      <alignment vertical="center"/>
    </xf>
    <xf numFmtId="2" fontId="19" fillId="0" borderId="0" xfId="1" applyNumberFormat="1" applyAlignment="1">
      <alignment vertical="center"/>
    </xf>
    <xf numFmtId="0" fontId="23" fillId="0" borderId="0" xfId="1" applyFont="1" applyAlignment="1">
      <alignment vertical="center"/>
    </xf>
    <xf numFmtId="0" fontId="19" fillId="0" borderId="0" xfId="1" applyAlignment="1">
      <alignment horizontal="left" vertical="center"/>
    </xf>
    <xf numFmtId="2" fontId="19" fillId="83" borderId="23" xfId="1" applyNumberFormat="1" applyFill="1" applyBorder="1" applyAlignment="1">
      <alignment vertical="center"/>
    </xf>
    <xf numFmtId="215" fontId="19" fillId="83" borderId="148" xfId="1" applyNumberFormat="1" applyFill="1" applyBorder="1" applyAlignment="1">
      <alignment vertical="center"/>
    </xf>
    <xf numFmtId="2" fontId="19" fillId="83" borderId="23" xfId="1" applyNumberFormat="1" applyFill="1" applyBorder="1" applyAlignment="1">
      <alignment horizontal="right" vertical="center"/>
    </xf>
    <xf numFmtId="2" fontId="19" fillId="83" borderId="145" xfId="1" applyNumberFormat="1" applyFill="1" applyBorder="1" applyAlignment="1">
      <alignment horizontal="right" vertical="center"/>
    </xf>
    <xf numFmtId="215" fontId="19" fillId="83" borderId="148" xfId="1" applyNumberFormat="1" applyFill="1" applyBorder="1" applyAlignment="1">
      <alignment horizontal="right" vertical="center"/>
    </xf>
    <xf numFmtId="43" fontId="19" fillId="85" borderId="148" xfId="4" applyFont="1" applyFill="1" applyBorder="1" applyAlignment="1" applyProtection="1">
      <alignment horizontal="center" vertical="center" wrapText="1"/>
      <protection locked="0"/>
    </xf>
    <xf numFmtId="43" fontId="19" fillId="0" borderId="0" xfId="1" applyNumberFormat="1" applyAlignment="1">
      <alignment vertical="center"/>
    </xf>
    <xf numFmtId="0" fontId="19" fillId="6" borderId="40" xfId="1" applyFont="1" applyFill="1" applyBorder="1" applyAlignment="1">
      <alignment vertical="center" wrapText="1"/>
    </xf>
    <xf numFmtId="2" fontId="19" fillId="75" borderId="23" xfId="1" applyNumberFormat="1" applyFont="1" applyFill="1" applyBorder="1" applyAlignment="1" applyProtection="1">
      <alignment vertical="center" wrapText="1"/>
      <protection locked="0"/>
    </xf>
    <xf numFmtId="1" fontId="19" fillId="85" borderId="145" xfId="4" applyNumberFormat="1" applyFont="1" applyFill="1" applyBorder="1" applyAlignment="1" applyProtection="1">
      <alignment vertical="center"/>
      <protection locked="0"/>
    </xf>
    <xf numFmtId="1" fontId="19" fillId="85" borderId="148" xfId="4" applyNumberFormat="1" applyFont="1" applyFill="1" applyBorder="1" applyAlignment="1" applyProtection="1">
      <alignment vertical="center"/>
      <protection locked="0"/>
    </xf>
    <xf numFmtId="0" fontId="169" fillId="82" borderId="27" xfId="95" applyFont="1" applyFill="1" applyBorder="1" applyAlignment="1" applyProtection="1">
      <alignment vertical="center" wrapText="1"/>
    </xf>
    <xf numFmtId="0" fontId="19" fillId="75" borderId="156" xfId="95" applyFont="1" applyFill="1" applyBorder="1" applyAlignment="1" applyProtection="1">
      <alignment vertical="center" wrapText="1"/>
      <protection locked="0"/>
    </xf>
    <xf numFmtId="0" fontId="23" fillId="4" borderId="0" xfId="1200" applyFont="1" applyFill="1" applyBorder="1" applyAlignment="1" applyProtection="1">
      <alignment vertical="center"/>
    </xf>
    <xf numFmtId="0" fontId="169" fillId="82" borderId="27" xfId="1200" applyFont="1" applyFill="1" applyBorder="1" applyAlignment="1" applyProtection="1">
      <alignment vertical="center" wrapText="1"/>
    </xf>
    <xf numFmtId="0" fontId="19" fillId="75" borderId="176" xfId="1200" applyFont="1" applyFill="1" applyBorder="1" applyAlignment="1" applyProtection="1">
      <alignment vertical="center" wrapText="1"/>
      <protection locked="0"/>
    </xf>
    <xf numFmtId="2" fontId="19" fillId="6" borderId="142" xfId="1" applyNumberFormat="1" applyFill="1" applyBorder="1" applyAlignment="1">
      <alignment horizontal="right" vertical="center" wrapText="1"/>
    </xf>
    <xf numFmtId="2" fontId="19" fillId="6" borderId="145" xfId="1" applyNumberFormat="1" applyFill="1" applyBorder="1" applyAlignment="1">
      <alignment horizontal="right" vertical="center" wrapText="1"/>
    </xf>
    <xf numFmtId="2" fontId="19" fillId="6" borderId="142" xfId="1" applyNumberFormat="1" applyFill="1" applyBorder="1" applyAlignment="1">
      <alignment horizontal="left" vertical="center" wrapText="1"/>
    </xf>
    <xf numFmtId="2" fontId="19" fillId="6" borderId="145" xfId="1" applyNumberFormat="1" applyFill="1" applyBorder="1" applyAlignment="1">
      <alignment horizontal="left" vertical="center" wrapText="1"/>
    </xf>
    <xf numFmtId="2" fontId="19" fillId="6" borderId="142" xfId="1" applyNumberFormat="1" applyFill="1" applyBorder="1" applyAlignment="1">
      <alignment horizontal="right" vertical="center"/>
    </xf>
    <xf numFmtId="0" fontId="23" fillId="6" borderId="144" xfId="1" applyFont="1" applyFill="1" applyBorder="1" applyAlignment="1">
      <alignment vertical="center"/>
    </xf>
    <xf numFmtId="2" fontId="23" fillId="83" borderId="142" xfId="1" applyNumberFormat="1" applyFont="1" applyFill="1" applyBorder="1" applyAlignment="1">
      <alignment horizontal="right" vertical="center" wrapText="1"/>
    </xf>
    <xf numFmtId="2" fontId="23" fillId="83" borderId="145" xfId="1" applyNumberFormat="1" applyFont="1" applyFill="1" applyBorder="1" applyAlignment="1">
      <alignment horizontal="right" vertical="center" wrapText="1"/>
    </xf>
    <xf numFmtId="0" fontId="23" fillId="6" borderId="146" xfId="1" applyFont="1" applyFill="1" applyBorder="1" applyAlignment="1">
      <alignment vertical="center"/>
    </xf>
    <xf numFmtId="2" fontId="23" fillId="83" borderId="147" xfId="1" applyNumberFormat="1" applyFont="1" applyFill="1" applyBorder="1" applyAlignment="1">
      <alignment horizontal="right" vertical="center" wrapText="1"/>
    </xf>
    <xf numFmtId="2" fontId="23" fillId="83" borderId="148" xfId="1" applyNumberFormat="1" applyFont="1" applyFill="1" applyBorder="1" applyAlignment="1">
      <alignment horizontal="right" vertical="center" wrapText="1"/>
    </xf>
    <xf numFmtId="0" fontId="19" fillId="4" borderId="0" xfId="1" applyFont="1" applyFill="1" applyBorder="1" applyAlignment="1">
      <alignment vertical="center"/>
    </xf>
    <xf numFmtId="2" fontId="19" fillId="4" borderId="0" xfId="1" applyNumberFormat="1" applyFill="1" applyBorder="1" applyAlignment="1">
      <alignment horizontal="left" vertical="center" wrapText="1"/>
    </xf>
    <xf numFmtId="2" fontId="19" fillId="4" borderId="0" xfId="1" applyNumberFormat="1" applyFill="1" applyBorder="1" applyAlignment="1">
      <alignment horizontal="left" vertical="center"/>
    </xf>
    <xf numFmtId="0" fontId="19" fillId="6" borderId="0" xfId="1" applyFill="1" applyAlignment="1">
      <alignment vertical="center"/>
    </xf>
    <xf numFmtId="0" fontId="19" fillId="6" borderId="0" xfId="1" applyFont="1" applyFill="1" applyAlignment="1">
      <alignment vertical="center"/>
    </xf>
    <xf numFmtId="0" fontId="19" fillId="6" borderId="179" xfId="1" applyFont="1" applyFill="1" applyBorder="1" applyAlignment="1">
      <alignment horizontal="center" vertical="center"/>
    </xf>
    <xf numFmtId="0" fontId="19" fillId="6" borderId="182" xfId="1" applyFont="1" applyFill="1" applyBorder="1" applyAlignment="1">
      <alignment vertical="center"/>
    </xf>
    <xf numFmtId="0" fontId="19" fillId="6" borderId="184" xfId="1" applyFont="1" applyFill="1" applyBorder="1" applyAlignment="1">
      <alignment vertical="center"/>
    </xf>
    <xf numFmtId="0" fontId="19" fillId="6" borderId="179" xfId="1" applyFont="1" applyFill="1" applyBorder="1" applyAlignment="1" applyProtection="1">
      <alignment vertical="center" wrapText="1"/>
    </xf>
    <xf numFmtId="0" fontId="19" fillId="6" borderId="142" xfId="1" applyFont="1" applyFill="1" applyBorder="1" applyAlignment="1" applyProtection="1">
      <alignment horizontal="center" vertical="center"/>
    </xf>
    <xf numFmtId="0" fontId="19" fillId="6" borderId="191" xfId="1" applyFont="1" applyFill="1" applyBorder="1" applyAlignment="1" applyProtection="1">
      <alignment horizontal="center" vertical="center"/>
    </xf>
    <xf numFmtId="0" fontId="19" fillId="6" borderId="182" xfId="1" applyFont="1" applyFill="1" applyBorder="1" applyAlignment="1" applyProtection="1">
      <alignment vertical="center"/>
    </xf>
    <xf numFmtId="0" fontId="19" fillId="6" borderId="143" xfId="1" applyFont="1" applyFill="1" applyBorder="1" applyAlignment="1" applyProtection="1">
      <alignment horizontal="center" vertical="center"/>
    </xf>
    <xf numFmtId="0" fontId="19" fillId="6" borderId="184" xfId="1" applyFont="1" applyFill="1" applyBorder="1" applyAlignment="1" applyProtection="1">
      <alignment vertical="center"/>
    </xf>
    <xf numFmtId="0" fontId="19" fillId="6" borderId="174" xfId="1" applyFont="1" applyFill="1" applyBorder="1" applyAlignment="1" applyProtection="1">
      <alignment horizontal="center" vertical="center"/>
    </xf>
    <xf numFmtId="0" fontId="19" fillId="6" borderId="192" xfId="1" applyFont="1" applyFill="1" applyBorder="1" applyAlignment="1" applyProtection="1">
      <alignment horizontal="center" vertical="center"/>
    </xf>
    <xf numFmtId="0" fontId="19" fillId="6" borderId="193" xfId="1" applyFont="1" applyFill="1" applyBorder="1" applyAlignment="1" applyProtection="1">
      <alignment horizontal="center" vertical="center"/>
    </xf>
    <xf numFmtId="0" fontId="200" fillId="6" borderId="0" xfId="1" applyFont="1" applyFill="1" applyAlignment="1">
      <alignment horizontal="left" vertical="center"/>
    </xf>
    <xf numFmtId="0" fontId="200" fillId="6" borderId="182" xfId="1" applyFont="1" applyFill="1" applyBorder="1" applyAlignment="1">
      <alignment horizontal="center" vertical="center" wrapText="1"/>
    </xf>
    <xf numFmtId="0" fontId="200" fillId="6" borderId="142" xfId="1" applyFont="1" applyFill="1" applyBorder="1" applyAlignment="1">
      <alignment horizontal="center" vertical="center" wrapText="1"/>
    </xf>
    <xf numFmtId="0" fontId="200" fillId="6" borderId="191" xfId="1" applyFont="1" applyFill="1" applyBorder="1" applyAlignment="1">
      <alignment horizontal="center" vertical="center" wrapText="1"/>
    </xf>
    <xf numFmtId="2" fontId="200" fillId="6" borderId="142" xfId="1" applyNumberFormat="1" applyFont="1" applyFill="1" applyBorder="1" applyAlignment="1">
      <alignment horizontal="center" vertical="center"/>
    </xf>
    <xf numFmtId="2" fontId="200" fillId="6" borderId="191" xfId="1" applyNumberFormat="1" applyFont="1" applyFill="1" applyBorder="1" applyAlignment="1">
      <alignment horizontal="center" vertical="center"/>
    </xf>
    <xf numFmtId="0" fontId="200" fillId="6" borderId="184" xfId="1" applyFont="1" applyFill="1" applyBorder="1" applyAlignment="1">
      <alignment horizontal="center" vertical="center" wrapText="1"/>
    </xf>
    <xf numFmtId="0" fontId="200" fillId="6" borderId="192" xfId="1" applyFont="1" applyFill="1" applyBorder="1" applyAlignment="1">
      <alignment horizontal="center" vertical="center" wrapText="1"/>
    </xf>
    <xf numFmtId="2" fontId="200" fillId="6" borderId="192" xfId="1" applyNumberFormat="1" applyFont="1" applyFill="1" applyBorder="1" applyAlignment="1">
      <alignment horizontal="center" vertical="center"/>
    </xf>
    <xf numFmtId="2" fontId="200" fillId="6" borderId="193" xfId="1" applyNumberFormat="1" applyFont="1" applyFill="1" applyBorder="1" applyAlignment="1">
      <alignment horizontal="center" vertical="center"/>
    </xf>
    <xf numFmtId="0" fontId="200" fillId="6" borderId="0" xfId="1" applyFont="1" applyFill="1" applyBorder="1" applyAlignment="1">
      <alignment horizontal="center" vertical="center" wrapText="1"/>
    </xf>
    <xf numFmtId="2" fontId="200" fillId="6" borderId="0" xfId="1" applyNumberFormat="1" applyFont="1" applyFill="1" applyBorder="1" applyAlignment="1">
      <alignment horizontal="center" vertical="center"/>
    </xf>
    <xf numFmtId="0" fontId="19" fillId="6" borderId="179" xfId="1" applyFill="1" applyBorder="1" applyAlignment="1">
      <alignment horizontal="center" vertical="center"/>
    </xf>
    <xf numFmtId="0" fontId="19" fillId="6" borderId="175" xfId="1" applyFont="1" applyFill="1" applyBorder="1" applyAlignment="1">
      <alignment horizontal="center" vertical="center"/>
    </xf>
    <xf numFmtId="0" fontId="19" fillId="6" borderId="175" xfId="1" applyFill="1" applyBorder="1" applyAlignment="1">
      <alignment horizontal="center" vertical="center"/>
    </xf>
    <xf numFmtId="0" fontId="19" fillId="6" borderId="182" xfId="1" applyFill="1" applyBorder="1" applyAlignment="1">
      <alignment horizontal="center" vertical="center"/>
    </xf>
    <xf numFmtId="0" fontId="19" fillId="6" borderId="142" xfId="1" applyFill="1" applyBorder="1" applyAlignment="1">
      <alignment horizontal="center" vertical="center"/>
    </xf>
    <xf numFmtId="0" fontId="19" fillId="6" borderId="142" xfId="1" applyFont="1" applyFill="1" applyBorder="1" applyAlignment="1">
      <alignment horizontal="center" vertical="center" wrapText="1"/>
    </xf>
    <xf numFmtId="0" fontId="19" fillId="6" borderId="142" xfId="1" applyFont="1" applyFill="1" applyBorder="1" applyAlignment="1">
      <alignment horizontal="center" vertical="center"/>
    </xf>
    <xf numFmtId="0" fontId="19" fillId="6" borderId="191" xfId="1" applyFill="1" applyBorder="1" applyAlignment="1">
      <alignment horizontal="center" vertical="center"/>
    </xf>
    <xf numFmtId="0" fontId="19" fillId="6" borderId="184" xfId="1" applyFill="1" applyBorder="1" applyAlignment="1">
      <alignment horizontal="center" vertical="center"/>
    </xf>
    <xf numFmtId="0" fontId="19" fillId="6" borderId="192" xfId="1" applyFill="1" applyBorder="1" applyAlignment="1">
      <alignment horizontal="center" vertical="center"/>
    </xf>
    <xf numFmtId="0" fontId="19" fillId="6" borderId="193" xfId="1" applyFill="1" applyBorder="1" applyAlignment="1">
      <alignment horizontal="center" vertical="center"/>
    </xf>
    <xf numFmtId="0" fontId="19" fillId="6" borderId="0" xfId="1" applyFill="1" applyBorder="1" applyAlignment="1">
      <alignment vertical="center" wrapText="1"/>
    </xf>
    <xf numFmtId="0" fontId="23" fillId="6" borderId="179" xfId="1" applyFont="1" applyFill="1" applyBorder="1" applyAlignment="1">
      <alignment horizontal="center" vertical="center" wrapText="1"/>
    </xf>
    <xf numFmtId="0" fontId="23" fillId="6" borderId="196" xfId="1" applyFont="1" applyFill="1" applyBorder="1" applyAlignment="1">
      <alignment horizontal="center" vertical="center" wrapText="1"/>
    </xf>
    <xf numFmtId="0" fontId="19" fillId="6" borderId="182" xfId="1" applyFill="1" applyBorder="1" applyAlignment="1">
      <alignment vertical="center" wrapText="1"/>
    </xf>
    <xf numFmtId="0" fontId="19" fillId="6" borderId="191" xfId="1" applyFill="1" applyBorder="1" applyAlignment="1">
      <alignment vertical="center" wrapText="1"/>
    </xf>
    <xf numFmtId="0" fontId="19" fillId="6" borderId="184" xfId="1" applyFont="1" applyFill="1" applyBorder="1" applyAlignment="1">
      <alignment vertical="center" wrapText="1"/>
    </xf>
    <xf numFmtId="0" fontId="19" fillId="6" borderId="193" xfId="1" applyFill="1" applyBorder="1" applyAlignment="1">
      <alignment vertical="center" wrapText="1"/>
    </xf>
    <xf numFmtId="0" fontId="19" fillId="4" borderId="0" xfId="1" applyFill="1" applyAlignment="1">
      <alignment vertical="center"/>
    </xf>
    <xf numFmtId="0" fontId="176" fillId="0" borderId="0" xfId="1" applyFont="1"/>
    <xf numFmtId="0" fontId="205" fillId="6" borderId="0" xfId="1" applyFont="1" applyFill="1" applyBorder="1" applyAlignment="1">
      <alignment horizontal="center" wrapText="1"/>
    </xf>
    <xf numFmtId="0" fontId="176" fillId="0" borderId="0" xfId="1" applyFont="1" applyAlignment="1">
      <alignment vertical="top" wrapText="1"/>
    </xf>
    <xf numFmtId="0" fontId="176" fillId="84" borderId="40" xfId="1" applyFont="1" applyFill="1" applyBorder="1"/>
    <xf numFmtId="216" fontId="176" fillId="83" borderId="23" xfId="4" applyNumberFormat="1" applyFont="1" applyFill="1" applyBorder="1" applyAlignment="1">
      <alignment horizontal="left" wrapText="1"/>
    </xf>
    <xf numFmtId="0" fontId="176" fillId="84" borderId="144" xfId="1" applyFont="1" applyFill="1" applyBorder="1" applyAlignment="1">
      <alignment vertical="top"/>
    </xf>
    <xf numFmtId="216" fontId="176" fillId="83" borderId="145" xfId="4" applyNumberFormat="1" applyFont="1" applyFill="1" applyBorder="1" applyAlignment="1">
      <alignment horizontal="left" wrapText="1"/>
    </xf>
    <xf numFmtId="0" fontId="176" fillId="84" borderId="144" xfId="1" applyFont="1" applyFill="1" applyBorder="1"/>
    <xf numFmtId="208" fontId="176" fillId="85" borderId="145" xfId="4" applyNumberFormat="1" applyFont="1" applyFill="1" applyBorder="1" applyAlignment="1" applyProtection="1">
      <alignment horizontal="left" wrapText="1"/>
      <protection locked="0"/>
    </xf>
    <xf numFmtId="0" fontId="176" fillId="85" borderId="145" xfId="1" applyFont="1" applyFill="1" applyBorder="1" applyAlignment="1" applyProtection="1">
      <alignment wrapText="1"/>
      <protection locked="0"/>
    </xf>
    <xf numFmtId="0" fontId="176" fillId="0" borderId="0" xfId="1" applyFont="1" applyBorder="1"/>
    <xf numFmtId="0" fontId="176" fillId="6" borderId="144" xfId="1" applyFont="1" applyFill="1" applyBorder="1"/>
    <xf numFmtId="43" fontId="176" fillId="85" borderId="145" xfId="4" applyNumberFormat="1" applyFont="1" applyFill="1" applyBorder="1" applyAlignment="1" applyProtection="1">
      <alignment horizontal="left" wrapText="1"/>
      <protection locked="0"/>
    </xf>
    <xf numFmtId="0" fontId="206" fillId="0" borderId="0" xfId="1" applyFont="1" applyBorder="1" applyAlignment="1" applyProtection="1">
      <alignment horizontal="center"/>
      <protection locked="0"/>
    </xf>
    <xf numFmtId="0" fontId="206" fillId="0" borderId="0" xfId="1" applyFont="1" applyBorder="1" applyAlignment="1" applyProtection="1">
      <alignment horizontal="center" wrapText="1"/>
      <protection locked="0"/>
    </xf>
    <xf numFmtId="0" fontId="176" fillId="0" borderId="0" xfId="1" applyFont="1" applyBorder="1" applyProtection="1">
      <protection locked="0"/>
    </xf>
    <xf numFmtId="166" fontId="176" fillId="0" borderId="0" xfId="1" applyNumberFormat="1" applyFont="1" applyBorder="1" applyProtection="1">
      <protection locked="0"/>
    </xf>
    <xf numFmtId="164" fontId="176" fillId="0" borderId="0" xfId="1" applyNumberFormat="1" applyFont="1" applyBorder="1" applyProtection="1">
      <protection locked="0"/>
    </xf>
    <xf numFmtId="2" fontId="176" fillId="0" borderId="0" xfId="1" applyNumberFormat="1" applyFont="1" applyBorder="1" applyProtection="1">
      <protection locked="0"/>
    </xf>
    <xf numFmtId="0" fontId="176" fillId="6" borderId="146" xfId="1" applyFont="1" applyFill="1" applyBorder="1"/>
    <xf numFmtId="216" fontId="176" fillId="83" borderId="148" xfId="4" applyNumberFormat="1" applyFont="1" applyFill="1" applyBorder="1" applyAlignment="1">
      <alignment horizontal="left"/>
    </xf>
    <xf numFmtId="0" fontId="176" fillId="4" borderId="0" xfId="1200" applyFont="1" applyFill="1" applyBorder="1" applyProtection="1">
      <protection locked="0"/>
    </xf>
    <xf numFmtId="0" fontId="176" fillId="6" borderId="40" xfId="1" applyFont="1" applyFill="1" applyBorder="1"/>
    <xf numFmtId="2" fontId="176" fillId="83" borderId="23" xfId="4" applyNumberFormat="1" applyFont="1" applyFill="1" applyBorder="1" applyAlignment="1">
      <alignment horizontal="right"/>
    </xf>
    <xf numFmtId="43" fontId="176" fillId="0" borderId="0" xfId="1" applyNumberFormat="1" applyFont="1" applyBorder="1" applyProtection="1">
      <protection locked="0"/>
    </xf>
    <xf numFmtId="2" fontId="176" fillId="83" borderId="148" xfId="4" applyNumberFormat="1" applyFont="1" applyFill="1" applyBorder="1" applyAlignment="1">
      <alignment horizontal="right"/>
    </xf>
    <xf numFmtId="0" fontId="176" fillId="6" borderId="27" xfId="1" applyFont="1" applyFill="1" applyBorder="1"/>
    <xf numFmtId="208" fontId="176" fillId="85" borderId="144" xfId="4" applyNumberFormat="1" applyFont="1" applyFill="1" applyBorder="1" applyAlignment="1" applyProtection="1">
      <alignment wrapText="1"/>
      <protection locked="0"/>
    </xf>
    <xf numFmtId="208" fontId="176" fillId="85" borderId="145" xfId="4" applyNumberFormat="1" applyFont="1" applyFill="1" applyBorder="1" applyAlignment="1" applyProtection="1">
      <alignment wrapText="1"/>
      <protection locked="0"/>
    </xf>
    <xf numFmtId="0" fontId="176" fillId="6" borderId="155" xfId="1" applyFont="1" applyFill="1" applyBorder="1"/>
    <xf numFmtId="43" fontId="176" fillId="85" borderId="144" xfId="4" applyNumberFormat="1" applyFont="1" applyFill="1" applyBorder="1" applyAlignment="1" applyProtection="1">
      <alignment wrapText="1"/>
      <protection locked="0"/>
    </xf>
    <xf numFmtId="43" fontId="176" fillId="85" borderId="145" xfId="4" applyNumberFormat="1" applyFont="1" applyFill="1" applyBorder="1" applyAlignment="1" applyProtection="1">
      <alignment wrapText="1"/>
      <protection locked="0"/>
    </xf>
    <xf numFmtId="215" fontId="176" fillId="83" borderId="161" xfId="4" applyNumberFormat="1" applyFont="1" applyFill="1" applyBorder="1" applyAlignment="1">
      <alignment horizontal="center"/>
    </xf>
    <xf numFmtId="2" fontId="176" fillId="83" borderId="144" xfId="1" applyNumberFormat="1" applyFont="1" applyFill="1" applyBorder="1" applyAlignment="1"/>
    <xf numFmtId="2" fontId="176" fillId="83" borderId="145" xfId="1" applyNumberFormat="1" applyFont="1" applyFill="1" applyBorder="1" applyAlignment="1"/>
    <xf numFmtId="0" fontId="176" fillId="6" borderId="176" xfId="1" applyFont="1" applyFill="1" applyBorder="1"/>
    <xf numFmtId="215" fontId="176" fillId="83" borderId="152" xfId="1" applyNumberFormat="1" applyFont="1" applyFill="1" applyBorder="1" applyAlignment="1"/>
    <xf numFmtId="0" fontId="176" fillId="6" borderId="145" xfId="1" applyFont="1" applyFill="1" applyBorder="1"/>
    <xf numFmtId="215" fontId="176" fillId="83" borderId="145" xfId="1" applyNumberFormat="1" applyFont="1" applyFill="1" applyBorder="1"/>
    <xf numFmtId="0" fontId="176" fillId="6" borderId="156" xfId="1" applyFont="1" applyFill="1" applyBorder="1"/>
    <xf numFmtId="215" fontId="176" fillId="83" borderId="148" xfId="1" applyNumberFormat="1" applyFont="1" applyFill="1" applyBorder="1"/>
    <xf numFmtId="43" fontId="176" fillId="85" borderId="23" xfId="4" applyFont="1" applyFill="1" applyBorder="1" applyAlignment="1" applyProtection="1">
      <alignment horizontal="center" wrapText="1"/>
      <protection locked="0"/>
    </xf>
    <xf numFmtId="43" fontId="176" fillId="85" borderId="145" xfId="4" applyFont="1" applyFill="1" applyBorder="1" applyAlignment="1" applyProtection="1">
      <alignment horizontal="center" wrapText="1"/>
      <protection locked="0"/>
    </xf>
    <xf numFmtId="43" fontId="176" fillId="85" borderId="148" xfId="4" applyFont="1" applyFill="1" applyBorder="1" applyAlignment="1" applyProtection="1">
      <alignment horizontal="center" wrapText="1"/>
      <protection locked="0"/>
    </xf>
    <xf numFmtId="0" fontId="176" fillId="6" borderId="40" xfId="1" applyFont="1" applyFill="1" applyBorder="1" applyAlignment="1">
      <alignment wrapText="1"/>
    </xf>
    <xf numFmtId="2" fontId="176" fillId="75" borderId="23" xfId="1" applyNumberFormat="1" applyFont="1" applyFill="1" applyBorder="1" applyAlignment="1" applyProtection="1">
      <alignment vertical="center" wrapText="1"/>
      <protection locked="0"/>
    </xf>
    <xf numFmtId="1" fontId="176" fillId="85" borderId="145" xfId="4" applyNumberFormat="1" applyFont="1" applyFill="1" applyBorder="1" applyAlignment="1" applyProtection="1">
      <alignment wrapText="1"/>
      <protection locked="0"/>
    </xf>
    <xf numFmtId="1" fontId="176" fillId="85" borderId="148" xfId="4" applyNumberFormat="1" applyFont="1" applyFill="1" applyBorder="1" applyAlignment="1" applyProtection="1">
      <alignment wrapText="1"/>
      <protection locked="0"/>
    </xf>
    <xf numFmtId="0" fontId="177" fillId="82" borderId="27" xfId="95" applyFont="1" applyFill="1" applyBorder="1" applyAlignment="1" applyProtection="1">
      <alignment wrapText="1"/>
    </xf>
    <xf numFmtId="0" fontId="176" fillId="75" borderId="156" xfId="95" applyFont="1" applyFill="1" applyBorder="1" applyAlignment="1" applyProtection="1">
      <alignment wrapText="1"/>
      <protection locked="0"/>
    </xf>
    <xf numFmtId="0" fontId="178" fillId="4" borderId="0" xfId="1200" applyFont="1" applyFill="1" applyBorder="1" applyProtection="1"/>
    <xf numFmtId="0" fontId="177" fillId="82" borderId="57" xfId="1200" applyFont="1" applyFill="1" applyBorder="1" applyAlignment="1" applyProtection="1">
      <alignment wrapText="1"/>
    </xf>
    <xf numFmtId="0" fontId="176" fillId="75" borderId="57" xfId="1200" applyFont="1" applyFill="1" applyBorder="1" applyAlignment="1" applyProtection="1">
      <alignment wrapText="1"/>
      <protection locked="0"/>
    </xf>
    <xf numFmtId="0" fontId="205" fillId="0" borderId="0" xfId="1" applyFont="1" applyAlignment="1">
      <alignment horizontal="center"/>
    </xf>
    <xf numFmtId="2" fontId="176" fillId="6" borderId="142" xfId="1" applyNumberFormat="1" applyFont="1" applyFill="1" applyBorder="1" applyAlignment="1">
      <alignment horizontal="left" wrapText="1"/>
    </xf>
    <xf numFmtId="2" fontId="176" fillId="6" borderId="145" xfId="1" applyNumberFormat="1" applyFont="1" applyFill="1" applyBorder="1" applyAlignment="1">
      <alignment horizontal="left" wrapText="1"/>
    </xf>
    <xf numFmtId="0" fontId="176" fillId="6" borderId="159" xfId="1" applyFont="1" applyFill="1" applyBorder="1"/>
    <xf numFmtId="2" fontId="176" fillId="6" borderId="163" xfId="1" applyNumberFormat="1" applyFont="1" applyFill="1" applyBorder="1" applyAlignment="1">
      <alignment horizontal="left" wrapText="1"/>
    </xf>
    <xf numFmtId="2" fontId="176" fillId="6" borderId="177" xfId="1" applyNumberFormat="1" applyFont="1" applyFill="1" applyBorder="1" applyAlignment="1">
      <alignment horizontal="left" wrapText="1"/>
    </xf>
    <xf numFmtId="0" fontId="178" fillId="6" borderId="144" xfId="1" applyFont="1" applyFill="1" applyBorder="1"/>
    <xf numFmtId="2" fontId="178" fillId="83" borderId="142" xfId="1" applyNumberFormat="1" applyFont="1" applyFill="1" applyBorder="1" applyAlignment="1">
      <alignment horizontal="left" wrapText="1"/>
    </xf>
    <xf numFmtId="2" fontId="178" fillId="83" borderId="145" xfId="1" applyNumberFormat="1" applyFont="1" applyFill="1" applyBorder="1" applyAlignment="1">
      <alignment horizontal="left" wrapText="1"/>
    </xf>
    <xf numFmtId="0" fontId="178" fillId="6" borderId="146" xfId="1" applyFont="1" applyFill="1" applyBorder="1"/>
    <xf numFmtId="2" fontId="178" fillId="83" borderId="147" xfId="1" applyNumberFormat="1" applyFont="1" applyFill="1" applyBorder="1" applyAlignment="1">
      <alignment horizontal="left" wrapText="1"/>
    </xf>
    <xf numFmtId="2" fontId="178" fillId="83" borderId="148" xfId="1" applyNumberFormat="1" applyFont="1" applyFill="1" applyBorder="1" applyAlignment="1">
      <alignment horizontal="left" wrapText="1"/>
    </xf>
    <xf numFmtId="43" fontId="176" fillId="85" borderId="163" xfId="4" applyFont="1" applyFill="1" applyBorder="1" applyAlignment="1" applyProtection="1">
      <alignment vertical="top" wrapText="1"/>
      <protection locked="0"/>
    </xf>
    <xf numFmtId="43" fontId="176" fillId="85" borderId="178" xfId="4" applyFont="1" applyFill="1" applyBorder="1" applyAlignment="1" applyProtection="1">
      <alignment vertical="top" wrapText="1"/>
      <protection locked="0"/>
    </xf>
    <xf numFmtId="43" fontId="176" fillId="85" borderId="0" xfId="4" applyFont="1" applyFill="1" applyBorder="1" applyAlignment="1" applyProtection="1">
      <alignment vertical="top" wrapText="1"/>
      <protection locked="0"/>
    </xf>
    <xf numFmtId="43" fontId="176" fillId="85" borderId="52" xfId="4" applyFont="1" applyFill="1" applyBorder="1" applyAlignment="1" applyProtection="1">
      <alignment vertical="top" wrapText="1"/>
      <protection locked="0"/>
    </xf>
    <xf numFmtId="43" fontId="176" fillId="85" borderId="72" xfId="4" applyFont="1" applyFill="1" applyBorder="1" applyAlignment="1" applyProtection="1">
      <alignment vertical="top" wrapText="1"/>
      <protection locked="0"/>
    </xf>
    <xf numFmtId="43" fontId="176" fillId="85" borderId="56" xfId="4" applyFont="1" applyFill="1" applyBorder="1" applyAlignment="1" applyProtection="1">
      <alignment vertical="top" wrapText="1"/>
      <protection locked="0"/>
    </xf>
    <xf numFmtId="0" fontId="176" fillId="6" borderId="0" xfId="1" applyFont="1" applyFill="1"/>
    <xf numFmtId="0" fontId="176" fillId="6" borderId="179" xfId="1" applyFont="1" applyFill="1" applyBorder="1" applyAlignment="1" applyProtection="1">
      <alignment wrapText="1"/>
    </xf>
    <xf numFmtId="0" fontId="176" fillId="6" borderId="142" xfId="1" applyFont="1" applyFill="1" applyBorder="1" applyAlignment="1" applyProtection="1">
      <alignment horizontal="center"/>
    </xf>
    <xf numFmtId="0" fontId="176" fillId="6" borderId="191" xfId="1" applyFont="1" applyFill="1" applyBorder="1" applyAlignment="1" applyProtection="1">
      <alignment horizontal="center"/>
    </xf>
    <xf numFmtId="0" fontId="176" fillId="6" borderId="182" xfId="1" applyFont="1" applyFill="1" applyBorder="1" applyAlignment="1" applyProtection="1"/>
    <xf numFmtId="0" fontId="176" fillId="6" borderId="143" xfId="1" applyFont="1" applyFill="1" applyBorder="1" applyAlignment="1" applyProtection="1">
      <alignment horizontal="center"/>
    </xf>
    <xf numFmtId="0" fontId="176" fillId="6" borderId="184" xfId="1" applyFont="1" applyFill="1" applyBorder="1" applyAlignment="1" applyProtection="1"/>
    <xf numFmtId="0" fontId="176" fillId="6" borderId="174" xfId="1" applyFont="1" applyFill="1" applyBorder="1" applyAlignment="1" applyProtection="1">
      <alignment horizontal="center"/>
    </xf>
    <xf numFmtId="0" fontId="176" fillId="6" borderId="192" xfId="1" applyFont="1" applyFill="1" applyBorder="1" applyAlignment="1" applyProtection="1">
      <alignment horizontal="center"/>
    </xf>
    <xf numFmtId="0" fontId="176" fillId="6" borderId="193" xfId="1" applyFont="1" applyFill="1" applyBorder="1" applyAlignment="1" applyProtection="1">
      <alignment horizontal="center"/>
    </xf>
    <xf numFmtId="0" fontId="176" fillId="6" borderId="0" xfId="1" applyFont="1" applyFill="1" applyAlignment="1">
      <alignment vertical="center"/>
    </xf>
    <xf numFmtId="0" fontId="176" fillId="6" borderId="142" xfId="1" applyFont="1" applyFill="1" applyBorder="1" applyAlignment="1">
      <alignment horizontal="center"/>
    </xf>
    <xf numFmtId="0" fontId="176" fillId="6" borderId="142" xfId="1" applyFont="1" applyFill="1" applyBorder="1" applyAlignment="1">
      <alignment horizontal="center" wrapText="1"/>
    </xf>
    <xf numFmtId="0" fontId="176" fillId="6" borderId="0" xfId="1" applyFont="1" applyFill="1" applyAlignment="1">
      <alignment vertical="top" wrapText="1"/>
    </xf>
    <xf numFmtId="0" fontId="22" fillId="6" borderId="198" xfId="1" applyFont="1" applyFill="1" applyBorder="1" applyAlignment="1">
      <alignment horizontal="center" vertical="center"/>
    </xf>
    <xf numFmtId="0" fontId="29" fillId="0" borderId="151" xfId="0" applyFont="1" applyFill="1" applyBorder="1" applyAlignment="1">
      <alignment horizontal="center" vertical="center" wrapText="1"/>
    </xf>
    <xf numFmtId="193" fontId="34" fillId="0" borderId="0" xfId="1" applyNumberFormat="1" applyFont="1" applyFill="1" applyBorder="1" applyAlignment="1">
      <alignment horizontal="center" vertical="center"/>
    </xf>
    <xf numFmtId="0" fontId="140" fillId="0" borderId="0" xfId="0" applyFont="1"/>
    <xf numFmtId="0" fontId="20" fillId="0" borderId="0" xfId="1" applyFont="1" applyAlignment="1">
      <alignment horizontal="center"/>
    </xf>
    <xf numFmtId="0" fontId="29" fillId="0" borderId="128" xfId="0" applyFont="1" applyFill="1" applyBorder="1" applyAlignment="1">
      <alignment horizontal="left" vertical="center" wrapText="1"/>
    </xf>
    <xf numFmtId="0" fontId="29" fillId="0" borderId="51" xfId="0" applyFont="1" applyFill="1" applyBorder="1" applyAlignment="1">
      <alignment horizontal="left" vertical="center" wrapText="1"/>
    </xf>
    <xf numFmtId="0" fontId="29" fillId="0" borderId="129" xfId="0" applyFont="1" applyFill="1" applyBorder="1" applyAlignment="1">
      <alignment horizontal="left" vertical="center" wrapText="1"/>
    </xf>
    <xf numFmtId="0" fontId="29" fillId="0" borderId="160" xfId="0" applyFont="1" applyFill="1" applyBorder="1" applyAlignment="1">
      <alignment horizontal="left" vertical="center" wrapText="1"/>
    </xf>
    <xf numFmtId="2" fontId="140" fillId="0" borderId="0" xfId="0" applyNumberFormat="1" applyFont="1" applyAlignment="1">
      <alignment horizontal="center"/>
    </xf>
    <xf numFmtId="2" fontId="140" fillId="0" borderId="0" xfId="0" applyNumberFormat="1" applyFont="1"/>
    <xf numFmtId="165" fontId="20" fillId="0" borderId="0" xfId="0" applyNumberFormat="1" applyFont="1"/>
    <xf numFmtId="0" fontId="166" fillId="0" borderId="0" xfId="10656" applyFont="1" applyFill="1" applyBorder="1"/>
    <xf numFmtId="0" fontId="19" fillId="6" borderId="4" xfId="1" applyFill="1" applyBorder="1" applyAlignment="1">
      <alignment horizontal="center" vertical="center"/>
    </xf>
    <xf numFmtId="0" fontId="20" fillId="6" borderId="5" xfId="1" applyFont="1" applyFill="1" applyBorder="1" applyAlignment="1">
      <alignment horizontal="center" vertical="center"/>
    </xf>
    <xf numFmtId="0" fontId="19" fillId="6" borderId="197" xfId="1" applyFill="1" applyBorder="1" applyAlignment="1">
      <alignment horizontal="center" vertical="center"/>
    </xf>
    <xf numFmtId="0" fontId="20" fillId="6" borderId="199" xfId="1" applyFont="1" applyFill="1" applyBorder="1" applyAlignment="1">
      <alignment horizontal="center" vertical="center"/>
    </xf>
    <xf numFmtId="0" fontId="19" fillId="4" borderId="21" xfId="1" applyFill="1" applyBorder="1"/>
    <xf numFmtId="0" fontId="20" fillId="4" borderId="22" xfId="1" applyFont="1" applyFill="1" applyBorder="1"/>
    <xf numFmtId="0" fontId="20" fillId="4" borderId="21" xfId="1" applyFont="1" applyFill="1" applyBorder="1" applyAlignment="1">
      <alignment horizontal="center" vertical="center"/>
    </xf>
    <xf numFmtId="220" fontId="20" fillId="4" borderId="57" xfId="1" applyNumberFormat="1" applyFont="1" applyFill="1" applyBorder="1" applyAlignment="1" applyProtection="1">
      <alignment horizontal="center" vertical="center"/>
    </xf>
    <xf numFmtId="0" fontId="20" fillId="0" borderId="51" xfId="1" applyFont="1" applyBorder="1" applyAlignment="1">
      <alignment vertical="center"/>
    </xf>
    <xf numFmtId="0" fontId="20" fillId="0" borderId="158" xfId="1" applyFont="1" applyBorder="1" applyAlignment="1">
      <alignment vertical="center"/>
    </xf>
    <xf numFmtId="0" fontId="19" fillId="6" borderId="4" xfId="1" applyFont="1" applyFill="1" applyBorder="1"/>
    <xf numFmtId="0" fontId="20" fillId="4" borderId="155" xfId="1" quotePrefix="1" applyNumberFormat="1" applyFont="1" applyFill="1" applyBorder="1" applyAlignment="1">
      <alignment horizontal="center" vertical="center"/>
    </xf>
    <xf numFmtId="221" fontId="20" fillId="6" borderId="5" xfId="1" applyNumberFormat="1" applyFont="1" applyFill="1" applyBorder="1" applyProtection="1"/>
    <xf numFmtId="0" fontId="20" fillId="4" borderId="155" xfId="1" applyFont="1" applyFill="1" applyBorder="1" applyAlignment="1">
      <alignment horizontal="center" vertical="center"/>
    </xf>
    <xf numFmtId="221" fontId="22" fillId="6" borderId="5" xfId="1" applyNumberFormat="1" applyFont="1" applyFill="1" applyBorder="1"/>
    <xf numFmtId="1" fontId="20" fillId="4" borderId="155" xfId="1" applyNumberFormat="1" applyFont="1" applyFill="1" applyBorder="1" applyAlignment="1">
      <alignment horizontal="center" vertical="center"/>
    </xf>
    <xf numFmtId="0" fontId="20" fillId="0" borderId="160" xfId="1" applyFont="1" applyBorder="1" applyAlignment="1">
      <alignment vertical="center"/>
    </xf>
    <xf numFmtId="1" fontId="20" fillId="4" borderId="74" xfId="1" applyNumberFormat="1" applyFont="1" applyFill="1" applyBorder="1" applyAlignment="1">
      <alignment horizontal="center" vertical="center"/>
    </xf>
    <xf numFmtId="2" fontId="20" fillId="4" borderId="155" xfId="1" applyNumberFormat="1" applyFont="1" applyFill="1" applyBorder="1" applyAlignment="1">
      <alignment horizontal="center" vertical="center"/>
    </xf>
    <xf numFmtId="2" fontId="20" fillId="4" borderId="156" xfId="1" applyNumberFormat="1" applyFont="1" applyFill="1" applyBorder="1" applyAlignment="1">
      <alignment horizontal="center" vertical="center"/>
    </xf>
    <xf numFmtId="0" fontId="33" fillId="4" borderId="21" xfId="1" applyFont="1" applyFill="1" applyBorder="1" applyAlignment="1">
      <alignment horizontal="center" vertical="center"/>
    </xf>
    <xf numFmtId="49" fontId="33" fillId="4" borderId="57" xfId="1" applyNumberFormat="1" applyFont="1" applyFill="1" applyBorder="1" applyAlignment="1" applyProtection="1">
      <alignment horizontal="center" vertical="center"/>
    </xf>
    <xf numFmtId="0" fontId="33" fillId="0" borderId="51" xfId="1" applyFont="1" applyBorder="1" applyAlignment="1">
      <alignment vertical="center"/>
    </xf>
    <xf numFmtId="3" fontId="33" fillId="4" borderId="74" xfId="1" applyNumberFormat="1" applyFont="1" applyFill="1" applyBorder="1" applyAlignment="1">
      <alignment horizontal="center" vertical="center"/>
    </xf>
    <xf numFmtId="0" fontId="33" fillId="0" borderId="158" xfId="1" applyFont="1" applyBorder="1" applyAlignment="1">
      <alignment vertical="center"/>
    </xf>
    <xf numFmtId="164" fontId="33" fillId="4" borderId="155" xfId="1" applyNumberFormat="1" applyFont="1" applyFill="1" applyBorder="1" applyAlignment="1">
      <alignment horizontal="center" vertical="center"/>
    </xf>
    <xf numFmtId="0" fontId="33" fillId="4" borderId="155" xfId="1" applyFont="1" applyFill="1" applyBorder="1" applyAlignment="1">
      <alignment horizontal="center" vertical="center"/>
    </xf>
    <xf numFmtId="1" fontId="33" fillId="4" borderId="155" xfId="1" applyNumberFormat="1" applyFont="1" applyFill="1" applyBorder="1" applyAlignment="1">
      <alignment horizontal="center" vertical="center"/>
    </xf>
    <xf numFmtId="2" fontId="33" fillId="4" borderId="155" xfId="1" applyNumberFormat="1" applyFont="1" applyFill="1" applyBorder="1" applyAlignment="1">
      <alignment horizontal="center" vertical="center"/>
    </xf>
    <xf numFmtId="0" fontId="33" fillId="0" borderId="160" xfId="1" applyFont="1" applyBorder="1" applyAlignment="1">
      <alignment vertical="center"/>
    </xf>
    <xf numFmtId="164" fontId="33" fillId="4" borderId="156" xfId="1" applyNumberFormat="1" applyFont="1" applyFill="1" applyBorder="1" applyAlignment="1">
      <alignment horizontal="center" vertical="center"/>
    </xf>
    <xf numFmtId="0" fontId="23" fillId="4" borderId="0" xfId="1200" applyFont="1" applyFill="1" applyBorder="1" applyProtection="1">
      <protection locked="0"/>
    </xf>
    <xf numFmtId="0" fontId="23" fillId="4" borderId="0" xfId="1200" applyFont="1" applyFill="1" applyBorder="1" applyAlignment="1" applyProtection="1">
      <alignment horizontal="center"/>
      <protection locked="0"/>
    </xf>
    <xf numFmtId="0" fontId="23" fillId="4" borderId="0" xfId="1200" applyFont="1" applyFill="1" applyBorder="1" applyProtection="1"/>
    <xf numFmtId="0" fontId="23" fillId="4" borderId="0" xfId="1200" applyFont="1" applyFill="1" applyBorder="1" applyAlignment="1" applyProtection="1">
      <alignment horizontal="center"/>
    </xf>
    <xf numFmtId="0" fontId="23" fillId="4" borderId="1" xfId="1200" applyFont="1" applyFill="1" applyBorder="1" applyProtection="1"/>
    <xf numFmtId="0" fontId="23" fillId="4" borderId="2" xfId="1200" applyFont="1" applyFill="1" applyBorder="1" applyProtection="1">
      <protection locked="0"/>
    </xf>
    <xf numFmtId="0" fontId="23" fillId="4" borderId="2" xfId="1200" applyFont="1" applyFill="1" applyBorder="1" applyProtection="1"/>
    <xf numFmtId="0" fontId="23" fillId="4" borderId="2" xfId="1200" applyFont="1" applyFill="1" applyBorder="1" applyAlignment="1" applyProtection="1">
      <alignment horizontal="center"/>
    </xf>
    <xf numFmtId="0" fontId="23" fillId="4" borderId="2" xfId="1200" applyFont="1" applyFill="1" applyBorder="1" applyAlignment="1" applyProtection="1">
      <alignment horizontal="center"/>
      <protection locked="0"/>
    </xf>
    <xf numFmtId="0" fontId="23" fillId="4" borderId="3" xfId="1200" applyFont="1" applyFill="1" applyBorder="1" applyProtection="1">
      <protection locked="0"/>
    </xf>
    <xf numFmtId="0" fontId="149" fillId="4" borderId="4" xfId="1200" applyFont="1" applyFill="1" applyBorder="1" applyProtection="1">
      <protection locked="0"/>
    </xf>
    <xf numFmtId="0" fontId="23" fillId="4" borderId="4" xfId="1200" applyFont="1" applyFill="1" applyBorder="1" applyProtection="1">
      <protection locked="0"/>
    </xf>
    <xf numFmtId="0" fontId="23" fillId="4" borderId="5" xfId="1200" applyFont="1" applyFill="1" applyBorder="1" applyProtection="1">
      <protection locked="0"/>
    </xf>
    <xf numFmtId="0" fontId="23" fillId="82" borderId="143" xfId="1200" applyFont="1" applyFill="1" applyBorder="1" applyAlignment="1" applyProtection="1">
      <alignment horizontal="right"/>
    </xf>
    <xf numFmtId="0" fontId="23" fillId="75" borderId="144" xfId="1200" applyFont="1" applyFill="1" applyBorder="1" applyAlignment="1" applyProtection="1">
      <alignment horizontal="center"/>
      <protection locked="0"/>
    </xf>
    <xf numFmtId="0" fontId="23" fillId="75" borderId="209" xfId="1200" applyFont="1" applyFill="1" applyBorder="1" applyProtection="1">
      <protection locked="0"/>
    </xf>
    <xf numFmtId="0" fontId="23" fillId="75" borderId="209" xfId="1200" applyFont="1" applyFill="1" applyBorder="1" applyAlignment="1" applyProtection="1">
      <alignment horizontal="center"/>
      <protection locked="0"/>
    </xf>
    <xf numFmtId="0" fontId="23" fillId="4" borderId="0" xfId="1200" applyFont="1" applyFill="1" applyBorder="1" applyAlignment="1" applyProtection="1">
      <alignment horizontal="left"/>
      <protection locked="0"/>
    </xf>
    <xf numFmtId="0" fontId="23" fillId="0" borderId="0" xfId="1200" applyFont="1" applyFill="1" applyBorder="1" applyAlignment="1" applyProtection="1">
      <alignment horizontal="right"/>
    </xf>
    <xf numFmtId="0" fontId="23" fillId="0" borderId="4" xfId="1200" applyFont="1" applyFill="1" applyBorder="1" applyAlignment="1" applyProtection="1">
      <alignment horizontal="center"/>
      <protection locked="0"/>
    </xf>
    <xf numFmtId="2" fontId="23" fillId="75" borderId="209" xfId="1200" applyNumberFormat="1" applyFont="1" applyFill="1" applyBorder="1" applyProtection="1">
      <protection locked="0"/>
    </xf>
    <xf numFmtId="3" fontId="23" fillId="75" borderId="209" xfId="1200" applyNumberFormat="1" applyFont="1" applyFill="1" applyBorder="1" applyAlignment="1" applyProtection="1">
      <alignment horizontal="center"/>
      <protection locked="0"/>
    </xf>
    <xf numFmtId="0" fontId="23" fillId="4" borderId="4" xfId="1200" applyFont="1" applyFill="1" applyBorder="1" applyAlignment="1" applyProtection="1">
      <alignment horizontal="center"/>
      <protection locked="0"/>
    </xf>
    <xf numFmtId="4" fontId="23" fillId="75" borderId="209" xfId="1200" applyNumberFormat="1" applyFont="1" applyFill="1" applyBorder="1" applyAlignment="1" applyProtection="1">
      <alignment horizontal="center"/>
      <protection locked="0"/>
    </xf>
    <xf numFmtId="0" fontId="23" fillId="82" borderId="158" xfId="1200" applyFont="1" applyFill="1" applyBorder="1" applyAlignment="1" applyProtection="1">
      <alignment horizontal="right"/>
    </xf>
    <xf numFmtId="1" fontId="23" fillId="75" borderId="209" xfId="1200" applyNumberFormat="1" applyFont="1" applyFill="1" applyBorder="1" applyProtection="1">
      <protection locked="0"/>
    </xf>
    <xf numFmtId="214" fontId="23" fillId="75" borderId="144" xfId="1200" applyNumberFormat="1" applyFont="1" applyFill="1" applyBorder="1" applyAlignment="1" applyProtection="1">
      <alignment horizontal="center"/>
      <protection locked="0"/>
    </xf>
    <xf numFmtId="2" fontId="23" fillId="75" borderId="209" xfId="1200" applyNumberFormat="1" applyFont="1" applyFill="1" applyBorder="1" applyAlignment="1" applyProtection="1">
      <alignment horizontal="center"/>
      <protection locked="0"/>
    </xf>
    <xf numFmtId="0" fontId="23" fillId="4" borderId="0" xfId="1200" applyFont="1" applyFill="1" applyBorder="1" applyAlignment="1" applyProtection="1">
      <alignment horizontal="right"/>
      <protection locked="0"/>
    </xf>
    <xf numFmtId="0" fontId="23" fillId="4" borderId="4" xfId="1200" applyFont="1" applyFill="1" applyBorder="1" applyProtection="1"/>
    <xf numFmtId="0" fontId="23" fillId="4" borderId="4" xfId="1200" applyFont="1" applyFill="1" applyBorder="1" applyAlignment="1" applyProtection="1">
      <alignment horizontal="center"/>
    </xf>
    <xf numFmtId="0" fontId="23" fillId="4" borderId="0" xfId="1200" applyFont="1" applyFill="1" applyBorder="1" applyAlignment="1" applyProtection="1">
      <alignment wrapText="1"/>
    </xf>
    <xf numFmtId="0" fontId="19" fillId="0" borderId="0" xfId="1" applyFont="1" applyBorder="1" applyAlignment="1" applyProtection="1">
      <alignment wrapText="1"/>
    </xf>
    <xf numFmtId="0" fontId="23" fillId="75" borderId="144" xfId="1200" applyFont="1" applyFill="1" applyBorder="1" applyAlignment="1" applyProtection="1">
      <alignment horizontal="center" wrapText="1"/>
      <protection locked="0"/>
    </xf>
    <xf numFmtId="0" fontId="23" fillId="0" borderId="0" xfId="1200" applyFont="1" applyFill="1" applyBorder="1" applyAlignment="1" applyProtection="1">
      <alignment horizontal="center"/>
      <protection locked="0"/>
    </xf>
    <xf numFmtId="0" fontId="23" fillId="75" borderId="209" xfId="1200" applyFont="1" applyFill="1" applyBorder="1" applyAlignment="1" applyProtection="1">
      <alignment wrapText="1"/>
      <protection locked="0"/>
    </xf>
    <xf numFmtId="0" fontId="23" fillId="82" borderId="158" xfId="1200" applyFont="1" applyFill="1" applyBorder="1" applyAlignment="1" applyProtection="1">
      <alignment horizontal="right" wrapText="1"/>
    </xf>
    <xf numFmtId="0" fontId="23" fillId="4" borderId="165" xfId="1200" applyFont="1" applyFill="1" applyBorder="1" applyProtection="1"/>
    <xf numFmtId="0" fontId="23" fillId="4" borderId="166" xfId="1200" applyFont="1" applyFill="1" applyBorder="1" applyProtection="1"/>
    <xf numFmtId="0" fontId="23" fillId="4" borderId="166" xfId="1200" applyFont="1" applyFill="1" applyBorder="1" applyAlignment="1" applyProtection="1">
      <alignment horizontal="center"/>
    </xf>
    <xf numFmtId="0" fontId="23" fillId="4" borderId="167" xfId="1200" applyFont="1" applyFill="1" applyBorder="1" applyProtection="1"/>
    <xf numFmtId="0" fontId="23" fillId="4" borderId="168" xfId="1200" applyFont="1" applyFill="1" applyBorder="1" applyProtection="1"/>
    <xf numFmtId="0" fontId="23" fillId="4" borderId="169" xfId="1200" applyFont="1" applyFill="1" applyBorder="1" applyProtection="1"/>
    <xf numFmtId="3" fontId="23" fillId="75" borderId="144" xfId="1200" applyNumberFormat="1" applyFont="1" applyFill="1" applyBorder="1" applyAlignment="1" applyProtection="1">
      <alignment horizontal="center"/>
      <protection locked="0"/>
    </xf>
    <xf numFmtId="0" fontId="23" fillId="4" borderId="168" xfId="1200" applyFont="1" applyFill="1" applyBorder="1" applyAlignment="1" applyProtection="1">
      <alignment vertical="center"/>
    </xf>
    <xf numFmtId="3" fontId="23" fillId="75" borderId="37" xfId="1200" applyNumberFormat="1" applyFont="1" applyFill="1" applyBorder="1" applyAlignment="1" applyProtection="1">
      <alignment horizontal="center"/>
      <protection locked="0"/>
    </xf>
    <xf numFmtId="0" fontId="23" fillId="4" borderId="170" xfId="1200" applyFont="1" applyFill="1" applyBorder="1" applyAlignment="1" applyProtection="1">
      <alignment vertical="top"/>
    </xf>
    <xf numFmtId="0" fontId="23" fillId="4" borderId="171" xfId="1200" applyFont="1" applyFill="1" applyBorder="1" applyProtection="1"/>
    <xf numFmtId="0" fontId="23" fillId="4" borderId="171" xfId="1200" applyFont="1" applyFill="1" applyBorder="1" applyAlignment="1" applyProtection="1">
      <alignment horizontal="center"/>
    </xf>
    <xf numFmtId="0" fontId="23" fillId="4" borderId="172" xfId="1200" applyFont="1" applyFill="1" applyBorder="1" applyProtection="1"/>
    <xf numFmtId="0" fontId="23" fillId="4" borderId="197" xfId="1200" applyFont="1" applyFill="1" applyBorder="1" applyAlignment="1" applyProtection="1">
      <alignment horizontal="right" wrapText="1"/>
      <protection locked="0"/>
    </xf>
    <xf numFmtId="0" fontId="23" fillId="4" borderId="197" xfId="1200" applyFont="1" applyFill="1" applyBorder="1" applyProtection="1">
      <protection locked="0"/>
    </xf>
    <xf numFmtId="0" fontId="23" fillId="4" borderId="198" xfId="1200" applyFont="1" applyFill="1" applyBorder="1" applyProtection="1">
      <protection locked="0"/>
    </xf>
    <xf numFmtId="0" fontId="23" fillId="4" borderId="198" xfId="1200" applyFont="1" applyFill="1" applyBorder="1" applyAlignment="1" applyProtection="1">
      <alignment horizontal="center"/>
      <protection locked="0"/>
    </xf>
    <xf numFmtId="0" fontId="23" fillId="4" borderId="199" xfId="1200" applyFont="1" applyFill="1" applyBorder="1" applyProtection="1">
      <protection locked="0"/>
    </xf>
    <xf numFmtId="0" fontId="23" fillId="4" borderId="62" xfId="1200" applyFont="1" applyFill="1" applyBorder="1" applyAlignment="1" applyProtection="1">
      <alignment horizontal="right" wrapText="1"/>
      <protection locked="0"/>
    </xf>
    <xf numFmtId="0" fontId="23" fillId="4" borderId="62" xfId="1200" applyFont="1" applyFill="1" applyBorder="1" applyProtection="1">
      <protection locked="0"/>
    </xf>
    <xf numFmtId="0" fontId="149" fillId="4" borderId="1" xfId="1" applyFont="1" applyFill="1" applyBorder="1" applyAlignment="1" applyProtection="1">
      <alignment wrapText="1"/>
    </xf>
    <xf numFmtId="0" fontId="19" fillId="0" borderId="2" xfId="1" applyFont="1" applyBorder="1" applyAlignment="1" applyProtection="1">
      <alignment wrapText="1"/>
    </xf>
    <xf numFmtId="0" fontId="19" fillId="4" borderId="0" xfId="1" applyFont="1" applyFill="1" applyBorder="1" applyProtection="1">
      <protection locked="0"/>
    </xf>
    <xf numFmtId="0" fontId="19" fillId="4" borderId="4" xfId="1" applyFont="1" applyFill="1" applyBorder="1" applyProtection="1">
      <protection locked="0"/>
    </xf>
    <xf numFmtId="0" fontId="23" fillId="82" borderId="144" xfId="1" applyFont="1" applyFill="1" applyBorder="1" applyAlignment="1" applyProtection="1">
      <alignment horizontal="right" wrapText="1"/>
    </xf>
    <xf numFmtId="4" fontId="19" fillId="75" borderId="209" xfId="1" applyNumberFormat="1" applyFont="1" applyFill="1" applyBorder="1" applyAlignment="1" applyProtection="1">
      <alignment horizontal="center"/>
      <protection locked="0"/>
    </xf>
    <xf numFmtId="0" fontId="194" fillId="4" borderId="0" xfId="1" applyFont="1" applyFill="1" applyBorder="1" applyAlignment="1" applyProtection="1">
      <alignment horizontal="right"/>
    </xf>
    <xf numFmtId="0" fontId="194" fillId="4" borderId="0" xfId="1" applyFont="1" applyFill="1" applyBorder="1" applyAlignment="1" applyProtection="1">
      <alignment horizontal="center"/>
    </xf>
    <xf numFmtId="0" fontId="194" fillId="4" borderId="0" xfId="1" applyFont="1" applyFill="1" applyBorder="1" applyProtection="1"/>
    <xf numFmtId="0" fontId="23" fillId="82" borderId="37" xfId="1" applyFont="1" applyFill="1" applyBorder="1" applyAlignment="1" applyProtection="1">
      <alignment horizontal="right" wrapText="1"/>
    </xf>
    <xf numFmtId="4" fontId="19" fillId="75" borderId="38" xfId="1" applyNumberFormat="1" applyFont="1" applyFill="1" applyBorder="1" applyAlignment="1" applyProtection="1">
      <alignment horizontal="center"/>
      <protection locked="0"/>
    </xf>
    <xf numFmtId="0" fontId="19" fillId="4" borderId="0" xfId="1" applyFont="1" applyFill="1" applyBorder="1" applyAlignment="1" applyProtection="1">
      <alignment horizontal="center"/>
      <protection locked="0"/>
    </xf>
    <xf numFmtId="0" fontId="19" fillId="4" borderId="4" xfId="1" applyFont="1" applyFill="1" applyBorder="1" applyAlignment="1" applyProtection="1">
      <alignment horizontal="center"/>
      <protection locked="0"/>
    </xf>
    <xf numFmtId="0" fontId="19" fillId="4" borderId="4" xfId="1" applyFont="1" applyFill="1" applyBorder="1" applyAlignment="1" applyProtection="1">
      <alignment horizontal="right"/>
      <protection locked="0"/>
    </xf>
    <xf numFmtId="0" fontId="19" fillId="4" borderId="211" xfId="1" applyFont="1" applyFill="1" applyBorder="1" applyAlignment="1" applyProtection="1">
      <alignment horizontal="center"/>
      <protection locked="0"/>
    </xf>
    <xf numFmtId="4" fontId="23" fillId="83" borderId="209" xfId="1" applyNumberFormat="1" applyFont="1" applyFill="1" applyBorder="1" applyAlignment="1" applyProtection="1">
      <alignment horizontal="center"/>
    </xf>
    <xf numFmtId="0" fontId="19" fillId="4" borderId="197" xfId="1" applyFont="1" applyFill="1" applyBorder="1" applyAlignment="1" applyProtection="1">
      <alignment horizontal="center"/>
      <protection locked="0"/>
    </xf>
    <xf numFmtId="0" fontId="19" fillId="4" borderId="198" xfId="1" applyFont="1" applyFill="1" applyBorder="1" applyAlignment="1" applyProtection="1">
      <alignment horizontal="center"/>
      <protection locked="0"/>
    </xf>
    <xf numFmtId="0" fontId="23" fillId="4" borderId="0" xfId="1200" applyFont="1" applyFill="1" applyBorder="1" applyAlignment="1" applyProtection="1">
      <alignment horizontal="right" wrapText="1"/>
      <protection locked="0"/>
    </xf>
    <xf numFmtId="0" fontId="23" fillId="82" borderId="11" xfId="1200" applyFont="1" applyFill="1" applyBorder="1" applyAlignment="1" applyProtection="1">
      <alignment horizontal="right" wrapText="1"/>
      <protection locked="0"/>
    </xf>
    <xf numFmtId="0" fontId="23" fillId="75" borderId="10" xfId="1200" applyFont="1" applyFill="1" applyBorder="1" applyAlignment="1" applyProtection="1">
      <alignment horizontal="center"/>
      <protection locked="0"/>
    </xf>
    <xf numFmtId="0" fontId="23" fillId="4" borderId="1" xfId="1200" applyFont="1" applyFill="1" applyBorder="1" applyAlignment="1" applyProtection="1">
      <alignment horizontal="left"/>
    </xf>
    <xf numFmtId="0" fontId="23" fillId="4" borderId="143" xfId="1200" applyFont="1" applyFill="1" applyBorder="1" applyProtection="1"/>
    <xf numFmtId="0" fontId="23" fillId="4" borderId="211" xfId="1200" applyFont="1" applyFill="1" applyBorder="1" applyProtection="1"/>
    <xf numFmtId="0" fontId="23" fillId="4" borderId="161" xfId="1200" applyFont="1" applyFill="1" applyBorder="1" applyProtection="1"/>
    <xf numFmtId="0" fontId="23" fillId="4" borderId="0" xfId="1200" applyFont="1" applyFill="1" applyBorder="1" applyAlignment="1" applyProtection="1">
      <alignment wrapText="1"/>
      <protection locked="0"/>
    </xf>
    <xf numFmtId="0" fontId="23" fillId="82" borderId="144" xfId="1200" applyFont="1" applyFill="1" applyBorder="1" applyAlignment="1" applyProtection="1">
      <alignment wrapText="1"/>
    </xf>
    <xf numFmtId="0" fontId="149" fillId="82" borderId="209" xfId="1200" applyFont="1" applyFill="1" applyBorder="1" applyAlignment="1" applyProtection="1">
      <alignment horizontal="center" wrapText="1"/>
    </xf>
    <xf numFmtId="0" fontId="149" fillId="82" borderId="209" xfId="1200" applyFont="1" applyFill="1" applyBorder="1" applyAlignment="1" applyProtection="1">
      <alignment horizontal="center" vertical="top" wrapText="1"/>
    </xf>
    <xf numFmtId="0" fontId="149" fillId="82" borderId="161" xfId="1200" applyFont="1" applyFill="1" applyBorder="1" applyAlignment="1" applyProtection="1">
      <alignment horizontal="center" wrapText="1"/>
    </xf>
    <xf numFmtId="0" fontId="196" fillId="82" borderId="161" xfId="1200" applyFont="1" applyFill="1" applyBorder="1" applyAlignment="1" applyProtection="1">
      <alignment horizontal="center" wrapText="1"/>
    </xf>
    <xf numFmtId="0" fontId="196" fillId="82" borderId="209" xfId="1200" applyFont="1" applyFill="1" applyBorder="1" applyAlignment="1" applyProtection="1">
      <alignment horizontal="center" wrapText="1"/>
    </xf>
    <xf numFmtId="0" fontId="23" fillId="82" borderId="209" xfId="1200" applyFont="1" applyFill="1" applyBorder="1" applyAlignment="1" applyProtection="1">
      <alignment horizontal="center" wrapText="1"/>
    </xf>
    <xf numFmtId="0" fontId="23" fillId="82" borderId="161" xfId="1200" applyFont="1" applyFill="1" applyBorder="1" applyAlignment="1" applyProtection="1">
      <alignment horizontal="center" wrapText="1"/>
    </xf>
    <xf numFmtId="0" fontId="149" fillId="82" borderId="161" xfId="1" applyFont="1" applyFill="1" applyBorder="1" applyAlignment="1" applyProtection="1">
      <alignment horizontal="center" wrapText="1"/>
    </xf>
    <xf numFmtId="0" fontId="214" fillId="82" borderId="161" xfId="1200" applyFont="1" applyFill="1" applyBorder="1" applyAlignment="1" applyProtection="1">
      <alignment horizontal="center" wrapText="1"/>
    </xf>
    <xf numFmtId="0" fontId="23" fillId="82" borderId="145" xfId="1200" applyFont="1" applyFill="1" applyBorder="1" applyAlignment="1" applyProtection="1">
      <alignment horizontal="center" wrapText="1"/>
    </xf>
    <xf numFmtId="0" fontId="23" fillId="82" borderId="144" xfId="1200" applyFont="1" applyFill="1" applyBorder="1" applyAlignment="1" applyProtection="1">
      <alignment horizontal="right"/>
    </xf>
    <xf numFmtId="0" fontId="23" fillId="82" borderId="153" xfId="1200" applyFont="1" applyFill="1" applyBorder="1" applyAlignment="1" applyProtection="1">
      <alignment horizontal="center"/>
    </xf>
    <xf numFmtId="0" fontId="23" fillId="82" borderId="209" xfId="1200" applyFont="1" applyFill="1" applyBorder="1" applyAlignment="1" applyProtection="1">
      <alignment horizontal="center"/>
    </xf>
    <xf numFmtId="0" fontId="196" fillId="83" borderId="209" xfId="1200" applyFont="1" applyFill="1" applyBorder="1" applyAlignment="1" applyProtection="1">
      <alignment horizontal="center"/>
    </xf>
    <xf numFmtId="0" fontId="196" fillId="83" borderId="211" xfId="1200" applyFont="1" applyFill="1" applyBorder="1" applyAlignment="1" applyProtection="1">
      <alignment horizontal="center"/>
    </xf>
    <xf numFmtId="207" fontId="23" fillId="83" borderId="153" xfId="1200" applyNumberFormat="1" applyFont="1" applyFill="1" applyBorder="1" applyAlignment="1" applyProtection="1">
      <alignment horizontal="center"/>
    </xf>
    <xf numFmtId="207" fontId="23" fillId="83" borderId="209" xfId="1200" applyNumberFormat="1" applyFont="1" applyFill="1" applyBorder="1" applyAlignment="1" applyProtection="1">
      <alignment horizontal="center"/>
    </xf>
    <xf numFmtId="0" fontId="23" fillId="75" borderId="209" xfId="1200" applyFont="1" applyFill="1" applyBorder="1" applyAlignment="1" applyProtection="1">
      <alignment horizontal="center" wrapText="1"/>
      <protection locked="0"/>
    </xf>
    <xf numFmtId="2" fontId="23" fillId="75" borderId="209" xfId="1200" applyNumberFormat="1" applyFont="1" applyFill="1" applyBorder="1" applyAlignment="1" applyProtection="1">
      <alignment horizontal="center" wrapText="1"/>
      <protection locked="0"/>
    </xf>
    <xf numFmtId="0" fontId="214" fillId="82" borderId="209" xfId="1200" applyFont="1" applyFill="1" applyBorder="1" applyAlignment="1" applyProtection="1">
      <alignment horizontal="center"/>
    </xf>
    <xf numFmtId="207" fontId="23" fillId="83" borderId="149" xfId="1200" applyNumberFormat="1" applyFont="1" applyFill="1" applyBorder="1" applyAlignment="1" applyProtection="1">
      <alignment horizontal="center"/>
    </xf>
    <xf numFmtId="164" fontId="23" fillId="75" borderId="209" xfId="1200" applyNumberFormat="1" applyFont="1" applyFill="1" applyBorder="1" applyAlignment="1" applyProtection="1">
      <alignment horizontal="center"/>
      <protection locked="0"/>
    </xf>
    <xf numFmtId="0" fontId="23" fillId="82" borderId="161" xfId="1200" applyFont="1" applyFill="1" applyBorder="1" applyAlignment="1" applyProtection="1">
      <alignment horizontal="center"/>
    </xf>
    <xf numFmtId="164" fontId="23" fillId="75" borderId="209" xfId="1200" applyNumberFormat="1" applyFont="1" applyFill="1" applyBorder="1" applyAlignment="1" applyProtection="1">
      <alignment horizontal="center" wrapText="1"/>
      <protection locked="0"/>
    </xf>
    <xf numFmtId="0" fontId="23" fillId="82" borderId="37" xfId="1200" applyFont="1" applyFill="1" applyBorder="1" applyAlignment="1" applyProtection="1">
      <alignment horizontal="right"/>
    </xf>
    <xf numFmtId="0" fontId="23" fillId="75" borderId="38" xfId="1200" applyFont="1" applyFill="1" applyBorder="1" applyAlignment="1" applyProtection="1">
      <alignment horizontal="center"/>
      <protection locked="0"/>
    </xf>
    <xf numFmtId="0" fontId="23" fillId="82" borderId="38" xfId="1200" applyFont="1" applyFill="1" applyBorder="1" applyAlignment="1" applyProtection="1">
      <alignment horizontal="center"/>
    </xf>
    <xf numFmtId="0" fontId="23" fillId="82" borderId="56" xfId="1200" applyFont="1" applyFill="1" applyBorder="1" applyAlignment="1" applyProtection="1">
      <alignment horizontal="center"/>
    </xf>
    <xf numFmtId="207" fontId="23" fillId="83" borderId="145" xfId="1200" applyNumberFormat="1" applyFont="1" applyFill="1" applyBorder="1" applyAlignment="1" applyProtection="1">
      <alignment horizontal="center"/>
    </xf>
    <xf numFmtId="0" fontId="149" fillId="82" borderId="27" xfId="1200" applyFont="1" applyFill="1" applyBorder="1" applyProtection="1"/>
    <xf numFmtId="0" fontId="19" fillId="75" borderId="156" xfId="1200" applyFont="1" applyFill="1" applyBorder="1" applyProtection="1">
      <protection locked="0"/>
    </xf>
    <xf numFmtId="0" fontId="23" fillId="4" borderId="62" xfId="1200" applyFont="1" applyFill="1" applyBorder="1" applyAlignment="1" applyProtection="1">
      <alignment horizontal="center"/>
      <protection locked="0"/>
    </xf>
    <xf numFmtId="0" fontId="23" fillId="82" borderId="21" xfId="1" applyFont="1" applyFill="1" applyBorder="1" applyAlignment="1" applyProtection="1">
      <alignment vertical="top" wrapText="1"/>
    </xf>
    <xf numFmtId="0" fontId="23" fillId="4" borderId="5" xfId="1200" applyFont="1" applyFill="1" applyBorder="1" applyProtection="1"/>
    <xf numFmtId="0" fontId="23" fillId="82" borderId="57" xfId="1" applyFont="1" applyFill="1" applyBorder="1" applyAlignment="1" applyProtection="1">
      <alignment vertical="top" wrapText="1"/>
    </xf>
    <xf numFmtId="0" fontId="23" fillId="82" borderId="209" xfId="1200" applyFont="1" applyFill="1" applyBorder="1" applyAlignment="1" applyProtection="1">
      <alignment horizontal="right"/>
    </xf>
    <xf numFmtId="214" fontId="23" fillId="75" borderId="209" xfId="1200" applyNumberFormat="1" applyFont="1" applyFill="1" applyBorder="1" applyAlignment="1" applyProtection="1">
      <alignment horizontal="center"/>
      <protection locked="0"/>
    </xf>
    <xf numFmtId="0" fontId="19" fillId="0" borderId="0" xfId="1" applyFont="1" applyAlignment="1" applyProtection="1">
      <alignment wrapText="1"/>
    </xf>
    <xf numFmtId="0" fontId="23" fillId="82" borderId="144" xfId="1200" applyFont="1" applyFill="1" applyBorder="1" applyAlignment="1" applyProtection="1">
      <alignment horizontal="right" wrapText="1"/>
    </xf>
    <xf numFmtId="3" fontId="23" fillId="75" borderId="161" xfId="1200" applyNumberFormat="1" applyFont="1" applyFill="1" applyBorder="1" applyAlignment="1" applyProtection="1">
      <alignment horizontal="center"/>
      <protection locked="0"/>
    </xf>
    <xf numFmtId="3" fontId="23" fillId="75" borderId="56" xfId="1200" applyNumberFormat="1" applyFont="1" applyFill="1" applyBorder="1" applyAlignment="1" applyProtection="1">
      <alignment horizontal="center"/>
      <protection locked="0"/>
    </xf>
    <xf numFmtId="207" fontId="0" fillId="0" borderId="0" xfId="0" applyNumberFormat="1"/>
    <xf numFmtId="0" fontId="29" fillId="4" borderId="145" xfId="0" applyFont="1" applyFill="1" applyBorder="1" applyAlignment="1">
      <alignment horizontal="center" vertical="center" wrapText="1"/>
    </xf>
    <xf numFmtId="207" fontId="45" fillId="0" borderId="118" xfId="10643" applyNumberFormat="1" applyFont="1" applyFill="1" applyBorder="1" applyAlignment="1">
      <alignment horizontal="center" vertical="center"/>
    </xf>
    <xf numFmtId="207" fontId="45" fillId="0" borderId="130" xfId="10643" applyNumberFormat="1" applyFont="1" applyFill="1" applyBorder="1" applyAlignment="1">
      <alignment horizontal="center" vertical="center"/>
    </xf>
    <xf numFmtId="207" fontId="45" fillId="6" borderId="118" xfId="10643" applyNumberFormat="1" applyFont="1" applyFill="1" applyBorder="1" applyAlignment="1">
      <alignment horizontal="center" vertical="center"/>
    </xf>
    <xf numFmtId="207" fontId="45" fillId="6" borderId="130" xfId="10643" applyNumberFormat="1" applyFont="1" applyFill="1" applyBorder="1" applyAlignment="1">
      <alignment horizontal="center" vertical="center"/>
    </xf>
    <xf numFmtId="2" fontId="140" fillId="0" borderId="56" xfId="0" applyNumberFormat="1" applyFont="1" applyBorder="1" applyAlignment="1">
      <alignment horizontal="center" vertical="center"/>
    </xf>
    <xf numFmtId="0" fontId="21" fillId="4" borderId="35" xfId="0" applyFont="1" applyFill="1" applyBorder="1" applyAlignment="1">
      <alignment horizontal="center" vertical="center"/>
    </xf>
    <xf numFmtId="0" fontId="21" fillId="4" borderId="10" xfId="0" applyFont="1" applyFill="1" applyBorder="1" applyAlignment="1">
      <alignment horizontal="center" vertical="center"/>
    </xf>
    <xf numFmtId="2" fontId="140" fillId="0" borderId="23" xfId="0" applyNumberFormat="1" applyFont="1" applyBorder="1" applyAlignment="1">
      <alignment horizontal="center" vertical="center"/>
    </xf>
    <xf numFmtId="2" fontId="29" fillId="0" borderId="146" xfId="0" quotePrefix="1" applyNumberFormat="1" applyFont="1" applyBorder="1" applyAlignment="1">
      <alignment horizontal="center" vertical="center"/>
    </xf>
    <xf numFmtId="2" fontId="29" fillId="0" borderId="151" xfId="0" quotePrefix="1" applyNumberFormat="1" applyFont="1" applyBorder="1" applyAlignment="1">
      <alignment horizontal="center" vertical="center"/>
    </xf>
    <xf numFmtId="43" fontId="0" fillId="0" borderId="0" xfId="20888" applyFont="1"/>
    <xf numFmtId="43" fontId="0" fillId="0" borderId="0" xfId="0" applyNumberFormat="1"/>
    <xf numFmtId="0" fontId="219" fillId="0" borderId="0" xfId="0" applyFont="1" applyAlignment="1">
      <alignment horizontal="right" vertical="center"/>
    </xf>
    <xf numFmtId="0" fontId="219" fillId="0" borderId="0" xfId="0" applyFont="1" applyAlignment="1">
      <alignment vertical="center"/>
    </xf>
    <xf numFmtId="2" fontId="219" fillId="0" borderId="0" xfId="0" applyNumberFormat="1" applyFont="1" applyAlignment="1">
      <alignment vertical="center"/>
    </xf>
    <xf numFmtId="0" fontId="23" fillId="0" borderId="0" xfId="0" applyFont="1" applyAlignment="1">
      <alignment vertical="center"/>
    </xf>
    <xf numFmtId="0" fontId="19" fillId="0" borderId="0" xfId="0" applyFont="1" applyAlignment="1">
      <alignment vertical="center"/>
    </xf>
    <xf numFmtId="0" fontId="20" fillId="6" borderId="197" xfId="1" applyFont="1" applyFill="1" applyBorder="1"/>
    <xf numFmtId="0" fontId="21" fillId="6" borderId="198" xfId="1" applyFont="1" applyFill="1" applyBorder="1" applyAlignment="1">
      <alignment horizontal="center" vertical="center"/>
    </xf>
    <xf numFmtId="0" fontId="220" fillId="0" borderId="0" xfId="0" applyFont="1"/>
    <xf numFmtId="0" fontId="188" fillId="4" borderId="146" xfId="0" applyFont="1" applyFill="1" applyBorder="1" applyAlignment="1">
      <alignment horizontal="left" vertical="top" wrapText="1"/>
    </xf>
    <xf numFmtId="211" fontId="191" fillId="0" borderId="0" xfId="0" applyNumberFormat="1" applyFont="1" applyBorder="1" applyAlignment="1">
      <alignment horizontal="left" vertical="top" wrapText="1"/>
    </xf>
    <xf numFmtId="211" fontId="191" fillId="81" borderId="0" xfId="0" applyNumberFormat="1" applyFont="1" applyFill="1" applyBorder="1" applyAlignment="1">
      <alignment horizontal="left" vertical="top" wrapText="1"/>
    </xf>
    <xf numFmtId="211" fontId="191" fillId="76" borderId="0" xfId="0" applyNumberFormat="1" applyFont="1" applyFill="1" applyBorder="1" applyAlignment="1">
      <alignment horizontal="left" vertical="top" wrapText="1"/>
    </xf>
    <xf numFmtId="211" fontId="191" fillId="0" borderId="0" xfId="0" applyNumberFormat="1" applyFont="1" applyFill="1" applyBorder="1" applyAlignment="1">
      <alignment horizontal="left" vertical="top" wrapText="1"/>
    </xf>
    <xf numFmtId="211" fontId="191" fillId="78" borderId="0" xfId="0" applyNumberFormat="1" applyFont="1" applyFill="1" applyBorder="1" applyAlignment="1">
      <alignment horizontal="left" vertical="top" wrapText="1"/>
    </xf>
    <xf numFmtId="211" fontId="191" fillId="6" borderId="0" xfId="0" applyNumberFormat="1" applyFont="1" applyFill="1" applyBorder="1" applyAlignment="1">
      <alignment horizontal="left" vertical="top" wrapText="1"/>
    </xf>
    <xf numFmtId="211" fontId="191" fillId="77" borderId="0" xfId="0" applyNumberFormat="1" applyFont="1" applyFill="1" applyBorder="1" applyAlignment="1">
      <alignment horizontal="left" vertical="top" wrapText="1"/>
    </xf>
    <xf numFmtId="211" fontId="191" fillId="80" borderId="0" xfId="0" applyNumberFormat="1" applyFont="1" applyFill="1" applyBorder="1" applyAlignment="1">
      <alignment horizontal="left" vertical="top" wrapText="1"/>
    </xf>
    <xf numFmtId="211" fontId="191" fillId="79" borderId="0" xfId="0" applyNumberFormat="1" applyFont="1" applyFill="1" applyBorder="1" applyAlignment="1">
      <alignment horizontal="left" vertical="top" wrapText="1"/>
    </xf>
    <xf numFmtId="210" fontId="191" fillId="0" borderId="0" xfId="0" applyNumberFormat="1" applyFont="1" applyBorder="1" applyAlignment="1">
      <alignment horizontal="left" vertical="top" wrapText="1"/>
    </xf>
    <xf numFmtId="165" fontId="0" fillId="6" borderId="198" xfId="0" applyNumberFormat="1" applyFill="1" applyBorder="1" applyAlignment="1">
      <alignment horizontal="center"/>
    </xf>
    <xf numFmtId="0" fontId="102" fillId="6" borderId="0" xfId="0" applyFont="1" applyFill="1" applyBorder="1" applyAlignment="1">
      <alignment horizontal="center" vertical="top" wrapText="1"/>
    </xf>
    <xf numFmtId="211" fontId="36" fillId="6" borderId="0" xfId="0" applyNumberFormat="1" applyFont="1" applyFill="1" applyBorder="1" applyAlignment="1">
      <alignment horizontal="center" vertical="top" wrapText="1"/>
    </xf>
    <xf numFmtId="210" fontId="36" fillId="6" borderId="0" xfId="0" applyNumberFormat="1" applyFont="1" applyFill="1" applyBorder="1" applyAlignment="1">
      <alignment horizontal="center" vertical="top" wrapText="1"/>
    </xf>
    <xf numFmtId="210" fontId="191" fillId="0" borderId="57" xfId="0" applyNumberFormat="1" applyFont="1" applyBorder="1" applyAlignment="1">
      <alignment horizontal="left" vertical="top" wrapText="1"/>
    </xf>
    <xf numFmtId="0" fontId="189" fillId="0" borderId="40" xfId="0" applyFont="1" applyFill="1" applyBorder="1" applyAlignment="1">
      <alignment horizontal="left" vertical="top" wrapText="1"/>
    </xf>
    <xf numFmtId="211" fontId="36" fillId="0" borderId="23" xfId="0" applyNumberFormat="1" applyFont="1" applyFill="1" applyBorder="1" applyAlignment="1">
      <alignment horizontal="center" vertical="top" wrapText="1"/>
    </xf>
    <xf numFmtId="0" fontId="189" fillId="0" borderId="144" xfId="0" applyFont="1" applyFill="1" applyBorder="1" applyAlignment="1">
      <alignment horizontal="left" vertical="top" wrapText="1"/>
    </xf>
    <xf numFmtId="210" fontId="36" fillId="0" borderId="145" xfId="0" applyNumberFormat="1" applyFont="1" applyFill="1" applyBorder="1" applyAlignment="1">
      <alignment horizontal="center" vertical="top" wrapText="1"/>
    </xf>
    <xf numFmtId="0" fontId="188" fillId="4" borderId="144" xfId="0" applyFont="1" applyFill="1" applyBorder="1" applyAlignment="1">
      <alignment horizontal="left" vertical="top" wrapText="1"/>
    </xf>
    <xf numFmtId="210" fontId="191" fillId="4" borderId="148" xfId="0" applyNumberFormat="1" applyFont="1" applyFill="1" applyBorder="1" applyAlignment="1">
      <alignment horizontal="center" vertical="top" wrapText="1"/>
    </xf>
    <xf numFmtId="222" fontId="191" fillId="4" borderId="145" xfId="0" applyNumberFormat="1" applyFont="1" applyFill="1" applyBorder="1" applyAlignment="1">
      <alignment horizontal="center" vertical="top" wrapText="1"/>
    </xf>
    <xf numFmtId="0" fontId="215" fillId="0" borderId="0" xfId="20889" applyFont="1" applyBorder="1" applyAlignment="1">
      <alignment vertical="center" wrapText="1"/>
    </xf>
    <xf numFmtId="0" fontId="5" fillId="79" borderId="0" xfId="20889" applyFill="1"/>
    <xf numFmtId="0" fontId="5" fillId="0" borderId="0" xfId="20889"/>
    <xf numFmtId="0" fontId="137" fillId="0" borderId="0" xfId="20889" applyFont="1" applyAlignment="1">
      <alignment wrapText="1"/>
    </xf>
    <xf numFmtId="0" fontId="215" fillId="0" borderId="209" xfId="20889" applyFont="1" applyBorder="1" applyAlignment="1">
      <alignment vertical="center" wrapText="1"/>
    </xf>
    <xf numFmtId="0" fontId="216" fillId="0" borderId="209" xfId="20889" applyFont="1" applyBorder="1" applyAlignment="1">
      <alignment horizontal="right" vertical="center" wrapText="1"/>
    </xf>
    <xf numFmtId="0" fontId="221" fillId="0" borderId="209" xfId="20889" applyFont="1" applyBorder="1" applyAlignment="1">
      <alignment vertical="center" wrapText="1"/>
    </xf>
    <xf numFmtId="0" fontId="217" fillId="0" borderId="209" xfId="20889" applyFont="1" applyBorder="1" applyAlignment="1">
      <alignment horizontal="center" vertical="center" wrapText="1"/>
    </xf>
    <xf numFmtId="0" fontId="217" fillId="0" borderId="209" xfId="20889" applyFont="1" applyBorder="1" applyAlignment="1">
      <alignment vertical="center" wrapText="1"/>
    </xf>
    <xf numFmtId="0" fontId="217" fillId="0" borderId="209" xfId="20889" applyFont="1" applyBorder="1" applyAlignment="1">
      <alignment horizontal="center" vertical="center"/>
    </xf>
    <xf numFmtId="0" fontId="217" fillId="0" borderId="209" xfId="20889" applyFont="1" applyBorder="1" applyAlignment="1">
      <alignment horizontal="right" vertical="center" wrapText="1"/>
    </xf>
    <xf numFmtId="0" fontId="217" fillId="0" borderId="209" xfId="20889" applyFont="1" applyBorder="1" applyAlignment="1">
      <alignment horizontal="right" vertical="center"/>
    </xf>
    <xf numFmtId="0" fontId="217" fillId="0" borderId="153" xfId="20889" applyFont="1" applyBorder="1" applyAlignment="1">
      <alignment vertical="center" wrapText="1"/>
    </xf>
    <xf numFmtId="0" fontId="217" fillId="0" borderId="153" xfId="20889" applyFont="1" applyBorder="1" applyAlignment="1">
      <alignment horizontal="right" vertical="center" wrapText="1"/>
    </xf>
    <xf numFmtId="0" fontId="217" fillId="0" borderId="153" xfId="20889" applyFont="1" applyBorder="1" applyAlignment="1">
      <alignment horizontal="right" vertical="center"/>
    </xf>
    <xf numFmtId="0" fontId="5" fillId="0" borderId="0" xfId="20889" applyAlignment="1">
      <alignment wrapText="1"/>
    </xf>
    <xf numFmtId="14" fontId="53" fillId="0" borderId="209" xfId="10642" applyNumberFormat="1" applyFont="1" applyBorder="1" applyAlignment="1">
      <alignment horizontal="center" vertical="center" wrapText="1"/>
    </xf>
    <xf numFmtId="0" fontId="53" fillId="0" borderId="209" xfId="10642" applyFont="1" applyBorder="1" applyAlignment="1">
      <alignment horizontal="center" vertical="center" wrapText="1"/>
    </xf>
    <xf numFmtId="14" fontId="53" fillId="6" borderId="209" xfId="10642" applyNumberFormat="1" applyFont="1" applyFill="1" applyBorder="1" applyAlignment="1">
      <alignment horizontal="center" vertical="center" wrapText="1"/>
    </xf>
    <xf numFmtId="0" fontId="53" fillId="6" borderId="209" xfId="10642" applyFont="1" applyFill="1" applyBorder="1" applyAlignment="1">
      <alignment horizontal="center" vertical="center" wrapText="1"/>
    </xf>
    <xf numFmtId="0" fontId="53" fillId="0" borderId="144" xfId="10644" applyFont="1" applyFill="1" applyBorder="1" applyAlignment="1">
      <alignment horizontal="center" vertical="center" wrapText="1"/>
    </xf>
    <xf numFmtId="0" fontId="53" fillId="0" borderId="209" xfId="10644" applyFont="1" applyFill="1" applyBorder="1" applyAlignment="1">
      <alignment horizontal="center" vertical="center" wrapText="1"/>
    </xf>
    <xf numFmtId="14" fontId="53" fillId="0" borderId="209" xfId="10644" applyNumberFormat="1" applyFont="1" applyFill="1" applyBorder="1" applyAlignment="1">
      <alignment horizontal="center" vertical="center" wrapText="1"/>
    </xf>
    <xf numFmtId="9" fontId="53" fillId="0" borderId="209" xfId="10649" applyNumberFormat="1" applyFont="1" applyFill="1" applyBorder="1" applyAlignment="1">
      <alignment horizontal="center" vertical="center" wrapText="1"/>
    </xf>
    <xf numFmtId="0" fontId="53" fillId="0" borderId="145" xfId="10644" applyFont="1" applyFill="1" applyBorder="1" applyAlignment="1">
      <alignment horizontal="center" vertical="center" wrapText="1"/>
    </xf>
    <xf numFmtId="0" fontId="53" fillId="6" borderId="144" xfId="10644" applyFont="1" applyFill="1" applyBorder="1" applyAlignment="1">
      <alignment horizontal="center" vertical="center" wrapText="1"/>
    </xf>
    <xf numFmtId="0" fontId="53" fillId="6" borderId="209" xfId="10644" applyFont="1" applyFill="1" applyBorder="1" applyAlignment="1">
      <alignment horizontal="center" vertical="center" wrapText="1"/>
    </xf>
    <xf numFmtId="14" fontId="53" fillId="6" borderId="209" xfId="10644" applyNumberFormat="1" applyFont="1" applyFill="1" applyBorder="1" applyAlignment="1">
      <alignment horizontal="center" vertical="center" wrapText="1"/>
    </xf>
    <xf numFmtId="9" fontId="53" fillId="6" borderId="209" xfId="10649" applyNumberFormat="1" applyFont="1" applyFill="1" applyBorder="1" applyAlignment="1">
      <alignment horizontal="center" vertical="center" wrapText="1"/>
    </xf>
    <xf numFmtId="0" fontId="53" fillId="6" borderId="145" xfId="10644" applyFont="1" applyFill="1" applyBorder="1" applyAlignment="1">
      <alignment horizontal="center" vertical="center" wrapText="1"/>
    </xf>
    <xf numFmtId="0" fontId="45" fillId="6" borderId="144" xfId="63" applyFont="1" applyFill="1" applyBorder="1" applyAlignment="1">
      <alignment horizontal="center" vertical="center"/>
    </xf>
    <xf numFmtId="0" fontId="45" fillId="6" borderId="145" xfId="63" applyFont="1" applyFill="1" applyBorder="1" applyAlignment="1">
      <alignment horizontal="center" vertical="center"/>
    </xf>
    <xf numFmtId="2" fontId="45" fillId="6" borderId="143" xfId="63" applyNumberFormat="1" applyFont="1" applyFill="1" applyBorder="1" applyAlignment="1">
      <alignment horizontal="center" vertical="center"/>
    </xf>
    <xf numFmtId="0" fontId="45" fillId="6" borderId="161" xfId="63" applyFont="1" applyFill="1" applyBorder="1" applyAlignment="1">
      <alignment horizontal="center" vertical="center" wrapText="1"/>
    </xf>
    <xf numFmtId="0" fontId="45" fillId="6" borderId="143" xfId="63" applyFont="1" applyFill="1" applyBorder="1" applyAlignment="1">
      <alignment horizontal="center" vertical="center" wrapText="1"/>
    </xf>
    <xf numFmtId="0" fontId="45" fillId="6" borderId="144" xfId="63" applyFont="1" applyFill="1" applyBorder="1" applyAlignment="1">
      <alignment horizontal="center" vertical="center" wrapText="1"/>
    </xf>
    <xf numFmtId="0" fontId="45" fillId="6" borderId="145" xfId="63" applyFont="1" applyFill="1" applyBorder="1" applyAlignment="1">
      <alignment horizontal="center" vertical="center" wrapText="1"/>
    </xf>
    <xf numFmtId="0" fontId="222" fillId="7" borderId="0" xfId="10656" applyFont="1" applyFill="1"/>
    <xf numFmtId="0" fontId="45" fillId="0" borderId="63" xfId="10656" applyFont="1" applyFill="1" applyBorder="1" applyAlignment="1">
      <alignment wrapText="1"/>
    </xf>
    <xf numFmtId="0" fontId="45" fillId="0" borderId="64" xfId="10656" applyFont="1" applyFill="1" applyBorder="1" applyAlignment="1">
      <alignment wrapText="1"/>
    </xf>
    <xf numFmtId="1" fontId="20" fillId="0" borderId="126" xfId="1" applyNumberFormat="1" applyFont="1" applyFill="1" applyBorder="1" applyAlignment="1">
      <alignment horizontal="center" vertical="center"/>
    </xf>
    <xf numFmtId="2" fontId="29" fillId="0" borderId="125" xfId="0" quotePrefix="1" applyNumberFormat="1" applyFont="1" applyFill="1" applyBorder="1" applyAlignment="1">
      <alignment horizontal="center" vertical="center"/>
    </xf>
    <xf numFmtId="2" fontId="29" fillId="0" borderId="130" xfId="0" quotePrefix="1" applyNumberFormat="1" applyFont="1" applyFill="1" applyBorder="1" applyAlignment="1">
      <alignment horizontal="center" vertical="center"/>
    </xf>
    <xf numFmtId="1" fontId="45" fillId="0" borderId="17" xfId="63" applyNumberFormat="1" applyFont="1" applyFill="1" applyBorder="1" applyAlignment="1">
      <alignment horizontal="center" vertical="center" wrapText="1"/>
    </xf>
    <xf numFmtId="0" fontId="29" fillId="4" borderId="37" xfId="0" applyFont="1" applyFill="1" applyBorder="1" applyAlignment="1">
      <alignment horizontal="center" vertical="center" wrapText="1"/>
    </xf>
    <xf numFmtId="0" fontId="29" fillId="4" borderId="54" xfId="0" applyFont="1" applyFill="1" applyBorder="1" applyAlignment="1">
      <alignment horizontal="center" vertical="center" wrapText="1"/>
    </xf>
    <xf numFmtId="0" fontId="29" fillId="0" borderId="158" xfId="0" applyFont="1" applyFill="1" applyBorder="1" applyAlignment="1">
      <alignment horizontal="left" vertical="center" wrapText="1"/>
    </xf>
    <xf numFmtId="0" fontId="29" fillId="4" borderId="144" xfId="0" applyFont="1" applyFill="1" applyBorder="1" applyAlignment="1">
      <alignment horizontal="center" vertical="center" wrapText="1"/>
    </xf>
    <xf numFmtId="0" fontId="29" fillId="0" borderId="143" xfId="0" applyFont="1" applyFill="1" applyBorder="1" applyAlignment="1">
      <alignment horizontal="center" vertical="center" wrapText="1"/>
    </xf>
    <xf numFmtId="2" fontId="29" fillId="0" borderId="37" xfId="0" quotePrefix="1" applyNumberFormat="1" applyFont="1" applyBorder="1" applyAlignment="1">
      <alignment horizontal="center" vertical="center"/>
    </xf>
    <xf numFmtId="2" fontId="29" fillId="0" borderId="61" xfId="0" quotePrefix="1" applyNumberFormat="1" applyFont="1" applyBorder="1" applyAlignment="1">
      <alignment horizontal="center" vertical="center"/>
    </xf>
    <xf numFmtId="2" fontId="29" fillId="0" borderId="37" xfId="0" quotePrefix="1" applyNumberFormat="1" applyFont="1" applyFill="1" applyBorder="1" applyAlignment="1">
      <alignment horizontal="center" vertical="center"/>
    </xf>
    <xf numFmtId="2" fontId="29" fillId="0" borderId="61" xfId="0" quotePrefix="1" applyNumberFormat="1" applyFont="1" applyFill="1" applyBorder="1" applyAlignment="1">
      <alignment horizontal="center" vertical="center"/>
    </xf>
    <xf numFmtId="0" fontId="45" fillId="0" borderId="161" xfId="63" applyFont="1" applyFill="1" applyBorder="1" applyAlignment="1">
      <alignment horizontal="center" vertical="center" wrapText="1"/>
    </xf>
    <xf numFmtId="0" fontId="45" fillId="0" borderId="143" xfId="63" applyFont="1" applyFill="1" applyBorder="1" applyAlignment="1">
      <alignment horizontal="center" vertical="center" wrapText="1"/>
    </xf>
    <xf numFmtId="0" fontId="45" fillId="0" borderId="144" xfId="63" applyFont="1" applyFill="1" applyBorder="1" applyAlignment="1">
      <alignment horizontal="center" vertical="center" wrapText="1"/>
    </xf>
    <xf numFmtId="0" fontId="45" fillId="0" borderId="145" xfId="63" applyFont="1" applyFill="1" applyBorder="1" applyAlignment="1">
      <alignment horizontal="center" vertical="center" wrapText="1"/>
    </xf>
    <xf numFmtId="0" fontId="45" fillId="6" borderId="51" xfId="63" applyFont="1" applyFill="1" applyBorder="1" applyAlignment="1">
      <alignment horizontal="center" vertical="center"/>
    </xf>
    <xf numFmtId="2" fontId="45" fillId="6" borderId="56" xfId="63" applyNumberFormat="1" applyFont="1" applyFill="1" applyBorder="1" applyAlignment="1">
      <alignment horizontal="center" vertical="center"/>
    </xf>
    <xf numFmtId="2" fontId="45" fillId="6" borderId="61" xfId="63" applyNumberFormat="1" applyFont="1" applyFill="1" applyBorder="1" applyAlignment="1">
      <alignment horizontal="center" vertical="center"/>
    </xf>
    <xf numFmtId="0" fontId="45" fillId="6" borderId="56" xfId="63" applyFont="1" applyFill="1" applyBorder="1" applyAlignment="1">
      <alignment horizontal="center" vertical="center" wrapText="1"/>
    </xf>
    <xf numFmtId="0" fontId="45" fillId="6" borderId="37" xfId="63" applyFont="1" applyFill="1" applyBorder="1" applyAlignment="1">
      <alignment horizontal="center" vertical="center" wrapText="1"/>
    </xf>
    <xf numFmtId="0" fontId="45" fillId="6" borderId="39" xfId="63" applyFont="1" applyFill="1" applyBorder="1" applyAlignment="1">
      <alignment horizontal="center" vertical="center" wrapText="1"/>
    </xf>
    <xf numFmtId="2" fontId="29" fillId="0" borderId="151" xfId="0" quotePrefix="1" applyNumberFormat="1" applyFont="1" applyFill="1" applyBorder="1" applyAlignment="1">
      <alignment horizontal="center" vertical="center"/>
    </xf>
    <xf numFmtId="0" fontId="21" fillId="4" borderId="60" xfId="0" applyFont="1" applyFill="1" applyBorder="1" applyAlignment="1">
      <alignment horizontal="center" vertical="center"/>
    </xf>
    <xf numFmtId="2" fontId="140" fillId="0" borderId="61" xfId="0" applyNumberFormat="1" applyFont="1" applyBorder="1" applyAlignment="1">
      <alignment horizontal="center" vertical="center"/>
    </xf>
    <xf numFmtId="0" fontId="21" fillId="4" borderId="11" xfId="0" applyFont="1" applyFill="1" applyBorder="1" applyAlignment="1">
      <alignment horizontal="center" vertical="center"/>
    </xf>
    <xf numFmtId="2" fontId="140" fillId="0" borderId="37" xfId="0" applyNumberFormat="1" applyFont="1" applyBorder="1" applyAlignment="1">
      <alignment horizontal="center" vertical="center"/>
    </xf>
    <xf numFmtId="2" fontId="140" fillId="0" borderId="39" xfId="0" applyNumberFormat="1" applyFont="1" applyBorder="1" applyAlignment="1">
      <alignment horizontal="center" vertical="center"/>
    </xf>
    <xf numFmtId="2" fontId="45" fillId="6" borderId="37" xfId="63" applyNumberFormat="1" applyFont="1" applyFill="1" applyBorder="1" applyAlignment="1">
      <alignment horizontal="center" vertical="center"/>
    </xf>
    <xf numFmtId="2" fontId="45" fillId="6" borderId="39" xfId="63" applyNumberFormat="1" applyFont="1" applyFill="1" applyBorder="1" applyAlignment="1">
      <alignment horizontal="center" vertical="center"/>
    </xf>
    <xf numFmtId="2" fontId="33" fillId="0" borderId="0" xfId="1" applyNumberFormat="1" applyFont="1" applyFill="1" applyBorder="1" applyAlignment="1">
      <alignment horizontal="center" vertical="center"/>
    </xf>
    <xf numFmtId="2" fontId="33" fillId="0" borderId="0" xfId="1" applyNumberFormat="1" applyFont="1" applyFill="1" applyBorder="1" applyAlignment="1">
      <alignment horizontal="center" vertical="center"/>
    </xf>
    <xf numFmtId="0" fontId="216" fillId="0" borderId="209" xfId="0" applyFont="1" applyBorder="1" applyAlignment="1">
      <alignment horizontal="right" vertical="center" wrapText="1"/>
    </xf>
    <xf numFmtId="0" fontId="217" fillId="0" borderId="209" xfId="0" applyFont="1" applyBorder="1" applyAlignment="1">
      <alignment horizontal="center" vertical="center" wrapText="1"/>
    </xf>
    <xf numFmtId="0" fontId="217" fillId="0" borderId="209" xfId="0" applyFont="1" applyBorder="1" applyAlignment="1">
      <alignment horizontal="right" vertical="center"/>
    </xf>
    <xf numFmtId="0" fontId="217" fillId="0" borderId="38" xfId="0" applyFont="1" applyBorder="1" applyAlignment="1">
      <alignment horizontal="right" vertical="center"/>
    </xf>
    <xf numFmtId="0" fontId="5" fillId="0" borderId="0" xfId="20889" applyAlignment="1">
      <alignment horizontal="center"/>
    </xf>
    <xf numFmtId="0" fontId="149" fillId="0" borderId="0" xfId="1" applyFont="1"/>
    <xf numFmtId="0" fontId="34" fillId="4" borderId="21" xfId="0" applyFont="1" applyFill="1" applyBorder="1" applyAlignment="1">
      <alignment horizontal="center" vertical="center"/>
    </xf>
    <xf numFmtId="0" fontId="22" fillId="6" borderId="2" xfId="1" applyFont="1" applyFill="1" applyBorder="1" applyAlignment="1">
      <alignment horizontal="center" vertical="center"/>
    </xf>
    <xf numFmtId="0" fontId="110" fillId="0" borderId="33" xfId="63" applyFont="1" applyFill="1" applyBorder="1" applyAlignment="1">
      <alignment horizontal="center" vertical="center" wrapText="1"/>
    </xf>
    <xf numFmtId="0" fontId="3" fillId="0" borderId="0" xfId="20889" applyFont="1"/>
    <xf numFmtId="222" fontId="191" fillId="0" borderId="63" xfId="0" applyNumberFormat="1" applyFont="1" applyBorder="1" applyAlignment="1">
      <alignment horizontal="left" vertical="top" wrapText="1"/>
    </xf>
    <xf numFmtId="210" fontId="191" fillId="0" borderId="64" xfId="0" applyNumberFormat="1" applyFont="1" applyBorder="1" applyAlignment="1">
      <alignment horizontal="left" vertical="top" wrapText="1"/>
    </xf>
    <xf numFmtId="0" fontId="26" fillId="6" borderId="1"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3" xfId="0" applyFont="1" applyFill="1" applyBorder="1" applyAlignment="1">
      <alignment horizontal="center" vertical="center"/>
    </xf>
    <xf numFmtId="0" fontId="34" fillId="4" borderId="146" xfId="0" applyFont="1" applyFill="1" applyBorder="1" applyAlignment="1">
      <alignment horizontal="center" vertical="center" wrapText="1"/>
    </xf>
    <xf numFmtId="0" fontId="34" fillId="4" borderId="148" xfId="0" applyFont="1" applyFill="1" applyBorder="1" applyAlignment="1">
      <alignment horizontal="center" vertical="center" wrapText="1"/>
    </xf>
    <xf numFmtId="2" fontId="33" fillId="4" borderId="40" xfId="0" applyNumberFormat="1" applyFont="1" applyFill="1" applyBorder="1" applyAlignment="1">
      <alignment horizontal="center" vertical="center"/>
    </xf>
    <xf numFmtId="2" fontId="33" fillId="4" borderId="42" xfId="0" applyNumberFormat="1" applyFont="1" applyFill="1" applyBorder="1" applyAlignment="1">
      <alignment horizontal="center" vertical="center"/>
    </xf>
    <xf numFmtId="2" fontId="33" fillId="4" borderId="23" xfId="0" applyNumberFormat="1" applyFont="1" applyFill="1" applyBorder="1" applyAlignment="1">
      <alignment horizontal="center" vertical="center"/>
    </xf>
    <xf numFmtId="0" fontId="20" fillId="6" borderId="5" xfId="0" applyFont="1" applyFill="1" applyBorder="1" applyAlignment="1">
      <alignment wrapText="1"/>
    </xf>
    <xf numFmtId="0" fontId="34" fillId="4" borderId="173" xfId="0" applyFont="1" applyFill="1" applyBorder="1" applyAlignment="1">
      <alignment horizontal="center" vertical="center" wrapText="1"/>
    </xf>
    <xf numFmtId="2" fontId="33" fillId="4" borderId="73" xfId="0" applyNumberFormat="1" applyFont="1" applyFill="1" applyBorder="1" applyAlignment="1">
      <alignment horizontal="center" vertical="center"/>
    </xf>
    <xf numFmtId="2" fontId="33" fillId="4" borderId="152" xfId="0" applyNumberFormat="1" applyFont="1" applyFill="1" applyBorder="1" applyAlignment="1">
      <alignment horizontal="center" vertical="center"/>
    </xf>
    <xf numFmtId="2" fontId="33" fillId="4" borderId="163" xfId="0" applyNumberFormat="1" applyFont="1" applyFill="1" applyBorder="1" applyAlignment="1">
      <alignment horizontal="center" vertical="center"/>
    </xf>
    <xf numFmtId="2" fontId="33" fillId="4" borderId="162" xfId="0" applyNumberFormat="1" applyFont="1" applyFill="1" applyBorder="1" applyAlignment="1">
      <alignment horizontal="center" vertical="center"/>
    </xf>
    <xf numFmtId="2" fontId="34" fillId="4" borderId="11" xfId="0" applyNumberFormat="1" applyFont="1" applyFill="1" applyBorder="1" applyAlignment="1">
      <alignment horizontal="center" vertical="center"/>
    </xf>
    <xf numFmtId="2" fontId="34" fillId="4" borderId="62" xfId="0" applyNumberFormat="1" applyFont="1" applyFill="1" applyBorder="1" applyAlignment="1">
      <alignment horizontal="center" vertical="center"/>
    </xf>
    <xf numFmtId="2" fontId="34" fillId="4" borderId="10" xfId="0" applyNumberFormat="1" applyFont="1" applyFill="1" applyBorder="1" applyAlignment="1">
      <alignment horizontal="center" vertical="center"/>
    </xf>
    <xf numFmtId="0" fontId="33" fillId="4" borderId="159" xfId="0" applyFont="1" applyFill="1" applyBorder="1" applyAlignment="1">
      <alignment horizontal="center" vertical="center" wrapText="1"/>
    </xf>
    <xf numFmtId="49" fontId="87" fillId="33" borderId="0" xfId="10198">
      <alignment horizontal="center"/>
    </xf>
    <xf numFmtId="2" fontId="219" fillId="0" borderId="0" xfId="0" applyNumberFormat="1" applyFont="1"/>
    <xf numFmtId="0" fontId="139" fillId="6" borderId="2" xfId="1" applyFont="1" applyFill="1" applyBorder="1"/>
    <xf numFmtId="0" fontId="144" fillId="6" borderId="0" xfId="1" applyFont="1" applyFill="1" applyBorder="1"/>
    <xf numFmtId="0" fontId="20" fillId="6" borderId="4" xfId="1" applyFont="1" applyFill="1" applyBorder="1" applyAlignment="1">
      <alignment horizontal="left" vertical="center"/>
    </xf>
    <xf numFmtId="0" fontId="144" fillId="6" borderId="0" xfId="1" applyFont="1" applyFill="1" applyBorder="1" applyAlignment="1">
      <alignment horizontal="left" vertical="center"/>
    </xf>
    <xf numFmtId="0" fontId="20" fillId="6" borderId="5" xfId="1" applyFont="1" applyFill="1" applyBorder="1" applyAlignment="1">
      <alignment horizontal="left" vertical="center"/>
    </xf>
    <xf numFmtId="0" fontId="22" fillId="6" borderId="2" xfId="1" applyFont="1" applyFill="1" applyBorder="1"/>
    <xf numFmtId="0" fontId="139" fillId="6" borderId="3" xfId="1" applyFont="1" applyFill="1" applyBorder="1"/>
    <xf numFmtId="0" fontId="139" fillId="6" borderId="5" xfId="1" applyFont="1" applyFill="1" applyBorder="1"/>
    <xf numFmtId="0" fontId="22" fillId="6" borderId="7" xfId="1" applyFont="1" applyFill="1" applyBorder="1" applyAlignment="1">
      <alignment horizontal="center" vertical="center"/>
    </xf>
    <xf numFmtId="0" fontId="139" fillId="4" borderId="0" xfId="1" applyFont="1" applyFill="1"/>
    <xf numFmtId="0" fontId="139" fillId="4" borderId="0" xfId="1" applyFont="1" applyFill="1" applyBorder="1"/>
    <xf numFmtId="0" fontId="139" fillId="4" borderId="5" xfId="1" applyFont="1" applyFill="1" applyBorder="1"/>
    <xf numFmtId="0" fontId="139" fillId="4" borderId="4" xfId="1" applyFont="1" applyFill="1" applyBorder="1"/>
    <xf numFmtId="2" fontId="140" fillId="0" borderId="218" xfId="0" applyNumberFormat="1" applyFont="1" applyBorder="1" applyAlignment="1">
      <alignment horizontal="center" vertical="center"/>
    </xf>
    <xf numFmtId="2" fontId="140" fillId="0" borderId="38" xfId="0" applyNumberFormat="1" applyFont="1" applyBorder="1" applyAlignment="1">
      <alignment horizontal="center" vertical="center"/>
    </xf>
    <xf numFmtId="0" fontId="21" fillId="4" borderId="9" xfId="0" applyFont="1" applyFill="1" applyBorder="1" applyAlignment="1">
      <alignment horizontal="center" vertical="center"/>
    </xf>
    <xf numFmtId="0" fontId="140" fillId="0" borderId="219" xfId="0" applyFont="1" applyBorder="1" applyAlignment="1">
      <alignment horizontal="center" vertical="center"/>
    </xf>
    <xf numFmtId="2" fontId="29" fillId="0" borderId="214" xfId="0" applyNumberFormat="1" applyFont="1" applyBorder="1" applyAlignment="1">
      <alignment horizontal="center" vertical="center"/>
    </xf>
    <xf numFmtId="2" fontId="29" fillId="0" borderId="221" xfId="0" applyNumberFormat="1" applyFont="1" applyBorder="1" applyAlignment="1">
      <alignment horizontal="center" vertical="center"/>
    </xf>
    <xf numFmtId="167" fontId="33" fillId="0" borderId="222" xfId="1" applyNumberFormat="1" applyFont="1" applyFill="1" applyBorder="1" applyAlignment="1">
      <alignment horizontal="center" vertical="center"/>
    </xf>
    <xf numFmtId="1" fontId="33" fillId="0" borderId="214" xfId="1" applyNumberFormat="1" applyFont="1" applyFill="1" applyBorder="1" applyAlignment="1">
      <alignment horizontal="center" vertical="center" wrapText="1"/>
    </xf>
    <xf numFmtId="164" fontId="33" fillId="0" borderId="215" xfId="1" applyNumberFormat="1" applyFont="1" applyFill="1" applyBorder="1" applyAlignment="1">
      <alignment horizontal="center" vertical="center" wrapText="1"/>
    </xf>
    <xf numFmtId="0" fontId="33" fillId="0" borderId="215" xfId="1" applyFont="1" applyFill="1" applyBorder="1" applyAlignment="1">
      <alignment horizontal="center" vertical="center"/>
    </xf>
    <xf numFmtId="2" fontId="33" fillId="0" borderId="221" xfId="1" applyNumberFormat="1" applyFont="1" applyFill="1" applyBorder="1" applyAlignment="1">
      <alignment horizontal="center" vertical="center"/>
    </xf>
    <xf numFmtId="167" fontId="33" fillId="0" borderId="214" xfId="1" applyNumberFormat="1" applyFont="1" applyFill="1" applyBorder="1" applyAlignment="1">
      <alignment horizontal="center" vertical="center"/>
    </xf>
    <xf numFmtId="2" fontId="33" fillId="0" borderId="214" xfId="1" applyNumberFormat="1" applyFont="1" applyFill="1" applyBorder="1" applyAlignment="1">
      <alignment horizontal="center" vertical="center"/>
    </xf>
    <xf numFmtId="2" fontId="33" fillId="0" borderId="215" xfId="1" applyNumberFormat="1" applyFont="1" applyFill="1" applyBorder="1" applyAlignment="1">
      <alignment horizontal="center" vertical="center"/>
    </xf>
    <xf numFmtId="2" fontId="33" fillId="0" borderId="216" xfId="1" applyNumberFormat="1" applyFont="1" applyFill="1" applyBorder="1" applyAlignment="1">
      <alignment horizontal="center" vertical="center"/>
    </xf>
    <xf numFmtId="2" fontId="33" fillId="0" borderId="222" xfId="1" applyNumberFormat="1" applyFont="1" applyFill="1" applyBorder="1" applyAlignment="1">
      <alignment horizontal="center" vertical="center"/>
    </xf>
    <xf numFmtId="1" fontId="33" fillId="0" borderId="217" xfId="1" applyNumberFormat="1" applyFont="1" applyFill="1" applyBorder="1" applyAlignment="1">
      <alignment horizontal="center" vertical="center" wrapText="1"/>
    </xf>
    <xf numFmtId="164" fontId="33" fillId="0" borderId="218" xfId="1" applyNumberFormat="1" applyFont="1" applyFill="1" applyBorder="1" applyAlignment="1">
      <alignment horizontal="center" vertical="center" wrapText="1"/>
    </xf>
    <xf numFmtId="164" fontId="33" fillId="0" borderId="215" xfId="1" applyNumberFormat="1" applyFont="1" applyFill="1" applyBorder="1" applyAlignment="1">
      <alignment horizontal="center" vertical="center"/>
    </xf>
    <xf numFmtId="1" fontId="33" fillId="0" borderId="215" xfId="1" applyNumberFormat="1" applyFont="1" applyFill="1" applyBorder="1" applyAlignment="1">
      <alignment horizontal="center" vertical="center"/>
    </xf>
    <xf numFmtId="167" fontId="33" fillId="0" borderId="215" xfId="1" applyNumberFormat="1" applyFont="1" applyFill="1" applyBorder="1" applyAlignment="1">
      <alignment horizontal="center" vertical="center"/>
    </xf>
    <xf numFmtId="167" fontId="33" fillId="0" borderId="221" xfId="1" applyNumberFormat="1" applyFont="1" applyFill="1" applyBorder="1" applyAlignment="1">
      <alignment horizontal="center" vertical="center"/>
    </xf>
    <xf numFmtId="167" fontId="33" fillId="0" borderId="223" xfId="1" applyNumberFormat="1" applyFont="1" applyFill="1" applyBorder="1" applyAlignment="1">
      <alignment horizontal="center" vertical="center"/>
    </xf>
    <xf numFmtId="2" fontId="33" fillId="0" borderId="218" xfId="1" quotePrefix="1" applyNumberFormat="1" applyFont="1" applyFill="1" applyBorder="1" applyAlignment="1">
      <alignment horizontal="center" vertical="center"/>
    </xf>
    <xf numFmtId="2" fontId="33" fillId="0" borderId="217" xfId="1" applyNumberFormat="1" applyFont="1" applyFill="1" applyBorder="1" applyAlignment="1">
      <alignment horizontal="center" vertical="center"/>
    </xf>
    <xf numFmtId="2" fontId="33" fillId="0" borderId="218" xfId="1" applyNumberFormat="1" applyFont="1" applyFill="1" applyBorder="1" applyAlignment="1">
      <alignment horizontal="center" vertical="center"/>
    </xf>
    <xf numFmtId="2" fontId="33" fillId="0" borderId="219" xfId="1" applyNumberFormat="1" applyFont="1" applyFill="1" applyBorder="1" applyAlignment="1">
      <alignment horizontal="center" vertical="center"/>
    </xf>
    <xf numFmtId="0" fontId="34" fillId="4" borderId="217" xfId="0" applyFont="1" applyFill="1" applyBorder="1" applyAlignment="1">
      <alignment horizontal="center" vertical="center"/>
    </xf>
    <xf numFmtId="0" fontId="34" fillId="4" borderId="213" xfId="0" applyFont="1" applyFill="1" applyBorder="1" applyAlignment="1">
      <alignment horizontal="center" vertical="center"/>
    </xf>
    <xf numFmtId="0" fontId="34" fillId="4" borderId="219" xfId="0" applyFont="1" applyFill="1" applyBorder="1" applyAlignment="1">
      <alignment horizontal="center" vertical="center"/>
    </xf>
    <xf numFmtId="0" fontId="34" fillId="4" borderId="223" xfId="0" applyFont="1" applyFill="1" applyBorder="1" applyAlignment="1">
      <alignment horizontal="center" vertical="center"/>
    </xf>
    <xf numFmtId="0" fontId="139" fillId="6" borderId="7" xfId="1" applyFont="1" applyFill="1" applyBorder="1"/>
    <xf numFmtId="164" fontId="45" fillId="4" borderId="126" xfId="10652" applyNumberFormat="1" applyFont="1" applyFill="1" applyBorder="1" applyAlignment="1">
      <alignment horizontal="center" vertical="center" wrapText="1"/>
    </xf>
    <xf numFmtId="0" fontId="45" fillId="4" borderId="126" xfId="10652" applyFont="1" applyFill="1" applyBorder="1" applyAlignment="1">
      <alignment horizontal="center" vertical="center" wrapText="1"/>
    </xf>
    <xf numFmtId="1" fontId="45" fillId="4" borderId="126" xfId="10652" applyNumberFormat="1" applyFont="1" applyFill="1" applyBorder="1" applyAlignment="1">
      <alignment horizontal="center" vertical="center" wrapText="1"/>
    </xf>
    <xf numFmtId="193" fontId="45" fillId="4" borderId="126" xfId="10652" applyNumberFormat="1" applyFont="1" applyFill="1" applyBorder="1" applyAlignment="1">
      <alignment horizontal="center" vertical="center" wrapText="1"/>
    </xf>
    <xf numFmtId="164" fontId="45" fillId="4" borderId="117" xfId="10652" applyNumberFormat="1" applyFont="1" applyFill="1" applyBorder="1" applyAlignment="1">
      <alignment horizontal="center" vertical="center" wrapText="1"/>
    </xf>
    <xf numFmtId="2" fontId="29" fillId="4" borderId="125" xfId="0" quotePrefix="1" applyNumberFormat="1" applyFont="1" applyFill="1" applyBorder="1" applyAlignment="1">
      <alignment horizontal="center" vertical="center"/>
    </xf>
    <xf numFmtId="2" fontId="29" fillId="4" borderId="130" xfId="0" quotePrefix="1" applyNumberFormat="1" applyFont="1" applyFill="1" applyBorder="1" applyAlignment="1">
      <alignment horizontal="center" vertical="center"/>
    </xf>
    <xf numFmtId="2" fontId="45" fillId="4" borderId="16" xfId="63" applyNumberFormat="1" applyFont="1" applyFill="1" applyBorder="1" applyAlignment="1">
      <alignment horizontal="center" vertical="center"/>
    </xf>
    <xf numFmtId="2" fontId="45" fillId="4" borderId="17" xfId="63" applyNumberFormat="1" applyFont="1" applyFill="1" applyBorder="1" applyAlignment="1">
      <alignment horizontal="center" vertical="center"/>
    </xf>
    <xf numFmtId="2" fontId="45" fillId="4" borderId="46" xfId="63" applyNumberFormat="1" applyFont="1" applyFill="1" applyBorder="1" applyAlignment="1">
      <alignment horizontal="center" vertical="center"/>
    </xf>
    <xf numFmtId="2" fontId="45" fillId="4" borderId="48" xfId="63" applyNumberFormat="1" applyFont="1" applyFill="1" applyBorder="1" applyAlignment="1">
      <alignment horizontal="center" vertical="center"/>
    </xf>
    <xf numFmtId="2" fontId="45" fillId="4" borderId="46" xfId="63" quotePrefix="1" applyNumberFormat="1" applyFont="1" applyFill="1" applyBorder="1" applyAlignment="1">
      <alignment horizontal="center" vertical="center" wrapText="1"/>
    </xf>
    <xf numFmtId="2" fontId="45" fillId="4" borderId="48" xfId="63" quotePrefix="1" applyNumberFormat="1" applyFont="1" applyFill="1" applyBorder="1" applyAlignment="1">
      <alignment horizontal="center" vertical="center" wrapText="1"/>
    </xf>
    <xf numFmtId="2" fontId="45" fillId="4" borderId="16" xfId="63" applyNumberFormat="1" applyFont="1" applyFill="1" applyBorder="1" applyAlignment="1">
      <alignment horizontal="center" vertical="center" wrapText="1"/>
    </xf>
    <xf numFmtId="2" fontId="45" fillId="4" borderId="17" xfId="63" applyNumberFormat="1" applyFont="1" applyFill="1" applyBorder="1" applyAlignment="1">
      <alignment horizontal="center" vertical="center" wrapText="1"/>
    </xf>
    <xf numFmtId="2" fontId="45" fillId="4" borderId="46" xfId="63" applyNumberFormat="1" applyFont="1" applyFill="1" applyBorder="1" applyAlignment="1">
      <alignment horizontal="center" vertical="center" wrapText="1"/>
    </xf>
    <xf numFmtId="2" fontId="45" fillId="4" borderId="48" xfId="63" applyNumberFormat="1" applyFont="1" applyFill="1" applyBorder="1" applyAlignment="1">
      <alignment horizontal="center" vertical="center" wrapText="1"/>
    </xf>
    <xf numFmtId="0" fontId="21" fillId="4" borderId="214" xfId="0" applyFont="1" applyFill="1" applyBorder="1" applyAlignment="1">
      <alignment horizontal="center" vertical="center"/>
    </xf>
    <xf numFmtId="0" fontId="21" fillId="4" borderId="216" xfId="0" applyFont="1" applyFill="1" applyBorder="1" applyAlignment="1">
      <alignment horizontal="center" vertical="center"/>
    </xf>
    <xf numFmtId="164" fontId="33" fillId="0" borderId="219" xfId="1" applyNumberFormat="1" applyFont="1" applyFill="1" applyBorder="1" applyAlignment="1">
      <alignment horizontal="center" vertical="center"/>
    </xf>
    <xf numFmtId="0" fontId="19" fillId="0" borderId="0" xfId="95" applyFont="1" applyFill="1" applyBorder="1" applyAlignment="1">
      <alignment horizontal="center" vertical="center"/>
    </xf>
    <xf numFmtId="0" fontId="20" fillId="6" borderId="198" xfId="1" applyFont="1" applyFill="1" applyBorder="1"/>
    <xf numFmtId="167" fontId="20" fillId="6" borderId="198" xfId="1" applyNumberFormat="1" applyFont="1" applyFill="1" applyBorder="1"/>
    <xf numFmtId="11" fontId="19" fillId="0" borderId="4" xfId="95" applyNumberFormat="1" applyFont="1" applyFill="1" applyBorder="1" applyAlignment="1">
      <alignment vertical="center"/>
    </xf>
    <xf numFmtId="0" fontId="19" fillId="0" borderId="0" xfId="95" applyFont="1" applyFill="1" applyBorder="1" applyAlignment="1">
      <alignment vertical="center"/>
    </xf>
    <xf numFmtId="3" fontId="23" fillId="0" borderId="0" xfId="95" applyNumberFormat="1" applyFont="1" applyFill="1" applyBorder="1" applyAlignment="1">
      <alignment horizontal="right" vertical="center"/>
    </xf>
    <xf numFmtId="2" fontId="19" fillId="0" borderId="38" xfId="95" applyNumberFormat="1" applyFont="1" applyFill="1" applyBorder="1" applyAlignment="1">
      <alignment horizontal="left" vertical="center"/>
    </xf>
    <xf numFmtId="0" fontId="19" fillId="0" borderId="5" xfId="1" applyFont="1" applyFill="1" applyBorder="1" applyAlignment="1">
      <alignment horizontal="center" vertical="center"/>
    </xf>
    <xf numFmtId="11" fontId="23" fillId="0" borderId="4" xfId="95" applyNumberFormat="1" applyFont="1" applyFill="1" applyBorder="1" applyAlignment="1">
      <alignment vertical="center"/>
    </xf>
    <xf numFmtId="3" fontId="19" fillId="0" borderId="0" xfId="95" applyNumberFormat="1" applyFont="1" applyFill="1" applyBorder="1" applyAlignment="1">
      <alignment vertical="center"/>
    </xf>
    <xf numFmtId="11" fontId="19" fillId="0" borderId="4" xfId="95" applyNumberFormat="1" applyFont="1" applyFill="1" applyBorder="1" applyAlignment="1">
      <alignment horizontal="right" vertical="center"/>
    </xf>
    <xf numFmtId="193" fontId="19" fillId="0" borderId="0" xfId="95" applyNumberFormat="1" applyFont="1" applyFill="1" applyBorder="1" applyAlignment="1">
      <alignment vertical="center"/>
    </xf>
    <xf numFmtId="2" fontId="19" fillId="0" borderId="0" xfId="95" applyNumberFormat="1" applyFont="1" applyFill="1" applyBorder="1" applyAlignment="1">
      <alignment vertical="center"/>
    </xf>
    <xf numFmtId="11" fontId="19" fillId="0" borderId="197" xfId="95" applyNumberFormat="1" applyFont="1" applyFill="1" applyBorder="1" applyAlignment="1">
      <alignment horizontal="right" vertical="center"/>
    </xf>
    <xf numFmtId="3" fontId="19" fillId="0" borderId="198" xfId="95" applyNumberFormat="1" applyFont="1" applyFill="1" applyBorder="1" applyAlignment="1">
      <alignment vertical="center"/>
    </xf>
    <xf numFmtId="0" fontId="19" fillId="0" borderId="198" xfId="95" applyFont="1" applyFill="1" applyBorder="1" applyAlignment="1">
      <alignment vertical="center"/>
    </xf>
    <xf numFmtId="0" fontId="19" fillId="0" borderId="199" xfId="1" applyFont="1" applyFill="1" applyBorder="1" applyAlignment="1">
      <alignment horizontal="center" vertical="center"/>
    </xf>
    <xf numFmtId="0" fontId="219" fillId="0" borderId="0" xfId="0" applyFont="1" applyAlignment="1">
      <alignment horizontal="center"/>
    </xf>
    <xf numFmtId="0" fontId="219" fillId="0" borderId="0" xfId="0" applyFont="1" applyAlignment="1">
      <alignment horizontal="left"/>
    </xf>
    <xf numFmtId="0" fontId="20" fillId="0" borderId="0" xfId="0" applyFont="1" applyAlignment="1">
      <alignment horizontal="center"/>
    </xf>
    <xf numFmtId="165" fontId="219" fillId="0" borderId="0" xfId="0" applyNumberFormat="1" applyFont="1" applyAlignment="1">
      <alignment horizontal="center" vertical="center"/>
    </xf>
    <xf numFmtId="2" fontId="223" fillId="0" borderId="0" xfId="0" applyNumberFormat="1" applyFont="1" applyAlignment="1">
      <alignment horizontal="center" vertical="center"/>
    </xf>
    <xf numFmtId="0" fontId="219" fillId="0" borderId="0" xfId="0" applyFont="1" applyAlignment="1">
      <alignment horizontal="left" vertical="center"/>
    </xf>
    <xf numFmtId="2" fontId="219" fillId="0" borderId="0" xfId="0" applyNumberFormat="1" applyFont="1" applyAlignment="1">
      <alignment horizontal="center" vertical="center"/>
    </xf>
    <xf numFmtId="0" fontId="219" fillId="0" borderId="0" xfId="0" applyFont="1" applyAlignment="1">
      <alignment horizontal="center" vertical="center"/>
    </xf>
    <xf numFmtId="0" fontId="219" fillId="0" borderId="0" xfId="0" quotePrefix="1" applyFont="1" applyAlignment="1">
      <alignment horizontal="center" vertical="center"/>
    </xf>
    <xf numFmtId="0" fontId="4" fillId="0" borderId="215" xfId="20889" applyFont="1" applyBorder="1" applyAlignment="1">
      <alignment horizontal="center"/>
    </xf>
    <xf numFmtId="0" fontId="5" fillId="0" borderId="215" xfId="20889" applyBorder="1" applyAlignment="1">
      <alignment horizontal="center"/>
    </xf>
    <xf numFmtId="0" fontId="4" fillId="0" borderId="215" xfId="20889" applyFont="1" applyBorder="1"/>
    <xf numFmtId="0" fontId="4" fillId="0" borderId="215" xfId="20889" applyFont="1" applyBorder="1" applyAlignment="1">
      <alignment horizontal="center" wrapText="1"/>
    </xf>
    <xf numFmtId="0" fontId="217" fillId="0" borderId="215" xfId="20889" applyFont="1" applyBorder="1" applyAlignment="1">
      <alignment vertical="center" wrapText="1"/>
    </xf>
    <xf numFmtId="0" fontId="217" fillId="0" borderId="215" xfId="20889" applyFont="1" applyBorder="1" applyAlignment="1">
      <alignment horizontal="right" vertical="center" wrapText="1"/>
    </xf>
    <xf numFmtId="0" fontId="217" fillId="0" borderId="215" xfId="20889" applyFont="1" applyBorder="1" applyAlignment="1">
      <alignment horizontal="right" vertical="center"/>
    </xf>
    <xf numFmtId="0" fontId="217" fillId="0" borderId="215" xfId="0" applyFont="1" applyBorder="1" applyAlignment="1">
      <alignment horizontal="right" vertical="center"/>
    </xf>
    <xf numFmtId="2" fontId="29" fillId="0" borderId="144" xfId="0" quotePrefix="1" applyNumberFormat="1" applyFont="1" applyFill="1" applyBorder="1" applyAlignment="1">
      <alignment horizontal="center" vertical="center"/>
    </xf>
    <xf numFmtId="2" fontId="29" fillId="0" borderId="146" xfId="0" quotePrefix="1" applyNumberFormat="1" applyFont="1" applyFill="1" applyBorder="1" applyAlignment="1">
      <alignment horizontal="center" vertical="center"/>
    </xf>
    <xf numFmtId="2" fontId="29" fillId="0" borderId="148" xfId="0" quotePrefix="1" applyNumberFormat="1" applyFont="1" applyFill="1" applyBorder="1" applyAlignment="1">
      <alignment horizontal="center" vertical="center"/>
    </xf>
    <xf numFmtId="2" fontId="29" fillId="0" borderId="125" xfId="0" applyNumberFormat="1" applyFont="1" applyFill="1" applyBorder="1" applyAlignment="1">
      <alignment horizontal="center" vertical="center"/>
    </xf>
    <xf numFmtId="0" fontId="140" fillId="0" borderId="62" xfId="0" applyFont="1" applyBorder="1" applyAlignment="1">
      <alignment horizontal="center" vertical="center"/>
    </xf>
    <xf numFmtId="2" fontId="140" fillId="0" borderId="62" xfId="0" applyNumberFormat="1" applyFont="1" applyBorder="1" applyAlignment="1">
      <alignment horizontal="center" vertical="center"/>
    </xf>
    <xf numFmtId="2" fontId="140" fillId="0" borderId="222" xfId="0" applyNumberFormat="1" applyFont="1" applyFill="1" applyBorder="1" applyAlignment="1">
      <alignment horizontal="center" vertical="center"/>
    </xf>
    <xf numFmtId="2" fontId="140" fillId="0" borderId="216" xfId="0" applyNumberFormat="1" applyFont="1" applyFill="1" applyBorder="1" applyAlignment="1">
      <alignment horizontal="center" vertical="center"/>
    </xf>
    <xf numFmtId="2" fontId="140" fillId="0" borderId="146" xfId="0" applyNumberFormat="1" applyFont="1" applyFill="1" applyBorder="1" applyAlignment="1">
      <alignment horizontal="center" vertical="center"/>
    </xf>
    <xf numFmtId="2" fontId="140" fillId="0" borderId="151" xfId="0" applyNumberFormat="1" applyFont="1" applyFill="1" applyBorder="1" applyAlignment="1">
      <alignment horizontal="center" vertical="center"/>
    </xf>
    <xf numFmtId="2" fontId="140" fillId="0" borderId="148" xfId="0" applyNumberFormat="1" applyFont="1" applyFill="1" applyBorder="1" applyAlignment="1">
      <alignment horizontal="center" vertical="center"/>
    </xf>
    <xf numFmtId="0" fontId="33" fillId="0" borderId="218" xfId="1" applyFont="1" applyFill="1" applyBorder="1" applyAlignment="1">
      <alignment horizontal="center" vertical="center"/>
    </xf>
    <xf numFmtId="2" fontId="33" fillId="0" borderId="213" xfId="1" applyNumberFormat="1" applyFont="1" applyFill="1" applyBorder="1" applyAlignment="1">
      <alignment horizontal="center" vertical="center"/>
    </xf>
    <xf numFmtId="167" fontId="33" fillId="0" borderId="217" xfId="1" applyNumberFormat="1" applyFont="1" applyFill="1" applyBorder="1" applyAlignment="1">
      <alignment horizontal="center" vertical="center"/>
    </xf>
    <xf numFmtId="0" fontId="45" fillId="0" borderId="59" xfId="10656" applyFont="1" applyFill="1" applyBorder="1" applyAlignment="1">
      <alignment wrapText="1"/>
    </xf>
    <xf numFmtId="0" fontId="45" fillId="0" borderId="125" xfId="10653" applyFont="1" applyFill="1" applyBorder="1" applyAlignment="1">
      <alignment horizontal="center" vertical="center" wrapText="1"/>
    </xf>
    <xf numFmtId="0" fontId="110" fillId="0" borderId="25" xfId="63" applyFont="1" applyFill="1" applyBorder="1" applyAlignment="1">
      <alignment horizontal="center" vertical="center" wrapText="1"/>
    </xf>
    <xf numFmtId="0" fontId="110" fillId="0" borderId="32" xfId="63" applyFont="1" applyFill="1" applyBorder="1" applyAlignment="1">
      <alignment horizontal="center" vertical="center" wrapText="1"/>
    </xf>
    <xf numFmtId="0" fontId="110" fillId="0" borderId="33" xfId="63" applyFont="1" applyFill="1" applyBorder="1" applyAlignment="1">
      <alignment horizontal="center" vertical="center" wrapText="1"/>
    </xf>
    <xf numFmtId="0" fontId="110" fillId="0" borderId="36" xfId="63" applyFont="1" applyFill="1" applyBorder="1" applyAlignment="1">
      <alignment horizontal="center" vertical="center" wrapText="1"/>
    </xf>
    <xf numFmtId="0" fontId="110" fillId="41" borderId="71" xfId="63" applyFont="1" applyFill="1" applyBorder="1" applyAlignment="1">
      <alignment horizontal="center" vertical="center"/>
    </xf>
    <xf numFmtId="0" fontId="45" fillId="0" borderId="226" xfId="10653" applyFont="1" applyFill="1" applyBorder="1" applyAlignment="1">
      <alignment horizontal="center" vertical="center" wrapText="1"/>
    </xf>
    <xf numFmtId="0" fontId="53" fillId="0" borderId="209" xfId="10642" applyFont="1" applyFill="1" applyBorder="1" applyAlignment="1">
      <alignment horizontal="center" vertical="center" wrapText="1"/>
    </xf>
    <xf numFmtId="2" fontId="22" fillId="4" borderId="216" xfId="1" applyNumberFormat="1" applyFont="1" applyFill="1" applyBorder="1" applyAlignment="1">
      <alignment horizontal="center" vertical="center"/>
    </xf>
    <xf numFmtId="166" fontId="45" fillId="0" borderId="0" xfId="63" applyNumberFormat="1" applyFont="1" applyFill="1"/>
    <xf numFmtId="193" fontId="45" fillId="0" borderId="126" xfId="10652" applyNumberFormat="1" applyFont="1" applyFill="1" applyBorder="1" applyAlignment="1">
      <alignment horizontal="center" vertical="center" wrapText="1"/>
    </xf>
    <xf numFmtId="166" fontId="19" fillId="85" borderId="145" xfId="1" applyNumberFormat="1" applyFont="1" applyFill="1" applyBorder="1" applyAlignment="1" applyProtection="1">
      <alignment vertical="center" wrapText="1"/>
      <protection locked="0"/>
    </xf>
    <xf numFmtId="216" fontId="19" fillId="85" borderId="148" xfId="4" applyNumberFormat="1" applyFont="1" applyFill="1" applyBorder="1" applyAlignment="1" applyProtection="1">
      <alignment vertical="center" wrapText="1"/>
      <protection locked="0"/>
    </xf>
    <xf numFmtId="2" fontId="29" fillId="0" borderId="216" xfId="0" applyNumberFormat="1" applyFont="1" applyBorder="1" applyAlignment="1">
      <alignment horizontal="center" vertical="center"/>
    </xf>
    <xf numFmtId="2" fontId="45" fillId="0" borderId="44" xfId="63" applyNumberFormat="1" applyFont="1" applyFill="1" applyBorder="1" applyAlignment="1">
      <alignment horizontal="center" vertical="center"/>
    </xf>
    <xf numFmtId="2" fontId="45" fillId="0" borderId="41" xfId="63" applyNumberFormat="1" applyFont="1" applyFill="1" applyBorder="1" applyAlignment="1">
      <alignment horizontal="center" vertical="center"/>
    </xf>
    <xf numFmtId="0" fontId="45" fillId="0" borderId="41" xfId="63" applyFont="1" applyFill="1" applyBorder="1" applyAlignment="1">
      <alignment horizontal="center" vertical="center"/>
    </xf>
    <xf numFmtId="0" fontId="45" fillId="0" borderId="41" xfId="63" applyFont="1" applyFill="1" applyBorder="1" applyAlignment="1">
      <alignment horizontal="center" vertical="center" wrapText="1"/>
    </xf>
    <xf numFmtId="0" fontId="109" fillId="0" borderId="19" xfId="63" applyFont="1" applyFill="1" applyBorder="1" applyAlignment="1">
      <alignment horizontal="center" vertical="center" wrapText="1"/>
    </xf>
    <xf numFmtId="2" fontId="45" fillId="0" borderId="19" xfId="63" applyNumberFormat="1" applyFont="1" applyFill="1" applyBorder="1" applyAlignment="1">
      <alignment horizontal="center" vertical="center"/>
    </xf>
    <xf numFmtId="0" fontId="45" fillId="0" borderId="19" xfId="63" applyFont="1" applyFill="1" applyBorder="1" applyAlignment="1">
      <alignment horizontal="center" vertical="center"/>
    </xf>
    <xf numFmtId="0" fontId="45" fillId="0" borderId="19" xfId="63" applyFont="1" applyFill="1" applyBorder="1" applyAlignment="1">
      <alignment horizontal="center" vertical="center" wrapText="1"/>
    </xf>
    <xf numFmtId="2" fontId="45" fillId="0" borderId="41" xfId="63" applyNumberFormat="1" applyFont="1" applyFill="1" applyBorder="1" applyAlignment="1">
      <alignment horizontal="center"/>
    </xf>
    <xf numFmtId="0" fontId="109" fillId="6" borderId="38" xfId="63" applyFont="1" applyFill="1" applyBorder="1" applyAlignment="1">
      <alignment horizontal="center" vertical="center"/>
    </xf>
    <xf numFmtId="2" fontId="45" fillId="6" borderId="38" xfId="63" applyNumberFormat="1" applyFont="1" applyFill="1" applyBorder="1" applyAlignment="1">
      <alignment horizontal="center" vertical="center"/>
    </xf>
    <xf numFmtId="0" fontId="45" fillId="6" borderId="38" xfId="63" applyFont="1" applyFill="1" applyBorder="1" applyAlignment="1">
      <alignment horizontal="center" vertical="center"/>
    </xf>
    <xf numFmtId="0" fontId="45" fillId="6" borderId="38" xfId="63" applyFont="1" applyFill="1" applyBorder="1" applyAlignment="1">
      <alignment horizontal="center" vertical="center" wrapText="1"/>
    </xf>
    <xf numFmtId="0" fontId="109" fillId="6" borderId="58" xfId="63" applyFont="1" applyFill="1" applyBorder="1" applyAlignment="1">
      <alignment horizontal="center" vertical="center" wrapText="1"/>
    </xf>
    <xf numFmtId="2" fontId="45" fillId="6" borderId="58" xfId="63" applyNumberFormat="1" applyFont="1" applyFill="1" applyBorder="1" applyAlignment="1">
      <alignment horizontal="center" vertical="center"/>
    </xf>
    <xf numFmtId="0" fontId="45" fillId="6" borderId="58" xfId="63" applyFont="1" applyFill="1" applyBorder="1" applyAlignment="1">
      <alignment horizontal="center" vertical="center"/>
    </xf>
    <xf numFmtId="0" fontId="45" fillId="6" borderId="58" xfId="63" applyFont="1" applyFill="1" applyBorder="1" applyAlignment="1">
      <alignment horizontal="center" vertical="center" wrapText="1"/>
    </xf>
    <xf numFmtId="0" fontId="109" fillId="6" borderId="127" xfId="63" applyFont="1" applyFill="1" applyBorder="1" applyAlignment="1">
      <alignment horizontal="center" vertical="center" wrapText="1"/>
    </xf>
    <xf numFmtId="0" fontId="109" fillId="6" borderId="218" xfId="63" applyFont="1" applyFill="1" applyBorder="1" applyAlignment="1">
      <alignment horizontal="center" vertical="center" wrapText="1"/>
    </xf>
    <xf numFmtId="2" fontId="45" fillId="6" borderId="218" xfId="63" applyNumberFormat="1" applyFont="1" applyFill="1" applyBorder="1" applyAlignment="1">
      <alignment horizontal="center" vertical="center"/>
    </xf>
    <xf numFmtId="0" fontId="45" fillId="6" borderId="218" xfId="63" applyFont="1" applyFill="1" applyBorder="1" applyAlignment="1">
      <alignment horizontal="center" vertical="center"/>
    </xf>
    <xf numFmtId="0" fontId="45" fillId="6" borderId="218" xfId="63" applyFont="1" applyFill="1" applyBorder="1" applyAlignment="1">
      <alignment horizontal="center" vertical="center" wrapText="1"/>
    </xf>
    <xf numFmtId="0" fontId="34" fillId="6" borderId="7" xfId="0" applyFont="1" applyFill="1" applyBorder="1" applyAlignment="1">
      <alignment horizontal="center" vertical="center"/>
    </xf>
    <xf numFmtId="0" fontId="34" fillId="4" borderId="18" xfId="0" applyFont="1" applyFill="1" applyBorder="1" applyAlignment="1">
      <alignment horizontal="center" vertical="center"/>
    </xf>
    <xf numFmtId="0" fontId="34" fillId="4" borderId="43" xfId="0" applyFont="1" applyFill="1" applyBorder="1" applyAlignment="1">
      <alignment horizontal="center" vertical="center"/>
    </xf>
    <xf numFmtId="0" fontId="34" fillId="6" borderId="7" xfId="0" applyFont="1" applyFill="1" applyBorder="1" applyAlignment="1">
      <alignment horizontal="center" vertical="center"/>
    </xf>
    <xf numFmtId="0" fontId="29" fillId="0" borderId="226" xfId="0" applyFont="1" applyFill="1" applyBorder="1" applyAlignment="1">
      <alignment horizontal="left" vertical="center" wrapText="1"/>
    </xf>
    <xf numFmtId="0" fontId="29" fillId="4" borderId="214" xfId="0" applyFont="1" applyFill="1" applyBorder="1" applyAlignment="1">
      <alignment horizontal="center" vertical="center" wrapText="1"/>
    </xf>
    <xf numFmtId="0" fontId="29" fillId="4" borderId="220" xfId="0" applyFont="1" applyFill="1" applyBorder="1" applyAlignment="1">
      <alignment horizontal="center" vertical="center" wrapText="1"/>
    </xf>
    <xf numFmtId="0" fontId="45" fillId="0" borderId="126" xfId="0" applyFont="1" applyFill="1" applyBorder="1" applyAlignment="1">
      <alignment horizontal="center" vertical="center" wrapText="1"/>
    </xf>
    <xf numFmtId="0" fontId="45" fillId="6" borderId="158" xfId="63" applyFont="1" applyFill="1" applyBorder="1" applyAlignment="1">
      <alignment horizontal="center" vertical="center"/>
    </xf>
    <xf numFmtId="0" fontId="45" fillId="0" borderId="158" xfId="63" applyFont="1" applyFill="1" applyBorder="1" applyAlignment="1">
      <alignment horizontal="center" vertical="center"/>
    </xf>
    <xf numFmtId="0" fontId="22" fillId="6" borderId="0" xfId="1" applyFont="1" applyFill="1" applyBorder="1" applyAlignment="1">
      <alignment horizontal="center" vertical="center"/>
    </xf>
    <xf numFmtId="0" fontId="29" fillId="4" borderId="229" xfId="0" applyFont="1" applyFill="1" applyBorder="1" applyAlignment="1">
      <alignment horizontal="center" vertical="center" wrapText="1"/>
    </xf>
    <xf numFmtId="2" fontId="29" fillId="0" borderId="217" xfId="0" applyNumberFormat="1" applyFont="1" applyBorder="1" applyAlignment="1">
      <alignment horizontal="center" vertical="center"/>
    </xf>
    <xf numFmtId="2" fontId="20" fillId="0" borderId="0" xfId="1" applyNumberFormat="1" applyFont="1" applyFill="1"/>
    <xf numFmtId="164" fontId="33" fillId="0" borderId="218" xfId="1" applyNumberFormat="1" applyFont="1" applyFill="1" applyBorder="1" applyAlignment="1">
      <alignment horizontal="center" vertical="center"/>
    </xf>
    <xf numFmtId="1" fontId="33" fillId="0" borderId="218" xfId="1" applyNumberFormat="1" applyFont="1" applyFill="1" applyBorder="1" applyAlignment="1">
      <alignment horizontal="center" vertical="center"/>
    </xf>
    <xf numFmtId="167" fontId="33" fillId="0" borderId="218" xfId="1" applyNumberFormat="1" applyFont="1" applyFill="1" applyBorder="1" applyAlignment="1">
      <alignment horizontal="center" vertical="center"/>
    </xf>
    <xf numFmtId="167" fontId="33" fillId="0" borderId="213" xfId="1" applyNumberFormat="1" applyFont="1" applyFill="1" applyBorder="1" applyAlignment="1">
      <alignment horizontal="center" vertical="center"/>
    </xf>
    <xf numFmtId="2" fontId="33" fillId="0" borderId="223" xfId="1" applyNumberFormat="1" applyFont="1" applyFill="1" applyBorder="1" applyAlignment="1">
      <alignment horizontal="center" vertical="center"/>
    </xf>
    <xf numFmtId="2" fontId="217" fillId="0" borderId="209" xfId="20889" applyNumberFormat="1" applyFont="1" applyBorder="1" applyAlignment="1">
      <alignment horizontal="right" vertical="center"/>
    </xf>
    <xf numFmtId="0" fontId="2" fillId="0" borderId="215" xfId="20889" applyFont="1" applyFill="1" applyBorder="1" applyAlignment="1">
      <alignment horizontal="center" wrapText="1"/>
    </xf>
    <xf numFmtId="0" fontId="5" fillId="0" borderId="0" xfId="20889" applyFill="1" applyAlignment="1">
      <alignment horizontal="center"/>
    </xf>
    <xf numFmtId="165" fontId="217" fillId="0" borderId="215" xfId="20889" applyNumberFormat="1" applyFont="1" applyBorder="1" applyAlignment="1">
      <alignment horizontal="right" vertical="center"/>
    </xf>
    <xf numFmtId="2" fontId="217" fillId="0" borderId="215" xfId="20889" applyNumberFormat="1" applyFont="1" applyBorder="1" applyAlignment="1">
      <alignment horizontal="right" vertical="center"/>
    </xf>
    <xf numFmtId="165" fontId="5" fillId="0" borderId="215" xfId="20889" applyNumberFormat="1" applyBorder="1" applyAlignment="1">
      <alignment horizontal="center"/>
    </xf>
    <xf numFmtId="165" fontId="5" fillId="0" borderId="0" xfId="20889" applyNumberFormat="1" applyAlignment="1">
      <alignment horizontal="center"/>
    </xf>
    <xf numFmtId="2" fontId="5" fillId="0" borderId="215" xfId="20889" applyNumberFormat="1" applyBorder="1" applyAlignment="1">
      <alignment horizontal="center"/>
    </xf>
    <xf numFmtId="2" fontId="5" fillId="0" borderId="0" xfId="20889" applyNumberFormat="1" applyAlignment="1">
      <alignment horizontal="center"/>
    </xf>
    <xf numFmtId="1" fontId="29" fillId="0" borderId="25" xfId="0" applyNumberFormat="1" applyFont="1" applyFill="1" applyBorder="1" applyAlignment="1">
      <alignment horizontal="left" vertical="center" wrapText="1"/>
    </xf>
    <xf numFmtId="1" fontId="29" fillId="4" borderId="16" xfId="0" applyNumberFormat="1" applyFont="1" applyFill="1" applyBorder="1" applyAlignment="1">
      <alignment horizontal="center" vertical="center" wrapText="1"/>
    </xf>
    <xf numFmtId="1" fontId="29" fillId="4" borderId="31" xfId="0" applyNumberFormat="1" applyFont="1" applyFill="1" applyBorder="1" applyAlignment="1">
      <alignment horizontal="center" vertical="center" wrapText="1"/>
    </xf>
    <xf numFmtId="2" fontId="29" fillId="0" borderId="23" xfId="0" applyNumberFormat="1" applyFont="1" applyBorder="1" applyAlignment="1">
      <alignment horizontal="center" vertical="center"/>
    </xf>
    <xf numFmtId="0" fontId="29" fillId="0" borderId="221" xfId="0" applyFont="1" applyFill="1" applyBorder="1" applyAlignment="1">
      <alignment horizontal="center" vertical="center" wrapText="1"/>
    </xf>
    <xf numFmtId="0" fontId="45" fillId="0" borderId="144" xfId="63" applyFont="1" applyFill="1" applyBorder="1" applyAlignment="1">
      <alignment horizontal="center" vertical="center"/>
    </xf>
    <xf numFmtId="0" fontId="45" fillId="0" borderId="145" xfId="63" applyFont="1" applyFill="1" applyBorder="1" applyAlignment="1">
      <alignment horizontal="center" vertical="center"/>
    </xf>
    <xf numFmtId="2" fontId="45" fillId="0" borderId="143" xfId="63" applyNumberFormat="1" applyFont="1" applyFill="1" applyBorder="1" applyAlignment="1">
      <alignment horizontal="center" vertical="center"/>
    </xf>
    <xf numFmtId="0" fontId="45" fillId="0" borderId="126" xfId="0" applyFont="1" applyFill="1" applyBorder="1" applyAlignment="1">
      <alignment horizontal="center" vertical="center" wrapText="1"/>
    </xf>
    <xf numFmtId="0" fontId="34" fillId="6" borderId="7" xfId="0" applyFont="1" applyFill="1" applyBorder="1" applyAlignment="1">
      <alignment horizontal="center" vertical="center"/>
    </xf>
    <xf numFmtId="2" fontId="29" fillId="0" borderId="119" xfId="0" applyNumberFormat="1" applyFont="1" applyFill="1" applyBorder="1" applyAlignment="1">
      <alignment horizontal="center" vertical="center"/>
    </xf>
    <xf numFmtId="0" fontId="140" fillId="0" borderId="218" xfId="0" applyFont="1" applyBorder="1" applyAlignment="1">
      <alignment horizontal="center" vertical="center"/>
    </xf>
    <xf numFmtId="2" fontId="29" fillId="0" borderId="220" xfId="0" applyNumberFormat="1" applyFont="1" applyBorder="1" applyAlignment="1">
      <alignment horizontal="center" vertical="center"/>
    </xf>
    <xf numFmtId="2" fontId="33" fillId="0" borderId="37" xfId="1" applyNumberFormat="1" applyFont="1" applyFill="1" applyBorder="1" applyAlignment="1">
      <alignment horizontal="center" vertical="center"/>
    </xf>
    <xf numFmtId="2" fontId="33" fillId="0" borderId="39" xfId="1" applyNumberFormat="1" applyFont="1" applyFill="1" applyBorder="1" applyAlignment="1">
      <alignment horizontal="center" vertical="center"/>
    </xf>
    <xf numFmtId="0" fontId="34" fillId="4" borderId="18" xfId="0" applyFont="1" applyFill="1" applyBorder="1" applyAlignment="1">
      <alignment horizontal="center" vertical="center"/>
    </xf>
    <xf numFmtId="0" fontId="34" fillId="4" borderId="43" xfId="0" applyFont="1" applyFill="1" applyBorder="1" applyAlignment="1">
      <alignment horizontal="center" vertical="center"/>
    </xf>
    <xf numFmtId="0" fontId="224" fillId="3" borderId="126" xfId="10644" applyFont="1" applyFill="1" applyBorder="1" applyAlignment="1">
      <alignment horizontal="center" vertical="center" wrapText="1"/>
    </xf>
    <xf numFmtId="0" fontId="224" fillId="6" borderId="126" xfId="10644" applyFont="1" applyFill="1" applyBorder="1" applyAlignment="1">
      <alignment horizontal="center" vertical="center" wrapText="1"/>
    </xf>
    <xf numFmtId="164" fontId="45" fillId="0" borderId="12" xfId="63" applyNumberFormat="1" applyFont="1" applyFill="1" applyBorder="1" applyAlignment="1">
      <alignment horizontal="center" vertical="center" wrapText="1"/>
    </xf>
    <xf numFmtId="164" fontId="45" fillId="0" borderId="70" xfId="63" applyNumberFormat="1" applyFont="1" applyFill="1" applyBorder="1" applyAlignment="1">
      <alignment horizontal="center" vertical="center" wrapText="1"/>
    </xf>
    <xf numFmtId="164" fontId="21" fillId="4" borderId="18" xfId="0" applyNumberFormat="1" applyFont="1" applyFill="1" applyBorder="1" applyAlignment="1">
      <alignment horizontal="center" vertical="center"/>
    </xf>
    <xf numFmtId="164" fontId="21" fillId="4" borderId="43" xfId="0" applyNumberFormat="1" applyFont="1" applyFill="1" applyBorder="1" applyAlignment="1">
      <alignment horizontal="center" vertical="center"/>
    </xf>
    <xf numFmtId="0" fontId="45" fillId="4" borderId="25" xfId="63" applyFont="1" applyFill="1" applyBorder="1" applyAlignment="1">
      <alignment horizontal="center" vertical="center"/>
    </xf>
    <xf numFmtId="0" fontId="45" fillId="4" borderId="16" xfId="63" applyFont="1" applyFill="1" applyBorder="1" applyAlignment="1">
      <alignment horizontal="center" vertical="center"/>
    </xf>
    <xf numFmtId="0" fontId="45" fillId="4" borderId="17" xfId="63" applyFont="1" applyFill="1" applyBorder="1" applyAlignment="1">
      <alignment horizontal="center" vertical="center"/>
    </xf>
    <xf numFmtId="0" fontId="45" fillId="4" borderId="46" xfId="63" applyFont="1" applyFill="1" applyBorder="1" applyAlignment="1">
      <alignment horizontal="center" vertical="center" wrapText="1"/>
    </xf>
    <xf numFmtId="0" fontId="45" fillId="4" borderId="48" xfId="63" applyFont="1" applyFill="1" applyBorder="1" applyAlignment="1">
      <alignment horizontal="center" vertical="center" wrapText="1"/>
    </xf>
    <xf numFmtId="0" fontId="45" fillId="4" borderId="16" xfId="63" applyFont="1" applyFill="1" applyBorder="1" applyAlignment="1">
      <alignment horizontal="center" vertical="center" wrapText="1"/>
    </xf>
    <xf numFmtId="0" fontId="45" fillId="4" borderId="17" xfId="63" applyFont="1" applyFill="1" applyBorder="1" applyAlignment="1">
      <alignment horizontal="center" vertical="center" wrapText="1"/>
    </xf>
    <xf numFmtId="0" fontId="45" fillId="4" borderId="51" xfId="63" applyFont="1" applyFill="1" applyBorder="1" applyAlignment="1">
      <alignment horizontal="center" vertical="center"/>
    </xf>
    <xf numFmtId="2" fontId="45" fillId="4" borderId="37" xfId="63" applyNumberFormat="1" applyFont="1" applyFill="1" applyBorder="1" applyAlignment="1">
      <alignment horizontal="center" vertical="center"/>
    </xf>
    <xf numFmtId="2" fontId="45" fillId="4" borderId="39" xfId="63" applyNumberFormat="1" applyFont="1" applyFill="1" applyBorder="1" applyAlignment="1">
      <alignment horizontal="center" vertical="center"/>
    </xf>
    <xf numFmtId="2" fontId="45" fillId="6" borderId="144" xfId="63" applyNumberFormat="1" applyFont="1" applyFill="1" applyBorder="1" applyAlignment="1">
      <alignment horizontal="center" vertical="center"/>
    </xf>
    <xf numFmtId="2" fontId="45" fillId="6" borderId="145" xfId="63" applyNumberFormat="1" applyFont="1" applyFill="1" applyBorder="1" applyAlignment="1">
      <alignment horizontal="center" vertical="center"/>
    </xf>
    <xf numFmtId="2" fontId="45" fillId="6" borderId="161" xfId="63" applyNumberFormat="1" applyFont="1" applyFill="1" applyBorder="1" applyAlignment="1">
      <alignment horizontal="center" vertical="center" wrapText="1"/>
    </xf>
    <xf numFmtId="2" fontId="45" fillId="6" borderId="143" xfId="63" applyNumberFormat="1" applyFont="1" applyFill="1" applyBorder="1" applyAlignment="1">
      <alignment horizontal="center" vertical="center" wrapText="1"/>
    </xf>
    <xf numFmtId="2" fontId="29" fillId="0" borderId="37" xfId="0" applyNumberFormat="1" applyFont="1" applyBorder="1" applyAlignment="1">
      <alignment horizontal="center" vertical="center"/>
    </xf>
    <xf numFmtId="2" fontId="21" fillId="4" borderId="219" xfId="0" applyNumberFormat="1" applyFont="1" applyFill="1" applyBorder="1" applyAlignment="1">
      <alignment horizontal="center" vertical="center"/>
    </xf>
    <xf numFmtId="2" fontId="29" fillId="0" borderId="216" xfId="0" quotePrefix="1" applyNumberFormat="1" applyFont="1" applyBorder="1" applyAlignment="1">
      <alignment horizontal="center" vertical="center"/>
    </xf>
    <xf numFmtId="2" fontId="29" fillId="0" borderId="39" xfId="0" quotePrefix="1" applyNumberFormat="1" applyFont="1" applyBorder="1" applyAlignment="1">
      <alignment horizontal="center" vertical="center"/>
    </xf>
    <xf numFmtId="2" fontId="29" fillId="0" borderId="39" xfId="0" applyNumberFormat="1" applyFont="1" applyBorder="1" applyAlignment="1">
      <alignment horizontal="center" vertical="center"/>
    </xf>
    <xf numFmtId="0" fontId="20" fillId="6" borderId="63" xfId="0" applyFont="1" applyFill="1" applyBorder="1" applyAlignment="1">
      <alignment horizontal="center" vertical="center"/>
    </xf>
    <xf numFmtId="0" fontId="29" fillId="4" borderId="228" xfId="0" applyFont="1" applyFill="1" applyBorder="1" applyAlignment="1">
      <alignment horizontal="left" vertical="center" wrapText="1"/>
    </xf>
    <xf numFmtId="0" fontId="29" fillId="4" borderId="217" xfId="0" applyFont="1" applyFill="1" applyBorder="1" applyAlignment="1">
      <alignment horizontal="center" vertical="center" wrapText="1"/>
    </xf>
    <xf numFmtId="0" fontId="29" fillId="4" borderId="219" xfId="0" applyFont="1" applyFill="1" applyBorder="1" applyAlignment="1">
      <alignment horizontal="center" vertical="center" wrapText="1"/>
    </xf>
    <xf numFmtId="2" fontId="29" fillId="0" borderId="217" xfId="0" quotePrefix="1" applyNumberFormat="1" applyFont="1" applyBorder="1" applyAlignment="1">
      <alignment horizontal="center" vertical="center"/>
    </xf>
    <xf numFmtId="2" fontId="29" fillId="0" borderId="213" xfId="0" quotePrefix="1" applyNumberFormat="1" applyFont="1" applyBorder="1" applyAlignment="1">
      <alignment horizontal="center" vertical="center"/>
    </xf>
    <xf numFmtId="2" fontId="29" fillId="0" borderId="229" xfId="0" applyNumberFormat="1" applyFont="1" applyBorder="1" applyAlignment="1">
      <alignment horizontal="center" vertical="center"/>
    </xf>
    <xf numFmtId="2" fontId="29" fillId="0" borderId="219" xfId="0" quotePrefix="1" applyNumberFormat="1" applyFont="1" applyBorder="1" applyAlignment="1">
      <alignment horizontal="center" vertical="center"/>
    </xf>
    <xf numFmtId="0" fontId="20" fillId="6" borderId="0" xfId="1" applyFont="1" applyFill="1" applyBorder="1" applyAlignment="1">
      <alignment wrapText="1"/>
    </xf>
    <xf numFmtId="0" fontId="20" fillId="6" borderId="5" xfId="1" applyFont="1" applyFill="1" applyBorder="1" applyAlignment="1">
      <alignment wrapText="1"/>
    </xf>
    <xf numFmtId="0" fontId="19" fillId="6" borderId="197" xfId="1" applyFill="1" applyBorder="1"/>
    <xf numFmtId="0" fontId="20" fillId="6" borderId="198" xfId="1" applyFont="1" applyFill="1" applyBorder="1" applyAlignment="1">
      <alignment wrapText="1"/>
    </xf>
    <xf numFmtId="0" fontId="20" fillId="6" borderId="199" xfId="1" applyFont="1" applyFill="1" applyBorder="1" applyAlignment="1">
      <alignment wrapText="1"/>
    </xf>
    <xf numFmtId="0" fontId="20" fillId="6" borderId="8" xfId="1" applyFont="1" applyFill="1" applyBorder="1" applyAlignment="1">
      <alignment wrapText="1"/>
    </xf>
    <xf numFmtId="2" fontId="22" fillId="4" borderId="222" xfId="1" applyNumberFormat="1" applyFont="1" applyFill="1" applyBorder="1" applyAlignment="1">
      <alignment horizontal="center" vertical="center"/>
    </xf>
    <xf numFmtId="0" fontId="0" fillId="6" borderId="198" xfId="0" applyFill="1" applyBorder="1"/>
    <xf numFmtId="2" fontId="22" fillId="4" borderId="223" xfId="1" applyNumberFormat="1" applyFont="1" applyFill="1" applyBorder="1" applyAlignment="1">
      <alignment horizontal="center" vertical="center"/>
    </xf>
    <xf numFmtId="0" fontId="0" fillId="6" borderId="197" xfId="0" applyFill="1" applyBorder="1"/>
    <xf numFmtId="0" fontId="0" fillId="6" borderId="199" xfId="0" applyFill="1" applyBorder="1"/>
    <xf numFmtId="0" fontId="140" fillId="6" borderId="63" xfId="0" applyFont="1" applyFill="1" applyBorder="1" applyAlignment="1">
      <alignment vertical="center"/>
    </xf>
    <xf numFmtId="2" fontId="29" fillId="0" borderId="214" xfId="0" quotePrefix="1" applyNumberFormat="1" applyFont="1" applyBorder="1" applyAlignment="1">
      <alignment horizontal="center" vertical="center"/>
    </xf>
    <xf numFmtId="2" fontId="29" fillId="0" borderId="221" xfId="0" quotePrefix="1" applyNumberFormat="1" applyFont="1" applyBorder="1" applyAlignment="1">
      <alignment horizontal="center" vertical="center"/>
    </xf>
    <xf numFmtId="2" fontId="29" fillId="7" borderId="37" xfId="0" applyNumberFormat="1" applyFont="1" applyFill="1" applyBorder="1" applyAlignment="1">
      <alignment horizontal="center" vertical="center"/>
    </xf>
    <xf numFmtId="2" fontId="29" fillId="7" borderId="61" xfId="0" applyNumberFormat="1" applyFont="1" applyFill="1" applyBorder="1" applyAlignment="1">
      <alignment horizontal="center" vertical="center"/>
    </xf>
    <xf numFmtId="2" fontId="29" fillId="7" borderId="217" xfId="0" applyNumberFormat="1" applyFont="1" applyFill="1" applyBorder="1" applyAlignment="1">
      <alignment horizontal="center" vertical="center"/>
    </xf>
    <xf numFmtId="2" fontId="29" fillId="7" borderId="37" xfId="0" quotePrefix="1" applyNumberFormat="1" applyFont="1" applyFill="1" applyBorder="1" applyAlignment="1">
      <alignment horizontal="center" vertical="center"/>
    </xf>
    <xf numFmtId="2" fontId="29" fillId="7" borderId="39" xfId="0" quotePrefix="1" applyNumberFormat="1" applyFont="1" applyFill="1" applyBorder="1" applyAlignment="1">
      <alignment horizontal="center" vertical="center"/>
    </xf>
    <xf numFmtId="2" fontId="29" fillId="7" borderId="217" xfId="0" quotePrefix="1" applyNumberFormat="1" applyFont="1" applyFill="1" applyBorder="1" applyAlignment="1">
      <alignment horizontal="center" vertical="center"/>
    </xf>
    <xf numFmtId="2" fontId="29" fillId="7" borderId="219" xfId="0" quotePrefix="1" applyNumberFormat="1" applyFont="1" applyFill="1" applyBorder="1" applyAlignment="1">
      <alignment horizontal="center" vertical="center"/>
    </xf>
    <xf numFmtId="0" fontId="20" fillId="6" borderId="2" xfId="0" applyFont="1" applyFill="1" applyBorder="1" applyAlignment="1">
      <alignment vertical="center" wrapText="1"/>
    </xf>
    <xf numFmtId="0" fontId="20" fillId="6" borderId="0" xfId="0" applyFont="1" applyFill="1" applyBorder="1" applyAlignment="1">
      <alignment vertical="center" wrapText="1"/>
    </xf>
    <xf numFmtId="0" fontId="20" fillId="6" borderId="198" xfId="0" applyFont="1" applyFill="1" applyBorder="1" applyAlignment="1">
      <alignment vertical="center" wrapText="1"/>
    </xf>
    <xf numFmtId="0" fontId="20" fillId="6" borderId="199" xfId="0" applyFont="1" applyFill="1" applyBorder="1" applyAlignment="1">
      <alignment wrapText="1"/>
    </xf>
    <xf numFmtId="0" fontId="20" fillId="4" borderId="2" xfId="0" applyFont="1" applyFill="1" applyBorder="1" applyAlignment="1">
      <alignment vertical="center" wrapText="1"/>
    </xf>
    <xf numFmtId="0" fontId="20" fillId="4" borderId="3" xfId="0" applyFont="1" applyFill="1" applyBorder="1" applyAlignment="1">
      <alignment vertical="center" wrapText="1"/>
    </xf>
    <xf numFmtId="2" fontId="33" fillId="4" borderId="235" xfId="0" applyNumberFormat="1" applyFont="1" applyFill="1" applyBorder="1" applyAlignment="1">
      <alignment horizontal="center" vertical="center"/>
    </xf>
    <xf numFmtId="2" fontId="33" fillId="4" borderId="236" xfId="0" applyNumberFormat="1" applyFont="1" applyFill="1" applyBorder="1" applyAlignment="1">
      <alignment horizontal="center" vertical="center"/>
    </xf>
    <xf numFmtId="2" fontId="33" fillId="4" borderId="230" xfId="0" applyNumberFormat="1" applyFont="1" applyFill="1" applyBorder="1" applyAlignment="1">
      <alignment horizontal="center" vertical="center"/>
    </xf>
    <xf numFmtId="2" fontId="33" fillId="4" borderId="214" xfId="0" applyNumberFormat="1" applyFont="1" applyFill="1" applyBorder="1" applyAlignment="1">
      <alignment horizontal="center" vertical="center"/>
    </xf>
    <xf numFmtId="2" fontId="33" fillId="4" borderId="225" xfId="0" applyNumberFormat="1" applyFont="1" applyFill="1" applyBorder="1" applyAlignment="1">
      <alignment horizontal="center" vertical="center"/>
    </xf>
    <xf numFmtId="2" fontId="33" fillId="4" borderId="216" xfId="0" applyNumberFormat="1" applyFont="1" applyFill="1" applyBorder="1" applyAlignment="1">
      <alignment horizontal="center" vertical="center"/>
    </xf>
    <xf numFmtId="0" fontId="33" fillId="4" borderId="24" xfId="0" applyFont="1" applyFill="1" applyBorder="1" applyAlignment="1">
      <alignment horizontal="center" vertical="center" wrapText="1"/>
    </xf>
    <xf numFmtId="2" fontId="29" fillId="0" borderId="56" xfId="0" applyNumberFormat="1" applyFont="1" applyBorder="1" applyAlignment="1">
      <alignment horizontal="center" vertical="center"/>
    </xf>
    <xf numFmtId="2" fontId="29" fillId="0" borderId="222" xfId="0" applyNumberFormat="1" applyFont="1" applyFill="1" applyBorder="1" applyAlignment="1">
      <alignment horizontal="center" vertical="center"/>
    </xf>
    <xf numFmtId="2" fontId="29" fillId="0" borderId="216" xfId="0" applyNumberFormat="1" applyFont="1" applyFill="1" applyBorder="1" applyAlignment="1">
      <alignment horizontal="center" vertical="center"/>
    </xf>
    <xf numFmtId="2" fontId="29" fillId="0" borderId="146" xfId="0" applyNumberFormat="1" applyFont="1" applyFill="1" applyBorder="1" applyAlignment="1">
      <alignment horizontal="center" vertical="center"/>
    </xf>
    <xf numFmtId="2" fontId="29" fillId="0" borderId="151" xfId="0" applyNumberFormat="1" applyFont="1" applyFill="1" applyBorder="1" applyAlignment="1">
      <alignment horizontal="center" vertical="center"/>
    </xf>
    <xf numFmtId="2" fontId="29" fillId="0" borderId="148" xfId="0" applyNumberFormat="1" applyFont="1" applyFill="1" applyBorder="1" applyAlignment="1">
      <alignment horizontal="center" vertical="center"/>
    </xf>
    <xf numFmtId="2" fontId="29" fillId="0" borderId="65" xfId="0" applyNumberFormat="1" applyFont="1" applyBorder="1" applyAlignment="1">
      <alignment horizontal="center" vertical="center"/>
    </xf>
    <xf numFmtId="2" fontId="29" fillId="0" borderId="39" xfId="0" applyNumberFormat="1" applyFont="1" applyBorder="1" applyAlignment="1">
      <alignment horizontal="center" vertical="center"/>
    </xf>
    <xf numFmtId="0" fontId="20" fillId="0" borderId="0" xfId="0" applyFont="1" applyBorder="1"/>
    <xf numFmtId="0" fontId="140" fillId="0" borderId="2" xfId="0" applyFont="1" applyBorder="1" applyAlignment="1">
      <alignment horizontal="center" vertical="center"/>
    </xf>
    <xf numFmtId="2" fontId="140" fillId="0" borderId="2" xfId="0" applyNumberFormat="1" applyFont="1" applyBorder="1" applyAlignment="1">
      <alignment horizontal="center" vertical="center"/>
    </xf>
    <xf numFmtId="0" fontId="29" fillId="0" borderId="231" xfId="0" applyFont="1" applyFill="1" applyBorder="1" applyAlignment="1">
      <alignment horizontal="left" vertical="center" wrapText="1"/>
    </xf>
    <xf numFmtId="2" fontId="45" fillId="0" borderId="222" xfId="63" applyNumberFormat="1" applyFont="1" applyFill="1" applyBorder="1" applyAlignment="1">
      <alignment horizontal="center" vertical="center"/>
    </xf>
    <xf numFmtId="0" fontId="45" fillId="0" borderId="217" xfId="63" applyFont="1" applyFill="1" applyBorder="1" applyAlignment="1">
      <alignment horizontal="center" vertical="center" wrapText="1"/>
    </xf>
    <xf numFmtId="0" fontId="45" fillId="0" borderId="219" xfId="63" applyFont="1" applyFill="1" applyBorder="1" applyAlignment="1">
      <alignment horizontal="center" vertical="center" wrapText="1"/>
    </xf>
    <xf numFmtId="2" fontId="45" fillId="6" borderId="37" xfId="63" quotePrefix="1" applyNumberFormat="1" applyFont="1" applyFill="1" applyBorder="1" applyAlignment="1">
      <alignment horizontal="center" vertical="center" wrapText="1"/>
    </xf>
    <xf numFmtId="2" fontId="45" fillId="6" borderId="39" xfId="63" quotePrefix="1" applyNumberFormat="1" applyFont="1" applyFill="1" applyBorder="1" applyAlignment="1">
      <alignment horizontal="center" vertical="center" wrapText="1"/>
    </xf>
    <xf numFmtId="2" fontId="45" fillId="6" borderId="56" xfId="63" quotePrefix="1" applyNumberFormat="1" applyFont="1" applyFill="1" applyBorder="1" applyAlignment="1">
      <alignment horizontal="center" vertical="center" wrapText="1"/>
    </xf>
    <xf numFmtId="2" fontId="45" fillId="6" borderId="61" xfId="63" quotePrefix="1" applyNumberFormat="1" applyFont="1" applyFill="1" applyBorder="1" applyAlignment="1">
      <alignment horizontal="center" vertical="center" wrapText="1"/>
    </xf>
    <xf numFmtId="0" fontId="45" fillId="0" borderId="226" xfId="63" applyFont="1" applyFill="1" applyBorder="1" applyAlignment="1">
      <alignment horizontal="center" vertical="center"/>
    </xf>
    <xf numFmtId="2" fontId="45" fillId="0" borderId="214" xfId="63" quotePrefix="1" applyNumberFormat="1" applyFont="1" applyFill="1" applyBorder="1" applyAlignment="1">
      <alignment horizontal="center" vertical="center" wrapText="1"/>
    </xf>
    <xf numFmtId="2" fontId="45" fillId="0" borderId="216" xfId="63" quotePrefix="1" applyNumberFormat="1" applyFont="1" applyFill="1" applyBorder="1" applyAlignment="1">
      <alignment horizontal="center" vertical="center" wrapText="1"/>
    </xf>
    <xf numFmtId="2" fontId="45" fillId="0" borderId="221" xfId="63" applyNumberFormat="1" applyFont="1" applyFill="1" applyBorder="1" applyAlignment="1">
      <alignment horizontal="center" vertical="center"/>
    </xf>
    <xf numFmtId="2" fontId="45" fillId="0" borderId="222" xfId="63" quotePrefix="1" applyNumberFormat="1" applyFont="1" applyFill="1" applyBorder="1" applyAlignment="1">
      <alignment horizontal="center" vertical="center" wrapText="1"/>
    </xf>
    <xf numFmtId="2" fontId="45" fillId="0" borderId="221" xfId="63" quotePrefix="1" applyNumberFormat="1" applyFont="1" applyFill="1" applyBorder="1" applyAlignment="1">
      <alignment horizontal="center" vertical="center" wrapText="1"/>
    </xf>
    <xf numFmtId="0" fontId="45" fillId="0" borderId="214" xfId="63" applyFont="1" applyFill="1" applyBorder="1" applyAlignment="1">
      <alignment horizontal="center" vertical="center" wrapText="1"/>
    </xf>
    <xf numFmtId="0" fontId="45" fillId="0" borderId="216" xfId="63" applyFont="1" applyFill="1" applyBorder="1" applyAlignment="1">
      <alignment horizontal="center" vertical="center" wrapText="1"/>
    </xf>
    <xf numFmtId="0" fontId="45" fillId="0" borderId="222" xfId="63" applyFont="1" applyFill="1" applyBorder="1" applyAlignment="1">
      <alignment horizontal="center" vertical="center" wrapText="1"/>
    </xf>
    <xf numFmtId="2" fontId="29" fillId="7" borderId="224" xfId="0" applyNumberFormat="1" applyFont="1" applyFill="1" applyBorder="1" applyAlignment="1">
      <alignment horizontal="center" vertical="center"/>
    </xf>
    <xf numFmtId="0" fontId="19" fillId="0" borderId="215" xfId="0" applyFont="1" applyBorder="1" applyAlignment="1">
      <alignment horizontal="center" vertical="center"/>
    </xf>
    <xf numFmtId="2" fontId="0" fillId="0" borderId="215" xfId="0" applyNumberFormat="1" applyBorder="1" applyAlignment="1">
      <alignment horizontal="center" vertical="center"/>
    </xf>
    <xf numFmtId="0" fontId="0" fillId="0" borderId="215" xfId="0" applyBorder="1" applyAlignment="1">
      <alignment horizontal="center" vertical="center"/>
    </xf>
    <xf numFmtId="164" fontId="0" fillId="0" borderId="215" xfId="0" applyNumberFormat="1" applyBorder="1" applyAlignment="1">
      <alignment horizontal="center" vertical="center"/>
    </xf>
    <xf numFmtId="1" fontId="0" fillId="0" borderId="215" xfId="0" applyNumberFormat="1" applyBorder="1" applyAlignment="1">
      <alignment horizontal="center" vertical="center"/>
    </xf>
    <xf numFmtId="0" fontId="22" fillId="4" borderId="219" xfId="1" applyFont="1" applyFill="1" applyBorder="1" applyAlignment="1">
      <alignment horizontal="center" vertical="center"/>
    </xf>
    <xf numFmtId="2" fontId="22" fillId="4" borderId="219" xfId="1" applyNumberFormat="1" applyFont="1" applyFill="1" applyBorder="1" applyAlignment="1">
      <alignment horizontal="center" vertical="center"/>
    </xf>
    <xf numFmtId="2" fontId="22" fillId="4" borderId="56" xfId="1" applyNumberFormat="1" applyFont="1" applyFill="1" applyBorder="1" applyAlignment="1">
      <alignment horizontal="center" vertical="center"/>
    </xf>
    <xf numFmtId="0" fontId="22" fillId="4" borderId="223" xfId="1" applyFont="1" applyFill="1" applyBorder="1" applyAlignment="1">
      <alignment horizontal="center" vertical="center"/>
    </xf>
    <xf numFmtId="2" fontId="22" fillId="4" borderId="222" xfId="1" quotePrefix="1" applyNumberFormat="1" applyFont="1" applyFill="1" applyBorder="1" applyAlignment="1">
      <alignment horizontal="center" vertical="center"/>
    </xf>
    <xf numFmtId="2" fontId="22" fillId="4" borderId="223" xfId="1" quotePrefix="1" applyNumberFormat="1" applyFont="1" applyFill="1" applyBorder="1" applyAlignment="1">
      <alignment horizontal="center" vertical="center"/>
    </xf>
    <xf numFmtId="2" fontId="22" fillId="4" borderId="231" xfId="1" applyNumberFormat="1" applyFont="1" applyFill="1" applyBorder="1" applyAlignment="1">
      <alignment horizontal="center" vertical="center"/>
    </xf>
    <xf numFmtId="2" fontId="29" fillId="0" borderId="75" xfId="0" applyNumberFormat="1" applyFont="1" applyBorder="1" applyAlignment="1">
      <alignment horizontal="center" vertical="center"/>
    </xf>
    <xf numFmtId="2" fontId="29" fillId="4" borderId="16" xfId="0" applyNumberFormat="1" applyFont="1" applyFill="1" applyBorder="1" applyAlignment="1">
      <alignment horizontal="center" vertical="center" wrapText="1"/>
    </xf>
    <xf numFmtId="2" fontId="29" fillId="4" borderId="31" xfId="0" applyNumberFormat="1" applyFont="1" applyFill="1" applyBorder="1" applyAlignment="1">
      <alignment horizontal="center" vertical="center" wrapText="1"/>
    </xf>
    <xf numFmtId="2" fontId="29" fillId="0" borderId="217" xfId="0" quotePrefix="1" applyNumberFormat="1" applyFont="1" applyFill="1" applyBorder="1" applyAlignment="1">
      <alignment horizontal="center" vertical="center"/>
    </xf>
    <xf numFmtId="2" fontId="29" fillId="0" borderId="213" xfId="0" quotePrefix="1" applyNumberFormat="1" applyFont="1" applyFill="1" applyBorder="1" applyAlignment="1">
      <alignment horizontal="center" vertical="center"/>
    </xf>
    <xf numFmtId="2" fontId="29" fillId="4" borderId="37" xfId="0" applyNumberFormat="1" applyFont="1" applyFill="1" applyBorder="1" applyAlignment="1">
      <alignment horizontal="center" vertical="center" wrapText="1"/>
    </xf>
    <xf numFmtId="2" fontId="29" fillId="4" borderId="54" xfId="0" applyNumberFormat="1" applyFont="1" applyFill="1" applyBorder="1" applyAlignment="1">
      <alignment horizontal="center" vertical="center" wrapText="1"/>
    </xf>
    <xf numFmtId="0" fontId="20" fillId="6" borderId="54" xfId="0" applyFont="1" applyFill="1" applyBorder="1"/>
    <xf numFmtId="0" fontId="20" fillId="6" borderId="51" xfId="0" applyFont="1" applyFill="1" applyBorder="1"/>
    <xf numFmtId="2" fontId="29" fillId="4" borderId="214" xfId="0" applyNumberFormat="1" applyFont="1" applyFill="1" applyBorder="1" applyAlignment="1">
      <alignment horizontal="center" vertical="center" wrapText="1"/>
    </xf>
    <xf numFmtId="2" fontId="29" fillId="4" borderId="220" xfId="0" applyNumberFormat="1" applyFont="1" applyFill="1" applyBorder="1" applyAlignment="1">
      <alignment horizontal="center" vertical="center" wrapText="1"/>
    </xf>
    <xf numFmtId="0" fontId="140" fillId="0" borderId="0" xfId="0" applyFont="1" applyBorder="1" applyAlignment="1">
      <alignment horizontal="center" vertical="center"/>
    </xf>
    <xf numFmtId="2" fontId="140" fillId="0" borderId="0" xfId="0" applyNumberFormat="1" applyFont="1" applyBorder="1" applyAlignment="1">
      <alignment horizontal="center" vertical="center"/>
    </xf>
    <xf numFmtId="2" fontId="29" fillId="0" borderId="214" xfId="0" applyNumberFormat="1" applyFont="1" applyFill="1" applyBorder="1" applyAlignment="1">
      <alignment horizontal="center" vertical="center"/>
    </xf>
    <xf numFmtId="2" fontId="29" fillId="0" borderId="220" xfId="0" applyNumberFormat="1" applyFont="1" applyFill="1" applyBorder="1" applyAlignment="1">
      <alignment horizontal="center" vertical="center"/>
    </xf>
    <xf numFmtId="0" fontId="20" fillId="6" borderId="197" xfId="0" applyFont="1" applyFill="1" applyBorder="1"/>
    <xf numFmtId="0" fontId="20" fillId="6" borderId="199" xfId="0" applyFont="1" applyFill="1" applyBorder="1"/>
    <xf numFmtId="0" fontId="21" fillId="4" borderId="215" xfId="0" applyFont="1" applyFill="1" applyBorder="1" applyAlignment="1">
      <alignment horizontal="center" vertical="center"/>
    </xf>
    <xf numFmtId="1" fontId="29" fillId="4" borderId="214" xfId="0" applyNumberFormat="1" applyFont="1" applyFill="1" applyBorder="1" applyAlignment="1">
      <alignment horizontal="center" vertical="center" wrapText="1"/>
    </xf>
    <xf numFmtId="1" fontId="29" fillId="4" borderId="220" xfId="0" applyNumberFormat="1" applyFont="1" applyFill="1" applyBorder="1" applyAlignment="1">
      <alignment horizontal="center" vertical="center" wrapText="1"/>
    </xf>
    <xf numFmtId="2" fontId="29" fillId="0" borderId="32" xfId="0" applyNumberFormat="1" applyFont="1" applyBorder="1" applyAlignment="1">
      <alignment horizontal="center" vertical="center"/>
    </xf>
    <xf numFmtId="2" fontId="29" fillId="0" borderId="67" xfId="0" applyNumberFormat="1" applyFont="1" applyBorder="1" applyAlignment="1">
      <alignment horizontal="center" vertical="center"/>
    </xf>
    <xf numFmtId="1" fontId="29" fillId="4" borderId="37" xfId="0" applyNumberFormat="1" applyFont="1" applyFill="1" applyBorder="1" applyAlignment="1">
      <alignment horizontal="center" vertical="center" wrapText="1"/>
    </xf>
    <xf numFmtId="1" fontId="29" fillId="4" borderId="54" xfId="0" applyNumberFormat="1" applyFont="1" applyFill="1" applyBorder="1" applyAlignment="1">
      <alignment horizontal="center" vertical="center" wrapText="1"/>
    </xf>
    <xf numFmtId="0" fontId="29" fillId="0" borderId="228" xfId="0" applyFont="1" applyFill="1" applyBorder="1" applyAlignment="1">
      <alignment horizontal="left" vertical="center" wrapText="1"/>
    </xf>
    <xf numFmtId="0" fontId="29" fillId="0" borderId="234" xfId="0" applyFont="1" applyFill="1" applyBorder="1" applyAlignment="1">
      <alignment horizontal="left" vertical="center" wrapText="1"/>
    </xf>
    <xf numFmtId="0" fontId="29" fillId="4" borderId="235" xfId="0" applyFont="1" applyFill="1" applyBorder="1" applyAlignment="1">
      <alignment horizontal="center" vertical="center" wrapText="1"/>
    </xf>
    <xf numFmtId="0" fontId="29" fillId="4" borderId="240" xfId="0" applyFont="1" applyFill="1" applyBorder="1" applyAlignment="1">
      <alignment horizontal="center" vertical="center" wrapText="1"/>
    </xf>
    <xf numFmtId="1" fontId="33" fillId="4" borderId="15" xfId="0" applyNumberFormat="1" applyFont="1" applyFill="1" applyBorder="1" applyAlignment="1">
      <alignment horizontal="center" vertical="center" wrapText="1"/>
    </xf>
    <xf numFmtId="1" fontId="33" fillId="4" borderId="209" xfId="0" applyNumberFormat="1" applyFont="1" applyFill="1" applyBorder="1" applyAlignment="1">
      <alignment horizontal="center" vertical="center" wrapText="1"/>
    </xf>
    <xf numFmtId="1" fontId="33" fillId="4" borderId="38" xfId="0" applyNumberFormat="1" applyFont="1" applyFill="1" applyBorder="1" applyAlignment="1">
      <alignment horizontal="center" vertical="center" wrapText="1"/>
    </xf>
    <xf numFmtId="2" fontId="45" fillId="6" borderId="125" xfId="63" applyNumberFormat="1" applyFont="1" applyFill="1" applyBorder="1" applyAlignment="1">
      <alignment horizontal="center" vertical="center" wrapText="1"/>
    </xf>
    <xf numFmtId="2" fontId="45" fillId="6" borderId="117" xfId="63" applyNumberFormat="1" applyFont="1" applyFill="1" applyBorder="1" applyAlignment="1">
      <alignment horizontal="center" vertical="center" wrapText="1"/>
    </xf>
    <xf numFmtId="0" fontId="19" fillId="0" borderId="0" xfId="0" applyFont="1" applyFill="1" applyAlignment="1">
      <alignment wrapText="1"/>
    </xf>
    <xf numFmtId="10" fontId="0" fillId="0" borderId="0" xfId="0" applyNumberFormat="1" applyFill="1"/>
    <xf numFmtId="167" fontId="34" fillId="0" borderId="0" xfId="1" applyNumberFormat="1" applyFont="1" applyFill="1" applyBorder="1" applyAlignment="1">
      <alignment horizontal="center" vertical="center" wrapText="1"/>
    </xf>
    <xf numFmtId="0" fontId="29" fillId="4" borderId="226" xfId="0" applyFont="1" applyFill="1" applyBorder="1" applyAlignment="1">
      <alignment horizontal="left" vertical="center" wrapText="1"/>
    </xf>
    <xf numFmtId="0" fontId="29" fillId="4" borderId="216" xfId="0" applyFont="1" applyFill="1" applyBorder="1" applyAlignment="1">
      <alignment horizontal="center" vertical="center" wrapText="1"/>
    </xf>
    <xf numFmtId="0" fontId="0" fillId="0" borderId="0" xfId="0" applyAlignment="1">
      <alignment horizontal="center"/>
    </xf>
    <xf numFmtId="0" fontId="0" fillId="0" borderId="101" xfId="0" quotePrefix="1" applyBorder="1" applyAlignment="1">
      <alignment horizontal="left"/>
    </xf>
    <xf numFmtId="164" fontId="45" fillId="42" borderId="16" xfId="63" quotePrefix="1" applyNumberFormat="1" applyFont="1" applyFill="1" applyBorder="1" applyAlignment="1">
      <alignment horizontal="center" vertical="center" wrapText="1"/>
    </xf>
    <xf numFmtId="164" fontId="45" fillId="42" borderId="17" xfId="63" quotePrefix="1" applyNumberFormat="1" applyFont="1" applyFill="1" applyBorder="1" applyAlignment="1">
      <alignment horizontal="center" vertical="center" wrapText="1"/>
    </xf>
    <xf numFmtId="164" fontId="45" fillId="73" borderId="16" xfId="63" quotePrefix="1" applyNumberFormat="1" applyFont="1" applyFill="1" applyBorder="1" applyAlignment="1">
      <alignment horizontal="center" vertical="center" wrapText="1"/>
    </xf>
    <xf numFmtId="164" fontId="45" fillId="73" borderId="17" xfId="63" quotePrefix="1" applyNumberFormat="1" applyFont="1" applyFill="1" applyBorder="1" applyAlignment="1">
      <alignment horizontal="center" vertical="center" wrapText="1"/>
    </xf>
    <xf numFmtId="164" fontId="45" fillId="6" borderId="16" xfId="63" quotePrefix="1" applyNumberFormat="1" applyFont="1" applyFill="1" applyBorder="1" applyAlignment="1">
      <alignment horizontal="center" vertical="center" wrapText="1"/>
    </xf>
    <xf numFmtId="164" fontId="45" fillId="6" borderId="17" xfId="63" quotePrefix="1" applyNumberFormat="1" applyFont="1" applyFill="1" applyBorder="1" applyAlignment="1">
      <alignment horizontal="center" vertical="center" wrapText="1"/>
    </xf>
    <xf numFmtId="0" fontId="106" fillId="0" borderId="0" xfId="0" applyFont="1"/>
    <xf numFmtId="0" fontId="217" fillId="0" borderId="222" xfId="20889" applyFont="1" applyBorder="1" applyAlignment="1">
      <alignment horizontal="right" vertical="center" wrapText="1"/>
    </xf>
    <xf numFmtId="0" fontId="217" fillId="0" borderId="239" xfId="20889" applyFont="1" applyBorder="1" applyAlignment="1">
      <alignment vertical="center" wrapText="1"/>
    </xf>
    <xf numFmtId="0" fontId="217" fillId="0" borderId="38" xfId="20889" applyFont="1" applyBorder="1" applyAlignment="1">
      <alignment vertical="center" wrapText="1"/>
    </xf>
    <xf numFmtId="0" fontId="226" fillId="0" borderId="215" xfId="0" applyFont="1" applyBorder="1" applyAlignment="1">
      <alignment vertical="center"/>
    </xf>
    <xf numFmtId="2" fontId="217" fillId="0" borderId="209" xfId="0" applyNumberFormat="1" applyFont="1" applyBorder="1" applyAlignment="1">
      <alignment horizontal="right" vertical="center"/>
    </xf>
    <xf numFmtId="2" fontId="217" fillId="0" borderId="215" xfId="0" applyNumberFormat="1" applyFont="1" applyBorder="1" applyAlignment="1">
      <alignment horizontal="right" vertical="center"/>
    </xf>
    <xf numFmtId="1" fontId="45" fillId="42" borderId="16" xfId="63" applyNumberFormat="1" applyFont="1" applyFill="1" applyBorder="1" applyAlignment="1">
      <alignment horizontal="center" vertical="center" wrapText="1"/>
    </xf>
    <xf numFmtId="1" fontId="45" fillId="73" borderId="16" xfId="63" applyNumberFormat="1" applyFont="1" applyFill="1" applyBorder="1" applyAlignment="1">
      <alignment horizontal="center" vertical="center" wrapText="1"/>
    </xf>
    <xf numFmtId="0" fontId="45" fillId="0" borderId="126" xfId="63" applyFont="1" applyFill="1" applyBorder="1" applyAlignment="1">
      <alignment horizontal="center" vertical="center" wrapText="1"/>
    </xf>
    <xf numFmtId="0" fontId="45" fillId="0" borderId="15" xfId="63" applyFont="1" applyFill="1" applyBorder="1" applyAlignment="1">
      <alignment horizontal="center" vertical="center"/>
    </xf>
    <xf numFmtId="1" fontId="45" fillId="0" borderId="41" xfId="63" applyNumberFormat="1" applyFont="1" applyFill="1" applyBorder="1" applyAlignment="1">
      <alignment horizontal="center" vertical="center" wrapText="1"/>
    </xf>
    <xf numFmtId="1" fontId="45" fillId="0" borderId="23" xfId="63" applyNumberFormat="1" applyFont="1" applyFill="1" applyBorder="1" applyAlignment="1">
      <alignment horizontal="center" vertical="center" wrapText="1"/>
    </xf>
    <xf numFmtId="1" fontId="45" fillId="0" borderId="19" xfId="63" applyNumberFormat="1" applyFont="1" applyFill="1" applyBorder="1" applyAlignment="1">
      <alignment horizontal="center" vertical="center" wrapText="1"/>
    </xf>
    <xf numFmtId="1" fontId="45" fillId="0" borderId="20" xfId="63" applyNumberFormat="1" applyFont="1" applyFill="1" applyBorder="1" applyAlignment="1">
      <alignment horizontal="center" vertical="center" wrapText="1"/>
    </xf>
    <xf numFmtId="1" fontId="45" fillId="6" borderId="38" xfId="63" applyNumberFormat="1" applyFont="1" applyFill="1" applyBorder="1" applyAlignment="1">
      <alignment horizontal="center" vertical="center" wrapText="1"/>
    </xf>
    <xf numFmtId="1" fontId="45" fillId="6" borderId="39" xfId="63" applyNumberFormat="1" applyFont="1" applyFill="1" applyBorder="1" applyAlignment="1">
      <alignment horizontal="center" vertical="center" wrapText="1"/>
    </xf>
    <xf numFmtId="1" fontId="45" fillId="6" borderId="58" xfId="63" applyNumberFormat="1" applyFont="1" applyFill="1" applyBorder="1" applyAlignment="1">
      <alignment horizontal="center" vertical="center" wrapText="1"/>
    </xf>
    <xf numFmtId="1" fontId="45" fillId="6" borderId="50" xfId="63" applyNumberFormat="1" applyFont="1" applyFill="1" applyBorder="1" applyAlignment="1">
      <alignment horizontal="center" vertical="center" wrapText="1"/>
    </xf>
    <xf numFmtId="1" fontId="45" fillId="6" borderId="218" xfId="63" applyNumberFormat="1" applyFont="1" applyFill="1" applyBorder="1" applyAlignment="1">
      <alignment horizontal="center" vertical="center" wrapText="1"/>
    </xf>
    <xf numFmtId="1" fontId="45" fillId="6" borderId="219" xfId="63" applyNumberFormat="1" applyFont="1" applyFill="1" applyBorder="1" applyAlignment="1">
      <alignment horizontal="center" vertical="center" wrapText="1"/>
    </xf>
    <xf numFmtId="1" fontId="45" fillId="0" borderId="38" xfId="63" applyNumberFormat="1" applyFont="1" applyFill="1" applyBorder="1" applyAlignment="1">
      <alignment horizontal="center" vertical="center" wrapText="1"/>
    </xf>
    <xf numFmtId="1" fontId="45" fillId="0" borderId="39" xfId="63" applyNumberFormat="1" applyFont="1" applyFill="1" applyBorder="1" applyAlignment="1">
      <alignment horizontal="center" vertical="center" wrapText="1"/>
    </xf>
    <xf numFmtId="1" fontId="45" fillId="0" borderId="58" xfId="63" applyNumberFormat="1" applyFont="1" applyFill="1" applyBorder="1" applyAlignment="1">
      <alignment horizontal="center" vertical="center" wrapText="1"/>
    </xf>
    <xf numFmtId="1" fontId="45" fillId="0" borderId="50" xfId="63" applyNumberFormat="1" applyFont="1" applyFill="1" applyBorder="1" applyAlignment="1">
      <alignment horizontal="center" vertical="center" wrapText="1"/>
    </xf>
    <xf numFmtId="0" fontId="21" fillId="0" borderId="0" xfId="1" applyFont="1" applyFill="1" applyBorder="1" applyAlignment="1">
      <alignment horizontal="center" vertical="center"/>
    </xf>
    <xf numFmtId="0" fontId="22" fillId="4" borderId="74" xfId="1" applyFont="1" applyFill="1" applyBorder="1" applyAlignment="1">
      <alignment horizontal="center" vertical="center"/>
    </xf>
    <xf numFmtId="0" fontId="22" fillId="4" borderId="27" xfId="1" applyFont="1" applyFill="1" applyBorder="1" applyAlignment="1">
      <alignment horizontal="center" vertical="center"/>
    </xf>
    <xf numFmtId="0" fontId="22" fillId="6" borderId="0" xfId="1" applyFont="1" applyFill="1" applyBorder="1" applyAlignment="1">
      <alignment horizontal="center" vertical="center"/>
    </xf>
    <xf numFmtId="0" fontId="22" fillId="4" borderId="233" xfId="1" applyFont="1" applyFill="1" applyBorder="1" applyAlignment="1">
      <alignment horizontal="center" vertical="center"/>
    </xf>
    <xf numFmtId="0" fontId="22" fillId="4" borderId="231" xfId="1" applyFont="1" applyFill="1" applyBorder="1" applyAlignment="1">
      <alignment horizontal="center" vertical="center"/>
    </xf>
    <xf numFmtId="2" fontId="19" fillId="85" borderId="145" xfId="4" applyNumberFormat="1" applyFont="1" applyFill="1" applyBorder="1" applyAlignment="1" applyProtection="1">
      <alignment horizontal="center" vertical="center" wrapText="1"/>
      <protection locked="0"/>
    </xf>
    <xf numFmtId="43" fontId="19" fillId="85" borderId="23" xfId="4" applyFont="1" applyFill="1" applyBorder="1" applyAlignment="1" applyProtection="1">
      <alignment vertical="center" wrapText="1"/>
      <protection locked="0"/>
    </xf>
    <xf numFmtId="0" fontId="88" fillId="35" borderId="200" xfId="10201" applyBorder="1">
      <alignment horizontal="center"/>
    </xf>
    <xf numFmtId="0" fontId="88" fillId="35" borderId="241" xfId="10201" applyBorder="1" applyAlignment="1">
      <alignment horizontal="left"/>
    </xf>
    <xf numFmtId="0" fontId="88" fillId="35" borderId="215" xfId="10201" applyBorder="1" applyAlignment="1">
      <alignment horizontal="left"/>
    </xf>
    <xf numFmtId="0" fontId="87" fillId="35" borderId="242" xfId="10204" applyBorder="1" applyAlignment="1">
      <alignment horizontal="left"/>
    </xf>
    <xf numFmtId="0" fontId="88" fillId="35" borderId="244" xfId="10201" applyBorder="1" applyAlignment="1">
      <alignment horizontal="left"/>
    </xf>
    <xf numFmtId="0" fontId="87" fillId="35" borderId="245" xfId="10204" applyBorder="1">
      <alignment horizontal="center"/>
    </xf>
    <xf numFmtId="0" fontId="87" fillId="35" borderId="236" xfId="10204" applyBorder="1">
      <alignment horizontal="center"/>
    </xf>
    <xf numFmtId="0" fontId="87" fillId="35" borderId="246" xfId="10204" applyBorder="1">
      <alignment horizontal="center"/>
    </xf>
    <xf numFmtId="49" fontId="87" fillId="33" borderId="247" xfId="10198" applyBorder="1">
      <alignment horizontal="center"/>
    </xf>
    <xf numFmtId="49" fontId="87" fillId="33" borderId="236" xfId="10198" applyBorder="1">
      <alignment horizontal="center"/>
    </xf>
    <xf numFmtId="49" fontId="87" fillId="33" borderId="246" xfId="10198" applyBorder="1">
      <alignment horizontal="center"/>
    </xf>
    <xf numFmtId="0" fontId="0" fillId="0" borderId="0" xfId="0" quotePrefix="1" applyBorder="1" applyAlignment="1">
      <alignment horizontal="left"/>
    </xf>
    <xf numFmtId="0" fontId="0" fillId="0" borderId="102" xfId="0" quotePrefix="1" applyBorder="1" applyAlignment="1">
      <alignment horizontal="left"/>
    </xf>
    <xf numFmtId="204" fontId="0" fillId="0" borderId="0" xfId="0" applyNumberFormat="1" applyBorder="1" applyAlignment="1">
      <alignment horizontal="right"/>
    </xf>
    <xf numFmtId="201" fontId="0" fillId="0" borderId="0" xfId="0" applyNumberFormat="1" applyBorder="1" applyAlignment="1">
      <alignment horizontal="right"/>
    </xf>
    <xf numFmtId="213" fontId="0" fillId="0" borderId="0" xfId="0" applyNumberFormat="1" applyBorder="1" applyAlignment="1">
      <alignment horizontal="right"/>
    </xf>
    <xf numFmtId="0" fontId="0" fillId="0" borderId="101" xfId="0" applyBorder="1" applyAlignment="1">
      <alignment horizontal="center"/>
    </xf>
    <xf numFmtId="202" fontId="0" fillId="0" borderId="0" xfId="0" applyNumberFormat="1" applyBorder="1" applyAlignment="1">
      <alignment horizontal="right"/>
    </xf>
    <xf numFmtId="205" fontId="0" fillId="0" borderId="0" xfId="0" applyNumberFormat="1" applyBorder="1" applyAlignment="1">
      <alignment horizontal="right"/>
    </xf>
    <xf numFmtId="203" fontId="0" fillId="0" borderId="0" xfId="0" applyNumberFormat="1" applyBorder="1" applyAlignment="1">
      <alignment horizontal="right"/>
    </xf>
    <xf numFmtId="206" fontId="0" fillId="0" borderId="0" xfId="0" applyNumberFormat="1" applyBorder="1" applyAlignment="1">
      <alignment horizontal="right"/>
    </xf>
    <xf numFmtId="200" fontId="0" fillId="0" borderId="0" xfId="0" applyNumberFormat="1" applyBorder="1" applyAlignment="1">
      <alignment horizontal="right"/>
    </xf>
    <xf numFmtId="0" fontId="0" fillId="0" borderId="103" xfId="0" applyBorder="1" applyAlignment="1">
      <alignment horizontal="center"/>
    </xf>
    <xf numFmtId="0" fontId="45" fillId="0" borderId="25" xfId="63" applyFont="1" applyBorder="1" applyAlignment="1">
      <alignment horizontal="center" vertical="center" wrapText="1"/>
    </xf>
    <xf numFmtId="0" fontId="45" fillId="0" borderId="15" xfId="63" applyFont="1" applyBorder="1" applyAlignment="1">
      <alignment horizontal="center" vertical="center" wrapText="1"/>
    </xf>
    <xf numFmtId="0" fontId="45" fillId="0" borderId="126" xfId="63" applyFont="1" applyBorder="1" applyAlignment="1">
      <alignment horizontal="center" vertical="center" wrapText="1"/>
    </xf>
    <xf numFmtId="1" fontId="45" fillId="0" borderId="117" xfId="63" applyNumberFormat="1" applyFont="1" applyFill="1" applyBorder="1" applyAlignment="1">
      <alignment horizontal="center" vertical="center" wrapText="1"/>
    </xf>
    <xf numFmtId="0" fontId="45" fillId="6" borderId="25" xfId="63" applyFont="1" applyFill="1" applyBorder="1" applyAlignment="1">
      <alignment horizontal="center" vertical="center" wrapText="1"/>
    </xf>
    <xf numFmtId="0" fontId="45" fillId="6" borderId="126" xfId="63" applyFont="1" applyFill="1" applyBorder="1" applyAlignment="1">
      <alignment horizontal="center" vertical="center" wrapText="1"/>
    </xf>
    <xf numFmtId="1" fontId="45" fillId="6" borderId="117" xfId="63" applyNumberFormat="1" applyFont="1" applyFill="1" applyBorder="1" applyAlignment="1">
      <alignment horizontal="center" vertical="center" wrapText="1"/>
    </xf>
    <xf numFmtId="0" fontId="45" fillId="3" borderId="25" xfId="63" applyFont="1" applyFill="1" applyBorder="1" applyAlignment="1">
      <alignment horizontal="center" vertical="center" wrapText="1"/>
    </xf>
    <xf numFmtId="0" fontId="45" fillId="3" borderId="126" xfId="63" applyFont="1" applyFill="1" applyBorder="1" applyAlignment="1">
      <alignment horizontal="center" vertical="center" wrapText="1"/>
    </xf>
    <xf numFmtId="0" fontId="21" fillId="6" borderId="0" xfId="1" applyFont="1" applyFill="1" applyBorder="1" applyAlignment="1">
      <alignment horizontal="center" vertical="center"/>
    </xf>
    <xf numFmtId="0" fontId="21" fillId="6" borderId="2" xfId="1" applyFont="1" applyFill="1" applyBorder="1" applyAlignment="1">
      <alignment horizontal="center" vertical="center"/>
    </xf>
    <xf numFmtId="0" fontId="33" fillId="6" borderId="4" xfId="1" applyFont="1" applyFill="1" applyBorder="1"/>
    <xf numFmtId="0" fontId="33" fillId="6" borderId="0" xfId="1" applyFont="1" applyFill="1" applyBorder="1"/>
    <xf numFmtId="0" fontId="33" fillId="6" borderId="5" xfId="1" applyFont="1" applyFill="1" applyBorder="1"/>
    <xf numFmtId="0" fontId="33" fillId="6" borderId="0" xfId="1" applyFont="1" applyFill="1" applyBorder="1" applyAlignment="1">
      <alignment vertical="center"/>
    </xf>
    <xf numFmtId="0" fontId="34" fillId="6" borderId="0" xfId="1" applyFont="1" applyFill="1" applyBorder="1" applyAlignment="1">
      <alignment horizontal="center" vertical="center"/>
    </xf>
    <xf numFmtId="0" fontId="33" fillId="6" borderId="0" xfId="1" applyFont="1" applyFill="1" applyBorder="1" applyAlignment="1">
      <alignment horizontal="center" vertical="center"/>
    </xf>
    <xf numFmtId="0" fontId="43" fillId="6" borderId="0" xfId="1" applyFont="1" applyFill="1" applyBorder="1" applyAlignment="1">
      <alignment horizontal="right"/>
    </xf>
    <xf numFmtId="0" fontId="22" fillId="6" borderId="0" xfId="1" applyFont="1" applyFill="1" applyBorder="1" applyAlignment="1">
      <alignment horizontal="right" vertical="center"/>
    </xf>
    <xf numFmtId="0" fontId="22" fillId="6" borderId="0" xfId="1" applyFont="1" applyFill="1" applyBorder="1" applyAlignment="1">
      <alignment horizontal="left" vertical="center"/>
    </xf>
    <xf numFmtId="0" fontId="22" fillId="6" borderId="0" xfId="1" quotePrefix="1" applyFont="1" applyFill="1" applyBorder="1" applyAlignment="1">
      <alignment vertical="center" wrapText="1"/>
    </xf>
    <xf numFmtId="0" fontId="22" fillId="6" borderId="0" xfId="1" quotePrefix="1" applyFont="1" applyFill="1" applyBorder="1" applyAlignment="1">
      <alignment horizontal="right" vertical="center" wrapText="1"/>
    </xf>
    <xf numFmtId="165" fontId="34" fillId="6" borderId="0" xfId="1" applyNumberFormat="1" applyFont="1" applyFill="1" applyBorder="1" applyAlignment="1">
      <alignment horizontal="center" vertical="center"/>
    </xf>
    <xf numFmtId="0" fontId="33" fillId="6" borderId="1" xfId="1" applyFont="1" applyFill="1" applyBorder="1"/>
    <xf numFmtId="0" fontId="34" fillId="6" borderId="2" xfId="1" applyFont="1" applyFill="1" applyBorder="1" applyAlignment="1">
      <alignment horizontal="center" vertical="center"/>
    </xf>
    <xf numFmtId="0" fontId="33" fillId="6" borderId="3" xfId="1" applyFont="1" applyFill="1" applyBorder="1"/>
    <xf numFmtId="0" fontId="20" fillId="6" borderId="0" xfId="1" applyFont="1" applyFill="1" applyBorder="1" applyAlignment="1">
      <alignment horizontal="center"/>
    </xf>
    <xf numFmtId="0" fontId="20" fillId="6" borderId="199" xfId="1" applyFont="1" applyFill="1" applyBorder="1"/>
    <xf numFmtId="0" fontId="33" fillId="6" borderId="197" xfId="1" applyFont="1" applyFill="1" applyBorder="1"/>
    <xf numFmtId="0" fontId="33" fillId="6" borderId="198" xfId="1" applyFont="1" applyFill="1" applyBorder="1"/>
    <xf numFmtId="0" fontId="33" fillId="6" borderId="198" xfId="1" applyFont="1" applyFill="1" applyBorder="1" applyAlignment="1">
      <alignment horizontal="center"/>
    </xf>
    <xf numFmtId="0" fontId="33" fillId="6" borderId="199" xfId="1" applyFont="1" applyFill="1" applyBorder="1"/>
    <xf numFmtId="0" fontId="20" fillId="6" borderId="198" xfId="1" applyFont="1" applyFill="1" applyBorder="1" applyAlignment="1">
      <alignment horizontal="center"/>
    </xf>
    <xf numFmtId="0" fontId="22" fillId="0" borderId="0" xfId="1" applyFont="1" applyBorder="1" applyAlignment="1">
      <alignment horizontal="center"/>
    </xf>
    <xf numFmtId="0" fontId="22" fillId="0" borderId="0" xfId="1" applyFont="1" applyBorder="1"/>
    <xf numFmtId="0" fontId="22" fillId="0" borderId="5" xfId="1" applyFont="1" applyBorder="1"/>
    <xf numFmtId="0" fontId="22" fillId="0" borderId="4" xfId="1" applyFont="1" applyBorder="1"/>
    <xf numFmtId="0" fontId="227" fillId="0" borderId="4" xfId="1" applyFont="1" applyBorder="1"/>
    <xf numFmtId="0" fontId="227" fillId="0" borderId="0" xfId="1194" applyFont="1" applyBorder="1" applyAlignment="1">
      <alignment horizontal="left" vertical="center"/>
    </xf>
    <xf numFmtId="0" fontId="22" fillId="0" borderId="0" xfId="1194" applyFont="1" applyBorder="1"/>
    <xf numFmtId="164" fontId="227" fillId="0" borderId="0" xfId="1194" applyNumberFormat="1" applyFont="1" applyBorder="1" applyAlignment="1">
      <alignment horizontal="center"/>
    </xf>
    <xf numFmtId="0" fontId="228" fillId="0" borderId="5" xfId="10628" applyFont="1" applyBorder="1" applyAlignment="1">
      <alignment vertical="top"/>
    </xf>
    <xf numFmtId="0" fontId="22" fillId="0" borderId="6" xfId="1" applyFont="1" applyBorder="1"/>
    <xf numFmtId="0" fontId="22" fillId="0" borderId="7" xfId="1" applyFont="1" applyBorder="1" applyAlignment="1">
      <alignment horizontal="center"/>
    </xf>
    <xf numFmtId="0" fontId="22" fillId="0" borderId="7" xfId="1" applyFont="1" applyBorder="1"/>
    <xf numFmtId="0" fontId="22" fillId="0" borderId="8" xfId="1" applyFont="1" applyBorder="1"/>
    <xf numFmtId="0" fontId="21" fillId="0" borderId="4" xfId="1" applyFont="1" applyFill="1" applyBorder="1"/>
    <xf numFmtId="0" fontId="22" fillId="0" borderId="0" xfId="1" applyFont="1" applyFill="1" applyBorder="1" applyAlignment="1">
      <alignment horizontal="center"/>
    </xf>
    <xf numFmtId="0" fontId="22" fillId="0" borderId="0" xfId="1" applyFont="1" applyFill="1" applyBorder="1"/>
    <xf numFmtId="0" fontId="22" fillId="0" borderId="5" xfId="1" applyFont="1" applyFill="1" applyBorder="1"/>
    <xf numFmtId="0" fontId="22" fillId="0" borderId="6" xfId="1" applyFont="1" applyFill="1" applyBorder="1"/>
    <xf numFmtId="0" fontId="22" fillId="0" borderId="7" xfId="1" applyFont="1" applyFill="1" applyBorder="1" applyAlignment="1">
      <alignment horizontal="center"/>
    </xf>
    <xf numFmtId="0" fontId="22" fillId="0" borderId="7" xfId="1" applyFont="1" applyFill="1" applyBorder="1"/>
    <xf numFmtId="0" fontId="22" fillId="0" borderId="8" xfId="1" applyFont="1" applyFill="1" applyBorder="1"/>
    <xf numFmtId="2" fontId="33" fillId="0" borderId="215" xfId="1" quotePrefix="1" applyNumberFormat="1" applyFont="1" applyFill="1" applyBorder="1" applyAlignment="1">
      <alignment horizontal="center" vertical="center"/>
    </xf>
    <xf numFmtId="164" fontId="33" fillId="0" borderId="216" xfId="1" applyNumberFormat="1" applyFont="1" applyFill="1" applyBorder="1" applyAlignment="1">
      <alignment horizontal="center" vertical="center"/>
    </xf>
    <xf numFmtId="0" fontId="34" fillId="6" borderId="0" xfId="1" applyFont="1" applyFill="1" applyBorder="1" applyAlignment="1">
      <alignment horizontal="left" vertical="center"/>
    </xf>
    <xf numFmtId="0" fontId="34" fillId="6" borderId="0" xfId="1" applyFont="1" applyFill="1" applyBorder="1" applyAlignment="1">
      <alignment horizontal="left"/>
    </xf>
    <xf numFmtId="0" fontId="34" fillId="6" borderId="5" xfId="1" applyFont="1" applyFill="1" applyBorder="1" applyAlignment="1">
      <alignment horizontal="center" vertical="center"/>
    </xf>
    <xf numFmtId="0" fontId="33" fillId="6" borderId="63" xfId="1" applyFont="1" applyFill="1" applyBorder="1"/>
    <xf numFmtId="0" fontId="20" fillId="6" borderId="224" xfId="1" applyFont="1" applyFill="1" applyBorder="1"/>
    <xf numFmtId="0" fontId="151" fillId="4" borderId="11" xfId="1" applyFont="1" applyFill="1" applyBorder="1" applyAlignment="1">
      <alignment horizontal="center" vertical="center"/>
    </xf>
    <xf numFmtId="0" fontId="151" fillId="4" borderId="9" xfId="1" applyFont="1" applyFill="1" applyBorder="1" applyAlignment="1">
      <alignment horizontal="center" vertical="center"/>
    </xf>
    <xf numFmtId="0" fontId="151" fillId="4" borderId="33" xfId="1" applyFont="1" applyFill="1" applyBorder="1" applyAlignment="1">
      <alignment horizontal="center" vertical="center" wrapText="1"/>
    </xf>
    <xf numFmtId="0" fontId="151" fillId="4" borderId="36" xfId="1" applyFont="1" applyFill="1" applyBorder="1" applyAlignment="1">
      <alignment horizontal="center" vertical="center" wrapText="1"/>
    </xf>
    <xf numFmtId="2" fontId="34" fillId="4" borderId="11" xfId="1" applyNumberFormat="1" applyFont="1" applyFill="1" applyBorder="1" applyAlignment="1">
      <alignment horizontal="center" vertical="center"/>
    </xf>
    <xf numFmtId="2" fontId="34" fillId="4" borderId="35" xfId="1" applyNumberFormat="1" applyFont="1" applyFill="1" applyBorder="1" applyAlignment="1">
      <alignment horizontal="center" vertical="center"/>
    </xf>
    <xf numFmtId="2" fontId="34" fillId="4" borderId="22" xfId="1" applyNumberFormat="1" applyFont="1" applyFill="1" applyBorder="1" applyAlignment="1">
      <alignment horizontal="center" vertical="center"/>
    </xf>
    <xf numFmtId="0" fontId="33" fillId="4" borderId="32" xfId="1" applyFont="1" applyFill="1" applyBorder="1" applyAlignment="1">
      <alignment horizontal="center" vertical="center" wrapText="1"/>
    </xf>
    <xf numFmtId="0" fontId="33" fillId="4" borderId="33" xfId="1" applyFont="1" applyFill="1" applyBorder="1" applyAlignment="1">
      <alignment horizontal="center" vertical="center" wrapText="1"/>
    </xf>
    <xf numFmtId="0" fontId="33" fillId="4" borderId="67" xfId="1" applyFont="1" applyFill="1" applyBorder="1" applyAlignment="1">
      <alignment horizontal="center" vertical="center" wrapText="1"/>
    </xf>
    <xf numFmtId="0" fontId="33" fillId="4" borderId="32" xfId="1" applyFont="1" applyFill="1" applyBorder="1" applyAlignment="1">
      <alignment horizontal="center" vertical="center"/>
    </xf>
    <xf numFmtId="0" fontId="33" fillId="4" borderId="33" xfId="1" applyFont="1" applyFill="1" applyBorder="1" applyAlignment="1">
      <alignment horizontal="center" vertical="center"/>
    </xf>
    <xf numFmtId="0" fontId="33" fillId="4" borderId="36" xfId="1" applyFont="1" applyFill="1" applyBorder="1" applyAlignment="1">
      <alignment horizontal="center" vertical="center" wrapText="1"/>
    </xf>
    <xf numFmtId="0" fontId="151" fillId="4" borderId="32" xfId="1" applyFont="1" applyFill="1" applyBorder="1" applyAlignment="1">
      <alignment horizontal="center" vertical="center"/>
    </xf>
    <xf numFmtId="0" fontId="151" fillId="4" borderId="33" xfId="1" applyFont="1" applyFill="1" applyBorder="1" applyAlignment="1">
      <alignment horizontal="center" vertical="center"/>
    </xf>
    <xf numFmtId="0" fontId="151" fillId="4" borderId="34" xfId="1" applyFont="1" applyFill="1" applyBorder="1" applyAlignment="1">
      <alignment horizontal="center" vertical="center"/>
    </xf>
    <xf numFmtId="1" fontId="33" fillId="4" borderId="40" xfId="1" applyNumberFormat="1" applyFont="1" applyFill="1" applyBorder="1" applyAlignment="1">
      <alignment horizontal="center" vertical="center" wrapText="1"/>
    </xf>
    <xf numFmtId="164" fontId="33" fillId="4" borderId="41" xfId="1" applyNumberFormat="1" applyFont="1" applyFill="1" applyBorder="1" applyAlignment="1">
      <alignment horizontal="center" vertical="center" wrapText="1"/>
    </xf>
    <xf numFmtId="164" fontId="33" fillId="4" borderId="41" xfId="1" applyNumberFormat="1" applyFont="1" applyFill="1" applyBorder="1" applyAlignment="1">
      <alignment horizontal="center" vertical="center"/>
    </xf>
    <xf numFmtId="0" fontId="33" fillId="4" borderId="41" xfId="1" applyFont="1" applyFill="1" applyBorder="1" applyAlignment="1">
      <alignment horizontal="center" vertical="center"/>
    </xf>
    <xf numFmtId="2" fontId="33" fillId="4" borderId="42" xfId="1" applyNumberFormat="1" applyFont="1" applyFill="1" applyBorder="1" applyAlignment="1">
      <alignment horizontal="center" vertical="center"/>
    </xf>
    <xf numFmtId="167" fontId="33" fillId="4" borderId="40" xfId="1" applyNumberFormat="1" applyFont="1" applyFill="1" applyBorder="1" applyAlignment="1">
      <alignment horizontal="center" vertical="center"/>
    </xf>
    <xf numFmtId="167" fontId="33" fillId="4" borderId="41" xfId="1" applyNumberFormat="1" applyFont="1" applyFill="1" applyBorder="1" applyAlignment="1">
      <alignment horizontal="center" vertical="center"/>
    </xf>
    <xf numFmtId="167" fontId="33" fillId="4" borderId="42" xfId="1" applyNumberFormat="1" applyFont="1" applyFill="1" applyBorder="1" applyAlignment="1">
      <alignment horizontal="center" vertical="center"/>
    </xf>
    <xf numFmtId="2" fontId="33" fillId="4" borderId="41" xfId="1" applyNumberFormat="1" applyFont="1" applyFill="1" applyBorder="1" applyAlignment="1">
      <alignment horizontal="center" vertical="center"/>
    </xf>
    <xf numFmtId="2" fontId="33" fillId="4" borderId="23" xfId="1" applyNumberFormat="1" applyFont="1" applyFill="1" applyBorder="1" applyAlignment="1">
      <alignment horizontal="center" vertical="center"/>
    </xf>
    <xf numFmtId="2" fontId="33" fillId="4" borderId="44" xfId="1" applyNumberFormat="1" applyFont="1" applyFill="1" applyBorder="1" applyAlignment="1">
      <alignment horizontal="center" vertical="center"/>
    </xf>
    <xf numFmtId="1" fontId="33" fillId="4" borderId="125" xfId="1" applyNumberFormat="1" applyFont="1" applyFill="1" applyBorder="1" applyAlignment="1">
      <alignment horizontal="center" vertical="center" wrapText="1"/>
    </xf>
    <xf numFmtId="164" fontId="33" fillId="4" borderId="126" xfId="1" applyNumberFormat="1" applyFont="1" applyFill="1" applyBorder="1" applyAlignment="1">
      <alignment horizontal="center" vertical="center" wrapText="1"/>
    </xf>
    <xf numFmtId="164" fontId="33" fillId="4" borderId="126" xfId="1" applyNumberFormat="1" applyFont="1" applyFill="1" applyBorder="1" applyAlignment="1">
      <alignment horizontal="center" vertical="center"/>
    </xf>
    <xf numFmtId="1" fontId="33" fillId="4" borderId="126" xfId="1" applyNumberFormat="1" applyFont="1" applyFill="1" applyBorder="1" applyAlignment="1">
      <alignment horizontal="center" vertical="center"/>
    </xf>
    <xf numFmtId="2" fontId="33" fillId="4" borderId="130" xfId="1" applyNumberFormat="1" applyFont="1" applyFill="1" applyBorder="1" applyAlignment="1">
      <alignment horizontal="center" vertical="center"/>
    </xf>
    <xf numFmtId="167" fontId="33" fillId="4" borderId="125" xfId="1" applyNumberFormat="1" applyFont="1" applyFill="1" applyBorder="1" applyAlignment="1">
      <alignment horizontal="center" vertical="center"/>
    </xf>
    <xf numFmtId="167" fontId="33" fillId="4" borderId="126" xfId="1" applyNumberFormat="1" applyFont="1" applyFill="1" applyBorder="1" applyAlignment="1">
      <alignment horizontal="center" vertical="center"/>
    </xf>
    <xf numFmtId="167" fontId="33" fillId="4" borderId="130" xfId="1" applyNumberFormat="1" applyFont="1" applyFill="1" applyBorder="1" applyAlignment="1">
      <alignment horizontal="center" vertical="center"/>
    </xf>
    <xf numFmtId="2" fontId="33" fillId="4" borderId="37" xfId="1" applyNumberFormat="1" applyFont="1" applyFill="1" applyBorder="1" applyAlignment="1">
      <alignment horizontal="center" vertical="center"/>
    </xf>
    <xf numFmtId="2" fontId="33" fillId="4" borderId="38" xfId="1" applyNumberFormat="1" applyFont="1" applyFill="1" applyBorder="1" applyAlignment="1">
      <alignment horizontal="center" vertical="center"/>
    </xf>
    <xf numFmtId="2" fontId="33" fillId="4" borderId="39" xfId="1" applyNumberFormat="1" applyFont="1" applyFill="1" applyBorder="1" applyAlignment="1">
      <alignment horizontal="center" vertical="center"/>
    </xf>
    <xf numFmtId="2" fontId="33" fillId="4" borderId="118" xfId="1" applyNumberFormat="1" applyFont="1" applyFill="1" applyBorder="1" applyAlignment="1">
      <alignment horizontal="center" vertical="center"/>
    </xf>
    <xf numFmtId="2" fontId="33" fillId="4" borderId="126" xfId="1" applyNumberFormat="1" applyFont="1" applyFill="1" applyBorder="1" applyAlignment="1">
      <alignment horizontal="center" vertical="center"/>
    </xf>
    <xf numFmtId="2" fontId="33" fillId="4" borderId="117" xfId="1" applyNumberFormat="1" applyFont="1" applyFill="1" applyBorder="1" applyAlignment="1">
      <alignment horizontal="center" vertical="center"/>
    </xf>
    <xf numFmtId="2" fontId="33" fillId="4" borderId="214" xfId="1" applyNumberFormat="1" applyFont="1" applyFill="1" applyBorder="1" applyAlignment="1">
      <alignment horizontal="center" vertical="center"/>
    </xf>
    <xf numFmtId="2" fontId="33" fillId="4" borderId="215" xfId="1" applyNumberFormat="1" applyFont="1" applyFill="1" applyBorder="1" applyAlignment="1">
      <alignment horizontal="center" vertical="center"/>
    </xf>
    <xf numFmtId="2" fontId="33" fillId="4" borderId="216" xfId="1" applyNumberFormat="1" applyFont="1" applyFill="1" applyBorder="1" applyAlignment="1">
      <alignment horizontal="center" vertical="center"/>
    </xf>
    <xf numFmtId="1" fontId="33" fillId="4" borderId="214" xfId="1" applyNumberFormat="1" applyFont="1" applyFill="1" applyBorder="1" applyAlignment="1">
      <alignment horizontal="center" vertical="center" wrapText="1"/>
    </xf>
    <xf numFmtId="164" fontId="33" fillId="4" borderId="215" xfId="1" applyNumberFormat="1" applyFont="1" applyFill="1" applyBorder="1" applyAlignment="1">
      <alignment horizontal="center" vertical="center"/>
    </xf>
    <xf numFmtId="1" fontId="33" fillId="4" borderId="215" xfId="1" applyNumberFormat="1" applyFont="1" applyFill="1" applyBorder="1" applyAlignment="1">
      <alignment horizontal="center" vertical="center"/>
    </xf>
    <xf numFmtId="2" fontId="33" fillId="4" borderId="221" xfId="1" applyNumberFormat="1" applyFont="1" applyFill="1" applyBorder="1" applyAlignment="1">
      <alignment horizontal="center" vertical="center"/>
    </xf>
    <xf numFmtId="167" fontId="33" fillId="4" borderId="214" xfId="1" applyNumberFormat="1" applyFont="1" applyFill="1" applyBorder="1" applyAlignment="1">
      <alignment horizontal="center" vertical="center"/>
    </xf>
    <xf numFmtId="167" fontId="33" fillId="4" borderId="215" xfId="1" applyNumberFormat="1" applyFont="1" applyFill="1" applyBorder="1" applyAlignment="1">
      <alignment horizontal="center" vertical="center"/>
    </xf>
    <xf numFmtId="167" fontId="33" fillId="4" borderId="221" xfId="1" applyNumberFormat="1" applyFont="1" applyFill="1" applyBorder="1" applyAlignment="1">
      <alignment horizontal="center" vertical="center"/>
    </xf>
    <xf numFmtId="2" fontId="33" fillId="4" borderId="222" xfId="1" applyNumberFormat="1" applyFont="1" applyFill="1" applyBorder="1" applyAlignment="1">
      <alignment horizontal="center" vertical="center"/>
    </xf>
    <xf numFmtId="1" fontId="33" fillId="4" borderId="37" xfId="1" applyNumberFormat="1" applyFont="1" applyFill="1" applyBorder="1" applyAlignment="1">
      <alignment horizontal="center" vertical="center" wrapText="1"/>
    </xf>
    <xf numFmtId="164" fontId="33" fillId="4" borderId="38" xfId="1" applyNumberFormat="1" applyFont="1" applyFill="1" applyBorder="1" applyAlignment="1">
      <alignment horizontal="center" vertical="center"/>
    </xf>
    <xf numFmtId="0" fontId="33" fillId="4" borderId="38" xfId="1" applyFont="1" applyFill="1" applyBorder="1" applyAlignment="1">
      <alignment horizontal="center" vertical="center"/>
    </xf>
    <xf numFmtId="2" fontId="33" fillId="4" borderId="61" xfId="1" applyNumberFormat="1" applyFont="1" applyFill="1" applyBorder="1" applyAlignment="1">
      <alignment horizontal="center" vertical="center"/>
    </xf>
    <xf numFmtId="167" fontId="33" fillId="4" borderId="37" xfId="1" applyNumberFormat="1" applyFont="1" applyFill="1" applyBorder="1" applyAlignment="1">
      <alignment horizontal="center" vertical="center"/>
    </xf>
    <xf numFmtId="167" fontId="33" fillId="4" borderId="38" xfId="1" applyNumberFormat="1" applyFont="1" applyFill="1" applyBorder="1" applyAlignment="1">
      <alignment horizontal="center" vertical="center"/>
    </xf>
    <xf numFmtId="167" fontId="33" fillId="4" borderId="61" xfId="1" applyNumberFormat="1" applyFont="1" applyFill="1" applyBorder="1" applyAlignment="1">
      <alignment horizontal="center" vertical="center"/>
    </xf>
    <xf numFmtId="2" fontId="33" fillId="4" borderId="56" xfId="1" applyNumberFormat="1" applyFont="1" applyFill="1" applyBorder="1" applyAlignment="1">
      <alignment horizontal="center" vertical="center"/>
    </xf>
    <xf numFmtId="1" fontId="33" fillId="4" borderId="217" xfId="1" applyNumberFormat="1" applyFont="1" applyFill="1" applyBorder="1" applyAlignment="1">
      <alignment horizontal="center" vertical="center" wrapText="1"/>
    </xf>
    <xf numFmtId="164" fontId="33" fillId="4" borderId="218" xfId="1" applyNumberFormat="1" applyFont="1" applyFill="1" applyBorder="1" applyAlignment="1">
      <alignment horizontal="center" vertical="center" wrapText="1"/>
    </xf>
    <xf numFmtId="164" fontId="33" fillId="4" borderId="218" xfId="1" applyNumberFormat="1" applyFont="1" applyFill="1" applyBorder="1" applyAlignment="1">
      <alignment horizontal="center" vertical="center"/>
    </xf>
    <xf numFmtId="1" fontId="33" fillId="4" borderId="218" xfId="1" applyNumberFormat="1" applyFont="1" applyFill="1" applyBorder="1" applyAlignment="1">
      <alignment horizontal="center" vertical="center"/>
    </xf>
    <xf numFmtId="2" fontId="33" fillId="4" borderId="213" xfId="1" applyNumberFormat="1" applyFont="1" applyFill="1" applyBorder="1" applyAlignment="1">
      <alignment horizontal="center" vertical="center"/>
    </xf>
    <xf numFmtId="167" fontId="33" fillId="4" borderId="217" xfId="1" applyNumberFormat="1" applyFont="1" applyFill="1" applyBorder="1" applyAlignment="1">
      <alignment horizontal="center" vertical="center"/>
    </xf>
    <xf numFmtId="167" fontId="33" fillId="4" borderId="218" xfId="1" applyNumberFormat="1" applyFont="1" applyFill="1" applyBorder="1" applyAlignment="1">
      <alignment horizontal="center" vertical="center"/>
    </xf>
    <xf numFmtId="167" fontId="33" fillId="4" borderId="213" xfId="1" applyNumberFormat="1" applyFont="1" applyFill="1" applyBorder="1" applyAlignment="1">
      <alignment horizontal="center" vertical="center"/>
    </xf>
    <xf numFmtId="2" fontId="33" fillId="4" borderId="217" xfId="1" applyNumberFormat="1" applyFont="1" applyFill="1" applyBorder="1" applyAlignment="1">
      <alignment horizontal="center" vertical="center"/>
    </xf>
    <xf numFmtId="2" fontId="33" fillId="4" borderId="218" xfId="1" applyNumberFormat="1" applyFont="1" applyFill="1" applyBorder="1" applyAlignment="1">
      <alignment horizontal="center" vertical="center"/>
    </xf>
    <xf numFmtId="2" fontId="33" fillId="4" borderId="219" xfId="1" applyNumberFormat="1" applyFont="1" applyFill="1" applyBorder="1" applyAlignment="1">
      <alignment horizontal="center" vertical="center"/>
    </xf>
    <xf numFmtId="2" fontId="33" fillId="4" borderId="223" xfId="1" applyNumberFormat="1" applyFont="1" applyFill="1" applyBorder="1" applyAlignment="1">
      <alignment horizontal="center" vertical="center"/>
    </xf>
    <xf numFmtId="0" fontId="21" fillId="4" borderId="0" xfId="1" applyFont="1" applyFill="1" applyAlignment="1">
      <alignment horizontal="center" vertical="center"/>
    </xf>
    <xf numFmtId="0" fontId="33" fillId="4" borderId="34" xfId="1" applyFont="1" applyFill="1" applyBorder="1" applyAlignment="1">
      <alignment horizontal="center" vertical="center"/>
    </xf>
    <xf numFmtId="0" fontId="33" fillId="4" borderId="3" xfId="1" applyFont="1" applyFill="1" applyBorder="1" applyAlignment="1">
      <alignment horizontal="center" vertical="center"/>
    </xf>
    <xf numFmtId="0" fontId="33" fillId="4" borderId="9" xfId="1" applyFont="1" applyFill="1" applyBorder="1" applyAlignment="1">
      <alignment horizontal="center" vertical="center" wrapText="1"/>
    </xf>
    <xf numFmtId="0" fontId="33" fillId="4" borderId="3" xfId="1" applyFont="1" applyFill="1" applyBorder="1" applyAlignment="1">
      <alignment horizontal="center" vertical="center" wrapText="1"/>
    </xf>
    <xf numFmtId="0" fontId="33" fillId="4" borderId="10" xfId="1" applyFont="1" applyFill="1" applyBorder="1" applyAlignment="1">
      <alignment horizontal="center" vertical="center" wrapText="1"/>
    </xf>
    <xf numFmtId="0" fontId="33" fillId="4" borderId="11" xfId="1" applyFont="1" applyFill="1" applyBorder="1" applyAlignment="1">
      <alignment horizontal="center" vertical="center"/>
    </xf>
    <xf numFmtId="0" fontId="33" fillId="4" borderId="9" xfId="1" applyFont="1" applyFill="1" applyBorder="1" applyAlignment="1">
      <alignment horizontal="center" vertical="center"/>
    </xf>
    <xf numFmtId="0" fontId="33" fillId="4" borderId="10" xfId="1" applyFont="1" applyFill="1" applyBorder="1" applyAlignment="1">
      <alignment horizontal="center" vertical="center"/>
    </xf>
    <xf numFmtId="0" fontId="33" fillId="4" borderId="36" xfId="1" applyFont="1" applyFill="1" applyBorder="1" applyAlignment="1">
      <alignment horizontal="center" vertical="center"/>
    </xf>
    <xf numFmtId="167" fontId="33" fillId="4" borderId="34" xfId="1" applyNumberFormat="1" applyFont="1" applyFill="1" applyBorder="1" applyAlignment="1">
      <alignment horizontal="center" vertical="center"/>
    </xf>
    <xf numFmtId="2" fontId="33" fillId="4" borderId="41" xfId="1" quotePrefix="1" applyNumberFormat="1" applyFont="1" applyFill="1" applyBorder="1" applyAlignment="1">
      <alignment horizontal="center" vertical="center"/>
    </xf>
    <xf numFmtId="164" fontId="33" fillId="4" borderId="39" xfId="1" applyNumberFormat="1" applyFont="1" applyFill="1" applyBorder="1" applyAlignment="1">
      <alignment horizontal="center" vertical="center"/>
    </xf>
    <xf numFmtId="164" fontId="33" fillId="4" borderId="38" xfId="1" applyNumberFormat="1" applyFont="1" applyFill="1" applyBorder="1" applyAlignment="1">
      <alignment horizontal="center" vertical="center" wrapText="1"/>
    </xf>
    <xf numFmtId="167" fontId="33" fillId="4" borderId="118" xfId="1" applyNumberFormat="1" applyFont="1" applyFill="1" applyBorder="1" applyAlignment="1">
      <alignment horizontal="center" vertical="center"/>
    </xf>
    <xf numFmtId="2" fontId="33" fillId="4" borderId="126" xfId="1" quotePrefix="1" applyNumberFormat="1" applyFont="1" applyFill="1" applyBorder="1" applyAlignment="1">
      <alignment horizontal="center" vertical="center"/>
    </xf>
    <xf numFmtId="0" fontId="33" fillId="4" borderId="126" xfId="1" applyFont="1" applyFill="1" applyBorder="1" applyAlignment="1">
      <alignment horizontal="center" vertical="center"/>
    </xf>
    <xf numFmtId="2" fontId="33" fillId="4" borderId="125" xfId="1" applyNumberFormat="1" applyFont="1" applyFill="1" applyBorder="1" applyAlignment="1">
      <alignment horizontal="center" vertical="center"/>
    </xf>
    <xf numFmtId="164" fontId="33" fillId="4" borderId="215" xfId="1" applyNumberFormat="1" applyFont="1" applyFill="1" applyBorder="1" applyAlignment="1">
      <alignment horizontal="center" vertical="center" wrapText="1"/>
    </xf>
    <xf numFmtId="0" fontId="33" fillId="4" borderId="215" xfId="1" applyFont="1" applyFill="1" applyBorder="1" applyAlignment="1">
      <alignment horizontal="center" vertical="center"/>
    </xf>
    <xf numFmtId="167" fontId="33" fillId="4" borderId="222" xfId="1" applyNumberFormat="1" applyFont="1" applyFill="1" applyBorder="1" applyAlignment="1">
      <alignment horizontal="center" vertical="center"/>
    </xf>
    <xf numFmtId="167" fontId="33" fillId="4" borderId="52" xfId="1" applyNumberFormat="1" applyFont="1" applyFill="1" applyBorder="1" applyAlignment="1">
      <alignment horizontal="center" vertical="center"/>
    </xf>
    <xf numFmtId="167" fontId="33" fillId="4" borderId="223" xfId="1" applyNumberFormat="1" applyFont="1" applyFill="1" applyBorder="1" applyAlignment="1">
      <alignment horizontal="center" vertical="center"/>
    </xf>
    <xf numFmtId="2" fontId="33" fillId="4" borderId="218" xfId="1" quotePrefix="1" applyNumberFormat="1" applyFont="1" applyFill="1" applyBorder="1" applyAlignment="1">
      <alignment horizontal="center" vertical="center"/>
    </xf>
    <xf numFmtId="164" fontId="33" fillId="4" borderId="219" xfId="1" applyNumberFormat="1" applyFont="1" applyFill="1" applyBorder="1" applyAlignment="1">
      <alignment horizontal="center" vertical="center"/>
    </xf>
    <xf numFmtId="0" fontId="217" fillId="4" borderId="209" xfId="20889" applyFont="1" applyFill="1" applyBorder="1" applyAlignment="1">
      <alignment vertical="center" wrapText="1"/>
    </xf>
    <xf numFmtId="0" fontId="217" fillId="4" borderId="209" xfId="20889" applyFont="1" applyFill="1" applyBorder="1" applyAlignment="1">
      <alignment horizontal="right" vertical="center" wrapText="1"/>
    </xf>
    <xf numFmtId="0" fontId="217" fillId="4" borderId="209" xfId="20889" applyFont="1" applyFill="1" applyBorder="1" applyAlignment="1">
      <alignment horizontal="right" vertical="center"/>
    </xf>
    <xf numFmtId="0" fontId="217" fillId="4" borderId="209" xfId="0" applyFont="1" applyFill="1" applyBorder="1" applyAlignment="1">
      <alignment horizontal="right" vertical="center"/>
    </xf>
    <xf numFmtId="0" fontId="217" fillId="4" borderId="38" xfId="20889" applyFont="1" applyFill="1" applyBorder="1" applyAlignment="1">
      <alignment vertical="center" wrapText="1"/>
    </xf>
    <xf numFmtId="0" fontId="217" fillId="4" borderId="38" xfId="20889" applyFont="1" applyFill="1" applyBorder="1" applyAlignment="1">
      <alignment horizontal="right" vertical="center" wrapText="1"/>
    </xf>
    <xf numFmtId="0" fontId="217" fillId="4" borderId="38" xfId="20889" applyFont="1" applyFill="1" applyBorder="1" applyAlignment="1">
      <alignment horizontal="right" vertical="center"/>
    </xf>
    <xf numFmtId="2" fontId="217" fillId="4" borderId="209" xfId="0" applyNumberFormat="1" applyFont="1" applyFill="1" applyBorder="1" applyAlignment="1">
      <alignment horizontal="right" vertical="center"/>
    </xf>
    <xf numFmtId="0" fontId="29" fillId="0" borderId="4" xfId="1" applyFont="1" applyBorder="1"/>
    <xf numFmtId="0" fontId="21" fillId="6" borderId="62" xfId="1" applyFont="1" applyFill="1" applyBorder="1" applyAlignment="1">
      <alignment horizontal="center"/>
    </xf>
    <xf numFmtId="0" fontId="31" fillId="4" borderId="0" xfId="0" applyFont="1" applyFill="1" applyBorder="1"/>
    <xf numFmtId="0" fontId="31" fillId="4" borderId="0" xfId="0" applyFont="1" applyFill="1" applyBorder="1" applyAlignment="1">
      <alignment horizontal="center"/>
    </xf>
    <xf numFmtId="0" fontId="34" fillId="4" borderId="11" xfId="0" applyFont="1" applyFill="1" applyBorder="1" applyAlignment="1">
      <alignment horizontal="center" vertical="center" wrapText="1"/>
    </xf>
    <xf numFmtId="0" fontId="34" fillId="4" borderId="9" xfId="0" applyFont="1" applyFill="1" applyBorder="1" applyAlignment="1">
      <alignment horizontal="center" vertical="center"/>
    </xf>
    <xf numFmtId="0" fontId="34" fillId="4" borderId="9"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4" fillId="4" borderId="11" xfId="0" applyFont="1" applyFill="1" applyBorder="1" applyAlignment="1">
      <alignment horizontal="center" vertical="center"/>
    </xf>
    <xf numFmtId="0" fontId="34" fillId="4" borderId="10" xfId="0" applyFont="1" applyFill="1" applyBorder="1" applyAlignment="1">
      <alignment horizontal="center" vertical="center"/>
    </xf>
    <xf numFmtId="0" fontId="34" fillId="4" borderId="35" xfId="0" applyFont="1" applyFill="1" applyBorder="1" applyAlignment="1">
      <alignment horizontal="center" vertical="center"/>
    </xf>
    <xf numFmtId="0" fontId="33" fillId="4" borderId="16" xfId="0" applyFont="1" applyFill="1" applyBorder="1" applyAlignment="1">
      <alignment horizontal="center" vertical="center" wrapText="1"/>
    </xf>
    <xf numFmtId="0" fontId="34" fillId="4" borderId="15" xfId="0" applyFont="1" applyFill="1" applyBorder="1" applyAlignment="1">
      <alignment horizontal="center" vertical="center" wrapText="1"/>
    </xf>
    <xf numFmtId="0" fontId="33" fillId="4" borderId="15" xfId="0" applyFont="1" applyFill="1" applyBorder="1" applyAlignment="1">
      <alignment horizontal="center" vertical="center" wrapText="1"/>
    </xf>
    <xf numFmtId="168" fontId="33" fillId="4" borderId="17" xfId="0" applyNumberFormat="1" applyFont="1" applyFill="1" applyBorder="1" applyAlignment="1">
      <alignment horizontal="center" vertical="center" wrapText="1"/>
    </xf>
    <xf numFmtId="2" fontId="33" fillId="4" borderId="16" xfId="0" applyNumberFormat="1" applyFont="1" applyFill="1" applyBorder="1" applyAlignment="1">
      <alignment horizontal="center" vertical="center" wrapText="1"/>
    </xf>
    <xf numFmtId="2" fontId="33" fillId="4" borderId="17" xfId="0" applyNumberFormat="1" applyFont="1" applyFill="1" applyBorder="1" applyAlignment="1">
      <alignment horizontal="center" vertical="center" wrapText="1"/>
    </xf>
    <xf numFmtId="2" fontId="33" fillId="4" borderId="40" xfId="0" quotePrefix="1" applyNumberFormat="1" applyFont="1" applyFill="1" applyBorder="1" applyAlignment="1">
      <alignment horizontal="center" vertical="center"/>
    </xf>
    <xf numFmtId="2" fontId="33" fillId="4" borderId="23" xfId="0" quotePrefix="1" applyNumberFormat="1" applyFont="1" applyFill="1" applyBorder="1" applyAlignment="1">
      <alignment horizontal="center" vertical="center"/>
    </xf>
    <xf numFmtId="2" fontId="33" fillId="4" borderId="16" xfId="0" applyNumberFormat="1" applyFont="1" applyFill="1" applyBorder="1" applyAlignment="1">
      <alignment horizontal="center" vertical="center"/>
    </xf>
    <xf numFmtId="2" fontId="33" fillId="4" borderId="17" xfId="0" applyNumberFormat="1" applyFont="1" applyFill="1" applyBorder="1" applyAlignment="1">
      <alignment horizontal="center" vertical="center"/>
    </xf>
    <xf numFmtId="0" fontId="33" fillId="4" borderId="37" xfId="0" applyFont="1" applyFill="1" applyBorder="1" applyAlignment="1">
      <alignment horizontal="center" vertical="center" wrapText="1"/>
    </xf>
    <xf numFmtId="168" fontId="33" fillId="4" borderId="39" xfId="0" applyNumberFormat="1" applyFont="1" applyFill="1" applyBorder="1" applyAlignment="1">
      <alignment horizontal="center" vertical="center" wrapText="1"/>
    </xf>
    <xf numFmtId="2" fontId="33" fillId="4" borderId="37" xfId="0" applyNumberFormat="1" applyFont="1" applyFill="1" applyBorder="1" applyAlignment="1">
      <alignment horizontal="center" vertical="center" wrapText="1"/>
    </xf>
    <xf numFmtId="2" fontId="33" fillId="4" borderId="39" xfId="0" applyNumberFormat="1" applyFont="1" applyFill="1" applyBorder="1" applyAlignment="1">
      <alignment horizontal="center" vertical="center" wrapText="1"/>
    </xf>
    <xf numFmtId="2" fontId="33" fillId="4" borderId="16" xfId="0" quotePrefix="1" applyNumberFormat="1" applyFont="1" applyFill="1" applyBorder="1" applyAlignment="1">
      <alignment horizontal="center" vertical="center"/>
    </xf>
    <xf numFmtId="2" fontId="33" fillId="4" borderId="17" xfId="0" quotePrefix="1" applyNumberFormat="1" applyFont="1" applyFill="1" applyBorder="1" applyAlignment="1">
      <alignment horizontal="center" vertical="center"/>
    </xf>
    <xf numFmtId="2" fontId="33" fillId="4" borderId="144" xfId="0" applyNumberFormat="1" applyFont="1" applyFill="1" applyBorder="1" applyAlignment="1">
      <alignment horizontal="center" vertical="center" wrapText="1"/>
    </xf>
    <xf numFmtId="2" fontId="33" fillId="4" borderId="145" xfId="0" applyNumberFormat="1" applyFont="1" applyFill="1" applyBorder="1" applyAlignment="1">
      <alignment horizontal="center" vertical="center" wrapText="1"/>
    </xf>
    <xf numFmtId="2" fontId="33" fillId="4" borderId="37" xfId="0" quotePrefix="1" applyNumberFormat="1" applyFont="1" applyFill="1" applyBorder="1" applyAlignment="1">
      <alignment horizontal="center" vertical="center"/>
    </xf>
    <xf numFmtId="2" fontId="33" fillId="4" borderId="39" xfId="0" quotePrefix="1" applyNumberFormat="1" applyFont="1" applyFill="1" applyBorder="1" applyAlignment="1">
      <alignment horizontal="center" vertical="center"/>
    </xf>
    <xf numFmtId="0" fontId="33" fillId="4" borderId="209" xfId="0" applyFont="1" applyFill="1" applyBorder="1" applyAlignment="1">
      <alignment horizontal="center" vertical="center" wrapText="1"/>
    </xf>
    <xf numFmtId="2" fontId="33" fillId="4" borderId="144" xfId="0" quotePrefix="1" applyNumberFormat="1" applyFont="1" applyFill="1" applyBorder="1" applyAlignment="1">
      <alignment horizontal="center" vertical="center"/>
    </xf>
    <xf numFmtId="2" fontId="33" fillId="4" borderId="145" xfId="0" quotePrefix="1" applyNumberFormat="1" applyFont="1" applyFill="1" applyBorder="1" applyAlignment="1">
      <alignment horizontal="center" vertical="center"/>
    </xf>
    <xf numFmtId="0" fontId="34" fillId="4" borderId="38" xfId="0" applyFont="1" applyFill="1" applyBorder="1" applyAlignment="1">
      <alignment horizontal="center" vertical="center" wrapText="1"/>
    </xf>
    <xf numFmtId="0" fontId="33" fillId="4" borderId="38" xfId="0" applyFont="1" applyFill="1" applyBorder="1" applyAlignment="1">
      <alignment horizontal="center" vertical="center" wrapText="1"/>
    </xf>
    <xf numFmtId="2" fontId="33" fillId="4" borderId="146" xfId="0" applyNumberFormat="1" applyFont="1" applyFill="1" applyBorder="1" applyAlignment="1">
      <alignment horizontal="center" vertical="center" wrapText="1"/>
    </xf>
    <xf numFmtId="2" fontId="33" fillId="4" borderId="148" xfId="0" applyNumberFormat="1" applyFont="1" applyFill="1" applyBorder="1" applyAlignment="1">
      <alignment horizontal="center" vertical="center" wrapText="1"/>
    </xf>
    <xf numFmtId="2" fontId="33" fillId="4" borderId="146" xfId="0" quotePrefix="1" applyNumberFormat="1" applyFont="1" applyFill="1" applyBorder="1" applyAlignment="1">
      <alignment horizontal="center" vertical="center"/>
    </xf>
    <xf numFmtId="2" fontId="33" fillId="4" borderId="148" xfId="0" quotePrefix="1" applyNumberFormat="1" applyFont="1" applyFill="1" applyBorder="1" applyAlignment="1">
      <alignment horizontal="center" vertical="center"/>
    </xf>
    <xf numFmtId="2" fontId="33" fillId="4" borderId="146" xfId="0" applyNumberFormat="1" applyFont="1" applyFill="1" applyBorder="1" applyAlignment="1">
      <alignment horizontal="center" vertical="center"/>
    </xf>
    <xf numFmtId="2" fontId="33" fillId="4" borderId="148" xfId="0" applyNumberFormat="1" applyFont="1" applyFill="1" applyBorder="1" applyAlignment="1">
      <alignment horizontal="center" vertical="center"/>
    </xf>
    <xf numFmtId="2" fontId="33" fillId="4" borderId="12" xfId="0" applyNumberFormat="1" applyFont="1" applyFill="1" applyBorder="1" applyAlignment="1">
      <alignment horizontal="center" vertical="center" wrapText="1"/>
    </xf>
    <xf numFmtId="2" fontId="33" fillId="4" borderId="14" xfId="0" quotePrefix="1" applyNumberFormat="1" applyFont="1" applyFill="1" applyBorder="1" applyAlignment="1">
      <alignment horizontal="center" vertical="center"/>
    </xf>
    <xf numFmtId="0" fontId="31" fillId="6" borderId="1" xfId="0" applyFont="1" applyFill="1" applyBorder="1"/>
    <xf numFmtId="0" fontId="31" fillId="6" borderId="2" xfId="0" applyFont="1" applyFill="1" applyBorder="1"/>
    <xf numFmtId="0" fontId="31" fillId="6" borderId="3" xfId="0" applyFont="1" applyFill="1" applyBorder="1"/>
    <xf numFmtId="0" fontId="31" fillId="6" borderId="4" xfId="0" applyFont="1" applyFill="1" applyBorder="1" applyAlignment="1">
      <alignment horizontal="center" vertical="center"/>
    </xf>
    <xf numFmtId="0" fontId="31" fillId="6" borderId="5" xfId="0" applyFont="1" applyFill="1" applyBorder="1" applyAlignment="1">
      <alignment horizontal="center" vertical="center"/>
    </xf>
    <xf numFmtId="0" fontId="31" fillId="6" borderId="6" xfId="0" applyFont="1" applyFill="1" applyBorder="1"/>
    <xf numFmtId="0" fontId="31" fillId="6" borderId="7" xfId="0" applyFont="1" applyFill="1" applyBorder="1"/>
    <xf numFmtId="0" fontId="31" fillId="6" borderId="7" xfId="0" applyFont="1" applyFill="1" applyBorder="1" applyAlignment="1">
      <alignment horizontal="center"/>
    </xf>
    <xf numFmtId="0" fontId="31" fillId="6" borderId="8" xfId="0" applyFont="1" applyFill="1" applyBorder="1"/>
    <xf numFmtId="0" fontId="31" fillId="6" borderId="2" xfId="0" applyFont="1" applyFill="1" applyBorder="1" applyAlignment="1">
      <alignment horizontal="center"/>
    </xf>
    <xf numFmtId="0" fontId="31" fillId="6" borderId="4" xfId="0" applyFont="1" applyFill="1" applyBorder="1"/>
    <xf numFmtId="0" fontId="34" fillId="6" borderId="0" xfId="0" applyFont="1" applyFill="1" applyBorder="1" applyAlignment="1">
      <alignment vertical="center"/>
    </xf>
    <xf numFmtId="0" fontId="31" fillId="6" borderId="5" xfId="0" applyFont="1" applyFill="1" applyBorder="1"/>
    <xf numFmtId="0" fontId="33" fillId="0" borderId="236" xfId="1" applyFont="1" applyFill="1" applyBorder="1"/>
    <xf numFmtId="0" fontId="34" fillId="0" borderId="11" xfId="1" applyFont="1" applyFill="1" applyBorder="1" applyAlignment="1">
      <alignment horizontal="center"/>
    </xf>
    <xf numFmtId="0" fontId="34" fillId="0" borderId="10" xfId="1" applyFont="1" applyFill="1" applyBorder="1" applyAlignment="1">
      <alignment horizontal="center"/>
    </xf>
    <xf numFmtId="2" fontId="33" fillId="0" borderId="39" xfId="1" applyNumberFormat="1" applyFont="1" applyFill="1" applyBorder="1" applyAlignment="1">
      <alignment horizontal="center" vertical="center" wrapText="1"/>
    </xf>
    <xf numFmtId="1" fontId="33" fillId="0" borderId="216" xfId="1" applyNumberFormat="1" applyFont="1" applyFill="1" applyBorder="1" applyAlignment="1">
      <alignment horizontal="center" vertical="center" wrapText="1"/>
    </xf>
    <xf numFmtId="2" fontId="33" fillId="0" borderId="12" xfId="1" applyNumberFormat="1" applyFont="1" applyFill="1" applyBorder="1" applyAlignment="1">
      <alignment horizontal="center" vertical="center"/>
    </xf>
    <xf numFmtId="2" fontId="33" fillId="0" borderId="237" xfId="1" applyNumberFormat="1" applyFont="1" applyFill="1" applyBorder="1" applyAlignment="1">
      <alignment horizontal="center" vertical="center"/>
    </xf>
    <xf numFmtId="0" fontId="20" fillId="6" borderId="0" xfId="1" applyFont="1" applyFill="1" applyBorder="1" applyAlignment="1">
      <alignment vertical="center"/>
    </xf>
    <xf numFmtId="0" fontId="19" fillId="6" borderId="8" xfId="1" applyFill="1" applyBorder="1"/>
    <xf numFmtId="0" fontId="0" fillId="6" borderId="4" xfId="0" applyFill="1" applyBorder="1" applyAlignment="1">
      <alignment wrapText="1"/>
    </xf>
    <xf numFmtId="0" fontId="0" fillId="6" borderId="5" xfId="0" applyFill="1" applyBorder="1" applyAlignment="1">
      <alignment wrapText="1"/>
    </xf>
    <xf numFmtId="0" fontId="20" fillId="6" borderId="0" xfId="0" applyFont="1" applyFill="1" applyBorder="1" applyAlignment="1">
      <alignment horizontal="center"/>
    </xf>
    <xf numFmtId="169" fontId="20" fillId="6" borderId="0" xfId="0" applyNumberFormat="1" applyFont="1" applyFill="1" applyBorder="1" applyAlignment="1">
      <alignment horizontal="center"/>
    </xf>
    <xf numFmtId="10" fontId="20" fillId="6" borderId="0" xfId="0" applyNumberFormat="1" applyFont="1" applyFill="1" applyBorder="1" applyAlignment="1">
      <alignment horizontal="center"/>
    </xf>
    <xf numFmtId="167" fontId="20" fillId="6" borderId="0" xfId="0" applyNumberFormat="1" applyFont="1" applyFill="1" applyBorder="1" applyAlignment="1">
      <alignment horizontal="center"/>
    </xf>
    <xf numFmtId="0" fontId="20" fillId="6" borderId="0" xfId="0" applyFont="1" applyFill="1" applyBorder="1" applyAlignment="1">
      <alignment horizontal="left"/>
    </xf>
    <xf numFmtId="167" fontId="20" fillId="6" borderId="0" xfId="0" applyNumberFormat="1" applyFont="1" applyFill="1" applyBorder="1" applyAlignment="1">
      <alignment horizontal="left"/>
    </xf>
    <xf numFmtId="169" fontId="0" fillId="6" borderId="0" xfId="0" applyNumberFormat="1" applyFill="1" applyBorder="1" applyAlignment="1">
      <alignment horizontal="center"/>
    </xf>
    <xf numFmtId="10" fontId="0" fillId="6" borderId="0" xfId="0" applyNumberFormat="1" applyFill="1" applyBorder="1" applyAlignment="1">
      <alignment horizontal="center"/>
    </xf>
    <xf numFmtId="0" fontId="0" fillId="6" borderId="4" xfId="0" applyFill="1" applyBorder="1" applyAlignment="1">
      <alignment horizontal="center" vertical="center"/>
    </xf>
    <xf numFmtId="0" fontId="20" fillId="6" borderId="0" xfId="0" applyFont="1" applyFill="1" applyBorder="1" applyAlignment="1">
      <alignment horizontal="center" vertical="center"/>
    </xf>
    <xf numFmtId="0" fontId="0" fillId="6" borderId="0" xfId="0" applyFill="1" applyBorder="1" applyAlignment="1">
      <alignment horizontal="center" vertical="center"/>
    </xf>
    <xf numFmtId="0" fontId="0" fillId="6" borderId="5" xfId="0" applyFill="1" applyBorder="1" applyAlignment="1">
      <alignment horizontal="center" vertical="center"/>
    </xf>
    <xf numFmtId="0" fontId="0" fillId="6" borderId="198" xfId="0" applyFill="1" applyBorder="1" applyAlignment="1">
      <alignment horizontal="center"/>
    </xf>
    <xf numFmtId="169" fontId="0" fillId="6" borderId="198" xfId="0" applyNumberFormat="1" applyFill="1" applyBorder="1" applyAlignment="1">
      <alignment horizontal="center"/>
    </xf>
    <xf numFmtId="10" fontId="0" fillId="6" borderId="198" xfId="0" applyNumberFormat="1" applyFill="1" applyBorder="1" applyAlignment="1">
      <alignment horizontal="center"/>
    </xf>
    <xf numFmtId="0" fontId="23" fillId="6" borderId="0" xfId="0" applyFont="1" applyFill="1" applyBorder="1" applyAlignment="1">
      <alignment horizontal="right"/>
    </xf>
    <xf numFmtId="169" fontId="23" fillId="6" borderId="0" xfId="0" applyNumberFormat="1" applyFont="1" applyFill="1" applyBorder="1" applyAlignment="1">
      <alignment horizontal="right"/>
    </xf>
    <xf numFmtId="0" fontId="23" fillId="6" borderId="198" xfId="0" applyFont="1" applyFill="1" applyBorder="1"/>
    <xf numFmtId="0" fontId="0" fillId="6" borderId="2" xfId="0" applyFill="1" applyBorder="1" applyAlignment="1">
      <alignment horizontal="center"/>
    </xf>
    <xf numFmtId="169" fontId="0" fillId="6" borderId="2" xfId="0" applyNumberFormat="1" applyFill="1" applyBorder="1" applyAlignment="1">
      <alignment horizontal="center"/>
    </xf>
    <xf numFmtId="10" fontId="0" fillId="6" borderId="2" xfId="0" applyNumberFormat="1" applyFill="1" applyBorder="1" applyAlignment="1">
      <alignment horizontal="center"/>
    </xf>
    <xf numFmtId="0" fontId="21" fillId="6" borderId="198" xfId="0" applyFont="1" applyFill="1" applyBorder="1" applyAlignment="1">
      <alignment horizontal="center"/>
    </xf>
    <xf numFmtId="0" fontId="20" fillId="6" borderId="198" xfId="0" applyFont="1" applyFill="1" applyBorder="1" applyAlignment="1">
      <alignment horizontal="center"/>
    </xf>
    <xf numFmtId="0" fontId="20" fillId="4" borderId="24" xfId="0" applyFont="1" applyFill="1" applyBorder="1"/>
    <xf numFmtId="0" fontId="20" fillId="4" borderId="27" xfId="0" applyFont="1" applyFill="1" applyBorder="1" applyAlignment="1">
      <alignment horizontal="center"/>
    </xf>
    <xf numFmtId="0" fontId="20" fillId="4" borderId="30" xfId="0" applyFont="1" applyFill="1" applyBorder="1" applyAlignment="1">
      <alignment horizontal="center"/>
    </xf>
    <xf numFmtId="169" fontId="20" fillId="4" borderId="27" xfId="0" applyNumberFormat="1" applyFont="1" applyFill="1" applyBorder="1" applyAlignment="1">
      <alignment horizontal="center"/>
    </xf>
    <xf numFmtId="10" fontId="20" fillId="4" borderId="24" xfId="0" applyNumberFormat="1" applyFont="1" applyFill="1" applyBorder="1" applyAlignment="1">
      <alignment horizontal="center"/>
    </xf>
    <xf numFmtId="2" fontId="20" fillId="4" borderId="27" xfId="0" applyNumberFormat="1" applyFont="1" applyFill="1" applyBorder="1" applyAlignment="1">
      <alignment horizontal="center"/>
    </xf>
    <xf numFmtId="2" fontId="20" fillId="4" borderId="30" xfId="0" applyNumberFormat="1" applyFont="1" applyFill="1" applyBorder="1" applyAlignment="1">
      <alignment horizontal="center"/>
    </xf>
    <xf numFmtId="0" fontId="20" fillId="4" borderId="226" xfId="0" applyFont="1" applyFill="1" applyBorder="1"/>
    <xf numFmtId="0" fontId="20" fillId="4" borderId="233" xfId="0" applyFont="1" applyFill="1" applyBorder="1" applyAlignment="1">
      <alignment horizontal="center"/>
    </xf>
    <xf numFmtId="0" fontId="20" fillId="4" borderId="220" xfId="0" applyFont="1" applyFill="1" applyBorder="1" applyAlignment="1">
      <alignment horizontal="center"/>
    </xf>
    <xf numFmtId="169" fontId="20" fillId="4" borderId="233" xfId="0" applyNumberFormat="1" applyFont="1" applyFill="1" applyBorder="1" applyAlignment="1">
      <alignment horizontal="center"/>
    </xf>
    <xf numFmtId="10" fontId="20" fillId="4" borderId="226" xfId="0" applyNumberFormat="1" applyFont="1" applyFill="1" applyBorder="1" applyAlignment="1">
      <alignment horizontal="center"/>
    </xf>
    <xf numFmtId="2" fontId="20" fillId="4" borderId="233" xfId="0" applyNumberFormat="1" applyFont="1" applyFill="1" applyBorder="1" applyAlignment="1">
      <alignment horizontal="center"/>
    </xf>
    <xf numFmtId="2" fontId="20" fillId="4" borderId="220" xfId="0" applyNumberFormat="1" applyFont="1" applyFill="1" applyBorder="1" applyAlignment="1">
      <alignment horizontal="center"/>
    </xf>
    <xf numFmtId="0" fontId="20" fillId="4" borderId="228" xfId="0" applyFont="1" applyFill="1" applyBorder="1"/>
    <xf numFmtId="0" fontId="20" fillId="4" borderId="231" xfId="0" applyFont="1" applyFill="1" applyBorder="1" applyAlignment="1">
      <alignment horizontal="center"/>
    </xf>
    <xf numFmtId="0" fontId="20" fillId="4" borderId="229" xfId="0" applyFont="1" applyFill="1" applyBorder="1" applyAlignment="1">
      <alignment horizontal="center"/>
    </xf>
    <xf numFmtId="169" fontId="20" fillId="4" borderId="231" xfId="0" applyNumberFormat="1" applyFont="1" applyFill="1" applyBorder="1" applyAlignment="1">
      <alignment horizontal="center"/>
    </xf>
    <xf numFmtId="10" fontId="20" fillId="4" borderId="228" xfId="0" applyNumberFormat="1" applyFont="1" applyFill="1" applyBorder="1" applyAlignment="1">
      <alignment horizontal="center"/>
    </xf>
    <xf numFmtId="2" fontId="20" fillId="4" borderId="231" xfId="0" applyNumberFormat="1" applyFont="1" applyFill="1" applyBorder="1" applyAlignment="1">
      <alignment horizontal="center"/>
    </xf>
    <xf numFmtId="2" fontId="20" fillId="4" borderId="229" xfId="0" applyNumberFormat="1" applyFont="1" applyFill="1" applyBorder="1" applyAlignment="1">
      <alignment horizontal="center"/>
    </xf>
    <xf numFmtId="0" fontId="20" fillId="4" borderId="74" xfId="0" applyFont="1" applyFill="1" applyBorder="1" applyAlignment="1">
      <alignment horizontal="center"/>
    </xf>
    <xf numFmtId="2" fontId="20" fillId="4" borderId="74" xfId="0" applyNumberFormat="1" applyFont="1" applyFill="1" applyBorder="1" applyAlignment="1">
      <alignment horizontal="center"/>
    </xf>
    <xf numFmtId="10" fontId="23" fillId="4" borderId="11" xfId="0" applyNumberFormat="1" applyFont="1" applyFill="1" applyBorder="1" applyAlignment="1">
      <alignment horizontal="center" vertical="center"/>
    </xf>
    <xf numFmtId="0" fontId="23" fillId="4" borderId="9" xfId="0" applyFont="1" applyFill="1" applyBorder="1" applyAlignment="1">
      <alignment horizontal="center" vertical="center"/>
    </xf>
    <xf numFmtId="0" fontId="23" fillId="4" borderId="10" xfId="0" applyFont="1" applyFill="1" applyBorder="1" applyAlignment="1">
      <alignment horizontal="center" vertical="center"/>
    </xf>
    <xf numFmtId="2" fontId="0" fillId="4" borderId="12" xfId="0" applyNumberFormat="1" applyFill="1" applyBorder="1" applyAlignment="1">
      <alignment horizontal="center" vertical="center"/>
    </xf>
    <xf numFmtId="2" fontId="0" fillId="4" borderId="248" xfId="0" applyNumberFormat="1" applyFill="1" applyBorder="1" applyAlignment="1">
      <alignment horizontal="center" vertical="center"/>
    </xf>
    <xf numFmtId="2" fontId="0" fillId="4" borderId="237" xfId="0" applyNumberFormat="1" applyFill="1" applyBorder="1" applyAlignment="1">
      <alignment horizontal="center" vertical="center"/>
    </xf>
    <xf numFmtId="2" fontId="0" fillId="4" borderId="11" xfId="0" applyNumberFormat="1" applyFill="1" applyBorder="1" applyAlignment="1">
      <alignment horizontal="center" vertical="center"/>
    </xf>
    <xf numFmtId="2" fontId="0" fillId="4" borderId="9" xfId="0" applyNumberFormat="1" applyFill="1" applyBorder="1" applyAlignment="1">
      <alignment horizontal="center" vertical="center"/>
    </xf>
    <xf numFmtId="2" fontId="0" fillId="4" borderId="10" xfId="0" applyNumberFormat="1" applyFill="1" applyBorder="1" applyAlignment="1">
      <alignment horizontal="center" vertical="center"/>
    </xf>
    <xf numFmtId="9" fontId="0" fillId="6" borderId="0" xfId="0" applyNumberFormat="1" applyFill="1" applyBorder="1" applyAlignment="1">
      <alignment horizontal="center"/>
    </xf>
    <xf numFmtId="9" fontId="19" fillId="6" borderId="0" xfId="0" applyNumberFormat="1" applyFont="1" applyFill="1" applyBorder="1" applyAlignment="1">
      <alignment horizontal="center"/>
    </xf>
    <xf numFmtId="9" fontId="0" fillId="6" borderId="198" xfId="0" applyNumberFormat="1" applyFill="1" applyBorder="1" applyAlignment="1">
      <alignment horizontal="center"/>
    </xf>
    <xf numFmtId="165" fontId="20" fillId="4" borderId="27" xfId="0" applyNumberFormat="1" applyFont="1" applyFill="1" applyBorder="1" applyAlignment="1">
      <alignment horizontal="center"/>
    </xf>
    <xf numFmtId="165" fontId="20" fillId="4" borderId="30" xfId="0" applyNumberFormat="1" applyFont="1" applyFill="1" applyBorder="1" applyAlignment="1">
      <alignment horizontal="center"/>
    </xf>
    <xf numFmtId="165" fontId="20" fillId="4" borderId="233" xfId="0" applyNumberFormat="1" applyFont="1" applyFill="1" applyBorder="1" applyAlignment="1">
      <alignment horizontal="center"/>
    </xf>
    <xf numFmtId="165" fontId="20" fillId="4" borderId="220" xfId="0" applyNumberFormat="1" applyFont="1" applyFill="1" applyBorder="1" applyAlignment="1">
      <alignment horizontal="center"/>
    </xf>
    <xf numFmtId="165" fontId="20" fillId="4" borderId="231" xfId="0" applyNumberFormat="1" applyFont="1" applyFill="1" applyBorder="1" applyAlignment="1">
      <alignment horizontal="center"/>
    </xf>
    <xf numFmtId="165" fontId="20" fillId="4" borderId="229" xfId="0" applyNumberFormat="1" applyFont="1" applyFill="1" applyBorder="1" applyAlignment="1">
      <alignment horizontal="center"/>
    </xf>
    <xf numFmtId="165" fontId="20" fillId="4" borderId="74" xfId="0" applyNumberFormat="1" applyFont="1" applyFill="1" applyBorder="1" applyAlignment="1">
      <alignment horizontal="center"/>
    </xf>
    <xf numFmtId="0" fontId="21" fillId="6" borderId="7" xfId="0" applyFont="1" applyFill="1" applyBorder="1" applyAlignment="1">
      <alignment horizontal="center"/>
    </xf>
    <xf numFmtId="0" fontId="20" fillId="6" borderId="7" xfId="0" applyFont="1" applyFill="1" applyBorder="1" applyAlignment="1">
      <alignment horizontal="center"/>
    </xf>
    <xf numFmtId="0" fontId="19" fillId="6" borderId="199" xfId="1" applyFill="1" applyBorder="1"/>
    <xf numFmtId="0" fontId="26" fillId="6" borderId="4" xfId="1" applyFont="1" applyFill="1" applyBorder="1" applyAlignment="1">
      <alignment horizontal="center" vertical="center"/>
    </xf>
    <xf numFmtId="0" fontId="26" fillId="6" borderId="0" xfId="1" applyFont="1" applyFill="1" applyBorder="1" applyAlignment="1">
      <alignment horizontal="center" vertical="center"/>
    </xf>
    <xf numFmtId="164" fontId="19" fillId="6" borderId="5" xfId="1" applyNumberFormat="1" applyFill="1" applyBorder="1"/>
    <xf numFmtId="0" fontId="19" fillId="6" borderId="5" xfId="1" applyFont="1" applyFill="1" applyBorder="1"/>
    <xf numFmtId="0" fontId="19" fillId="4" borderId="0" xfId="1" applyFill="1"/>
    <xf numFmtId="0" fontId="1" fillId="0" borderId="0" xfId="20893" applyNumberFormat="1" applyFill="1"/>
    <xf numFmtId="0" fontId="1" fillId="0" borderId="0" xfId="20893" applyNumberFormat="1"/>
    <xf numFmtId="0" fontId="230" fillId="0" borderId="198" xfId="20894" applyFont="1" applyFill="1" applyBorder="1" applyAlignment="1">
      <alignment vertical="center" wrapText="1"/>
    </xf>
    <xf numFmtId="0" fontId="1" fillId="0" borderId="0" xfId="20893"/>
    <xf numFmtId="0" fontId="1" fillId="0" borderId="0" xfId="20893" applyFill="1"/>
    <xf numFmtId="0" fontId="1" fillId="0" borderId="0" xfId="20893" applyBorder="1"/>
    <xf numFmtId="165" fontId="1" fillId="0" borderId="0" xfId="20893" applyNumberFormat="1" applyBorder="1"/>
    <xf numFmtId="0" fontId="1" fillId="0" borderId="0" xfId="20893" applyAlignment="1">
      <alignment horizontal="center"/>
    </xf>
    <xf numFmtId="11" fontId="1" fillId="0" borderId="0" xfId="20893" applyNumberFormat="1"/>
    <xf numFmtId="0" fontId="233" fillId="0" borderId="0" xfId="20893" applyFont="1" applyFill="1" applyBorder="1"/>
    <xf numFmtId="2" fontId="233" fillId="0" borderId="0" xfId="20893" applyNumberFormat="1" applyFont="1" applyFill="1" applyBorder="1" applyAlignment="1">
      <alignment horizontal="center"/>
    </xf>
    <xf numFmtId="2" fontId="234" fillId="0" borderId="0" xfId="20893" applyNumberFormat="1" applyFont="1" applyFill="1" applyBorder="1" applyAlignment="1">
      <alignment horizontal="center"/>
    </xf>
    <xf numFmtId="0" fontId="1" fillId="0" borderId="1" xfId="20893" applyBorder="1"/>
    <xf numFmtId="0" fontId="1" fillId="0" borderId="2" xfId="20893" applyBorder="1"/>
    <xf numFmtId="0" fontId="1" fillId="0" borderId="3" xfId="20893" applyBorder="1"/>
    <xf numFmtId="0" fontId="1" fillId="0" borderId="198" xfId="20893" applyBorder="1"/>
    <xf numFmtId="165" fontId="1" fillId="0" borderId="199" xfId="20893" applyNumberFormat="1" applyBorder="1"/>
    <xf numFmtId="0" fontId="232" fillId="3" borderId="226" xfId="20894" applyFont="1" applyFill="1" applyBorder="1" applyAlignment="1">
      <alignment horizontal="left"/>
    </xf>
    <xf numFmtId="165" fontId="232" fillId="0" borderId="214" xfId="20894" quotePrefix="1" applyNumberFormat="1" applyFont="1" applyFill="1" applyBorder="1" applyAlignment="1">
      <alignment horizontal="center"/>
    </xf>
    <xf numFmtId="2" fontId="232" fillId="0" borderId="0" xfId="20894" applyNumberFormat="1" applyFont="1" applyFill="1" applyBorder="1" applyAlignment="1">
      <alignment horizontal="left"/>
    </xf>
    <xf numFmtId="0" fontId="1" fillId="0" borderId="0" xfId="20893" applyFont="1" applyFill="1" applyBorder="1"/>
    <xf numFmtId="0" fontId="1" fillId="0" borderId="0" xfId="20893" applyFont="1"/>
    <xf numFmtId="0" fontId="232" fillId="3" borderId="234" xfId="20894" applyFont="1" applyFill="1" applyBorder="1" applyAlignment="1">
      <alignment horizontal="left"/>
    </xf>
    <xf numFmtId="223" fontId="232" fillId="0" borderId="0" xfId="20894" applyNumberFormat="1" applyFont="1" applyFill="1" applyBorder="1" applyAlignment="1">
      <alignment horizontal="center"/>
    </xf>
    <xf numFmtId="0" fontId="1" fillId="0" borderId="0" xfId="20893" applyFill="1" applyBorder="1"/>
    <xf numFmtId="2" fontId="232" fillId="0" borderId="0" xfId="20894" applyNumberFormat="1" applyFont="1" applyFill="1" applyBorder="1" applyAlignment="1">
      <alignment horizontal="center"/>
    </xf>
    <xf numFmtId="0" fontId="232" fillId="3" borderId="228" xfId="20894" applyFont="1" applyFill="1" applyBorder="1" applyAlignment="1">
      <alignment horizontal="left"/>
    </xf>
    <xf numFmtId="165" fontId="232" fillId="0" borderId="217" xfId="20894" quotePrefix="1" applyNumberFormat="1" applyFont="1" applyFill="1" applyBorder="1" applyAlignment="1">
      <alignment horizontal="center"/>
    </xf>
    <xf numFmtId="0" fontId="231" fillId="0" borderId="0" xfId="20893" applyFont="1" applyBorder="1"/>
    <xf numFmtId="0" fontId="232" fillId="0" borderId="0" xfId="20893" applyNumberFormat="1" applyFont="1" applyFill="1"/>
    <xf numFmtId="0" fontId="231" fillId="0" borderId="0" xfId="20893" applyNumberFormat="1" applyFont="1" applyFill="1"/>
    <xf numFmtId="164" fontId="1" fillId="0" borderId="197" xfId="20893" applyNumberFormat="1" applyBorder="1"/>
    <xf numFmtId="0" fontId="1" fillId="6" borderId="5" xfId="20893" applyNumberFormat="1" applyFill="1" applyBorder="1"/>
    <xf numFmtId="0" fontId="1" fillId="6" borderId="5" xfId="20893" applyFill="1" applyBorder="1"/>
    <xf numFmtId="0" fontId="1" fillId="6" borderId="5" xfId="20893" applyFill="1" applyBorder="1" applyAlignment="1">
      <alignment horizontal="center"/>
    </xf>
    <xf numFmtId="165" fontId="233" fillId="6" borderId="5" xfId="20893" applyNumberFormat="1" applyFont="1" applyFill="1" applyBorder="1" applyAlignment="1">
      <alignment horizontal="center"/>
    </xf>
    <xf numFmtId="0" fontId="1" fillId="6" borderId="4" xfId="20893" applyNumberFormat="1" applyFill="1" applyBorder="1"/>
    <xf numFmtId="0" fontId="1" fillId="6" borderId="4" xfId="20893" applyFill="1" applyBorder="1"/>
    <xf numFmtId="0" fontId="1" fillId="6" borderId="197" xfId="20893" applyFill="1" applyBorder="1"/>
    <xf numFmtId="0" fontId="1" fillId="6" borderId="198" xfId="20893" applyFill="1" applyBorder="1"/>
    <xf numFmtId="0" fontId="1" fillId="6" borderId="199" xfId="20893" applyFill="1" applyBorder="1"/>
    <xf numFmtId="0" fontId="238" fillId="0" borderId="1" xfId="20893" applyNumberFormat="1" applyFont="1" applyFill="1" applyBorder="1"/>
    <xf numFmtId="0" fontId="238" fillId="0" borderId="2" xfId="20893" applyNumberFormat="1" applyFont="1" applyBorder="1"/>
    <xf numFmtId="0" fontId="238" fillId="0" borderId="3" xfId="20893" applyNumberFormat="1" applyFont="1" applyBorder="1"/>
    <xf numFmtId="0" fontId="238" fillId="0" borderId="4" xfId="20893" applyFont="1" applyBorder="1"/>
    <xf numFmtId="0" fontId="238" fillId="0" borderId="0" xfId="20893" applyFont="1" applyBorder="1"/>
    <xf numFmtId="0" fontId="238" fillId="0" borderId="5" xfId="20893" applyFont="1" applyBorder="1"/>
    <xf numFmtId="0" fontId="239" fillId="0" borderId="4" xfId="20893" applyFont="1" applyBorder="1"/>
    <xf numFmtId="0" fontId="238" fillId="0" borderId="234" xfId="20893" applyFont="1" applyBorder="1"/>
    <xf numFmtId="0" fontId="238" fillId="0" borderId="236" xfId="20893" applyFont="1" applyBorder="1"/>
    <xf numFmtId="0" fontId="238" fillId="0" borderId="215" xfId="20893" applyFont="1" applyBorder="1" applyAlignment="1">
      <alignment horizontal="center"/>
    </xf>
    <xf numFmtId="0" fontId="238" fillId="0" borderId="216" xfId="20893" applyFont="1" applyBorder="1" applyAlignment="1">
      <alignment horizontal="center"/>
    </xf>
    <xf numFmtId="0" fontId="238" fillId="0" borderId="51" xfId="20893" applyFont="1" applyBorder="1"/>
    <xf numFmtId="0" fontId="238" fillId="0" borderId="200" xfId="20893" applyFont="1" applyBorder="1"/>
    <xf numFmtId="0" fontId="238" fillId="87" borderId="215" xfId="20893" applyFont="1" applyFill="1" applyBorder="1" applyAlignment="1">
      <alignment horizontal="center"/>
    </xf>
    <xf numFmtId="0" fontId="238" fillId="0" borderId="215" xfId="20893" applyFont="1" applyBorder="1"/>
    <xf numFmtId="0" fontId="238" fillId="0" borderId="216" xfId="20893" applyFont="1" applyBorder="1"/>
    <xf numFmtId="0" fontId="238" fillId="0" borderId="232" xfId="20893" applyFont="1" applyBorder="1" applyAlignment="1">
      <alignment horizontal="center"/>
    </xf>
    <xf numFmtId="0" fontId="238" fillId="0" borderId="0" xfId="20893" applyFont="1" applyBorder="1" applyAlignment="1">
      <alignment horizontal="center"/>
    </xf>
    <xf numFmtId="0" fontId="238" fillId="0" borderId="5" xfId="20893" applyFont="1" applyBorder="1" applyAlignment="1">
      <alignment horizontal="center"/>
    </xf>
    <xf numFmtId="0" fontId="238" fillId="87" borderId="56" xfId="20893" applyFont="1" applyFill="1" applyBorder="1" applyAlignment="1">
      <alignment horizontal="center"/>
    </xf>
    <xf numFmtId="0" fontId="238" fillId="0" borderId="0" xfId="20893" applyFont="1" applyFill="1" applyBorder="1" applyAlignment="1">
      <alignment horizontal="center"/>
    </xf>
    <xf numFmtId="0" fontId="240" fillId="0" borderId="4" xfId="20893" applyFont="1" applyFill="1" applyBorder="1"/>
    <xf numFmtId="0" fontId="238" fillId="87" borderId="236" xfId="20893" applyFont="1" applyFill="1" applyBorder="1"/>
    <xf numFmtId="0" fontId="238" fillId="0" borderId="232" xfId="20893" applyFont="1" applyBorder="1"/>
    <xf numFmtId="0" fontId="238" fillId="87" borderId="200" xfId="20893" applyFont="1" applyFill="1" applyBorder="1"/>
    <xf numFmtId="0" fontId="238" fillId="0" borderId="56" xfId="20893" applyFont="1" applyBorder="1"/>
    <xf numFmtId="0" fontId="239" fillId="0" borderId="215" xfId="20893" applyFont="1" applyBorder="1" applyAlignment="1">
      <alignment horizontal="centerContinuous" wrapText="1"/>
    </xf>
    <xf numFmtId="0" fontId="239" fillId="0" borderId="215" xfId="20893" applyFont="1" applyBorder="1" applyAlignment="1">
      <alignment horizontal="centerContinuous"/>
    </xf>
    <xf numFmtId="0" fontId="239" fillId="0" borderId="225" xfId="20893" applyFont="1" applyBorder="1" applyAlignment="1">
      <alignment horizontal="centerContinuous"/>
    </xf>
    <xf numFmtId="0" fontId="239" fillId="0" borderId="220" xfId="20893" applyFont="1" applyBorder="1" applyAlignment="1">
      <alignment horizontal="centerContinuous"/>
    </xf>
    <xf numFmtId="0" fontId="239" fillId="0" borderId="215" xfId="20893" applyFont="1" applyBorder="1" applyAlignment="1">
      <alignment horizontal="center"/>
    </xf>
    <xf numFmtId="0" fontId="238" fillId="0" borderId="226" xfId="20893" applyFont="1" applyBorder="1"/>
    <xf numFmtId="0" fontId="238" fillId="0" borderId="225" xfId="20893" applyFont="1" applyBorder="1"/>
    <xf numFmtId="0" fontId="238" fillId="0" borderId="222" xfId="20893" applyFont="1" applyBorder="1"/>
    <xf numFmtId="2" fontId="238" fillId="0" borderId="215" xfId="20893" applyNumberFormat="1" applyFont="1" applyBorder="1" applyAlignment="1">
      <alignment horizontal="center"/>
    </xf>
    <xf numFmtId="165" fontId="238" fillId="0" borderId="215" xfId="20893" applyNumberFormat="1" applyFont="1" applyBorder="1" applyAlignment="1">
      <alignment horizontal="center"/>
    </xf>
    <xf numFmtId="0" fontId="238" fillId="0" borderId="52" xfId="20893" applyFont="1" applyBorder="1"/>
    <xf numFmtId="0" fontId="238" fillId="0" borderId="234" xfId="20893" applyFont="1" applyBorder="1" applyAlignment="1">
      <alignment horizontal="left" indent="1"/>
    </xf>
    <xf numFmtId="0" fontId="238" fillId="0" borderId="4" xfId="20893" applyFont="1" applyBorder="1" applyAlignment="1">
      <alignment horizontal="left" indent="1"/>
    </xf>
    <xf numFmtId="165" fontId="238" fillId="0" borderId="215" xfId="20893" applyNumberFormat="1" applyFont="1" applyFill="1" applyBorder="1" applyAlignment="1">
      <alignment horizontal="center"/>
    </xf>
    <xf numFmtId="0" fontId="238" fillId="0" borderId="51" xfId="20893" applyFont="1" applyBorder="1" applyAlignment="1">
      <alignment horizontal="left" indent="1"/>
    </xf>
    <xf numFmtId="0" fontId="238" fillId="0" borderId="220" xfId="20893" applyFont="1" applyBorder="1" applyAlignment="1"/>
    <xf numFmtId="0" fontId="239" fillId="0" borderId="226" xfId="20893" applyFont="1" applyBorder="1" applyAlignment="1">
      <alignment horizontal="left"/>
    </xf>
    <xf numFmtId="0" fontId="238" fillId="0" borderId="221" xfId="20893" applyFont="1" applyBorder="1" applyAlignment="1"/>
    <xf numFmtId="0" fontId="238" fillId="0" borderId="222" xfId="20893" applyFont="1" applyBorder="1" applyAlignment="1"/>
    <xf numFmtId="0" fontId="238" fillId="0" borderId="234" xfId="20893" applyFont="1" applyFill="1" applyBorder="1"/>
    <xf numFmtId="0" fontId="238" fillId="0" borderId="4" xfId="20893" applyFont="1" applyFill="1" applyBorder="1"/>
    <xf numFmtId="0" fontId="238" fillId="0" borderId="51" xfId="20893" applyFont="1" applyFill="1" applyBorder="1"/>
    <xf numFmtId="0" fontId="238" fillId="0" borderId="215" xfId="20893" applyFont="1" applyFill="1" applyBorder="1"/>
    <xf numFmtId="0" fontId="238" fillId="0" borderId="197" xfId="20893" applyFont="1" applyBorder="1"/>
    <xf numFmtId="0" fontId="238" fillId="0" borderId="198" xfId="20893" applyFont="1" applyBorder="1"/>
    <xf numFmtId="2" fontId="151" fillId="0" borderId="218" xfId="20893" applyNumberFormat="1" applyFont="1" applyFill="1" applyBorder="1" applyAlignment="1">
      <alignment horizontal="center"/>
    </xf>
    <xf numFmtId="0" fontId="238" fillId="6" borderId="0" xfId="20893" applyFont="1" applyFill="1"/>
    <xf numFmtId="0" fontId="239" fillId="0" borderId="1" xfId="20893" applyFont="1" applyBorder="1"/>
    <xf numFmtId="0" fontId="238" fillId="0" borderId="2" xfId="20893" applyFont="1" applyBorder="1"/>
    <xf numFmtId="0" fontId="238" fillId="0" borderId="3" xfId="20893" applyFont="1" applyBorder="1"/>
    <xf numFmtId="0" fontId="238" fillId="0" borderId="199" xfId="20893" applyFont="1" applyBorder="1"/>
    <xf numFmtId="0" fontId="151" fillId="0" borderId="197" xfId="20893" applyFont="1" applyBorder="1"/>
    <xf numFmtId="0" fontId="238" fillId="0" borderId="215" xfId="20893" applyFont="1" applyFill="1" applyBorder="1" applyAlignment="1">
      <alignment horizontal="center"/>
    </xf>
    <xf numFmtId="2" fontId="238" fillId="0" borderId="215" xfId="20893" applyNumberFormat="1" applyFont="1" applyFill="1" applyBorder="1" applyAlignment="1">
      <alignment horizontal="center"/>
    </xf>
    <xf numFmtId="1" fontId="238" fillId="0" borderId="215" xfId="20893" applyNumberFormat="1" applyFont="1" applyFill="1" applyBorder="1" applyAlignment="1">
      <alignment horizontal="center"/>
    </xf>
    <xf numFmtId="9" fontId="238" fillId="0" borderId="215" xfId="20893" applyNumberFormat="1" applyFont="1" applyFill="1" applyBorder="1" applyAlignment="1">
      <alignment horizontal="center"/>
    </xf>
    <xf numFmtId="167" fontId="238" fillId="0" borderId="215" xfId="20893" applyNumberFormat="1" applyFont="1" applyFill="1" applyBorder="1" applyAlignment="1">
      <alignment horizontal="center"/>
    </xf>
    <xf numFmtId="0" fontId="239" fillId="0" borderId="220" xfId="20893" applyFont="1" applyBorder="1" applyAlignment="1">
      <alignment horizontal="center"/>
    </xf>
    <xf numFmtId="0" fontId="238" fillId="0" borderId="220" xfId="20893" applyFont="1" applyFill="1" applyBorder="1"/>
    <xf numFmtId="0" fontId="238" fillId="0" borderId="220" xfId="20893" applyFont="1" applyFill="1" applyBorder="1" applyAlignment="1">
      <alignment horizontal="center"/>
    </xf>
    <xf numFmtId="164" fontId="238" fillId="0" borderId="220" xfId="20893" applyNumberFormat="1" applyFont="1" applyFill="1" applyBorder="1" applyAlignment="1">
      <alignment horizontal="center"/>
    </xf>
    <xf numFmtId="1" fontId="238" fillId="0" borderId="220" xfId="20893" applyNumberFormat="1" applyFont="1" applyFill="1" applyBorder="1" applyAlignment="1">
      <alignment horizontal="center"/>
    </xf>
    <xf numFmtId="2" fontId="238" fillId="0" borderId="220" xfId="20893" applyNumberFormat="1" applyFont="1" applyBorder="1" applyAlignment="1">
      <alignment horizontal="center"/>
    </xf>
    <xf numFmtId="9" fontId="151" fillId="0" borderId="220" xfId="20893" applyNumberFormat="1" applyFont="1" applyFill="1" applyBorder="1" applyAlignment="1">
      <alignment horizontal="center"/>
    </xf>
    <xf numFmtId="0" fontId="238" fillId="0" borderId="220" xfId="20893" applyFont="1" applyBorder="1"/>
    <xf numFmtId="165" fontId="238" fillId="0" borderId="220" xfId="20893" applyNumberFormat="1" applyFont="1" applyBorder="1" applyAlignment="1">
      <alignment horizontal="center"/>
    </xf>
    <xf numFmtId="165" fontId="151" fillId="0" borderId="220" xfId="20893" applyNumberFormat="1" applyFont="1" applyFill="1" applyBorder="1" applyAlignment="1">
      <alignment horizontal="center"/>
    </xf>
    <xf numFmtId="165" fontId="151" fillId="0" borderId="220" xfId="20893" applyNumberFormat="1" applyFont="1" applyBorder="1" applyAlignment="1">
      <alignment horizontal="center"/>
    </xf>
    <xf numFmtId="2" fontId="151" fillId="0" borderId="220" xfId="20893" applyNumberFormat="1" applyFont="1" applyBorder="1" applyAlignment="1">
      <alignment horizontal="center"/>
    </xf>
    <xf numFmtId="2" fontId="151" fillId="0" borderId="229" xfId="20893" applyNumberFormat="1" applyFont="1" applyFill="1" applyBorder="1" applyAlignment="1">
      <alignment horizontal="center"/>
    </xf>
    <xf numFmtId="0" fontId="239" fillId="0" borderId="233" xfId="20893" applyFont="1" applyBorder="1" applyAlignment="1">
      <alignment horizontal="center"/>
    </xf>
    <xf numFmtId="0" fontId="238" fillId="0" borderId="233" xfId="20893" applyFont="1" applyFill="1" applyBorder="1"/>
    <xf numFmtId="2" fontId="238" fillId="0" borderId="233" xfId="20893" applyNumberFormat="1" applyFont="1" applyFill="1" applyBorder="1" applyAlignment="1">
      <alignment horizontal="center"/>
    </xf>
    <xf numFmtId="1" fontId="238" fillId="0" borderId="233" xfId="20893" applyNumberFormat="1" applyFont="1" applyFill="1" applyBorder="1" applyAlignment="1">
      <alignment horizontal="center"/>
    </xf>
    <xf numFmtId="2" fontId="238" fillId="0" borderId="233" xfId="20893" applyNumberFormat="1" applyFont="1" applyBorder="1" applyAlignment="1">
      <alignment horizontal="center"/>
    </xf>
    <xf numFmtId="9" fontId="151" fillId="0" borderId="233" xfId="20893" applyNumberFormat="1" applyFont="1" applyFill="1" applyBorder="1" applyAlignment="1">
      <alignment horizontal="center"/>
    </xf>
    <xf numFmtId="9" fontId="238" fillId="0" borderId="233" xfId="20893" applyNumberFormat="1" applyFont="1" applyFill="1" applyBorder="1" applyAlignment="1">
      <alignment horizontal="center"/>
    </xf>
    <xf numFmtId="9" fontId="239" fillId="0" borderId="233" xfId="20893" applyNumberFormat="1" applyFont="1" applyFill="1" applyBorder="1" applyAlignment="1">
      <alignment horizontal="center"/>
    </xf>
    <xf numFmtId="165" fontId="238" fillId="0" borderId="233" xfId="20893" applyNumberFormat="1" applyFont="1" applyFill="1" applyBorder="1" applyAlignment="1">
      <alignment horizontal="center"/>
    </xf>
    <xf numFmtId="0" fontId="238" fillId="0" borderId="233" xfId="20893" applyFont="1" applyBorder="1" applyAlignment="1"/>
    <xf numFmtId="2" fontId="238" fillId="0" borderId="231" xfId="20893" applyNumberFormat="1" applyFont="1" applyFill="1" applyBorder="1" applyAlignment="1">
      <alignment horizontal="center"/>
    </xf>
    <xf numFmtId="0" fontId="20" fillId="6" borderId="2" xfId="1194" applyFont="1" applyFill="1" applyBorder="1"/>
    <xf numFmtId="0" fontId="33" fillId="0" borderId="126" xfId="1" applyFont="1" applyFill="1" applyBorder="1" applyAlignment="1">
      <alignment horizontal="center" vertical="center"/>
    </xf>
    <xf numFmtId="0" fontId="231" fillId="0" borderId="4" xfId="0" applyNumberFormat="1" applyFont="1" applyBorder="1"/>
    <xf numFmtId="165" fontId="231" fillId="0" borderId="239" xfId="0" applyNumberFormat="1" applyFont="1" applyFill="1" applyBorder="1" applyAlignment="1">
      <alignment horizontal="center"/>
    </xf>
    <xf numFmtId="2" fontId="232" fillId="0" borderId="215" xfId="0" applyNumberFormat="1" applyFont="1" applyBorder="1" applyAlignment="1">
      <alignment horizontal="center"/>
    </xf>
    <xf numFmtId="165" fontId="232" fillId="0" borderId="214" xfId="0" quotePrefix="1" applyNumberFormat="1" applyFont="1" applyFill="1" applyBorder="1" applyAlignment="1">
      <alignment horizontal="center"/>
    </xf>
    <xf numFmtId="165" fontId="232" fillId="0" borderId="217" xfId="0" quotePrefix="1" applyNumberFormat="1" applyFont="1" applyFill="1" applyBorder="1" applyAlignment="1">
      <alignment horizontal="center"/>
    </xf>
    <xf numFmtId="2" fontId="231" fillId="0" borderId="218" xfId="0" applyNumberFormat="1" applyFont="1" applyBorder="1" applyAlignment="1">
      <alignment horizontal="center"/>
    </xf>
    <xf numFmtId="2" fontId="232" fillId="0" borderId="218" xfId="0" applyNumberFormat="1" applyFont="1" applyBorder="1" applyAlignment="1">
      <alignment horizontal="center"/>
    </xf>
    <xf numFmtId="0" fontId="231" fillId="0" borderId="200" xfId="0" applyFont="1" applyBorder="1"/>
    <xf numFmtId="0" fontId="231" fillId="0" borderId="56" xfId="0" applyFont="1" applyBorder="1"/>
    <xf numFmtId="0" fontId="231" fillId="0" borderId="225" xfId="0" applyFont="1" applyBorder="1"/>
    <xf numFmtId="0" fontId="231" fillId="0" borderId="222" xfId="0" applyFont="1" applyBorder="1"/>
    <xf numFmtId="0" fontId="231" fillId="0" borderId="215" xfId="0" applyFont="1" applyFill="1" applyBorder="1" applyAlignment="1">
      <alignment horizontal="center"/>
    </xf>
    <xf numFmtId="0" fontId="231" fillId="0" borderId="225" xfId="0" applyFont="1" applyFill="1" applyBorder="1" applyAlignment="1">
      <alignment horizontal="center"/>
    </xf>
    <xf numFmtId="0" fontId="231" fillId="0" borderId="0" xfId="0" applyFont="1" applyBorder="1"/>
    <xf numFmtId="0" fontId="231" fillId="0" borderId="0" xfId="0" applyFont="1" applyFill="1" applyBorder="1" applyAlignment="1">
      <alignment horizontal="center"/>
    </xf>
    <xf numFmtId="0" fontId="231" fillId="0" borderId="37" xfId="0" applyNumberFormat="1" applyFont="1" applyBorder="1"/>
    <xf numFmtId="0" fontId="231" fillId="0" borderId="39" xfId="0" applyNumberFormat="1" applyFont="1" applyBorder="1"/>
    <xf numFmtId="0" fontId="231" fillId="0" borderId="214" xfId="0" applyNumberFormat="1" applyFont="1" applyBorder="1"/>
    <xf numFmtId="1" fontId="231" fillId="88" borderId="216" xfId="0" applyNumberFormat="1" applyFont="1" applyFill="1" applyBorder="1" applyAlignment="1">
      <alignment horizontal="center"/>
    </xf>
    <xf numFmtId="0" fontId="231" fillId="0" borderId="0" xfId="0" applyNumberFormat="1" applyFont="1" applyFill="1" applyBorder="1"/>
    <xf numFmtId="0" fontId="236" fillId="0" borderId="0" xfId="0" applyNumberFormat="1" applyFont="1" applyFill="1" applyBorder="1"/>
    <xf numFmtId="0" fontId="231" fillId="0" borderId="40" xfId="0" applyNumberFormat="1" applyFont="1" applyFill="1" applyBorder="1"/>
    <xf numFmtId="0" fontId="231" fillId="0" borderId="41" xfId="0" applyFont="1" applyBorder="1" applyAlignment="1">
      <alignment horizontal="center"/>
    </xf>
    <xf numFmtId="0" fontId="231" fillId="0" borderId="23" xfId="0" applyFont="1" applyBorder="1" applyAlignment="1">
      <alignment horizontal="center"/>
    </xf>
    <xf numFmtId="0" fontId="231" fillId="0" borderId="217" xfId="0" applyNumberFormat="1" applyFont="1" applyFill="1" applyBorder="1"/>
    <xf numFmtId="0" fontId="231" fillId="0" borderId="218" xfId="0" applyFont="1" applyBorder="1" applyAlignment="1">
      <alignment horizontal="center"/>
    </xf>
    <xf numFmtId="0" fontId="231" fillId="0" borderId="219" xfId="0" applyFont="1" applyBorder="1" applyAlignment="1">
      <alignment horizontal="center"/>
    </xf>
    <xf numFmtId="37" fontId="231" fillId="0" borderId="41" xfId="0" applyNumberFormat="1" applyFont="1" applyBorder="1"/>
    <xf numFmtId="10" fontId="232" fillId="0" borderId="41" xfId="20898" applyNumberFormat="1" applyFont="1" applyBorder="1" applyAlignment="1">
      <alignment horizontal="right"/>
    </xf>
    <xf numFmtId="37" fontId="231" fillId="0" borderId="215" xfId="0" applyNumberFormat="1" applyFont="1" applyBorder="1"/>
    <xf numFmtId="10" fontId="232" fillId="0" borderId="215" xfId="20898" applyNumberFormat="1" applyFont="1" applyFill="1" applyBorder="1" applyAlignment="1">
      <alignment horizontal="right"/>
    </xf>
    <xf numFmtId="0" fontId="231" fillId="0" borderId="215" xfId="0" applyFont="1" applyBorder="1"/>
    <xf numFmtId="0" fontId="236" fillId="0" borderId="215" xfId="0" applyNumberFormat="1" applyFont="1" applyFill="1" applyBorder="1"/>
    <xf numFmtId="176" fontId="231" fillId="0" borderId="215" xfId="20898" applyNumberFormat="1" applyFont="1" applyBorder="1"/>
    <xf numFmtId="10" fontId="231" fillId="0" borderId="215" xfId="20898" applyNumberFormat="1" applyFont="1" applyBorder="1"/>
    <xf numFmtId="0" fontId="232" fillId="0" borderId="0" xfId="0" applyNumberFormat="1" applyFont="1" applyFill="1" applyBorder="1" applyAlignment="1">
      <alignment horizontal="center"/>
    </xf>
    <xf numFmtId="0" fontId="232" fillId="0" borderId="51" xfId="0" applyNumberFormat="1" applyFont="1" applyBorder="1" applyAlignment="1"/>
    <xf numFmtId="0" fontId="205" fillId="0" borderId="200" xfId="0" applyNumberFormat="1" applyFont="1" applyBorder="1" applyAlignment="1">
      <alignment horizontal="center"/>
    </xf>
    <xf numFmtId="0" fontId="232" fillId="0" borderId="5" xfId="0" applyNumberFormat="1" applyFont="1" applyBorder="1"/>
    <xf numFmtId="0" fontId="205" fillId="0" borderId="228" xfId="0" applyFont="1" applyBorder="1"/>
    <xf numFmtId="0" fontId="232" fillId="0" borderId="229" xfId="0" applyNumberFormat="1" applyFont="1" applyBorder="1"/>
    <xf numFmtId="0" fontId="205" fillId="0" borderId="249" xfId="0" applyFont="1" applyBorder="1"/>
    <xf numFmtId="0" fontId="232" fillId="0" borderId="248" xfId="0" applyNumberFormat="1" applyFont="1" applyBorder="1"/>
    <xf numFmtId="0" fontId="205" fillId="0" borderId="248" xfId="0" applyFont="1" applyFill="1" applyBorder="1" applyAlignment="1">
      <alignment horizontal="left"/>
    </xf>
    <xf numFmtId="0" fontId="205" fillId="0" borderId="248" xfId="0" applyNumberFormat="1" applyFont="1" applyBorder="1"/>
    <xf numFmtId="0" fontId="205" fillId="0" borderId="218" xfId="0" applyFont="1" applyFill="1" applyBorder="1" applyAlignment="1">
      <alignment horizontal="center"/>
    </xf>
    <xf numFmtId="0" fontId="205" fillId="0" borderId="218" xfId="0" applyNumberFormat="1" applyFont="1" applyBorder="1" applyAlignment="1">
      <alignment horizontal="center"/>
    </xf>
    <xf numFmtId="0" fontId="205" fillId="0" borderId="219" xfId="0" applyNumberFormat="1" applyFont="1" applyBorder="1" applyAlignment="1">
      <alignment horizontal="center"/>
    </xf>
    <xf numFmtId="0" fontId="205" fillId="0" borderId="250" xfId="0" applyNumberFormat="1" applyFont="1" applyBorder="1" applyAlignment="1">
      <alignment horizontal="center"/>
    </xf>
    <xf numFmtId="0" fontId="232" fillId="0" borderId="24" xfId="0" applyFont="1" applyBorder="1"/>
    <xf numFmtId="0" fontId="232" fillId="0" borderId="44" xfId="0" applyNumberFormat="1" applyFont="1" applyBorder="1"/>
    <xf numFmtId="0" fontId="232" fillId="0" borderId="41" xfId="0" applyFont="1" applyBorder="1"/>
    <xf numFmtId="0" fontId="232" fillId="0" borderId="41" xfId="0" applyNumberFormat="1" applyFont="1" applyBorder="1"/>
    <xf numFmtId="11" fontId="232" fillId="0" borderId="215" xfId="0" applyNumberFormat="1" applyFont="1" applyFill="1" applyBorder="1" applyAlignment="1">
      <alignment horizontal="right"/>
    </xf>
    <xf numFmtId="11" fontId="232" fillId="0" borderId="215" xfId="0" applyNumberFormat="1" applyFont="1" applyBorder="1" applyAlignment="1">
      <alignment horizontal="right"/>
    </xf>
    <xf numFmtId="2" fontId="232" fillId="0" borderId="41" xfId="0" applyNumberFormat="1" applyFont="1" applyFill="1" applyBorder="1" applyAlignment="1">
      <alignment horizontal="right"/>
    </xf>
    <xf numFmtId="2" fontId="232" fillId="0" borderId="41" xfId="0" applyNumberFormat="1" applyFont="1" applyBorder="1" applyAlignment="1">
      <alignment horizontal="right"/>
    </xf>
    <xf numFmtId="0" fontId="232" fillId="0" borderId="23" xfId="0" applyNumberFormat="1" applyFont="1" applyBorder="1" applyAlignment="1">
      <alignment horizontal="center"/>
    </xf>
    <xf numFmtId="0" fontId="232" fillId="0" borderId="226" xfId="0" applyFont="1" applyFill="1" applyBorder="1"/>
    <xf numFmtId="0" fontId="232" fillId="0" borderId="222" xfId="0" applyNumberFormat="1" applyFont="1" applyBorder="1"/>
    <xf numFmtId="4" fontId="232" fillId="0" borderId="38" xfId="0" applyNumberFormat="1" applyFont="1" applyBorder="1"/>
    <xf numFmtId="4" fontId="232" fillId="0" borderId="215" xfId="0" applyNumberFormat="1" applyFont="1" applyBorder="1"/>
    <xf numFmtId="0" fontId="232" fillId="0" borderId="216" xfId="0" applyNumberFormat="1" applyFont="1" applyBorder="1" applyAlignment="1">
      <alignment horizontal="center"/>
    </xf>
    <xf numFmtId="0" fontId="232" fillId="0" borderId="51" xfId="0" applyFont="1" applyBorder="1"/>
    <xf numFmtId="0" fontId="232" fillId="0" borderId="56" xfId="0" applyNumberFormat="1" applyFont="1" applyBorder="1"/>
    <xf numFmtId="0" fontId="232" fillId="0" borderId="215" xfId="0" applyFont="1" applyBorder="1"/>
    <xf numFmtId="0" fontId="232" fillId="0" borderId="215" xfId="0" applyNumberFormat="1" applyFont="1" applyBorder="1"/>
    <xf numFmtId="11" fontId="232" fillId="0" borderId="215" xfId="0" applyNumberFormat="1" applyFont="1" applyFill="1" applyBorder="1"/>
    <xf numFmtId="0" fontId="232" fillId="0" borderId="226" xfId="0" applyFont="1" applyBorder="1"/>
    <xf numFmtId="0" fontId="232" fillId="0" borderId="228" xfId="0" applyFont="1" applyBorder="1"/>
    <xf numFmtId="0" fontId="232" fillId="0" borderId="223" xfId="0" applyNumberFormat="1" applyFont="1" applyBorder="1"/>
    <xf numFmtId="0" fontId="232" fillId="0" borderId="218" xfId="0" applyFont="1" applyBorder="1"/>
    <xf numFmtId="0" fontId="232" fillId="0" borderId="218" xfId="0" applyNumberFormat="1" applyFont="1" applyBorder="1"/>
    <xf numFmtId="11" fontId="232" fillId="0" borderId="218" xfId="0" applyNumberFormat="1" applyFont="1" applyFill="1" applyBorder="1"/>
    <xf numFmtId="4" fontId="232" fillId="0" borderId="218" xfId="0" applyNumberFormat="1" applyFont="1" applyBorder="1"/>
    <xf numFmtId="0" fontId="232" fillId="0" borderId="219" xfId="0" applyNumberFormat="1" applyFont="1" applyBorder="1" applyAlignment="1">
      <alignment horizontal="center"/>
    </xf>
    <xf numFmtId="0" fontId="232" fillId="0" borderId="24" xfId="0" applyFont="1" applyFill="1" applyBorder="1" applyAlignment="1">
      <alignment horizontal="left" indent="1"/>
    </xf>
    <xf numFmtId="0" fontId="232" fillId="0" borderId="44" xfId="0" applyNumberFormat="1" applyFont="1" applyBorder="1" applyAlignment="1">
      <alignment horizontal="left" indent="1"/>
    </xf>
    <xf numFmtId="0" fontId="232" fillId="0" borderId="41" xfId="0" applyFont="1" applyFill="1" applyBorder="1" applyAlignment="1">
      <alignment horizontal="left" indent="1"/>
    </xf>
    <xf numFmtId="0" fontId="232" fillId="0" borderId="41" xfId="0" applyNumberFormat="1" applyFont="1" applyFill="1" applyBorder="1" applyAlignment="1">
      <alignment horizontal="left" indent="1"/>
    </xf>
    <xf numFmtId="11" fontId="232" fillId="0" borderId="41" xfId="0" applyNumberFormat="1" applyFont="1" applyFill="1" applyBorder="1" applyAlignment="1">
      <alignment horizontal="center"/>
    </xf>
    <xf numFmtId="11" fontId="232" fillId="0" borderId="41" xfId="0" applyNumberFormat="1" applyFont="1" applyBorder="1" applyAlignment="1">
      <alignment horizontal="center"/>
    </xf>
    <xf numFmtId="0" fontId="232" fillId="0" borderId="51" xfId="0" applyFont="1" applyFill="1" applyBorder="1" applyAlignment="1">
      <alignment horizontal="left" indent="1"/>
    </xf>
    <xf numFmtId="0" fontId="232" fillId="0" borderId="56" xfId="0" applyNumberFormat="1" applyFont="1" applyBorder="1" applyAlignment="1">
      <alignment horizontal="left" indent="1"/>
    </xf>
    <xf numFmtId="11" fontId="232" fillId="0" borderId="38" xfId="0" applyNumberFormat="1" applyFont="1" applyBorder="1" applyAlignment="1">
      <alignment horizontal="center"/>
    </xf>
    <xf numFmtId="0" fontId="232" fillId="0" borderId="39" xfId="0" applyNumberFormat="1" applyFont="1" applyBorder="1" applyAlignment="1">
      <alignment horizontal="center"/>
    </xf>
    <xf numFmtId="0" fontId="232" fillId="0" borderId="51" xfId="0" applyFont="1" applyBorder="1" applyAlignment="1">
      <alignment horizontal="left" indent="1"/>
    </xf>
    <xf numFmtId="0" fontId="232" fillId="0" borderId="215" xfId="0" applyFont="1" applyBorder="1" applyAlignment="1">
      <alignment horizontal="left" indent="1"/>
    </xf>
    <xf numFmtId="0" fontId="232" fillId="0" borderId="215" xfId="0" applyNumberFormat="1" applyFont="1" applyBorder="1" applyAlignment="1">
      <alignment horizontal="left" indent="1"/>
    </xf>
    <xf numFmtId="11" fontId="232" fillId="0" borderId="215" xfId="0" applyNumberFormat="1" applyFont="1" applyFill="1" applyBorder="1" applyAlignment="1">
      <alignment horizontal="center"/>
    </xf>
    <xf numFmtId="11" fontId="232" fillId="0" borderId="215" xfId="0" applyNumberFormat="1" applyFont="1" applyBorder="1" applyAlignment="1">
      <alignment horizontal="center"/>
    </xf>
    <xf numFmtId="0" fontId="232" fillId="0" borderId="226" xfId="0" applyFont="1" applyBorder="1" applyAlignment="1">
      <alignment horizontal="left" indent="1"/>
    </xf>
    <xf numFmtId="0" fontId="232" fillId="0" borderId="222" xfId="0" applyNumberFormat="1" applyFont="1" applyBorder="1" applyAlignment="1">
      <alignment horizontal="left" indent="1"/>
    </xf>
    <xf numFmtId="0" fontId="232" fillId="0" borderId="226" xfId="0" applyFont="1" applyFill="1" applyBorder="1" applyAlignment="1">
      <alignment horizontal="left" indent="1"/>
    </xf>
    <xf numFmtId="0" fontId="232" fillId="0" borderId="222" xfId="0" applyNumberFormat="1" applyFont="1" applyFill="1" applyBorder="1" applyAlignment="1">
      <alignment horizontal="left" indent="1"/>
    </xf>
    <xf numFmtId="0" fontId="232" fillId="0" borderId="215" xfId="0" applyFont="1" applyFill="1" applyBorder="1" applyAlignment="1">
      <alignment horizontal="left" indent="1"/>
    </xf>
    <xf numFmtId="0" fontId="232" fillId="0" borderId="215" xfId="0" applyNumberFormat="1" applyFont="1" applyFill="1" applyBorder="1" applyAlignment="1">
      <alignment horizontal="left" indent="1"/>
    </xf>
    <xf numFmtId="0" fontId="232" fillId="0" borderId="216" xfId="0" applyNumberFormat="1" applyFont="1" applyFill="1" applyBorder="1" applyAlignment="1">
      <alignment horizontal="center"/>
    </xf>
    <xf numFmtId="0" fontId="232" fillId="0" borderId="222" xfId="0" applyFont="1" applyBorder="1" applyAlignment="1">
      <alignment horizontal="left" indent="1"/>
    </xf>
    <xf numFmtId="0" fontId="232" fillId="0" borderId="228" xfId="0" applyFont="1" applyBorder="1" applyAlignment="1">
      <alignment horizontal="left" indent="1"/>
    </xf>
    <xf numFmtId="0" fontId="232" fillId="0" borderId="223" xfId="0" applyNumberFormat="1" applyFont="1" applyBorder="1" applyAlignment="1">
      <alignment horizontal="left" indent="1"/>
    </xf>
    <xf numFmtId="0" fontId="232" fillId="0" borderId="218" xfId="0" applyFont="1" applyBorder="1" applyAlignment="1">
      <alignment horizontal="left" indent="1"/>
    </xf>
    <xf numFmtId="0" fontId="232" fillId="0" borderId="218" xfId="0" applyNumberFormat="1" applyFont="1" applyBorder="1" applyAlignment="1">
      <alignment horizontal="left" indent="1"/>
    </xf>
    <xf numFmtId="11" fontId="232" fillId="0" borderId="218" xfId="0" applyNumberFormat="1" applyFont="1" applyFill="1" applyBorder="1" applyAlignment="1">
      <alignment horizontal="center"/>
    </xf>
    <xf numFmtId="11" fontId="232" fillId="0" borderId="218" xfId="0" applyNumberFormat="1" applyFont="1" applyBorder="1" applyAlignment="1">
      <alignment horizontal="center"/>
    </xf>
    <xf numFmtId="0" fontId="231" fillId="6" borderId="4" xfId="20893" applyFont="1" applyFill="1" applyBorder="1"/>
    <xf numFmtId="0" fontId="231" fillId="6" borderId="5" xfId="20893" applyFont="1" applyFill="1" applyBorder="1"/>
    <xf numFmtId="0" fontId="236" fillId="6" borderId="5" xfId="20893" applyNumberFormat="1" applyFont="1" applyFill="1" applyBorder="1"/>
    <xf numFmtId="0" fontId="231" fillId="6" borderId="5" xfId="20893" applyNumberFormat="1" applyFont="1" applyFill="1" applyBorder="1"/>
    <xf numFmtId="0" fontId="232" fillId="6" borderId="5" xfId="20893" applyNumberFormat="1" applyFont="1" applyFill="1" applyBorder="1"/>
    <xf numFmtId="0" fontId="231" fillId="0" borderId="4" xfId="20893" applyFont="1" applyBorder="1"/>
    <xf numFmtId="0" fontId="231" fillId="0" borderId="5" xfId="20893" applyFont="1" applyBorder="1"/>
    <xf numFmtId="0" fontId="231" fillId="0" borderId="0" xfId="0" applyNumberFormat="1" applyFont="1" applyBorder="1"/>
    <xf numFmtId="0" fontId="231" fillId="0" borderId="5" xfId="0" applyNumberFormat="1" applyFont="1" applyBorder="1"/>
    <xf numFmtId="0" fontId="231" fillId="0" borderId="5" xfId="0" applyFont="1" applyBorder="1"/>
    <xf numFmtId="0" fontId="231" fillId="0" borderId="51" xfId="0" applyFont="1" applyBorder="1"/>
    <xf numFmtId="0" fontId="231" fillId="0" borderId="0" xfId="0" applyFont="1" applyBorder="1" applyAlignment="1">
      <alignment horizontal="center"/>
    </xf>
    <xf numFmtId="0" fontId="0" fillId="0" borderId="0" xfId="0" applyBorder="1"/>
    <xf numFmtId="0" fontId="0" fillId="0" borderId="5" xfId="0" applyBorder="1"/>
    <xf numFmtId="0" fontId="231" fillId="0" borderId="226" xfId="0" applyFont="1" applyBorder="1"/>
    <xf numFmtId="0" fontId="235" fillId="0" borderId="226" xfId="0" applyFont="1" applyBorder="1"/>
    <xf numFmtId="0" fontId="231" fillId="0" borderId="226" xfId="0" applyFont="1" applyFill="1" applyBorder="1"/>
    <xf numFmtId="0" fontId="231" fillId="0" borderId="4" xfId="0" applyFont="1" applyBorder="1"/>
    <xf numFmtId="2" fontId="231" fillId="0" borderId="0" xfId="0" applyNumberFormat="1" applyFont="1" applyBorder="1"/>
    <xf numFmtId="0" fontId="231" fillId="0" borderId="4" xfId="0" applyNumberFormat="1" applyFont="1" applyFill="1" applyBorder="1"/>
    <xf numFmtId="0" fontId="231" fillId="0" borderId="214" xfId="0" applyNumberFormat="1" applyFont="1" applyFill="1" applyBorder="1"/>
    <xf numFmtId="0" fontId="232" fillId="0" borderId="4" xfId="0" applyNumberFormat="1" applyFont="1" applyFill="1" applyBorder="1"/>
    <xf numFmtId="0" fontId="232" fillId="0" borderId="1" xfId="0" applyNumberFormat="1" applyFont="1" applyBorder="1"/>
    <xf numFmtId="0" fontId="231" fillId="0" borderId="2" xfId="0" applyNumberFormat="1" applyFont="1" applyBorder="1"/>
    <xf numFmtId="0" fontId="231" fillId="0" borderId="3" xfId="0" applyNumberFormat="1" applyFont="1" applyBorder="1"/>
    <xf numFmtId="0" fontId="232" fillId="0" borderId="4" xfId="0" applyNumberFormat="1" applyFont="1" applyBorder="1"/>
    <xf numFmtId="0" fontId="232" fillId="0" borderId="4" xfId="0" applyFont="1" applyBorder="1"/>
    <xf numFmtId="0" fontId="232" fillId="0" borderId="197" xfId="0" applyNumberFormat="1" applyFont="1" applyBorder="1"/>
    <xf numFmtId="0" fontId="231" fillId="0" borderId="198" xfId="0" applyNumberFormat="1" applyFont="1" applyBorder="1"/>
    <xf numFmtId="0" fontId="231" fillId="0" borderId="199" xfId="0" applyNumberFormat="1" applyFont="1" applyBorder="1"/>
    <xf numFmtId="0" fontId="231" fillId="6" borderId="0" xfId="0" applyNumberFormat="1" applyFont="1" applyFill="1"/>
    <xf numFmtId="0" fontId="231" fillId="6" borderId="197" xfId="20893" applyFont="1" applyFill="1" applyBorder="1"/>
    <xf numFmtId="0" fontId="231" fillId="6" borderId="198" xfId="0" applyNumberFormat="1" applyFont="1" applyFill="1" applyBorder="1"/>
    <xf numFmtId="0" fontId="231" fillId="6" borderId="199" xfId="20893" applyNumberFormat="1" applyFont="1" applyFill="1" applyBorder="1"/>
    <xf numFmtId="0" fontId="20" fillId="6" borderId="62" xfId="1" applyFont="1" applyFill="1" applyBorder="1"/>
    <xf numFmtId="0" fontId="232" fillId="6" borderId="62" xfId="20894" applyFont="1" applyFill="1" applyBorder="1" applyAlignment="1">
      <alignment horizontal="left"/>
    </xf>
    <xf numFmtId="0" fontId="232" fillId="6" borderId="62" xfId="20894" applyFont="1" applyFill="1" applyBorder="1" applyAlignment="1">
      <alignment horizontal="left" indent="1"/>
    </xf>
    <xf numFmtId="0" fontId="232" fillId="6" borderId="62" xfId="0" applyFont="1" applyFill="1" applyBorder="1" applyAlignment="1">
      <alignment horizontal="center"/>
    </xf>
    <xf numFmtId="0" fontId="232" fillId="6" borderId="62" xfId="0" applyNumberFormat="1" applyFont="1" applyFill="1" applyBorder="1" applyAlignment="1">
      <alignment horizontal="center"/>
    </xf>
    <xf numFmtId="2" fontId="1" fillId="0" borderId="0" xfId="20893" applyNumberFormat="1"/>
    <xf numFmtId="4" fontId="231" fillId="6" borderId="0" xfId="0" applyNumberFormat="1" applyFont="1" applyFill="1"/>
    <xf numFmtId="11" fontId="232" fillId="0" borderId="215" xfId="0" quotePrefix="1" applyNumberFormat="1" applyFont="1" applyFill="1" applyBorder="1"/>
    <xf numFmtId="0" fontId="205" fillId="0" borderId="248" xfId="0" applyFont="1" applyFill="1" applyBorder="1" applyAlignment="1">
      <alignment horizontal="center"/>
    </xf>
    <xf numFmtId="0" fontId="205" fillId="0" borderId="248" xfId="0" applyNumberFormat="1" applyFont="1" applyBorder="1" applyAlignment="1">
      <alignment horizontal="center"/>
    </xf>
    <xf numFmtId="11" fontId="231" fillId="6" borderId="0" xfId="0" applyNumberFormat="1" applyFont="1" applyFill="1"/>
    <xf numFmtId="2" fontId="232" fillId="0" borderId="214" xfId="0" quotePrefix="1" applyNumberFormat="1" applyFont="1" applyFill="1" applyBorder="1" applyAlignment="1">
      <alignment horizontal="center"/>
    </xf>
    <xf numFmtId="2" fontId="232" fillId="0" borderId="215" xfId="0" applyNumberFormat="1" applyFont="1" applyFill="1" applyBorder="1" applyAlignment="1">
      <alignment horizontal="center"/>
    </xf>
    <xf numFmtId="2" fontId="231" fillId="0" borderId="239" xfId="0" applyNumberFormat="1" applyFont="1" applyFill="1" applyBorder="1" applyAlignment="1">
      <alignment horizontal="center"/>
    </xf>
    <xf numFmtId="0" fontId="232" fillId="0" borderId="221" xfId="0" applyFont="1" applyFill="1" applyBorder="1"/>
    <xf numFmtId="0" fontId="232" fillId="0" borderId="222" xfId="0" applyNumberFormat="1" applyFont="1" applyFill="1" applyBorder="1"/>
    <xf numFmtId="0" fontId="231" fillId="0" borderId="38" xfId="0" applyFont="1" applyFill="1" applyBorder="1" applyAlignment="1">
      <alignment horizontal="center"/>
    </xf>
    <xf numFmtId="0" fontId="235" fillId="0" borderId="215" xfId="0" applyFont="1" applyFill="1" applyBorder="1" applyAlignment="1">
      <alignment horizontal="center"/>
    </xf>
    <xf numFmtId="2" fontId="231" fillId="0" borderId="215" xfId="0" applyNumberFormat="1" applyFont="1" applyFill="1" applyBorder="1" applyAlignment="1">
      <alignment horizontal="center"/>
    </xf>
    <xf numFmtId="0" fontId="205" fillId="0" borderId="21" xfId="0" applyNumberFormat="1" applyFont="1" applyFill="1" applyBorder="1"/>
    <xf numFmtId="0" fontId="205" fillId="0" borderId="62" xfId="0" applyNumberFormat="1" applyFont="1" applyFill="1" applyBorder="1"/>
    <xf numFmtId="0" fontId="235" fillId="0" borderId="62" xfId="0" applyFont="1" applyFill="1" applyBorder="1"/>
    <xf numFmtId="0" fontId="235" fillId="0" borderId="22" xfId="0" applyFont="1" applyFill="1" applyBorder="1"/>
    <xf numFmtId="11" fontId="232" fillId="0" borderId="38" xfId="0" applyNumberFormat="1" applyFont="1" applyFill="1" applyBorder="1" applyAlignment="1">
      <alignment horizontal="center"/>
    </xf>
    <xf numFmtId="0" fontId="232" fillId="0" borderId="221" xfId="0" applyFont="1" applyFill="1" applyBorder="1" applyAlignment="1">
      <alignment horizontal="left" indent="1"/>
    </xf>
    <xf numFmtId="0" fontId="0" fillId="0" borderId="41" xfId="0" applyBorder="1" applyAlignment="1">
      <alignment horizontal="center"/>
    </xf>
    <xf numFmtId="0" fontId="19" fillId="0" borderId="23" xfId="0" applyFont="1" applyBorder="1"/>
    <xf numFmtId="0" fontId="0" fillId="0" borderId="215" xfId="0" applyBorder="1" applyAlignment="1">
      <alignment horizontal="center"/>
    </xf>
    <xf numFmtId="0" fontId="19" fillId="0" borderId="216" xfId="0" applyFont="1" applyBorder="1"/>
    <xf numFmtId="0" fontId="0" fillId="0" borderId="218" xfId="0" applyFill="1" applyBorder="1" applyAlignment="1">
      <alignment horizontal="center"/>
    </xf>
    <xf numFmtId="0" fontId="19" fillId="0" borderId="219" xfId="0" applyFont="1" applyBorder="1"/>
    <xf numFmtId="2" fontId="232" fillId="0" borderId="216" xfId="20894" quotePrefix="1" applyNumberFormat="1" applyFont="1" applyFill="1" applyBorder="1" applyAlignment="1">
      <alignment horizontal="center"/>
    </xf>
    <xf numFmtId="2" fontId="232" fillId="0" borderId="215" xfId="0" quotePrefix="1" applyNumberFormat="1" applyFont="1" applyFill="1" applyBorder="1" applyAlignment="1">
      <alignment horizontal="center"/>
    </xf>
    <xf numFmtId="2" fontId="232" fillId="3" borderId="219" xfId="20894" quotePrefix="1" applyNumberFormat="1" applyFont="1" applyFill="1" applyBorder="1" applyAlignment="1">
      <alignment horizontal="center"/>
    </xf>
    <xf numFmtId="2" fontId="232" fillId="3" borderId="216" xfId="20894" quotePrefix="1" applyNumberFormat="1" applyFont="1" applyFill="1" applyBorder="1" applyAlignment="1">
      <alignment horizontal="center"/>
    </xf>
    <xf numFmtId="2" fontId="231" fillId="0" borderId="5" xfId="0" applyNumberFormat="1" applyFont="1" applyBorder="1"/>
    <xf numFmtId="0" fontId="20" fillId="0" borderId="0" xfId="1" applyFont="1" applyFill="1" applyBorder="1" applyAlignment="1">
      <alignment horizontal="center"/>
    </xf>
    <xf numFmtId="0" fontId="20" fillId="0" borderId="0" xfId="1" applyFont="1" applyFill="1" applyBorder="1"/>
    <xf numFmtId="0" fontId="161" fillId="0" borderId="4" xfId="1" applyFont="1" applyFill="1" applyBorder="1"/>
    <xf numFmtId="0" fontId="161" fillId="0" borderId="0" xfId="1194" applyFont="1" applyFill="1" applyBorder="1" applyAlignment="1">
      <alignment horizontal="left" vertical="center"/>
    </xf>
    <xf numFmtId="0" fontId="20" fillId="0" borderId="0" xfId="1194" applyFont="1" applyFill="1" applyBorder="1"/>
    <xf numFmtId="164" fontId="161" fillId="0" borderId="0" xfId="1194" applyNumberFormat="1" applyFont="1" applyFill="1" applyBorder="1" applyAlignment="1">
      <alignment horizontal="center"/>
    </xf>
    <xf numFmtId="0" fontId="162" fillId="0" borderId="5" xfId="10628" applyFont="1" applyFill="1" applyBorder="1" applyAlignment="1">
      <alignment vertical="top"/>
    </xf>
    <xf numFmtId="0" fontId="40" fillId="4" borderId="0" xfId="0" applyFont="1" applyFill="1" applyAlignment="1">
      <alignment horizontal="center" vertical="center"/>
    </xf>
    <xf numFmtId="0" fontId="33" fillId="4" borderId="0" xfId="0" applyFont="1" applyFill="1" applyAlignment="1">
      <alignment horizontal="left" vertical="center"/>
    </xf>
    <xf numFmtId="0" fontId="45" fillId="0" borderId="126" xfId="0" applyFont="1" applyFill="1" applyBorder="1" applyAlignment="1">
      <alignment horizontal="center" vertical="center" wrapText="1"/>
    </xf>
    <xf numFmtId="0" fontId="53" fillId="6" borderId="222" xfId="10644" applyFont="1" applyFill="1" applyBorder="1" applyAlignment="1">
      <alignment horizontal="center" vertical="center" wrapText="1"/>
    </xf>
    <xf numFmtId="0" fontId="53" fillId="0" borderId="222" xfId="10644" applyFont="1" applyFill="1" applyBorder="1" applyAlignment="1">
      <alignment horizontal="center" vertical="center" wrapText="1"/>
    </xf>
    <xf numFmtId="0" fontId="53" fillId="6" borderId="215" xfId="10644" applyFont="1" applyFill="1" applyBorder="1" applyAlignment="1">
      <alignment horizontal="center" vertical="center" wrapText="1"/>
    </xf>
    <xf numFmtId="0" fontId="53" fillId="3" borderId="215" xfId="10644" applyFont="1" applyFill="1" applyBorder="1" applyAlignment="1">
      <alignment horizontal="center" vertical="center" wrapText="1"/>
    </xf>
    <xf numFmtId="0" fontId="241" fillId="6" borderId="126" xfId="10644" applyFont="1" applyFill="1" applyBorder="1" applyAlignment="1">
      <alignment horizontal="center" vertical="center" wrapText="1"/>
    </xf>
    <xf numFmtId="0" fontId="241" fillId="3" borderId="126" xfId="10644" applyFont="1" applyFill="1" applyBorder="1" applyAlignment="1">
      <alignment horizontal="center" vertical="center" wrapText="1"/>
    </xf>
    <xf numFmtId="0" fontId="33" fillId="4" borderId="0" xfId="0" applyFont="1" applyFill="1" applyAlignment="1">
      <alignment vertical="center"/>
    </xf>
    <xf numFmtId="0" fontId="40" fillId="4" borderId="0" xfId="0" applyFont="1" applyFill="1" applyAlignment="1">
      <alignment vertical="center" wrapText="1"/>
    </xf>
    <xf numFmtId="11" fontId="45" fillId="0" borderId="0" xfId="63" applyNumberFormat="1" applyFont="1"/>
    <xf numFmtId="0" fontId="109" fillId="0" borderId="16" xfId="63" applyFont="1" applyFill="1" applyBorder="1" applyAlignment="1">
      <alignment horizontal="center" vertical="center" wrapText="1"/>
    </xf>
    <xf numFmtId="0" fontId="109" fillId="0" borderId="48" xfId="63" applyFont="1" applyFill="1" applyBorder="1" applyAlignment="1">
      <alignment horizontal="center" vertical="center" wrapText="1"/>
    </xf>
    <xf numFmtId="2" fontId="45" fillId="0" borderId="125" xfId="63" applyNumberFormat="1" applyFont="1" applyFill="1" applyBorder="1" applyAlignment="1">
      <alignment horizontal="center" vertical="center" wrapText="1"/>
    </xf>
    <xf numFmtId="2" fontId="45" fillId="0" borderId="117" xfId="63" applyNumberFormat="1" applyFont="1" applyFill="1" applyBorder="1" applyAlignment="1">
      <alignment horizontal="center" vertical="center" wrapText="1"/>
    </xf>
    <xf numFmtId="164" fontId="45" fillId="0" borderId="16" xfId="63" quotePrefix="1" applyNumberFormat="1" applyFont="1" applyFill="1" applyBorder="1" applyAlignment="1">
      <alignment horizontal="center" vertical="center" wrapText="1"/>
    </xf>
    <xf numFmtId="164" fontId="45" fillId="0" borderId="17" xfId="63" quotePrefix="1" applyNumberFormat="1" applyFont="1" applyFill="1" applyBorder="1" applyAlignment="1">
      <alignment horizontal="center" vertical="center" wrapText="1"/>
    </xf>
    <xf numFmtId="0" fontId="105" fillId="0" borderId="138" xfId="63" applyFont="1" applyFill="1" applyBorder="1" applyAlignment="1">
      <alignment horizontal="center" vertical="center" wrapText="1"/>
    </xf>
    <xf numFmtId="164" fontId="45" fillId="0" borderId="138" xfId="63" applyNumberFormat="1" applyFont="1" applyFill="1" applyBorder="1" applyAlignment="1">
      <alignment horizontal="center" vertical="center" wrapText="1"/>
    </xf>
    <xf numFmtId="164" fontId="45" fillId="0" borderId="139" xfId="63" applyNumberFormat="1" applyFont="1" applyFill="1" applyBorder="1" applyAlignment="1">
      <alignment horizontal="center" vertical="center" wrapText="1"/>
    </xf>
    <xf numFmtId="2" fontId="45" fillId="0" borderId="16" xfId="63" quotePrefix="1" applyNumberFormat="1" applyFont="1" applyFill="1" applyBorder="1" applyAlignment="1">
      <alignment horizontal="center" vertical="center" wrapText="1"/>
    </xf>
    <xf numFmtId="2" fontId="45" fillId="0" borderId="17" xfId="63" quotePrefix="1" applyNumberFormat="1" applyFont="1" applyFill="1" applyBorder="1" applyAlignment="1">
      <alignment horizontal="center" vertical="center" wrapText="1"/>
    </xf>
    <xf numFmtId="0" fontId="109" fillId="6" borderId="16" xfId="63" applyFont="1" applyFill="1" applyBorder="1" applyAlignment="1">
      <alignment horizontal="center" vertical="center" wrapText="1"/>
    </xf>
    <xf numFmtId="0" fontId="109" fillId="6" borderId="48" xfId="63" applyFont="1" applyFill="1" applyBorder="1" applyAlignment="1">
      <alignment horizontal="center" vertical="center" wrapText="1"/>
    </xf>
    <xf numFmtId="164" fontId="45" fillId="6" borderId="55" xfId="63" applyNumberFormat="1" applyFont="1" applyFill="1" applyBorder="1" applyAlignment="1">
      <alignment horizontal="center" vertical="center" wrapText="1"/>
    </xf>
    <xf numFmtId="164" fontId="45" fillId="6" borderId="50" xfId="63" applyNumberFormat="1" applyFont="1" applyFill="1" applyBorder="1" applyAlignment="1">
      <alignment horizontal="center" vertical="center" wrapText="1"/>
    </xf>
    <xf numFmtId="0" fontId="109" fillId="6" borderId="55" xfId="63" applyFont="1" applyFill="1" applyBorder="1" applyAlignment="1">
      <alignment horizontal="center" vertical="center" wrapText="1"/>
    </xf>
    <xf numFmtId="0" fontId="109" fillId="0" borderId="138" xfId="63" applyFont="1" applyFill="1" applyBorder="1" applyAlignment="1">
      <alignment horizontal="center" vertical="center" wrapText="1"/>
    </xf>
    <xf numFmtId="2" fontId="45" fillId="6" borderId="55" xfId="63" applyNumberFormat="1" applyFont="1" applyFill="1" applyBorder="1" applyAlignment="1">
      <alignment horizontal="center" vertical="center" wrapText="1"/>
    </xf>
    <xf numFmtId="2" fontId="45" fillId="6" borderId="50" xfId="63" applyNumberFormat="1" applyFont="1" applyFill="1" applyBorder="1" applyAlignment="1">
      <alignment horizontal="center" vertical="center" wrapText="1"/>
    </xf>
    <xf numFmtId="2" fontId="45" fillId="6" borderId="16" xfId="63" quotePrefix="1" applyNumberFormat="1" applyFont="1" applyFill="1" applyBorder="1" applyAlignment="1">
      <alignment horizontal="center" vertical="center" wrapText="1"/>
    </xf>
    <xf numFmtId="2" fontId="45" fillId="6" borderId="17" xfId="63" quotePrefix="1" applyNumberFormat="1" applyFont="1" applyFill="1" applyBorder="1" applyAlignment="1">
      <alignment horizontal="center" vertical="center" wrapText="1"/>
    </xf>
    <xf numFmtId="0" fontId="109" fillId="6" borderId="69" xfId="63" applyFont="1" applyFill="1" applyBorder="1" applyAlignment="1">
      <alignment horizontal="center" vertical="center" wrapText="1"/>
    </xf>
    <xf numFmtId="167" fontId="19" fillId="0" borderId="0" xfId="1" applyNumberFormat="1"/>
    <xf numFmtId="164" fontId="45" fillId="0" borderId="0" xfId="63" applyNumberFormat="1" applyFont="1"/>
    <xf numFmtId="2" fontId="140" fillId="0" borderId="217" xfId="0" applyNumberFormat="1" applyFont="1" applyBorder="1" applyAlignment="1">
      <alignment horizontal="center" vertical="center"/>
    </xf>
    <xf numFmtId="2" fontId="140" fillId="0" borderId="219" xfId="0" applyNumberFormat="1" applyFont="1" applyBorder="1" applyAlignment="1">
      <alignment horizontal="center" vertical="center"/>
    </xf>
    <xf numFmtId="2" fontId="140" fillId="0" borderId="223" xfId="0" applyNumberFormat="1" applyFont="1" applyBorder="1" applyAlignment="1">
      <alignment horizontal="center" vertical="center"/>
    </xf>
    <xf numFmtId="2" fontId="29" fillId="0" borderId="37" xfId="0" applyNumberFormat="1" applyFont="1" applyBorder="1" applyAlignment="1">
      <alignment horizontal="center" vertical="center"/>
    </xf>
    <xf numFmtId="0" fontId="22" fillId="6" borderId="2" xfId="1" applyFont="1" applyFill="1" applyBorder="1" applyAlignment="1">
      <alignment horizontal="center" vertical="center"/>
    </xf>
    <xf numFmtId="0" fontId="213" fillId="4" borderId="45" xfId="0" applyFont="1" applyFill="1" applyBorder="1" applyAlignment="1">
      <alignment horizontal="center" vertical="center"/>
    </xf>
    <xf numFmtId="0" fontId="213" fillId="4" borderId="43" xfId="0" applyFont="1" applyFill="1" applyBorder="1" applyAlignment="1">
      <alignment horizontal="center" vertical="center"/>
    </xf>
    <xf numFmtId="0" fontId="213" fillId="4" borderId="18" xfId="0" applyFont="1" applyFill="1" applyBorder="1" applyAlignment="1">
      <alignment horizontal="center" vertical="center"/>
    </xf>
    <xf numFmtId="0" fontId="213" fillId="4" borderId="20" xfId="0" applyFont="1" applyFill="1" applyBorder="1" applyAlignment="1">
      <alignment horizontal="center" vertical="center"/>
    </xf>
    <xf numFmtId="0" fontId="213" fillId="4" borderId="219" xfId="0" applyFont="1" applyFill="1" applyBorder="1" applyAlignment="1">
      <alignment horizontal="center" vertical="center"/>
    </xf>
    <xf numFmtId="0" fontId="219" fillId="0" borderId="214" xfId="0" applyFont="1" applyFill="1" applyBorder="1" applyAlignment="1">
      <alignment horizontal="center" vertical="center" wrapText="1"/>
    </xf>
    <xf numFmtId="0" fontId="219" fillId="4" borderId="222" xfId="0" applyFont="1" applyFill="1" applyBorder="1" applyAlignment="1">
      <alignment horizontal="center" vertical="center" wrapText="1"/>
    </xf>
    <xf numFmtId="0" fontId="219" fillId="4" borderId="31" xfId="0" applyFont="1" applyFill="1" applyBorder="1" applyAlignment="1">
      <alignment horizontal="center" vertical="center" wrapText="1"/>
    </xf>
    <xf numFmtId="164" fontId="219" fillId="0" borderId="40" xfId="0" applyNumberFormat="1" applyFont="1" applyBorder="1" applyAlignment="1">
      <alignment horizontal="center" vertical="center"/>
    </xf>
    <xf numFmtId="164" fontId="219" fillId="0" borderId="42" xfId="0" applyNumberFormat="1" applyFont="1" applyBorder="1" applyAlignment="1">
      <alignment horizontal="center" vertical="center"/>
    </xf>
    <xf numFmtId="164" fontId="219" fillId="0" borderId="125" xfId="0" applyNumberFormat="1" applyFont="1" applyBorder="1" applyAlignment="1">
      <alignment horizontal="center" vertical="center"/>
    </xf>
    <xf numFmtId="164" fontId="219" fillId="0" borderId="130" xfId="0" applyNumberFormat="1" applyFont="1" applyBorder="1" applyAlignment="1">
      <alignment horizontal="center" vertical="center"/>
    </xf>
    <xf numFmtId="0" fontId="219" fillId="4" borderId="220" xfId="0" applyFont="1" applyFill="1" applyBorder="1" applyAlignment="1">
      <alignment horizontal="center" vertical="center" wrapText="1"/>
    </xf>
    <xf numFmtId="164" fontId="219" fillId="0" borderId="214" xfId="0" applyNumberFormat="1" applyFont="1" applyBorder="1" applyAlignment="1">
      <alignment horizontal="center" vertical="center"/>
    </xf>
    <xf numFmtId="164" fontId="219" fillId="0" borderId="221" xfId="0" applyNumberFormat="1" applyFont="1" applyBorder="1" applyAlignment="1">
      <alignment horizontal="center" vertical="center"/>
    </xf>
    <xf numFmtId="0" fontId="219" fillId="0" borderId="217" xfId="0" applyFont="1" applyFill="1" applyBorder="1" applyAlignment="1">
      <alignment horizontal="center" vertical="center" wrapText="1"/>
    </xf>
    <xf numFmtId="0" fontId="219" fillId="4" borderId="223" xfId="0" applyFont="1" applyFill="1" applyBorder="1" applyAlignment="1">
      <alignment horizontal="center" vertical="center" wrapText="1"/>
    </xf>
    <xf numFmtId="0" fontId="219" fillId="4" borderId="229" xfId="0" applyFont="1" applyFill="1" applyBorder="1" applyAlignment="1">
      <alignment horizontal="center" vertical="center" wrapText="1"/>
    </xf>
    <xf numFmtId="164" fontId="219" fillId="0" borderId="217" xfId="0" applyNumberFormat="1" applyFont="1" applyBorder="1" applyAlignment="1">
      <alignment horizontal="center" vertical="center"/>
    </xf>
    <xf numFmtId="164" fontId="219" fillId="0" borderId="213" xfId="0" applyNumberFormat="1" applyFont="1" applyBorder="1" applyAlignment="1">
      <alignment horizontal="center" vertical="center"/>
    </xf>
    <xf numFmtId="0" fontId="45" fillId="0" borderId="126" xfId="0" applyFont="1" applyFill="1" applyBorder="1" applyAlignment="1">
      <alignment horizontal="center" vertical="center" wrapText="1"/>
    </xf>
    <xf numFmtId="0" fontId="164" fillId="6" borderId="62" xfId="0" applyFont="1" applyFill="1" applyBorder="1"/>
    <xf numFmtId="0" fontId="164" fillId="6" borderId="198" xfId="0" applyFont="1" applyFill="1" applyBorder="1"/>
    <xf numFmtId="0" fontId="164" fillId="6" borderId="199" xfId="0" applyFont="1" applyFill="1" applyBorder="1"/>
    <xf numFmtId="0" fontId="164" fillId="6" borderId="197" xfId="0" applyFont="1" applyFill="1" applyBorder="1"/>
    <xf numFmtId="0" fontId="38" fillId="6" borderId="4" xfId="1" applyFont="1" applyFill="1" applyBorder="1" applyAlignment="1">
      <alignment horizontal="left"/>
    </xf>
    <xf numFmtId="0" fontId="20" fillId="6" borderId="63" xfId="1" applyFont="1" applyFill="1" applyBorder="1"/>
    <xf numFmtId="0" fontId="45" fillId="0" borderId="126" xfId="0" applyFont="1" applyFill="1" applyBorder="1" applyAlignment="1">
      <alignment horizontal="center" vertical="center" wrapText="1"/>
    </xf>
    <xf numFmtId="0" fontId="0" fillId="0" borderId="0" xfId="0" applyAlignment="1">
      <alignment horizontal="center"/>
    </xf>
    <xf numFmtId="0" fontId="45" fillId="0" borderId="215" xfId="0" applyFont="1" applyFill="1" applyBorder="1" applyAlignment="1">
      <alignment horizontal="center" vertical="center" wrapText="1"/>
    </xf>
    <xf numFmtId="0" fontId="45" fillId="0" borderId="215" xfId="0" applyFont="1" applyFill="1" applyBorder="1" applyAlignment="1">
      <alignment horizontal="center" vertical="center"/>
    </xf>
    <xf numFmtId="0" fontId="45" fillId="6" borderId="215" xfId="0" applyFont="1" applyFill="1" applyBorder="1" applyAlignment="1">
      <alignment horizontal="center" vertical="center" wrapText="1"/>
    </xf>
    <xf numFmtId="0" fontId="53" fillId="0" borderId="215" xfId="10642" applyFont="1" applyBorder="1" applyAlignment="1">
      <alignment horizontal="center" vertical="center" wrapText="1"/>
    </xf>
    <xf numFmtId="0" fontId="53" fillId="6" borderId="215" xfId="10642" applyFont="1" applyFill="1" applyBorder="1" applyAlignment="1">
      <alignment horizontal="center" vertical="center" wrapText="1"/>
    </xf>
    <xf numFmtId="14" fontId="45" fillId="0" borderId="215" xfId="1" applyNumberFormat="1" applyFont="1" applyBorder="1" applyAlignment="1">
      <alignment horizontal="center" vertical="center" wrapText="1"/>
    </xf>
    <xf numFmtId="14" fontId="45" fillId="6" borderId="215" xfId="1" applyNumberFormat="1" applyFont="1" applyFill="1" applyBorder="1" applyAlignment="1">
      <alignment horizontal="center" vertical="center" wrapText="1"/>
    </xf>
    <xf numFmtId="0" fontId="53" fillId="6" borderId="215" xfId="1" applyFont="1" applyFill="1" applyBorder="1" applyAlignment="1">
      <alignment horizontal="center" vertical="center" wrapText="1"/>
    </xf>
    <xf numFmtId="14" fontId="45" fillId="6" borderId="218" xfId="1" applyNumberFormat="1" applyFont="1" applyFill="1" applyBorder="1" applyAlignment="1">
      <alignment horizontal="center" vertical="center" wrapText="1"/>
    </xf>
    <xf numFmtId="0" fontId="53" fillId="6" borderId="218" xfId="10642" applyFont="1" applyFill="1" applyBorder="1" applyAlignment="1">
      <alignment horizontal="center" vertical="center" wrapText="1"/>
    </xf>
    <xf numFmtId="0" fontId="238" fillId="0" borderId="197" xfId="20893" applyFont="1" applyFill="1" applyBorder="1"/>
    <xf numFmtId="0" fontId="238" fillId="0" borderId="251" xfId="20893" applyFont="1" applyBorder="1"/>
    <xf numFmtId="0" fontId="238" fillId="0" borderId="218" xfId="20893" applyFont="1" applyFill="1" applyBorder="1"/>
    <xf numFmtId="165" fontId="238" fillId="0" borderId="231" xfId="20893" applyNumberFormat="1" applyFont="1" applyFill="1" applyBorder="1" applyAlignment="1">
      <alignment horizontal="center"/>
    </xf>
    <xf numFmtId="165" fontId="151" fillId="0" borderId="229" xfId="20893" applyNumberFormat="1" applyFont="1" applyFill="1" applyBorder="1" applyAlignment="1">
      <alignment horizontal="center"/>
    </xf>
    <xf numFmtId="0" fontId="140" fillId="4" borderId="25" xfId="0" applyFont="1" applyFill="1" applyBorder="1" applyAlignment="1">
      <alignment horizontal="left" vertical="center" wrapText="1"/>
    </xf>
    <xf numFmtId="0" fontId="140" fillId="4" borderId="16" xfId="0" applyFont="1" applyFill="1" applyBorder="1" applyAlignment="1">
      <alignment horizontal="center" vertical="center" wrapText="1"/>
    </xf>
    <xf numFmtId="0" fontId="140" fillId="4" borderId="145" xfId="0" applyFont="1" applyFill="1" applyBorder="1" applyAlignment="1">
      <alignment horizontal="center" vertical="center" wrapText="1"/>
    </xf>
    <xf numFmtId="2" fontId="140" fillId="0" borderId="40" xfId="0" applyNumberFormat="1" applyFont="1" applyBorder="1" applyAlignment="1">
      <alignment horizontal="center" vertical="center"/>
    </xf>
    <xf numFmtId="2" fontId="140" fillId="0" borderId="42" xfId="0" applyNumberFormat="1" applyFont="1" applyBorder="1" applyAlignment="1">
      <alignment horizontal="center" vertical="center"/>
    </xf>
    <xf numFmtId="2" fontId="140" fillId="0" borderId="214" xfId="0" applyNumberFormat="1" applyFont="1" applyBorder="1" applyAlignment="1">
      <alignment horizontal="center" vertical="center"/>
    </xf>
    <xf numFmtId="2" fontId="140" fillId="0" borderId="221" xfId="0" applyNumberFormat="1" applyFont="1" applyBorder="1" applyAlignment="1">
      <alignment horizontal="center" vertical="center"/>
    </xf>
    <xf numFmtId="2" fontId="140" fillId="0" borderId="216" xfId="0" applyNumberFormat="1" applyFont="1" applyBorder="1" applyAlignment="1">
      <alignment horizontal="center" vertical="center"/>
    </xf>
    <xf numFmtId="2" fontId="140" fillId="0" borderId="54" xfId="0" applyNumberFormat="1" applyFont="1" applyBorder="1" applyAlignment="1">
      <alignment horizontal="center" vertical="center"/>
    </xf>
    <xf numFmtId="2" fontId="140" fillId="0" borderId="37" xfId="0" quotePrefix="1" applyNumberFormat="1" applyFont="1" applyBorder="1" applyAlignment="1">
      <alignment horizontal="center" vertical="center"/>
    </xf>
    <xf numFmtId="2" fontId="140" fillId="0" borderId="61" xfId="0" quotePrefix="1" applyNumberFormat="1" applyFont="1" applyBorder="1" applyAlignment="1">
      <alignment horizontal="center" vertical="center"/>
    </xf>
    <xf numFmtId="2" fontId="140" fillId="0" borderId="216" xfId="0" quotePrefix="1" applyNumberFormat="1" applyFont="1" applyBorder="1" applyAlignment="1">
      <alignment horizontal="center" vertical="center"/>
    </xf>
    <xf numFmtId="2" fontId="140" fillId="0" borderId="39" xfId="0" quotePrefix="1" applyNumberFormat="1" applyFont="1" applyBorder="1" applyAlignment="1">
      <alignment horizontal="center" vertical="center"/>
    </xf>
    <xf numFmtId="0" fontId="140" fillId="4" borderId="228" xfId="0" applyFont="1" applyFill="1" applyBorder="1" applyAlignment="1">
      <alignment horizontal="left" vertical="center" wrapText="1"/>
    </xf>
    <xf numFmtId="0" fontId="140" fillId="4" borderId="217" xfId="0" applyFont="1" applyFill="1" applyBorder="1" applyAlignment="1">
      <alignment horizontal="center" vertical="center" wrapText="1"/>
    </xf>
    <xf numFmtId="0" fontId="140" fillId="4" borderId="219" xfId="0" applyFont="1" applyFill="1" applyBorder="1" applyAlignment="1">
      <alignment horizontal="center" vertical="center" wrapText="1"/>
    </xf>
    <xf numFmtId="0" fontId="140" fillId="4" borderId="51" xfId="0" applyFont="1" applyFill="1" applyBorder="1" applyAlignment="1">
      <alignment horizontal="left" vertical="center" wrapText="1"/>
    </xf>
    <xf numFmtId="0" fontId="140" fillId="4" borderId="37" xfId="0" applyFont="1" applyFill="1" applyBorder="1" applyAlignment="1">
      <alignment horizontal="center" vertical="center" wrapText="1"/>
    </xf>
    <xf numFmtId="0" fontId="140" fillId="4" borderId="39" xfId="0" applyFont="1" applyFill="1" applyBorder="1" applyAlignment="1">
      <alignment horizontal="center" vertical="center" wrapText="1"/>
    </xf>
    <xf numFmtId="0" fontId="140" fillId="4" borderId="226" xfId="0" applyFont="1" applyFill="1" applyBorder="1" applyAlignment="1">
      <alignment horizontal="left" vertical="center" wrapText="1"/>
    </xf>
    <xf numFmtId="0" fontId="140" fillId="4" borderId="214" xfId="0" applyFont="1" applyFill="1" applyBorder="1" applyAlignment="1">
      <alignment horizontal="center" vertical="center" wrapText="1"/>
    </xf>
    <xf numFmtId="0" fontId="140" fillId="4" borderId="216" xfId="0" applyFont="1" applyFill="1" applyBorder="1" applyAlignment="1">
      <alignment horizontal="center" vertical="center" wrapText="1"/>
    </xf>
    <xf numFmtId="2" fontId="140" fillId="0" borderId="214" xfId="0" quotePrefix="1" applyNumberFormat="1" applyFont="1" applyBorder="1" applyAlignment="1">
      <alignment horizontal="center" vertical="center"/>
    </xf>
    <xf numFmtId="2" fontId="140" fillId="0" borderId="221" xfId="0" quotePrefix="1" applyNumberFormat="1" applyFont="1" applyBorder="1" applyAlignment="1">
      <alignment horizontal="center" vertical="center"/>
    </xf>
    <xf numFmtId="2" fontId="140" fillId="0" borderId="214" xfId="0" applyNumberFormat="1" applyFont="1" applyFill="1" applyBorder="1" applyAlignment="1">
      <alignment horizontal="center" vertical="center"/>
    </xf>
    <xf numFmtId="2" fontId="140" fillId="0" borderId="220" xfId="0" applyNumberFormat="1" applyFont="1" applyFill="1" applyBorder="1" applyAlignment="1">
      <alignment horizontal="center" vertical="center"/>
    </xf>
    <xf numFmtId="2" fontId="140" fillId="0" borderId="144" xfId="0" quotePrefix="1" applyNumberFormat="1" applyFont="1" applyFill="1" applyBorder="1" applyAlignment="1">
      <alignment horizontal="center" vertical="center"/>
    </xf>
    <xf numFmtId="2" fontId="140" fillId="0" borderId="130" xfId="0" quotePrefix="1" applyNumberFormat="1" applyFont="1" applyFill="1" applyBorder="1" applyAlignment="1">
      <alignment horizontal="center" vertical="center"/>
    </xf>
    <xf numFmtId="2" fontId="140" fillId="0" borderId="125" xfId="0" quotePrefix="1" applyNumberFormat="1" applyFont="1" applyFill="1" applyBorder="1" applyAlignment="1">
      <alignment horizontal="center" vertical="center"/>
    </xf>
    <xf numFmtId="2" fontId="140" fillId="0" borderId="37" xfId="0" applyNumberFormat="1" applyFont="1" applyFill="1" applyBorder="1" applyAlignment="1">
      <alignment horizontal="center" vertical="center"/>
    </xf>
    <xf numFmtId="2" fontId="140" fillId="0" borderId="61" xfId="0" applyNumberFormat="1" applyFont="1" applyFill="1" applyBorder="1" applyAlignment="1">
      <alignment horizontal="center" vertical="center"/>
    </xf>
    <xf numFmtId="2" fontId="140" fillId="0" borderId="37" xfId="0" quotePrefix="1" applyNumberFormat="1" applyFont="1" applyFill="1" applyBorder="1" applyAlignment="1">
      <alignment horizontal="center" vertical="center"/>
    </xf>
    <xf numFmtId="2" fontId="140" fillId="0" borderId="39" xfId="0" quotePrefix="1" applyNumberFormat="1" applyFont="1" applyFill="1" applyBorder="1" applyAlignment="1">
      <alignment horizontal="center" vertical="center"/>
    </xf>
    <xf numFmtId="2" fontId="140" fillId="0" borderId="217" xfId="0" applyNumberFormat="1" applyFont="1" applyFill="1" applyBorder="1" applyAlignment="1">
      <alignment horizontal="center" vertical="center"/>
    </xf>
    <xf numFmtId="2" fontId="140" fillId="0" borderId="217" xfId="0" quotePrefix="1" applyNumberFormat="1" applyFont="1" applyFill="1" applyBorder="1" applyAlignment="1">
      <alignment horizontal="center" vertical="center"/>
    </xf>
    <xf numFmtId="2" fontId="140" fillId="0" borderId="219" xfId="0" quotePrefix="1" applyNumberFormat="1" applyFont="1" applyFill="1" applyBorder="1" applyAlignment="1">
      <alignment horizontal="center" vertical="center"/>
    </xf>
    <xf numFmtId="0" fontId="26" fillId="4" borderId="16" xfId="0" applyFont="1" applyFill="1" applyBorder="1" applyAlignment="1">
      <alignment horizontal="center" vertical="center"/>
    </xf>
    <xf numFmtId="0" fontId="26" fillId="4" borderId="48" xfId="0" applyFont="1" applyFill="1" applyBorder="1" applyAlignment="1">
      <alignment horizontal="center" vertical="center"/>
    </xf>
    <xf numFmtId="0" fontId="26" fillId="4" borderId="17" xfId="0" applyFont="1" applyFill="1" applyBorder="1" applyAlignment="1">
      <alignment horizontal="center" vertical="center"/>
    </xf>
    <xf numFmtId="0" fontId="26" fillId="4" borderId="46" xfId="0" applyFont="1" applyFill="1" applyBorder="1" applyAlignment="1">
      <alignment horizontal="center" vertical="center"/>
    </xf>
    <xf numFmtId="0" fontId="26" fillId="4" borderId="214" xfId="0" applyFont="1" applyFill="1" applyBorder="1" applyAlignment="1">
      <alignment horizontal="center" vertical="center"/>
    </xf>
    <xf numFmtId="0" fontId="26" fillId="4" borderId="216" xfId="0" applyFont="1" applyFill="1" applyBorder="1" applyAlignment="1">
      <alignment horizontal="center" vertical="center"/>
    </xf>
    <xf numFmtId="0" fontId="26" fillId="4" borderId="222" xfId="0" applyFont="1" applyFill="1" applyBorder="1" applyAlignment="1">
      <alignment horizontal="center" vertical="center"/>
    </xf>
    <xf numFmtId="2" fontId="26" fillId="4" borderId="43" xfId="0" applyNumberFormat="1" applyFont="1" applyFill="1" applyBorder="1" applyAlignment="1">
      <alignment horizontal="center" vertical="center"/>
    </xf>
    <xf numFmtId="2" fontId="26" fillId="4" borderId="219" xfId="0" applyNumberFormat="1" applyFont="1" applyFill="1" applyBorder="1" applyAlignment="1">
      <alignment horizontal="center" vertical="center"/>
    </xf>
    <xf numFmtId="0" fontId="26" fillId="4" borderId="45" xfId="0" applyFont="1" applyFill="1" applyBorder="1" applyAlignment="1">
      <alignment horizontal="center" vertical="center"/>
    </xf>
    <xf numFmtId="0" fontId="26" fillId="4" borderId="43" xfId="0" applyFont="1" applyFill="1" applyBorder="1" applyAlignment="1">
      <alignment horizontal="center" vertical="center"/>
    </xf>
    <xf numFmtId="0" fontId="26" fillId="4" borderId="18" xfId="0" applyFont="1" applyFill="1" applyBorder="1" applyAlignment="1">
      <alignment horizontal="center" vertical="center"/>
    </xf>
    <xf numFmtId="0" fontId="26" fillId="4" borderId="20" xfId="0" applyFont="1" applyFill="1" applyBorder="1" applyAlignment="1">
      <alignment horizontal="center" vertical="center"/>
    </xf>
    <xf numFmtId="0" fontId="26" fillId="4" borderId="219" xfId="0" applyFont="1" applyFill="1" applyBorder="1" applyAlignment="1">
      <alignment horizontal="center" vertical="center"/>
    </xf>
    <xf numFmtId="2" fontId="20" fillId="6" borderId="198" xfId="1" applyNumberFormat="1" applyFont="1" applyFill="1" applyBorder="1" applyAlignment="1">
      <alignment horizontal="center" vertical="center"/>
    </xf>
    <xf numFmtId="0" fontId="26" fillId="4" borderId="35" xfId="0" applyFont="1" applyFill="1" applyBorder="1" applyAlignment="1">
      <alignment horizontal="center" vertical="center"/>
    </xf>
    <xf numFmtId="0" fontId="26" fillId="4" borderId="60" xfId="0" applyFont="1" applyFill="1" applyBorder="1" applyAlignment="1">
      <alignment horizontal="center" vertical="center"/>
    </xf>
    <xf numFmtId="0" fontId="26" fillId="4" borderId="11" xfId="0" applyFont="1" applyFill="1" applyBorder="1" applyAlignment="1">
      <alignment horizontal="center" vertical="center"/>
    </xf>
    <xf numFmtId="0" fontId="26" fillId="4" borderId="10"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10" xfId="0" applyFont="1" applyFill="1" applyBorder="1" applyAlignment="1">
      <alignment horizontal="center" vertical="center"/>
    </xf>
    <xf numFmtId="2" fontId="26" fillId="0" borderId="23" xfId="0" applyNumberFormat="1" applyFont="1" applyBorder="1" applyAlignment="1">
      <alignment horizontal="center" vertical="center"/>
    </xf>
    <xf numFmtId="2" fontId="140" fillId="0" borderId="56" xfId="0" applyNumberFormat="1" applyFont="1" applyFill="1" applyBorder="1" applyAlignment="1">
      <alignment horizontal="center" vertical="center"/>
    </xf>
    <xf numFmtId="2" fontId="140" fillId="0" borderId="23" xfId="0" applyNumberFormat="1" applyFont="1" applyFill="1" applyBorder="1" applyAlignment="1">
      <alignment horizontal="center" vertical="center"/>
    </xf>
    <xf numFmtId="2" fontId="140" fillId="0" borderId="219" xfId="0" applyNumberFormat="1" applyFont="1" applyFill="1" applyBorder="1" applyAlignment="1">
      <alignment horizontal="center" vertical="center"/>
    </xf>
    <xf numFmtId="2" fontId="26" fillId="0" borderId="219" xfId="0" applyNumberFormat="1" applyFont="1" applyFill="1" applyBorder="1" applyAlignment="1">
      <alignment horizontal="center" vertical="center"/>
    </xf>
    <xf numFmtId="0" fontId="140" fillId="0" borderId="25" xfId="0" applyFont="1" applyFill="1" applyBorder="1" applyAlignment="1">
      <alignment horizontal="left" vertical="center" wrapText="1"/>
    </xf>
    <xf numFmtId="0" fontId="140" fillId="4" borderId="31" xfId="0" applyFont="1" applyFill="1" applyBorder="1" applyAlignment="1">
      <alignment horizontal="center" vertical="center" wrapText="1"/>
    </xf>
    <xf numFmtId="2" fontId="140" fillId="0" borderId="249" xfId="0" applyNumberFormat="1" applyFont="1" applyBorder="1" applyAlignment="1">
      <alignment horizontal="center" vertical="center"/>
    </xf>
    <xf numFmtId="2" fontId="140" fillId="0" borderId="227" xfId="0" applyNumberFormat="1" applyFont="1" applyBorder="1" applyAlignment="1">
      <alignment horizontal="center" vertical="center"/>
    </xf>
    <xf numFmtId="0" fontId="140" fillId="0" borderId="51" xfId="0" applyFont="1" applyFill="1" applyBorder="1" applyAlignment="1">
      <alignment horizontal="left" vertical="center" wrapText="1"/>
    </xf>
    <xf numFmtId="0" fontId="140" fillId="4" borderId="54" xfId="0" applyFont="1" applyFill="1" applyBorder="1" applyAlignment="1">
      <alignment horizontal="center" vertical="center" wrapText="1"/>
    </xf>
    <xf numFmtId="2" fontId="140" fillId="0" borderId="125" xfId="0" quotePrefix="1" applyNumberFormat="1" applyFont="1" applyBorder="1" applyAlignment="1">
      <alignment horizontal="center" vertical="center"/>
    </xf>
    <xf numFmtId="2" fontId="140" fillId="0" borderId="130" xfId="0" quotePrefix="1" applyNumberFormat="1" applyFont="1" applyBorder="1" applyAlignment="1">
      <alignment horizontal="center" vertical="center"/>
    </xf>
    <xf numFmtId="2" fontId="140" fillId="0" borderId="125" xfId="0" applyNumberFormat="1" applyFont="1" applyBorder="1" applyAlignment="1">
      <alignment horizontal="center" vertical="center"/>
    </xf>
    <xf numFmtId="2" fontId="140" fillId="0" borderId="119" xfId="0" applyNumberFormat="1" applyFont="1" applyBorder="1" applyAlignment="1">
      <alignment horizontal="center" vertical="center"/>
    </xf>
    <xf numFmtId="2" fontId="140" fillId="0" borderId="130" xfId="0" applyNumberFormat="1" applyFont="1" applyBorder="1" applyAlignment="1">
      <alignment horizontal="center" vertical="center"/>
    </xf>
    <xf numFmtId="2" fontId="140" fillId="0" borderId="118" xfId="0" applyNumberFormat="1" applyFont="1" applyFill="1" applyBorder="1" applyAlignment="1">
      <alignment horizontal="center" vertical="center"/>
    </xf>
    <xf numFmtId="2" fontId="140" fillId="0" borderId="117" xfId="0" applyNumberFormat="1" applyFont="1" applyFill="1" applyBorder="1" applyAlignment="1">
      <alignment horizontal="center" vertical="center"/>
    </xf>
    <xf numFmtId="0" fontId="140" fillId="0" borderId="226" xfId="0" applyFont="1" applyFill="1" applyBorder="1" applyAlignment="1">
      <alignment horizontal="left" vertical="center" wrapText="1"/>
    </xf>
    <xf numFmtId="0" fontId="140" fillId="4" borderId="220" xfId="0" applyFont="1" applyFill="1" applyBorder="1" applyAlignment="1">
      <alignment horizontal="center" vertical="center" wrapText="1"/>
    </xf>
    <xf numFmtId="2" fontId="140" fillId="0" borderId="125" xfId="0" applyNumberFormat="1" applyFont="1" applyFill="1" applyBorder="1" applyAlignment="1">
      <alignment horizontal="center" vertical="center"/>
    </xf>
    <xf numFmtId="2" fontId="140" fillId="0" borderId="119" xfId="0" applyNumberFormat="1" applyFont="1" applyFill="1" applyBorder="1" applyAlignment="1">
      <alignment horizontal="center" vertical="center"/>
    </xf>
    <xf numFmtId="0" fontId="140" fillId="0" borderId="48" xfId="0" applyFont="1" applyFill="1" applyBorder="1" applyAlignment="1">
      <alignment horizontal="center" vertical="center" wrapText="1"/>
    </xf>
    <xf numFmtId="0" fontId="140" fillId="0" borderId="231" xfId="0" applyFont="1" applyFill="1" applyBorder="1" applyAlignment="1">
      <alignment horizontal="left" vertical="center" wrapText="1"/>
    </xf>
    <xf numFmtId="0" fontId="140" fillId="0" borderId="151" xfId="0" applyFont="1" applyFill="1" applyBorder="1" applyAlignment="1">
      <alignment horizontal="center" vertical="center" wrapText="1"/>
    </xf>
    <xf numFmtId="0" fontId="26" fillId="4" borderId="217" xfId="0" applyFont="1" applyFill="1" applyBorder="1" applyAlignment="1">
      <alignment horizontal="center" vertical="center" wrapText="1"/>
    </xf>
    <xf numFmtId="0" fontId="26" fillId="4" borderId="213" xfId="0" applyFont="1" applyFill="1" applyBorder="1" applyAlignment="1">
      <alignment horizontal="center" vertical="center" wrapText="1"/>
    </xf>
    <xf numFmtId="0" fontId="26" fillId="4" borderId="219" xfId="0" applyFont="1" applyFill="1" applyBorder="1" applyAlignment="1">
      <alignment horizontal="center" vertical="center" wrapText="1"/>
    </xf>
    <xf numFmtId="0" fontId="26" fillId="4" borderId="223" xfId="0" applyFont="1" applyFill="1" applyBorder="1" applyAlignment="1">
      <alignment horizontal="center" vertical="center" wrapText="1"/>
    </xf>
    <xf numFmtId="2" fontId="140" fillId="0" borderId="37" xfId="0" applyNumberFormat="1" applyFont="1" applyBorder="1" applyAlignment="1">
      <alignment horizontal="center" vertical="center" wrapText="1"/>
    </xf>
    <xf numFmtId="2" fontId="140" fillId="0" borderId="61" xfId="0" applyNumberFormat="1" applyFont="1" applyBorder="1" applyAlignment="1">
      <alignment horizontal="center" vertical="center" wrapText="1"/>
    </xf>
    <xf numFmtId="2" fontId="140" fillId="0" borderId="54" xfId="0" applyNumberFormat="1" applyFont="1" applyBorder="1" applyAlignment="1">
      <alignment horizontal="center" vertical="center" wrapText="1"/>
    </xf>
    <xf numFmtId="2" fontId="140" fillId="0" borderId="214" xfId="0" applyNumberFormat="1" applyFont="1" applyBorder="1" applyAlignment="1">
      <alignment horizontal="center" vertical="center" wrapText="1"/>
    </xf>
    <xf numFmtId="2" fontId="140" fillId="0" borderId="221" xfId="0" applyNumberFormat="1" applyFont="1" applyBorder="1" applyAlignment="1">
      <alignment horizontal="center" vertical="center" wrapText="1"/>
    </xf>
    <xf numFmtId="2" fontId="140" fillId="0" borderId="220" xfId="0" applyNumberFormat="1" applyFont="1" applyBorder="1" applyAlignment="1">
      <alignment horizontal="center" vertical="center" wrapText="1"/>
    </xf>
    <xf numFmtId="2" fontId="140" fillId="0" borderId="125" xfId="0" quotePrefix="1" applyNumberFormat="1" applyFont="1" applyBorder="1" applyAlignment="1">
      <alignment horizontal="center" vertical="center" wrapText="1"/>
    </xf>
    <xf numFmtId="2" fontId="140" fillId="0" borderId="130" xfId="0" quotePrefix="1" applyNumberFormat="1" applyFont="1" applyBorder="1" applyAlignment="1">
      <alignment horizontal="center" vertical="center" wrapText="1"/>
    </xf>
    <xf numFmtId="2" fontId="140" fillId="0" borderId="125" xfId="0" applyNumberFormat="1" applyFont="1" applyBorder="1" applyAlignment="1">
      <alignment horizontal="center" vertical="center" wrapText="1"/>
    </xf>
    <xf numFmtId="2" fontId="140" fillId="0" borderId="119" xfId="0" applyNumberFormat="1" applyFont="1" applyBorder="1" applyAlignment="1">
      <alignment horizontal="center" vertical="center" wrapText="1"/>
    </xf>
    <xf numFmtId="2" fontId="140" fillId="0" borderId="130" xfId="0" applyNumberFormat="1" applyFont="1" applyBorder="1" applyAlignment="1">
      <alignment horizontal="center" vertical="center" wrapText="1"/>
    </xf>
    <xf numFmtId="2" fontId="140" fillId="0" borderId="118" xfId="0" applyNumberFormat="1" applyFont="1" applyFill="1" applyBorder="1" applyAlignment="1">
      <alignment horizontal="center" vertical="center" wrapText="1"/>
    </xf>
    <xf numFmtId="2" fontId="140" fillId="0" borderId="117" xfId="0" applyNumberFormat="1" applyFont="1" applyFill="1" applyBorder="1" applyAlignment="1">
      <alignment horizontal="center" vertical="center" wrapText="1"/>
    </xf>
    <xf numFmtId="2" fontId="140" fillId="0" borderId="37" xfId="0" quotePrefix="1" applyNumberFormat="1" applyFont="1" applyBorder="1" applyAlignment="1">
      <alignment horizontal="center" vertical="center" wrapText="1"/>
    </xf>
    <xf numFmtId="2" fontId="140" fillId="0" borderId="61" xfId="0" quotePrefix="1" applyNumberFormat="1" applyFont="1" applyBorder="1" applyAlignment="1">
      <alignment horizontal="center" vertical="center" wrapText="1"/>
    </xf>
    <xf numFmtId="2" fontId="140" fillId="0" borderId="214" xfId="0" quotePrefix="1" applyNumberFormat="1" applyFont="1" applyBorder="1" applyAlignment="1">
      <alignment horizontal="center" vertical="center" wrapText="1"/>
    </xf>
    <xf numFmtId="2" fontId="140" fillId="0" borderId="221" xfId="0" quotePrefix="1" applyNumberFormat="1" applyFont="1" applyBorder="1" applyAlignment="1">
      <alignment horizontal="center" vertical="center" wrapText="1"/>
    </xf>
    <xf numFmtId="2" fontId="140" fillId="4" borderId="214" xfId="0" quotePrefix="1" applyNumberFormat="1" applyFont="1" applyFill="1" applyBorder="1" applyAlignment="1">
      <alignment horizontal="center" vertical="center" wrapText="1"/>
    </xf>
    <xf numFmtId="2" fontId="140" fillId="4" borderId="221" xfId="0" quotePrefix="1" applyNumberFormat="1" applyFont="1" applyFill="1" applyBorder="1" applyAlignment="1">
      <alignment horizontal="center" vertical="center" wrapText="1"/>
    </xf>
    <xf numFmtId="2" fontId="140" fillId="0" borderId="125" xfId="0" applyNumberFormat="1" applyFont="1" applyFill="1" applyBorder="1" applyAlignment="1">
      <alignment horizontal="center" vertical="center" wrapText="1"/>
    </xf>
    <xf numFmtId="2" fontId="140" fillId="0" borderId="119" xfId="0" applyNumberFormat="1" applyFont="1" applyFill="1" applyBorder="1" applyAlignment="1">
      <alignment horizontal="center" vertical="center" wrapText="1"/>
    </xf>
    <xf numFmtId="2" fontId="140" fillId="0" borderId="30" xfId="0" applyNumberFormat="1" applyFont="1" applyBorder="1" applyAlignment="1">
      <alignment horizontal="center" vertical="center"/>
    </xf>
    <xf numFmtId="0" fontId="140" fillId="0" borderId="129" xfId="0" applyFont="1" applyFill="1" applyBorder="1" applyAlignment="1">
      <alignment horizontal="left" vertical="center" wrapText="1"/>
    </xf>
    <xf numFmtId="0" fontId="140" fillId="0" borderId="128" xfId="0" applyFont="1" applyFill="1" applyBorder="1" applyAlignment="1">
      <alignment horizontal="left" vertical="center" wrapText="1"/>
    </xf>
    <xf numFmtId="2" fontId="140" fillId="0" borderId="61" xfId="0" quotePrefix="1" applyNumberFormat="1" applyFont="1" applyFill="1" applyBorder="1" applyAlignment="1">
      <alignment horizontal="center" vertical="center"/>
    </xf>
    <xf numFmtId="2" fontId="140" fillId="0" borderId="54" xfId="0" applyNumberFormat="1" applyFont="1" applyFill="1" applyBorder="1" applyAlignment="1">
      <alignment horizontal="center" vertical="center"/>
    </xf>
    <xf numFmtId="0" fontId="140" fillId="0" borderId="158" xfId="0" applyFont="1" applyFill="1" applyBorder="1" applyAlignment="1">
      <alignment horizontal="left" vertical="center" wrapText="1"/>
    </xf>
    <xf numFmtId="0" fontId="140" fillId="0" borderId="160" xfId="0" applyFont="1" applyFill="1" applyBorder="1" applyAlignment="1">
      <alignment horizontal="left" vertical="center" wrapText="1"/>
    </xf>
    <xf numFmtId="2" fontId="140" fillId="0" borderId="223" xfId="0" applyNumberFormat="1" applyFont="1" applyFill="1" applyBorder="1" applyAlignment="1">
      <alignment horizontal="center" vertical="center"/>
    </xf>
    <xf numFmtId="2" fontId="140" fillId="4" borderId="219" xfId="0" applyNumberFormat="1" applyFont="1" applyFill="1" applyBorder="1" applyAlignment="1">
      <alignment horizontal="center" vertical="center"/>
    </xf>
    <xf numFmtId="2" fontId="26" fillId="4" borderId="213" xfId="0" applyNumberFormat="1" applyFont="1" applyFill="1" applyBorder="1" applyAlignment="1">
      <alignment horizontal="center" vertical="center"/>
    </xf>
    <xf numFmtId="0" fontId="45" fillId="0" borderId="228" xfId="63" applyFont="1" applyFill="1" applyBorder="1" applyAlignment="1">
      <alignment horizontal="center" vertical="center"/>
    </xf>
    <xf numFmtId="2" fontId="45" fillId="0" borderId="217" xfId="63" applyNumberFormat="1" applyFont="1" applyFill="1" applyBorder="1" applyAlignment="1">
      <alignment horizontal="center" vertical="center"/>
    </xf>
    <xf numFmtId="2" fontId="45" fillId="0" borderId="219" xfId="63" applyNumberFormat="1" applyFont="1" applyFill="1" applyBorder="1" applyAlignment="1">
      <alignment horizontal="center" vertical="center"/>
    </xf>
    <xf numFmtId="2" fontId="45" fillId="6" borderId="216" xfId="63" applyNumberFormat="1" applyFont="1" applyFill="1" applyBorder="1" applyAlignment="1">
      <alignment horizontal="center" vertical="center" wrapText="1"/>
    </xf>
    <xf numFmtId="0" fontId="109" fillId="6" borderId="138" xfId="63" applyFont="1" applyFill="1" applyBorder="1" applyAlignment="1">
      <alignment horizontal="center" vertical="center" wrapText="1"/>
    </xf>
    <xf numFmtId="2" fontId="45" fillId="3" borderId="216" xfId="63" applyNumberFormat="1" applyFont="1" applyFill="1" applyBorder="1" applyAlignment="1">
      <alignment horizontal="center" vertical="center" wrapText="1"/>
    </xf>
    <xf numFmtId="1" fontId="45" fillId="0" borderId="17" xfId="63" applyNumberFormat="1" applyFont="1" applyBorder="1" applyAlignment="1">
      <alignment horizontal="center" vertical="center" wrapText="1"/>
    </xf>
    <xf numFmtId="0" fontId="205" fillId="0" borderId="37" xfId="0" applyNumberFormat="1" applyFont="1" applyBorder="1" applyAlignment="1">
      <alignment horizontal="center" wrapText="1"/>
    </xf>
    <xf numFmtId="0" fontId="205" fillId="0" borderId="38" xfId="0" applyNumberFormat="1" applyFont="1" applyBorder="1" applyAlignment="1">
      <alignment horizontal="center" wrapText="1"/>
    </xf>
    <xf numFmtId="0" fontId="205" fillId="0" borderId="39" xfId="0" applyNumberFormat="1" applyFont="1" applyBorder="1" applyAlignment="1">
      <alignment horizontal="center" wrapText="1"/>
    </xf>
    <xf numFmtId="0" fontId="45" fillId="0" borderId="126" xfId="0" applyFont="1" applyFill="1" applyBorder="1" applyAlignment="1">
      <alignment horizontal="center" vertical="center" wrapText="1"/>
    </xf>
    <xf numFmtId="0" fontId="45" fillId="0" borderId="215" xfId="0" applyFont="1" applyFill="1" applyBorder="1" applyAlignment="1">
      <alignment horizontal="center" vertical="center" wrapText="1"/>
    </xf>
    <xf numFmtId="0" fontId="23" fillId="4" borderId="11" xfId="0" applyFont="1" applyFill="1" applyBorder="1" applyAlignment="1">
      <alignment vertical="center" wrapText="1"/>
    </xf>
    <xf numFmtId="0" fontId="24" fillId="4" borderId="10" xfId="0" applyFont="1" applyFill="1" applyBorder="1" applyAlignment="1">
      <alignment horizontal="center" vertical="center"/>
    </xf>
    <xf numFmtId="0" fontId="23" fillId="4" borderId="11" xfId="0" applyFont="1" applyFill="1" applyBorder="1" applyAlignment="1">
      <alignment wrapText="1"/>
    </xf>
    <xf numFmtId="0" fontId="23" fillId="4" borderId="10" xfId="0" applyFont="1" applyFill="1" applyBorder="1" applyAlignment="1">
      <alignment horizontal="center" vertical="center" wrapText="1"/>
    </xf>
    <xf numFmtId="0" fontId="144" fillId="4" borderId="214" xfId="1" applyFont="1" applyFill="1" applyBorder="1" applyAlignment="1">
      <alignment horizontal="left" vertical="center"/>
    </xf>
    <xf numFmtId="0" fontId="144" fillId="4" borderId="39" xfId="1" applyFont="1" applyFill="1" applyBorder="1" applyAlignment="1">
      <alignment horizontal="center" vertical="center"/>
    </xf>
    <xf numFmtId="0" fontId="144" fillId="4" borderId="216" xfId="1" applyFont="1" applyFill="1" applyBorder="1" applyAlignment="1">
      <alignment horizontal="center" vertical="center"/>
    </xf>
    <xf numFmtId="2" fontId="144" fillId="4" borderId="216" xfId="1" applyNumberFormat="1" applyFont="1" applyFill="1" applyBorder="1" applyAlignment="1">
      <alignment horizontal="center" vertical="center"/>
    </xf>
    <xf numFmtId="1" fontId="144" fillId="4" borderId="216" xfId="1" applyNumberFormat="1" applyFont="1" applyFill="1" applyBorder="1" applyAlignment="1">
      <alignment horizontal="center" vertical="center"/>
    </xf>
    <xf numFmtId="2" fontId="144" fillId="0" borderId="216" xfId="1" applyNumberFormat="1" applyFont="1" applyFill="1" applyBorder="1" applyAlignment="1">
      <alignment horizontal="center" vertical="center"/>
    </xf>
    <xf numFmtId="0" fontId="144" fillId="4" borderId="217" xfId="1" applyFont="1" applyFill="1" applyBorder="1" applyAlignment="1">
      <alignment horizontal="left" vertical="center"/>
    </xf>
    <xf numFmtId="2" fontId="144" fillId="4" borderId="219" xfId="1" applyNumberFormat="1" applyFont="1" applyFill="1" applyBorder="1" applyAlignment="1">
      <alignment horizontal="center" vertical="center"/>
    </xf>
    <xf numFmtId="0" fontId="33" fillId="4" borderId="4" xfId="0" applyFont="1" applyFill="1" applyBorder="1" applyAlignment="1">
      <alignment horizontal="center" vertical="center" wrapText="1"/>
    </xf>
    <xf numFmtId="2" fontId="33" fillId="4" borderId="65" xfId="0" applyNumberFormat="1" applyFont="1" applyFill="1" applyBorder="1" applyAlignment="1">
      <alignment horizontal="center" vertical="center"/>
    </xf>
    <xf numFmtId="2" fontId="33" fillId="4" borderId="0" xfId="0" applyNumberFormat="1" applyFont="1" applyFill="1" applyBorder="1" applyAlignment="1">
      <alignment horizontal="center" vertical="center"/>
    </xf>
    <xf numFmtId="2" fontId="33" fillId="4" borderId="75" xfId="0" applyNumberFormat="1" applyFont="1" applyFill="1" applyBorder="1" applyAlignment="1">
      <alignment horizontal="center" vertical="center"/>
    </xf>
    <xf numFmtId="2" fontId="33" fillId="4" borderId="53" xfId="0" applyNumberFormat="1" applyFont="1" applyFill="1" applyBorder="1" applyAlignment="1">
      <alignment horizontal="center" vertical="center"/>
    </xf>
    <xf numFmtId="0" fontId="20" fillId="4" borderId="5" xfId="0" applyFont="1" applyFill="1" applyBorder="1" applyAlignment="1">
      <alignment vertical="center" wrapText="1"/>
    </xf>
    <xf numFmtId="2" fontId="140" fillId="0" borderId="235" xfId="0" applyNumberFormat="1" applyFont="1" applyBorder="1" applyAlignment="1">
      <alignment horizontal="center" vertical="center" wrapText="1"/>
    </xf>
    <xf numFmtId="2" fontId="140" fillId="0" borderId="230" xfId="0" applyNumberFormat="1" applyFont="1" applyBorder="1" applyAlignment="1">
      <alignment horizontal="center" vertical="center" wrapText="1"/>
    </xf>
    <xf numFmtId="2" fontId="140" fillId="0" borderId="37" xfId="0" applyNumberFormat="1" applyFont="1" applyBorder="1" applyAlignment="1">
      <alignment horizontal="center" vertical="center"/>
    </xf>
    <xf numFmtId="0" fontId="58" fillId="6" borderId="126" xfId="0" applyFont="1" applyFill="1" applyBorder="1" applyAlignment="1">
      <alignment horizontal="center" vertical="center" wrapText="1"/>
    </xf>
    <xf numFmtId="2" fontId="140" fillId="0" borderId="39" xfId="0" applyNumberFormat="1" applyFont="1" applyBorder="1" applyAlignment="1">
      <alignment horizontal="center" vertical="center"/>
    </xf>
    <xf numFmtId="2" fontId="140" fillId="0" borderId="37" xfId="0" applyNumberFormat="1" applyFont="1" applyBorder="1" applyAlignment="1">
      <alignment horizontal="center" vertical="center"/>
    </xf>
    <xf numFmtId="0" fontId="140" fillId="4" borderId="37" xfId="0" applyFont="1" applyFill="1" applyBorder="1" applyAlignment="1">
      <alignment horizontal="center" vertical="center" wrapText="1"/>
    </xf>
    <xf numFmtId="0" fontId="140" fillId="4" borderId="39" xfId="0" applyFont="1" applyFill="1" applyBorder="1" applyAlignment="1">
      <alignment horizontal="center" vertical="center" wrapText="1"/>
    </xf>
    <xf numFmtId="0" fontId="140" fillId="4" borderId="230" xfId="0" applyFont="1" applyFill="1" applyBorder="1" applyAlignment="1">
      <alignment horizontal="center" vertical="center" wrapText="1"/>
    </xf>
    <xf numFmtId="0" fontId="140" fillId="0" borderId="238" xfId="0" applyFont="1" applyFill="1" applyBorder="1" applyAlignment="1">
      <alignment horizontal="left" vertical="center" wrapText="1"/>
    </xf>
    <xf numFmtId="0" fontId="140" fillId="4" borderId="233" xfId="0" applyFont="1" applyFill="1" applyBorder="1" applyAlignment="1">
      <alignment horizontal="left" vertical="center" wrapText="1"/>
    </xf>
    <xf numFmtId="2" fontId="140" fillId="0" borderId="199" xfId="0" applyNumberFormat="1" applyFont="1" applyBorder="1" applyAlignment="1">
      <alignment horizontal="center" vertical="center"/>
    </xf>
    <xf numFmtId="2" fontId="140" fillId="0" borderId="217" xfId="0" quotePrefix="1" applyNumberFormat="1" applyFont="1" applyBorder="1" applyAlignment="1">
      <alignment horizontal="center" vertical="center"/>
    </xf>
    <xf numFmtId="2" fontId="140" fillId="0" borderId="213" xfId="0" quotePrefix="1" applyNumberFormat="1" applyFont="1" applyBorder="1" applyAlignment="1">
      <alignment horizontal="center" vertical="center"/>
    </xf>
    <xf numFmtId="2" fontId="140" fillId="0" borderId="219" xfId="0" quotePrefix="1" applyNumberFormat="1" applyFont="1" applyBorder="1" applyAlignment="1">
      <alignment horizontal="center" vertical="center"/>
    </xf>
    <xf numFmtId="0" fontId="26" fillId="6" borderId="0" xfId="0" applyFont="1" applyFill="1" applyBorder="1" applyAlignment="1">
      <alignment horizontal="left" vertical="center"/>
    </xf>
    <xf numFmtId="165" fontId="140" fillId="6" borderId="0" xfId="0" applyNumberFormat="1" applyFont="1" applyFill="1" applyBorder="1" applyAlignment="1">
      <alignment horizontal="center" vertical="center"/>
    </xf>
    <xf numFmtId="165" fontId="140" fillId="6" borderId="0" xfId="0" quotePrefix="1" applyNumberFormat="1" applyFont="1" applyFill="1" applyBorder="1" applyAlignment="1">
      <alignment horizontal="center" vertical="center"/>
    </xf>
    <xf numFmtId="0" fontId="33" fillId="4" borderId="214" xfId="0" applyFont="1" applyFill="1" applyBorder="1" applyAlignment="1">
      <alignment horizontal="center" vertical="center" wrapText="1"/>
    </xf>
    <xf numFmtId="2" fontId="33" fillId="0" borderId="0" xfId="1" applyNumberFormat="1" applyFont="1" applyFill="1" applyBorder="1" applyAlignment="1">
      <alignment horizontal="center" vertical="center"/>
    </xf>
    <xf numFmtId="0" fontId="34" fillId="4" borderId="21" xfId="0" applyFont="1" applyFill="1" applyBorder="1" applyAlignment="1">
      <alignment horizontal="center" vertical="center" wrapText="1"/>
    </xf>
    <xf numFmtId="0" fontId="24" fillId="4" borderId="10" xfId="0" applyFont="1" applyFill="1" applyBorder="1" applyAlignment="1">
      <alignment horizontal="center" vertical="center"/>
    </xf>
    <xf numFmtId="0" fontId="45" fillId="0" borderId="126" xfId="0" applyFont="1" applyFill="1" applyBorder="1" applyAlignment="1">
      <alignment horizontal="center" vertical="center" wrapText="1"/>
    </xf>
    <xf numFmtId="0" fontId="45" fillId="0" borderId="215" xfId="0" applyFont="1" applyFill="1" applyBorder="1" applyAlignment="1">
      <alignment horizontal="center" vertical="center" wrapText="1"/>
    </xf>
    <xf numFmtId="2" fontId="45" fillId="6" borderId="230" xfId="63" applyNumberFormat="1" applyFont="1" applyFill="1" applyBorder="1" applyAlignment="1">
      <alignment horizontal="center" vertical="center"/>
    </xf>
    <xf numFmtId="2" fontId="45" fillId="6" borderId="39" xfId="63" applyNumberFormat="1" applyFont="1" applyFill="1" applyBorder="1" applyAlignment="1">
      <alignment horizontal="center" vertical="center"/>
    </xf>
    <xf numFmtId="2" fontId="45" fillId="6" borderId="235" xfId="63" applyNumberFormat="1" applyFont="1" applyFill="1" applyBorder="1" applyAlignment="1">
      <alignment horizontal="center" vertical="center" wrapText="1"/>
    </xf>
    <xf numFmtId="2" fontId="45" fillId="6" borderId="230" xfId="63" applyNumberFormat="1" applyFont="1" applyFill="1" applyBorder="1" applyAlignment="1">
      <alignment horizontal="center" vertical="center" wrapText="1"/>
    </xf>
    <xf numFmtId="2" fontId="45" fillId="6" borderId="235" xfId="63" applyNumberFormat="1" applyFont="1" applyFill="1" applyBorder="1" applyAlignment="1">
      <alignment horizontal="center" vertical="center"/>
    </xf>
    <xf numFmtId="2" fontId="45" fillId="6" borderId="37" xfId="63" applyNumberFormat="1" applyFont="1" applyFill="1" applyBorder="1" applyAlignment="1">
      <alignment horizontal="center" vertical="center"/>
    </xf>
    <xf numFmtId="0" fontId="45" fillId="6" borderId="238" xfId="63" applyFont="1" applyFill="1" applyBorder="1" applyAlignment="1">
      <alignment horizontal="center" vertical="center" wrapText="1"/>
    </xf>
    <xf numFmtId="2" fontId="45" fillId="4" borderId="235" xfId="63" applyNumberFormat="1" applyFont="1" applyFill="1" applyBorder="1" applyAlignment="1">
      <alignment horizontal="center" vertical="center" wrapText="1"/>
    </xf>
    <xf numFmtId="2" fontId="45" fillId="4" borderId="230" xfId="63" applyNumberFormat="1" applyFont="1" applyFill="1" applyBorder="1" applyAlignment="1">
      <alignment horizontal="center" vertical="center" wrapText="1"/>
    </xf>
    <xf numFmtId="2" fontId="45" fillId="4" borderId="230" xfId="63" applyNumberFormat="1" applyFont="1" applyFill="1" applyBorder="1" applyAlignment="1">
      <alignment horizontal="center" vertical="center"/>
    </xf>
    <xf numFmtId="2" fontId="45" fillId="4" borderId="39" xfId="63" applyNumberFormat="1" applyFont="1" applyFill="1" applyBorder="1" applyAlignment="1">
      <alignment horizontal="center" vertical="center"/>
    </xf>
    <xf numFmtId="2" fontId="45" fillId="4" borderId="235" xfId="63" applyNumberFormat="1" applyFont="1" applyFill="1" applyBorder="1" applyAlignment="1">
      <alignment horizontal="center" vertical="center"/>
    </xf>
    <xf numFmtId="2" fontId="45" fillId="4" borderId="37" xfId="63" applyNumberFormat="1" applyFont="1" applyFill="1" applyBorder="1" applyAlignment="1">
      <alignment horizontal="center" vertical="center"/>
    </xf>
    <xf numFmtId="2" fontId="45" fillId="0" borderId="235" xfId="63" applyNumberFormat="1" applyFont="1" applyFill="1" applyBorder="1" applyAlignment="1">
      <alignment horizontal="center" vertical="center" wrapText="1"/>
    </xf>
    <xf numFmtId="2" fontId="45" fillId="0" borderId="230" xfId="63" applyNumberFormat="1" applyFont="1" applyFill="1" applyBorder="1" applyAlignment="1">
      <alignment horizontal="center" vertical="center" wrapText="1"/>
    </xf>
    <xf numFmtId="0" fontId="140" fillId="4" borderId="37" xfId="0" applyFont="1" applyFill="1" applyBorder="1" applyAlignment="1">
      <alignment horizontal="center" vertical="center" wrapText="1"/>
    </xf>
    <xf numFmtId="0" fontId="140" fillId="4" borderId="39" xfId="0" applyFont="1" applyFill="1" applyBorder="1" applyAlignment="1">
      <alignment horizontal="center" vertical="center" wrapText="1"/>
    </xf>
    <xf numFmtId="0" fontId="140" fillId="4" borderId="235" xfId="0" applyFont="1" applyFill="1" applyBorder="1" applyAlignment="1">
      <alignment horizontal="center" vertical="center" wrapText="1"/>
    </xf>
    <xf numFmtId="0" fontId="140" fillId="4" borderId="230" xfId="0" applyFont="1" applyFill="1" applyBorder="1" applyAlignment="1">
      <alignment horizontal="center" vertical="center" wrapText="1"/>
    </xf>
    <xf numFmtId="2" fontId="140" fillId="0" borderId="235" xfId="0" applyNumberFormat="1" applyFont="1" applyBorder="1" applyAlignment="1">
      <alignment horizontal="center" vertical="center"/>
    </xf>
    <xf numFmtId="0" fontId="34" fillId="4" borderId="1" xfId="1" applyFont="1" applyFill="1" applyBorder="1" applyAlignment="1">
      <alignment horizontal="center" vertical="center" wrapText="1"/>
    </xf>
    <xf numFmtId="0" fontId="34" fillId="4" borderId="197" xfId="1" applyFont="1" applyFill="1" applyBorder="1" applyAlignment="1">
      <alignment horizontal="center" vertical="center"/>
    </xf>
    <xf numFmtId="0" fontId="26" fillId="6" borderId="0" xfId="1" applyFont="1" applyFill="1" applyBorder="1" applyAlignment="1">
      <alignment horizontal="left" vertical="center"/>
    </xf>
    <xf numFmtId="0" fontId="26" fillId="6" borderId="5" xfId="1" applyFont="1" applyFill="1" applyBorder="1" applyAlignment="1">
      <alignment horizontal="center" vertical="center"/>
    </xf>
    <xf numFmtId="0" fontId="34" fillId="0" borderId="11" xfId="1" applyFont="1" applyFill="1" applyBorder="1" applyAlignment="1">
      <alignment horizontal="center" vertical="center"/>
    </xf>
    <xf numFmtId="0" fontId="26" fillId="6" borderId="0" xfId="1" applyFont="1" applyFill="1" applyBorder="1" applyAlignment="1">
      <alignment horizontal="right" vertical="center"/>
    </xf>
    <xf numFmtId="0" fontId="22" fillId="0" borderId="10" xfId="1" applyFont="1" applyFill="1" applyBorder="1" applyAlignment="1">
      <alignment horizontal="center" vertical="center"/>
    </xf>
    <xf numFmtId="0" fontId="34" fillId="4" borderId="217" xfId="1" applyFont="1" applyFill="1" applyBorder="1" applyAlignment="1">
      <alignment horizontal="center" vertical="center" wrapText="1"/>
    </xf>
    <xf numFmtId="0" fontId="34" fillId="4" borderId="224" xfId="1" applyFont="1" applyFill="1" applyBorder="1" applyAlignment="1">
      <alignment horizontal="center" vertical="center" wrapText="1"/>
    </xf>
    <xf numFmtId="0" fontId="34" fillId="4" borderId="219" xfId="1" applyFont="1" applyFill="1" applyBorder="1" applyAlignment="1">
      <alignment horizontal="center" vertical="center" wrapText="1"/>
    </xf>
    <xf numFmtId="0" fontId="34" fillId="4" borderId="4" xfId="1" applyFont="1" applyFill="1" applyBorder="1" applyAlignment="1">
      <alignment horizontal="center" vertical="center" wrapText="1"/>
    </xf>
    <xf numFmtId="0" fontId="34" fillId="4" borderId="228" xfId="1" applyFont="1" applyFill="1" applyBorder="1" applyAlignment="1">
      <alignment horizontal="center" vertical="center" wrapText="1"/>
    </xf>
    <xf numFmtId="0" fontId="20" fillId="6" borderId="2" xfId="1" applyFont="1" applyFill="1" applyBorder="1" applyAlignment="1">
      <alignment vertical="center" wrapText="1"/>
    </xf>
    <xf numFmtId="0" fontId="20" fillId="6" borderId="0" xfId="1" applyFont="1" applyFill="1" applyBorder="1" applyAlignment="1">
      <alignment vertical="center" wrapText="1"/>
    </xf>
    <xf numFmtId="0" fontId="20" fillId="4" borderId="2" xfId="1" applyFont="1" applyFill="1" applyBorder="1" applyAlignment="1">
      <alignment vertical="center" wrapText="1"/>
    </xf>
    <xf numFmtId="0" fontId="20" fillId="4" borderId="3" xfId="1" applyFont="1" applyFill="1" applyBorder="1" applyAlignment="1">
      <alignment vertical="center" wrapText="1"/>
    </xf>
    <xf numFmtId="0" fontId="20" fillId="6" borderId="198" xfId="1" applyFont="1" applyFill="1" applyBorder="1" applyAlignment="1">
      <alignment vertical="center" wrapText="1"/>
    </xf>
    <xf numFmtId="0" fontId="19" fillId="0" borderId="0" xfId="1" applyFill="1" applyBorder="1"/>
    <xf numFmtId="0" fontId="20" fillId="0" borderId="62" xfId="1" applyFont="1" applyFill="1" applyBorder="1"/>
    <xf numFmtId="0" fontId="21" fillId="0" borderId="0" xfId="1" applyFont="1" applyBorder="1"/>
    <xf numFmtId="0" fontId="21" fillId="0" borderId="5" xfId="1" applyFont="1" applyBorder="1"/>
    <xf numFmtId="0" fontId="21" fillId="0" borderId="0" xfId="1" applyFont="1" applyBorder="1" applyAlignment="1">
      <alignment horizontal="center"/>
    </xf>
    <xf numFmtId="1" fontId="33" fillId="0" borderId="216" xfId="1" applyNumberFormat="1" applyFont="1" applyFill="1" applyBorder="1" applyAlignment="1">
      <alignment horizontal="center" vertical="center"/>
    </xf>
    <xf numFmtId="0" fontId="109" fillId="4" borderId="41" xfId="63" applyFont="1" applyFill="1" applyBorder="1" applyAlignment="1">
      <alignment horizontal="center" vertical="center"/>
    </xf>
    <xf numFmtId="164" fontId="45" fillId="4" borderId="44" xfId="63" applyNumberFormat="1" applyFont="1" applyFill="1" applyBorder="1" applyAlignment="1">
      <alignment horizontal="center" vertical="center"/>
    </xf>
    <xf numFmtId="164" fontId="45" fillId="4" borderId="41" xfId="63" applyNumberFormat="1" applyFont="1" applyFill="1" applyBorder="1" applyAlignment="1">
      <alignment horizontal="center" vertical="center"/>
    </xf>
    <xf numFmtId="0" fontId="45" fillId="4" borderId="41" xfId="63" applyFont="1" applyFill="1" applyBorder="1" applyAlignment="1">
      <alignment horizontal="center" vertical="center"/>
    </xf>
    <xf numFmtId="0" fontId="45" fillId="4" borderId="41" xfId="63" applyFont="1" applyFill="1" applyBorder="1" applyAlignment="1">
      <alignment horizontal="center" vertical="center" wrapText="1"/>
    </xf>
    <xf numFmtId="1" fontId="45" fillId="4" borderId="41" xfId="63" applyNumberFormat="1" applyFont="1" applyFill="1" applyBorder="1" applyAlignment="1">
      <alignment horizontal="center" vertical="center" wrapText="1"/>
    </xf>
    <xf numFmtId="1" fontId="45" fillId="4" borderId="23" xfId="63" applyNumberFormat="1" applyFont="1" applyFill="1" applyBorder="1" applyAlignment="1">
      <alignment horizontal="center" vertical="center" wrapText="1"/>
    </xf>
    <xf numFmtId="0" fontId="109" fillId="4" borderId="19" xfId="63" applyFont="1" applyFill="1" applyBorder="1" applyAlignment="1">
      <alignment horizontal="center" vertical="center" wrapText="1"/>
    </xf>
    <xf numFmtId="164" fontId="45" fillId="4" borderId="45" xfId="63" applyNumberFormat="1" applyFont="1" applyFill="1" applyBorder="1" applyAlignment="1">
      <alignment horizontal="center" vertical="center"/>
    </xf>
    <xf numFmtId="164" fontId="45" fillId="4" borderId="19" xfId="63" applyNumberFormat="1" applyFont="1" applyFill="1" applyBorder="1" applyAlignment="1">
      <alignment horizontal="center" vertical="center"/>
    </xf>
    <xf numFmtId="0" fontId="45" fillId="4" borderId="19" xfId="63" applyFont="1" applyFill="1" applyBorder="1" applyAlignment="1">
      <alignment horizontal="center" vertical="center"/>
    </xf>
    <xf numFmtId="0" fontId="45" fillId="4" borderId="19" xfId="63" applyFont="1" applyFill="1" applyBorder="1" applyAlignment="1">
      <alignment horizontal="center" vertical="center" wrapText="1"/>
    </xf>
    <xf numFmtId="1" fontId="45" fillId="4" borderId="19" xfId="63" applyNumberFormat="1" applyFont="1" applyFill="1" applyBorder="1" applyAlignment="1">
      <alignment horizontal="center" vertical="center" wrapText="1"/>
    </xf>
    <xf numFmtId="1" fontId="45" fillId="4" borderId="20" xfId="63" applyNumberFormat="1" applyFont="1" applyFill="1" applyBorder="1" applyAlignment="1">
      <alignment horizontal="center" vertical="center" wrapText="1"/>
    </xf>
    <xf numFmtId="164" fontId="45" fillId="6" borderId="38" xfId="63" applyNumberFormat="1" applyFont="1" applyFill="1" applyBorder="1" applyAlignment="1">
      <alignment horizontal="center" vertical="center" wrapText="1"/>
    </xf>
    <xf numFmtId="164" fontId="45" fillId="6" borderId="39" xfId="63" applyNumberFormat="1" applyFont="1" applyFill="1" applyBorder="1" applyAlignment="1">
      <alignment horizontal="center" vertical="center" wrapText="1"/>
    </xf>
    <xf numFmtId="164" fontId="45" fillId="6" borderId="58" xfId="63" applyNumberFormat="1" applyFont="1" applyFill="1" applyBorder="1" applyAlignment="1">
      <alignment horizontal="center" vertical="center" wrapText="1"/>
    </xf>
    <xf numFmtId="164" fontId="45" fillId="0" borderId="41" xfId="63" applyNumberFormat="1" applyFont="1" applyFill="1" applyBorder="1" applyAlignment="1">
      <alignment horizontal="center" vertical="center" wrapText="1"/>
    </xf>
    <xf numFmtId="164" fontId="45" fillId="0" borderId="23" xfId="63" applyNumberFormat="1" applyFont="1" applyFill="1" applyBorder="1" applyAlignment="1">
      <alignment horizontal="center" vertical="center" wrapText="1"/>
    </xf>
    <xf numFmtId="0" fontId="109" fillId="0" borderId="218" xfId="63" applyFont="1" applyFill="1" applyBorder="1" applyAlignment="1">
      <alignment horizontal="center" vertical="center" wrapText="1"/>
    </xf>
    <xf numFmtId="2" fontId="45" fillId="0" borderId="218" xfId="63" applyNumberFormat="1" applyFont="1" applyFill="1" applyBorder="1" applyAlignment="1">
      <alignment horizontal="center" vertical="center"/>
    </xf>
    <xf numFmtId="0" fontId="45" fillId="0" borderId="218" xfId="63" applyFont="1" applyFill="1" applyBorder="1" applyAlignment="1">
      <alignment horizontal="center" vertical="center"/>
    </xf>
    <xf numFmtId="0" fontId="45" fillId="0" borderId="218" xfId="63" applyFont="1" applyFill="1" applyBorder="1" applyAlignment="1">
      <alignment horizontal="center" vertical="center" wrapText="1"/>
    </xf>
    <xf numFmtId="164" fontId="45" fillId="0" borderId="218" xfId="63" applyNumberFormat="1" applyFont="1" applyFill="1" applyBorder="1" applyAlignment="1">
      <alignment horizontal="center" vertical="center" wrapText="1"/>
    </xf>
    <xf numFmtId="164" fontId="45" fillId="0" borderId="219" xfId="63" applyNumberFormat="1" applyFont="1" applyFill="1" applyBorder="1" applyAlignment="1">
      <alignment horizontal="center" vertical="center" wrapText="1"/>
    </xf>
    <xf numFmtId="165" fontId="19" fillId="0" borderId="0" xfId="63" applyNumberFormat="1"/>
    <xf numFmtId="0" fontId="33" fillId="4" borderId="24" xfId="0" applyFont="1" applyFill="1" applyBorder="1"/>
    <xf numFmtId="0" fontId="33" fillId="4" borderId="27" xfId="0" applyFont="1" applyFill="1" applyBorder="1" applyAlignment="1">
      <alignment horizontal="center"/>
    </xf>
    <xf numFmtId="0" fontId="33" fillId="4" borderId="30" xfId="0" applyFont="1" applyFill="1" applyBorder="1" applyAlignment="1">
      <alignment horizontal="center"/>
    </xf>
    <xf numFmtId="169" fontId="33" fillId="4" borderId="27" xfId="0" applyNumberFormat="1" applyFont="1" applyFill="1" applyBorder="1" applyAlignment="1">
      <alignment horizontal="center"/>
    </xf>
    <xf numFmtId="10" fontId="33" fillId="4" borderId="24" xfId="0" applyNumberFormat="1" applyFont="1" applyFill="1" applyBorder="1" applyAlignment="1">
      <alignment horizontal="center"/>
    </xf>
    <xf numFmtId="2" fontId="33" fillId="4" borderId="27" xfId="0" applyNumberFormat="1" applyFont="1" applyFill="1" applyBorder="1" applyAlignment="1">
      <alignment horizontal="center"/>
    </xf>
    <xf numFmtId="0" fontId="33" fillId="4" borderId="226" xfId="0" applyFont="1" applyFill="1" applyBorder="1"/>
    <xf numFmtId="0" fontId="33" fillId="4" borderId="233" xfId="0" applyFont="1" applyFill="1" applyBorder="1" applyAlignment="1">
      <alignment horizontal="center"/>
    </xf>
    <xf numFmtId="0" fontId="33" fillId="4" borderId="220" xfId="0" applyFont="1" applyFill="1" applyBorder="1" applyAlignment="1">
      <alignment horizontal="center"/>
    </xf>
    <xf numFmtId="169" fontId="33" fillId="4" borderId="233" xfId="0" applyNumberFormat="1" applyFont="1" applyFill="1" applyBorder="1" applyAlignment="1">
      <alignment horizontal="center"/>
    </xf>
    <xf numFmtId="10" fontId="33" fillId="4" borderId="226" xfId="0" applyNumberFormat="1" applyFont="1" applyFill="1" applyBorder="1" applyAlignment="1">
      <alignment horizontal="center"/>
    </xf>
    <xf numFmtId="2" fontId="33" fillId="4" borderId="233" xfId="0" applyNumberFormat="1" applyFont="1" applyFill="1" applyBorder="1" applyAlignment="1">
      <alignment horizontal="center"/>
    </xf>
    <xf numFmtId="0" fontId="33" fillId="4" borderId="228" xfId="0" applyFont="1" applyFill="1" applyBorder="1"/>
    <xf numFmtId="0" fontId="33" fillId="4" borderId="231" xfId="0" applyFont="1" applyFill="1" applyBorder="1" applyAlignment="1">
      <alignment horizontal="center"/>
    </xf>
    <xf numFmtId="0" fontId="33" fillId="4" borderId="229" xfId="0" applyFont="1" applyFill="1" applyBorder="1" applyAlignment="1">
      <alignment horizontal="center"/>
    </xf>
    <xf numFmtId="169" fontId="33" fillId="4" borderId="231" xfId="0" applyNumberFormat="1" applyFont="1" applyFill="1" applyBorder="1" applyAlignment="1">
      <alignment horizontal="center"/>
    </xf>
    <xf numFmtId="10" fontId="33" fillId="4" borderId="228" xfId="0" applyNumberFormat="1" applyFont="1" applyFill="1" applyBorder="1" applyAlignment="1">
      <alignment horizontal="center"/>
    </xf>
    <xf numFmtId="2" fontId="33" fillId="4" borderId="231" xfId="0" applyNumberFormat="1" applyFont="1" applyFill="1" applyBorder="1" applyAlignment="1">
      <alignment horizontal="center"/>
    </xf>
    <xf numFmtId="0" fontId="33" fillId="4" borderId="74" xfId="0" applyFont="1" applyFill="1" applyBorder="1" applyAlignment="1">
      <alignment horizontal="center"/>
    </xf>
    <xf numFmtId="0" fontId="33" fillId="6" borderId="0" xfId="0" applyFont="1" applyFill="1" applyBorder="1"/>
    <xf numFmtId="0" fontId="33" fillId="6" borderId="0" xfId="0" applyFont="1" applyFill="1" applyBorder="1" applyAlignment="1">
      <alignment horizontal="center"/>
    </xf>
    <xf numFmtId="169" fontId="33" fillId="6" borderId="0" xfId="0" applyNumberFormat="1" applyFont="1" applyFill="1" applyBorder="1" applyAlignment="1">
      <alignment horizontal="center"/>
    </xf>
    <xf numFmtId="10" fontId="33" fillId="6" borderId="0" xfId="0" applyNumberFormat="1" applyFont="1" applyFill="1" applyBorder="1" applyAlignment="1">
      <alignment horizontal="center"/>
    </xf>
    <xf numFmtId="167" fontId="33" fillId="6" borderId="0" xfId="0" applyNumberFormat="1" applyFont="1" applyFill="1" applyBorder="1" applyAlignment="1">
      <alignment horizontal="center"/>
    </xf>
    <xf numFmtId="0" fontId="33" fillId="6" borderId="0" xfId="0" applyFont="1" applyFill="1" applyBorder="1" applyAlignment="1">
      <alignment horizontal="left"/>
    </xf>
    <xf numFmtId="167" fontId="33" fillId="6" borderId="0" xfId="0" applyNumberFormat="1" applyFont="1" applyFill="1" applyBorder="1" applyAlignment="1">
      <alignment horizontal="left"/>
    </xf>
    <xf numFmtId="169" fontId="60" fillId="6" borderId="0" xfId="0" applyNumberFormat="1" applyFont="1" applyFill="1" applyBorder="1" applyAlignment="1">
      <alignment horizontal="center"/>
    </xf>
    <xf numFmtId="10" fontId="60" fillId="6" borderId="0" xfId="0" applyNumberFormat="1" applyFont="1" applyFill="1" applyBorder="1" applyAlignment="1">
      <alignment horizontal="center"/>
    </xf>
    <xf numFmtId="0" fontId="33" fillId="6" borderId="0" xfId="0" applyFont="1" applyFill="1" applyBorder="1" applyAlignment="1">
      <alignment horizontal="center" vertical="center"/>
    </xf>
    <xf numFmtId="2" fontId="60" fillId="4" borderId="237" xfId="0" applyNumberFormat="1" applyFont="1" applyFill="1" applyBorder="1" applyAlignment="1">
      <alignment horizontal="center" vertical="center"/>
    </xf>
    <xf numFmtId="0" fontId="34" fillId="4" borderId="57" xfId="0" applyFont="1" applyFill="1" applyBorder="1" applyAlignment="1">
      <alignment horizontal="center" vertical="center" wrapText="1"/>
    </xf>
    <xf numFmtId="10" fontId="19" fillId="6" borderId="198" xfId="0" applyNumberFormat="1" applyFont="1" applyFill="1" applyBorder="1" applyAlignment="1">
      <alignment horizontal="center"/>
    </xf>
    <xf numFmtId="167" fontId="22" fillId="6" borderId="0" xfId="0" applyNumberFormat="1" applyFont="1" applyFill="1" applyBorder="1" applyAlignment="1">
      <alignment horizontal="center" vertical="center"/>
    </xf>
    <xf numFmtId="2" fontId="19" fillId="6" borderId="0" xfId="0" applyNumberFormat="1" applyFont="1" applyFill="1" applyBorder="1" applyAlignment="1">
      <alignment horizontal="center" vertical="center"/>
    </xf>
    <xf numFmtId="0" fontId="45" fillId="0" borderId="126" xfId="0" applyFont="1" applyFill="1" applyBorder="1" applyAlignment="1">
      <alignment horizontal="center" vertical="center" wrapText="1"/>
    </xf>
    <xf numFmtId="0" fontId="45" fillId="0" borderId="215" xfId="0" applyFont="1" applyFill="1" applyBorder="1" applyAlignment="1">
      <alignment horizontal="center" vertical="center" wrapText="1"/>
    </xf>
    <xf numFmtId="0" fontId="140" fillId="4" borderId="37" xfId="0" applyFont="1" applyFill="1" applyBorder="1" applyAlignment="1">
      <alignment horizontal="center" vertical="center" wrapText="1"/>
    </xf>
    <xf numFmtId="0" fontId="42" fillId="6" borderId="4" xfId="0" applyFont="1" applyFill="1" applyBorder="1" applyAlignment="1">
      <alignment horizontal="right" vertical="center"/>
    </xf>
    <xf numFmtId="0" fontId="19" fillId="6" borderId="198" xfId="0" applyFont="1" applyFill="1" applyBorder="1"/>
    <xf numFmtId="0" fontId="19" fillId="6" borderId="198" xfId="0" applyFont="1" applyFill="1" applyBorder="1" applyAlignment="1">
      <alignment horizontal="center"/>
    </xf>
    <xf numFmtId="169" fontId="19" fillId="6" borderId="198" xfId="0" applyNumberFormat="1" applyFont="1" applyFill="1" applyBorder="1" applyAlignment="1">
      <alignment horizontal="center"/>
    </xf>
    <xf numFmtId="2" fontId="45" fillId="4" borderId="44" xfId="63" applyNumberFormat="1" applyFont="1" applyFill="1" applyBorder="1" applyAlignment="1">
      <alignment horizontal="center" vertical="center"/>
    </xf>
    <xf numFmtId="2" fontId="45" fillId="4" borderId="41" xfId="63" applyNumberFormat="1" applyFont="1" applyFill="1" applyBorder="1" applyAlignment="1">
      <alignment horizontal="center" vertical="center"/>
    </xf>
    <xf numFmtId="0" fontId="31" fillId="6" borderId="1" xfId="881" applyFont="1" applyFill="1" applyBorder="1"/>
    <xf numFmtId="0" fontId="31" fillId="6" borderId="2" xfId="881" applyFont="1" applyFill="1" applyBorder="1"/>
    <xf numFmtId="0" fontId="31" fillId="6" borderId="3" xfId="881" applyFont="1" applyFill="1" applyBorder="1"/>
    <xf numFmtId="0" fontId="20" fillId="0" borderId="0" xfId="881" applyFont="1"/>
    <xf numFmtId="0" fontId="31" fillId="6" borderId="4" xfId="881" applyFont="1" applyFill="1" applyBorder="1" applyAlignment="1">
      <alignment horizontal="center" vertical="center"/>
    </xf>
    <xf numFmtId="0" fontId="31" fillId="6" borderId="5" xfId="881" applyFont="1" applyFill="1" applyBorder="1" applyAlignment="1">
      <alignment horizontal="center" vertical="center"/>
    </xf>
    <xf numFmtId="0" fontId="31" fillId="6" borderId="197" xfId="881" applyFont="1" applyFill="1" applyBorder="1"/>
    <xf numFmtId="0" fontId="31" fillId="6" borderId="198" xfId="881" applyFont="1" applyFill="1" applyBorder="1"/>
    <xf numFmtId="0" fontId="31" fillId="6" borderId="198" xfId="881" applyFont="1" applyFill="1" applyBorder="1" applyAlignment="1">
      <alignment horizontal="center"/>
    </xf>
    <xf numFmtId="0" fontId="31" fillId="6" borderId="199" xfId="881" applyFont="1" applyFill="1" applyBorder="1"/>
    <xf numFmtId="0" fontId="31" fillId="0" borderId="0" xfId="881" applyFont="1" applyFill="1" applyBorder="1"/>
    <xf numFmtId="0" fontId="31" fillId="0" borderId="0" xfId="881" applyFont="1" applyFill="1" applyBorder="1" applyAlignment="1">
      <alignment horizontal="center"/>
    </xf>
    <xf numFmtId="0" fontId="31" fillId="6" borderId="2" xfId="881" applyFont="1" applyFill="1" applyBorder="1" applyAlignment="1">
      <alignment horizontal="center"/>
    </xf>
    <xf numFmtId="0" fontId="31" fillId="6" borderId="4" xfId="881" applyFont="1" applyFill="1" applyBorder="1"/>
    <xf numFmtId="0" fontId="41" fillId="6" borderId="0" xfId="881" applyFont="1" applyFill="1" applyBorder="1"/>
    <xf numFmtId="0" fontId="38" fillId="6" borderId="0" xfId="881" applyFont="1" applyFill="1" applyBorder="1"/>
    <xf numFmtId="0" fontId="31" fillId="6" borderId="5" xfId="881" applyFont="1" applyFill="1" applyBorder="1"/>
    <xf numFmtId="0" fontId="41" fillId="6" borderId="0" xfId="881" applyFont="1" applyFill="1" applyBorder="1" applyAlignment="1">
      <alignment vertical="center"/>
    </xf>
    <xf numFmtId="0" fontId="38" fillId="4" borderId="32" xfId="881" applyFont="1" applyFill="1" applyBorder="1" applyAlignment="1">
      <alignment horizontal="center" vertical="center" wrapText="1"/>
    </xf>
    <xf numFmtId="0" fontId="38" fillId="4" borderId="33" xfId="881" applyFont="1" applyFill="1" applyBorder="1" applyAlignment="1">
      <alignment horizontal="center" vertical="center"/>
    </xf>
    <xf numFmtId="0" fontId="38" fillId="4" borderId="33" xfId="881" applyFont="1" applyFill="1" applyBorder="1" applyAlignment="1">
      <alignment horizontal="center" vertical="center" wrapText="1"/>
    </xf>
    <xf numFmtId="0" fontId="38" fillId="4" borderId="3" xfId="881" applyFont="1" applyFill="1" applyBorder="1" applyAlignment="1">
      <alignment horizontal="center" vertical="center" wrapText="1"/>
    </xf>
    <xf numFmtId="0" fontId="38" fillId="4" borderId="32" xfId="881" applyFont="1" applyFill="1" applyBorder="1" applyAlignment="1">
      <alignment horizontal="center" vertical="center"/>
    </xf>
    <xf numFmtId="0" fontId="38" fillId="4" borderId="67" xfId="881" applyFont="1" applyFill="1" applyBorder="1" applyAlignment="1">
      <alignment horizontal="center" vertical="center"/>
    </xf>
    <xf numFmtId="0" fontId="38" fillId="4" borderId="36" xfId="881" applyFont="1" applyFill="1" applyBorder="1" applyAlignment="1">
      <alignment horizontal="center" vertical="center" wrapText="1"/>
    </xf>
    <xf numFmtId="0" fontId="38" fillId="4" borderId="9" xfId="881" applyFont="1" applyFill="1" applyBorder="1" applyAlignment="1">
      <alignment horizontal="center" vertical="center" wrapText="1"/>
    </xf>
    <xf numFmtId="0" fontId="38" fillId="4" borderId="10" xfId="881" applyFont="1" applyFill="1" applyBorder="1" applyAlignment="1">
      <alignment horizontal="center" vertical="center"/>
    </xf>
    <xf numFmtId="0" fontId="38" fillId="4" borderId="52" xfId="881" applyFont="1" applyFill="1" applyBorder="1" applyAlignment="1">
      <alignment horizontal="center" vertical="center"/>
    </xf>
    <xf numFmtId="0" fontId="38" fillId="4" borderId="66" xfId="881" applyFont="1" applyFill="1" applyBorder="1" applyAlignment="1">
      <alignment horizontal="center" vertical="center"/>
    </xf>
    <xf numFmtId="0" fontId="38" fillId="4" borderId="9" xfId="881" applyFont="1" applyFill="1" applyBorder="1" applyAlignment="1">
      <alignment horizontal="center" vertical="center"/>
    </xf>
    <xf numFmtId="0" fontId="20" fillId="4" borderId="40" xfId="881" applyFont="1" applyFill="1" applyBorder="1" applyAlignment="1">
      <alignment horizontal="center" vertical="center" wrapText="1"/>
    </xf>
    <xf numFmtId="0" fontId="20" fillId="4" borderId="41" xfId="881" applyFont="1" applyFill="1" applyBorder="1" applyAlignment="1">
      <alignment horizontal="center" vertical="center" wrapText="1"/>
    </xf>
    <xf numFmtId="0" fontId="20" fillId="4" borderId="23" xfId="881" applyFont="1" applyFill="1" applyBorder="1" applyAlignment="1">
      <alignment horizontal="center" vertical="center" wrapText="1"/>
    </xf>
    <xf numFmtId="2" fontId="20" fillId="4" borderId="40" xfId="881" applyNumberFormat="1" applyFont="1" applyFill="1" applyBorder="1" applyAlignment="1">
      <alignment horizontal="center" vertical="center" wrapText="1"/>
    </xf>
    <xf numFmtId="2" fontId="20" fillId="4" borderId="41" xfId="881" applyNumberFormat="1" applyFont="1" applyFill="1" applyBorder="1" applyAlignment="1">
      <alignment horizontal="center" vertical="center" wrapText="1"/>
    </xf>
    <xf numFmtId="165" fontId="20" fillId="0" borderId="23" xfId="881" applyNumberFormat="1" applyFont="1" applyFill="1" applyBorder="1" applyAlignment="1">
      <alignment horizontal="center" vertical="center" wrapText="1"/>
    </xf>
    <xf numFmtId="166" fontId="20" fillId="0" borderId="44" xfId="881" quotePrefix="1" applyNumberFormat="1" applyFont="1" applyFill="1" applyBorder="1" applyAlignment="1">
      <alignment horizontal="center" vertical="center" wrapText="1"/>
    </xf>
    <xf numFmtId="0" fontId="20" fillId="0" borderId="42" xfId="881" applyFont="1" applyFill="1" applyBorder="1" applyAlignment="1">
      <alignment horizontal="center" vertical="center" wrapText="1"/>
    </xf>
    <xf numFmtId="2" fontId="20" fillId="0" borderId="40" xfId="881" applyNumberFormat="1" applyFont="1" applyFill="1" applyBorder="1" applyAlignment="1">
      <alignment horizontal="center" vertical="center"/>
    </xf>
    <xf numFmtId="2" fontId="20" fillId="0" borderId="41" xfId="881" applyNumberFormat="1" applyFont="1" applyFill="1" applyBorder="1" applyAlignment="1">
      <alignment horizontal="center" vertical="center"/>
    </xf>
    <xf numFmtId="2" fontId="20" fillId="0" borderId="42" xfId="881" applyNumberFormat="1" applyFont="1" applyFill="1" applyBorder="1" applyAlignment="1">
      <alignment horizontal="center" vertical="center"/>
    </xf>
    <xf numFmtId="2" fontId="20" fillId="0" borderId="23" xfId="881" applyNumberFormat="1" applyFont="1" applyFill="1" applyBorder="1" applyAlignment="1">
      <alignment horizontal="center" vertical="center"/>
    </xf>
    <xf numFmtId="2" fontId="20" fillId="4" borderId="41" xfId="881" applyNumberFormat="1" applyFont="1" applyFill="1" applyBorder="1" applyAlignment="1">
      <alignment horizontal="center" vertical="center"/>
    </xf>
    <xf numFmtId="2" fontId="20" fillId="4" borderId="42" xfId="881" applyNumberFormat="1" applyFont="1" applyFill="1" applyBorder="1" applyAlignment="1">
      <alignment horizontal="center" vertical="center"/>
    </xf>
    <xf numFmtId="2" fontId="20" fillId="4" borderId="23" xfId="881" applyNumberFormat="1" applyFont="1" applyFill="1" applyBorder="1" applyAlignment="1">
      <alignment horizontal="center" vertical="center"/>
    </xf>
    <xf numFmtId="0" fontId="20" fillId="4" borderId="214" xfId="881" applyFont="1" applyFill="1" applyBorder="1" applyAlignment="1">
      <alignment horizontal="center" vertical="center" wrapText="1"/>
    </xf>
    <xf numFmtId="0" fontId="20" fillId="4" borderId="215" xfId="881" applyFont="1" applyFill="1" applyBorder="1" applyAlignment="1">
      <alignment horizontal="center" vertical="center" wrapText="1"/>
    </xf>
    <xf numFmtId="0" fontId="20" fillId="4" borderId="216" xfId="881" applyFont="1" applyFill="1" applyBorder="1" applyAlignment="1">
      <alignment horizontal="center" vertical="center" wrapText="1"/>
    </xf>
    <xf numFmtId="2" fontId="20" fillId="4" borderId="214" xfId="881" applyNumberFormat="1" applyFont="1" applyFill="1" applyBorder="1" applyAlignment="1">
      <alignment horizontal="center" vertical="center" wrapText="1"/>
    </xf>
    <xf numFmtId="2" fontId="20" fillId="4" borderId="215" xfId="881" applyNumberFormat="1" applyFont="1" applyFill="1" applyBorder="1" applyAlignment="1">
      <alignment horizontal="center" vertical="center" wrapText="1"/>
    </xf>
    <xf numFmtId="165" fontId="20" fillId="0" borderId="216" xfId="881" applyNumberFormat="1" applyFont="1" applyFill="1" applyBorder="1" applyAlignment="1">
      <alignment horizontal="center" vertical="center" wrapText="1"/>
    </xf>
    <xf numFmtId="0" fontId="20" fillId="0" borderId="222" xfId="881" quotePrefix="1" applyFont="1" applyFill="1" applyBorder="1" applyAlignment="1">
      <alignment horizontal="center" vertical="center" wrapText="1"/>
    </xf>
    <xf numFmtId="0" fontId="20" fillId="0" borderId="221" xfId="881" applyFont="1" applyFill="1" applyBorder="1" applyAlignment="1">
      <alignment horizontal="center" vertical="center" wrapText="1"/>
    </xf>
    <xf numFmtId="2" fontId="20" fillId="0" borderId="214" xfId="881" applyNumberFormat="1" applyFont="1" applyFill="1" applyBorder="1" applyAlignment="1">
      <alignment horizontal="center" vertical="center"/>
    </xf>
    <xf numFmtId="2" fontId="20" fillId="0" borderId="215" xfId="881" applyNumberFormat="1" applyFont="1" applyFill="1" applyBorder="1" applyAlignment="1">
      <alignment horizontal="center" vertical="center"/>
    </xf>
    <xf numFmtId="2" fontId="20" fillId="0" borderId="221" xfId="881" applyNumberFormat="1" applyFont="1" applyFill="1" applyBorder="1" applyAlignment="1">
      <alignment horizontal="center" vertical="center"/>
    </xf>
    <xf numFmtId="2" fontId="20" fillId="0" borderId="216" xfId="881" applyNumberFormat="1" applyFont="1" applyFill="1" applyBorder="1" applyAlignment="1">
      <alignment horizontal="center" vertical="center"/>
    </xf>
    <xf numFmtId="2" fontId="20" fillId="4" borderId="215" xfId="881" applyNumberFormat="1" applyFont="1" applyFill="1" applyBorder="1" applyAlignment="1">
      <alignment horizontal="center" vertical="center"/>
    </xf>
    <xf numFmtId="2" fontId="20" fillId="4" borderId="221" xfId="881" applyNumberFormat="1" applyFont="1" applyFill="1" applyBorder="1" applyAlignment="1">
      <alignment horizontal="center" vertical="center"/>
    </xf>
    <xf numFmtId="2" fontId="20" fillId="4" borderId="216" xfId="881" applyNumberFormat="1" applyFont="1" applyFill="1" applyBorder="1" applyAlignment="1">
      <alignment horizontal="center" vertical="center"/>
    </xf>
    <xf numFmtId="0" fontId="20" fillId="4" borderId="218" xfId="881" applyFont="1" applyFill="1" applyBorder="1" applyAlignment="1">
      <alignment horizontal="center" vertical="center" wrapText="1"/>
    </xf>
    <xf numFmtId="0" fontId="20" fillId="4" borderId="219" xfId="881" applyFont="1" applyFill="1" applyBorder="1" applyAlignment="1">
      <alignment horizontal="center" vertical="center" wrapText="1"/>
    </xf>
    <xf numFmtId="2" fontId="20" fillId="4" borderId="217" xfId="881" applyNumberFormat="1" applyFont="1" applyFill="1" applyBorder="1" applyAlignment="1">
      <alignment horizontal="center" vertical="center" wrapText="1"/>
    </xf>
    <xf numFmtId="2" fontId="20" fillId="4" borderId="218" xfId="881" applyNumberFormat="1" applyFont="1" applyFill="1" applyBorder="1" applyAlignment="1">
      <alignment horizontal="center" vertical="center" wrapText="1"/>
    </xf>
    <xf numFmtId="2" fontId="20" fillId="4" borderId="218" xfId="881" applyNumberFormat="1" applyFont="1" applyFill="1" applyBorder="1" applyAlignment="1">
      <alignment horizontal="center" vertical="center"/>
    </xf>
    <xf numFmtId="2" fontId="20" fillId="4" borderId="213" xfId="881" applyNumberFormat="1" applyFont="1" applyFill="1" applyBorder="1" applyAlignment="1">
      <alignment horizontal="center" vertical="center"/>
    </xf>
    <xf numFmtId="2" fontId="20" fillId="4" borderId="219" xfId="881" applyNumberFormat="1" applyFont="1" applyFill="1" applyBorder="1" applyAlignment="1">
      <alignment horizontal="center" vertical="center"/>
    </xf>
    <xf numFmtId="0" fontId="31" fillId="6" borderId="0" xfId="881" applyFont="1" applyFill="1" applyBorder="1" applyAlignment="1">
      <alignment vertical="center"/>
    </xf>
    <xf numFmtId="0" fontId="31" fillId="6" borderId="0" xfId="881" applyFont="1" applyFill="1" applyBorder="1"/>
    <xf numFmtId="2" fontId="31" fillId="6" borderId="0" xfId="881" applyNumberFormat="1" applyFont="1" applyFill="1" applyBorder="1" applyAlignment="1">
      <alignment vertical="center"/>
    </xf>
    <xf numFmtId="2" fontId="22" fillId="4" borderId="11" xfId="881" applyNumberFormat="1" applyFont="1" applyFill="1" applyBorder="1" applyAlignment="1">
      <alignment horizontal="center" vertical="center"/>
    </xf>
    <xf numFmtId="2" fontId="22" fillId="4" borderId="9" xfId="881" applyNumberFormat="1" applyFont="1" applyFill="1" applyBorder="1" applyAlignment="1">
      <alignment horizontal="center" vertical="center"/>
    </xf>
    <xf numFmtId="2" fontId="22" fillId="4" borderId="60" xfId="881" applyNumberFormat="1" applyFont="1" applyFill="1" applyBorder="1" applyAlignment="1">
      <alignment horizontal="center" vertical="center"/>
    </xf>
    <xf numFmtId="2" fontId="22" fillId="4" borderId="10" xfId="881" applyNumberFormat="1" applyFont="1" applyFill="1" applyBorder="1" applyAlignment="1">
      <alignment horizontal="center" vertical="center"/>
    </xf>
    <xf numFmtId="0" fontId="22" fillId="0" borderId="4" xfId="1194" applyFont="1" applyBorder="1"/>
    <xf numFmtId="0" fontId="20" fillId="0" borderId="0" xfId="1194" applyFont="1" applyBorder="1" applyAlignment="1">
      <alignment horizontal="center"/>
    </xf>
    <xf numFmtId="2" fontId="20" fillId="0" borderId="0" xfId="1194" applyNumberFormat="1" applyFont="1" applyBorder="1" applyAlignment="1">
      <alignment horizontal="center"/>
    </xf>
    <xf numFmtId="165" fontId="20" fillId="0" borderId="4" xfId="1194" applyNumberFormat="1" applyFont="1" applyBorder="1" applyAlignment="1"/>
    <xf numFmtId="1" fontId="20" fillId="0" borderId="0" xfId="1194" applyNumberFormat="1" applyFont="1" applyFill="1" applyBorder="1" applyAlignment="1">
      <alignment horizontal="center"/>
    </xf>
    <xf numFmtId="2" fontId="20" fillId="0" borderId="0" xfId="1194" applyNumberFormat="1" applyFont="1" applyBorder="1" applyAlignment="1">
      <alignment horizontal="left"/>
    </xf>
    <xf numFmtId="2" fontId="248" fillId="0" borderId="0" xfId="1194" applyNumberFormat="1" applyFont="1" applyBorder="1" applyAlignment="1">
      <alignment horizontal="left"/>
    </xf>
    <xf numFmtId="0" fontId="20" fillId="0" borderId="4" xfId="1194" applyFont="1" applyBorder="1"/>
    <xf numFmtId="2" fontId="20" fillId="0" borderId="0" xfId="1194" applyNumberFormat="1" applyFont="1" applyFill="1" applyBorder="1" applyAlignment="1">
      <alignment horizontal="center"/>
    </xf>
    <xf numFmtId="0" fontId="20" fillId="0" borderId="0" xfId="1194" applyFont="1" applyFill="1" applyBorder="1" applyAlignment="1">
      <alignment horizontal="left"/>
    </xf>
    <xf numFmtId="4" fontId="20" fillId="0" borderId="0" xfId="1194" applyNumberFormat="1" applyFont="1" applyFill="1" applyBorder="1" applyAlignment="1">
      <alignment horizontal="center"/>
    </xf>
    <xf numFmtId="0" fontId="20" fillId="0" borderId="0" xfId="1194" applyFont="1" applyBorder="1" applyAlignment="1">
      <alignment horizontal="left"/>
    </xf>
    <xf numFmtId="164" fontId="20" fillId="0" borderId="0" xfId="1194" applyNumberFormat="1" applyFont="1" applyFill="1" applyBorder="1" applyAlignment="1">
      <alignment horizontal="center"/>
    </xf>
    <xf numFmtId="0" fontId="38" fillId="4" borderId="1" xfId="881" applyFont="1" applyFill="1" applyBorder="1" applyAlignment="1">
      <alignment horizontal="center" vertical="center" wrapText="1"/>
    </xf>
    <xf numFmtId="0" fontId="38" fillId="4" borderId="34" xfId="881" applyFont="1" applyFill="1" applyBorder="1" applyAlignment="1">
      <alignment horizontal="center" vertical="center" wrapText="1"/>
    </xf>
    <xf numFmtId="0" fontId="38" fillId="4" borderId="67" xfId="881" applyFont="1" applyFill="1" applyBorder="1" applyAlignment="1">
      <alignment horizontal="center" vertical="center" wrapText="1"/>
    </xf>
    <xf numFmtId="0" fontId="38" fillId="4" borderId="10" xfId="881" applyFont="1" applyFill="1" applyBorder="1" applyAlignment="1">
      <alignment horizontal="center" vertical="center" wrapText="1"/>
    </xf>
    <xf numFmtId="0" fontId="38" fillId="4" borderId="34" xfId="881" applyFont="1" applyFill="1" applyBorder="1" applyAlignment="1">
      <alignment horizontal="center" vertical="center"/>
    </xf>
    <xf numFmtId="0" fontId="38" fillId="4" borderId="60" xfId="881" applyFont="1" applyFill="1" applyBorder="1" applyAlignment="1">
      <alignment horizontal="center" vertical="center" wrapText="1"/>
    </xf>
    <xf numFmtId="0" fontId="20" fillId="4" borderId="38" xfId="881" applyFont="1" applyFill="1" applyBorder="1" applyAlignment="1">
      <alignment horizontal="center" vertical="center" wrapText="1"/>
    </xf>
    <xf numFmtId="2" fontId="20" fillId="0" borderId="23" xfId="881" applyNumberFormat="1" applyFont="1" applyFill="1" applyBorder="1" applyAlignment="1">
      <alignment horizontal="center" vertical="center" wrapText="1"/>
    </xf>
    <xf numFmtId="0" fontId="20" fillId="4" borderId="42" xfId="881" applyFont="1" applyFill="1" applyBorder="1" applyAlignment="1">
      <alignment horizontal="center" vertical="center" wrapText="1"/>
    </xf>
    <xf numFmtId="2" fontId="20" fillId="4" borderId="40" xfId="881" applyNumberFormat="1" applyFont="1" applyFill="1" applyBorder="1" applyAlignment="1">
      <alignment horizontal="center" vertical="center"/>
    </xf>
    <xf numFmtId="2" fontId="20" fillId="4" borderId="44" xfId="881" applyNumberFormat="1" applyFont="1" applyFill="1" applyBorder="1" applyAlignment="1">
      <alignment horizontal="center" vertical="center"/>
    </xf>
    <xf numFmtId="2" fontId="20" fillId="0" borderId="216" xfId="881" applyNumberFormat="1" applyFont="1" applyFill="1" applyBorder="1" applyAlignment="1">
      <alignment horizontal="center" vertical="center" wrapText="1"/>
    </xf>
    <xf numFmtId="0" fontId="20" fillId="4" borderId="222" xfId="881" quotePrefix="1" applyFont="1" applyFill="1" applyBorder="1" applyAlignment="1">
      <alignment horizontal="center" vertical="center" wrapText="1"/>
    </xf>
    <xf numFmtId="0" fontId="20" fillId="4" borderId="221" xfId="881" applyFont="1" applyFill="1" applyBorder="1" applyAlignment="1">
      <alignment horizontal="center" vertical="center" wrapText="1"/>
    </xf>
    <xf numFmtId="2" fontId="20" fillId="4" borderId="214" xfId="881" applyNumberFormat="1" applyFont="1" applyFill="1" applyBorder="1" applyAlignment="1">
      <alignment horizontal="center" vertical="center"/>
    </xf>
    <xf numFmtId="2" fontId="20" fillId="4" borderId="222" xfId="881" applyNumberFormat="1" applyFont="1" applyFill="1" applyBorder="1" applyAlignment="1">
      <alignment horizontal="center" vertical="center"/>
    </xf>
    <xf numFmtId="2" fontId="20" fillId="0" borderId="219" xfId="881" applyNumberFormat="1" applyFont="1" applyFill="1" applyBorder="1" applyAlignment="1">
      <alignment horizontal="center" vertical="center" wrapText="1"/>
    </xf>
    <xf numFmtId="0" fontId="20" fillId="4" borderId="223" xfId="881" quotePrefix="1" applyFont="1" applyFill="1" applyBorder="1" applyAlignment="1">
      <alignment horizontal="center" vertical="center" wrapText="1"/>
    </xf>
    <xf numFmtId="0" fontId="20" fillId="4" borderId="213" xfId="881" applyFont="1" applyFill="1" applyBorder="1" applyAlignment="1">
      <alignment horizontal="center" vertical="center" wrapText="1"/>
    </xf>
    <xf numFmtId="2" fontId="20" fillId="4" borderId="217" xfId="881" applyNumberFormat="1" applyFont="1" applyFill="1" applyBorder="1" applyAlignment="1">
      <alignment horizontal="center" vertical="center"/>
    </xf>
    <xf numFmtId="2" fontId="20" fillId="4" borderId="223" xfId="881" applyNumberFormat="1" applyFont="1" applyFill="1" applyBorder="1" applyAlignment="1">
      <alignment horizontal="center" vertical="center"/>
    </xf>
    <xf numFmtId="2" fontId="20" fillId="4" borderId="38" xfId="881" applyNumberFormat="1" applyFont="1" applyFill="1" applyBorder="1" applyAlignment="1">
      <alignment horizontal="center" vertical="center"/>
    </xf>
    <xf numFmtId="2" fontId="140" fillId="0" borderId="214" xfId="0" quotePrefix="1" applyNumberFormat="1" applyFont="1" applyFill="1" applyBorder="1" applyAlignment="1">
      <alignment horizontal="center" vertical="center"/>
    </xf>
    <xf numFmtId="2" fontId="140" fillId="0" borderId="221" xfId="0" quotePrefix="1" applyNumberFormat="1" applyFont="1" applyFill="1" applyBorder="1" applyAlignment="1">
      <alignment horizontal="center" vertical="center"/>
    </xf>
    <xf numFmtId="2" fontId="140" fillId="0" borderId="216" xfId="0" quotePrefix="1" applyNumberFormat="1" applyFont="1" applyFill="1" applyBorder="1" applyAlignment="1">
      <alignment horizontal="center" vertical="center"/>
    </xf>
    <xf numFmtId="0" fontId="105" fillId="6" borderId="48" xfId="63" applyFont="1" applyFill="1" applyBorder="1" applyAlignment="1">
      <alignment horizontal="center" vertical="center" wrapText="1"/>
    </xf>
    <xf numFmtId="0" fontId="105" fillId="0" borderId="16" xfId="63" applyFont="1" applyFill="1" applyBorder="1" applyAlignment="1">
      <alignment horizontal="center" vertical="center" wrapText="1"/>
    </xf>
    <xf numFmtId="0" fontId="105" fillId="0" borderId="48" xfId="63" applyFont="1" applyFill="1" applyBorder="1" applyAlignment="1">
      <alignment horizontal="center" vertical="center" wrapText="1"/>
    </xf>
    <xf numFmtId="0" fontId="58" fillId="4" borderId="238" xfId="63" applyFont="1" applyFill="1" applyBorder="1" applyAlignment="1">
      <alignment horizontal="center" vertical="center" wrapText="1"/>
    </xf>
    <xf numFmtId="0" fontId="58" fillId="6" borderId="238" xfId="63" applyFont="1" applyFill="1" applyBorder="1" applyAlignment="1">
      <alignment horizontal="center" vertical="center" wrapText="1"/>
    </xf>
    <xf numFmtId="0" fontId="140" fillId="0" borderId="233" xfId="0" applyFont="1" applyFill="1" applyBorder="1" applyAlignment="1">
      <alignment horizontal="left" vertical="center" wrapText="1"/>
    </xf>
    <xf numFmtId="0" fontId="140" fillId="0" borderId="221" xfId="0" applyFont="1" applyFill="1" applyBorder="1" applyAlignment="1">
      <alignment horizontal="center" vertical="center" wrapText="1"/>
    </xf>
    <xf numFmtId="0" fontId="20" fillId="4" borderId="30" xfId="881" applyFont="1" applyFill="1" applyBorder="1" applyAlignment="1">
      <alignment horizontal="center" vertical="center" wrapText="1"/>
    </xf>
    <xf numFmtId="0" fontId="20" fillId="4" borderId="220" xfId="881" applyFont="1" applyFill="1" applyBorder="1" applyAlignment="1">
      <alignment horizontal="center" vertical="center" wrapText="1"/>
    </xf>
    <xf numFmtId="0" fontId="20" fillId="4" borderId="229" xfId="881" applyFont="1" applyFill="1" applyBorder="1" applyAlignment="1">
      <alignment horizontal="center" vertical="center" wrapText="1"/>
    </xf>
    <xf numFmtId="0" fontId="140" fillId="4" borderId="234" xfId="0" applyFont="1" applyFill="1" applyBorder="1" applyAlignment="1">
      <alignment horizontal="left" vertical="center" wrapText="1"/>
    </xf>
    <xf numFmtId="2" fontId="140" fillId="0" borderId="235" xfId="0" quotePrefix="1" applyNumberFormat="1" applyFont="1" applyBorder="1" applyAlignment="1">
      <alignment horizontal="center" vertical="center"/>
    </xf>
    <xf numFmtId="2" fontId="140" fillId="0" borderId="245" xfId="0" quotePrefix="1" applyNumberFormat="1" applyFont="1" applyBorder="1" applyAlignment="1">
      <alignment horizontal="center" vertical="center"/>
    </xf>
    <xf numFmtId="2" fontId="140" fillId="0" borderId="240" xfId="0" applyNumberFormat="1" applyFont="1" applyBorder="1" applyAlignment="1">
      <alignment horizontal="center" vertical="center"/>
    </xf>
    <xf numFmtId="2" fontId="140" fillId="0" borderId="230" xfId="0" quotePrefix="1" applyNumberFormat="1" applyFont="1" applyBorder="1" applyAlignment="1">
      <alignment horizontal="center" vertical="center"/>
    </xf>
    <xf numFmtId="2" fontId="140" fillId="0" borderId="216" xfId="0" quotePrefix="1" applyNumberFormat="1" applyFont="1" applyBorder="1" applyAlignment="1">
      <alignment horizontal="center" vertical="center" wrapText="1"/>
    </xf>
    <xf numFmtId="0" fontId="140" fillId="0" borderId="213" xfId="0" applyFont="1" applyFill="1" applyBorder="1" applyAlignment="1">
      <alignment horizontal="center" vertical="center" wrapText="1"/>
    </xf>
    <xf numFmtId="2" fontId="140" fillId="0" borderId="217" xfId="0" quotePrefix="1" applyNumberFormat="1" applyFont="1" applyBorder="1" applyAlignment="1">
      <alignment horizontal="center" vertical="center" wrapText="1"/>
    </xf>
    <xf numFmtId="2" fontId="140" fillId="0" borderId="213" xfId="0" quotePrefix="1" applyNumberFormat="1" applyFont="1" applyBorder="1" applyAlignment="1">
      <alignment horizontal="center" vertical="center" wrapText="1"/>
    </xf>
    <xf numFmtId="2" fontId="140" fillId="0" borderId="219" xfId="0" quotePrefix="1" applyNumberFormat="1" applyFont="1" applyBorder="1" applyAlignment="1">
      <alignment horizontal="center" vertical="center" wrapText="1"/>
    </xf>
    <xf numFmtId="0" fontId="20" fillId="4" borderId="198" xfId="0" applyFont="1" applyFill="1" applyBorder="1"/>
    <xf numFmtId="0" fontId="20" fillId="4" borderId="5" xfId="0" applyFont="1" applyFill="1" applyBorder="1"/>
    <xf numFmtId="0" fontId="20" fillId="4" borderId="199" xfId="0" applyFont="1" applyFill="1" applyBorder="1"/>
    <xf numFmtId="2" fontId="140" fillId="0" borderId="225" xfId="0" applyNumberFormat="1" applyFont="1" applyFill="1" applyBorder="1" applyAlignment="1">
      <alignment horizontal="center" vertical="center"/>
    </xf>
    <xf numFmtId="2" fontId="140" fillId="0" borderId="213" xfId="0" quotePrefix="1" applyNumberFormat="1" applyFont="1" applyFill="1" applyBorder="1" applyAlignment="1">
      <alignment horizontal="center" vertical="center"/>
    </xf>
    <xf numFmtId="16" fontId="29" fillId="0" borderId="0" xfId="1" applyNumberFormat="1" applyFont="1" applyBorder="1" applyAlignment="1">
      <alignment horizontal="left"/>
    </xf>
    <xf numFmtId="0" fontId="29" fillId="0" borderId="0" xfId="1" applyFont="1" applyBorder="1"/>
    <xf numFmtId="0" fontId="29" fillId="0" borderId="5" xfId="1" applyFont="1" applyBorder="1"/>
    <xf numFmtId="0" fontId="29" fillId="0" borderId="0" xfId="1" applyFont="1" applyBorder="1" applyAlignment="1">
      <alignment horizontal="left"/>
    </xf>
    <xf numFmtId="0" fontId="29" fillId="0" borderId="0" xfId="1" applyFont="1" applyBorder="1" applyAlignment="1">
      <alignment horizontal="center"/>
    </xf>
    <xf numFmtId="2" fontId="29" fillId="0" borderId="0" xfId="1" applyNumberFormat="1" applyFont="1" applyBorder="1" applyAlignment="1">
      <alignment horizontal="center"/>
    </xf>
    <xf numFmtId="1" fontId="29" fillId="0" borderId="0" xfId="1" applyNumberFormat="1" applyFont="1" applyBorder="1" applyAlignment="1">
      <alignment horizontal="center"/>
    </xf>
    <xf numFmtId="0" fontId="29" fillId="0" borderId="5" xfId="1" applyFont="1" applyBorder="1" applyAlignment="1">
      <alignment horizontal="center"/>
    </xf>
    <xf numFmtId="164" fontId="29" fillId="0" borderId="0" xfId="1" applyNumberFormat="1" applyFont="1" applyBorder="1" applyAlignment="1">
      <alignment horizontal="center"/>
    </xf>
    <xf numFmtId="2" fontId="29" fillId="0" borderId="5" xfId="20888" applyNumberFormat="1" applyFont="1" applyBorder="1" applyAlignment="1">
      <alignment horizontal="center"/>
    </xf>
    <xf numFmtId="0" fontId="29" fillId="0" borderId="0" xfId="1" applyFont="1" applyFill="1" applyBorder="1" applyAlignment="1">
      <alignment horizontal="center"/>
    </xf>
    <xf numFmtId="1" fontId="29" fillId="0" borderId="0" xfId="1" applyNumberFormat="1" applyFont="1" applyFill="1" applyBorder="1" applyAlignment="1">
      <alignment horizontal="center"/>
    </xf>
    <xf numFmtId="2" fontId="29" fillId="0" borderId="0" xfId="1" applyNumberFormat="1" applyFont="1" applyFill="1" applyBorder="1" applyAlignment="1">
      <alignment horizontal="center"/>
    </xf>
    <xf numFmtId="2" fontId="29" fillId="7" borderId="0" xfId="1" applyNumberFormat="1" applyFont="1" applyFill="1" applyBorder="1" applyAlignment="1">
      <alignment horizontal="center"/>
    </xf>
    <xf numFmtId="0" fontId="29" fillId="0" borderId="72" xfId="1" applyFont="1" applyBorder="1" applyAlignment="1">
      <alignment horizontal="center"/>
    </xf>
    <xf numFmtId="0" fontId="29" fillId="0" borderId="72" xfId="1" applyFont="1" applyBorder="1"/>
    <xf numFmtId="0" fontId="29" fillId="0" borderId="54" xfId="1" applyFont="1" applyBorder="1"/>
    <xf numFmtId="0" fontId="251" fillId="0" borderId="0" xfId="10628" applyFont="1" applyBorder="1" applyAlignment="1">
      <alignment vertical="top"/>
    </xf>
    <xf numFmtId="0" fontId="29" fillId="0" borderId="0" xfId="1194" applyFont="1" applyFill="1" applyBorder="1" applyAlignment="1">
      <alignment horizontal="center"/>
    </xf>
    <xf numFmtId="0" fontId="29" fillId="0" borderId="72" xfId="1194" applyFont="1" applyBorder="1" applyAlignment="1">
      <alignment horizontal="center"/>
    </xf>
    <xf numFmtId="0" fontId="29" fillId="0" borderId="72" xfId="1194" applyFont="1" applyFill="1" applyBorder="1" applyAlignment="1">
      <alignment horizontal="center"/>
    </xf>
    <xf numFmtId="165" fontId="29" fillId="0" borderId="0" xfId="1" applyNumberFormat="1" applyFont="1" applyBorder="1" applyAlignment="1">
      <alignment horizontal="center"/>
    </xf>
    <xf numFmtId="167" fontId="29" fillId="0" borderId="0" xfId="1" applyNumberFormat="1" applyFont="1" applyBorder="1" applyAlignment="1">
      <alignment horizontal="center"/>
    </xf>
    <xf numFmtId="4" fontId="29" fillId="0" borderId="0" xfId="1" applyNumberFormat="1" applyFont="1" applyBorder="1" applyAlignment="1">
      <alignment horizontal="center"/>
    </xf>
    <xf numFmtId="0" fontId="251" fillId="0" borderId="5" xfId="10628" applyFont="1" applyBorder="1" applyAlignment="1">
      <alignment vertical="top"/>
    </xf>
    <xf numFmtId="16" fontId="29" fillId="0" borderId="0" xfId="1" quotePrefix="1" applyNumberFormat="1" applyFont="1" applyBorder="1" applyAlignment="1">
      <alignment horizontal="left"/>
    </xf>
    <xf numFmtId="0" fontId="29" fillId="0" borderId="4" xfId="1" applyFont="1" applyFill="1" applyBorder="1"/>
    <xf numFmtId="16" fontId="29" fillId="0" borderId="0" xfId="1" applyNumberFormat="1" applyFont="1" applyFill="1" applyBorder="1" applyAlignment="1">
      <alignment horizontal="left"/>
    </xf>
    <xf numFmtId="0" fontId="29" fillId="0" borderId="0" xfId="1" applyFont="1" applyFill="1" applyBorder="1"/>
    <xf numFmtId="0" fontId="29" fillId="0" borderId="5" xfId="1" applyFont="1" applyFill="1" applyBorder="1"/>
    <xf numFmtId="0" fontId="29" fillId="0" borderId="0" xfId="1" applyFont="1" applyFill="1" applyBorder="1" applyAlignment="1">
      <alignment horizontal="left"/>
    </xf>
    <xf numFmtId="164" fontId="29" fillId="0" borderId="0" xfId="1" applyNumberFormat="1" applyFont="1" applyFill="1" applyBorder="1" applyAlignment="1">
      <alignment horizontal="center"/>
    </xf>
    <xf numFmtId="0" fontId="29" fillId="0" borderId="72" xfId="1" applyFont="1" applyFill="1" applyBorder="1" applyAlignment="1">
      <alignment horizontal="center"/>
    </xf>
    <xf numFmtId="0" fontId="29" fillId="0" borderId="72" xfId="1" applyFont="1" applyFill="1" applyBorder="1"/>
    <xf numFmtId="0" fontId="29" fillId="0" borderId="54" xfId="1" applyFont="1" applyFill="1" applyBorder="1"/>
    <xf numFmtId="0" fontId="251" fillId="0" borderId="0" xfId="10628" applyFont="1" applyFill="1" applyBorder="1" applyAlignment="1">
      <alignment vertical="top"/>
    </xf>
    <xf numFmtId="165" fontId="29" fillId="0" borderId="0" xfId="1" applyNumberFormat="1" applyFont="1" applyFill="1" applyBorder="1" applyAlignment="1">
      <alignment horizontal="center"/>
    </xf>
    <xf numFmtId="167" fontId="29" fillId="0" borderId="0" xfId="1" applyNumberFormat="1" applyFont="1" applyFill="1" applyBorder="1" applyAlignment="1">
      <alignment horizontal="center"/>
    </xf>
    <xf numFmtId="0" fontId="251" fillId="0" borderId="5" xfId="10628" applyFont="1" applyFill="1" applyBorder="1" applyAlignment="1">
      <alignment vertical="top"/>
    </xf>
    <xf numFmtId="0" fontId="45" fillId="4" borderId="226" xfId="63" applyFont="1" applyFill="1" applyBorder="1" applyAlignment="1">
      <alignment horizontal="center" vertical="center"/>
    </xf>
    <xf numFmtId="2" fontId="45" fillId="4" borderId="214" xfId="63" applyNumberFormat="1" applyFont="1" applyFill="1" applyBorder="1" applyAlignment="1">
      <alignment horizontal="center" vertical="center"/>
    </xf>
    <xf numFmtId="2" fontId="45" fillId="4" borderId="216" xfId="63" applyNumberFormat="1" applyFont="1" applyFill="1" applyBorder="1" applyAlignment="1">
      <alignment horizontal="center" vertical="center"/>
    </xf>
    <xf numFmtId="0" fontId="45" fillId="4" borderId="158" xfId="63" applyFont="1" applyFill="1" applyBorder="1" applyAlignment="1">
      <alignment horizontal="center" vertical="center"/>
    </xf>
    <xf numFmtId="0" fontId="34" fillId="4" borderId="226" xfId="1" applyFont="1" applyFill="1" applyBorder="1" applyAlignment="1">
      <alignment horizontal="center" vertical="center" wrapText="1"/>
    </xf>
    <xf numFmtId="164" fontId="33" fillId="4" borderId="225" xfId="1" applyNumberFormat="1" applyFont="1" applyFill="1" applyBorder="1" applyAlignment="1">
      <alignment horizontal="center" vertical="center"/>
    </xf>
    <xf numFmtId="164" fontId="33" fillId="4" borderId="221" xfId="1" applyNumberFormat="1" applyFont="1" applyFill="1" applyBorder="1" applyAlignment="1">
      <alignment horizontal="center" vertical="center"/>
    </xf>
    <xf numFmtId="2" fontId="33" fillId="4" borderId="225" xfId="1" applyNumberFormat="1" applyFont="1" applyFill="1" applyBorder="1" applyAlignment="1">
      <alignment horizontal="center" vertical="center"/>
    </xf>
    <xf numFmtId="2" fontId="33" fillId="4" borderId="40" xfId="1" applyNumberFormat="1" applyFont="1" applyFill="1" applyBorder="1" applyAlignment="1">
      <alignment horizontal="center" vertical="center" wrapText="1"/>
    </xf>
    <xf numFmtId="164" fontId="33" fillId="4" borderId="73" xfId="1" applyNumberFormat="1" applyFont="1" applyFill="1" applyBorder="1" applyAlignment="1">
      <alignment horizontal="center" vertical="center" wrapText="1"/>
    </xf>
    <xf numFmtId="164" fontId="33" fillId="4" borderId="42" xfId="1" applyNumberFormat="1" applyFont="1" applyFill="1" applyBorder="1" applyAlignment="1">
      <alignment horizontal="center" vertical="center"/>
    </xf>
    <xf numFmtId="2" fontId="33" fillId="4" borderId="73" xfId="1" applyNumberFormat="1" applyFont="1" applyFill="1" applyBorder="1" applyAlignment="1">
      <alignment horizontal="center" vertical="center" wrapText="1"/>
    </xf>
    <xf numFmtId="2" fontId="33" fillId="4" borderId="214" xfId="1" applyNumberFormat="1" applyFont="1" applyFill="1" applyBorder="1" applyAlignment="1">
      <alignment horizontal="center" vertical="center" wrapText="1"/>
    </xf>
    <xf numFmtId="164" fontId="33" fillId="4" borderId="225" xfId="1" applyNumberFormat="1" applyFont="1" applyFill="1" applyBorder="1" applyAlignment="1">
      <alignment horizontal="center" vertical="center" wrapText="1"/>
    </xf>
    <xf numFmtId="2" fontId="33" fillId="4" borderId="225" xfId="1" applyNumberFormat="1" applyFont="1" applyFill="1" applyBorder="1" applyAlignment="1">
      <alignment horizontal="center" vertical="center" wrapText="1"/>
    </xf>
    <xf numFmtId="0" fontId="34" fillId="4" borderId="24" xfId="1" applyFont="1" applyFill="1" applyBorder="1" applyAlignment="1">
      <alignment horizontal="center" vertical="center" wrapText="1"/>
    </xf>
    <xf numFmtId="164" fontId="34" fillId="4" borderId="24" xfId="1" applyNumberFormat="1" applyFont="1" applyFill="1" applyBorder="1" applyAlignment="1">
      <alignment horizontal="center" vertical="center"/>
    </xf>
    <xf numFmtId="164" fontId="34" fillId="4" borderId="41" xfId="1" applyNumberFormat="1" applyFont="1" applyFill="1" applyBorder="1" applyAlignment="1">
      <alignment horizontal="center" vertical="center"/>
    </xf>
    <xf numFmtId="164" fontId="34" fillId="4" borderId="44" xfId="1" applyNumberFormat="1" applyFont="1" applyFill="1" applyBorder="1" applyAlignment="1">
      <alignment horizontal="center" vertical="center"/>
    </xf>
    <xf numFmtId="0" fontId="34" fillId="4" borderId="228" xfId="1" applyFont="1" applyFill="1" applyBorder="1" applyAlignment="1">
      <alignment horizontal="center" vertical="center"/>
    </xf>
    <xf numFmtId="164" fontId="34" fillId="4" borderId="228" xfId="1" applyNumberFormat="1" applyFont="1" applyFill="1" applyBorder="1" applyAlignment="1">
      <alignment horizontal="center" vertical="center"/>
    </xf>
    <xf numFmtId="164" fontId="34" fillId="4" borderId="218" xfId="1" applyNumberFormat="1" applyFont="1" applyFill="1" applyBorder="1" applyAlignment="1">
      <alignment horizontal="center" vertical="center"/>
    </xf>
    <xf numFmtId="164" fontId="34" fillId="4" borderId="223" xfId="1" applyNumberFormat="1" applyFont="1" applyFill="1" applyBorder="1" applyAlignment="1">
      <alignment horizontal="center" vertical="center"/>
    </xf>
    <xf numFmtId="2" fontId="45" fillId="0" borderId="214" xfId="63" applyNumberFormat="1" applyFont="1" applyFill="1" applyBorder="1" applyAlignment="1">
      <alignment horizontal="center" vertical="center"/>
    </xf>
    <xf numFmtId="2" fontId="45" fillId="0" borderId="216" xfId="63" applyNumberFormat="1" applyFont="1" applyFill="1" applyBorder="1" applyAlignment="1">
      <alignment horizontal="center" vertical="center"/>
    </xf>
    <xf numFmtId="2" fontId="45" fillId="4" borderId="16" xfId="63" quotePrefix="1" applyNumberFormat="1" applyFont="1" applyFill="1" applyBorder="1" applyAlignment="1">
      <alignment horizontal="center" vertical="center" wrapText="1"/>
    </xf>
    <xf numFmtId="164" fontId="45" fillId="4" borderId="16" xfId="63" quotePrefix="1" applyNumberFormat="1" applyFont="1" applyFill="1" applyBorder="1" applyAlignment="1">
      <alignment horizontal="center" vertical="center" wrapText="1"/>
    </xf>
    <xf numFmtId="164" fontId="45" fillId="4" borderId="17" xfId="63" quotePrefix="1" applyNumberFormat="1" applyFont="1" applyFill="1" applyBorder="1" applyAlignment="1">
      <alignment horizontal="center" vertical="center" wrapText="1"/>
    </xf>
    <xf numFmtId="164" fontId="45" fillId="4" borderId="16" xfId="63" applyNumberFormat="1" applyFont="1" applyFill="1" applyBorder="1" applyAlignment="1">
      <alignment horizontal="center" vertical="center" wrapText="1"/>
    </xf>
    <xf numFmtId="164" fontId="45" fillId="4" borderId="17" xfId="63" applyNumberFormat="1" applyFont="1" applyFill="1" applyBorder="1" applyAlignment="1">
      <alignment horizontal="center" vertical="center" wrapText="1"/>
    </xf>
    <xf numFmtId="0" fontId="109" fillId="4" borderId="16" xfId="63" applyFont="1" applyFill="1" applyBorder="1" applyAlignment="1">
      <alignment horizontal="center" vertical="center" wrapText="1"/>
    </xf>
    <xf numFmtId="0" fontId="109" fillId="4" borderId="48" xfId="63" applyFont="1" applyFill="1" applyBorder="1" applyAlignment="1">
      <alignment horizontal="center" vertical="center" wrapText="1"/>
    </xf>
    <xf numFmtId="11" fontId="45" fillId="6" borderId="0" xfId="63" applyNumberFormat="1" applyFont="1" applyFill="1"/>
    <xf numFmtId="0" fontId="45" fillId="6" borderId="0" xfId="63" applyFont="1" applyFill="1"/>
    <xf numFmtId="0" fontId="102" fillId="6" borderId="21" xfId="63" applyFont="1" applyFill="1" applyBorder="1" applyAlignment="1">
      <alignment horizontal="center" vertical="center"/>
    </xf>
    <xf numFmtId="0" fontId="109" fillId="6" borderId="62" xfId="63" applyFont="1" applyFill="1" applyBorder="1" applyAlignment="1">
      <alignment horizontal="center" vertical="center" wrapText="1"/>
    </xf>
    <xf numFmtId="164" fontId="45" fillId="6" borderId="11" xfId="63" applyNumberFormat="1" applyFont="1" applyFill="1" applyBorder="1" applyAlignment="1">
      <alignment horizontal="center" vertical="center" wrapText="1"/>
    </xf>
    <xf numFmtId="164" fontId="45" fillId="6" borderId="10" xfId="63" applyNumberFormat="1" applyFont="1" applyFill="1" applyBorder="1" applyAlignment="1">
      <alignment horizontal="center" vertical="center" wrapText="1"/>
    </xf>
    <xf numFmtId="0" fontId="20" fillId="6" borderId="4" xfId="0" applyFont="1" applyFill="1" applyBorder="1" applyAlignment="1">
      <alignment vertical="top"/>
    </xf>
    <xf numFmtId="0" fontId="20" fillId="6" borderId="197" xfId="0" applyFont="1" applyFill="1" applyBorder="1" applyAlignment="1">
      <alignment vertical="top"/>
    </xf>
    <xf numFmtId="2" fontId="45" fillId="0" borderId="214" xfId="63" applyNumberFormat="1" applyFont="1" applyFill="1" applyBorder="1" applyAlignment="1">
      <alignment horizontal="center" vertical="center" wrapText="1"/>
    </xf>
    <xf numFmtId="2" fontId="45" fillId="0" borderId="216" xfId="63" applyNumberFormat="1" applyFont="1" applyFill="1" applyBorder="1" applyAlignment="1">
      <alignment horizontal="center" vertical="center" wrapText="1"/>
    </xf>
    <xf numFmtId="2" fontId="45" fillId="6" borderId="214" xfId="63" applyNumberFormat="1" applyFont="1" applyFill="1" applyBorder="1" applyAlignment="1">
      <alignment horizontal="center" vertical="center" wrapText="1"/>
    </xf>
    <xf numFmtId="0" fontId="21" fillId="4" borderId="249" xfId="0" applyFont="1" applyFill="1" applyBorder="1" applyAlignment="1">
      <alignment horizontal="center" vertical="center"/>
    </xf>
    <xf numFmtId="0" fontId="21" fillId="4" borderId="237" xfId="0" applyFont="1" applyFill="1" applyBorder="1" applyAlignment="1">
      <alignment horizontal="center" vertical="center"/>
    </xf>
    <xf numFmtId="0" fontId="21" fillId="4" borderId="251" xfId="0" applyFont="1" applyFill="1" applyBorder="1" applyAlignment="1">
      <alignment horizontal="center" vertical="center"/>
    </xf>
    <xf numFmtId="0" fontId="21" fillId="4" borderId="248" xfId="0" applyFont="1" applyFill="1" applyBorder="1" applyAlignment="1">
      <alignment horizontal="center" vertical="center"/>
    </xf>
    <xf numFmtId="0" fontId="20" fillId="0" borderId="197" xfId="0" applyFont="1" applyBorder="1"/>
    <xf numFmtId="0" fontId="31" fillId="0" borderId="198" xfId="0" applyFont="1" applyBorder="1" applyAlignment="1">
      <alignment vertical="center"/>
    </xf>
    <xf numFmtId="0" fontId="20" fillId="0" borderId="199" xfId="0" applyFont="1" applyBorder="1"/>
    <xf numFmtId="0" fontId="105" fillId="0" borderId="55" xfId="63" applyFont="1" applyFill="1" applyBorder="1" applyAlignment="1">
      <alignment horizontal="center" vertical="center" wrapText="1"/>
    </xf>
    <xf numFmtId="0" fontId="105" fillId="6" borderId="55" xfId="63" applyFont="1" applyFill="1" applyBorder="1" applyAlignment="1">
      <alignment horizontal="center" vertical="center" wrapText="1"/>
    </xf>
    <xf numFmtId="0" fontId="105" fillId="6" borderId="16" xfId="63" applyFont="1" applyFill="1" applyBorder="1" applyAlignment="1">
      <alignment horizontal="center" vertical="center" wrapText="1"/>
    </xf>
    <xf numFmtId="164" fontId="45" fillId="0" borderId="220" xfId="63" quotePrefix="1" applyNumberFormat="1" applyFont="1" applyFill="1" applyBorder="1" applyAlignment="1">
      <alignment horizontal="center" vertical="center" wrapText="1"/>
    </xf>
    <xf numFmtId="164" fontId="26" fillId="0" borderId="18" xfId="0" applyNumberFormat="1" applyFont="1" applyFill="1" applyBorder="1" applyAlignment="1">
      <alignment horizontal="center" vertical="center"/>
    </xf>
    <xf numFmtId="164" fontId="26" fillId="0" borderId="43" xfId="0" applyNumberFormat="1" applyFont="1" applyFill="1" applyBorder="1" applyAlignment="1">
      <alignment horizontal="center" vertical="center"/>
    </xf>
    <xf numFmtId="0" fontId="140" fillId="4" borderId="37" xfId="0" applyFont="1" applyFill="1" applyBorder="1" applyAlignment="1">
      <alignment horizontal="center" vertical="center" wrapText="1"/>
    </xf>
    <xf numFmtId="0" fontId="140" fillId="4" borderId="39" xfId="0" applyFont="1" applyFill="1" applyBorder="1" applyAlignment="1">
      <alignment horizontal="center" vertical="center" wrapText="1"/>
    </xf>
    <xf numFmtId="0" fontId="140" fillId="4" borderId="235" xfId="0" applyFont="1" applyFill="1" applyBorder="1" applyAlignment="1">
      <alignment horizontal="center" vertical="center" wrapText="1"/>
    </xf>
    <xf numFmtId="164" fontId="34" fillId="4" borderId="23" xfId="1" applyNumberFormat="1" applyFont="1" applyFill="1" applyBorder="1" applyAlignment="1">
      <alignment horizontal="center" vertical="center"/>
    </xf>
    <xf numFmtId="164" fontId="34" fillId="4" borderId="219" xfId="1" applyNumberFormat="1" applyFont="1" applyFill="1" applyBorder="1" applyAlignment="1">
      <alignment horizontal="center" vertical="center"/>
    </xf>
    <xf numFmtId="0" fontId="20" fillId="4" borderId="39" xfId="881" applyFont="1" applyFill="1" applyBorder="1" applyAlignment="1">
      <alignment horizontal="center" vertical="center" wrapText="1"/>
    </xf>
    <xf numFmtId="2" fontId="20" fillId="4" borderId="37" xfId="881" applyNumberFormat="1" applyFont="1" applyFill="1" applyBorder="1" applyAlignment="1">
      <alignment horizontal="center" vertical="center" wrapText="1"/>
    </xf>
    <xf numFmtId="2" fontId="20" fillId="4" borderId="38" xfId="881" applyNumberFormat="1" applyFont="1" applyFill="1" applyBorder="1" applyAlignment="1">
      <alignment horizontal="center" vertical="center" wrapText="1"/>
    </xf>
    <xf numFmtId="2" fontId="20" fillId="0" borderId="39" xfId="881" applyNumberFormat="1" applyFont="1" applyFill="1" applyBorder="1" applyAlignment="1">
      <alignment horizontal="center" vertical="center" wrapText="1"/>
    </xf>
    <xf numFmtId="0" fontId="20" fillId="4" borderId="56" xfId="881" quotePrefix="1" applyFont="1" applyFill="1" applyBorder="1" applyAlignment="1">
      <alignment horizontal="center" vertical="center" wrapText="1"/>
    </xf>
    <xf numFmtId="0" fontId="20" fillId="4" borderId="61" xfId="881" applyFont="1" applyFill="1" applyBorder="1" applyAlignment="1">
      <alignment horizontal="center" vertical="center" wrapText="1"/>
    </xf>
    <xf numFmtId="0" fontId="20" fillId="4" borderId="54" xfId="881" applyFont="1" applyFill="1" applyBorder="1" applyAlignment="1">
      <alignment horizontal="center" vertical="center" wrapText="1"/>
    </xf>
    <xf numFmtId="2" fontId="20" fillId="4" borderId="37" xfId="881" applyNumberFormat="1" applyFont="1" applyFill="1" applyBorder="1" applyAlignment="1">
      <alignment horizontal="center" vertical="center"/>
    </xf>
    <xf numFmtId="2" fontId="20" fillId="4" borderId="61" xfId="881" applyNumberFormat="1" applyFont="1" applyFill="1" applyBorder="1" applyAlignment="1">
      <alignment horizontal="center" vertical="center"/>
    </xf>
    <xf numFmtId="2" fontId="20" fillId="4" borderId="39" xfId="881" applyNumberFormat="1" applyFont="1" applyFill="1" applyBorder="1" applyAlignment="1">
      <alignment horizontal="center" vertical="center"/>
    </xf>
    <xf numFmtId="2" fontId="20" fillId="4" borderId="56" xfId="881" applyNumberFormat="1" applyFont="1" applyFill="1" applyBorder="1" applyAlignment="1">
      <alignment horizontal="center" vertical="center"/>
    </xf>
    <xf numFmtId="0" fontId="34" fillId="4" borderId="51" xfId="1" applyFont="1" applyFill="1" applyBorder="1" applyAlignment="1">
      <alignment horizontal="center" vertical="center" wrapText="1"/>
    </xf>
    <xf numFmtId="0" fontId="222" fillId="7" borderId="0" xfId="1" applyFont="1" applyFill="1"/>
    <xf numFmtId="2" fontId="222" fillId="7" borderId="0" xfId="1" applyNumberFormat="1" applyFont="1" applyFill="1"/>
    <xf numFmtId="0" fontId="140" fillId="0" borderId="245" xfId="0" applyFont="1" applyFill="1" applyBorder="1" applyAlignment="1">
      <alignment horizontal="center" vertical="center" wrapText="1"/>
    </xf>
    <xf numFmtId="2" fontId="140" fillId="0" borderId="235" xfId="0" quotePrefix="1" applyNumberFormat="1" applyFont="1" applyBorder="1" applyAlignment="1">
      <alignment horizontal="center" vertical="center" wrapText="1"/>
    </xf>
    <xf numFmtId="2" fontId="140" fillId="0" borderId="245" xfId="0" quotePrefix="1" applyNumberFormat="1" applyFont="1" applyBorder="1" applyAlignment="1">
      <alignment horizontal="center" vertical="center" wrapText="1"/>
    </xf>
    <xf numFmtId="2" fontId="140" fillId="0" borderId="230" xfId="0" quotePrefix="1" applyNumberFormat="1" applyFont="1" applyBorder="1" applyAlignment="1">
      <alignment horizontal="center" vertical="center" wrapText="1"/>
    </xf>
    <xf numFmtId="0" fontId="45" fillId="0" borderId="37" xfId="63" applyFont="1" applyFill="1" applyBorder="1" applyAlignment="1">
      <alignment horizontal="center" vertical="center" wrapText="1"/>
    </xf>
    <xf numFmtId="0" fontId="45" fillId="0" borderId="39" xfId="63" applyFont="1" applyFill="1" applyBorder="1" applyAlignment="1">
      <alignment horizontal="center" vertical="center" wrapText="1"/>
    </xf>
    <xf numFmtId="2" fontId="45" fillId="0" borderId="39" xfId="63" applyNumberFormat="1" applyFont="1" applyFill="1" applyBorder="1" applyAlignment="1">
      <alignment horizontal="center" vertical="center"/>
    </xf>
    <xf numFmtId="2" fontId="45" fillId="0" borderId="37" xfId="63" applyNumberFormat="1" applyFont="1" applyFill="1" applyBorder="1" applyAlignment="1">
      <alignment horizontal="center" vertical="center"/>
    </xf>
    <xf numFmtId="2" fontId="45" fillId="6" borderId="39" xfId="63" applyNumberFormat="1" applyFont="1" applyFill="1" applyBorder="1" applyAlignment="1">
      <alignment horizontal="center" vertical="center"/>
    </xf>
    <xf numFmtId="2" fontId="45" fillId="6" borderId="37" xfId="63" applyNumberFormat="1" applyFont="1" applyFill="1" applyBorder="1" applyAlignment="1">
      <alignment horizontal="center" vertical="center"/>
    </xf>
    <xf numFmtId="11" fontId="0" fillId="0" borderId="0" xfId="0" applyNumberFormat="1" applyFill="1"/>
    <xf numFmtId="168" fontId="20" fillId="4" borderId="27" xfId="0" applyNumberFormat="1" applyFont="1" applyFill="1" applyBorder="1" applyAlignment="1">
      <alignment horizontal="center"/>
    </xf>
    <xf numFmtId="168" fontId="20" fillId="4" borderId="233" xfId="0" applyNumberFormat="1" applyFont="1" applyFill="1" applyBorder="1" applyAlignment="1">
      <alignment horizontal="center"/>
    </xf>
    <xf numFmtId="168" fontId="20" fillId="4" borderId="231" xfId="0" applyNumberFormat="1" applyFont="1" applyFill="1" applyBorder="1" applyAlignment="1">
      <alignment horizontal="center"/>
    </xf>
    <xf numFmtId="0" fontId="227" fillId="0" borderId="197" xfId="1" applyFont="1" applyBorder="1"/>
    <xf numFmtId="0" fontId="227" fillId="0" borderId="198" xfId="1194" applyFont="1" applyBorder="1" applyAlignment="1">
      <alignment horizontal="left" vertical="center"/>
    </xf>
    <xf numFmtId="164" fontId="45" fillId="0" borderId="19" xfId="63" applyNumberFormat="1" applyFont="1" applyFill="1" applyBorder="1" applyAlignment="1">
      <alignment horizontal="center" vertical="center" wrapText="1"/>
    </xf>
    <xf numFmtId="164" fontId="45" fillId="0" borderId="20" xfId="63" applyNumberFormat="1" applyFont="1" applyFill="1" applyBorder="1" applyAlignment="1">
      <alignment horizontal="center" vertical="center" wrapText="1"/>
    </xf>
    <xf numFmtId="0" fontId="22" fillId="0" borderId="198" xfId="1" applyFont="1" applyBorder="1"/>
    <xf numFmtId="164" fontId="45" fillId="0" borderId="44" xfId="63" applyNumberFormat="1" applyFont="1" applyFill="1" applyBorder="1" applyAlignment="1">
      <alignment horizontal="center" vertical="center"/>
    </xf>
    <xf numFmtId="164" fontId="45" fillId="0" borderId="41" xfId="63" applyNumberFormat="1" applyFont="1" applyFill="1" applyBorder="1" applyAlignment="1">
      <alignment horizontal="center" vertical="center"/>
    </xf>
    <xf numFmtId="164" fontId="45" fillId="0" borderId="45" xfId="63" applyNumberFormat="1" applyFont="1" applyFill="1" applyBorder="1" applyAlignment="1">
      <alignment horizontal="center" vertical="center"/>
    </xf>
    <xf numFmtId="164" fontId="45" fillId="0" borderId="19" xfId="63" applyNumberFormat="1" applyFont="1" applyFill="1" applyBorder="1" applyAlignment="1">
      <alignment horizontal="center" vertical="center"/>
    </xf>
    <xf numFmtId="0" fontId="109" fillId="4" borderId="218" xfId="63" applyFont="1" applyFill="1" applyBorder="1" applyAlignment="1">
      <alignment horizontal="center" vertical="center" wrapText="1"/>
    </xf>
    <xf numFmtId="2" fontId="45" fillId="4" borderId="218" xfId="63" applyNumberFormat="1" applyFont="1" applyFill="1" applyBorder="1" applyAlignment="1">
      <alignment horizontal="center" vertical="center"/>
    </xf>
    <xf numFmtId="0" fontId="45" fillId="4" borderId="218" xfId="63" applyFont="1" applyFill="1" applyBorder="1" applyAlignment="1">
      <alignment horizontal="center" vertical="center"/>
    </xf>
    <xf numFmtId="0" fontId="45" fillId="4" borderId="218" xfId="63" applyFont="1" applyFill="1" applyBorder="1" applyAlignment="1">
      <alignment horizontal="center" vertical="center" wrapText="1"/>
    </xf>
    <xf numFmtId="1" fontId="45" fillId="4" borderId="218" xfId="63" applyNumberFormat="1" applyFont="1" applyFill="1" applyBorder="1" applyAlignment="1">
      <alignment horizontal="center" vertical="center" wrapText="1"/>
    </xf>
    <xf numFmtId="1" fontId="45" fillId="4" borderId="219" xfId="63" applyNumberFormat="1" applyFont="1" applyFill="1" applyBorder="1" applyAlignment="1">
      <alignment horizontal="center" vertical="center" wrapText="1"/>
    </xf>
    <xf numFmtId="1" fontId="19" fillId="0" borderId="0" xfId="63" applyNumberFormat="1"/>
    <xf numFmtId="0" fontId="109" fillId="4" borderId="38" xfId="63" applyFont="1" applyFill="1" applyBorder="1" applyAlignment="1">
      <alignment horizontal="center" vertical="center"/>
    </xf>
    <xf numFmtId="2" fontId="45" fillId="4" borderId="56" xfId="63" applyNumberFormat="1" applyFont="1" applyFill="1" applyBorder="1" applyAlignment="1">
      <alignment horizontal="center" vertical="center"/>
    </xf>
    <xf numFmtId="2" fontId="45" fillId="4" borderId="38" xfId="63" applyNumberFormat="1" applyFont="1" applyFill="1" applyBorder="1" applyAlignment="1">
      <alignment horizontal="center" vertical="center"/>
    </xf>
    <xf numFmtId="0" fontId="45" fillId="4" borderId="38" xfId="63" applyFont="1" applyFill="1" applyBorder="1" applyAlignment="1">
      <alignment horizontal="center" vertical="center"/>
    </xf>
    <xf numFmtId="0" fontId="45" fillId="4" borderId="38" xfId="63" applyFont="1" applyFill="1" applyBorder="1" applyAlignment="1">
      <alignment horizontal="center" vertical="center" wrapText="1"/>
    </xf>
    <xf numFmtId="164" fontId="45" fillId="4" borderId="38" xfId="63" applyNumberFormat="1" applyFont="1" applyFill="1" applyBorder="1" applyAlignment="1">
      <alignment horizontal="center" vertical="center" wrapText="1"/>
    </xf>
    <xf numFmtId="164" fontId="45" fillId="4" borderId="39" xfId="63" applyNumberFormat="1" applyFont="1" applyFill="1" applyBorder="1" applyAlignment="1">
      <alignment horizontal="center" vertical="center" wrapText="1"/>
    </xf>
    <xf numFmtId="0" fontId="109" fillId="4" borderId="58" xfId="63" applyFont="1" applyFill="1" applyBorder="1" applyAlignment="1">
      <alignment horizontal="center" vertical="center" wrapText="1"/>
    </xf>
    <xf numFmtId="2" fontId="45" fillId="4" borderId="58" xfId="63" applyNumberFormat="1" applyFont="1" applyFill="1" applyBorder="1" applyAlignment="1">
      <alignment horizontal="center" vertical="center"/>
    </xf>
    <xf numFmtId="0" fontId="45" fillId="4" borderId="58" xfId="63" applyFont="1" applyFill="1" applyBorder="1" applyAlignment="1">
      <alignment horizontal="center" vertical="center"/>
    </xf>
    <xf numFmtId="0" fontId="45" fillId="4" borderId="58" xfId="63" applyFont="1" applyFill="1" applyBorder="1" applyAlignment="1">
      <alignment horizontal="center" vertical="center" wrapText="1"/>
    </xf>
    <xf numFmtId="164" fontId="45" fillId="4" borderId="58" xfId="63" applyNumberFormat="1" applyFont="1" applyFill="1" applyBorder="1" applyAlignment="1">
      <alignment horizontal="center" vertical="center" wrapText="1"/>
    </xf>
    <xf numFmtId="164" fontId="45" fillId="4" borderId="50" xfId="63" applyNumberFormat="1" applyFont="1" applyFill="1" applyBorder="1" applyAlignment="1">
      <alignment horizontal="center" vertical="center" wrapText="1"/>
    </xf>
    <xf numFmtId="1" fontId="45" fillId="4" borderId="38" xfId="63" applyNumberFormat="1" applyFont="1" applyFill="1" applyBorder="1" applyAlignment="1">
      <alignment horizontal="center" vertical="center" wrapText="1"/>
    </xf>
    <xf numFmtId="1" fontId="45" fillId="4" borderId="39" xfId="63" applyNumberFormat="1" applyFont="1" applyFill="1" applyBorder="1" applyAlignment="1">
      <alignment horizontal="center" vertical="center" wrapText="1"/>
    </xf>
    <xf numFmtId="1" fontId="45" fillId="4" borderId="58" xfId="63" applyNumberFormat="1" applyFont="1" applyFill="1" applyBorder="1" applyAlignment="1">
      <alignment horizontal="center" vertical="center" wrapText="1"/>
    </xf>
    <xf numFmtId="1" fontId="45" fillId="4" borderId="50" xfId="63" applyNumberFormat="1" applyFont="1" applyFill="1" applyBorder="1" applyAlignment="1">
      <alignment horizontal="center" vertical="center" wrapText="1"/>
    </xf>
    <xf numFmtId="0" fontId="109" fillId="4" borderId="127" xfId="63" applyFont="1" applyFill="1" applyBorder="1" applyAlignment="1">
      <alignment horizontal="center" vertical="center" wrapText="1"/>
    </xf>
    <xf numFmtId="164" fontId="20" fillId="6" borderId="0" xfId="1" applyNumberFormat="1" applyFont="1" applyFill="1" applyBorder="1" applyAlignment="1">
      <alignment vertical="center" wrapText="1"/>
    </xf>
    <xf numFmtId="164" fontId="34" fillId="4" borderId="197" xfId="1" applyNumberFormat="1" applyFont="1" applyFill="1" applyBorder="1" applyAlignment="1">
      <alignment horizontal="center" vertical="center"/>
    </xf>
    <xf numFmtId="164" fontId="34" fillId="4" borderId="248" xfId="1" applyNumberFormat="1" applyFont="1" applyFill="1" applyBorder="1" applyAlignment="1">
      <alignment horizontal="center" vertical="center"/>
    </xf>
    <xf numFmtId="164" fontId="34" fillId="4" borderId="251" xfId="1" applyNumberFormat="1" applyFont="1" applyFill="1" applyBorder="1" applyAlignment="1">
      <alignment horizontal="center" vertical="center"/>
    </xf>
    <xf numFmtId="164" fontId="34" fillId="4" borderId="249" xfId="1" applyNumberFormat="1" applyFont="1" applyFill="1" applyBorder="1" applyAlignment="1">
      <alignment horizontal="center" vertical="center"/>
    </xf>
    <xf numFmtId="164" fontId="34" fillId="4" borderId="237" xfId="1" applyNumberFormat="1" applyFont="1" applyFill="1" applyBorder="1" applyAlignment="1">
      <alignment horizontal="center" vertical="center"/>
    </xf>
    <xf numFmtId="0" fontId="45" fillId="6" borderId="226" xfId="63" applyFont="1" applyFill="1" applyBorder="1" applyAlignment="1">
      <alignment horizontal="center" vertical="center"/>
    </xf>
    <xf numFmtId="2" fontId="45" fillId="6" borderId="214" xfId="63" applyNumberFormat="1" applyFont="1" applyFill="1" applyBorder="1" applyAlignment="1">
      <alignment horizontal="center" vertical="center"/>
    </xf>
    <xf numFmtId="2" fontId="45" fillId="6" borderId="216" xfId="63" applyNumberFormat="1" applyFont="1" applyFill="1" applyBorder="1" applyAlignment="1">
      <alignment horizontal="center" vertical="center"/>
    </xf>
    <xf numFmtId="0" fontId="45" fillId="6" borderId="214" xfId="63" applyFont="1" applyFill="1" applyBorder="1" applyAlignment="1">
      <alignment horizontal="center" vertical="center" wrapText="1"/>
    </xf>
    <xf numFmtId="0" fontId="45" fillId="6" borderId="216" xfId="63" applyFont="1" applyFill="1" applyBorder="1" applyAlignment="1">
      <alignment horizontal="center" vertical="center" wrapText="1"/>
    </xf>
    <xf numFmtId="0" fontId="45" fillId="0" borderId="51" xfId="63" applyFont="1" applyFill="1" applyBorder="1" applyAlignment="1">
      <alignment horizontal="center" vertical="center"/>
    </xf>
    <xf numFmtId="0" fontId="45" fillId="89" borderId="16" xfId="63" applyFont="1" applyFill="1" applyBorder="1" applyAlignment="1">
      <alignment horizontal="center" vertical="center" wrapText="1"/>
    </xf>
    <xf numFmtId="0" fontId="45" fillId="89" borderId="46" xfId="63" applyFont="1" applyFill="1" applyBorder="1" applyAlignment="1">
      <alignment horizontal="center" vertical="center" wrapText="1"/>
    </xf>
    <xf numFmtId="1" fontId="45" fillId="89" borderId="15" xfId="63" applyNumberFormat="1" applyFont="1" applyFill="1" applyBorder="1" applyAlignment="1">
      <alignment horizontal="center" vertical="center" wrapText="1"/>
    </xf>
    <xf numFmtId="1" fontId="45" fillId="4" borderId="15" xfId="63" applyNumberFormat="1" applyFont="1" applyFill="1" applyBorder="1" applyAlignment="1">
      <alignment horizontal="center" vertical="center" wrapText="1"/>
    </xf>
    <xf numFmtId="164" fontId="45" fillId="89" borderId="15" xfId="63" applyNumberFormat="1" applyFont="1" applyFill="1" applyBorder="1" applyAlignment="1">
      <alignment horizontal="center" vertical="center" wrapText="1"/>
    </xf>
    <xf numFmtId="0" fontId="45" fillId="89" borderId="15" xfId="63" applyFont="1" applyFill="1" applyBorder="1" applyAlignment="1">
      <alignment horizontal="center" vertical="center" wrapText="1"/>
    </xf>
    <xf numFmtId="225" fontId="45" fillId="0" borderId="0" xfId="10656" applyNumberFormat="1" applyFont="1" applyFill="1" applyBorder="1"/>
    <xf numFmtId="165" fontId="45" fillId="0" borderId="0" xfId="10656" applyNumberFormat="1" applyFont="1" applyFill="1" applyBorder="1"/>
    <xf numFmtId="2" fontId="29" fillId="0" borderId="220" xfId="0" applyNumberFormat="1" applyFont="1" applyBorder="1" applyAlignment="1">
      <alignment horizontal="center" vertical="center"/>
    </xf>
    <xf numFmtId="0" fontId="21" fillId="4" borderId="18" xfId="0" applyFont="1" applyFill="1" applyBorder="1" applyAlignment="1">
      <alignment horizontal="center" vertical="center"/>
    </xf>
    <xf numFmtId="0" fontId="21" fillId="4" borderId="43" xfId="0" applyFont="1" applyFill="1" applyBorder="1" applyAlignment="1">
      <alignment horizontal="center" vertical="center"/>
    </xf>
    <xf numFmtId="2" fontId="29" fillId="0" borderId="119" xfId="0" applyNumberFormat="1" applyFont="1" applyFill="1" applyBorder="1" applyAlignment="1">
      <alignment horizontal="center" vertical="center"/>
    </xf>
    <xf numFmtId="0" fontId="45" fillId="0" borderId="235" xfId="63" applyFont="1" applyFill="1" applyBorder="1" applyAlignment="1">
      <alignment horizontal="center" vertical="center" wrapText="1"/>
    </xf>
    <xf numFmtId="0" fontId="45" fillId="0" borderId="230" xfId="63" applyFont="1" applyFill="1" applyBorder="1" applyAlignment="1">
      <alignment horizontal="center" vertical="center" wrapText="1"/>
    </xf>
    <xf numFmtId="2" fontId="45" fillId="0" borderId="230" xfId="63" applyNumberFormat="1" applyFont="1" applyFill="1" applyBorder="1" applyAlignment="1">
      <alignment horizontal="center" vertical="center"/>
    </xf>
    <xf numFmtId="2" fontId="45" fillId="0" borderId="235" xfId="63" applyNumberFormat="1" applyFont="1" applyFill="1" applyBorder="1" applyAlignment="1">
      <alignment horizontal="center" vertical="center"/>
    </xf>
    <xf numFmtId="2" fontId="45" fillId="6" borderId="230" xfId="63" applyNumberFormat="1" applyFont="1" applyFill="1" applyBorder="1" applyAlignment="1">
      <alignment horizontal="center" vertical="center"/>
    </xf>
    <xf numFmtId="2" fontId="45" fillId="6" borderId="235" xfId="63" applyNumberFormat="1" applyFont="1" applyFill="1" applyBorder="1" applyAlignment="1">
      <alignment horizontal="center" vertical="center"/>
    </xf>
    <xf numFmtId="0" fontId="45" fillId="6" borderId="235" xfId="63" applyFont="1" applyFill="1" applyBorder="1" applyAlignment="1">
      <alignment horizontal="center" vertical="center" wrapText="1"/>
    </xf>
    <xf numFmtId="0" fontId="45" fillId="6" borderId="230" xfId="63" applyFont="1" applyFill="1" applyBorder="1" applyAlignment="1">
      <alignment horizontal="center" vertical="center" wrapText="1"/>
    </xf>
    <xf numFmtId="0" fontId="140" fillId="4" borderId="37" xfId="0" applyFont="1" applyFill="1" applyBorder="1" applyAlignment="1">
      <alignment horizontal="center" vertical="center" wrapText="1"/>
    </xf>
    <xf numFmtId="2" fontId="140" fillId="0" borderId="37" xfId="0" applyNumberFormat="1" applyFont="1" applyBorder="1" applyAlignment="1">
      <alignment horizontal="center" vertical="center"/>
    </xf>
    <xf numFmtId="2" fontId="33" fillId="4" borderId="226" xfId="1" applyNumberFormat="1" applyFont="1" applyFill="1" applyBorder="1" applyAlignment="1">
      <alignment horizontal="center" vertical="center"/>
    </xf>
    <xf numFmtId="2" fontId="33" fillId="4" borderId="225" xfId="1" applyNumberFormat="1" applyFont="1" applyFill="1" applyBorder="1" applyAlignment="1">
      <alignment horizontal="center" vertical="center"/>
    </xf>
    <xf numFmtId="2" fontId="33" fillId="4" borderId="224" xfId="1" applyNumberFormat="1" applyFont="1" applyFill="1" applyBorder="1" applyAlignment="1">
      <alignment horizontal="center" vertical="center"/>
    </xf>
    <xf numFmtId="2" fontId="33" fillId="4" borderId="65" xfId="1" applyNumberFormat="1" applyFont="1" applyFill="1" applyBorder="1" applyAlignment="1">
      <alignment horizontal="center" vertical="center"/>
    </xf>
    <xf numFmtId="2" fontId="33" fillId="4" borderId="37" xfId="1" applyNumberFormat="1" applyFont="1" applyFill="1" applyBorder="1" applyAlignment="1">
      <alignment horizontal="center" vertical="center"/>
    </xf>
    <xf numFmtId="2" fontId="33" fillId="4" borderId="66" xfId="1" applyNumberFormat="1" applyFont="1" applyFill="1" applyBorder="1" applyAlignment="1">
      <alignment horizontal="center" vertical="center"/>
    </xf>
    <xf numFmtId="2" fontId="33" fillId="4" borderId="38" xfId="1" applyNumberFormat="1" applyFont="1" applyFill="1" applyBorder="1" applyAlignment="1">
      <alignment horizontal="center" vertical="center"/>
    </xf>
    <xf numFmtId="0" fontId="22" fillId="6" borderId="0" xfId="0" applyFont="1" applyFill="1" applyBorder="1" applyAlignment="1">
      <alignment horizontal="center"/>
    </xf>
    <xf numFmtId="49" fontId="87" fillId="33" borderId="0" xfId="10198">
      <alignment horizontal="center"/>
    </xf>
    <xf numFmtId="49" fontId="89" fillId="36" borderId="109" xfId="10208" quotePrefix="1" applyBorder="1" applyAlignment="1">
      <alignment horizontal="center"/>
    </xf>
    <xf numFmtId="49" fontId="148" fillId="37" borderId="110" xfId="10209" quotePrefix="1" applyFont="1" applyBorder="1" applyAlignment="1">
      <alignment horizontal="center"/>
    </xf>
    <xf numFmtId="49" fontId="88" fillId="37" borderId="102" xfId="10209" quotePrefix="1" applyBorder="1" applyAlignment="1">
      <alignment horizontal="center"/>
    </xf>
    <xf numFmtId="49" fontId="88" fillId="37" borderId="111" xfId="10209" quotePrefix="1" applyBorder="1" applyAlignment="1">
      <alignment horizontal="center"/>
    </xf>
    <xf numFmtId="49" fontId="88" fillId="37" borderId="254" xfId="10209" applyBorder="1">
      <alignment horizontal="center"/>
    </xf>
    <xf numFmtId="0" fontId="0" fillId="0" borderId="0" xfId="0" applyAlignment="1">
      <alignment horizontal="center"/>
    </xf>
    <xf numFmtId="0" fontId="22" fillId="6" borderId="0" xfId="1" applyFont="1" applyFill="1" applyBorder="1" applyAlignment="1">
      <alignment horizontal="left"/>
    </xf>
    <xf numFmtId="0" fontId="28" fillId="4" borderId="158" xfId="1" applyFont="1" applyFill="1" applyBorder="1" applyAlignment="1">
      <alignment horizontal="center" vertical="center"/>
    </xf>
    <xf numFmtId="0" fontId="60" fillId="0" borderId="0" xfId="1" applyFont="1"/>
    <xf numFmtId="0" fontId="34" fillId="6" borderId="0" xfId="1" applyFont="1" applyFill="1" applyBorder="1" applyAlignment="1">
      <alignment horizontal="center" vertical="center" wrapText="1"/>
    </xf>
    <xf numFmtId="0" fontId="254" fillId="0" borderId="0" xfId="1" applyFont="1"/>
    <xf numFmtId="0" fontId="34" fillId="4" borderId="142" xfId="1" applyFont="1" applyFill="1" applyBorder="1" applyAlignment="1">
      <alignment horizontal="center" vertical="center" wrapText="1"/>
    </xf>
    <xf numFmtId="0" fontId="34" fillId="4" borderId="146" xfId="1" applyFont="1" applyFill="1" applyBorder="1" applyAlignment="1">
      <alignment horizontal="center" vertical="center"/>
    </xf>
    <xf numFmtId="0" fontId="34" fillId="4" borderId="147" xfId="1" applyFont="1" applyFill="1" applyBorder="1" applyAlignment="1">
      <alignment horizontal="center" vertical="center"/>
    </xf>
    <xf numFmtId="0" fontId="34" fillId="4" borderId="151" xfId="1" applyFont="1" applyFill="1" applyBorder="1" applyAlignment="1">
      <alignment horizontal="center" vertical="center"/>
    </xf>
    <xf numFmtId="0" fontId="34" fillId="4" borderId="148" xfId="1" applyFont="1" applyFill="1" applyBorder="1" applyAlignment="1">
      <alignment horizontal="center" vertical="center"/>
    </xf>
    <xf numFmtId="9" fontId="254" fillId="0" borderId="0" xfId="8333" applyFont="1"/>
    <xf numFmtId="0" fontId="34" fillId="4" borderId="24" xfId="1" applyFont="1" applyFill="1" applyBorder="1" applyAlignment="1">
      <alignment horizontal="center" vertical="center"/>
    </xf>
    <xf numFmtId="2" fontId="33" fillId="4" borderId="144" xfId="1" applyNumberFormat="1" applyFont="1" applyFill="1" applyBorder="1" applyAlignment="1">
      <alignment horizontal="center" vertical="center"/>
    </xf>
    <xf numFmtId="9" fontId="33" fillId="4" borderId="40" xfId="8333" applyFont="1" applyFill="1" applyBorder="1" applyAlignment="1">
      <alignment horizontal="center" vertical="center"/>
    </xf>
    <xf numFmtId="2" fontId="34" fillId="4" borderId="23" xfId="1" applyNumberFormat="1" applyFont="1" applyFill="1" applyBorder="1" applyAlignment="1">
      <alignment horizontal="center" vertical="center"/>
    </xf>
    <xf numFmtId="2" fontId="34" fillId="6" borderId="0" xfId="1" applyNumberFormat="1" applyFont="1" applyFill="1" applyBorder="1" applyAlignment="1">
      <alignment horizontal="center" vertical="center"/>
    </xf>
    <xf numFmtId="0" fontId="34" fillId="4" borderId="40" xfId="1" applyFont="1" applyFill="1" applyBorder="1" applyAlignment="1">
      <alignment horizontal="center"/>
    </xf>
    <xf numFmtId="2" fontId="33" fillId="4" borderId="42" xfId="1" applyNumberFormat="1" applyFont="1" applyFill="1" applyBorder="1" applyAlignment="1">
      <alignment horizontal="center"/>
    </xf>
    <xf numFmtId="0" fontId="33" fillId="4" borderId="40" xfId="1" applyFont="1" applyFill="1" applyBorder="1" applyAlignment="1">
      <alignment horizontal="center"/>
    </xf>
    <xf numFmtId="0" fontId="33" fillId="4" borderId="23" xfId="1" applyFont="1" applyFill="1" applyBorder="1" applyAlignment="1">
      <alignment horizontal="center"/>
    </xf>
    <xf numFmtId="0" fontId="34" fillId="4" borderId="158" xfId="1" applyFont="1" applyFill="1" applyBorder="1" applyAlignment="1">
      <alignment horizontal="center" vertical="center"/>
    </xf>
    <xf numFmtId="2" fontId="33" fillId="4" borderId="145" xfId="1" applyNumberFormat="1" applyFont="1" applyFill="1" applyBorder="1" applyAlignment="1">
      <alignment horizontal="center" vertical="center"/>
    </xf>
    <xf numFmtId="9" fontId="33" fillId="4" borderId="144" xfId="8333" applyFont="1" applyFill="1" applyBorder="1" applyAlignment="1">
      <alignment horizontal="center" vertical="center"/>
    </xf>
    <xf numFmtId="2" fontId="34" fillId="4" borderId="145" xfId="1" applyNumberFormat="1" applyFont="1" applyFill="1" applyBorder="1" applyAlignment="1">
      <alignment horizontal="center" vertical="center"/>
    </xf>
    <xf numFmtId="0" fontId="34" fillId="4" borderId="144" xfId="1" applyFont="1" applyFill="1" applyBorder="1" applyAlignment="1">
      <alignment horizontal="center"/>
    </xf>
    <xf numFmtId="2" fontId="33" fillId="4" borderId="143" xfId="1" applyNumberFormat="1" applyFont="1" applyFill="1" applyBorder="1" applyAlignment="1">
      <alignment horizontal="center"/>
    </xf>
    <xf numFmtId="0" fontId="33" fillId="4" borderId="144" xfId="1" applyFont="1" applyFill="1" applyBorder="1" applyAlignment="1">
      <alignment horizontal="center"/>
    </xf>
    <xf numFmtId="0" fontId="33" fillId="4" borderId="145" xfId="1" applyFont="1" applyFill="1" applyBorder="1" applyAlignment="1">
      <alignment horizontal="center"/>
    </xf>
    <xf numFmtId="0" fontId="33" fillId="4" borderId="144" xfId="1" quotePrefix="1" applyFont="1" applyFill="1" applyBorder="1" applyAlignment="1">
      <alignment horizontal="center" vertical="center"/>
    </xf>
    <xf numFmtId="0" fontId="33" fillId="4" borderId="145" xfId="1" quotePrefix="1" applyFont="1" applyFill="1" applyBorder="1" applyAlignment="1">
      <alignment horizontal="center" vertical="center"/>
    </xf>
    <xf numFmtId="0" fontId="255" fillId="0" borderId="0" xfId="1" applyFont="1"/>
    <xf numFmtId="11" fontId="33" fillId="4" borderId="143" xfId="1" applyNumberFormat="1" applyFont="1" applyFill="1" applyBorder="1" applyAlignment="1">
      <alignment horizontal="center"/>
    </xf>
    <xf numFmtId="0" fontId="33" fillId="4" borderId="145" xfId="1" applyFont="1" applyFill="1" applyBorder="1" applyAlignment="1">
      <alignment horizontal="center" vertical="center"/>
    </xf>
    <xf numFmtId="11" fontId="60" fillId="0" borderId="0" xfId="1" applyNumberFormat="1" applyFont="1"/>
    <xf numFmtId="0" fontId="34" fillId="4" borderId="146" xfId="1" applyFont="1" applyFill="1" applyBorder="1" applyAlignment="1">
      <alignment horizontal="center"/>
    </xf>
    <xf numFmtId="2" fontId="33" fillId="4" borderId="151" xfId="1" applyNumberFormat="1" applyFont="1" applyFill="1" applyBorder="1" applyAlignment="1">
      <alignment horizontal="center"/>
    </xf>
    <xf numFmtId="0" fontId="33" fillId="4" borderId="146" xfId="1" quotePrefix="1" applyFont="1" applyFill="1" applyBorder="1" applyAlignment="1">
      <alignment horizontal="center" vertical="center"/>
    </xf>
    <xf numFmtId="0" fontId="33" fillId="4" borderId="148" xfId="1" quotePrefix="1" applyFont="1" applyFill="1" applyBorder="1" applyAlignment="1">
      <alignment horizontal="center" vertical="center"/>
    </xf>
    <xf numFmtId="0" fontId="34" fillId="6" borderId="0" xfId="1" applyFont="1" applyFill="1" applyBorder="1" applyAlignment="1">
      <alignment horizontal="center"/>
    </xf>
    <xf numFmtId="11" fontId="33" fillId="6" borderId="0" xfId="1" applyNumberFormat="1" applyFont="1" applyFill="1" applyBorder="1" applyAlignment="1">
      <alignment horizontal="center"/>
    </xf>
    <xf numFmtId="2" fontId="33" fillId="6" borderId="0" xfId="1" applyNumberFormat="1" applyFont="1" applyFill="1" applyBorder="1" applyAlignment="1">
      <alignment horizontal="center" vertical="center"/>
    </xf>
    <xf numFmtId="2" fontId="33" fillId="4" borderId="9" xfId="8333" applyNumberFormat="1" applyFont="1" applyFill="1" applyBorder="1" applyAlignment="1">
      <alignment horizontal="center" vertical="center"/>
    </xf>
    <xf numFmtId="9" fontId="33" fillId="4" borderId="10" xfId="8333" applyFont="1" applyFill="1" applyBorder="1" applyAlignment="1">
      <alignment vertical="center"/>
    </xf>
    <xf numFmtId="2" fontId="33" fillId="6" borderId="0" xfId="1" applyNumberFormat="1" applyFont="1" applyFill="1" applyBorder="1" applyAlignment="1">
      <alignment horizontal="center"/>
    </xf>
    <xf numFmtId="0" fontId="33" fillId="6" borderId="0" xfId="1" quotePrefix="1" applyFont="1" applyFill="1" applyBorder="1" applyAlignment="1">
      <alignment horizontal="center" vertical="center"/>
    </xf>
    <xf numFmtId="0" fontId="34" fillId="4" borderId="159" xfId="1" applyFont="1" applyFill="1" applyBorder="1" applyAlignment="1">
      <alignment horizontal="center" vertical="center"/>
    </xf>
    <xf numFmtId="9" fontId="33" fillId="4" borderId="152" xfId="8333" applyFont="1" applyFill="1" applyBorder="1" applyAlignment="1">
      <alignment horizontal="center" vertical="center"/>
    </xf>
    <xf numFmtId="2" fontId="34" fillId="4" borderId="154" xfId="1" applyNumberFormat="1" applyFont="1" applyFill="1" applyBorder="1" applyAlignment="1">
      <alignment horizontal="center" vertical="center"/>
    </xf>
    <xf numFmtId="0" fontId="34" fillId="4" borderId="27" xfId="1" applyFont="1" applyFill="1" applyBorder="1" applyAlignment="1">
      <alignment horizontal="center" vertical="center"/>
    </xf>
    <xf numFmtId="2" fontId="34" fillId="4" borderId="44" xfId="1" applyNumberFormat="1" applyFont="1" applyFill="1" applyBorder="1" applyAlignment="1">
      <alignment horizontal="center" vertical="center"/>
    </xf>
    <xf numFmtId="2" fontId="34" fillId="4" borderId="41" xfId="1" applyNumberFormat="1" applyFont="1" applyFill="1" applyBorder="1" applyAlignment="1">
      <alignment horizontal="center" vertical="center"/>
    </xf>
    <xf numFmtId="2" fontId="34" fillId="4" borderId="42" xfId="1" applyNumberFormat="1" applyFont="1" applyFill="1" applyBorder="1" applyAlignment="1">
      <alignment horizontal="center" vertical="center"/>
    </xf>
    <xf numFmtId="2" fontId="34" fillId="4" borderId="24" xfId="1" quotePrefix="1" applyNumberFormat="1" applyFont="1" applyFill="1" applyBorder="1" applyAlignment="1">
      <alignment horizontal="center" vertical="center"/>
    </xf>
    <xf numFmtId="0" fontId="34" fillId="4" borderId="155" xfId="1" applyFont="1" applyFill="1" applyBorder="1" applyAlignment="1">
      <alignment horizontal="center" vertical="center"/>
    </xf>
    <xf numFmtId="2" fontId="34" fillId="4" borderId="161" xfId="1" applyNumberFormat="1" applyFont="1" applyFill="1" applyBorder="1" applyAlignment="1">
      <alignment horizontal="center" vertical="center"/>
    </xf>
    <xf numFmtId="2" fontId="34" fillId="4" borderId="142" xfId="1" applyNumberFormat="1" applyFont="1" applyFill="1" applyBorder="1" applyAlignment="1">
      <alignment horizontal="center" vertical="center"/>
    </xf>
    <xf numFmtId="2" fontId="34" fillId="4" borderId="143" xfId="1" applyNumberFormat="1" applyFont="1" applyFill="1" applyBorder="1" applyAlignment="1">
      <alignment horizontal="center" vertical="center"/>
    </xf>
    <xf numFmtId="2" fontId="34" fillId="4" borderId="158" xfId="1" quotePrefix="1" applyNumberFormat="1" applyFont="1" applyFill="1" applyBorder="1" applyAlignment="1">
      <alignment horizontal="center" vertical="center"/>
    </xf>
    <xf numFmtId="0" fontId="34" fillId="4" borderId="156" xfId="1" applyFont="1" applyFill="1" applyBorder="1" applyAlignment="1">
      <alignment horizontal="center" vertical="center"/>
    </xf>
    <xf numFmtId="2" fontId="34" fillId="4" borderId="157" xfId="1" applyNumberFormat="1" applyFont="1" applyFill="1" applyBorder="1" applyAlignment="1">
      <alignment horizontal="center" vertical="center"/>
    </xf>
    <xf numFmtId="2" fontId="34" fillId="4" borderId="147" xfId="1" applyNumberFormat="1" applyFont="1" applyFill="1" applyBorder="1" applyAlignment="1">
      <alignment horizontal="center" vertical="center"/>
    </xf>
    <xf numFmtId="2" fontId="34" fillId="4" borderId="151" xfId="1" applyNumberFormat="1" applyFont="1" applyFill="1" applyBorder="1" applyAlignment="1">
      <alignment horizontal="center" vertical="center"/>
    </xf>
    <xf numFmtId="2" fontId="34" fillId="4" borderId="160" xfId="1" quotePrefix="1" applyNumberFormat="1" applyFont="1" applyFill="1" applyBorder="1" applyAlignment="1">
      <alignment horizontal="center" vertical="center"/>
    </xf>
    <xf numFmtId="2" fontId="34" fillId="4" borderId="148" xfId="1" applyNumberFormat="1" applyFont="1" applyFill="1" applyBorder="1" applyAlignment="1">
      <alignment horizontal="center" vertical="center"/>
    </xf>
    <xf numFmtId="0" fontId="34" fillId="4" borderId="51" xfId="1" applyFont="1" applyFill="1" applyBorder="1" applyAlignment="1">
      <alignment vertical="center"/>
    </xf>
    <xf numFmtId="4" fontId="33" fillId="4" borderId="37" xfId="1" applyNumberFormat="1" applyFont="1" applyFill="1" applyBorder="1" applyAlignment="1">
      <alignment horizontal="center" vertical="center"/>
    </xf>
    <xf numFmtId="4" fontId="33" fillId="4" borderId="38" xfId="1" applyNumberFormat="1" applyFont="1" applyFill="1" applyBorder="1" applyAlignment="1">
      <alignment horizontal="center" vertical="center"/>
    </xf>
    <xf numFmtId="4" fontId="34" fillId="4" borderId="54" xfId="1" applyNumberFormat="1" applyFont="1" applyFill="1" applyBorder="1" applyAlignment="1">
      <alignment horizontal="center"/>
    </xf>
    <xf numFmtId="0" fontId="34" fillId="4" borderId="158" xfId="1" applyFont="1" applyFill="1" applyBorder="1" applyAlignment="1"/>
    <xf numFmtId="4" fontId="33" fillId="4" borderId="144" xfId="1" applyNumberFormat="1" applyFont="1" applyFill="1" applyBorder="1" applyAlignment="1">
      <alignment horizontal="center"/>
    </xf>
    <xf numFmtId="4" fontId="33" fillId="4" borderId="142" xfId="1" applyNumberFormat="1" applyFont="1" applyFill="1" applyBorder="1" applyAlignment="1">
      <alignment horizontal="center"/>
    </xf>
    <xf numFmtId="4" fontId="34" fillId="4" borderId="149" xfId="1" quotePrefix="1" applyNumberFormat="1" applyFont="1" applyFill="1" applyBorder="1" applyAlignment="1">
      <alignment horizontal="center"/>
    </xf>
    <xf numFmtId="167" fontId="33" fillId="6" borderId="0" xfId="1" applyNumberFormat="1" applyFont="1" applyFill="1" applyBorder="1" applyAlignment="1">
      <alignment horizontal="center"/>
    </xf>
    <xf numFmtId="167" fontId="33" fillId="6" borderId="5" xfId="1" applyNumberFormat="1" applyFont="1" applyFill="1" applyBorder="1" applyAlignment="1">
      <alignment horizontal="center"/>
    </xf>
    <xf numFmtId="4" fontId="33" fillId="4" borderId="158" xfId="1" quotePrefix="1" applyNumberFormat="1" applyFont="1" applyFill="1" applyBorder="1" applyAlignment="1">
      <alignment horizontal="center"/>
    </xf>
    <xf numFmtId="4" fontId="33" fillId="4" borderId="142" xfId="1" quotePrefix="1" applyNumberFormat="1" applyFont="1" applyFill="1" applyBorder="1" applyAlignment="1">
      <alignment horizontal="center"/>
    </xf>
    <xf numFmtId="4" fontId="34" fillId="4" borderId="149" xfId="1" applyNumberFormat="1" applyFont="1" applyFill="1" applyBorder="1" applyAlignment="1">
      <alignment horizontal="center"/>
    </xf>
    <xf numFmtId="0" fontId="34" fillId="4" borderId="160" xfId="1" applyFont="1" applyFill="1" applyBorder="1" applyAlignment="1"/>
    <xf numFmtId="4" fontId="33" fillId="4" borderId="146" xfId="1" applyNumberFormat="1" applyFont="1" applyFill="1" applyBorder="1" applyAlignment="1">
      <alignment horizontal="center"/>
    </xf>
    <xf numFmtId="4" fontId="33" fillId="4" borderId="147" xfId="1" applyNumberFormat="1" applyFont="1" applyFill="1" applyBorder="1" applyAlignment="1">
      <alignment horizontal="center"/>
    </xf>
    <xf numFmtId="4" fontId="34" fillId="4" borderId="150" xfId="1" applyNumberFormat="1" applyFont="1" applyFill="1" applyBorder="1" applyAlignment="1">
      <alignment horizontal="center"/>
    </xf>
    <xf numFmtId="0" fontId="34" fillId="4" borderId="152" xfId="1" applyFont="1" applyFill="1" applyBorder="1" applyAlignment="1">
      <alignment horizontal="center" vertical="center"/>
    </xf>
    <xf numFmtId="0" fontId="34" fillId="4" borderId="153" xfId="1" applyFont="1" applyFill="1" applyBorder="1" applyAlignment="1">
      <alignment horizontal="center" vertical="center"/>
    </xf>
    <xf numFmtId="0" fontId="34" fillId="4" borderId="162" xfId="1" applyFont="1" applyFill="1" applyBorder="1" applyAlignment="1">
      <alignment horizontal="center" vertical="center"/>
    </xf>
    <xf numFmtId="2" fontId="33" fillId="4" borderId="40" xfId="1" applyNumberFormat="1" applyFont="1" applyFill="1" applyBorder="1" applyAlignment="1">
      <alignment horizontal="center" vertical="center"/>
    </xf>
    <xf numFmtId="9" fontId="33" fillId="4" borderId="56" xfId="8333" applyFont="1" applyFill="1" applyBorder="1" applyAlignment="1">
      <alignment horizontal="center" vertical="center"/>
    </xf>
    <xf numFmtId="2" fontId="34" fillId="4" borderId="39" xfId="1" applyNumberFormat="1" applyFont="1" applyFill="1" applyBorder="1" applyAlignment="1">
      <alignment horizontal="center" vertical="center"/>
    </xf>
    <xf numFmtId="167" fontId="34" fillId="6" borderId="0" xfId="1" applyNumberFormat="1" applyFont="1" applyFill="1" applyBorder="1" applyAlignment="1">
      <alignment horizontal="center" vertical="center"/>
    </xf>
    <xf numFmtId="2" fontId="33" fillId="4" borderId="23" xfId="1" applyNumberFormat="1" applyFont="1" applyFill="1" applyBorder="1" applyAlignment="1">
      <alignment horizontal="center"/>
    </xf>
    <xf numFmtId="0" fontId="33" fillId="4" borderId="44" xfId="1" applyFont="1" applyFill="1" applyBorder="1" applyAlignment="1">
      <alignment horizontal="center"/>
    </xf>
    <xf numFmtId="2" fontId="33" fillId="4" borderId="142" xfId="1" applyNumberFormat="1" applyFont="1" applyFill="1" applyBorder="1" applyAlignment="1">
      <alignment horizontal="center" vertical="center"/>
    </xf>
    <xf numFmtId="9" fontId="33" fillId="4" borderId="161" xfId="8333" applyFont="1" applyFill="1" applyBorder="1" applyAlignment="1">
      <alignment horizontal="center" vertical="center"/>
    </xf>
    <xf numFmtId="2" fontId="33" fillId="4" borderId="145" xfId="1" applyNumberFormat="1" applyFont="1" applyFill="1" applyBorder="1" applyAlignment="1">
      <alignment horizontal="center"/>
    </xf>
    <xf numFmtId="0" fontId="33" fillId="4" borderId="161" xfId="1" applyFont="1" applyFill="1" applyBorder="1" applyAlignment="1">
      <alignment horizontal="center"/>
    </xf>
    <xf numFmtId="0" fontId="33" fillId="4" borderId="161" xfId="1" quotePrefix="1" applyFont="1" applyFill="1" applyBorder="1" applyAlignment="1">
      <alignment horizontal="center" vertical="center"/>
    </xf>
    <xf numFmtId="2" fontId="33" fillId="4" borderId="161" xfId="1" applyNumberFormat="1" applyFont="1" applyFill="1" applyBorder="1" applyAlignment="1">
      <alignment horizontal="center" vertical="center"/>
    </xf>
    <xf numFmtId="2" fontId="33" fillId="4" borderId="148" xfId="1" applyNumberFormat="1" applyFont="1" applyFill="1" applyBorder="1" applyAlignment="1">
      <alignment horizontal="center"/>
    </xf>
    <xf numFmtId="0" fontId="33" fillId="4" borderId="157" xfId="1" quotePrefix="1" applyFont="1" applyFill="1" applyBorder="1" applyAlignment="1">
      <alignment horizontal="center" vertical="center"/>
    </xf>
    <xf numFmtId="2" fontId="33" fillId="6" borderId="0" xfId="1" applyNumberFormat="1" applyFont="1" applyFill="1" applyBorder="1"/>
    <xf numFmtId="164" fontId="33" fillId="6" borderId="0" xfId="1" applyNumberFormat="1" applyFont="1" applyFill="1" applyBorder="1"/>
    <xf numFmtId="2" fontId="33" fillId="4" borderId="146" xfId="1" applyNumberFormat="1" applyFont="1" applyFill="1" applyBorder="1" applyAlignment="1">
      <alignment horizontal="center" vertical="center"/>
    </xf>
    <xf numFmtId="2" fontId="33" fillId="4" borderId="147" xfId="1" applyNumberFormat="1" applyFont="1" applyFill="1" applyBorder="1" applyAlignment="1">
      <alignment horizontal="center" vertical="center"/>
    </xf>
    <xf numFmtId="0" fontId="34" fillId="4" borderId="233" xfId="1" applyFont="1" applyFill="1" applyBorder="1" applyAlignment="1">
      <alignment horizontal="center" vertical="center"/>
    </xf>
    <xf numFmtId="2" fontId="34" fillId="4" borderId="222" xfId="1" applyNumberFormat="1" applyFont="1" applyFill="1" applyBorder="1" applyAlignment="1">
      <alignment horizontal="center" vertical="center"/>
    </xf>
    <xf numFmtId="0" fontId="34" fillId="4" borderId="231" xfId="1" applyFont="1" applyFill="1" applyBorder="1" applyAlignment="1">
      <alignment horizontal="center" vertical="center"/>
    </xf>
    <xf numFmtId="2" fontId="34" fillId="4" borderId="232" xfId="1" applyNumberFormat="1" applyFont="1" applyFill="1" applyBorder="1" applyAlignment="1">
      <alignment horizontal="center" vertical="center"/>
    </xf>
    <xf numFmtId="2" fontId="34" fillId="4" borderId="153" xfId="1" applyNumberFormat="1" applyFont="1" applyFill="1" applyBorder="1" applyAlignment="1">
      <alignment horizontal="center" vertical="center"/>
    </xf>
    <xf numFmtId="0" fontId="34" fillId="4" borderId="24" xfId="1" applyFont="1" applyFill="1" applyBorder="1" applyAlignment="1">
      <alignment horizontal="left" vertical="center"/>
    </xf>
    <xf numFmtId="4" fontId="33" fillId="4" borderId="40" xfId="1" applyNumberFormat="1" applyFont="1" applyFill="1" applyBorder="1" applyAlignment="1">
      <alignment horizontal="center" vertical="center"/>
    </xf>
    <xf numFmtId="4" fontId="33" fillId="4" borderId="41" xfId="1" applyNumberFormat="1" applyFont="1" applyFill="1" applyBorder="1" applyAlignment="1">
      <alignment horizontal="center" vertical="center"/>
    </xf>
    <xf numFmtId="4" fontId="33" fillId="4" borderId="42" xfId="1" applyNumberFormat="1" applyFont="1" applyFill="1" applyBorder="1" applyAlignment="1">
      <alignment horizontal="center" vertical="center"/>
    </xf>
    <xf numFmtId="2" fontId="34" fillId="4" borderId="23" xfId="1" applyNumberFormat="1" applyFont="1" applyFill="1" applyBorder="1" applyAlignment="1">
      <alignment horizontal="center"/>
    </xf>
    <xf numFmtId="0" fontId="34" fillId="4" borderId="158" xfId="1" applyFont="1" applyFill="1" applyBorder="1" applyAlignment="1">
      <alignment horizontal="left"/>
    </xf>
    <xf numFmtId="4" fontId="33" fillId="4" borderId="143" xfId="1" applyNumberFormat="1" applyFont="1" applyFill="1" applyBorder="1" applyAlignment="1">
      <alignment horizontal="center"/>
    </xf>
    <xf numFmtId="2" fontId="34" fillId="4" borderId="145" xfId="1" quotePrefix="1" applyNumberFormat="1" applyFont="1" applyFill="1" applyBorder="1" applyAlignment="1">
      <alignment horizontal="center"/>
    </xf>
    <xf numFmtId="4" fontId="33" fillId="4" borderId="226" xfId="1" applyNumberFormat="1" applyFont="1" applyFill="1" applyBorder="1" applyAlignment="1">
      <alignment horizontal="center"/>
    </xf>
    <xf numFmtId="4" fontId="33" fillId="4" borderId="215" xfId="1" applyNumberFormat="1" applyFont="1" applyFill="1" applyBorder="1" applyAlignment="1">
      <alignment horizontal="center"/>
    </xf>
    <xf numFmtId="2" fontId="34" fillId="4" borderId="145" xfId="1" applyNumberFormat="1" applyFont="1" applyFill="1" applyBorder="1" applyAlignment="1">
      <alignment horizontal="center"/>
    </xf>
    <xf numFmtId="193" fontId="33" fillId="4" borderId="144" xfId="1" applyNumberFormat="1" applyFont="1" applyFill="1" applyBorder="1" applyAlignment="1">
      <alignment horizontal="center"/>
    </xf>
    <xf numFmtId="193" fontId="33" fillId="4" borderId="142" xfId="1" applyNumberFormat="1" applyFont="1" applyFill="1" applyBorder="1" applyAlignment="1">
      <alignment horizontal="center"/>
    </xf>
    <xf numFmtId="193" fontId="33" fillId="4" borderId="143" xfId="1" applyNumberFormat="1" applyFont="1" applyFill="1" applyBorder="1" applyAlignment="1">
      <alignment horizontal="center"/>
    </xf>
    <xf numFmtId="4" fontId="34" fillId="4" borderId="145" xfId="668" applyNumberFormat="1" applyFont="1" applyFill="1" applyBorder="1" applyAlignment="1">
      <alignment horizontal="center" vertical="center"/>
    </xf>
    <xf numFmtId="0" fontId="34" fillId="4" borderId="160" xfId="1" applyFont="1" applyFill="1" applyBorder="1" applyAlignment="1">
      <alignment horizontal="left"/>
    </xf>
    <xf numFmtId="4" fontId="33" fillId="4" borderId="151" xfId="1" applyNumberFormat="1" applyFont="1" applyFill="1" applyBorder="1" applyAlignment="1">
      <alignment horizontal="center"/>
    </xf>
    <xf numFmtId="4" fontId="34" fillId="4" borderId="148" xfId="668" applyNumberFormat="1" applyFont="1" applyFill="1" applyBorder="1" applyAlignment="1">
      <alignment horizontal="center" vertical="center"/>
    </xf>
    <xf numFmtId="9" fontId="33" fillId="4" borderId="37" xfId="8333" applyFont="1" applyFill="1" applyBorder="1" applyAlignment="1">
      <alignment horizontal="center" vertical="center"/>
    </xf>
    <xf numFmtId="2" fontId="33" fillId="4" borderId="67" xfId="0" applyNumberFormat="1" applyFont="1" applyFill="1" applyBorder="1" applyAlignment="1">
      <alignment horizontal="center"/>
    </xf>
    <xf numFmtId="0" fontId="33" fillId="4" borderId="40" xfId="0" applyFont="1" applyFill="1" applyBorder="1" applyAlignment="1">
      <alignment horizontal="center"/>
    </xf>
    <xf numFmtId="0" fontId="33" fillId="4" borderId="23" xfId="0" applyFont="1" applyFill="1" applyBorder="1" applyAlignment="1">
      <alignment horizontal="center"/>
    </xf>
    <xf numFmtId="2" fontId="33" fillId="4" borderId="209" xfId="1" applyNumberFormat="1" applyFont="1" applyFill="1" applyBorder="1" applyAlignment="1">
      <alignment horizontal="center" vertical="center"/>
    </xf>
    <xf numFmtId="2" fontId="33" fillId="4" borderId="145" xfId="0" applyNumberFormat="1" applyFont="1" applyFill="1" applyBorder="1" applyAlignment="1">
      <alignment horizontal="center"/>
    </xf>
    <xf numFmtId="0" fontId="33" fillId="4" borderId="144" xfId="0" applyFont="1" applyFill="1" applyBorder="1" applyAlignment="1">
      <alignment horizontal="center"/>
    </xf>
    <xf numFmtId="0" fontId="33" fillId="4" borderId="145" xfId="0" applyFont="1" applyFill="1" applyBorder="1" applyAlignment="1">
      <alignment horizontal="center"/>
    </xf>
    <xf numFmtId="2" fontId="33" fillId="4" borderId="148" xfId="0" applyNumberFormat="1" applyFont="1" applyFill="1" applyBorder="1" applyAlignment="1">
      <alignment horizontal="center"/>
    </xf>
    <xf numFmtId="2" fontId="33" fillId="6" borderId="0" xfId="0" applyNumberFormat="1" applyFont="1" applyFill="1" applyBorder="1" applyAlignment="1">
      <alignment horizontal="center"/>
    </xf>
    <xf numFmtId="2" fontId="33" fillId="6" borderId="0" xfId="8333" applyNumberFormat="1" applyFont="1" applyFill="1" applyBorder="1" applyAlignment="1">
      <alignment horizontal="center" vertical="center"/>
    </xf>
    <xf numFmtId="9" fontId="33" fillId="6" borderId="0" xfId="8333" applyFont="1" applyFill="1" applyBorder="1" applyAlignment="1">
      <alignment vertical="center"/>
    </xf>
    <xf numFmtId="9" fontId="33" fillId="6" borderId="5" xfId="8333" applyFont="1" applyFill="1" applyBorder="1" applyAlignment="1">
      <alignment vertical="center"/>
    </xf>
    <xf numFmtId="2" fontId="33" fillId="4" borderId="148" xfId="1" applyNumberFormat="1" applyFont="1" applyFill="1" applyBorder="1" applyAlignment="1">
      <alignment horizontal="center" vertical="center"/>
    </xf>
    <xf numFmtId="2" fontId="34" fillId="4" borderId="40" xfId="1" applyNumberFormat="1" applyFont="1" applyFill="1" applyBorder="1" applyAlignment="1">
      <alignment horizontal="center" vertical="center"/>
    </xf>
    <xf numFmtId="2" fontId="34" fillId="4" borderId="44" xfId="1" quotePrefix="1" applyNumberFormat="1" applyFont="1" applyFill="1" applyBorder="1" applyAlignment="1">
      <alignment horizontal="center" vertical="center"/>
    </xf>
    <xf numFmtId="2" fontId="34" fillId="4" borderId="144" xfId="1" applyNumberFormat="1" applyFont="1" applyFill="1" applyBorder="1" applyAlignment="1">
      <alignment horizontal="center" vertical="center"/>
    </xf>
    <xf numFmtId="2" fontId="34" fillId="4" borderId="209" xfId="1" applyNumberFormat="1" applyFont="1" applyFill="1" applyBorder="1" applyAlignment="1">
      <alignment horizontal="center" vertical="center"/>
    </xf>
    <xf numFmtId="2" fontId="34" fillId="4" borderId="161" xfId="1" quotePrefix="1" applyNumberFormat="1" applyFont="1" applyFill="1" applyBorder="1" applyAlignment="1">
      <alignment horizontal="center" vertical="center"/>
    </xf>
    <xf numFmtId="0" fontId="34" fillId="4" borderId="160" xfId="1" applyFont="1" applyFill="1" applyBorder="1" applyAlignment="1">
      <alignment horizontal="center" vertical="center"/>
    </xf>
    <xf numFmtId="2" fontId="34" fillId="4" borderId="146" xfId="1" applyNumberFormat="1" applyFont="1" applyFill="1" applyBorder="1" applyAlignment="1">
      <alignment horizontal="center" vertical="center"/>
    </xf>
    <xf numFmtId="2" fontId="34" fillId="4" borderId="157" xfId="1" quotePrefix="1" applyNumberFormat="1" applyFont="1" applyFill="1" applyBorder="1" applyAlignment="1">
      <alignment horizontal="center" vertical="center"/>
    </xf>
    <xf numFmtId="0" fontId="34" fillId="4" borderId="24" xfId="1" applyFont="1" applyFill="1" applyBorder="1" applyAlignment="1">
      <alignment vertical="center"/>
    </xf>
    <xf numFmtId="4" fontId="33" fillId="4" borderId="24" xfId="1" applyNumberFormat="1" applyFont="1" applyFill="1" applyBorder="1" applyAlignment="1">
      <alignment horizontal="center" vertical="center"/>
    </xf>
    <xf numFmtId="4" fontId="34" fillId="4" borderId="30" xfId="1" applyNumberFormat="1" applyFont="1" applyFill="1" applyBorder="1" applyAlignment="1">
      <alignment horizontal="center"/>
    </xf>
    <xf numFmtId="4" fontId="33" fillId="4" borderId="51" xfId="1" applyNumberFormat="1" applyFont="1" applyFill="1" applyBorder="1" applyAlignment="1">
      <alignment horizontal="center" vertical="center"/>
    </xf>
    <xf numFmtId="4" fontId="33" fillId="4" borderId="209" xfId="1" applyNumberFormat="1" applyFont="1" applyFill="1" applyBorder="1" applyAlignment="1">
      <alignment horizontal="center"/>
    </xf>
    <xf numFmtId="3" fontId="33" fillId="4" borderId="158" xfId="1" applyNumberFormat="1" applyFont="1" applyFill="1" applyBorder="1" applyAlignment="1">
      <alignment horizontal="center"/>
    </xf>
    <xf numFmtId="3" fontId="33" fillId="4" borderId="209" xfId="1" applyNumberFormat="1" applyFont="1" applyFill="1" applyBorder="1" applyAlignment="1">
      <alignment horizontal="center"/>
    </xf>
    <xf numFmtId="3" fontId="34" fillId="4" borderId="149" xfId="1" applyNumberFormat="1" applyFont="1" applyFill="1" applyBorder="1" applyAlignment="1">
      <alignment horizontal="center"/>
    </xf>
    <xf numFmtId="4" fontId="33" fillId="4" borderId="160" xfId="1" applyNumberFormat="1" applyFont="1" applyFill="1" applyBorder="1" applyAlignment="1">
      <alignment horizontal="center"/>
    </xf>
    <xf numFmtId="0" fontId="34" fillId="4" borderId="131" xfId="1" applyFont="1" applyFill="1" applyBorder="1" applyAlignment="1">
      <alignment horizontal="center" vertical="center"/>
    </xf>
    <xf numFmtId="0" fontId="34" fillId="4" borderId="51" xfId="1" applyFont="1" applyFill="1" applyBorder="1" applyAlignment="1">
      <alignment horizontal="center" vertical="center"/>
    </xf>
    <xf numFmtId="2" fontId="33" fillId="4" borderId="42" xfId="0" applyNumberFormat="1" applyFont="1" applyFill="1" applyBorder="1" applyAlignment="1">
      <alignment horizontal="center"/>
    </xf>
    <xf numFmtId="0" fontId="34" fillId="4" borderId="129" xfId="1" applyFont="1" applyFill="1" applyBorder="1" applyAlignment="1">
      <alignment horizontal="center" vertical="center"/>
    </xf>
    <xf numFmtId="0" fontId="34" fillId="4" borderId="125" xfId="1" applyFont="1" applyFill="1" applyBorder="1" applyAlignment="1">
      <alignment horizontal="center"/>
    </xf>
    <xf numFmtId="2" fontId="33" fillId="4" borderId="143" xfId="0" applyNumberFormat="1" applyFont="1" applyFill="1" applyBorder="1" applyAlignment="1">
      <alignment horizontal="center"/>
    </xf>
    <xf numFmtId="2" fontId="33" fillId="4" borderId="130" xfId="1" applyNumberFormat="1" applyFont="1" applyFill="1" applyBorder="1" applyAlignment="1">
      <alignment horizontal="center"/>
    </xf>
    <xf numFmtId="0" fontId="33" fillId="4" borderId="125" xfId="1" quotePrefix="1" applyFont="1" applyFill="1" applyBorder="1" applyAlignment="1">
      <alignment horizontal="center" vertical="center"/>
    </xf>
    <xf numFmtId="0" fontId="33" fillId="4" borderId="117" xfId="1" quotePrefix="1" applyFont="1" applyFill="1" applyBorder="1" applyAlignment="1">
      <alignment horizontal="center" vertical="center"/>
    </xf>
    <xf numFmtId="0" fontId="33" fillId="4" borderId="117" xfId="1" applyFont="1" applyFill="1" applyBorder="1" applyAlignment="1">
      <alignment horizontal="center" vertical="center"/>
    </xf>
    <xf numFmtId="0" fontId="34" fillId="4" borderId="120" xfId="1" applyFont="1" applyFill="1" applyBorder="1" applyAlignment="1">
      <alignment horizontal="center"/>
    </xf>
    <xf numFmtId="2" fontId="33" fillId="4" borderId="131" xfId="1" applyNumberFormat="1" applyFont="1" applyFill="1" applyBorder="1" applyAlignment="1">
      <alignment horizontal="center"/>
    </xf>
    <xf numFmtId="0" fontId="33" fillId="4" borderId="120" xfId="1" quotePrefix="1" applyFont="1" applyFill="1" applyBorder="1" applyAlignment="1">
      <alignment horizontal="center" vertical="center"/>
    </xf>
    <xf numFmtId="0" fontId="33" fillId="4" borderId="122" xfId="1" quotePrefix="1" applyFont="1" applyFill="1" applyBorder="1" applyAlignment="1">
      <alignment horizontal="center" vertical="center"/>
    </xf>
    <xf numFmtId="0" fontId="34" fillId="4" borderId="124" xfId="1" applyFont="1" applyFill="1" applyBorder="1" applyAlignment="1">
      <alignment horizontal="center" vertical="center"/>
    </xf>
    <xf numFmtId="4" fontId="34" fillId="4" borderId="39" xfId="1" applyNumberFormat="1" applyFont="1" applyFill="1" applyBorder="1" applyAlignment="1">
      <alignment horizontal="center"/>
    </xf>
    <xf numFmtId="0" fontId="34" fillId="4" borderId="129" xfId="1" applyFont="1" applyFill="1" applyBorder="1" applyAlignment="1"/>
    <xf numFmtId="4" fontId="34" fillId="4" borderId="145" xfId="1" quotePrefix="1" applyNumberFormat="1" applyFont="1" applyFill="1" applyBorder="1" applyAlignment="1">
      <alignment horizontal="center"/>
    </xf>
    <xf numFmtId="4" fontId="33" fillId="4" borderId="144" xfId="1" quotePrefix="1" applyNumberFormat="1" applyFont="1" applyFill="1" applyBorder="1" applyAlignment="1">
      <alignment horizontal="center"/>
    </xf>
    <xf numFmtId="4" fontId="33" fillId="4" borderId="209" xfId="1" quotePrefix="1" applyNumberFormat="1" applyFont="1" applyFill="1" applyBorder="1" applyAlignment="1">
      <alignment horizontal="center"/>
    </xf>
    <xf numFmtId="4" fontId="34" fillId="4" borderId="145" xfId="1" applyNumberFormat="1" applyFont="1" applyFill="1" applyBorder="1" applyAlignment="1">
      <alignment horizontal="center"/>
    </xf>
    <xf numFmtId="0" fontId="34" fillId="4" borderId="124" xfId="1" applyFont="1" applyFill="1" applyBorder="1" applyAlignment="1"/>
    <xf numFmtId="4" fontId="34" fillId="4" borderId="148" xfId="1" applyNumberFormat="1" applyFont="1" applyFill="1" applyBorder="1" applyAlignment="1">
      <alignment horizontal="center"/>
    </xf>
    <xf numFmtId="0" fontId="34" fillId="4" borderId="154" xfId="1" applyFont="1" applyFill="1" applyBorder="1" applyAlignment="1">
      <alignment horizontal="center" vertical="center"/>
    </xf>
    <xf numFmtId="2" fontId="33" fillId="4" borderId="73" xfId="1" applyNumberFormat="1" applyFont="1" applyFill="1" applyBorder="1" applyAlignment="1">
      <alignment horizontal="center" vertical="center"/>
    </xf>
    <xf numFmtId="0" fontId="34" fillId="0" borderId="144" xfId="1" applyFont="1" applyFill="1" applyBorder="1" applyAlignment="1">
      <alignment horizontal="center"/>
    </xf>
    <xf numFmtId="2" fontId="33" fillId="0" borderId="145" xfId="0" applyNumberFormat="1" applyFont="1" applyFill="1" applyBorder="1" applyAlignment="1">
      <alignment horizontal="center"/>
    </xf>
    <xf numFmtId="2" fontId="33" fillId="0" borderId="144" xfId="1" applyNumberFormat="1" applyFont="1" applyFill="1" applyBorder="1" applyAlignment="1">
      <alignment horizontal="center" vertical="center"/>
    </xf>
    <xf numFmtId="0" fontId="33" fillId="0" borderId="145" xfId="1" applyFont="1" applyFill="1" applyBorder="1" applyAlignment="1">
      <alignment horizontal="center" vertical="center"/>
    </xf>
    <xf numFmtId="0" fontId="33" fillId="4" borderId="23" xfId="1" applyFont="1" applyFill="1" applyBorder="1" applyAlignment="1">
      <alignment horizontal="center" vertical="center"/>
    </xf>
    <xf numFmtId="0" fontId="33" fillId="4" borderId="148" xfId="1" applyFont="1" applyFill="1" applyBorder="1" applyAlignment="1">
      <alignment horizontal="center" vertical="center"/>
    </xf>
    <xf numFmtId="0" fontId="34" fillId="4" borderId="238" xfId="1" applyFont="1" applyFill="1" applyBorder="1" applyAlignment="1">
      <alignment horizontal="center" vertical="center"/>
    </xf>
    <xf numFmtId="2" fontId="34" fillId="4" borderId="200" xfId="1" applyNumberFormat="1" applyFont="1" applyFill="1" applyBorder="1" applyAlignment="1">
      <alignment horizontal="center" vertical="center"/>
    </xf>
    <xf numFmtId="2" fontId="34" fillId="4" borderId="225" xfId="1" applyNumberFormat="1" applyFont="1" applyFill="1" applyBorder="1" applyAlignment="1">
      <alignment horizontal="center" vertical="center"/>
    </xf>
    <xf numFmtId="2" fontId="34" fillId="4" borderId="216" xfId="1" applyNumberFormat="1" applyFont="1" applyFill="1" applyBorder="1" applyAlignment="1">
      <alignment horizontal="center" vertical="center"/>
    </xf>
    <xf numFmtId="2" fontId="34" fillId="4" borderId="224" xfId="1" applyNumberFormat="1" applyFont="1" applyFill="1" applyBorder="1" applyAlignment="1">
      <alignment horizontal="center" vertical="center"/>
    </xf>
    <xf numFmtId="0" fontId="34" fillId="4" borderId="27" xfId="1" applyFont="1" applyFill="1" applyBorder="1" applyAlignment="1">
      <alignment vertical="center"/>
    </xf>
    <xf numFmtId="4" fontId="33" fillId="4" borderId="200" xfId="1" applyNumberFormat="1" applyFont="1" applyFill="1" applyBorder="1" applyAlignment="1">
      <alignment horizontal="center" vertical="center"/>
    </xf>
    <xf numFmtId="0" fontId="34" fillId="4" borderId="233" xfId="1" applyFont="1" applyFill="1" applyBorder="1" applyAlignment="1"/>
    <xf numFmtId="4" fontId="33" fillId="4" borderId="225" xfId="1" applyNumberFormat="1" applyFont="1" applyFill="1" applyBorder="1" applyAlignment="1">
      <alignment horizontal="center"/>
    </xf>
    <xf numFmtId="3" fontId="33" fillId="4" borderId="225" xfId="1" applyNumberFormat="1" applyFont="1" applyFill="1" applyBorder="1" applyAlignment="1">
      <alignment horizontal="center"/>
    </xf>
    <xf numFmtId="3" fontId="34" fillId="4" borderId="145" xfId="1" applyNumberFormat="1" applyFont="1" applyFill="1" applyBorder="1" applyAlignment="1">
      <alignment horizontal="center"/>
    </xf>
    <xf numFmtId="0" fontId="34" fillId="4" borderId="231" xfId="1" applyFont="1" applyFill="1" applyBorder="1" applyAlignment="1"/>
    <xf numFmtId="4" fontId="33" fillId="4" borderId="224" xfId="1" applyNumberFormat="1" applyFont="1" applyFill="1" applyBorder="1" applyAlignment="1">
      <alignment horizontal="center"/>
    </xf>
    <xf numFmtId="2" fontId="33" fillId="4" borderId="143" xfId="1" applyNumberFormat="1" applyFont="1" applyFill="1" applyBorder="1" applyAlignment="1">
      <alignment horizontal="center" vertical="center"/>
    </xf>
    <xf numFmtId="2" fontId="33" fillId="4" borderId="162" xfId="1" applyNumberFormat="1" applyFont="1" applyFill="1" applyBorder="1" applyAlignment="1">
      <alignment horizontal="center" vertical="center"/>
    </xf>
    <xf numFmtId="2" fontId="34" fillId="4" borderId="40" xfId="1" quotePrefix="1" applyNumberFormat="1" applyFont="1" applyFill="1" applyBorder="1" applyAlignment="1">
      <alignment horizontal="center" vertical="center"/>
    </xf>
    <xf numFmtId="2" fontId="34" fillId="4" borderId="144" xfId="1" quotePrefix="1" applyNumberFormat="1" applyFont="1" applyFill="1" applyBorder="1" applyAlignment="1">
      <alignment horizontal="center" vertical="center"/>
    </xf>
    <xf numFmtId="2" fontId="34" fillId="4" borderId="223" xfId="1" applyNumberFormat="1" applyFont="1" applyFill="1" applyBorder="1" applyAlignment="1">
      <alignment horizontal="center" vertical="center"/>
    </xf>
    <xf numFmtId="2" fontId="34" fillId="4" borderId="146" xfId="1" quotePrefix="1" applyNumberFormat="1" applyFont="1" applyFill="1" applyBorder="1" applyAlignment="1">
      <alignment horizontal="center" vertical="center"/>
    </xf>
    <xf numFmtId="4" fontId="33" fillId="4" borderId="56" xfId="1" applyNumberFormat="1" applyFont="1" applyFill="1" applyBorder="1" applyAlignment="1">
      <alignment horizontal="center" vertical="center"/>
    </xf>
    <xf numFmtId="4" fontId="33" fillId="4" borderId="222" xfId="1" applyNumberFormat="1" applyFont="1" applyFill="1" applyBorder="1" applyAlignment="1">
      <alignment horizontal="center"/>
    </xf>
    <xf numFmtId="4" fontId="33" fillId="4" borderId="222" xfId="1" quotePrefix="1" applyNumberFormat="1" applyFont="1" applyFill="1" applyBorder="1" applyAlignment="1">
      <alignment horizontal="center"/>
    </xf>
    <xf numFmtId="4" fontId="33" fillId="4" borderId="223" xfId="1" applyNumberFormat="1" applyFont="1" applyFill="1" applyBorder="1" applyAlignment="1">
      <alignment horizontal="center"/>
    </xf>
    <xf numFmtId="0" fontId="34" fillId="6" borderId="3" xfId="1" applyFont="1" applyFill="1" applyBorder="1" applyAlignment="1">
      <alignment horizontal="center" vertical="center"/>
    </xf>
    <xf numFmtId="0" fontId="33" fillId="4" borderId="216" xfId="1" applyFont="1" applyFill="1" applyBorder="1" applyAlignment="1">
      <alignment horizontal="center" vertical="center"/>
    </xf>
    <xf numFmtId="3" fontId="34" fillId="0" borderId="218" xfId="1" applyNumberFormat="1" applyFont="1" applyFill="1" applyBorder="1" applyAlignment="1">
      <alignment horizontal="center"/>
    </xf>
    <xf numFmtId="0" fontId="34" fillId="0" borderId="219" xfId="1" applyFont="1" applyFill="1" applyBorder="1" applyAlignment="1">
      <alignment horizontal="center"/>
    </xf>
    <xf numFmtId="0" fontId="34" fillId="4" borderId="41" xfId="1" applyFont="1" applyFill="1" applyBorder="1" applyAlignment="1">
      <alignment horizontal="center" vertical="center" wrapText="1"/>
    </xf>
    <xf numFmtId="3" fontId="34" fillId="4" borderId="142" xfId="8333" applyNumberFormat="1" applyFont="1" applyFill="1" applyBorder="1" applyAlignment="1">
      <alignment horizontal="center" vertical="center"/>
    </xf>
    <xf numFmtId="9" fontId="34" fillId="4" borderId="142" xfId="8333" applyFont="1" applyFill="1" applyBorder="1" applyAlignment="1">
      <alignment horizontal="center" vertical="center"/>
    </xf>
    <xf numFmtId="3" fontId="34" fillId="4" borderId="13" xfId="8333" applyNumberFormat="1" applyFont="1" applyFill="1" applyBorder="1" applyAlignment="1">
      <alignment horizontal="center" vertical="center" wrapText="1"/>
    </xf>
    <xf numFmtId="3" fontId="34" fillId="6" borderId="0" xfId="8333" applyNumberFormat="1" applyFont="1" applyFill="1" applyBorder="1" applyAlignment="1">
      <alignment horizontal="center" vertical="center" wrapText="1"/>
    </xf>
    <xf numFmtId="2" fontId="34" fillId="6" borderId="0" xfId="1" applyNumberFormat="1" applyFont="1" applyFill="1" applyBorder="1" applyAlignment="1">
      <alignment horizontal="center" vertical="center" wrapText="1"/>
    </xf>
    <xf numFmtId="2" fontId="34" fillId="6" borderId="0" xfId="1" applyNumberFormat="1" applyFont="1" applyFill="1" applyBorder="1" applyAlignment="1">
      <alignment horizontal="center"/>
    </xf>
    <xf numFmtId="2" fontId="34" fillId="4" borderId="38" xfId="1" applyNumberFormat="1" applyFont="1" applyFill="1" applyBorder="1" applyAlignment="1">
      <alignment horizontal="center" vertical="center"/>
    </xf>
    <xf numFmtId="0" fontId="34" fillId="4" borderId="138" xfId="1" applyFont="1" applyFill="1" applyBorder="1" applyAlignment="1">
      <alignment horizontal="center" vertical="center"/>
    </xf>
    <xf numFmtId="0" fontId="34" fillId="4" borderId="58" xfId="1" applyFont="1" applyFill="1" applyBorder="1" applyAlignment="1">
      <alignment horizontal="center" vertical="center"/>
    </xf>
    <xf numFmtId="0" fontId="34" fillId="4" borderId="134" xfId="1" applyFont="1" applyFill="1" applyBorder="1" applyAlignment="1">
      <alignment horizontal="center" vertical="center"/>
    </xf>
    <xf numFmtId="0" fontId="34" fillId="4" borderId="120" xfId="1" applyFont="1" applyFill="1" applyBorder="1" applyAlignment="1">
      <alignment horizontal="center" vertical="center"/>
    </xf>
    <xf numFmtId="0" fontId="34" fillId="4" borderId="122" xfId="1" applyFont="1" applyFill="1" applyBorder="1" applyAlignment="1">
      <alignment horizontal="center" vertical="center"/>
    </xf>
    <xf numFmtId="9" fontId="33" fillId="4" borderId="125" xfId="8333" applyFont="1" applyFill="1" applyBorder="1" applyAlignment="1">
      <alignment horizontal="center" vertical="center"/>
    </xf>
    <xf numFmtId="2" fontId="34" fillId="4" borderId="117" xfId="1" applyNumberFormat="1" applyFont="1" applyFill="1" applyBorder="1" applyAlignment="1">
      <alignment horizontal="center" vertical="center"/>
    </xf>
    <xf numFmtId="0" fontId="34" fillId="4" borderId="125" xfId="1" applyFont="1" applyFill="1" applyBorder="1" applyAlignment="1">
      <alignment horizontal="center" vertical="center"/>
    </xf>
    <xf numFmtId="2" fontId="33" fillId="4" borderId="131" xfId="1" applyNumberFormat="1" applyFont="1" applyFill="1" applyBorder="1" applyAlignment="1">
      <alignment horizontal="center" vertical="center"/>
    </xf>
    <xf numFmtId="2" fontId="33" fillId="4" borderId="127" xfId="1" applyNumberFormat="1" applyFont="1" applyFill="1" applyBorder="1" applyAlignment="1">
      <alignment horizontal="center" vertical="center"/>
    </xf>
    <xf numFmtId="2" fontId="33" fillId="4" borderId="122" xfId="1" applyNumberFormat="1" applyFont="1" applyFill="1" applyBorder="1" applyAlignment="1">
      <alignment horizontal="center" vertical="center"/>
    </xf>
    <xf numFmtId="2" fontId="34" fillId="4" borderId="125" xfId="1" applyNumberFormat="1" applyFont="1" applyFill="1" applyBorder="1" applyAlignment="1">
      <alignment horizontal="center" vertical="center"/>
    </xf>
    <xf numFmtId="2" fontId="34" fillId="4" borderId="126" xfId="1" applyNumberFormat="1" applyFont="1" applyFill="1" applyBorder="1" applyAlignment="1">
      <alignment horizontal="center" vertical="center"/>
    </xf>
    <xf numFmtId="2" fontId="34" fillId="4" borderId="125" xfId="1" quotePrefix="1" applyNumberFormat="1" applyFont="1" applyFill="1" applyBorder="1" applyAlignment="1">
      <alignment horizontal="center" vertical="center"/>
    </xf>
    <xf numFmtId="2" fontId="34" fillId="4" borderId="120" xfId="1" applyNumberFormat="1" applyFont="1" applyFill="1" applyBorder="1" applyAlignment="1">
      <alignment horizontal="center" vertical="center"/>
    </xf>
    <xf numFmtId="2" fontId="34" fillId="4" borderId="127" xfId="1" applyNumberFormat="1" applyFont="1" applyFill="1" applyBorder="1" applyAlignment="1">
      <alignment horizontal="center" vertical="center"/>
    </xf>
    <xf numFmtId="2" fontId="34" fillId="4" borderId="120" xfId="1" quotePrefix="1" applyNumberFormat="1" applyFont="1" applyFill="1" applyBorder="1" applyAlignment="1">
      <alignment horizontal="center" vertical="center"/>
    </xf>
    <xf numFmtId="2" fontId="34" fillId="4" borderId="122" xfId="1" applyNumberFormat="1" applyFont="1" applyFill="1" applyBorder="1" applyAlignment="1">
      <alignment horizontal="center" vertical="center"/>
    </xf>
    <xf numFmtId="4" fontId="33" fillId="4" borderId="125" xfId="1" applyNumberFormat="1" applyFont="1" applyFill="1" applyBorder="1" applyAlignment="1">
      <alignment horizontal="center"/>
    </xf>
    <xf numFmtId="4" fontId="33" fillId="4" borderId="126" xfId="1" applyNumberFormat="1" applyFont="1" applyFill="1" applyBorder="1" applyAlignment="1">
      <alignment horizontal="center"/>
    </xf>
    <xf numFmtId="4" fontId="34" fillId="4" borderId="119" xfId="1" quotePrefix="1" applyNumberFormat="1" applyFont="1" applyFill="1" applyBorder="1" applyAlignment="1">
      <alignment horizontal="center"/>
    </xf>
    <xf numFmtId="4" fontId="33" fillId="4" borderId="129" xfId="1" quotePrefix="1" applyNumberFormat="1" applyFont="1" applyFill="1" applyBorder="1" applyAlignment="1">
      <alignment horizontal="center"/>
    </xf>
    <xf numFmtId="4" fontId="33" fillId="4" borderId="126" xfId="1" quotePrefix="1" applyNumberFormat="1" applyFont="1" applyFill="1" applyBorder="1" applyAlignment="1">
      <alignment horizontal="center"/>
    </xf>
    <xf numFmtId="4" fontId="34" fillId="4" borderId="119" xfId="1" applyNumberFormat="1" applyFont="1" applyFill="1" applyBorder="1" applyAlignment="1">
      <alignment horizontal="center"/>
    </xf>
    <xf numFmtId="4" fontId="33" fillId="4" borderId="120" xfId="1" applyNumberFormat="1" applyFont="1" applyFill="1" applyBorder="1" applyAlignment="1">
      <alignment horizontal="center"/>
    </xf>
    <xf numFmtId="4" fontId="33" fillId="4" borderId="127" xfId="1" applyNumberFormat="1" applyFont="1" applyFill="1" applyBorder="1" applyAlignment="1">
      <alignment horizontal="center"/>
    </xf>
    <xf numFmtId="4" fontId="34" fillId="4" borderId="121" xfId="1" applyNumberFormat="1" applyFont="1" applyFill="1" applyBorder="1" applyAlignment="1">
      <alignment horizontal="center"/>
    </xf>
    <xf numFmtId="0" fontId="34" fillId="4" borderId="127" xfId="1" applyFont="1" applyFill="1" applyBorder="1" applyAlignment="1">
      <alignment horizontal="center" vertical="center"/>
    </xf>
    <xf numFmtId="2" fontId="33" fillId="4" borderId="117" xfId="1" applyNumberFormat="1" applyFont="1" applyFill="1" applyBorder="1" applyAlignment="1">
      <alignment horizontal="center"/>
    </xf>
    <xf numFmtId="0" fontId="33" fillId="4" borderId="118" xfId="1" quotePrefix="1" applyFont="1" applyFill="1" applyBorder="1" applyAlignment="1">
      <alignment horizontal="center" vertical="center"/>
    </xf>
    <xf numFmtId="2" fontId="33" fillId="4" borderId="122" xfId="1" applyNumberFormat="1" applyFont="1" applyFill="1" applyBorder="1" applyAlignment="1">
      <alignment horizontal="center"/>
    </xf>
    <xf numFmtId="0" fontId="33" fillId="4" borderId="123" xfId="1" quotePrefix="1" applyFont="1" applyFill="1" applyBorder="1" applyAlignment="1">
      <alignment horizontal="center" vertical="center"/>
    </xf>
    <xf numFmtId="2" fontId="33" fillId="4" borderId="134" xfId="1" applyNumberFormat="1" applyFont="1" applyFill="1" applyBorder="1" applyAlignment="1">
      <alignment horizontal="center" vertical="center"/>
    </xf>
    <xf numFmtId="2" fontId="34" fillId="4" borderId="139" xfId="1" applyNumberFormat="1" applyFont="1" applyFill="1" applyBorder="1" applyAlignment="1">
      <alignment horizontal="center" vertical="center"/>
    </xf>
    <xf numFmtId="167" fontId="34" fillId="4" borderId="1" xfId="1" applyNumberFormat="1" applyFont="1" applyFill="1" applyBorder="1"/>
    <xf numFmtId="167" fontId="33" fillId="4" borderId="2" xfId="1" applyNumberFormat="1" applyFont="1" applyFill="1" applyBorder="1"/>
    <xf numFmtId="167" fontId="33" fillId="4" borderId="3" xfId="1" applyNumberFormat="1" applyFont="1" applyFill="1" applyBorder="1"/>
    <xf numFmtId="167" fontId="33" fillId="6" borderId="0" xfId="1" applyNumberFormat="1" applyFont="1" applyFill="1" applyBorder="1"/>
    <xf numFmtId="167" fontId="33" fillId="4" borderId="4" xfId="1" applyNumberFormat="1" applyFont="1" applyFill="1" applyBorder="1"/>
    <xf numFmtId="167" fontId="33" fillId="4" borderId="0" xfId="1" applyNumberFormat="1" applyFont="1" applyFill="1" applyBorder="1"/>
    <xf numFmtId="167" fontId="33" fillId="4" borderId="5" xfId="1" applyNumberFormat="1" applyFont="1" applyFill="1" applyBorder="1"/>
    <xf numFmtId="2" fontId="34" fillId="4" borderId="39" xfId="1" applyNumberFormat="1" applyFont="1" applyFill="1" applyBorder="1" applyAlignment="1">
      <alignment horizontal="center"/>
    </xf>
    <xf numFmtId="167" fontId="33" fillId="4" borderId="6" xfId="1" applyNumberFormat="1" applyFont="1" applyFill="1" applyBorder="1"/>
    <xf numFmtId="167" fontId="33" fillId="4" borderId="7" xfId="1" applyNumberFormat="1" applyFont="1" applyFill="1" applyBorder="1"/>
    <xf numFmtId="167" fontId="33" fillId="4" borderId="8" xfId="1" applyNumberFormat="1" applyFont="1" applyFill="1" applyBorder="1"/>
    <xf numFmtId="0" fontId="34" fillId="4" borderId="129" xfId="1" applyFont="1" applyFill="1" applyBorder="1" applyAlignment="1">
      <alignment horizontal="left"/>
    </xf>
    <xf numFmtId="2" fontId="34" fillId="4" borderId="117" xfId="1" quotePrefix="1" applyNumberFormat="1" applyFont="1" applyFill="1" applyBorder="1" applyAlignment="1">
      <alignment horizontal="center"/>
    </xf>
    <xf numFmtId="4" fontId="33" fillId="4" borderId="129" xfId="1" applyNumberFormat="1" applyFont="1" applyFill="1" applyBorder="1" applyAlignment="1">
      <alignment horizontal="center"/>
    </xf>
    <xf numFmtId="2" fontId="34" fillId="4" borderId="117" xfId="1" applyNumberFormat="1" applyFont="1" applyFill="1" applyBorder="1" applyAlignment="1">
      <alignment horizontal="center"/>
    </xf>
    <xf numFmtId="193" fontId="33" fillId="4" borderId="125" xfId="1" applyNumberFormat="1" applyFont="1" applyFill="1" applyBorder="1" applyAlignment="1">
      <alignment horizontal="center"/>
    </xf>
    <xf numFmtId="193" fontId="33" fillId="4" borderId="126" xfId="1" applyNumberFormat="1" applyFont="1" applyFill="1" applyBorder="1" applyAlignment="1">
      <alignment horizontal="center"/>
    </xf>
    <xf numFmtId="4" fontId="34" fillId="4" borderId="117" xfId="668" applyNumberFormat="1" applyFont="1" applyFill="1" applyBorder="1" applyAlignment="1">
      <alignment horizontal="center" vertical="center"/>
    </xf>
    <xf numFmtId="0" fontId="60" fillId="3" borderId="4" xfId="95" applyFont="1" applyFill="1" applyBorder="1" applyAlignment="1">
      <alignment vertical="center"/>
    </xf>
    <xf numFmtId="0" fontId="60" fillId="3" borderId="0" xfId="95" applyFont="1" applyFill="1" applyBorder="1" applyAlignment="1">
      <alignment horizontal="center" vertical="center"/>
    </xf>
    <xf numFmtId="0" fontId="34" fillId="4" borderId="124" xfId="1" applyFont="1" applyFill="1" applyBorder="1" applyAlignment="1">
      <alignment horizontal="left"/>
    </xf>
    <xf numFmtId="4" fontId="34" fillId="4" borderId="122" xfId="668" applyNumberFormat="1" applyFont="1" applyFill="1" applyBorder="1" applyAlignment="1">
      <alignment horizontal="center" vertical="center"/>
    </xf>
    <xf numFmtId="0" fontId="60" fillId="0" borderId="0" xfId="95" applyFont="1" applyFill="1" applyBorder="1" applyAlignment="1">
      <alignment horizontal="center" vertical="center"/>
    </xf>
    <xf numFmtId="0" fontId="60" fillId="3" borderId="6" xfId="95" applyFont="1" applyFill="1" applyBorder="1" applyAlignment="1">
      <alignment vertical="center"/>
    </xf>
    <xf numFmtId="0" fontId="60" fillId="3" borderId="7" xfId="95" applyFont="1" applyFill="1" applyBorder="1" applyAlignment="1">
      <alignment horizontal="center" vertical="center"/>
    </xf>
    <xf numFmtId="167" fontId="33" fillId="6" borderId="5" xfId="1" applyNumberFormat="1" applyFont="1" applyFill="1" applyBorder="1"/>
    <xf numFmtId="0" fontId="22" fillId="6" borderId="0" xfId="0" applyFont="1" applyFill="1" applyBorder="1"/>
    <xf numFmtId="9" fontId="22" fillId="6" borderId="0" xfId="0" applyNumberFormat="1" applyFont="1" applyFill="1" applyBorder="1" applyAlignment="1">
      <alignment horizontal="center"/>
    </xf>
    <xf numFmtId="169" fontId="22" fillId="6" borderId="0" xfId="0" applyNumberFormat="1" applyFont="1" applyFill="1" applyBorder="1" applyAlignment="1">
      <alignment horizontal="right"/>
    </xf>
    <xf numFmtId="0" fontId="22" fillId="6" borderId="198" xfId="0" applyFont="1" applyFill="1" applyBorder="1" applyAlignment="1">
      <alignment vertical="top"/>
    </xf>
    <xf numFmtId="9" fontId="22" fillId="6" borderId="198" xfId="0" applyNumberFormat="1" applyFont="1" applyFill="1" applyBorder="1" applyAlignment="1">
      <alignment horizontal="center" vertical="top"/>
    </xf>
    <xf numFmtId="0" fontId="22" fillId="6" borderId="198" xfId="0" applyFont="1" applyFill="1" applyBorder="1" applyAlignment="1">
      <alignment horizontal="center"/>
    </xf>
    <xf numFmtId="169" fontId="22" fillId="6" borderId="198" xfId="0" applyNumberFormat="1" applyFont="1" applyFill="1" applyBorder="1" applyAlignment="1">
      <alignment horizontal="center"/>
    </xf>
    <xf numFmtId="10" fontId="22" fillId="6" borderId="198" xfId="0" applyNumberFormat="1" applyFont="1" applyFill="1" applyBorder="1" applyAlignment="1">
      <alignment horizontal="center"/>
    </xf>
    <xf numFmtId="0" fontId="22" fillId="6" borderId="0" xfId="0" applyFont="1" applyFill="1" applyBorder="1" applyAlignment="1">
      <alignment horizontal="right"/>
    </xf>
    <xf numFmtId="0" fontId="45" fillId="0" borderId="234" xfId="63" applyFont="1" applyFill="1" applyBorder="1" applyAlignment="1">
      <alignment horizontal="center" vertical="center"/>
    </xf>
    <xf numFmtId="0" fontId="45" fillId="6" borderId="197" xfId="63" applyFont="1" applyFill="1" applyBorder="1" applyAlignment="1">
      <alignment horizontal="center" vertical="center"/>
    </xf>
    <xf numFmtId="2" fontId="45" fillId="6" borderId="249" xfId="63" applyNumberFormat="1" applyFont="1" applyFill="1" applyBorder="1" applyAlignment="1">
      <alignment horizontal="center" vertical="center"/>
    </xf>
    <xf numFmtId="2" fontId="45" fillId="6" borderId="237" xfId="63" applyNumberFormat="1" applyFont="1" applyFill="1" applyBorder="1" applyAlignment="1">
      <alignment horizontal="center" vertical="center"/>
    </xf>
    <xf numFmtId="0" fontId="45" fillId="6" borderId="249" xfId="63" applyFont="1" applyFill="1" applyBorder="1" applyAlignment="1">
      <alignment horizontal="center" vertical="center" wrapText="1"/>
    </xf>
    <xf numFmtId="0" fontId="45" fillId="6" borderId="237" xfId="63" applyFont="1" applyFill="1" applyBorder="1" applyAlignment="1">
      <alignment horizontal="center" vertical="center" wrapText="1"/>
    </xf>
    <xf numFmtId="2" fontId="26" fillId="0" borderId="18" xfId="0" applyNumberFormat="1" applyFont="1" applyFill="1" applyBorder="1" applyAlignment="1">
      <alignment horizontal="center" vertical="center"/>
    </xf>
    <xf numFmtId="2" fontId="26" fillId="0" borderId="43" xfId="0" applyNumberFormat="1" applyFont="1" applyFill="1" applyBorder="1" applyAlignment="1">
      <alignment horizontal="center" vertical="center"/>
    </xf>
    <xf numFmtId="0" fontId="45" fillId="6" borderId="238" xfId="63" applyFont="1" applyFill="1" applyBorder="1" applyAlignment="1">
      <alignment horizontal="center" vertical="center"/>
    </xf>
    <xf numFmtId="0" fontId="45" fillId="6" borderId="233" xfId="63" applyFont="1" applyFill="1" applyBorder="1" applyAlignment="1">
      <alignment horizontal="center" vertical="center"/>
    </xf>
    <xf numFmtId="0" fontId="45" fillId="4" borderId="228" xfId="63" applyFont="1" applyFill="1" applyBorder="1" applyAlignment="1">
      <alignment horizontal="center" vertical="center"/>
    </xf>
    <xf numFmtId="2" fontId="45" fillId="4" borderId="257" xfId="63" applyNumberFormat="1" applyFont="1" applyFill="1" applyBorder="1" applyAlignment="1">
      <alignment horizontal="center" vertical="center"/>
    </xf>
    <xf numFmtId="2" fontId="45" fillId="4" borderId="258" xfId="63" applyNumberFormat="1" applyFont="1" applyFill="1" applyBorder="1" applyAlignment="1">
      <alignment horizontal="center" vertical="center"/>
    </xf>
    <xf numFmtId="2" fontId="29" fillId="0" borderId="214" xfId="0" quotePrefix="1" applyNumberFormat="1" applyFont="1" applyFill="1" applyBorder="1" applyAlignment="1">
      <alignment horizontal="center" vertical="center"/>
    </xf>
    <xf numFmtId="2" fontId="29" fillId="0" borderId="221" xfId="0" quotePrefix="1" applyNumberFormat="1" applyFont="1" applyFill="1" applyBorder="1" applyAlignment="1">
      <alignment horizontal="center" vertical="center"/>
    </xf>
    <xf numFmtId="0" fontId="29" fillId="0" borderId="4" xfId="0" applyFont="1" applyFill="1" applyBorder="1" applyAlignment="1">
      <alignment horizontal="left" vertical="center" wrapText="1"/>
    </xf>
    <xf numFmtId="0" fontId="29" fillId="4" borderId="65" xfId="0" applyFont="1" applyFill="1" applyBorder="1" applyAlignment="1">
      <alignment horizontal="center" vertical="center" wrapText="1"/>
    </xf>
    <xf numFmtId="0" fontId="29" fillId="0" borderId="75" xfId="0" applyFont="1" applyFill="1" applyBorder="1" applyAlignment="1">
      <alignment horizontal="center" vertical="center" wrapText="1"/>
    </xf>
    <xf numFmtId="2" fontId="29" fillId="0" borderId="65" xfId="0" quotePrefix="1" applyNumberFormat="1" applyFont="1" applyFill="1" applyBorder="1" applyAlignment="1">
      <alignment horizontal="center" vertical="center"/>
    </xf>
    <xf numFmtId="2" fontId="29" fillId="0" borderId="75" xfId="0" quotePrefix="1" applyNumberFormat="1" applyFont="1" applyFill="1" applyBorder="1" applyAlignment="1">
      <alignment horizontal="center" vertical="center"/>
    </xf>
    <xf numFmtId="0" fontId="29" fillId="0" borderId="259" xfId="0" applyFont="1" applyFill="1" applyBorder="1" applyAlignment="1">
      <alignment horizontal="left" vertical="center" wrapText="1"/>
    </xf>
    <xf numFmtId="0" fontId="29" fillId="4" borderId="257" xfId="0" applyFont="1" applyFill="1" applyBorder="1" applyAlignment="1">
      <alignment horizontal="center" vertical="center" wrapText="1"/>
    </xf>
    <xf numFmtId="2" fontId="29" fillId="0" borderId="257" xfId="0" quotePrefix="1" applyNumberFormat="1" applyFont="1" applyFill="1" applyBorder="1" applyAlignment="1">
      <alignment horizontal="center" vertical="center"/>
    </xf>
    <xf numFmtId="0" fontId="29" fillId="0" borderId="61" xfId="0" applyFont="1" applyFill="1" applyBorder="1" applyAlignment="1">
      <alignment horizontal="center" vertical="center" wrapText="1"/>
    </xf>
    <xf numFmtId="164" fontId="20" fillId="0" borderId="0" xfId="0" applyNumberFormat="1" applyFont="1"/>
    <xf numFmtId="0" fontId="140" fillId="0" borderId="259" xfId="0" applyFont="1" applyFill="1" applyBorder="1" applyAlignment="1">
      <alignment horizontal="left" vertical="center" wrapText="1"/>
    </xf>
    <xf numFmtId="0" fontId="140" fillId="4" borderId="257" xfId="0" applyFont="1" applyFill="1" applyBorder="1" applyAlignment="1">
      <alignment horizontal="center" vertical="center" wrapText="1"/>
    </xf>
    <xf numFmtId="0" fontId="140" fillId="4" borderId="258" xfId="0" applyFont="1" applyFill="1" applyBorder="1" applyAlignment="1">
      <alignment horizontal="center" vertical="center" wrapText="1"/>
    </xf>
    <xf numFmtId="2" fontId="140" fillId="0" borderId="257" xfId="0" quotePrefix="1" applyNumberFormat="1" applyFont="1" applyFill="1" applyBorder="1" applyAlignment="1">
      <alignment horizontal="center" vertical="center"/>
    </xf>
    <xf numFmtId="2" fontId="140" fillId="0" borderId="151" xfId="0" quotePrefix="1" applyNumberFormat="1" applyFont="1" applyFill="1" applyBorder="1" applyAlignment="1">
      <alignment horizontal="center" vertical="center"/>
    </xf>
    <xf numFmtId="0" fontId="21" fillId="4" borderId="45" xfId="0" applyFont="1" applyFill="1" applyBorder="1" applyAlignment="1">
      <alignment horizontal="center" vertical="center"/>
    </xf>
    <xf numFmtId="0" fontId="21" fillId="4" borderId="20" xfId="0" applyFont="1" applyFill="1" applyBorder="1" applyAlignment="1">
      <alignment horizontal="center" vertical="center"/>
    </xf>
    <xf numFmtId="0" fontId="21" fillId="4" borderId="219" xfId="0" applyFont="1" applyFill="1" applyBorder="1" applyAlignment="1">
      <alignment horizontal="center" vertical="center"/>
    </xf>
    <xf numFmtId="0" fontId="45" fillId="4" borderId="259" xfId="63" applyFont="1" applyFill="1" applyBorder="1" applyAlignment="1">
      <alignment horizontal="center" vertical="center"/>
    </xf>
    <xf numFmtId="0" fontId="0" fillId="0" borderId="0" xfId="0" applyAlignment="1">
      <alignment horizontal="center"/>
    </xf>
    <xf numFmtId="0" fontId="0" fillId="0" borderId="102" xfId="0" applyNumberFormat="1" applyBorder="1" applyAlignment="1">
      <alignment horizontal="right"/>
    </xf>
    <xf numFmtId="167" fontId="0" fillId="0" borderId="102" xfId="0" applyNumberFormat="1" applyBorder="1" applyAlignment="1">
      <alignment horizontal="right"/>
    </xf>
    <xf numFmtId="166" fontId="0" fillId="0" borderId="102" xfId="0" applyNumberFormat="1" applyBorder="1" applyAlignment="1">
      <alignment horizontal="right"/>
    </xf>
    <xf numFmtId="0" fontId="0" fillId="0" borderId="102" xfId="0" applyBorder="1" applyAlignment="1">
      <alignment horizontal="right"/>
    </xf>
    <xf numFmtId="164" fontId="0" fillId="0" borderId="102" xfId="0" applyNumberFormat="1" applyBorder="1" applyAlignment="1">
      <alignment horizontal="right"/>
    </xf>
    <xf numFmtId="0" fontId="0" fillId="0" borderId="104" xfId="0" applyNumberFormat="1" applyBorder="1" applyAlignment="1">
      <alignment horizontal="right"/>
    </xf>
    <xf numFmtId="165" fontId="0" fillId="0" borderId="102" xfId="0" applyNumberFormat="1" applyBorder="1" applyAlignment="1">
      <alignment horizontal="right"/>
    </xf>
    <xf numFmtId="49" fontId="88" fillId="37" borderId="262" xfId="10209" applyBorder="1">
      <alignment horizontal="center"/>
    </xf>
    <xf numFmtId="171" fontId="0" fillId="0" borderId="102" xfId="0" applyNumberFormat="1" applyBorder="1" applyAlignment="1">
      <alignment horizontal="right"/>
    </xf>
    <xf numFmtId="196" fontId="0" fillId="0" borderId="102" xfId="0" applyNumberFormat="1" applyBorder="1" applyAlignment="1">
      <alignment horizontal="right"/>
    </xf>
    <xf numFmtId="168" fontId="0" fillId="0" borderId="102" xfId="0" applyNumberFormat="1" applyBorder="1" applyAlignment="1">
      <alignment horizontal="right"/>
    </xf>
    <xf numFmtId="169" fontId="0" fillId="0" borderId="102" xfId="0" applyNumberFormat="1" applyBorder="1" applyAlignment="1">
      <alignment horizontal="right"/>
    </xf>
    <xf numFmtId="194" fontId="0" fillId="0" borderId="102" xfId="0" applyNumberFormat="1" applyBorder="1" applyAlignment="1">
      <alignment horizontal="right"/>
    </xf>
    <xf numFmtId="2" fontId="0" fillId="0" borderId="102" xfId="0" applyNumberFormat="1" applyBorder="1" applyAlignment="1">
      <alignment horizontal="right"/>
    </xf>
    <xf numFmtId="2" fontId="0" fillId="0" borderId="104" xfId="0" applyNumberFormat="1" applyBorder="1" applyAlignment="1">
      <alignment horizontal="right"/>
    </xf>
    <xf numFmtId="49" fontId="87" fillId="33" borderId="0" xfId="10198">
      <alignment horizontal="center"/>
    </xf>
    <xf numFmtId="49" fontId="88" fillId="37" borderId="2" xfId="10209" quotePrefix="1" applyBorder="1" applyAlignment="1">
      <alignment horizontal="center"/>
    </xf>
    <xf numFmtId="49" fontId="148" fillId="37" borderId="2" xfId="10209" quotePrefix="1" applyFont="1" applyBorder="1" applyAlignment="1">
      <alignment horizontal="center"/>
    </xf>
    <xf numFmtId="49" fontId="88" fillId="37" borderId="0" xfId="10209" quotePrefix="1" applyBorder="1" applyAlignment="1">
      <alignment horizontal="center"/>
    </xf>
    <xf numFmtId="49" fontId="88" fillId="37" borderId="200" xfId="10209" quotePrefix="1" applyBorder="1" applyAlignment="1">
      <alignment horizontal="center"/>
    </xf>
    <xf numFmtId="49" fontId="88" fillId="37" borderId="252" xfId="10209" applyBorder="1">
      <alignment horizontal="center"/>
    </xf>
    <xf numFmtId="0" fontId="87" fillId="0" borderId="0" xfId="20905" applyBorder="1">
      <alignment horizontal="center"/>
    </xf>
    <xf numFmtId="49" fontId="88" fillId="37" borderId="253" xfId="10209" applyBorder="1">
      <alignment horizontal="center"/>
    </xf>
    <xf numFmtId="49" fontId="89" fillId="36" borderId="107" xfId="10208" quotePrefix="1" applyBorder="1" applyAlignment="1">
      <alignment horizontal="left"/>
    </xf>
    <xf numFmtId="49" fontId="89" fillId="36" borderId="108" xfId="10208" applyBorder="1" applyAlignment="1">
      <alignment horizontal="center"/>
    </xf>
    <xf numFmtId="49" fontId="89" fillId="36" borderId="108" xfId="10208" quotePrefix="1" applyBorder="1" applyAlignment="1">
      <alignment horizontal="center"/>
    </xf>
    <xf numFmtId="49" fontId="89" fillId="36" borderId="109" xfId="10208" quotePrefix="1" applyBorder="1" applyAlignment="1">
      <alignment horizontal="center"/>
    </xf>
    <xf numFmtId="49" fontId="89" fillId="37" borderId="101" xfId="10210" applyBorder="1" applyAlignment="1">
      <alignment horizontal="left"/>
    </xf>
    <xf numFmtId="49" fontId="148" fillId="37" borderId="110" xfId="10209" quotePrefix="1" applyFont="1" applyBorder="1" applyAlignment="1">
      <alignment horizontal="center"/>
    </xf>
    <xf numFmtId="49" fontId="87" fillId="37" borderId="101" xfId="10211" applyBorder="1" applyAlignment="1">
      <alignment horizontal="left"/>
    </xf>
    <xf numFmtId="49" fontId="88" fillId="37" borderId="102" xfId="10209" quotePrefix="1" applyBorder="1" applyAlignment="1">
      <alignment horizontal="center"/>
    </xf>
    <xf numFmtId="49" fontId="88" fillId="37" borderId="101" xfId="10209" applyBorder="1">
      <alignment horizontal="center"/>
    </xf>
    <xf numFmtId="49" fontId="88" fillId="37" borderId="111" xfId="10209" quotePrefix="1" applyBorder="1" applyAlignment="1">
      <alignment horizontal="center"/>
    </xf>
    <xf numFmtId="49" fontId="88" fillId="37" borderId="254" xfId="10209" applyBorder="1">
      <alignment horizontal="center"/>
    </xf>
    <xf numFmtId="0" fontId="87" fillId="0" borderId="112" xfId="20905" quotePrefix="1" applyBorder="1" applyAlignment="1">
      <alignment horizontal="left"/>
    </xf>
    <xf numFmtId="195" fontId="87" fillId="0" borderId="0" xfId="20905" applyNumberFormat="1" applyBorder="1" applyAlignment="1">
      <alignment horizontal="right"/>
    </xf>
    <xf numFmtId="0" fontId="87" fillId="0" borderId="0" xfId="20905" applyNumberFormat="1" applyBorder="1" applyAlignment="1">
      <alignment horizontal="right"/>
    </xf>
    <xf numFmtId="197" fontId="87" fillId="0" borderId="0" xfId="20905" applyNumberFormat="1" applyBorder="1" applyAlignment="1">
      <alignment horizontal="right"/>
    </xf>
    <xf numFmtId="194" fontId="87" fillId="0" borderId="0" xfId="20905" applyNumberFormat="1" applyBorder="1" applyAlignment="1">
      <alignment horizontal="right"/>
    </xf>
    <xf numFmtId="0" fontId="87" fillId="0" borderId="0" xfId="20905" quotePrefix="1" applyBorder="1" applyAlignment="1">
      <alignment horizontal="right"/>
    </xf>
    <xf numFmtId="168" fontId="87" fillId="0" borderId="0" xfId="20905" applyNumberFormat="1" applyBorder="1" applyAlignment="1">
      <alignment horizontal="right"/>
    </xf>
    <xf numFmtId="169" fontId="87" fillId="0" borderId="0" xfId="20905" applyNumberFormat="1" applyBorder="1" applyAlignment="1">
      <alignment horizontal="right"/>
    </xf>
    <xf numFmtId="166" fontId="87" fillId="0" borderId="0" xfId="20905" applyNumberFormat="1" applyBorder="1" applyAlignment="1">
      <alignment horizontal="right"/>
    </xf>
    <xf numFmtId="171" fontId="87" fillId="0" borderId="0" xfId="20905" applyNumberFormat="1" applyBorder="1" applyAlignment="1">
      <alignment horizontal="right"/>
    </xf>
    <xf numFmtId="167" fontId="87" fillId="0" borderId="0" xfId="20905" applyNumberFormat="1" applyBorder="1" applyAlignment="1">
      <alignment horizontal="right"/>
    </xf>
    <xf numFmtId="0" fontId="87" fillId="0" borderId="101" xfId="20905" quotePrefix="1" applyBorder="1" applyAlignment="1">
      <alignment horizontal="left"/>
    </xf>
    <xf numFmtId="213" fontId="87" fillId="0" borderId="0" xfId="20905" applyNumberFormat="1" applyBorder="1" applyAlignment="1">
      <alignment horizontal="right"/>
    </xf>
    <xf numFmtId="199" fontId="87" fillId="0" borderId="0" xfId="20905" applyNumberFormat="1" applyBorder="1" applyAlignment="1">
      <alignment horizontal="right"/>
    </xf>
    <xf numFmtId="201" fontId="87" fillId="0" borderId="0" xfId="20905" applyNumberFormat="1" applyBorder="1" applyAlignment="1">
      <alignment horizontal="right"/>
    </xf>
    <xf numFmtId="196" fontId="87" fillId="0" borderId="0" xfId="20905" applyNumberFormat="1" applyBorder="1" applyAlignment="1">
      <alignment horizontal="right"/>
    </xf>
    <xf numFmtId="198" fontId="87" fillId="0" borderId="0" xfId="20905" applyNumberFormat="1" applyBorder="1" applyAlignment="1">
      <alignment horizontal="right"/>
    </xf>
    <xf numFmtId="49" fontId="88" fillId="37" borderId="255" xfId="10209" applyBorder="1" applyAlignment="1">
      <alignment horizontal="left"/>
    </xf>
    <xf numFmtId="206" fontId="87" fillId="0" borderId="0" xfId="20905" applyNumberFormat="1" applyBorder="1" applyAlignment="1">
      <alignment horizontal="right"/>
    </xf>
    <xf numFmtId="203" fontId="87" fillId="0" borderId="0" xfId="20905" applyNumberFormat="1" applyBorder="1" applyAlignment="1">
      <alignment horizontal="right"/>
    </xf>
    <xf numFmtId="204" fontId="87" fillId="0" borderId="0" xfId="20905" applyNumberFormat="1" applyBorder="1" applyAlignment="1">
      <alignment horizontal="right"/>
    </xf>
    <xf numFmtId="0" fontId="87" fillId="0" borderId="0" xfId="20905" applyBorder="1" applyAlignment="1">
      <alignment horizontal="right"/>
    </xf>
    <xf numFmtId="1" fontId="87" fillId="0" borderId="0" xfId="20905" applyNumberFormat="1" applyBorder="1" applyAlignment="1">
      <alignment horizontal="right"/>
    </xf>
    <xf numFmtId="200" fontId="87" fillId="0" borderId="0" xfId="20905" applyNumberFormat="1" applyBorder="1" applyAlignment="1">
      <alignment horizontal="right"/>
    </xf>
    <xf numFmtId="205" fontId="87" fillId="0" borderId="0" xfId="20905" applyNumberFormat="1" applyBorder="1" applyAlignment="1">
      <alignment horizontal="right"/>
    </xf>
    <xf numFmtId="202" fontId="87" fillId="0" borderId="0" xfId="20905" applyNumberFormat="1" applyBorder="1" applyAlignment="1">
      <alignment horizontal="right"/>
    </xf>
    <xf numFmtId="165" fontId="87" fillId="0" borderId="0" xfId="20905" applyNumberFormat="1" applyBorder="1" applyAlignment="1">
      <alignment horizontal="right"/>
    </xf>
    <xf numFmtId="2" fontId="87" fillId="0" borderId="0" xfId="20905" applyNumberFormat="1" applyBorder="1" applyAlignment="1">
      <alignment horizontal="right"/>
    </xf>
    <xf numFmtId="164" fontId="87" fillId="0" borderId="0" xfId="20905" applyNumberFormat="1" applyBorder="1" applyAlignment="1">
      <alignment horizontal="right"/>
    </xf>
    <xf numFmtId="0" fontId="87" fillId="0" borderId="103" xfId="20905" quotePrefix="1" applyBorder="1" applyAlignment="1">
      <alignment horizontal="left"/>
    </xf>
    <xf numFmtId="200" fontId="87" fillId="0" borderId="115" xfId="20905" applyNumberFormat="1" applyBorder="1" applyAlignment="1">
      <alignment horizontal="right"/>
    </xf>
    <xf numFmtId="213" fontId="87" fillId="0" borderId="115" xfId="20905" applyNumberFormat="1" applyBorder="1" applyAlignment="1">
      <alignment horizontal="right"/>
    </xf>
    <xf numFmtId="195" fontId="87" fillId="0" borderId="115" xfId="20905" applyNumberFormat="1" applyBorder="1" applyAlignment="1">
      <alignment horizontal="right"/>
    </xf>
    <xf numFmtId="167" fontId="87" fillId="0" borderId="115" xfId="20905" applyNumberFormat="1" applyBorder="1" applyAlignment="1">
      <alignment horizontal="right"/>
    </xf>
    <xf numFmtId="201" fontId="87" fillId="0" borderId="115" xfId="20905" applyNumberFormat="1" applyBorder="1" applyAlignment="1">
      <alignment horizontal="right"/>
    </xf>
    <xf numFmtId="0" fontId="87" fillId="0" borderId="115" xfId="20905" applyBorder="1" applyAlignment="1">
      <alignment horizontal="right"/>
    </xf>
    <xf numFmtId="194" fontId="87" fillId="0" borderId="115" xfId="20905" applyNumberFormat="1" applyBorder="1" applyAlignment="1">
      <alignment horizontal="right"/>
    </xf>
    <xf numFmtId="0" fontId="87" fillId="0" borderId="115" xfId="20905" quotePrefix="1" applyBorder="1" applyAlignment="1">
      <alignment horizontal="right"/>
    </xf>
    <xf numFmtId="166" fontId="87" fillId="0" borderId="115" xfId="20905" applyNumberFormat="1" applyBorder="1" applyAlignment="1">
      <alignment horizontal="right"/>
    </xf>
    <xf numFmtId="168" fontId="87" fillId="0" borderId="115" xfId="20905" applyNumberFormat="1" applyBorder="1" applyAlignment="1">
      <alignment horizontal="right"/>
    </xf>
    <xf numFmtId="49" fontId="88" fillId="37" borderId="253" xfId="10209" applyBorder="1" applyAlignment="1">
      <alignment horizontal="left"/>
    </xf>
    <xf numFmtId="0" fontId="87" fillId="0" borderId="113" xfId="20905" quotePrefix="1" applyBorder="1" applyAlignment="1">
      <alignment horizontal="left"/>
    </xf>
    <xf numFmtId="0" fontId="87" fillId="0" borderId="52" xfId="20905" quotePrefix="1" applyBorder="1" applyAlignment="1">
      <alignment horizontal="left"/>
    </xf>
    <xf numFmtId="49" fontId="88" fillId="37" borderId="116" xfId="10209" applyBorder="1">
      <alignment horizontal="center"/>
    </xf>
    <xf numFmtId="0" fontId="87" fillId="0" borderId="0" xfId="20905" quotePrefix="1" applyNumberFormat="1" applyBorder="1" applyAlignment="1">
      <alignment horizontal="right"/>
    </xf>
    <xf numFmtId="0" fontId="87" fillId="0" borderId="114" xfId="20905" quotePrefix="1" applyBorder="1" applyAlignment="1">
      <alignment horizontal="left"/>
    </xf>
    <xf numFmtId="2" fontId="87" fillId="0" borderId="115" xfId="20905" applyNumberFormat="1" applyBorder="1" applyAlignment="1">
      <alignment horizontal="right"/>
    </xf>
    <xf numFmtId="165" fontId="87" fillId="0" borderId="115" xfId="20905" applyNumberFormat="1" applyBorder="1" applyAlignment="1">
      <alignment horizontal="right"/>
    </xf>
    <xf numFmtId="0" fontId="87" fillId="0" borderId="115" xfId="20905" quotePrefix="1" applyNumberFormat="1" applyBorder="1" applyAlignment="1">
      <alignment horizontal="right"/>
    </xf>
    <xf numFmtId="0" fontId="87" fillId="0" borderId="115" xfId="20905" applyBorder="1">
      <alignment horizontal="center"/>
    </xf>
    <xf numFmtId="0" fontId="87" fillId="0" borderId="115" xfId="20905" applyNumberFormat="1" applyBorder="1" applyAlignment="1">
      <alignment horizontal="right"/>
    </xf>
    <xf numFmtId="196" fontId="87" fillId="0" borderId="115" xfId="20905" applyNumberFormat="1" applyBorder="1" applyAlignment="1">
      <alignment horizontal="right"/>
    </xf>
    <xf numFmtId="0" fontId="87" fillId="0" borderId="102" xfId="20905" applyBorder="1">
      <alignment horizontal="center"/>
    </xf>
    <xf numFmtId="0" fontId="87" fillId="0" borderId="104" xfId="20905" applyBorder="1">
      <alignment horizontal="center"/>
    </xf>
    <xf numFmtId="195" fontId="0" fillId="0" borderId="102" xfId="0" applyNumberFormat="1" applyBorder="1" applyAlignment="1">
      <alignment horizontal="right"/>
    </xf>
    <xf numFmtId="201" fontId="0" fillId="0" borderId="102" xfId="0" applyNumberFormat="1" applyBorder="1" applyAlignment="1">
      <alignment horizontal="right"/>
    </xf>
    <xf numFmtId="198" fontId="0" fillId="0" borderId="102" xfId="0" applyNumberFormat="1" applyBorder="1" applyAlignment="1">
      <alignment horizontal="right"/>
    </xf>
    <xf numFmtId="206" fontId="0" fillId="0" borderId="102" xfId="0" applyNumberFormat="1" applyBorder="1" applyAlignment="1">
      <alignment horizontal="right"/>
    </xf>
    <xf numFmtId="199" fontId="0" fillId="0" borderId="102" xfId="0" applyNumberFormat="1" applyBorder="1" applyAlignment="1">
      <alignment horizontal="right"/>
    </xf>
    <xf numFmtId="197" fontId="0" fillId="0" borderId="102" xfId="0" applyNumberFormat="1" applyBorder="1" applyAlignment="1">
      <alignment horizontal="right"/>
    </xf>
    <xf numFmtId="203" fontId="0" fillId="0" borderId="102" xfId="0" applyNumberFormat="1" applyBorder="1" applyAlignment="1">
      <alignment horizontal="right"/>
    </xf>
    <xf numFmtId="202" fontId="0" fillId="0" borderId="102" xfId="0" applyNumberFormat="1" applyBorder="1" applyAlignment="1">
      <alignment horizontal="right"/>
    </xf>
    <xf numFmtId="205" fontId="0" fillId="0" borderId="102" xfId="0" applyNumberFormat="1" applyBorder="1" applyAlignment="1">
      <alignment horizontal="right"/>
    </xf>
    <xf numFmtId="195" fontId="0" fillId="0" borderId="104" xfId="0" applyNumberFormat="1" applyBorder="1" applyAlignment="1">
      <alignment horizontal="right"/>
    </xf>
    <xf numFmtId="167" fontId="0" fillId="0" borderId="104" xfId="0" applyNumberFormat="1" applyBorder="1" applyAlignment="1">
      <alignment horizontal="right"/>
    </xf>
    <xf numFmtId="0" fontId="0" fillId="0" borderId="104" xfId="0" applyBorder="1" applyAlignment="1">
      <alignment horizontal="right"/>
    </xf>
    <xf numFmtId="0" fontId="60" fillId="6" borderId="0" xfId="0" applyFont="1" applyFill="1" applyBorder="1" applyAlignment="1" applyProtection="1">
      <alignment horizontal="left" vertical="center"/>
    </xf>
    <xf numFmtId="49" fontId="87" fillId="33" borderId="0" xfId="10198">
      <alignment horizontal="center"/>
    </xf>
    <xf numFmtId="49" fontId="88" fillId="37" borderId="2" xfId="10209" quotePrefix="1" applyBorder="1" applyAlignment="1">
      <alignment horizontal="center"/>
    </xf>
    <xf numFmtId="49" fontId="148" fillId="37" borderId="2" xfId="10209" quotePrefix="1" applyFont="1" applyBorder="1" applyAlignment="1">
      <alignment horizontal="center"/>
    </xf>
    <xf numFmtId="49" fontId="88" fillId="37" borderId="0" xfId="10209" quotePrefix="1" applyBorder="1" applyAlignment="1">
      <alignment horizontal="center"/>
    </xf>
    <xf numFmtId="49" fontId="88" fillId="37" borderId="200" xfId="10209" quotePrefix="1" applyBorder="1" applyAlignment="1">
      <alignment horizontal="center"/>
    </xf>
    <xf numFmtId="49" fontId="88" fillId="37" borderId="252" xfId="10209" applyBorder="1">
      <alignment horizontal="center"/>
    </xf>
    <xf numFmtId="0" fontId="87" fillId="0" borderId="0" xfId="20909" applyBorder="1">
      <alignment horizontal="center"/>
    </xf>
    <xf numFmtId="49" fontId="88" fillId="37" borderId="253" xfId="10209" applyBorder="1">
      <alignment horizontal="center"/>
    </xf>
    <xf numFmtId="49" fontId="89" fillId="36" borderId="107" xfId="10208" quotePrefix="1" applyBorder="1" applyAlignment="1">
      <alignment horizontal="left"/>
    </xf>
    <xf numFmtId="49" fontId="89" fillId="36" borderId="108" xfId="10208" applyBorder="1" applyAlignment="1">
      <alignment horizontal="center"/>
    </xf>
    <xf numFmtId="49" fontId="89" fillId="36" borderId="108" xfId="10208" quotePrefix="1" applyBorder="1" applyAlignment="1">
      <alignment horizontal="center"/>
    </xf>
    <xf numFmtId="49" fontId="89" fillId="36" borderId="109" xfId="10208" quotePrefix="1" applyBorder="1" applyAlignment="1">
      <alignment horizontal="center"/>
    </xf>
    <xf numFmtId="49" fontId="89" fillId="37" borderId="101" xfId="10210" applyBorder="1" applyAlignment="1">
      <alignment horizontal="left"/>
    </xf>
    <xf numFmtId="49" fontId="148" fillId="37" borderId="110" xfId="10209" quotePrefix="1" applyFont="1" applyBorder="1" applyAlignment="1">
      <alignment horizontal="center"/>
    </xf>
    <xf numFmtId="49" fontId="87" fillId="37" borderId="101" xfId="10211" applyBorder="1" applyAlignment="1">
      <alignment horizontal="left"/>
    </xf>
    <xf numFmtId="49" fontId="88" fillId="37" borderId="102" xfId="10209" quotePrefix="1" applyBorder="1" applyAlignment="1">
      <alignment horizontal="center"/>
    </xf>
    <xf numFmtId="49" fontId="88" fillId="37" borderId="101" xfId="10209" applyBorder="1">
      <alignment horizontal="center"/>
    </xf>
    <xf numFmtId="49" fontId="88" fillId="37" borderId="111" xfId="10209" quotePrefix="1" applyBorder="1" applyAlignment="1">
      <alignment horizontal="center"/>
    </xf>
    <xf numFmtId="49" fontId="88" fillId="37" borderId="254" xfId="10209" applyBorder="1">
      <alignment horizontal="center"/>
    </xf>
    <xf numFmtId="0" fontId="87" fillId="0" borderId="112" xfId="20909" quotePrefix="1" applyBorder="1" applyAlignment="1">
      <alignment horizontal="left"/>
    </xf>
    <xf numFmtId="194" fontId="87" fillId="0" borderId="0" xfId="20909" applyNumberFormat="1" applyBorder="1" applyAlignment="1">
      <alignment horizontal="right"/>
    </xf>
    <xf numFmtId="0" fontId="87" fillId="0" borderId="0" xfId="20909" applyBorder="1" applyAlignment="1">
      <alignment horizontal="right"/>
    </xf>
    <xf numFmtId="195" fontId="87" fillId="0" borderId="0" xfId="20909" applyNumberFormat="1" applyBorder="1" applyAlignment="1">
      <alignment horizontal="right"/>
    </xf>
    <xf numFmtId="0" fontId="87" fillId="0" borderId="0" xfId="20909" applyNumberFormat="1" applyBorder="1" applyAlignment="1">
      <alignment horizontal="right"/>
    </xf>
    <xf numFmtId="213" fontId="87" fillId="0" borderId="0" xfId="20909" applyNumberFormat="1" applyBorder="1" applyAlignment="1">
      <alignment horizontal="right"/>
    </xf>
    <xf numFmtId="196" fontId="87" fillId="0" borderId="0" xfId="20909" applyNumberFormat="1" applyBorder="1" applyAlignment="1">
      <alignment horizontal="right"/>
    </xf>
    <xf numFmtId="169" fontId="87" fillId="0" borderId="0" xfId="20909" applyNumberFormat="1" applyBorder="1" applyAlignment="1">
      <alignment horizontal="right"/>
    </xf>
    <xf numFmtId="0" fontId="87" fillId="0" borderId="0" xfId="20909" quotePrefix="1" applyBorder="1" applyAlignment="1">
      <alignment horizontal="right"/>
    </xf>
    <xf numFmtId="0" fontId="87" fillId="0" borderId="102" xfId="20909" applyNumberFormat="1" applyBorder="1" applyAlignment="1">
      <alignment horizontal="right"/>
    </xf>
    <xf numFmtId="0" fontId="87" fillId="0" borderId="101" xfId="20909" quotePrefix="1" applyBorder="1" applyAlignment="1">
      <alignment horizontal="left"/>
    </xf>
    <xf numFmtId="199" fontId="87" fillId="0" borderId="0" xfId="20909" applyNumberFormat="1" applyBorder="1" applyAlignment="1">
      <alignment horizontal="right"/>
    </xf>
    <xf numFmtId="171" fontId="87" fillId="0" borderId="0" xfId="20909" applyNumberFormat="1" applyBorder="1" applyAlignment="1">
      <alignment horizontal="right"/>
    </xf>
    <xf numFmtId="166" fontId="87" fillId="0" borderId="0" xfId="20909" applyNumberFormat="1" applyBorder="1" applyAlignment="1">
      <alignment horizontal="right"/>
    </xf>
    <xf numFmtId="168" fontId="87" fillId="0" borderId="0" xfId="20909" applyNumberFormat="1" applyBorder="1" applyAlignment="1">
      <alignment horizontal="right"/>
    </xf>
    <xf numFmtId="167" fontId="87" fillId="0" borderId="0" xfId="20909" applyNumberFormat="1" applyBorder="1" applyAlignment="1">
      <alignment horizontal="right"/>
    </xf>
    <xf numFmtId="206" fontId="87" fillId="0" borderId="0" xfId="20909" applyNumberFormat="1" applyBorder="1" applyAlignment="1">
      <alignment horizontal="right"/>
    </xf>
    <xf numFmtId="200" fontId="87" fillId="0" borderId="0" xfId="20909" applyNumberFormat="1" applyBorder="1" applyAlignment="1">
      <alignment horizontal="right"/>
    </xf>
    <xf numFmtId="197" fontId="87" fillId="0" borderId="0" xfId="20909" applyNumberFormat="1" applyBorder="1" applyAlignment="1">
      <alignment horizontal="right"/>
    </xf>
    <xf numFmtId="201" fontId="87" fillId="0" borderId="0" xfId="20909" applyNumberFormat="1" applyBorder="1" applyAlignment="1">
      <alignment horizontal="right"/>
    </xf>
    <xf numFmtId="198" fontId="87" fillId="0" borderId="0" xfId="20909" applyNumberFormat="1" applyBorder="1" applyAlignment="1">
      <alignment horizontal="right"/>
    </xf>
    <xf numFmtId="167" fontId="87" fillId="0" borderId="102" xfId="20909" applyNumberFormat="1" applyBorder="1" applyAlignment="1">
      <alignment horizontal="right"/>
    </xf>
    <xf numFmtId="166" fontId="87" fillId="0" borderId="102" xfId="20909" applyNumberFormat="1" applyBorder="1" applyAlignment="1">
      <alignment horizontal="right"/>
    </xf>
    <xf numFmtId="49" fontId="88" fillId="37" borderId="260" xfId="10209" applyBorder="1" applyAlignment="1">
      <alignment horizontal="left"/>
    </xf>
    <xf numFmtId="0" fontId="87" fillId="0" borderId="102" xfId="20909" applyBorder="1" applyAlignment="1">
      <alignment horizontal="right"/>
    </xf>
    <xf numFmtId="202" fontId="87" fillId="0" borderId="0" xfId="20909" applyNumberFormat="1" applyBorder="1" applyAlignment="1">
      <alignment horizontal="right"/>
    </xf>
    <xf numFmtId="164" fontId="87" fillId="0" borderId="0" xfId="20909" applyNumberFormat="1" applyBorder="1" applyAlignment="1">
      <alignment horizontal="right"/>
    </xf>
    <xf numFmtId="165" fontId="87" fillId="0" borderId="0" xfId="20909" applyNumberFormat="1" applyBorder="1" applyAlignment="1">
      <alignment horizontal="right"/>
    </xf>
    <xf numFmtId="204" fontId="87" fillId="0" borderId="0" xfId="20909" applyNumberFormat="1" applyBorder="1" applyAlignment="1">
      <alignment horizontal="right"/>
    </xf>
    <xf numFmtId="1" fontId="87" fillId="0" borderId="0" xfId="20909" applyNumberFormat="1" applyBorder="1" applyAlignment="1">
      <alignment horizontal="right"/>
    </xf>
    <xf numFmtId="203" fontId="87" fillId="0" borderId="0" xfId="20909" applyNumberFormat="1" applyBorder="1" applyAlignment="1">
      <alignment horizontal="right"/>
    </xf>
    <xf numFmtId="2" fontId="87" fillId="0" borderId="0" xfId="20909" applyNumberFormat="1" applyBorder="1" applyAlignment="1">
      <alignment horizontal="right"/>
    </xf>
    <xf numFmtId="205" fontId="87" fillId="0" borderId="0" xfId="20909" applyNumberFormat="1" applyBorder="1" applyAlignment="1">
      <alignment horizontal="right"/>
    </xf>
    <xf numFmtId="1" fontId="87" fillId="0" borderId="102" xfId="20909" applyNumberFormat="1" applyBorder="1" applyAlignment="1">
      <alignment horizontal="right"/>
    </xf>
    <xf numFmtId="164" fontId="87" fillId="0" borderId="102" xfId="20909" applyNumberFormat="1" applyBorder="1" applyAlignment="1">
      <alignment horizontal="right"/>
    </xf>
    <xf numFmtId="0" fontId="87" fillId="0" borderId="103" xfId="20909" quotePrefix="1" applyBorder="1" applyAlignment="1">
      <alignment horizontal="left"/>
    </xf>
    <xf numFmtId="0" fontId="87" fillId="0" borderId="115" xfId="20909" applyBorder="1" applyAlignment="1">
      <alignment horizontal="right"/>
    </xf>
    <xf numFmtId="0" fontId="87" fillId="0" borderId="115" xfId="20909" applyNumberFormat="1" applyBorder="1" applyAlignment="1">
      <alignment horizontal="right"/>
    </xf>
    <xf numFmtId="195" fontId="87" fillId="0" borderId="115" xfId="20909" applyNumberFormat="1" applyBorder="1" applyAlignment="1">
      <alignment horizontal="right"/>
    </xf>
    <xf numFmtId="0" fontId="87" fillId="0" borderId="115" xfId="20909" quotePrefix="1" applyBorder="1" applyAlignment="1">
      <alignment horizontal="right"/>
    </xf>
    <xf numFmtId="0" fontId="87" fillId="0" borderId="104" xfId="20909" applyNumberFormat="1" applyBorder="1" applyAlignment="1">
      <alignment horizontal="right"/>
    </xf>
    <xf numFmtId="49" fontId="88" fillId="37" borderId="253" xfId="10209" applyBorder="1" applyAlignment="1">
      <alignment horizontal="left"/>
    </xf>
    <xf numFmtId="0" fontId="87" fillId="0" borderId="113" xfId="20909" quotePrefix="1" applyBorder="1" applyAlignment="1">
      <alignment horizontal="left"/>
    </xf>
    <xf numFmtId="0" fontId="87" fillId="0" borderId="52" xfId="20909" quotePrefix="1" applyBorder="1" applyAlignment="1">
      <alignment horizontal="left"/>
    </xf>
    <xf numFmtId="49" fontId="88" fillId="37" borderId="116" xfId="10209" applyBorder="1">
      <alignment horizontal="center"/>
    </xf>
    <xf numFmtId="0" fontId="87" fillId="0" borderId="0" xfId="20909" quotePrefix="1" applyNumberFormat="1" applyBorder="1" applyAlignment="1">
      <alignment horizontal="right"/>
    </xf>
    <xf numFmtId="226" fontId="87" fillId="0" borderId="0" xfId="20909" applyNumberFormat="1" applyBorder="1" applyAlignment="1">
      <alignment horizontal="right"/>
    </xf>
    <xf numFmtId="168" fontId="87" fillId="0" borderId="102" xfId="20909" applyNumberFormat="1" applyBorder="1" applyAlignment="1">
      <alignment horizontal="right"/>
    </xf>
    <xf numFmtId="165" fontId="87" fillId="0" borderId="102" xfId="20909" applyNumberFormat="1" applyBorder="1" applyAlignment="1">
      <alignment horizontal="right"/>
    </xf>
    <xf numFmtId="0" fontId="87" fillId="0" borderId="114" xfId="20909" quotePrefix="1" applyBorder="1" applyAlignment="1">
      <alignment horizontal="left"/>
    </xf>
    <xf numFmtId="165" fontId="87" fillId="0" borderId="115" xfId="20909" applyNumberFormat="1" applyBorder="1" applyAlignment="1">
      <alignment horizontal="right"/>
    </xf>
    <xf numFmtId="2" fontId="87" fillId="0" borderId="115" xfId="20909" applyNumberFormat="1" applyBorder="1" applyAlignment="1">
      <alignment horizontal="right"/>
    </xf>
    <xf numFmtId="167" fontId="87" fillId="0" borderId="115" xfId="20909" applyNumberFormat="1" applyBorder="1" applyAlignment="1">
      <alignment horizontal="right"/>
    </xf>
    <xf numFmtId="166" fontId="87" fillId="0" borderId="115" xfId="20909" applyNumberFormat="1" applyBorder="1" applyAlignment="1">
      <alignment horizontal="right"/>
    </xf>
    <xf numFmtId="165" fontId="87" fillId="0" borderId="104" xfId="20909" applyNumberFormat="1" applyBorder="1" applyAlignment="1">
      <alignment horizontal="right"/>
    </xf>
    <xf numFmtId="0" fontId="87" fillId="0" borderId="102" xfId="20909" applyBorder="1">
      <alignment horizontal="center"/>
    </xf>
    <xf numFmtId="0" fontId="87" fillId="0" borderId="115" xfId="20909" applyBorder="1">
      <alignment horizontal="center"/>
    </xf>
    <xf numFmtId="0" fontId="87" fillId="0" borderId="104" xfId="20909" applyBorder="1">
      <alignment horizontal="center"/>
    </xf>
    <xf numFmtId="0" fontId="23" fillId="6" borderId="0" xfId="0" applyFont="1" applyFill="1" applyBorder="1" applyAlignment="1">
      <alignment horizontal="center" vertical="center" wrapText="1"/>
    </xf>
    <xf numFmtId="49" fontId="24" fillId="6" borderId="0" xfId="0" applyNumberFormat="1" applyFont="1" applyFill="1" applyBorder="1" applyAlignment="1">
      <alignment horizontal="center" vertical="center"/>
    </xf>
    <xf numFmtId="11" fontId="191" fillId="0" borderId="5" xfId="0" applyNumberFormat="1" applyFont="1" applyBorder="1" applyAlignment="1">
      <alignment horizontal="left" vertical="top" wrapText="1"/>
    </xf>
    <xf numFmtId="0" fontId="40" fillId="4" borderId="0" xfId="0" applyFont="1" applyFill="1" applyAlignment="1">
      <alignment horizontal="center" vertical="center"/>
    </xf>
    <xf numFmtId="0" fontId="140" fillId="4" borderId="37" xfId="0" applyFont="1" applyFill="1" applyBorder="1" applyAlignment="1">
      <alignment horizontal="center" vertical="center" wrapText="1"/>
    </xf>
    <xf numFmtId="0" fontId="140" fillId="4" borderId="53" xfId="0" applyFont="1" applyFill="1" applyBorder="1" applyAlignment="1">
      <alignment horizontal="center" vertical="center" wrapText="1"/>
    </xf>
    <xf numFmtId="0" fontId="140" fillId="4" borderId="39" xfId="0" applyFont="1" applyFill="1" applyBorder="1" applyAlignment="1">
      <alignment horizontal="center" vertical="center" wrapText="1"/>
    </xf>
    <xf numFmtId="2" fontId="140" fillId="0" borderId="65" xfId="0" applyNumberFormat="1" applyFont="1" applyBorder="1" applyAlignment="1">
      <alignment horizontal="center" vertical="center" wrapText="1"/>
    </xf>
    <xf numFmtId="2" fontId="140" fillId="0" borderId="53" xfId="0" applyNumberFormat="1" applyFont="1" applyBorder="1" applyAlignment="1">
      <alignment horizontal="center" vertical="center" wrapText="1"/>
    </xf>
    <xf numFmtId="2" fontId="140" fillId="0" borderId="37" xfId="0" applyNumberFormat="1" applyFont="1" applyBorder="1" applyAlignment="1">
      <alignment horizontal="center" vertical="center"/>
    </xf>
    <xf numFmtId="164" fontId="45" fillId="6" borderId="0" xfId="63" applyNumberFormat="1" applyFont="1" applyFill="1"/>
    <xf numFmtId="0" fontId="33" fillId="0" borderId="0" xfId="0" applyFont="1" applyFill="1" applyAlignment="1">
      <alignment horizontal="left" vertical="center"/>
    </xf>
    <xf numFmtId="0" fontId="33" fillId="0" borderId="0" xfId="0" applyFont="1" applyFill="1" applyAlignment="1">
      <alignment vertical="center"/>
    </xf>
    <xf numFmtId="0" fontId="33" fillId="0" borderId="0" xfId="0" applyFont="1" applyFill="1" applyAlignment="1">
      <alignment horizontal="center" vertical="center"/>
    </xf>
    <xf numFmtId="0" fontId="40" fillId="0" borderId="0" xfId="0" applyFont="1" applyFill="1" applyAlignment="1">
      <alignment horizontal="center" vertical="center"/>
    </xf>
    <xf numFmtId="4" fontId="45" fillId="0" borderId="130" xfId="10643" applyNumberFormat="1" applyFont="1" applyFill="1" applyBorder="1" applyAlignment="1">
      <alignment horizontal="center" vertical="center"/>
    </xf>
    <xf numFmtId="0" fontId="140" fillId="0" borderId="63" xfId="0" applyFont="1" applyFill="1" applyBorder="1" applyAlignment="1">
      <alignment horizontal="left" vertical="center" wrapText="1"/>
    </xf>
    <xf numFmtId="0" fontId="33" fillId="4" borderId="65" xfId="0" applyFont="1" applyFill="1" applyBorder="1" applyAlignment="1">
      <alignment horizontal="center" vertical="center" wrapText="1"/>
    </xf>
    <xf numFmtId="14" fontId="45" fillId="6" borderId="239" xfId="1" applyNumberFormat="1" applyFont="1" applyFill="1" applyBorder="1" applyAlignment="1">
      <alignment horizontal="center" vertical="center" wrapText="1"/>
    </xf>
    <xf numFmtId="0" fontId="53" fillId="6" borderId="239" xfId="10642" applyFont="1" applyFill="1" applyBorder="1" applyAlignment="1">
      <alignment horizontal="center" vertical="center" wrapText="1"/>
    </xf>
    <xf numFmtId="14" fontId="45" fillId="0" borderId="38" xfId="1" applyNumberFormat="1" applyFont="1" applyBorder="1" applyAlignment="1">
      <alignment horizontal="center" vertical="center" wrapText="1"/>
    </xf>
    <xf numFmtId="0" fontId="53" fillId="0" borderId="38" xfId="10642" applyFont="1" applyBorder="1" applyAlignment="1">
      <alignment horizontal="center" vertical="center" wrapText="1"/>
    </xf>
    <xf numFmtId="0" fontId="33" fillId="0" borderId="3" xfId="1" applyFont="1" applyFill="1" applyBorder="1" applyAlignment="1">
      <alignment horizontal="center" vertical="center"/>
    </xf>
    <xf numFmtId="0" fontId="34" fillId="6" borderId="0" xfId="1" applyFont="1" applyFill="1" applyBorder="1" applyAlignment="1">
      <alignment horizontal="center" vertical="center"/>
    </xf>
    <xf numFmtId="0" fontId="22" fillId="6" borderId="0" xfId="1" applyFont="1" applyFill="1" applyBorder="1" applyAlignment="1">
      <alignment horizontal="center" vertical="center"/>
    </xf>
    <xf numFmtId="0" fontId="20" fillId="6" borderId="234" xfId="0" applyFont="1" applyFill="1" applyBorder="1"/>
    <xf numFmtId="0" fontId="20" fillId="6" borderId="240" xfId="0" applyFont="1" applyFill="1" applyBorder="1"/>
    <xf numFmtId="164" fontId="33" fillId="0" borderId="0" xfId="0" applyNumberFormat="1" applyFont="1"/>
    <xf numFmtId="193" fontId="19" fillId="0" borderId="0" xfId="1" applyNumberFormat="1"/>
    <xf numFmtId="0" fontId="140" fillId="4" borderId="230" xfId="0" applyFont="1" applyFill="1" applyBorder="1" applyAlignment="1">
      <alignment horizontal="center" vertical="center" wrapText="1"/>
    </xf>
    <xf numFmtId="0" fontId="140" fillId="4" borderId="53" xfId="0" applyFont="1" applyFill="1" applyBorder="1" applyAlignment="1">
      <alignment horizontal="center" vertical="center" wrapText="1"/>
    </xf>
    <xf numFmtId="0" fontId="0" fillId="0" borderId="0" xfId="0"/>
    <xf numFmtId="0" fontId="0" fillId="6" borderId="1" xfId="0" applyFill="1" applyBorder="1"/>
    <xf numFmtId="0" fontId="0" fillId="6" borderId="2" xfId="0" applyFill="1" applyBorder="1"/>
    <xf numFmtId="0" fontId="0" fillId="6" borderId="3" xfId="0" applyFill="1" applyBorder="1"/>
    <xf numFmtId="0" fontId="20" fillId="6" borderId="4" xfId="1" applyFont="1" applyFill="1" applyBorder="1"/>
    <xf numFmtId="0" fontId="21" fillId="6" borderId="5" xfId="1" applyFont="1" applyFill="1" applyBorder="1" applyAlignment="1">
      <alignment vertical="center"/>
    </xf>
    <xf numFmtId="0" fontId="20" fillId="6" borderId="197" xfId="1" applyFont="1" applyFill="1" applyBorder="1"/>
    <xf numFmtId="0" fontId="21" fillId="6" borderId="198" xfId="1" applyFont="1" applyFill="1" applyBorder="1" applyAlignment="1">
      <alignment horizontal="center" vertical="center"/>
    </xf>
    <xf numFmtId="0" fontId="21" fillId="6" borderId="199" xfId="1" applyFont="1" applyFill="1" applyBorder="1" applyAlignment="1">
      <alignment horizontal="center" vertical="center"/>
    </xf>
    <xf numFmtId="0" fontId="0" fillId="6" borderId="4" xfId="0" applyFill="1" applyBorder="1"/>
    <xf numFmtId="0" fontId="0" fillId="6" borderId="0" xfId="0" applyFill="1" applyBorder="1"/>
    <xf numFmtId="0" fontId="60" fillId="6" borderId="0" xfId="0" applyFont="1" applyFill="1" applyBorder="1"/>
    <xf numFmtId="0" fontId="19" fillId="6" borderId="0" xfId="0" applyFont="1" applyFill="1" applyBorder="1" applyAlignment="1">
      <alignment horizontal="center"/>
    </xf>
    <xf numFmtId="0" fontId="19" fillId="6" borderId="0" xfId="0" applyFont="1" applyFill="1" applyBorder="1"/>
    <xf numFmtId="0" fontId="0" fillId="6" borderId="0" xfId="0" applyFill="1" applyBorder="1" applyAlignment="1">
      <alignment horizontal="center"/>
    </xf>
    <xf numFmtId="0" fontId="0" fillId="6" borderId="5" xfId="0" applyFill="1" applyBorder="1"/>
    <xf numFmtId="0" fontId="23" fillId="4" borderId="11" xfId="0" applyFont="1" applyFill="1" applyBorder="1" applyAlignment="1">
      <alignment vertical="center" wrapText="1"/>
    </xf>
    <xf numFmtId="0" fontId="24" fillId="4" borderId="10" xfId="0" applyFont="1" applyFill="1" applyBorder="1" applyAlignment="1">
      <alignment horizontal="center" vertical="center"/>
    </xf>
    <xf numFmtId="0" fontId="60" fillId="6" borderId="0" xfId="0" applyFont="1" applyFill="1" applyBorder="1" applyAlignment="1">
      <alignment horizontal="centerContinuous"/>
    </xf>
    <xf numFmtId="0" fontId="24" fillId="6" borderId="0" xfId="0" applyFont="1" applyFill="1" applyBorder="1" applyAlignment="1">
      <alignment horizontal="center"/>
    </xf>
    <xf numFmtId="11" fontId="0" fillId="6" borderId="0" xfId="0" applyNumberFormat="1" applyFill="1" applyBorder="1"/>
    <xf numFmtId="0" fontId="60" fillId="0" borderId="4" xfId="0" applyFont="1" applyBorder="1" applyAlignment="1">
      <alignment horizontal="left"/>
    </xf>
    <xf numFmtId="209" fontId="60" fillId="0" borderId="5" xfId="0" applyNumberFormat="1" applyFont="1" applyBorder="1" applyAlignment="1" applyProtection="1">
      <alignment horizontal="center"/>
    </xf>
    <xf numFmtId="209" fontId="60" fillId="6" borderId="0" xfId="0" applyNumberFormat="1" applyFont="1" applyFill="1" applyBorder="1" applyAlignment="1" applyProtection="1">
      <alignment horizontal="center"/>
    </xf>
    <xf numFmtId="0" fontId="23" fillId="6" borderId="0" xfId="0" applyFont="1" applyFill="1" applyBorder="1" applyAlignment="1"/>
    <xf numFmtId="0" fontId="190" fillId="0" borderId="1" xfId="0" applyFont="1" applyBorder="1" applyAlignment="1">
      <alignment horizontal="left" vertical="top" wrapText="1"/>
    </xf>
    <xf numFmtId="210" fontId="191" fillId="0" borderId="5" xfId="0" applyNumberFormat="1" applyFont="1" applyBorder="1" applyAlignment="1">
      <alignment horizontal="left" vertical="top" wrapText="1"/>
    </xf>
    <xf numFmtId="0" fontId="186" fillId="6" borderId="0" xfId="0" applyFont="1" applyFill="1" applyBorder="1" applyAlignment="1">
      <alignment horizontal="left" vertical="top" wrapText="1"/>
    </xf>
    <xf numFmtId="0" fontId="186" fillId="6" borderId="5" xfId="0" applyFont="1" applyFill="1" applyBorder="1" applyAlignment="1">
      <alignment horizontal="left" vertical="top" wrapText="1"/>
    </xf>
    <xf numFmtId="0" fontId="186" fillId="0" borderId="0" xfId="0" applyFont="1" applyBorder="1" applyAlignment="1">
      <alignment horizontal="left" vertical="top" wrapText="1"/>
    </xf>
    <xf numFmtId="0" fontId="185" fillId="0" borderId="0" xfId="0" applyFont="1" applyAlignment="1">
      <alignment vertical="top" wrapText="1"/>
    </xf>
    <xf numFmtId="0" fontId="190" fillId="0" borderId="4" xfId="0" applyFont="1" applyBorder="1" applyAlignment="1">
      <alignment horizontal="left" vertical="top" wrapText="1"/>
    </xf>
    <xf numFmtId="210" fontId="184" fillId="6" borderId="0" xfId="0" applyNumberFormat="1" applyFont="1" applyFill="1" applyBorder="1" applyAlignment="1">
      <alignment horizontal="left" vertical="top" wrapText="1"/>
    </xf>
    <xf numFmtId="210" fontId="184" fillId="6" borderId="5" xfId="0" applyNumberFormat="1" applyFont="1" applyFill="1" applyBorder="1" applyAlignment="1">
      <alignment horizontal="left" vertical="top" wrapText="1"/>
    </xf>
    <xf numFmtId="210" fontId="184" fillId="0" borderId="0" xfId="0" applyNumberFormat="1" applyFont="1" applyBorder="1" applyAlignment="1">
      <alignment horizontal="left" vertical="top" wrapText="1"/>
    </xf>
    <xf numFmtId="211" fontId="184" fillId="0" borderId="0" xfId="0" applyNumberFormat="1" applyFont="1" applyBorder="1" applyAlignment="1">
      <alignment horizontal="left" vertical="top" wrapText="1"/>
    </xf>
    <xf numFmtId="0" fontId="23" fillId="6" borderId="0" xfId="0" applyFont="1" applyFill="1" applyBorder="1" applyAlignment="1">
      <alignment horizontal="center"/>
    </xf>
    <xf numFmtId="2" fontId="0" fillId="6" borderId="0" xfId="0" applyNumberFormat="1" applyFill="1" applyBorder="1" applyAlignment="1">
      <alignment horizontal="center"/>
    </xf>
    <xf numFmtId="0" fontId="60" fillId="0" borderId="4" xfId="0" applyFont="1" applyFill="1" applyBorder="1" applyAlignment="1">
      <alignment horizontal="left"/>
    </xf>
    <xf numFmtId="209" fontId="60" fillId="0" borderId="5" xfId="0" applyNumberFormat="1" applyFont="1" applyFill="1" applyBorder="1" applyAlignment="1" applyProtection="1">
      <alignment horizontal="center"/>
    </xf>
    <xf numFmtId="0" fontId="60" fillId="81" borderId="4" xfId="0" applyFont="1" applyFill="1" applyBorder="1" applyAlignment="1">
      <alignment horizontal="left"/>
    </xf>
    <xf numFmtId="209" fontId="60" fillId="81" borderId="5" xfId="0" applyNumberFormat="1" applyFont="1" applyFill="1" applyBorder="1" applyAlignment="1" applyProtection="1">
      <alignment horizontal="center"/>
    </xf>
    <xf numFmtId="0" fontId="60" fillId="0" borderId="4" xfId="0" applyFont="1" applyBorder="1" applyAlignment="1" applyProtection="1">
      <alignment horizontal="left" vertical="center"/>
    </xf>
    <xf numFmtId="0" fontId="60" fillId="81" borderId="4" xfId="0" applyFont="1" applyFill="1" applyBorder="1" applyAlignment="1" applyProtection="1">
      <alignment horizontal="left" vertical="center"/>
    </xf>
    <xf numFmtId="0" fontId="190" fillId="81" borderId="4" xfId="0" applyFont="1" applyFill="1" applyBorder="1" applyAlignment="1">
      <alignment horizontal="left" vertical="top" wrapText="1"/>
    </xf>
    <xf numFmtId="210" fontId="191" fillId="81" borderId="5" xfId="0" applyNumberFormat="1" applyFont="1" applyFill="1" applyBorder="1" applyAlignment="1">
      <alignment horizontal="left" vertical="top" wrapText="1"/>
    </xf>
    <xf numFmtId="0" fontId="60" fillId="0" borderId="4" xfId="0" applyFont="1" applyFill="1" applyBorder="1" applyAlignment="1" applyProtection="1">
      <alignment horizontal="left" vertical="center"/>
    </xf>
    <xf numFmtId="0" fontId="190" fillId="76" borderId="4" xfId="0" applyFont="1" applyFill="1" applyBorder="1" applyAlignment="1">
      <alignment horizontal="left" vertical="top" wrapText="1"/>
    </xf>
    <xf numFmtId="210" fontId="191" fillId="76" borderId="5" xfId="0" applyNumberFormat="1" applyFont="1" applyFill="1" applyBorder="1" applyAlignment="1">
      <alignment horizontal="left" vertical="top" wrapText="1"/>
    </xf>
    <xf numFmtId="0" fontId="190" fillId="0" borderId="4" xfId="0" applyFont="1" applyFill="1" applyBorder="1" applyAlignment="1">
      <alignment horizontal="left" vertical="top" wrapText="1"/>
    </xf>
    <xf numFmtId="210" fontId="191" fillId="0" borderId="5" xfId="0" applyNumberFormat="1" applyFont="1" applyFill="1" applyBorder="1" applyAlignment="1">
      <alignment horizontal="left" vertical="top" wrapText="1"/>
    </xf>
    <xf numFmtId="0" fontId="60" fillId="76" borderId="4" xfId="0" applyFont="1" applyFill="1" applyBorder="1" applyAlignment="1" applyProtection="1">
      <alignment horizontal="left" vertical="center"/>
    </xf>
    <xf numFmtId="209" fontId="60" fillId="76" borderId="5" xfId="0" applyNumberFormat="1" applyFont="1" applyFill="1" applyBorder="1" applyAlignment="1" applyProtection="1">
      <alignment horizontal="center"/>
    </xf>
    <xf numFmtId="0" fontId="190" fillId="78" borderId="4" xfId="0" applyFont="1" applyFill="1" applyBorder="1" applyAlignment="1">
      <alignment horizontal="left" vertical="top" wrapText="1"/>
    </xf>
    <xf numFmtId="210" fontId="191" fillId="78" borderId="5" xfId="0" applyNumberFormat="1" applyFont="1" applyFill="1" applyBorder="1" applyAlignment="1">
      <alignment horizontal="left" vertical="top" wrapText="1"/>
    </xf>
    <xf numFmtId="0" fontId="190" fillId="6" borderId="4" xfId="0" applyFont="1" applyFill="1" applyBorder="1" applyAlignment="1">
      <alignment horizontal="left" vertical="top" wrapText="1"/>
    </xf>
    <xf numFmtId="210" fontId="191" fillId="6" borderId="5" xfId="0" applyNumberFormat="1" applyFont="1" applyFill="1" applyBorder="1" applyAlignment="1">
      <alignment horizontal="left" vertical="top" wrapText="1"/>
    </xf>
    <xf numFmtId="0" fontId="190" fillId="77" borderId="4" xfId="0" applyFont="1" applyFill="1" applyBorder="1" applyAlignment="1">
      <alignment horizontal="left" vertical="top" wrapText="1"/>
    </xf>
    <xf numFmtId="210" fontId="191" fillId="77" borderId="5" xfId="0" applyNumberFormat="1" applyFont="1" applyFill="1" applyBorder="1" applyAlignment="1">
      <alignment horizontal="left" vertical="top" wrapText="1"/>
    </xf>
    <xf numFmtId="0" fontId="190" fillId="80" borderId="4" xfId="0" applyFont="1" applyFill="1" applyBorder="1" applyAlignment="1">
      <alignment horizontal="left" vertical="top" wrapText="1"/>
    </xf>
    <xf numFmtId="210" fontId="191" fillId="80" borderId="5" xfId="0" applyNumberFormat="1" applyFont="1" applyFill="1" applyBorder="1" applyAlignment="1">
      <alignment horizontal="left" vertical="top" wrapText="1"/>
    </xf>
    <xf numFmtId="0" fontId="190" fillId="79" borderId="4" xfId="0" applyFont="1" applyFill="1" applyBorder="1" applyAlignment="1">
      <alignment horizontal="left" vertical="top" wrapText="1"/>
    </xf>
    <xf numFmtId="210" fontId="191" fillId="79" borderId="5" xfId="0" applyNumberFormat="1" applyFont="1" applyFill="1" applyBorder="1" applyAlignment="1">
      <alignment horizontal="left" vertical="top" wrapText="1"/>
    </xf>
    <xf numFmtId="0" fontId="188" fillId="0" borderId="4" xfId="0" applyFont="1" applyBorder="1" applyAlignment="1">
      <alignment horizontal="left" vertical="top" wrapText="1"/>
    </xf>
    <xf numFmtId="0" fontId="60" fillId="78" borderId="4" xfId="0" applyFont="1" applyFill="1" applyBorder="1" applyAlignment="1" applyProtection="1">
      <alignment horizontal="left" vertical="center"/>
    </xf>
    <xf numFmtId="209" fontId="60" fillId="78" borderId="5" xfId="0" applyNumberFormat="1" applyFont="1" applyFill="1" applyBorder="1" applyAlignment="1" applyProtection="1">
      <alignment horizontal="center"/>
    </xf>
    <xf numFmtId="0" fontId="192" fillId="0" borderId="21" xfId="0" applyFont="1" applyBorder="1" applyAlignment="1">
      <alignment horizontal="left" vertical="top" wrapText="1"/>
    </xf>
    <xf numFmtId="210" fontId="191" fillId="0" borderId="22" xfId="0" applyNumberFormat="1" applyFont="1" applyBorder="1" applyAlignment="1">
      <alignment horizontal="left" vertical="top" wrapText="1"/>
    </xf>
    <xf numFmtId="0" fontId="188" fillId="6" borderId="0" xfId="0" applyFont="1" applyFill="1" applyBorder="1" applyAlignment="1">
      <alignment horizontal="left" vertical="top" wrapText="1"/>
    </xf>
    <xf numFmtId="210" fontId="191" fillId="6" borderId="0" xfId="0" applyNumberFormat="1" applyFont="1" applyFill="1" applyBorder="1" applyAlignment="1">
      <alignment horizontal="left" vertical="top" wrapText="1"/>
    </xf>
    <xf numFmtId="0" fontId="60" fillId="6" borderId="4" xfId="0" applyFont="1" applyFill="1" applyBorder="1" applyAlignment="1" applyProtection="1">
      <alignment horizontal="left" vertical="center"/>
    </xf>
    <xf numFmtId="209" fontId="60" fillId="6" borderId="5" xfId="0" applyNumberFormat="1" applyFont="1" applyFill="1" applyBorder="1" applyAlignment="1" applyProtection="1">
      <alignment horizontal="center"/>
    </xf>
    <xf numFmtId="0" fontId="189" fillId="0" borderId="37" xfId="0" applyFont="1" applyFill="1" applyBorder="1" applyAlignment="1">
      <alignment horizontal="left" vertical="top" wrapText="1"/>
    </xf>
    <xf numFmtId="211" fontId="36" fillId="0" borderId="39" xfId="0" applyNumberFormat="1" applyFont="1" applyFill="1" applyBorder="1" applyAlignment="1">
      <alignment horizontal="center" vertical="top" wrapText="1"/>
    </xf>
    <xf numFmtId="0" fontId="189" fillId="0" borderId="257" xfId="0" applyFont="1" applyFill="1" applyBorder="1" applyAlignment="1">
      <alignment horizontal="left" vertical="top" wrapText="1"/>
    </xf>
    <xf numFmtId="210" fontId="36" fillId="0" borderId="258" xfId="0" applyNumberFormat="1" applyFont="1" applyFill="1" applyBorder="1" applyAlignment="1">
      <alignment horizontal="center" vertical="top" wrapText="1"/>
    </xf>
    <xf numFmtId="0" fontId="188" fillId="4" borderId="37" xfId="0" applyFont="1" applyFill="1" applyBorder="1" applyAlignment="1">
      <alignment horizontal="left" vertical="top" wrapText="1"/>
    </xf>
    <xf numFmtId="222" fontId="191" fillId="4" borderId="39" xfId="0" applyNumberFormat="1" applyFont="1" applyFill="1" applyBorder="1" applyAlignment="1">
      <alignment horizontal="center" vertical="top" wrapText="1"/>
    </xf>
    <xf numFmtId="0" fontId="60" fillId="77" borderId="4" xfId="0" applyFont="1" applyFill="1" applyBorder="1" applyAlignment="1" applyProtection="1">
      <alignment horizontal="left" vertical="center"/>
    </xf>
    <xf numFmtId="209" fontId="60" fillId="77" borderId="5" xfId="0" applyNumberFormat="1" applyFont="1" applyFill="1" applyBorder="1" applyAlignment="1" applyProtection="1">
      <alignment horizontal="center"/>
    </xf>
    <xf numFmtId="0" fontId="188" fillId="4" borderId="257" xfId="0" applyFont="1" applyFill="1" applyBorder="1" applyAlignment="1">
      <alignment horizontal="left" vertical="top" wrapText="1"/>
    </xf>
    <xf numFmtId="210" fontId="191" fillId="4" borderId="258" xfId="0" applyNumberFormat="1" applyFont="1" applyFill="1" applyBorder="1" applyAlignment="1">
      <alignment horizontal="center" vertical="top" wrapText="1"/>
    </xf>
    <xf numFmtId="0" fontId="60" fillId="80" borderId="4" xfId="0" applyFont="1" applyFill="1" applyBorder="1" applyAlignment="1" applyProtection="1">
      <alignment horizontal="left" vertical="center"/>
    </xf>
    <xf numFmtId="209" fontId="60" fillId="80" borderId="5" xfId="0" applyNumberFormat="1" applyFont="1" applyFill="1" applyBorder="1" applyAlignment="1" applyProtection="1">
      <alignment horizontal="center"/>
    </xf>
    <xf numFmtId="0" fontId="60" fillId="79" borderId="4" xfId="0" applyFont="1" applyFill="1" applyBorder="1" applyAlignment="1" applyProtection="1">
      <alignment horizontal="left" vertical="center"/>
    </xf>
    <xf numFmtId="209" fontId="60" fillId="79" borderId="5" xfId="0" applyNumberFormat="1" applyFont="1" applyFill="1" applyBorder="1" applyAlignment="1" applyProtection="1">
      <alignment horizontal="center"/>
    </xf>
    <xf numFmtId="0" fontId="189" fillId="6" borderId="0" xfId="0" applyFont="1" applyFill="1" applyBorder="1" applyAlignment="1">
      <alignment horizontal="left" vertical="top" wrapText="1"/>
    </xf>
    <xf numFmtId="0" fontId="185" fillId="6" borderId="0" xfId="0" applyFont="1" applyFill="1" applyBorder="1" applyAlignment="1">
      <alignment vertical="top" wrapText="1"/>
    </xf>
    <xf numFmtId="0" fontId="185" fillId="6" borderId="5" xfId="0" applyFont="1" applyFill="1" applyBorder="1" applyAlignment="1">
      <alignment vertical="top" wrapText="1"/>
    </xf>
    <xf numFmtId="0" fontId="187" fillId="6" borderId="0" xfId="0" applyFont="1" applyFill="1" applyBorder="1" applyAlignment="1">
      <alignment horizontal="left" vertical="top"/>
    </xf>
    <xf numFmtId="165" fontId="0" fillId="6" borderId="0" xfId="0" applyNumberFormat="1" applyFill="1" applyBorder="1" applyAlignment="1">
      <alignment horizontal="center"/>
    </xf>
    <xf numFmtId="0" fontId="0" fillId="6" borderId="197" xfId="0" applyFill="1" applyBorder="1"/>
    <xf numFmtId="0" fontId="60" fillId="0" borderId="21" xfId="0" applyFont="1" applyBorder="1"/>
    <xf numFmtId="209" fontId="60" fillId="0" borderId="22" xfId="0" applyNumberFormat="1" applyFont="1" applyBorder="1" applyAlignment="1" applyProtection="1">
      <alignment horizontal="center"/>
    </xf>
    <xf numFmtId="209" fontId="60" fillId="6" borderId="198" xfId="0" applyNumberFormat="1" applyFont="1" applyFill="1" applyBorder="1" applyAlignment="1" applyProtection="1">
      <alignment horizontal="center"/>
    </xf>
    <xf numFmtId="0" fontId="0" fillId="6" borderId="198" xfId="0" applyFill="1" applyBorder="1"/>
    <xf numFmtId="165" fontId="0" fillId="6" borderId="198" xfId="0" applyNumberFormat="1" applyFill="1" applyBorder="1" applyAlignment="1">
      <alignment horizontal="center"/>
    </xf>
    <xf numFmtId="11" fontId="0" fillId="6" borderId="198" xfId="0" applyNumberFormat="1" applyFill="1" applyBorder="1"/>
    <xf numFmtId="0" fontId="0" fillId="6" borderId="199" xfId="0" applyFill="1" applyBorder="1"/>
    <xf numFmtId="0" fontId="60" fillId="0" borderId="0" xfId="0" applyFont="1" applyBorder="1"/>
    <xf numFmtId="209" fontId="60" fillId="0" borderId="0" xfId="0" applyNumberFormat="1" applyFont="1" applyBorder="1" applyAlignment="1" applyProtection="1">
      <alignment horizontal="center"/>
    </xf>
    <xf numFmtId="165" fontId="0" fillId="0" borderId="0" xfId="0" applyNumberFormat="1" applyFill="1" applyBorder="1" applyAlignment="1">
      <alignment horizontal="center"/>
    </xf>
    <xf numFmtId="11" fontId="0" fillId="0" borderId="0" xfId="0" applyNumberFormat="1"/>
    <xf numFmtId="0" fontId="60" fillId="0" borderId="0" xfId="0" applyFont="1"/>
    <xf numFmtId="165" fontId="0" fillId="0" borderId="0" xfId="0" applyNumberFormat="1"/>
    <xf numFmtId="193" fontId="45" fillId="0" borderId="20" xfId="63" applyNumberFormat="1" applyFont="1" applyFill="1" applyBorder="1" applyAlignment="1">
      <alignment horizontal="center" vertical="center" wrapText="1"/>
    </xf>
    <xf numFmtId="193" fontId="45" fillId="0" borderId="18" xfId="63" applyNumberFormat="1" applyFont="1" applyFill="1" applyBorder="1" applyAlignment="1">
      <alignment horizontal="center" vertical="center" wrapText="1"/>
    </xf>
    <xf numFmtId="49" fontId="87" fillId="33" borderId="0" xfId="10198">
      <alignment horizontal="center"/>
    </xf>
    <xf numFmtId="49" fontId="148" fillId="37" borderId="2" xfId="10209" quotePrefix="1" applyFont="1" applyBorder="1" applyAlignment="1">
      <alignment horizontal="center"/>
    </xf>
    <xf numFmtId="49" fontId="88" fillId="37" borderId="0" xfId="10209" quotePrefix="1" applyBorder="1" applyAlignment="1">
      <alignment horizontal="center"/>
    </xf>
    <xf numFmtId="49" fontId="88" fillId="37" borderId="200" xfId="10209" quotePrefix="1" applyBorder="1" applyAlignment="1">
      <alignment horizontal="center"/>
    </xf>
    <xf numFmtId="49" fontId="88" fillId="37" borderId="252" xfId="10209" applyBorder="1">
      <alignment horizontal="center"/>
    </xf>
    <xf numFmtId="0" fontId="87" fillId="0" borderId="0" xfId="20910" applyBorder="1">
      <alignment horizontal="center"/>
    </xf>
    <xf numFmtId="49" fontId="88" fillId="37" borderId="253" xfId="10209" applyBorder="1">
      <alignment horizontal="center"/>
    </xf>
    <xf numFmtId="49" fontId="89" fillId="36" borderId="108" xfId="10208" quotePrefix="1" applyBorder="1" applyAlignment="1">
      <alignment horizontal="center"/>
    </xf>
    <xf numFmtId="195" fontId="87" fillId="0" borderId="0" xfId="20910" applyNumberFormat="1" applyBorder="1" applyAlignment="1">
      <alignment horizontal="right"/>
    </xf>
    <xf numFmtId="198" fontId="87" fillId="0" borderId="0" xfId="20910" applyNumberFormat="1" applyBorder="1" applyAlignment="1">
      <alignment horizontal="right"/>
    </xf>
    <xf numFmtId="201" fontId="87" fillId="0" borderId="0" xfId="20910" applyNumberFormat="1" applyBorder="1" applyAlignment="1">
      <alignment horizontal="right"/>
    </xf>
    <xf numFmtId="199" fontId="87" fillId="0" borderId="0" xfId="20910" applyNumberFormat="1" applyBorder="1" applyAlignment="1">
      <alignment horizontal="right"/>
    </xf>
    <xf numFmtId="197" fontId="87" fillId="0" borderId="0" xfId="20910" applyNumberFormat="1" applyBorder="1" applyAlignment="1">
      <alignment horizontal="right"/>
    </xf>
    <xf numFmtId="205" fontId="87" fillId="0" borderId="0" xfId="20910" applyNumberFormat="1" applyBorder="1" applyAlignment="1">
      <alignment horizontal="right"/>
    </xf>
    <xf numFmtId="203" fontId="87" fillId="0" borderId="0" xfId="20910" applyNumberFormat="1" applyBorder="1" applyAlignment="1">
      <alignment horizontal="right"/>
    </xf>
    <xf numFmtId="202" fontId="87" fillId="0" borderId="0" xfId="20910" applyNumberFormat="1" applyBorder="1" applyAlignment="1">
      <alignment horizontal="right"/>
    </xf>
    <xf numFmtId="204" fontId="87" fillId="0" borderId="0" xfId="20910" applyNumberFormat="1" applyBorder="1" applyAlignment="1">
      <alignment horizontal="right"/>
    </xf>
    <xf numFmtId="213" fontId="87" fillId="0" borderId="0" xfId="20910" applyNumberFormat="1" applyBorder="1" applyAlignment="1">
      <alignment horizontal="right"/>
    </xf>
    <xf numFmtId="197" fontId="87" fillId="0" borderId="115" xfId="20910" applyNumberFormat="1" applyBorder="1" applyAlignment="1">
      <alignment horizontal="right"/>
    </xf>
    <xf numFmtId="165" fontId="87" fillId="0" borderId="0" xfId="20910" applyNumberFormat="1" applyBorder="1" applyAlignment="1">
      <alignment horizontal="right"/>
    </xf>
    <xf numFmtId="194" fontId="87" fillId="0" borderId="0" xfId="20910" applyNumberFormat="1" applyBorder="1" applyAlignment="1">
      <alignment horizontal="right"/>
    </xf>
    <xf numFmtId="2" fontId="87" fillId="0" borderId="0" xfId="20910" applyNumberFormat="1" applyBorder="1" applyAlignment="1">
      <alignment horizontal="right"/>
    </xf>
    <xf numFmtId="2" fontId="87" fillId="0" borderId="115" xfId="20910" applyNumberFormat="1" applyBorder="1" applyAlignment="1">
      <alignment horizontal="right"/>
    </xf>
    <xf numFmtId="0" fontId="87" fillId="0" borderId="115" xfId="20910" applyBorder="1">
      <alignment horizontal="center"/>
    </xf>
    <xf numFmtId="0" fontId="87" fillId="0" borderId="0" xfId="20910" applyBorder="1" applyAlignment="1">
      <alignment horizontal="right"/>
    </xf>
    <xf numFmtId="0" fontId="87" fillId="0" borderId="0" xfId="20910" applyNumberFormat="1" applyBorder="1" applyAlignment="1">
      <alignment horizontal="right"/>
    </xf>
    <xf numFmtId="171" fontId="87" fillId="0" borderId="0" xfId="20910" applyNumberFormat="1" applyBorder="1" applyAlignment="1">
      <alignment horizontal="right"/>
    </xf>
    <xf numFmtId="168" fontId="87" fillId="0" borderId="0" xfId="20910" applyNumberFormat="1" applyBorder="1" applyAlignment="1">
      <alignment horizontal="right"/>
    </xf>
    <xf numFmtId="166" fontId="87" fillId="0" borderId="0" xfId="20910" applyNumberFormat="1" applyBorder="1" applyAlignment="1">
      <alignment horizontal="right"/>
    </xf>
    <xf numFmtId="167" fontId="87" fillId="0" borderId="0" xfId="20910" applyNumberFormat="1" applyBorder="1" applyAlignment="1">
      <alignment horizontal="right"/>
    </xf>
    <xf numFmtId="164" fontId="87" fillId="0" borderId="0" xfId="20910" applyNumberFormat="1" applyBorder="1" applyAlignment="1">
      <alignment horizontal="right"/>
    </xf>
    <xf numFmtId="1" fontId="87" fillId="0" borderId="0" xfId="20910" applyNumberFormat="1" applyBorder="1" applyAlignment="1">
      <alignment horizontal="right"/>
    </xf>
    <xf numFmtId="167" fontId="87" fillId="0" borderId="115" xfId="20910" applyNumberFormat="1" applyBorder="1" applyAlignment="1">
      <alignment horizontal="right"/>
    </xf>
    <xf numFmtId="49" fontId="87" fillId="33" borderId="0" xfId="10198">
      <alignment horizontal="center"/>
    </xf>
    <xf numFmtId="49" fontId="89" fillId="36" borderId="109" xfId="10208" quotePrefix="1" applyBorder="1" applyAlignment="1">
      <alignment horizontal="center"/>
    </xf>
    <xf numFmtId="49" fontId="148" fillId="37" borderId="110" xfId="10209" quotePrefix="1" applyFont="1" applyBorder="1" applyAlignment="1">
      <alignment horizontal="center"/>
    </xf>
    <xf numFmtId="49" fontId="88" fillId="37" borderId="102" xfId="10209" quotePrefix="1" applyBorder="1" applyAlignment="1">
      <alignment horizontal="center"/>
    </xf>
    <xf numFmtId="49" fontId="88" fillId="37" borderId="111" xfId="10209" quotePrefix="1" applyBorder="1" applyAlignment="1">
      <alignment horizontal="center"/>
    </xf>
    <xf numFmtId="49" fontId="88" fillId="37" borderId="254" xfId="10209" applyBorder="1">
      <alignment horizontal="center"/>
    </xf>
    <xf numFmtId="0" fontId="87" fillId="0" borderId="102" xfId="20911" applyNumberFormat="1" applyBorder="1" applyAlignment="1">
      <alignment horizontal="right"/>
    </xf>
    <xf numFmtId="167" fontId="87" fillId="0" borderId="102" xfId="20911" applyNumberFormat="1" applyBorder="1" applyAlignment="1">
      <alignment horizontal="right"/>
    </xf>
    <xf numFmtId="166" fontId="87" fillId="0" borderId="102" xfId="20911" applyNumberFormat="1" applyBorder="1" applyAlignment="1">
      <alignment horizontal="right"/>
    </xf>
    <xf numFmtId="168" fontId="87" fillId="0" borderId="102" xfId="20911" applyNumberFormat="1" applyBorder="1" applyAlignment="1">
      <alignment horizontal="right"/>
    </xf>
    <xf numFmtId="171" fontId="87" fillId="0" borderId="102" xfId="20911" applyNumberFormat="1" applyBorder="1" applyAlignment="1">
      <alignment horizontal="right"/>
    </xf>
    <xf numFmtId="169" fontId="87" fillId="0" borderId="102" xfId="20911" applyNumberFormat="1" applyBorder="1" applyAlignment="1">
      <alignment horizontal="right"/>
    </xf>
    <xf numFmtId="194" fontId="87" fillId="0" borderId="102" xfId="20911" applyNumberFormat="1" applyBorder="1" applyAlignment="1">
      <alignment horizontal="right"/>
    </xf>
    <xf numFmtId="194" fontId="87" fillId="0" borderId="104" xfId="20911" applyNumberFormat="1" applyBorder="1" applyAlignment="1">
      <alignment horizontal="right"/>
    </xf>
    <xf numFmtId="196" fontId="87" fillId="0" borderId="102" xfId="20911" applyNumberFormat="1" applyBorder="1" applyAlignment="1">
      <alignment horizontal="right"/>
    </xf>
    <xf numFmtId="2" fontId="87" fillId="0" borderId="102" xfId="20911" applyNumberFormat="1" applyBorder="1" applyAlignment="1">
      <alignment horizontal="right"/>
    </xf>
    <xf numFmtId="2" fontId="87" fillId="0" borderId="104" xfId="20911" applyNumberFormat="1" applyBorder="1" applyAlignment="1">
      <alignment horizontal="right"/>
    </xf>
    <xf numFmtId="165" fontId="87" fillId="0" borderId="102" xfId="20911" applyNumberFormat="1" applyBorder="1" applyAlignment="1">
      <alignment horizontal="right"/>
    </xf>
    <xf numFmtId="164" fontId="87" fillId="0" borderId="102" xfId="20911" applyNumberFormat="1" applyBorder="1" applyAlignment="1">
      <alignment horizontal="right"/>
    </xf>
    <xf numFmtId="164" fontId="87" fillId="0" borderId="104" xfId="20911" applyNumberFormat="1" applyBorder="1" applyAlignment="1">
      <alignment horizontal="right"/>
    </xf>
    <xf numFmtId="0" fontId="20" fillId="4" borderId="257" xfId="881" applyFont="1" applyFill="1" applyBorder="1" applyAlignment="1">
      <alignment horizontal="center" vertical="center" wrapText="1"/>
    </xf>
    <xf numFmtId="0" fontId="0" fillId="0" borderId="0" xfId="0" applyAlignment="1">
      <alignment horizontal="center"/>
    </xf>
    <xf numFmtId="0" fontId="24" fillId="0" borderId="0" xfId="0" applyFont="1" applyFill="1" applyAlignment="1">
      <alignment horizontal="center" vertical="center"/>
    </xf>
    <xf numFmtId="0" fontId="24" fillId="4" borderId="0" xfId="0" applyFont="1" applyFill="1" applyAlignment="1">
      <alignment horizontal="center" vertical="center"/>
    </xf>
    <xf numFmtId="14" fontId="24" fillId="4" borderId="0" xfId="0" applyNumberFormat="1" applyFont="1" applyFill="1" applyAlignment="1">
      <alignment horizontal="center" vertical="center"/>
    </xf>
    <xf numFmtId="0" fontId="27" fillId="4" borderId="0" xfId="0" applyFont="1" applyFill="1" applyAlignment="1">
      <alignment horizontal="center" vertical="center"/>
    </xf>
    <xf numFmtId="0" fontId="49" fillId="4" borderId="0" xfId="0" applyFont="1" applyFill="1" applyAlignment="1">
      <alignment horizontal="center" vertical="center"/>
    </xf>
    <xf numFmtId="0" fontId="23" fillId="4" borderId="0" xfId="0" applyFont="1" applyFill="1" applyAlignment="1">
      <alignment horizontal="center" vertical="center"/>
    </xf>
    <xf numFmtId="0" fontId="40" fillId="4" borderId="0" xfId="0" applyFont="1" applyFill="1" applyAlignment="1">
      <alignment horizontal="center" vertical="center"/>
    </xf>
    <xf numFmtId="0" fontId="40" fillId="4" borderId="0" xfId="0" applyFont="1" applyFill="1" applyAlignment="1">
      <alignment horizontal="center" vertical="center" wrapText="1"/>
    </xf>
    <xf numFmtId="0" fontId="33" fillId="4" borderId="0" xfId="0" applyFont="1" applyFill="1" applyAlignment="1">
      <alignment horizontal="center" vertical="center"/>
    </xf>
    <xf numFmtId="0" fontId="33" fillId="4" borderId="0" xfId="0" applyFont="1" applyFill="1" applyAlignment="1">
      <alignment horizontal="left" vertical="center"/>
    </xf>
    <xf numFmtId="0" fontId="26" fillId="4" borderId="0" xfId="0" applyFont="1" applyFill="1" applyAlignment="1">
      <alignment horizontal="center" vertical="center"/>
    </xf>
    <xf numFmtId="0" fontId="50" fillId="4" borderId="0" xfId="0" applyFont="1" applyFill="1" applyAlignment="1">
      <alignment horizontal="center" vertical="center"/>
    </xf>
    <xf numFmtId="0" fontId="45" fillId="0" borderId="15" xfId="63" applyFont="1" applyFill="1" applyBorder="1" applyAlignment="1">
      <alignment horizontal="center" vertical="center" wrapText="1"/>
    </xf>
    <xf numFmtId="0" fontId="19" fillId="0" borderId="15" xfId="63" applyFont="1" applyBorder="1" applyAlignment="1">
      <alignment horizontal="center" vertical="center" wrapText="1"/>
    </xf>
    <xf numFmtId="0" fontId="45" fillId="0" borderId="17" xfId="63" applyFont="1" applyBorder="1" applyAlignment="1">
      <alignment horizontal="center" vertical="center" wrapText="1"/>
    </xf>
    <xf numFmtId="0" fontId="19" fillId="0" borderId="17" xfId="63" applyFont="1" applyBorder="1" applyAlignment="1">
      <alignment horizontal="center" vertical="center" wrapText="1"/>
    </xf>
    <xf numFmtId="0" fontId="45" fillId="0" borderId="125" xfId="0" applyFont="1" applyFill="1" applyBorder="1" applyAlignment="1">
      <alignment horizontal="center" vertical="center" wrapText="1"/>
    </xf>
    <xf numFmtId="0" fontId="0" fillId="0" borderId="125" xfId="0" applyFill="1" applyBorder="1" applyAlignment="1">
      <alignment horizontal="center" vertical="center" wrapText="1"/>
    </xf>
    <xf numFmtId="0" fontId="45" fillId="0" borderId="58" xfId="0" applyFont="1" applyFill="1" applyBorder="1" applyAlignment="1">
      <alignment horizontal="center" vertical="center" wrapText="1"/>
    </xf>
    <xf numFmtId="0" fontId="45" fillId="0" borderId="38" xfId="0" applyFont="1" applyFill="1" applyBorder="1" applyAlignment="1">
      <alignment horizontal="center" vertical="center" wrapText="1"/>
    </xf>
    <xf numFmtId="0" fontId="45" fillId="0" borderId="58" xfId="63" applyFont="1" applyBorder="1" applyAlignment="1">
      <alignment horizontal="center" vertical="center" wrapText="1"/>
    </xf>
    <xf numFmtId="0" fontId="19" fillId="0" borderId="38" xfId="63" applyFont="1" applyBorder="1" applyAlignment="1">
      <alignment horizontal="center" vertical="center" wrapText="1"/>
    </xf>
    <xf numFmtId="0" fontId="0" fillId="0" borderId="38" xfId="0" applyFill="1" applyBorder="1" applyAlignment="1">
      <alignment horizontal="center" vertical="center" wrapText="1"/>
    </xf>
    <xf numFmtId="0" fontId="58" fillId="0" borderId="58" xfId="0" applyFont="1" applyFill="1" applyBorder="1" applyAlignment="1">
      <alignment vertical="center" wrapText="1"/>
    </xf>
    <xf numFmtId="0" fontId="58" fillId="0" borderId="38" xfId="0" applyFont="1" applyFill="1" applyBorder="1" applyAlignment="1">
      <alignment vertical="center" wrapText="1"/>
    </xf>
    <xf numFmtId="0" fontId="45" fillId="0" borderId="117" xfId="0" applyFont="1" applyFill="1" applyBorder="1" applyAlignment="1">
      <alignment horizontal="center" vertical="center" wrapText="1"/>
    </xf>
    <xf numFmtId="0" fontId="0" fillId="0" borderId="117" xfId="0" applyFill="1" applyBorder="1" applyAlignment="1">
      <alignment horizontal="center" vertical="center" wrapText="1"/>
    </xf>
    <xf numFmtId="0" fontId="45" fillId="0" borderId="126" xfId="0" applyFont="1" applyFill="1" applyBorder="1" applyAlignment="1">
      <alignment horizontal="center" vertical="center" wrapText="1"/>
    </xf>
    <xf numFmtId="0" fontId="0" fillId="0" borderId="126" xfId="0" applyFill="1" applyBorder="1" applyAlignment="1">
      <alignment horizontal="center" vertical="center" wrapText="1"/>
    </xf>
    <xf numFmtId="0" fontId="45" fillId="0" borderId="58" xfId="0" applyFont="1" applyBorder="1" applyAlignment="1">
      <alignment horizontal="center" vertical="center" wrapText="1"/>
    </xf>
    <xf numFmtId="0" fontId="0" fillId="0" borderId="38" xfId="0" applyBorder="1" applyAlignment="1">
      <alignment horizontal="center" vertical="center" wrapText="1"/>
    </xf>
    <xf numFmtId="0" fontId="45" fillId="0" borderId="58" xfId="0" quotePrefix="1" applyFont="1" applyFill="1" applyBorder="1" applyAlignment="1">
      <alignment horizontal="center" vertical="center" wrapText="1"/>
    </xf>
    <xf numFmtId="0" fontId="45" fillId="0" borderId="66"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239" xfId="0" applyFont="1" applyFill="1" applyBorder="1" applyAlignment="1">
      <alignment horizontal="center" vertical="center" wrapText="1"/>
    </xf>
    <xf numFmtId="0" fontId="58" fillId="0" borderId="239" xfId="0" applyFont="1" applyFill="1" applyBorder="1" applyAlignment="1">
      <alignment vertical="center" wrapText="1"/>
    </xf>
    <xf numFmtId="0" fontId="45" fillId="0" borderId="215" xfId="0" applyFont="1" applyFill="1" applyBorder="1" applyAlignment="1">
      <alignment horizontal="center" vertical="center" wrapText="1"/>
    </xf>
    <xf numFmtId="0" fontId="0" fillId="0" borderId="215" xfId="0" applyFill="1" applyBorder="1" applyAlignment="1">
      <alignment horizontal="center" vertical="center" wrapText="1"/>
    </xf>
    <xf numFmtId="0" fontId="45" fillId="0" borderId="216" xfId="0" applyFont="1" applyFill="1" applyBorder="1" applyAlignment="1">
      <alignment horizontal="center" vertical="center" wrapText="1"/>
    </xf>
    <xf numFmtId="0" fontId="0" fillId="0" borderId="216" xfId="0" applyFill="1" applyBorder="1" applyAlignment="1">
      <alignment horizontal="center" vertical="center" wrapText="1"/>
    </xf>
    <xf numFmtId="0" fontId="45" fillId="0" borderId="214" xfId="0" applyFont="1" applyFill="1" applyBorder="1" applyAlignment="1">
      <alignment horizontal="center" vertical="center" wrapText="1"/>
    </xf>
    <xf numFmtId="0" fontId="0" fillId="0" borderId="214" xfId="0" applyFill="1" applyBorder="1" applyAlignment="1">
      <alignment horizontal="center" vertical="center" wrapText="1"/>
    </xf>
    <xf numFmtId="0" fontId="58" fillId="0" borderId="58" xfId="0" applyFont="1" applyFill="1" applyBorder="1" applyAlignment="1">
      <alignment horizontal="center" vertical="center" wrapText="1"/>
    </xf>
    <xf numFmtId="0" fontId="18" fillId="0" borderId="38" xfId="0" applyFont="1" applyFill="1" applyBorder="1" applyAlignment="1">
      <alignment horizontal="center" vertical="center" wrapText="1"/>
    </xf>
    <xf numFmtId="0" fontId="53" fillId="0" borderId="125" xfId="0" applyFont="1" applyFill="1" applyBorder="1" applyAlignment="1">
      <alignment horizontal="center" vertical="center" wrapText="1"/>
    </xf>
    <xf numFmtId="0" fontId="30" fillId="0" borderId="125" xfId="0" applyFont="1" applyFill="1" applyBorder="1" applyAlignment="1">
      <alignment horizontal="center" vertical="center" wrapText="1"/>
    </xf>
    <xf numFmtId="0" fontId="45" fillId="0" borderId="230" xfId="0" applyFont="1" applyFill="1" applyBorder="1" applyAlignment="1">
      <alignment horizontal="center" vertical="center" wrapText="1"/>
    </xf>
    <xf numFmtId="0" fontId="45" fillId="0" borderId="39" xfId="0" applyFont="1" applyFill="1" applyBorder="1" applyAlignment="1">
      <alignment horizontal="center" vertical="center" wrapText="1"/>
    </xf>
    <xf numFmtId="0" fontId="45" fillId="0" borderId="235" xfId="0" applyFont="1" applyFill="1" applyBorder="1" applyAlignment="1">
      <alignment horizontal="center" vertical="center" wrapText="1"/>
    </xf>
    <xf numFmtId="0" fontId="45" fillId="0" borderId="37" xfId="0" applyFont="1" applyFill="1" applyBorder="1" applyAlignment="1">
      <alignment horizontal="center" vertical="center" wrapText="1"/>
    </xf>
    <xf numFmtId="0" fontId="105" fillId="0" borderId="33" xfId="63" applyFont="1" applyBorder="1" applyAlignment="1">
      <alignment horizontal="center" vertical="center" wrapText="1"/>
    </xf>
    <xf numFmtId="0" fontId="105" fillId="0" borderId="38" xfId="63" applyFont="1" applyBorder="1" applyAlignment="1">
      <alignment horizontal="center" vertical="center" wrapText="1"/>
    </xf>
    <xf numFmtId="0" fontId="23" fillId="0" borderId="66" xfId="63" applyFont="1" applyBorder="1" applyAlignment="1">
      <alignment horizontal="center" wrapText="1"/>
    </xf>
    <xf numFmtId="0" fontId="23" fillId="0" borderId="38" xfId="63" applyFont="1" applyBorder="1" applyAlignment="1">
      <alignment horizontal="center" wrapText="1"/>
    </xf>
    <xf numFmtId="0" fontId="105" fillId="0" borderId="41" xfId="63" applyFont="1" applyBorder="1" applyAlignment="1">
      <alignment horizontal="center" vertical="center" wrapText="1"/>
    </xf>
    <xf numFmtId="0" fontId="105" fillId="0" borderId="15" xfId="63" applyFont="1" applyBorder="1" applyAlignment="1">
      <alignment horizontal="center" vertical="center" wrapText="1"/>
    </xf>
    <xf numFmtId="0" fontId="105" fillId="0" borderId="23" xfId="63" applyFont="1" applyBorder="1" applyAlignment="1">
      <alignment horizontal="center" vertical="center" wrapText="1"/>
    </xf>
    <xf numFmtId="0" fontId="105" fillId="0" borderId="17" xfId="63" applyFont="1" applyBorder="1" applyAlignment="1">
      <alignment horizontal="center" vertical="center" wrapText="1"/>
    </xf>
    <xf numFmtId="0" fontId="105" fillId="6" borderId="58" xfId="63" applyFont="1" applyFill="1" applyBorder="1" applyAlignment="1">
      <alignment horizontal="center" vertical="center" wrapText="1"/>
    </xf>
    <xf numFmtId="0" fontId="19" fillId="6" borderId="38" xfId="63" applyFill="1" applyBorder="1" applyAlignment="1">
      <alignment horizontal="center" vertical="center" wrapText="1"/>
    </xf>
    <xf numFmtId="0" fontId="105" fillId="6" borderId="38" xfId="63" applyFont="1" applyFill="1" applyBorder="1" applyAlignment="1">
      <alignment horizontal="center" vertical="center" wrapText="1"/>
    </xf>
    <xf numFmtId="0" fontId="103" fillId="0" borderId="0" xfId="63" applyFont="1" applyAlignment="1">
      <alignment horizontal="center"/>
    </xf>
    <xf numFmtId="0" fontId="104" fillId="0" borderId="0" xfId="63" applyFont="1" applyAlignment="1">
      <alignment horizontal="center"/>
    </xf>
    <xf numFmtId="0" fontId="45" fillId="0" borderId="0" xfId="0" applyFont="1" applyBorder="1" applyAlignment="1">
      <alignment vertical="center" wrapText="1"/>
    </xf>
    <xf numFmtId="0" fontId="0" fillId="0" borderId="0" xfId="0" applyBorder="1" applyAlignment="1">
      <alignment vertical="center" wrapText="1"/>
    </xf>
    <xf numFmtId="0" fontId="105" fillId="0" borderId="40" xfId="63" applyFont="1" applyBorder="1" applyAlignment="1">
      <alignment horizontal="center" vertical="center" wrapText="1"/>
    </xf>
    <xf numFmtId="0" fontId="25" fillId="0" borderId="16" xfId="63" applyFont="1" applyBorder="1" applyAlignment="1">
      <alignment horizontal="center" vertical="center" wrapText="1"/>
    </xf>
    <xf numFmtId="0" fontId="19" fillId="0" borderId="66" xfId="63" applyBorder="1" applyAlignment="1">
      <alignment horizontal="center" vertical="center" wrapText="1"/>
    </xf>
    <xf numFmtId="0" fontId="19" fillId="0" borderId="38" xfId="63" applyBorder="1" applyAlignment="1">
      <alignment horizontal="center" vertical="center" wrapText="1"/>
    </xf>
    <xf numFmtId="0" fontId="19" fillId="0" borderId="66" xfId="63" applyFont="1" applyBorder="1" applyAlignment="1">
      <alignment horizontal="center" vertical="center" wrapText="1"/>
    </xf>
    <xf numFmtId="0" fontId="45" fillId="0" borderId="16" xfId="63" applyFont="1" applyBorder="1" applyAlignment="1">
      <alignment horizontal="center" vertical="center" wrapText="1"/>
    </xf>
    <xf numFmtId="0" fontId="19" fillId="0" borderId="16" xfId="63" applyBorder="1" applyAlignment="1">
      <alignment horizontal="center" vertical="center" wrapText="1"/>
    </xf>
    <xf numFmtId="0" fontId="45" fillId="0" borderId="58" xfId="63" applyFont="1" applyFill="1" applyBorder="1" applyAlignment="1">
      <alignment horizontal="center" vertical="center" wrapText="1"/>
    </xf>
    <xf numFmtId="0" fontId="19" fillId="0" borderId="38" xfId="63" applyFont="1" applyFill="1" applyBorder="1" applyAlignment="1">
      <alignment horizontal="center" vertical="center" wrapText="1"/>
    </xf>
    <xf numFmtId="0" fontId="45" fillId="0" borderId="225" xfId="0" applyFont="1" applyFill="1" applyBorder="1" applyAlignment="1">
      <alignment horizontal="center" vertical="center" wrapText="1"/>
    </xf>
    <xf numFmtId="0" fontId="0" fillId="0" borderId="225" xfId="0" applyFill="1" applyBorder="1" applyAlignment="1">
      <alignment horizontal="center" vertical="center" wrapText="1"/>
    </xf>
    <xf numFmtId="0" fontId="45" fillId="0" borderId="226" xfId="0" applyFont="1" applyFill="1" applyBorder="1" applyAlignment="1">
      <alignment horizontal="center" vertical="center" wrapText="1"/>
    </xf>
    <xf numFmtId="0" fontId="0" fillId="0" borderId="226" xfId="0" applyFill="1" applyBorder="1" applyAlignment="1">
      <alignment horizontal="center" vertical="center" wrapText="1"/>
    </xf>
    <xf numFmtId="0" fontId="58" fillId="4" borderId="239" xfId="0" applyFont="1" applyFill="1" applyBorder="1" applyAlignment="1">
      <alignment vertical="center" wrapText="1"/>
    </xf>
    <xf numFmtId="0" fontId="58" fillId="4" borderId="38" xfId="0" applyFont="1" applyFill="1" applyBorder="1" applyAlignment="1">
      <alignment vertical="center" wrapText="1"/>
    </xf>
    <xf numFmtId="0" fontId="58" fillId="0" borderId="38" xfId="0" applyFont="1" applyFill="1" applyBorder="1" applyAlignment="1">
      <alignment horizontal="center" vertical="center" wrapText="1"/>
    </xf>
    <xf numFmtId="0" fontId="45" fillId="0" borderId="239" xfId="0" applyFont="1" applyBorder="1" applyAlignment="1">
      <alignment horizontal="center" vertical="center" wrapText="1"/>
    </xf>
    <xf numFmtId="0" fontId="45" fillId="0" borderId="232" xfId="0" applyFont="1" applyFill="1" applyBorder="1" applyAlignment="1">
      <alignment horizontal="center" vertical="center" wrapText="1"/>
    </xf>
    <xf numFmtId="0" fontId="45" fillId="0" borderId="56" xfId="0" applyFont="1" applyFill="1" applyBorder="1" applyAlignment="1">
      <alignment horizontal="center" vertical="center" wrapText="1"/>
    </xf>
    <xf numFmtId="0" fontId="45" fillId="0" borderId="234" xfId="0" applyFont="1" applyFill="1" applyBorder="1" applyAlignment="1">
      <alignment horizontal="center" vertical="center" wrapText="1"/>
    </xf>
    <xf numFmtId="0" fontId="45" fillId="0" borderId="51" xfId="0" applyFont="1" applyFill="1" applyBorder="1" applyAlignment="1">
      <alignment horizontal="center" vertical="center" wrapText="1"/>
    </xf>
    <xf numFmtId="0" fontId="53" fillId="0" borderId="239" xfId="0" applyFont="1" applyFill="1" applyBorder="1" applyAlignment="1">
      <alignment horizontal="center" vertical="center" wrapText="1"/>
    </xf>
    <xf numFmtId="0" fontId="53" fillId="0" borderId="38" xfId="0" applyFont="1" applyFill="1" applyBorder="1" applyAlignment="1">
      <alignment horizontal="center" vertical="center" wrapText="1"/>
    </xf>
    <xf numFmtId="0" fontId="45" fillId="0" borderId="0" xfId="63" applyFont="1" applyBorder="1" applyAlignment="1">
      <alignment vertical="center" wrapText="1"/>
    </xf>
    <xf numFmtId="0" fontId="19" fillId="0" borderId="0" xfId="63" applyBorder="1" applyAlignment="1">
      <alignment vertical="center" wrapText="1"/>
    </xf>
    <xf numFmtId="0" fontId="58" fillId="0" borderId="53" xfId="0" applyFont="1" applyFill="1" applyBorder="1" applyAlignment="1">
      <alignment vertical="center" wrapText="1"/>
    </xf>
    <xf numFmtId="0" fontId="58" fillId="0" borderId="237" xfId="0" applyFont="1" applyFill="1" applyBorder="1" applyAlignment="1">
      <alignment vertical="center" wrapText="1"/>
    </xf>
    <xf numFmtId="0" fontId="45" fillId="0" borderId="235" xfId="1" applyFont="1" applyBorder="1" applyAlignment="1">
      <alignment horizontal="center" vertical="center" wrapText="1"/>
    </xf>
    <xf numFmtId="0" fontId="45" fillId="0" borderId="37" xfId="1" applyFont="1" applyBorder="1" applyAlignment="1">
      <alignment horizontal="center" vertical="center" wrapText="1"/>
    </xf>
    <xf numFmtId="0" fontId="45" fillId="0" borderId="239" xfId="1" applyFont="1" applyBorder="1" applyAlignment="1">
      <alignment horizontal="center" vertical="center" wrapText="1"/>
    </xf>
    <xf numFmtId="0" fontId="19" fillId="0" borderId="38" xfId="1" applyFont="1" applyBorder="1" applyAlignment="1">
      <alignment horizontal="center" vertical="center" wrapText="1"/>
    </xf>
    <xf numFmtId="0" fontId="53" fillId="0" borderId="239" xfId="1" applyFont="1" applyBorder="1" applyAlignment="1">
      <alignment horizontal="center" vertical="center" wrapText="1"/>
    </xf>
    <xf numFmtId="0" fontId="53" fillId="0" borderId="38" xfId="1" applyFont="1" applyBorder="1" applyAlignment="1">
      <alignment horizontal="center" vertical="center" wrapText="1"/>
    </xf>
    <xf numFmtId="0" fontId="58" fillId="0" borderId="230" xfId="0" applyFont="1" applyFill="1" applyBorder="1" applyAlignment="1">
      <alignment vertical="center" wrapText="1"/>
    </xf>
    <xf numFmtId="0" fontId="58" fillId="0" borderId="39" xfId="0" applyFont="1" applyFill="1" applyBorder="1" applyAlignment="1">
      <alignment vertical="center" wrapText="1"/>
    </xf>
    <xf numFmtId="0" fontId="103" fillId="0" borderId="69" xfId="1" applyFont="1" applyBorder="1" applyAlignment="1">
      <alignment horizontal="center" vertical="center" wrapText="1"/>
    </xf>
    <xf numFmtId="0" fontId="103" fillId="0" borderId="90" xfId="1" applyFont="1" applyBorder="1" applyAlignment="1">
      <alignment horizontal="center" vertical="center" wrapText="1"/>
    </xf>
    <xf numFmtId="0" fontId="45" fillId="0" borderId="0" xfId="1" applyFont="1" applyBorder="1" applyAlignment="1">
      <alignment horizontal="left" vertical="center" wrapText="1"/>
    </xf>
    <xf numFmtId="0" fontId="109" fillId="0" borderId="32" xfId="1" applyFont="1" applyBorder="1" applyAlignment="1">
      <alignment horizontal="center" vertical="center" wrapText="1"/>
    </xf>
    <xf numFmtId="0" fontId="19" fillId="0" borderId="65" xfId="1" applyBorder="1" applyAlignment="1">
      <alignment horizontal="center" vertical="center" wrapText="1"/>
    </xf>
    <xf numFmtId="0" fontId="19" fillId="0" borderId="37" xfId="1" applyBorder="1" applyAlignment="1">
      <alignment horizontal="center" vertical="center" wrapText="1"/>
    </xf>
    <xf numFmtId="0" fontId="109" fillId="0" borderId="33" xfId="1" applyFont="1" applyBorder="1" applyAlignment="1">
      <alignment horizontal="center" vertical="center" wrapText="1"/>
    </xf>
    <xf numFmtId="0" fontId="19" fillId="0" borderId="66" xfId="1" applyBorder="1" applyAlignment="1">
      <alignment horizontal="center" vertical="center" wrapText="1"/>
    </xf>
    <xf numFmtId="0" fontId="19" fillId="0" borderId="38" xfId="1" applyBorder="1" applyAlignment="1">
      <alignment horizontal="center" vertical="center" wrapText="1"/>
    </xf>
    <xf numFmtId="0" fontId="45" fillId="0" borderId="38" xfId="1" applyFont="1" applyBorder="1" applyAlignment="1">
      <alignment horizontal="center" vertical="center" wrapText="1"/>
    </xf>
    <xf numFmtId="0" fontId="105" fillId="0" borderId="33" xfId="1" applyFont="1" applyBorder="1" applyAlignment="1">
      <alignment horizontal="center" vertical="center" wrapText="1"/>
    </xf>
    <xf numFmtId="0" fontId="19" fillId="0" borderId="38" xfId="1" applyBorder="1"/>
    <xf numFmtId="0" fontId="105" fillId="0" borderId="38" xfId="1" applyFont="1" applyBorder="1" applyAlignment="1">
      <alignment horizontal="center" vertical="center" wrapText="1"/>
    </xf>
    <xf numFmtId="0" fontId="109" fillId="0" borderId="36" xfId="1" applyFont="1" applyBorder="1" applyAlignment="1">
      <alignment horizontal="center" vertical="center" wrapText="1"/>
    </xf>
    <xf numFmtId="0" fontId="19" fillId="0" borderId="53" xfId="1" applyBorder="1" applyAlignment="1">
      <alignment horizontal="center" vertical="center" wrapText="1"/>
    </xf>
    <xf numFmtId="0" fontId="19" fillId="0" borderId="39" xfId="1" applyBorder="1" applyAlignment="1">
      <alignment horizontal="center" vertical="center" wrapText="1"/>
    </xf>
    <xf numFmtId="0" fontId="109" fillId="6" borderId="239" xfId="1" applyFont="1" applyFill="1" applyBorder="1" applyAlignment="1">
      <alignment horizontal="center" vertical="center" wrapText="1"/>
    </xf>
    <xf numFmtId="0" fontId="45" fillId="6" borderId="38" xfId="1" applyFont="1" applyFill="1" applyBorder="1" applyAlignment="1">
      <alignment horizontal="center" vertical="center" wrapText="1"/>
    </xf>
    <xf numFmtId="0" fontId="105" fillId="6" borderId="239" xfId="1" applyFont="1" applyFill="1" applyBorder="1" applyAlignment="1">
      <alignment horizontal="center" vertical="center" wrapText="1"/>
    </xf>
    <xf numFmtId="0" fontId="19" fillId="6" borderId="38" xfId="1" applyFill="1" applyBorder="1"/>
    <xf numFmtId="0" fontId="105" fillId="6" borderId="38" xfId="1" applyFont="1" applyFill="1" applyBorder="1" applyAlignment="1">
      <alignment horizontal="center" vertical="center" wrapText="1"/>
    </xf>
    <xf numFmtId="0" fontId="45" fillId="0" borderId="235" xfId="1" applyFont="1" applyFill="1" applyBorder="1" applyAlignment="1">
      <alignment horizontal="center" vertical="center" wrapText="1"/>
    </xf>
    <xf numFmtId="0" fontId="19" fillId="0" borderId="37" xfId="1" applyFont="1" applyFill="1" applyBorder="1" applyAlignment="1">
      <alignment horizontal="center" vertical="center" wrapText="1"/>
    </xf>
    <xf numFmtId="0" fontId="19" fillId="0" borderId="37" xfId="1" applyFont="1" applyBorder="1" applyAlignment="1">
      <alignment horizontal="center" vertical="center" wrapText="1"/>
    </xf>
    <xf numFmtId="0" fontId="45" fillId="0" borderId="65" xfId="1" applyFont="1" applyBorder="1" applyAlignment="1">
      <alignment horizontal="center" vertical="center" wrapText="1"/>
    </xf>
    <xf numFmtId="0" fontId="19" fillId="0" borderId="66" xfId="1" applyFont="1" applyBorder="1" applyAlignment="1">
      <alignment horizontal="center" vertical="center" wrapText="1"/>
    </xf>
    <xf numFmtId="0" fontId="53" fillId="0" borderId="66" xfId="1" applyFont="1" applyBorder="1" applyAlignment="1">
      <alignment horizontal="center" vertical="center" wrapText="1"/>
    </xf>
    <xf numFmtId="0" fontId="116" fillId="0" borderId="2" xfId="1" applyFont="1" applyBorder="1" applyAlignment="1">
      <alignment horizontal="left" vertical="center" wrapText="1"/>
    </xf>
    <xf numFmtId="0" fontId="116" fillId="0" borderId="0" xfId="1" applyFont="1" applyBorder="1" applyAlignment="1">
      <alignment horizontal="left" vertical="center" wrapText="1"/>
    </xf>
    <xf numFmtId="0" fontId="45" fillId="0" borderId="66" xfId="1" applyFont="1" applyBorder="1" applyAlignment="1">
      <alignment horizontal="center" vertical="center" wrapText="1"/>
    </xf>
    <xf numFmtId="0" fontId="19" fillId="0" borderId="248" xfId="1" applyFont="1" applyBorder="1" applyAlignment="1">
      <alignment horizontal="center" vertical="center" wrapText="1"/>
    </xf>
    <xf numFmtId="0" fontId="53" fillId="0" borderId="248" xfId="1" applyFont="1" applyBorder="1" applyAlignment="1">
      <alignment horizontal="center" vertical="center" wrapText="1"/>
    </xf>
    <xf numFmtId="0" fontId="112" fillId="0" borderId="42" xfId="63" applyFont="1" applyBorder="1" applyAlignment="1">
      <alignment horizontal="left" vertical="center" wrapText="1"/>
    </xf>
    <xf numFmtId="0" fontId="19" fillId="0" borderId="73" xfId="63" applyBorder="1" applyAlignment="1">
      <alignment horizontal="left" vertical="center" wrapText="1"/>
    </xf>
    <xf numFmtId="0" fontId="19" fillId="0" borderId="44" xfId="63" applyBorder="1" applyAlignment="1">
      <alignment horizontal="left" vertical="center" wrapText="1"/>
    </xf>
    <xf numFmtId="0" fontId="103" fillId="0" borderId="69" xfId="63" applyFont="1" applyBorder="1" applyAlignment="1">
      <alignment horizontal="center" vertical="center" wrapText="1"/>
    </xf>
    <xf numFmtId="0" fontId="19" fillId="0" borderId="90" xfId="63" applyBorder="1" applyAlignment="1">
      <alignment horizontal="center" vertical="center" wrapText="1"/>
    </xf>
    <xf numFmtId="0" fontId="53" fillId="0" borderId="0" xfId="0" applyFont="1" applyBorder="1" applyAlignment="1">
      <alignment horizontal="left" vertical="center" wrapText="1"/>
    </xf>
    <xf numFmtId="0" fontId="109" fillId="0" borderId="40" xfId="63" applyFont="1" applyBorder="1" applyAlignment="1">
      <alignment horizontal="center" vertical="center" wrapText="1"/>
    </xf>
    <xf numFmtId="0" fontId="110" fillId="3" borderId="41" xfId="63" applyFont="1" applyFill="1" applyBorder="1" applyAlignment="1">
      <alignment horizontal="center" vertical="center" wrapText="1"/>
    </xf>
    <xf numFmtId="0" fontId="19" fillId="0" borderId="15" xfId="63" applyBorder="1" applyAlignment="1">
      <alignment horizontal="center" vertical="center" wrapText="1"/>
    </xf>
    <xf numFmtId="0" fontId="109" fillId="0" borderId="41" xfId="63" applyFont="1" applyBorder="1" applyAlignment="1">
      <alignment horizontal="center" vertical="center" wrapText="1"/>
    </xf>
    <xf numFmtId="0" fontId="110" fillId="0" borderId="41" xfId="63" applyFont="1" applyBorder="1" applyAlignment="1">
      <alignment horizontal="center" vertical="center" wrapText="1"/>
    </xf>
    <xf numFmtId="0" fontId="110" fillId="0" borderId="15" xfId="63" applyFont="1" applyBorder="1" applyAlignment="1">
      <alignment horizontal="center" vertical="center" wrapText="1"/>
    </xf>
    <xf numFmtId="0" fontId="110" fillId="0" borderId="23" xfId="63" applyFont="1" applyBorder="1" applyAlignment="1">
      <alignment horizontal="center" vertical="center" wrapText="1"/>
    </xf>
    <xf numFmtId="0" fontId="19" fillId="0" borderId="17" xfId="63" applyBorder="1" applyAlignment="1">
      <alignment horizontal="center" vertical="center" wrapText="1"/>
    </xf>
    <xf numFmtId="2" fontId="29" fillId="0" borderId="226" xfId="0" applyNumberFormat="1" applyFont="1" applyBorder="1" applyAlignment="1">
      <alignment horizontal="center" vertical="center"/>
    </xf>
    <xf numFmtId="2" fontId="29" fillId="0" borderId="225" xfId="0" applyNumberFormat="1" applyFont="1" applyBorder="1" applyAlignment="1">
      <alignment horizontal="center" vertical="center"/>
    </xf>
    <xf numFmtId="2" fontId="29" fillId="0" borderId="220" xfId="0" applyNumberFormat="1" applyFont="1" applyBorder="1" applyAlignment="1">
      <alignment horizontal="center" vertical="center"/>
    </xf>
    <xf numFmtId="0" fontId="26" fillId="4" borderId="1" xfId="0" applyFont="1" applyFill="1" applyBorder="1" applyAlignment="1">
      <alignment horizontal="center" vertical="center"/>
    </xf>
    <xf numFmtId="0" fontId="26" fillId="4" borderId="2" xfId="0" applyFont="1" applyFill="1" applyBorder="1" applyAlignment="1">
      <alignment horizontal="center" vertical="center"/>
    </xf>
    <xf numFmtId="0" fontId="140" fillId="4" borderId="4" xfId="0" applyFont="1" applyFill="1" applyBorder="1" applyAlignment="1">
      <alignment horizontal="center" vertical="center"/>
    </xf>
    <xf numFmtId="0" fontId="140" fillId="4" borderId="0" xfId="0" applyFont="1" applyFill="1" applyBorder="1" applyAlignment="1">
      <alignment horizontal="center" vertical="center"/>
    </xf>
    <xf numFmtId="0" fontId="140" fillId="4" borderId="197" xfId="0" applyFont="1" applyFill="1" applyBorder="1" applyAlignment="1">
      <alignment horizontal="center" vertical="center"/>
    </xf>
    <xf numFmtId="0" fontId="140" fillId="4" borderId="198" xfId="0" applyFont="1" applyFill="1" applyBorder="1" applyAlignment="1">
      <alignment horizontal="center" vertical="center"/>
    </xf>
    <xf numFmtId="0" fontId="34" fillId="4" borderId="21" xfId="0" applyFont="1" applyFill="1" applyBorder="1" applyAlignment="1">
      <alignment horizontal="center" vertical="center"/>
    </xf>
    <xf numFmtId="0" fontId="34" fillId="4" borderId="62" xfId="0" applyFont="1" applyFill="1" applyBorder="1" applyAlignment="1">
      <alignment horizontal="center" vertical="center"/>
    </xf>
    <xf numFmtId="0" fontId="34" fillId="4" borderId="22" xfId="0" applyFont="1" applyFill="1" applyBorder="1" applyAlignment="1">
      <alignment horizontal="center" vertical="center"/>
    </xf>
    <xf numFmtId="0" fontId="34" fillId="4" borderId="24" xfId="0" applyFont="1" applyFill="1" applyBorder="1" applyAlignment="1">
      <alignment horizontal="center" vertical="center"/>
    </xf>
    <xf numFmtId="0" fontId="34" fillId="4" borderId="26" xfId="0" applyFont="1" applyFill="1" applyBorder="1" applyAlignment="1">
      <alignment horizontal="center" vertical="center"/>
    </xf>
    <xf numFmtId="0" fontId="28" fillId="4" borderId="40"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28" fillId="4" borderId="23"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34" fillId="4" borderId="44" xfId="0" applyFont="1" applyFill="1" applyBorder="1" applyAlignment="1">
      <alignment horizontal="center" vertical="center"/>
    </xf>
    <xf numFmtId="0" fontId="34" fillId="4" borderId="42" xfId="0" applyFont="1" applyFill="1" applyBorder="1" applyAlignment="1">
      <alignment horizontal="center" vertical="center"/>
    </xf>
    <xf numFmtId="0" fontId="34" fillId="4" borderId="40" xfId="0" applyFont="1" applyFill="1" applyBorder="1" applyAlignment="1">
      <alignment horizontal="center" vertical="center"/>
    </xf>
    <xf numFmtId="0" fontId="34" fillId="4" borderId="23" xfId="0" applyFont="1" applyFill="1" applyBorder="1" applyAlignment="1">
      <alignment horizontal="center" vertical="center"/>
    </xf>
    <xf numFmtId="0" fontId="34" fillId="4" borderId="44" xfId="0" applyFont="1" applyFill="1" applyBorder="1" applyAlignment="1">
      <alignment horizontal="center" vertical="center" wrapText="1"/>
    </xf>
    <xf numFmtId="0" fontId="34" fillId="4" borderId="42" xfId="0" applyFont="1" applyFill="1" applyBorder="1" applyAlignment="1">
      <alignment horizontal="center" vertical="center" wrapText="1"/>
    </xf>
    <xf numFmtId="0" fontId="21" fillId="4" borderId="40" xfId="0" applyFont="1" applyFill="1" applyBorder="1" applyAlignment="1">
      <alignment horizontal="center" vertical="center"/>
    </xf>
    <xf numFmtId="0" fontId="21" fillId="4" borderId="23" xfId="0" applyFont="1" applyFill="1" applyBorder="1" applyAlignment="1">
      <alignment horizontal="center" vertical="center"/>
    </xf>
    <xf numFmtId="0" fontId="21" fillId="4" borderId="44" xfId="0" applyFont="1" applyFill="1" applyBorder="1" applyAlignment="1">
      <alignment horizontal="center" vertical="center"/>
    </xf>
    <xf numFmtId="0" fontId="21" fillId="4" borderId="42" xfId="0" applyFont="1" applyFill="1" applyBorder="1" applyAlignment="1">
      <alignment horizontal="center" vertical="center"/>
    </xf>
    <xf numFmtId="0" fontId="34" fillId="6" borderId="7" xfId="0" applyFont="1" applyFill="1" applyBorder="1" applyAlignment="1">
      <alignment horizontal="center" vertical="center"/>
    </xf>
    <xf numFmtId="0" fontId="34" fillId="6" borderId="198" xfId="0" applyFont="1" applyFill="1" applyBorder="1" applyAlignment="1">
      <alignment horizontal="center" vertical="center"/>
    </xf>
    <xf numFmtId="0" fontId="21" fillId="4" borderId="41" xfId="0" applyFont="1" applyFill="1" applyBorder="1" applyAlignment="1">
      <alignment horizontal="center" vertical="center"/>
    </xf>
    <xf numFmtId="0" fontId="21" fillId="4" borderId="65" xfId="0" applyFont="1" applyFill="1" applyBorder="1" applyAlignment="1">
      <alignment horizontal="center" vertical="center"/>
    </xf>
    <xf numFmtId="0" fontId="21" fillId="4" borderId="66" xfId="0" applyFont="1" applyFill="1" applyBorder="1" applyAlignment="1">
      <alignment horizontal="center" vertical="center"/>
    </xf>
    <xf numFmtId="0" fontId="21" fillId="4" borderId="75" xfId="0" applyFont="1" applyFill="1" applyBorder="1" applyAlignment="1">
      <alignment horizontal="center" vertical="center"/>
    </xf>
    <xf numFmtId="0" fontId="21" fillId="4" borderId="18" xfId="0" applyFont="1" applyFill="1" applyBorder="1" applyAlignment="1">
      <alignment horizontal="center" vertical="center"/>
    </xf>
    <xf numFmtId="0" fontId="21" fillId="4" borderId="19" xfId="0" applyFont="1" applyFill="1" applyBorder="1" applyAlignment="1">
      <alignment horizontal="center" vertical="center"/>
    </xf>
    <xf numFmtId="0" fontId="21" fillId="4" borderId="43" xfId="0" applyFont="1" applyFill="1" applyBorder="1" applyAlignment="1">
      <alignment horizontal="center" vertical="center"/>
    </xf>
    <xf numFmtId="0" fontId="34" fillId="4" borderId="124" xfId="0" applyFont="1" applyFill="1" applyBorder="1" applyAlignment="1">
      <alignment horizontal="center" vertical="center"/>
    </xf>
    <xf numFmtId="0" fontId="34" fillId="4" borderId="121" xfId="0" applyFont="1" applyFill="1" applyBorder="1" applyAlignment="1">
      <alignment horizontal="center" vertical="center"/>
    </xf>
    <xf numFmtId="0" fontId="26" fillId="4" borderId="3" xfId="0" applyFont="1" applyFill="1" applyBorder="1" applyAlignment="1">
      <alignment horizontal="center" vertical="center"/>
    </xf>
    <xf numFmtId="0" fontId="140" fillId="4" borderId="5" xfId="0" applyFont="1" applyFill="1" applyBorder="1" applyAlignment="1">
      <alignment horizontal="center" vertical="center"/>
    </xf>
    <xf numFmtId="0" fontId="140" fillId="4" borderId="6" xfId="0" applyFont="1" applyFill="1" applyBorder="1" applyAlignment="1">
      <alignment horizontal="center" vertical="center"/>
    </xf>
    <xf numFmtId="0" fontId="140" fillId="4" borderId="7" xfId="0" applyFont="1" applyFill="1" applyBorder="1" applyAlignment="1">
      <alignment horizontal="center" vertical="center"/>
    </xf>
    <xf numFmtId="0" fontId="140" fillId="4" borderId="8" xfId="0" applyFont="1" applyFill="1" applyBorder="1" applyAlignment="1">
      <alignment horizontal="center" vertical="center"/>
    </xf>
    <xf numFmtId="3" fontId="29" fillId="0" borderId="129" xfId="0" applyNumberFormat="1" applyFont="1" applyFill="1" applyBorder="1" applyAlignment="1">
      <alignment horizontal="center" vertical="center"/>
    </xf>
    <xf numFmtId="3" fontId="29" fillId="0" borderId="119" xfId="0" applyNumberFormat="1" applyFont="1" applyFill="1" applyBorder="1" applyAlignment="1">
      <alignment horizontal="center" vertical="center"/>
    </xf>
    <xf numFmtId="3" fontId="29" fillId="0" borderId="24" xfId="0" applyNumberFormat="1" applyFont="1" applyFill="1" applyBorder="1" applyAlignment="1">
      <alignment horizontal="center" vertical="center"/>
    </xf>
    <xf numFmtId="3" fontId="29" fillId="0" borderId="30" xfId="0" applyNumberFormat="1" applyFont="1" applyFill="1" applyBorder="1" applyAlignment="1">
      <alignment horizontal="center" vertical="center"/>
    </xf>
    <xf numFmtId="3" fontId="29" fillId="0" borderId="158" xfId="0" applyNumberFormat="1" applyFont="1" applyFill="1" applyBorder="1" applyAlignment="1">
      <alignment horizontal="center" vertical="center"/>
    </xf>
    <xf numFmtId="3" fontId="29" fillId="0" borderId="149" xfId="0" applyNumberFormat="1" applyFont="1" applyFill="1" applyBorder="1" applyAlignment="1">
      <alignment horizontal="center" vertical="center"/>
    </xf>
    <xf numFmtId="3" fontId="29" fillId="0" borderId="51" xfId="0" applyNumberFormat="1" applyFont="1" applyFill="1" applyBorder="1" applyAlignment="1">
      <alignment horizontal="center" vertical="center"/>
    </xf>
    <xf numFmtId="3" fontId="29" fillId="0" borderId="54" xfId="0" applyNumberFormat="1" applyFont="1" applyFill="1" applyBorder="1" applyAlignment="1">
      <alignment horizontal="center" vertical="center"/>
    </xf>
    <xf numFmtId="2" fontId="29" fillId="0" borderId="230" xfId="0" applyNumberFormat="1" applyFont="1" applyBorder="1" applyAlignment="1">
      <alignment horizontal="center" vertical="center"/>
    </xf>
    <xf numFmtId="2" fontId="29" fillId="0" borderId="53" xfId="0" applyNumberFormat="1" applyFont="1" applyBorder="1" applyAlignment="1">
      <alignment horizontal="center" vertical="center"/>
    </xf>
    <xf numFmtId="2" fontId="29" fillId="0" borderId="39" xfId="0" applyNumberFormat="1" applyFont="1" applyBorder="1" applyAlignment="1">
      <alignment horizontal="center" vertical="center"/>
    </xf>
    <xf numFmtId="2" fontId="29" fillId="0" borderId="235" xfId="0" applyNumberFormat="1" applyFont="1" applyBorder="1" applyAlignment="1">
      <alignment horizontal="center" vertical="center"/>
    </xf>
    <xf numFmtId="2" fontId="29" fillId="0" borderId="65" xfId="0" applyNumberFormat="1" applyFont="1" applyBorder="1" applyAlignment="1">
      <alignment horizontal="center" vertical="center"/>
    </xf>
    <xf numFmtId="2" fontId="29" fillId="0" borderId="37" xfId="0" applyNumberFormat="1" applyFont="1" applyBorder="1" applyAlignment="1">
      <alignment horizontal="center" vertical="center"/>
    </xf>
    <xf numFmtId="2" fontId="29" fillId="0" borderId="158" xfId="0" applyNumberFormat="1" applyFont="1" applyBorder="1" applyAlignment="1">
      <alignment horizontal="center" vertical="center"/>
    </xf>
    <xf numFmtId="2" fontId="29" fillId="0" borderId="164" xfId="0" applyNumberFormat="1" applyFont="1" applyBorder="1" applyAlignment="1">
      <alignment horizontal="center" vertical="center"/>
    </xf>
    <xf numFmtId="2" fontId="29" fillId="0" borderId="149" xfId="0" applyNumberFormat="1" applyFont="1" applyBorder="1" applyAlignment="1">
      <alignment horizontal="center" vertical="center"/>
    </xf>
    <xf numFmtId="3" fontId="29" fillId="0" borderId="234" xfId="0" applyNumberFormat="1" applyFont="1" applyFill="1" applyBorder="1" applyAlignment="1">
      <alignment horizontal="center" vertical="center"/>
    </xf>
    <xf numFmtId="3" fontId="29" fillId="0" borderId="240" xfId="0" applyNumberFormat="1" applyFont="1" applyFill="1" applyBorder="1" applyAlignment="1">
      <alignment horizontal="center" vertical="center"/>
    </xf>
    <xf numFmtId="3" fontId="29" fillId="0"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2" fontId="29" fillId="0" borderId="129" xfId="0" quotePrefix="1" applyNumberFormat="1" applyFont="1" applyFill="1" applyBorder="1" applyAlignment="1">
      <alignment horizontal="center" vertical="center"/>
    </xf>
    <xf numFmtId="2" fontId="29" fillId="0" borderId="119" xfId="0" applyNumberFormat="1" applyFont="1" applyFill="1" applyBorder="1" applyAlignment="1">
      <alignment horizontal="center" vertical="center"/>
    </xf>
    <xf numFmtId="0" fontId="21" fillId="4" borderId="129" xfId="0" applyFont="1" applyFill="1" applyBorder="1" applyAlignment="1">
      <alignment horizontal="center" vertical="center"/>
    </xf>
    <xf numFmtId="0" fontId="21" fillId="4" borderId="119" xfId="0" applyFont="1" applyFill="1" applyBorder="1" applyAlignment="1">
      <alignment horizontal="center" vertical="center"/>
    </xf>
    <xf numFmtId="3" fontId="21" fillId="4" borderId="124" xfId="0" applyNumberFormat="1" applyFont="1" applyFill="1" applyBorder="1" applyAlignment="1">
      <alignment horizontal="center" vertical="center"/>
    </xf>
    <xf numFmtId="3" fontId="21" fillId="4" borderId="121" xfId="0" applyNumberFormat="1" applyFont="1" applyFill="1" applyBorder="1" applyAlignment="1">
      <alignment horizontal="center" vertical="center"/>
    </xf>
    <xf numFmtId="2" fontId="29" fillId="0" borderId="160" xfId="0" applyNumberFormat="1" applyFont="1" applyBorder="1" applyAlignment="1">
      <alignment horizontal="center" vertical="center"/>
    </xf>
    <xf numFmtId="2" fontId="29" fillId="0" borderId="173" xfId="0" applyNumberFormat="1" applyFont="1" applyBorder="1" applyAlignment="1">
      <alignment horizontal="center" vertical="center"/>
    </xf>
    <xf numFmtId="2" fontId="29" fillId="0" borderId="224" xfId="0" applyNumberFormat="1" applyFont="1" applyBorder="1" applyAlignment="1">
      <alignment horizontal="center" vertical="center"/>
    </xf>
    <xf numFmtId="2" fontId="29" fillId="0" borderId="150" xfId="0" applyNumberFormat="1" applyFont="1" applyBorder="1" applyAlignment="1">
      <alignment horizontal="center" vertical="center"/>
    </xf>
    <xf numFmtId="0" fontId="26" fillId="0" borderId="11" xfId="0" applyFont="1" applyBorder="1" applyAlignment="1">
      <alignment horizontal="center" vertical="center"/>
    </xf>
    <xf numFmtId="0" fontId="26" fillId="0" borderId="9" xfId="0" applyFont="1" applyBorder="1" applyAlignment="1">
      <alignment horizontal="center" vertical="center"/>
    </xf>
    <xf numFmtId="0" fontId="140" fillId="0" borderId="37" xfId="0" applyFont="1" applyBorder="1" applyAlignment="1">
      <alignment horizontal="center" vertical="center"/>
    </xf>
    <xf numFmtId="0" fontId="140" fillId="0" borderId="38" xfId="0" applyFont="1" applyBorder="1" applyAlignment="1">
      <alignment horizontal="center" vertical="center"/>
    </xf>
    <xf numFmtId="0" fontId="140" fillId="0" borderId="217" xfId="0" applyFont="1" applyBorder="1" applyAlignment="1">
      <alignment horizontal="center" vertical="center"/>
    </xf>
    <xf numFmtId="0" fontId="140" fillId="0" borderId="218" xfId="0" applyFont="1" applyBorder="1" applyAlignment="1">
      <alignment horizontal="center" vertical="center"/>
    </xf>
    <xf numFmtId="0" fontId="34" fillId="4" borderId="24" xfId="0" applyFont="1" applyFill="1" applyBorder="1" applyAlignment="1">
      <alignment horizontal="center" vertical="center" wrapText="1"/>
    </xf>
    <xf numFmtId="0" fontId="34" fillId="4" borderId="26" xfId="0" applyFont="1" applyFill="1" applyBorder="1" applyAlignment="1">
      <alignment horizontal="center" vertical="center" wrapText="1"/>
    </xf>
    <xf numFmtId="2" fontId="29" fillId="0" borderId="228" xfId="0" applyNumberFormat="1" applyFont="1" applyBorder="1" applyAlignment="1">
      <alignment horizontal="center" vertical="center"/>
    </xf>
    <xf numFmtId="2" fontId="29" fillId="0" borderId="229" xfId="0" applyNumberFormat="1" applyFont="1" applyBorder="1" applyAlignment="1">
      <alignment horizontal="center" vertical="center"/>
    </xf>
    <xf numFmtId="2" fontId="29" fillId="0" borderId="51" xfId="0" applyNumberFormat="1" applyFont="1" applyBorder="1" applyAlignment="1">
      <alignment horizontal="center" vertical="center"/>
    </xf>
    <xf numFmtId="2" fontId="29" fillId="0" borderId="200" xfId="0" applyNumberFormat="1" applyFont="1" applyBorder="1" applyAlignment="1">
      <alignment horizontal="center" vertical="center"/>
    </xf>
    <xf numFmtId="2" fontId="29" fillId="0" borderId="54" xfId="0" applyNumberFormat="1" applyFont="1" applyBorder="1" applyAlignment="1">
      <alignment horizontal="center" vertical="center"/>
    </xf>
    <xf numFmtId="3" fontId="29" fillId="0" borderId="51" xfId="0" quotePrefix="1" applyNumberFormat="1" applyFont="1" applyFill="1" applyBorder="1" applyAlignment="1">
      <alignment horizontal="center" vertical="center"/>
    </xf>
    <xf numFmtId="3" fontId="29" fillId="0" borderId="129" xfId="0" quotePrefix="1" applyNumberFormat="1" applyFont="1" applyFill="1" applyBorder="1" applyAlignment="1">
      <alignment horizontal="center" vertical="center"/>
    </xf>
    <xf numFmtId="3" fontId="29" fillId="0" borderId="160" xfId="0" quotePrefix="1" applyNumberFormat="1" applyFont="1" applyFill="1" applyBorder="1" applyAlignment="1">
      <alignment horizontal="center" vertical="center"/>
    </xf>
    <xf numFmtId="3" fontId="29" fillId="0" borderId="150" xfId="0" applyNumberFormat="1" applyFont="1" applyFill="1" applyBorder="1" applyAlignment="1">
      <alignment horizontal="center" vertical="center"/>
    </xf>
    <xf numFmtId="0" fontId="21" fillId="0" borderId="11"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9" fillId="0" borderId="37" xfId="0" applyFont="1" applyBorder="1" applyAlignment="1">
      <alignment horizontal="center" vertical="center"/>
    </xf>
    <xf numFmtId="0" fontId="29" fillId="0" borderId="38" xfId="0" applyFont="1" applyBorder="1" applyAlignment="1">
      <alignment horizontal="center" vertical="center"/>
    </xf>
    <xf numFmtId="0" fontId="29" fillId="0" borderId="39" xfId="0" applyFont="1" applyBorder="1" applyAlignment="1">
      <alignment horizontal="center" vertical="center"/>
    </xf>
    <xf numFmtId="0" fontId="29" fillId="0" borderId="214" xfId="0" applyFont="1" applyBorder="1" applyAlignment="1">
      <alignment horizontal="center" vertical="center"/>
    </xf>
    <xf numFmtId="0" fontId="29" fillId="0" borderId="215" xfId="0" applyFont="1" applyBorder="1" applyAlignment="1">
      <alignment horizontal="center" vertical="center"/>
    </xf>
    <xf numFmtId="0" fontId="29" fillId="0" borderId="216" xfId="0" applyFont="1" applyBorder="1" applyAlignment="1">
      <alignment horizontal="center" vertical="center"/>
    </xf>
    <xf numFmtId="0" fontId="29" fillId="0" borderId="146" xfId="0" applyFont="1" applyBorder="1" applyAlignment="1">
      <alignment horizontal="center" vertical="center"/>
    </xf>
    <xf numFmtId="0" fontId="29" fillId="0" borderId="147" xfId="0" applyFont="1" applyBorder="1" applyAlignment="1">
      <alignment horizontal="center" vertical="center"/>
    </xf>
    <xf numFmtId="0" fontId="29" fillId="0" borderId="148" xfId="0" applyFont="1" applyBorder="1" applyAlignment="1">
      <alignment horizontal="center" vertical="center"/>
    </xf>
    <xf numFmtId="0" fontId="213" fillId="0" borderId="2" xfId="0" applyFont="1" applyBorder="1" applyAlignment="1">
      <alignment horizontal="center" vertical="center"/>
    </xf>
    <xf numFmtId="0" fontId="58" fillId="0" borderId="0" xfId="63" applyFont="1" applyFill="1" applyAlignment="1">
      <alignment horizontal="left" wrapText="1"/>
    </xf>
    <xf numFmtId="2" fontId="45" fillId="0" borderId="226" xfId="63" applyNumberFormat="1" applyFont="1" applyFill="1" applyBorder="1" applyAlignment="1">
      <alignment horizontal="center" vertical="center"/>
    </xf>
    <xf numFmtId="2" fontId="45" fillId="0" borderId="225" xfId="63" applyNumberFormat="1" applyFont="1" applyFill="1" applyBorder="1" applyAlignment="1">
      <alignment horizontal="center" vertical="center"/>
    </xf>
    <xf numFmtId="2" fontId="45" fillId="0" borderId="220" xfId="63" applyNumberFormat="1" applyFont="1" applyFill="1" applyBorder="1" applyAlignment="1">
      <alignment horizontal="center" vertical="center"/>
    </xf>
    <xf numFmtId="2" fontId="45" fillId="6" borderId="226" xfId="63" applyNumberFormat="1" applyFont="1" applyFill="1" applyBorder="1" applyAlignment="1">
      <alignment horizontal="center" vertical="center"/>
    </xf>
    <xf numFmtId="2" fontId="45" fillId="6" borderId="225" xfId="63" applyNumberFormat="1" applyFont="1" applyFill="1" applyBorder="1" applyAlignment="1">
      <alignment horizontal="center" vertical="center"/>
    </xf>
    <xf numFmtId="2" fontId="45" fillId="6" borderId="220" xfId="63" applyNumberFormat="1" applyFont="1" applyFill="1" applyBorder="1" applyAlignment="1">
      <alignment horizontal="center" vertical="center"/>
    </xf>
    <xf numFmtId="0" fontId="110" fillId="0" borderId="40" xfId="63" applyFont="1" applyFill="1" applyBorder="1" applyAlignment="1">
      <alignment horizontal="center" vertical="center" wrapText="1"/>
    </xf>
    <xf numFmtId="0" fontId="110" fillId="0" borderId="23" xfId="63" applyFont="1" applyFill="1" applyBorder="1" applyAlignment="1">
      <alignment horizontal="center" vertical="center" wrapText="1"/>
    </xf>
    <xf numFmtId="0" fontId="110" fillId="0" borderId="44" xfId="63" applyFont="1" applyFill="1" applyBorder="1" applyAlignment="1">
      <alignment horizontal="center" vertical="center" wrapText="1"/>
    </xf>
    <xf numFmtId="0" fontId="106" fillId="0" borderId="0" xfId="0" applyFont="1" applyFill="1" applyAlignment="1">
      <alignment horizontal="left" vertical="center" wrapText="1"/>
    </xf>
    <xf numFmtId="0" fontId="58" fillId="0" borderId="0" xfId="0" applyFont="1" applyFill="1" applyAlignment="1">
      <alignment horizontal="left" vertical="center" wrapText="1"/>
    </xf>
    <xf numFmtId="0" fontId="18" fillId="0" borderId="0" xfId="0" applyFont="1" applyFill="1" applyAlignment="1">
      <alignment horizontal="left" vertical="center" wrapText="1"/>
    </xf>
    <xf numFmtId="0" fontId="103" fillId="0" borderId="0" xfId="63" applyFont="1" applyFill="1" applyBorder="1" applyAlignment="1">
      <alignment horizontal="center" vertical="center" wrapText="1"/>
    </xf>
    <xf numFmtId="0" fontId="19" fillId="0" borderId="0" xfId="63" applyBorder="1" applyAlignment="1">
      <alignment horizontal="center" vertical="center" wrapText="1"/>
    </xf>
    <xf numFmtId="0" fontId="58" fillId="0" borderId="0" xfId="0" applyFont="1" applyFill="1" applyBorder="1" applyAlignment="1">
      <alignment horizontal="left" vertical="center" wrapText="1"/>
    </xf>
    <xf numFmtId="0" fontId="18" fillId="0" borderId="0" xfId="0" applyFont="1" applyBorder="1" applyAlignment="1">
      <alignment horizontal="left" vertical="center" wrapText="1"/>
    </xf>
    <xf numFmtId="0" fontId="110" fillId="0" borderId="24" xfId="63" applyFont="1" applyFill="1" applyBorder="1" applyAlignment="1">
      <alignment horizontal="center" vertical="center" wrapText="1"/>
    </xf>
    <xf numFmtId="0" fontId="110" fillId="0" borderId="25" xfId="63" applyFont="1" applyFill="1" applyBorder="1" applyAlignment="1">
      <alignment horizontal="center" vertical="center" wrapText="1"/>
    </xf>
    <xf numFmtId="0" fontId="110" fillId="0" borderId="42" xfId="63" applyFont="1" applyFill="1" applyBorder="1" applyAlignment="1">
      <alignment horizontal="center" vertical="center" wrapText="1"/>
    </xf>
    <xf numFmtId="0" fontId="116" fillId="0" borderId="0" xfId="0" applyFont="1" applyFill="1" applyAlignment="1">
      <alignment horizontal="left" vertical="center" wrapText="1"/>
    </xf>
    <xf numFmtId="0" fontId="45" fillId="0" borderId="235" xfId="63" applyFont="1" applyFill="1" applyBorder="1" applyAlignment="1">
      <alignment horizontal="center" vertical="center" wrapText="1"/>
    </xf>
    <xf numFmtId="0" fontId="45" fillId="0" borderId="65" xfId="63" applyFont="1" applyFill="1" applyBorder="1" applyAlignment="1">
      <alignment horizontal="center" vertical="center" wrapText="1"/>
    </xf>
    <xf numFmtId="0" fontId="45" fillId="0" borderId="37" xfId="63" applyFont="1" applyFill="1" applyBorder="1" applyAlignment="1">
      <alignment horizontal="center" vertical="center" wrapText="1"/>
    </xf>
    <xf numFmtId="0" fontId="45" fillId="0" borderId="230" xfId="63" applyFont="1" applyFill="1" applyBorder="1" applyAlignment="1">
      <alignment horizontal="center" vertical="center" wrapText="1"/>
    </xf>
    <xf numFmtId="0" fontId="45" fillId="0" borderId="53" xfId="63" applyFont="1" applyFill="1" applyBorder="1" applyAlignment="1">
      <alignment horizontal="center" vertical="center" wrapText="1"/>
    </xf>
    <xf numFmtId="0" fontId="45" fillId="0" borderId="39" xfId="63" applyFont="1" applyFill="1" applyBorder="1" applyAlignment="1">
      <alignment horizontal="center" vertical="center" wrapText="1"/>
    </xf>
    <xf numFmtId="2" fontId="45" fillId="0" borderId="230" xfId="63" applyNumberFormat="1" applyFont="1" applyFill="1" applyBorder="1" applyAlignment="1">
      <alignment horizontal="center" vertical="center"/>
    </xf>
    <xf numFmtId="2" fontId="45" fillId="0" borderId="53" xfId="63" applyNumberFormat="1" applyFont="1" applyFill="1" applyBorder="1" applyAlignment="1">
      <alignment horizontal="center" vertical="center"/>
    </xf>
    <xf numFmtId="2" fontId="45" fillId="0" borderId="39" xfId="63" applyNumberFormat="1" applyFont="1" applyFill="1" applyBorder="1" applyAlignment="1">
      <alignment horizontal="center" vertical="center"/>
    </xf>
    <xf numFmtId="2" fontId="45" fillId="0" borderId="235" xfId="63" applyNumberFormat="1" applyFont="1" applyFill="1" applyBorder="1" applyAlignment="1">
      <alignment horizontal="center" vertical="center"/>
    </xf>
    <xf numFmtId="2" fontId="45" fillId="0" borderId="65" xfId="63" applyNumberFormat="1" applyFont="1" applyFill="1" applyBorder="1" applyAlignment="1">
      <alignment horizontal="center" vertical="center"/>
    </xf>
    <xf numFmtId="2" fontId="45" fillId="0" borderId="37" xfId="63" applyNumberFormat="1" applyFont="1" applyFill="1" applyBorder="1" applyAlignment="1">
      <alignment horizontal="center" vertical="center"/>
    </xf>
    <xf numFmtId="0" fontId="45" fillId="0" borderId="238" xfId="63" applyFont="1" applyFill="1" applyBorder="1" applyAlignment="1">
      <alignment horizontal="center" vertical="center" wrapText="1"/>
    </xf>
    <xf numFmtId="0" fontId="45" fillId="0" borderId="63" xfId="63" applyFont="1" applyFill="1" applyBorder="1" applyAlignment="1">
      <alignment horizontal="center" vertical="center" wrapText="1"/>
    </xf>
    <xf numFmtId="0" fontId="45" fillId="0" borderId="74" xfId="63" applyFont="1" applyFill="1" applyBorder="1" applyAlignment="1">
      <alignment horizontal="center" vertical="center" wrapText="1"/>
    </xf>
    <xf numFmtId="2" fontId="45" fillId="6" borderId="230" xfId="63" applyNumberFormat="1" applyFont="1" applyFill="1" applyBorder="1" applyAlignment="1">
      <alignment horizontal="center" vertical="center"/>
    </xf>
    <xf numFmtId="2" fontId="45" fillId="6" borderId="53" xfId="63" applyNumberFormat="1" applyFont="1" applyFill="1" applyBorder="1" applyAlignment="1">
      <alignment horizontal="center" vertical="center"/>
    </xf>
    <xf numFmtId="2" fontId="45" fillId="6" borderId="39" xfId="63" applyNumberFormat="1" applyFont="1" applyFill="1" applyBorder="1" applyAlignment="1">
      <alignment horizontal="center" vertical="center"/>
    </xf>
    <xf numFmtId="2" fontId="45" fillId="6" borderId="235" xfId="63" applyNumberFormat="1" applyFont="1" applyFill="1" applyBorder="1" applyAlignment="1">
      <alignment horizontal="center" vertical="center"/>
    </xf>
    <xf numFmtId="2" fontId="45" fillId="6" borderId="65" xfId="63" applyNumberFormat="1" applyFont="1" applyFill="1" applyBorder="1" applyAlignment="1">
      <alignment horizontal="center" vertical="center"/>
    </xf>
    <xf numFmtId="2" fontId="45" fillId="6" borderId="37" xfId="63" applyNumberFormat="1" applyFont="1" applyFill="1" applyBorder="1" applyAlignment="1">
      <alignment horizontal="center" vertical="center"/>
    </xf>
    <xf numFmtId="0" fontId="45" fillId="6" borderId="235" xfId="63" applyFont="1" applyFill="1" applyBorder="1" applyAlignment="1">
      <alignment horizontal="center" vertical="center" wrapText="1"/>
    </xf>
    <xf numFmtId="0" fontId="45" fillId="6" borderId="65" xfId="63" applyFont="1" applyFill="1" applyBorder="1" applyAlignment="1">
      <alignment horizontal="center" vertical="center" wrapText="1"/>
    </xf>
    <xf numFmtId="0" fontId="45" fillId="6" borderId="37" xfId="63" applyFont="1" applyFill="1" applyBorder="1" applyAlignment="1">
      <alignment horizontal="center" vertical="center" wrapText="1"/>
    </xf>
    <xf numFmtId="0" fontId="45" fillId="6" borderId="230" xfId="63" applyFont="1" applyFill="1" applyBorder="1" applyAlignment="1">
      <alignment horizontal="center" vertical="center" wrapText="1"/>
    </xf>
    <xf numFmtId="0" fontId="45" fillId="6" borderId="53" xfId="63" applyFont="1" applyFill="1" applyBorder="1" applyAlignment="1">
      <alignment horizontal="center" vertical="center" wrapText="1"/>
    </xf>
    <xf numFmtId="0" fontId="45" fillId="6" borderId="39" xfId="63" applyFont="1" applyFill="1" applyBorder="1" applyAlignment="1">
      <alignment horizontal="center" vertical="center" wrapText="1"/>
    </xf>
    <xf numFmtId="0" fontId="45" fillId="6" borderId="238" xfId="63" applyFont="1" applyFill="1" applyBorder="1" applyAlignment="1">
      <alignment horizontal="center" vertical="center" wrapText="1"/>
    </xf>
    <xf numFmtId="0" fontId="45" fillId="6" borderId="63" xfId="63" applyFont="1" applyFill="1" applyBorder="1" applyAlignment="1">
      <alignment horizontal="center" vertical="center" wrapText="1"/>
    </xf>
    <xf numFmtId="0" fontId="45" fillId="6" borderId="74" xfId="63" applyFont="1" applyFill="1" applyBorder="1" applyAlignment="1">
      <alignment horizontal="center" vertical="center" wrapText="1"/>
    </xf>
    <xf numFmtId="2" fontId="45" fillId="0" borderId="129" xfId="63" quotePrefix="1" applyNumberFormat="1" applyFont="1" applyFill="1" applyBorder="1" applyAlignment="1">
      <alignment horizontal="center" vertical="center" wrapText="1"/>
    </xf>
    <xf numFmtId="2" fontId="45" fillId="0" borderId="132" xfId="63" quotePrefix="1" applyNumberFormat="1" applyFont="1" applyFill="1" applyBorder="1" applyAlignment="1">
      <alignment horizontal="center" vertical="center" wrapText="1"/>
    </xf>
    <xf numFmtId="2" fontId="45" fillId="0" borderId="119" xfId="63" quotePrefix="1" applyNumberFormat="1" applyFont="1" applyFill="1" applyBorder="1" applyAlignment="1">
      <alignment horizontal="center" vertical="center" wrapText="1"/>
    </xf>
    <xf numFmtId="2" fontId="45" fillId="6" borderId="129" xfId="63" quotePrefix="1" applyNumberFormat="1" applyFont="1" applyFill="1" applyBorder="1" applyAlignment="1">
      <alignment horizontal="center" vertical="center" wrapText="1"/>
    </xf>
    <xf numFmtId="2" fontId="45" fillId="6" borderId="132" xfId="63" quotePrefix="1" applyNumberFormat="1" applyFont="1" applyFill="1" applyBorder="1" applyAlignment="1">
      <alignment horizontal="center" vertical="center" wrapText="1"/>
    </xf>
    <xf numFmtId="2" fontId="45" fillId="6" borderId="119" xfId="63" quotePrefix="1" applyNumberFormat="1" applyFont="1" applyFill="1" applyBorder="1" applyAlignment="1">
      <alignment horizontal="center" vertical="center" wrapText="1"/>
    </xf>
    <xf numFmtId="2" fontId="45" fillId="4" borderId="129" xfId="63" quotePrefix="1" applyNumberFormat="1" applyFont="1" applyFill="1" applyBorder="1" applyAlignment="1">
      <alignment horizontal="center" vertical="center" wrapText="1"/>
    </xf>
    <xf numFmtId="2" fontId="45" fillId="4" borderId="132" xfId="63" quotePrefix="1" applyNumberFormat="1" applyFont="1" applyFill="1" applyBorder="1" applyAlignment="1">
      <alignment horizontal="center" vertical="center" wrapText="1"/>
    </xf>
    <xf numFmtId="2" fontId="45" fillId="4" borderId="119" xfId="63" quotePrefix="1" applyNumberFormat="1" applyFont="1" applyFill="1" applyBorder="1" applyAlignment="1">
      <alignment horizontal="center" vertical="center" wrapText="1"/>
    </xf>
    <xf numFmtId="0" fontId="45"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110" fillId="0" borderId="71" xfId="63" applyFont="1" applyFill="1" applyBorder="1" applyAlignment="1">
      <alignment horizontal="center" vertical="center" wrapText="1"/>
    </xf>
    <xf numFmtId="0" fontId="106" fillId="0" borderId="0" xfId="0" applyNumberFormat="1" applyFont="1" applyFill="1" applyBorder="1" applyAlignment="1">
      <alignment horizontal="left" vertical="center" wrapText="1"/>
    </xf>
    <xf numFmtId="0" fontId="110" fillId="0" borderId="0" xfId="0" applyFont="1" applyFill="1" applyBorder="1" applyAlignment="1">
      <alignment horizontal="left" vertical="center" wrapText="1"/>
    </xf>
    <xf numFmtId="0" fontId="53" fillId="0" borderId="0" xfId="0" applyFont="1" applyFill="1" applyBorder="1" applyAlignment="1">
      <alignment horizontal="left" vertical="center" wrapText="1"/>
    </xf>
    <xf numFmtId="0" fontId="53" fillId="0" borderId="129" xfId="10650" applyFont="1" applyBorder="1" applyAlignment="1">
      <alignment horizontal="center" vertical="center" wrapText="1"/>
    </xf>
    <xf numFmtId="0" fontId="53" fillId="0" borderId="132" xfId="10650" applyFont="1" applyBorder="1" applyAlignment="1">
      <alignment horizontal="center" vertical="center" wrapText="1"/>
    </xf>
    <xf numFmtId="0" fontId="53" fillId="0" borderId="119" xfId="10650" applyFont="1" applyBorder="1" applyAlignment="1">
      <alignment horizontal="center" vertical="center" wrapText="1"/>
    </xf>
    <xf numFmtId="0" fontId="102" fillId="0" borderId="18" xfId="1" applyFont="1" applyFill="1" applyBorder="1" applyAlignment="1">
      <alignment horizontal="center" vertical="center" wrapText="1"/>
    </xf>
    <xf numFmtId="0" fontId="103" fillId="0" borderId="43" xfId="1" applyFont="1" applyFill="1" applyBorder="1" applyAlignment="1">
      <alignment horizontal="center" vertical="center" wrapText="1"/>
    </xf>
    <xf numFmtId="0" fontId="103" fillId="0" borderId="69" xfId="1" applyFont="1" applyFill="1" applyBorder="1" applyAlignment="1">
      <alignment horizontal="center" vertical="center" wrapText="1"/>
    </xf>
    <xf numFmtId="0" fontId="103" fillId="0" borderId="90" xfId="1" applyFont="1" applyFill="1" applyBorder="1" applyAlignment="1">
      <alignment horizontal="center" vertical="center" wrapText="1"/>
    </xf>
    <xf numFmtId="0" fontId="103" fillId="0" borderId="49" xfId="1" applyFont="1" applyFill="1" applyBorder="1" applyAlignment="1">
      <alignment horizontal="center" vertical="center" wrapText="1"/>
    </xf>
    <xf numFmtId="0" fontId="45" fillId="0" borderId="0" xfId="0" applyFont="1" applyBorder="1" applyAlignment="1">
      <alignment horizontal="left" vertical="center" wrapText="1"/>
    </xf>
    <xf numFmtId="0" fontId="110" fillId="0" borderId="0" xfId="0" applyFont="1" applyBorder="1" applyAlignment="1">
      <alignment horizontal="left" vertical="center" wrapText="1"/>
    </xf>
    <xf numFmtId="0" fontId="110" fillId="0" borderId="32" xfId="1" applyFont="1" applyFill="1" applyBorder="1" applyAlignment="1">
      <alignment horizontal="center" vertical="center" wrapText="1"/>
    </xf>
    <xf numFmtId="0" fontId="45" fillId="0" borderId="37" xfId="1" applyFont="1" applyFill="1" applyBorder="1" applyAlignment="1">
      <alignment horizontal="center" vertical="center" wrapText="1"/>
    </xf>
    <xf numFmtId="0" fontId="110" fillId="0" borderId="67" xfId="1" applyFont="1" applyFill="1" applyBorder="1" applyAlignment="1">
      <alignment horizontal="center" vertical="center" wrapText="1"/>
    </xf>
    <xf numFmtId="0" fontId="45" fillId="0" borderId="61" xfId="1" applyFont="1" applyFill="1" applyBorder="1" applyAlignment="1">
      <alignment horizontal="center" vertical="center" wrapText="1"/>
    </xf>
    <xf numFmtId="0" fontId="110" fillId="0" borderId="24" xfId="1" applyFont="1" applyFill="1" applyBorder="1" applyAlignment="1">
      <alignment horizontal="center" vertical="center" wrapText="1"/>
    </xf>
    <xf numFmtId="0" fontId="19" fillId="0" borderId="30" xfId="1" applyBorder="1" applyAlignment="1">
      <alignment horizontal="center" vertical="center" wrapText="1"/>
    </xf>
    <xf numFmtId="0" fontId="110" fillId="0" borderId="30" xfId="1" applyFont="1" applyFill="1" applyBorder="1" applyAlignment="1">
      <alignment horizontal="center" vertical="center" wrapText="1"/>
    </xf>
    <xf numFmtId="0" fontId="110" fillId="0" borderId="73" xfId="1" applyFont="1" applyFill="1" applyBorder="1" applyAlignment="1">
      <alignment horizontal="center" vertical="center" wrapText="1"/>
    </xf>
    <xf numFmtId="0" fontId="53" fillId="0" borderId="59" xfId="10656" applyFont="1" applyFill="1" applyBorder="1" applyAlignment="1">
      <alignment horizontal="center" vertical="top" wrapText="1"/>
    </xf>
    <xf numFmtId="0" fontId="53" fillId="0" borderId="64" xfId="10656" applyFont="1" applyFill="1" applyBorder="1" applyAlignment="1">
      <alignment horizontal="center" vertical="top" wrapText="1"/>
    </xf>
    <xf numFmtId="0" fontId="45" fillId="0" borderId="63" xfId="10656" applyFont="1" applyFill="1" applyBorder="1" applyAlignment="1">
      <alignment horizontal="center" vertical="center" wrapText="1"/>
    </xf>
    <xf numFmtId="0" fontId="45" fillId="0" borderId="64" xfId="10656" applyFont="1" applyFill="1" applyBorder="1" applyAlignment="1">
      <alignment horizontal="center" vertical="center" wrapText="1"/>
    </xf>
    <xf numFmtId="0" fontId="45" fillId="0" borderId="59" xfId="10656" applyFont="1" applyFill="1" applyBorder="1" applyAlignment="1">
      <alignment horizontal="center" wrapText="1"/>
    </xf>
    <xf numFmtId="0" fontId="45" fillId="0" borderId="63" xfId="10656" applyFont="1" applyFill="1" applyBorder="1" applyAlignment="1">
      <alignment horizontal="center" wrapText="1"/>
    </xf>
    <xf numFmtId="0" fontId="45" fillId="0" borderId="64" xfId="10656" applyFont="1" applyFill="1" applyBorder="1" applyAlignment="1">
      <alignment horizontal="center" wrapText="1"/>
    </xf>
    <xf numFmtId="0" fontId="45" fillId="0" borderId="59" xfId="10656" applyFont="1" applyFill="1" applyBorder="1" applyAlignment="1">
      <alignment horizontal="center" vertical="center" wrapText="1"/>
    </xf>
    <xf numFmtId="0" fontId="110" fillId="0" borderId="32" xfId="63" applyFont="1" applyFill="1" applyBorder="1" applyAlignment="1">
      <alignment horizontal="center" vertical="center" wrapText="1"/>
    </xf>
    <xf numFmtId="0" fontId="19" fillId="0" borderId="37" xfId="63" applyBorder="1" applyAlignment="1">
      <alignment horizontal="center" vertical="center" wrapText="1"/>
    </xf>
    <xf numFmtId="0" fontId="110" fillId="0" borderId="33" xfId="63" applyFont="1" applyFill="1" applyBorder="1" applyAlignment="1">
      <alignment horizontal="center" vertical="center" wrapText="1"/>
    </xf>
    <xf numFmtId="0" fontId="110" fillId="0" borderId="41" xfId="63" applyFont="1" applyFill="1" applyBorder="1" applyAlignment="1">
      <alignment horizontal="center" vertical="center" wrapText="1"/>
    </xf>
    <xf numFmtId="0" fontId="110" fillId="0" borderId="36" xfId="63" applyFont="1" applyFill="1" applyBorder="1" applyAlignment="1">
      <alignment horizontal="center" vertical="center" wrapText="1"/>
    </xf>
    <xf numFmtId="0" fontId="19" fillId="0" borderId="39" xfId="63" applyBorder="1" applyAlignment="1">
      <alignment horizontal="center" vertical="center" wrapText="1"/>
    </xf>
    <xf numFmtId="0" fontId="45" fillId="0" borderId="250" xfId="10656" applyFont="1" applyFill="1" applyBorder="1" applyAlignment="1">
      <alignment horizontal="center" vertical="center" wrapText="1"/>
    </xf>
    <xf numFmtId="167" fontId="53" fillId="3" borderId="25" xfId="63" applyNumberFormat="1" applyFont="1" applyFill="1" applyBorder="1" applyAlignment="1">
      <alignment horizontal="center" vertical="center" wrapText="1"/>
    </xf>
    <xf numFmtId="167" fontId="53" fillId="3" borderId="47" xfId="63" applyNumberFormat="1" applyFont="1" applyFill="1" applyBorder="1" applyAlignment="1">
      <alignment horizontal="center" vertical="center" wrapText="1"/>
    </xf>
    <xf numFmtId="167" fontId="53" fillId="3" borderId="31" xfId="63" applyNumberFormat="1" applyFont="1" applyFill="1" applyBorder="1" applyAlignment="1">
      <alignment horizontal="center" vertical="center" wrapText="1"/>
    </xf>
    <xf numFmtId="0" fontId="45" fillId="0" borderId="0" xfId="63" applyFont="1" applyBorder="1" applyAlignment="1">
      <alignment horizontal="left" vertical="center" wrapText="1"/>
    </xf>
    <xf numFmtId="0" fontId="19" fillId="0" borderId="0" xfId="63" applyFont="1" applyBorder="1" applyAlignment="1">
      <alignment horizontal="left" vertical="center" wrapText="1"/>
    </xf>
    <xf numFmtId="0" fontId="53" fillId="0" borderId="63" xfId="10656" applyFont="1" applyFill="1" applyBorder="1" applyAlignment="1">
      <alignment horizontal="center" vertical="top" wrapText="1"/>
    </xf>
    <xf numFmtId="0" fontId="45" fillId="0" borderId="59" xfId="10656" applyFont="1" applyFill="1" applyBorder="1" applyAlignment="1">
      <alignment vertical="center"/>
    </xf>
    <xf numFmtId="0" fontId="45" fillId="0" borderId="63" xfId="10656" applyFont="1" applyFill="1" applyBorder="1" applyAlignment="1">
      <alignment vertical="center"/>
    </xf>
    <xf numFmtId="0" fontId="45" fillId="0" borderId="64" xfId="10656" applyFont="1" applyFill="1" applyBorder="1" applyAlignment="1">
      <alignment vertical="center"/>
    </xf>
    <xf numFmtId="0" fontId="103" fillId="42" borderId="0" xfId="63" applyFont="1" applyFill="1" applyBorder="1" applyAlignment="1">
      <alignment horizontal="center" vertical="center" wrapText="1"/>
    </xf>
    <xf numFmtId="0" fontId="115" fillId="42" borderId="198" xfId="63" applyFont="1" applyFill="1" applyBorder="1" applyAlignment="1">
      <alignment horizontal="left" vertical="center" wrapText="1"/>
    </xf>
    <xf numFmtId="0" fontId="110" fillId="42" borderId="32" xfId="63" applyFont="1" applyFill="1" applyBorder="1" applyAlignment="1">
      <alignment horizontal="center" vertical="center" wrapText="1"/>
    </xf>
    <xf numFmtId="0" fontId="110" fillId="42" borderId="65" xfId="63" applyFont="1" applyFill="1" applyBorder="1" applyAlignment="1">
      <alignment horizontal="center" vertical="center" wrapText="1"/>
    </xf>
    <xf numFmtId="0" fontId="110" fillId="42" borderId="67" xfId="63" applyFont="1" applyFill="1" applyBorder="1" applyAlignment="1">
      <alignment horizontal="center" vertical="center" wrapText="1"/>
    </xf>
    <xf numFmtId="0" fontId="110" fillId="42" borderId="75" xfId="63" applyFont="1" applyFill="1" applyBorder="1" applyAlignment="1">
      <alignment horizontal="center" vertical="center" wrapText="1"/>
    </xf>
    <xf numFmtId="0" fontId="19" fillId="0" borderId="61" xfId="63" applyBorder="1" applyAlignment="1">
      <alignment horizontal="center" vertical="center" wrapText="1"/>
    </xf>
    <xf numFmtId="0" fontId="102" fillId="42" borderId="1" xfId="63" applyFont="1" applyFill="1" applyBorder="1" applyAlignment="1">
      <alignment horizontal="center" vertical="center" wrapText="1"/>
    </xf>
    <xf numFmtId="0" fontId="105" fillId="42" borderId="3" xfId="63" applyFont="1" applyFill="1" applyBorder="1" applyAlignment="1">
      <alignment horizontal="center" vertical="center" wrapText="1"/>
    </xf>
    <xf numFmtId="0" fontId="105" fillId="42" borderId="51" xfId="63" applyFont="1" applyFill="1" applyBorder="1" applyAlignment="1">
      <alignment horizontal="center" vertical="center" wrapText="1"/>
    </xf>
    <xf numFmtId="0" fontId="105" fillId="42" borderId="54" xfId="63" applyFont="1" applyFill="1" applyBorder="1" applyAlignment="1">
      <alignment horizontal="center" vertical="center" wrapText="1"/>
    </xf>
    <xf numFmtId="0" fontId="105" fillId="0" borderId="40" xfId="10661" applyFont="1" applyFill="1" applyBorder="1" applyAlignment="1">
      <alignment horizontal="center" vertical="center" wrapText="1"/>
    </xf>
    <xf numFmtId="0" fontId="18" fillId="0" borderId="23" xfId="10661" applyFont="1" applyFill="1" applyBorder="1" applyAlignment="1">
      <alignment wrapText="1"/>
    </xf>
    <xf numFmtId="0" fontId="18" fillId="0" borderId="125" xfId="10661" applyFont="1" applyFill="1" applyBorder="1" applyAlignment="1">
      <alignment wrapText="1"/>
    </xf>
    <xf numFmtId="0" fontId="18" fillId="0" borderId="117" xfId="10661" applyFont="1" applyFill="1" applyBorder="1" applyAlignment="1">
      <alignment wrapText="1"/>
    </xf>
    <xf numFmtId="0" fontId="105" fillId="42" borderId="40" xfId="63" applyFont="1" applyFill="1" applyBorder="1" applyAlignment="1">
      <alignment horizontal="center" vertical="center" wrapText="1"/>
    </xf>
    <xf numFmtId="0" fontId="18" fillId="0" borderId="23" xfId="63" applyFont="1" applyBorder="1" applyAlignment="1">
      <alignment wrapText="1"/>
    </xf>
    <xf numFmtId="0" fontId="18" fillId="0" borderId="16" xfId="63" applyFont="1" applyBorder="1" applyAlignment="1">
      <alignment wrapText="1"/>
    </xf>
    <xf numFmtId="0" fontId="18" fillId="0" borderId="17" xfId="63" applyFont="1" applyBorder="1" applyAlignment="1">
      <alignment wrapText="1"/>
    </xf>
    <xf numFmtId="2" fontId="45" fillId="0" borderId="226" xfId="63" applyNumberFormat="1" applyFont="1" applyFill="1" applyBorder="1" applyAlignment="1">
      <alignment horizontal="center" vertical="center" wrapText="1"/>
    </xf>
    <xf numFmtId="2" fontId="45" fillId="0" borderId="225" xfId="63" applyNumberFormat="1" applyFont="1" applyFill="1" applyBorder="1" applyAlignment="1">
      <alignment horizontal="center" vertical="center" wrapText="1"/>
    </xf>
    <xf numFmtId="2" fontId="45" fillId="0" borderId="220" xfId="63" applyNumberFormat="1" applyFont="1" applyFill="1" applyBorder="1" applyAlignment="1">
      <alignment horizontal="center" vertical="center" wrapText="1"/>
    </xf>
    <xf numFmtId="2" fontId="45" fillId="6" borderId="226" xfId="63" applyNumberFormat="1" applyFont="1" applyFill="1" applyBorder="1" applyAlignment="1">
      <alignment horizontal="center" vertical="center" wrapText="1"/>
    </xf>
    <xf numFmtId="2" fontId="45" fillId="6" borderId="225" xfId="63" applyNumberFormat="1" applyFont="1" applyFill="1" applyBorder="1" applyAlignment="1">
      <alignment horizontal="center" vertical="center" wrapText="1"/>
    </xf>
    <xf numFmtId="2" fontId="45" fillId="6" borderId="220" xfId="63" applyNumberFormat="1" applyFont="1" applyFill="1" applyBorder="1" applyAlignment="1">
      <alignment horizontal="center" vertical="center" wrapText="1"/>
    </xf>
    <xf numFmtId="0" fontId="110" fillId="42" borderId="17" xfId="63" applyFont="1" applyFill="1" applyBorder="1" applyAlignment="1">
      <alignment horizontal="center" vertical="center" wrapText="1"/>
    </xf>
    <xf numFmtId="0" fontId="104" fillId="42" borderId="0" xfId="63" applyFont="1" applyFill="1" applyBorder="1" applyAlignment="1">
      <alignment horizontal="center"/>
    </xf>
    <xf numFmtId="0" fontId="45" fillId="42" borderId="0" xfId="63" applyFont="1" applyFill="1" applyBorder="1" applyAlignment="1">
      <alignment horizontal="left" vertical="center" wrapText="1"/>
    </xf>
    <xf numFmtId="0" fontId="110" fillId="42" borderId="40" xfId="63" applyFont="1" applyFill="1" applyBorder="1" applyAlignment="1">
      <alignment horizontal="center" vertical="center" wrapText="1"/>
    </xf>
    <xf numFmtId="0" fontId="110" fillId="42" borderId="16" xfId="63" applyFont="1" applyFill="1" applyBorder="1" applyAlignment="1">
      <alignment horizontal="center" vertical="center" wrapText="1"/>
    </xf>
    <xf numFmtId="0" fontId="110" fillId="42" borderId="41" xfId="63" applyFont="1" applyFill="1" applyBorder="1" applyAlignment="1">
      <alignment horizontal="center" vertical="center" wrapText="1"/>
    </xf>
    <xf numFmtId="0" fontId="110" fillId="42" borderId="15" xfId="63" applyFont="1" applyFill="1" applyBorder="1" applyAlignment="1">
      <alignment horizontal="center" vertical="center" wrapText="1"/>
    </xf>
    <xf numFmtId="0" fontId="110" fillId="42" borderId="23" xfId="63" applyFont="1" applyFill="1" applyBorder="1" applyAlignment="1">
      <alignment horizontal="center" vertical="center" wrapText="1"/>
    </xf>
    <xf numFmtId="0" fontId="110" fillId="42" borderId="58" xfId="63" applyFont="1" applyFill="1" applyBorder="1" applyAlignment="1">
      <alignment horizontal="center" vertical="center" wrapText="1"/>
    </xf>
    <xf numFmtId="0" fontId="110" fillId="42" borderId="38" xfId="63" applyFont="1" applyFill="1" applyBorder="1" applyAlignment="1">
      <alignment horizontal="center" vertical="center" wrapText="1"/>
    </xf>
    <xf numFmtId="0" fontId="110" fillId="0" borderId="58" xfId="63" applyFont="1" applyBorder="1" applyAlignment="1">
      <alignment horizontal="center" vertical="center" wrapText="1"/>
    </xf>
    <xf numFmtId="0" fontId="110" fillId="0" borderId="50" xfId="63" applyFont="1" applyBorder="1" applyAlignment="1">
      <alignment horizontal="center" vertical="center" wrapText="1"/>
    </xf>
    <xf numFmtId="0" fontId="19" fillId="0" borderId="53" xfId="63" applyBorder="1" applyAlignment="1">
      <alignment horizontal="center" vertical="center" wrapText="1"/>
    </xf>
    <xf numFmtId="0" fontId="110" fillId="0" borderId="0" xfId="63" applyFont="1" applyBorder="1" applyAlignment="1">
      <alignment horizontal="left" vertical="center" wrapText="1"/>
    </xf>
    <xf numFmtId="0" fontId="110" fillId="0" borderId="32" xfId="63" applyFont="1" applyBorder="1" applyAlignment="1">
      <alignment horizontal="center" vertical="center" wrapText="1"/>
    </xf>
    <xf numFmtId="0" fontId="23" fillId="0" borderId="65" xfId="63" applyFont="1" applyBorder="1" applyAlignment="1">
      <alignment horizontal="center" vertical="center" wrapText="1"/>
    </xf>
    <xf numFmtId="0" fontId="23" fillId="0" borderId="37" xfId="63" applyFont="1" applyBorder="1" applyAlignment="1">
      <alignment horizontal="center" vertical="center" wrapText="1"/>
    </xf>
    <xf numFmtId="0" fontId="110" fillId="0" borderId="33" xfId="63" applyFont="1" applyBorder="1" applyAlignment="1">
      <alignment horizontal="center" vertical="center" wrapText="1"/>
    </xf>
    <xf numFmtId="0" fontId="23" fillId="0" borderId="66" xfId="63" applyFont="1" applyBorder="1" applyAlignment="1">
      <alignment horizontal="center" vertical="center" wrapText="1"/>
    </xf>
    <xf numFmtId="0" fontId="23" fillId="0" borderId="38" xfId="63" applyFont="1" applyBorder="1" applyAlignment="1">
      <alignment horizontal="center" vertical="center" wrapText="1"/>
    </xf>
    <xf numFmtId="0" fontId="110" fillId="3" borderId="33" xfId="63" applyFont="1" applyFill="1" applyBorder="1" applyAlignment="1">
      <alignment horizontal="center" vertical="center" wrapText="1"/>
    </xf>
    <xf numFmtId="0" fontId="110" fillId="0" borderId="73" xfId="63" applyFont="1" applyBorder="1" applyAlignment="1">
      <alignment horizontal="center" vertical="center" wrapText="1"/>
    </xf>
    <xf numFmtId="0" fontId="110" fillId="0" borderId="44" xfId="63" applyFont="1" applyBorder="1" applyAlignment="1">
      <alignment horizontal="center" vertical="center" wrapText="1"/>
    </xf>
    <xf numFmtId="0" fontId="110" fillId="0" borderId="42" xfId="63" applyFont="1" applyBorder="1" applyAlignment="1">
      <alignment horizontal="center" vertical="center" wrapText="1"/>
    </xf>
    <xf numFmtId="0" fontId="110" fillId="0" borderId="30" xfId="63" applyFont="1" applyBorder="1" applyAlignment="1">
      <alignment horizontal="center" vertical="center" wrapText="1"/>
    </xf>
    <xf numFmtId="0" fontId="103" fillId="0" borderId="0" xfId="63" applyFont="1" applyBorder="1" applyAlignment="1">
      <alignment horizontal="center" vertical="center" wrapText="1"/>
    </xf>
    <xf numFmtId="0" fontId="27" fillId="0" borderId="0" xfId="63" applyFont="1" applyBorder="1" applyAlignment="1">
      <alignment horizontal="center" vertical="center" wrapText="1"/>
    </xf>
    <xf numFmtId="0" fontId="53" fillId="0" borderId="0" xfId="0" applyFont="1" applyBorder="1" applyAlignment="1">
      <alignment vertical="center" wrapText="1"/>
    </xf>
    <xf numFmtId="0" fontId="58" fillId="0" borderId="0" xfId="0" applyFont="1" applyBorder="1" applyAlignment="1">
      <alignment vertical="center" wrapText="1"/>
    </xf>
    <xf numFmtId="0" fontId="110" fillId="0" borderId="40" xfId="63" applyFont="1" applyBorder="1" applyAlignment="1">
      <alignment horizontal="center" vertical="center" wrapText="1"/>
    </xf>
    <xf numFmtId="0" fontId="19" fillId="0" borderId="16" xfId="63" applyFont="1" applyBorder="1" applyAlignment="1">
      <alignment horizontal="center" vertical="center" wrapText="1"/>
    </xf>
    <xf numFmtId="0" fontId="110" fillId="0" borderId="34" xfId="63" applyFont="1" applyBorder="1" applyAlignment="1">
      <alignment horizontal="center" vertical="center" wrapText="1"/>
    </xf>
    <xf numFmtId="0" fontId="19" fillId="0" borderId="52" xfId="63" applyFont="1" applyBorder="1" applyAlignment="1">
      <alignment horizontal="center" vertical="center" wrapText="1"/>
    </xf>
    <xf numFmtId="0" fontId="19" fillId="0" borderId="56" xfId="63" applyFont="1" applyBorder="1" applyAlignment="1">
      <alignment horizontal="center" vertical="center" wrapText="1"/>
    </xf>
    <xf numFmtId="0" fontId="19" fillId="0" borderId="41" xfId="63" applyBorder="1" applyAlignment="1">
      <alignment horizontal="center" vertical="center" wrapText="1"/>
    </xf>
    <xf numFmtId="0" fontId="110" fillId="0" borderId="36" xfId="63" applyFont="1" applyBorder="1" applyAlignment="1">
      <alignment horizontal="center" vertical="center" wrapText="1"/>
    </xf>
    <xf numFmtId="0" fontId="19" fillId="0" borderId="39" xfId="63" applyFont="1" applyBorder="1" applyAlignment="1">
      <alignment horizontal="center" vertical="center" wrapText="1"/>
    </xf>
    <xf numFmtId="0" fontId="110" fillId="0" borderId="71" xfId="63" applyFont="1" applyBorder="1" applyAlignment="1">
      <alignment horizontal="center" vertical="center" wrapText="1"/>
    </xf>
    <xf numFmtId="0" fontId="19" fillId="0" borderId="51" xfId="63" applyFont="1" applyBorder="1" applyAlignment="1">
      <alignment horizontal="center" vertical="center" wrapText="1"/>
    </xf>
    <xf numFmtId="0" fontId="110" fillId="3" borderId="15" xfId="63" applyFont="1" applyFill="1" applyBorder="1" applyAlignment="1">
      <alignment horizontal="center" vertical="center" wrapText="1"/>
    </xf>
    <xf numFmtId="0" fontId="110" fillId="0" borderId="55" xfId="63" applyFont="1" applyBorder="1" applyAlignment="1">
      <alignment horizontal="center" vertical="center" wrapText="1"/>
    </xf>
    <xf numFmtId="0" fontId="19" fillId="0" borderId="37" xfId="63" applyFont="1" applyBorder="1" applyAlignment="1">
      <alignment horizontal="center" vertical="center" wrapText="1"/>
    </xf>
    <xf numFmtId="0" fontId="117" fillId="0" borderId="0" xfId="63" applyFont="1" applyBorder="1" applyAlignment="1">
      <alignment horizontal="center" vertical="center" wrapText="1"/>
    </xf>
    <xf numFmtId="0" fontId="105" fillId="3" borderId="9" xfId="63" applyFont="1" applyFill="1" applyBorder="1" applyAlignment="1">
      <alignment horizontal="center" vertical="center" wrapText="1"/>
    </xf>
    <xf numFmtId="0" fontId="36" fillId="0" borderId="0" xfId="63" applyFont="1" applyBorder="1" applyAlignment="1">
      <alignment horizontal="center" vertical="center" wrapText="1"/>
    </xf>
    <xf numFmtId="0" fontId="102" fillId="6" borderId="40" xfId="63" applyFont="1" applyFill="1" applyBorder="1" applyAlignment="1">
      <alignment horizontal="center"/>
    </xf>
    <xf numFmtId="0" fontId="102" fillId="6" borderId="41" xfId="63" applyFont="1" applyFill="1" applyBorder="1" applyAlignment="1">
      <alignment horizontal="center"/>
    </xf>
    <xf numFmtId="0" fontId="102" fillId="6" borderId="23" xfId="63" applyFont="1" applyFill="1" applyBorder="1" applyAlignment="1">
      <alignment horizontal="center"/>
    </xf>
    <xf numFmtId="0" fontId="45" fillId="0" borderId="33" xfId="1" applyFont="1" applyBorder="1" applyAlignment="1">
      <alignment horizontal="center" vertical="center" wrapText="1"/>
    </xf>
    <xf numFmtId="0" fontId="45" fillId="0" borderId="36" xfId="1" applyFont="1" applyBorder="1" applyAlignment="1">
      <alignment horizontal="center" vertical="center" wrapText="1"/>
    </xf>
    <xf numFmtId="0" fontId="103" fillId="0" borderId="0" xfId="1" applyFont="1" applyBorder="1" applyAlignment="1">
      <alignment horizontal="center" vertical="center" wrapText="1"/>
    </xf>
    <xf numFmtId="0" fontId="19" fillId="0" borderId="0" xfId="1" applyBorder="1" applyAlignment="1">
      <alignment horizontal="left" vertical="center" wrapText="1"/>
    </xf>
    <xf numFmtId="0" fontId="45" fillId="0" borderId="32" xfId="1" applyFont="1" applyBorder="1" applyAlignment="1">
      <alignment horizontal="center" vertical="center" wrapText="1"/>
    </xf>
    <xf numFmtId="0" fontId="45" fillId="0" borderId="23" xfId="1" applyFont="1" applyBorder="1" applyAlignment="1">
      <alignment horizontal="center" vertical="center" wrapText="1"/>
    </xf>
    <xf numFmtId="0" fontId="19" fillId="0" borderId="17" xfId="1" applyBorder="1" applyAlignment="1">
      <alignment horizontal="center" vertical="center" wrapText="1"/>
    </xf>
    <xf numFmtId="0" fontId="36" fillId="0" borderId="0" xfId="1" applyFont="1" applyBorder="1" applyAlignment="1">
      <alignment horizontal="center" vertical="center" wrapText="1"/>
    </xf>
    <xf numFmtId="0" fontId="45" fillId="0" borderId="40" xfId="1" applyFont="1" applyBorder="1" applyAlignment="1">
      <alignment horizontal="center" vertical="center" wrapText="1"/>
    </xf>
    <xf numFmtId="0" fontId="19" fillId="0" borderId="16" xfId="1" applyBorder="1" applyAlignment="1">
      <alignment horizontal="center" vertical="center" wrapText="1"/>
    </xf>
    <xf numFmtId="0" fontId="45" fillId="0" borderId="41" xfId="1" applyFont="1" applyBorder="1" applyAlignment="1">
      <alignment horizontal="center" vertical="center" wrapText="1"/>
    </xf>
    <xf numFmtId="0" fontId="19" fillId="0" borderId="15" xfId="1" applyBorder="1" applyAlignment="1">
      <alignment horizontal="center" vertical="center" wrapText="1"/>
    </xf>
    <xf numFmtId="0" fontId="53" fillId="0" borderId="55" xfId="1" applyFont="1" applyBorder="1" applyAlignment="1">
      <alignment horizontal="center" vertical="center" wrapText="1"/>
    </xf>
    <xf numFmtId="0" fontId="53" fillId="0" borderId="37" xfId="1" applyFont="1" applyBorder="1" applyAlignment="1">
      <alignment horizontal="center" vertical="center" wrapText="1"/>
    </xf>
    <xf numFmtId="0" fontId="53" fillId="0" borderId="58" xfId="1" applyFont="1" applyBorder="1" applyAlignment="1">
      <alignment horizontal="center" vertical="center" wrapText="1"/>
    </xf>
    <xf numFmtId="0" fontId="58" fillId="0" borderId="50" xfId="1" applyFont="1" applyBorder="1" applyAlignment="1">
      <alignment vertical="center" wrapText="1"/>
    </xf>
    <xf numFmtId="0" fontId="58" fillId="0" borderId="39" xfId="1" applyFont="1" applyBorder="1" applyAlignment="1">
      <alignment vertical="center" wrapText="1"/>
    </xf>
    <xf numFmtId="0" fontId="53" fillId="0" borderId="12" xfId="1" applyFont="1" applyBorder="1" applyAlignment="1">
      <alignment horizontal="center" vertical="center" wrapText="1"/>
    </xf>
    <xf numFmtId="0" fontId="53" fillId="0" borderId="13" xfId="1" applyFont="1" applyBorder="1" applyAlignment="1">
      <alignment horizontal="center" vertical="center" wrapText="1"/>
    </xf>
    <xf numFmtId="0" fontId="58" fillId="0" borderId="14" xfId="1" applyFont="1" applyBorder="1" applyAlignment="1">
      <alignment vertical="center" wrapText="1"/>
    </xf>
    <xf numFmtId="0" fontId="58" fillId="0" borderId="17" xfId="1" applyFont="1" applyBorder="1" applyAlignment="1">
      <alignment vertical="center" wrapText="1"/>
    </xf>
    <xf numFmtId="0" fontId="58" fillId="0" borderId="17" xfId="1" applyFont="1" applyBorder="1" applyAlignment="1">
      <alignment vertical="center"/>
    </xf>
    <xf numFmtId="0" fontId="53" fillId="0" borderId="55" xfId="1" applyFont="1" applyFill="1" applyBorder="1" applyAlignment="1">
      <alignment horizontal="center" vertical="center" wrapText="1"/>
    </xf>
    <xf numFmtId="0" fontId="19" fillId="0" borderId="37" xfId="1" applyFill="1" applyBorder="1" applyAlignment="1">
      <alignment horizontal="center" vertical="center" wrapText="1"/>
    </xf>
    <xf numFmtId="0" fontId="45" fillId="0" borderId="144" xfId="10642" applyFont="1" applyFill="1" applyBorder="1" applyAlignment="1">
      <alignment horizontal="center" vertical="center" wrapText="1"/>
    </xf>
    <xf numFmtId="0" fontId="19" fillId="0" borderId="144" xfId="10642" applyFill="1" applyBorder="1" applyAlignment="1">
      <alignment horizontal="center" vertical="center" wrapText="1"/>
    </xf>
    <xf numFmtId="0" fontId="45" fillId="0" borderId="153" xfId="10642" applyFont="1" applyFill="1" applyBorder="1" applyAlignment="1">
      <alignment horizontal="center" vertical="center" wrapText="1"/>
    </xf>
    <xf numFmtId="0" fontId="45" fillId="0" borderId="38" xfId="10642" applyFont="1" applyFill="1" applyBorder="1" applyAlignment="1">
      <alignment horizontal="center" vertical="center" wrapText="1"/>
    </xf>
    <xf numFmtId="0" fontId="53" fillId="0" borderId="153" xfId="10642" applyFont="1" applyBorder="1" applyAlignment="1">
      <alignment horizontal="center" vertical="center" wrapText="1"/>
    </xf>
    <xf numFmtId="0" fontId="19" fillId="0" borderId="38" xfId="10642" applyBorder="1" applyAlignment="1">
      <alignment horizontal="center" vertical="center" wrapText="1"/>
    </xf>
    <xf numFmtId="0" fontId="109" fillId="6" borderId="58" xfId="1" applyFont="1" applyFill="1" applyBorder="1" applyAlignment="1">
      <alignment horizontal="center" vertical="center" wrapText="1"/>
    </xf>
    <xf numFmtId="0" fontId="105" fillId="6" borderId="58" xfId="1" applyFont="1" applyFill="1" applyBorder="1" applyAlignment="1">
      <alignment horizontal="center" vertical="center" wrapText="1"/>
    </xf>
    <xf numFmtId="0" fontId="53" fillId="0" borderId="0" xfId="63" applyFont="1" applyBorder="1" applyAlignment="1">
      <alignment horizontal="left" vertical="center" wrapText="1"/>
    </xf>
    <xf numFmtId="0" fontId="110" fillId="0" borderId="71" xfId="63" applyFont="1" applyFill="1" applyBorder="1" applyAlignment="1">
      <alignment horizontal="center" vertical="center"/>
    </xf>
    <xf numFmtId="0" fontId="23" fillId="0" borderId="51" xfId="63" applyFont="1" applyFill="1" applyBorder="1" applyAlignment="1">
      <alignment horizontal="center" vertical="center"/>
    </xf>
    <xf numFmtId="0" fontId="110" fillId="6" borderId="32" xfId="63" applyFont="1" applyFill="1" applyBorder="1" applyAlignment="1">
      <alignment horizontal="center" vertical="center" wrapText="1"/>
    </xf>
    <xf numFmtId="0" fontId="23" fillId="6" borderId="12" xfId="63" applyFont="1" applyFill="1" applyBorder="1" applyAlignment="1">
      <alignment horizontal="center" vertical="center" wrapText="1"/>
    </xf>
    <xf numFmtId="0" fontId="23" fillId="0" borderId="12" xfId="63" applyFont="1" applyFill="1" applyBorder="1" applyAlignment="1">
      <alignment horizontal="center" vertical="center" wrapText="1"/>
    </xf>
    <xf numFmtId="0" fontId="110" fillId="0" borderId="65" xfId="63" applyFont="1" applyFill="1" applyBorder="1" applyAlignment="1">
      <alignment horizontal="center" vertical="center" wrapText="1"/>
    </xf>
    <xf numFmtId="0" fontId="23" fillId="0" borderId="65" xfId="63" applyFont="1" applyFill="1" applyBorder="1" applyAlignment="1">
      <alignment horizontal="center" vertical="center" wrapText="1"/>
    </xf>
    <xf numFmtId="0" fontId="110" fillId="41" borderId="1" xfId="63" applyFont="1" applyFill="1" applyBorder="1" applyAlignment="1">
      <alignment horizontal="center" vertical="center"/>
    </xf>
    <xf numFmtId="0" fontId="23" fillId="0" borderId="6" xfId="63" applyFont="1" applyBorder="1" applyAlignment="1">
      <alignment horizontal="center" vertical="center"/>
    </xf>
    <xf numFmtId="0" fontId="110" fillId="0" borderId="4" xfId="63" applyFont="1" applyFill="1" applyBorder="1" applyAlignment="1">
      <alignment horizontal="center" vertical="center"/>
    </xf>
    <xf numFmtId="0" fontId="110" fillId="41" borderId="71" xfId="63" applyFont="1" applyFill="1" applyBorder="1" applyAlignment="1">
      <alignment horizontal="center" vertical="center"/>
    </xf>
    <xf numFmtId="0" fontId="23" fillId="0" borderId="51" xfId="63" applyFont="1" applyBorder="1" applyAlignment="1">
      <alignment horizontal="center" vertical="center"/>
    </xf>
    <xf numFmtId="0" fontId="109" fillId="6" borderId="65" xfId="63" applyFont="1" applyFill="1" applyBorder="1" applyAlignment="1">
      <alignment horizontal="center" vertical="center" wrapText="1"/>
    </xf>
    <xf numFmtId="0" fontId="146" fillId="6" borderId="65" xfId="63" applyFont="1" applyFill="1" applyBorder="1" applyAlignment="1">
      <alignment horizontal="center" vertical="center" wrapText="1"/>
    </xf>
    <xf numFmtId="0" fontId="109" fillId="0" borderId="32" xfId="63" applyFont="1" applyFill="1" applyBorder="1" applyAlignment="1">
      <alignment horizontal="center" vertical="center" wrapText="1"/>
    </xf>
    <xf numFmtId="0" fontId="146" fillId="0" borderId="249" xfId="63" applyFont="1" applyFill="1" applyBorder="1" applyAlignment="1">
      <alignment horizontal="center" vertical="center" wrapText="1"/>
    </xf>
    <xf numFmtId="2" fontId="45" fillId="6" borderId="67" xfId="63" applyNumberFormat="1" applyFont="1" applyFill="1" applyBorder="1" applyAlignment="1">
      <alignment horizontal="center" vertical="center"/>
    </xf>
    <xf numFmtId="2" fontId="45" fillId="6" borderId="2" xfId="63" applyNumberFormat="1" applyFont="1" applyFill="1" applyBorder="1" applyAlignment="1">
      <alignment horizontal="center" vertical="center"/>
    </xf>
    <xf numFmtId="2" fontId="45" fillId="6" borderId="3" xfId="63" applyNumberFormat="1" applyFont="1" applyFill="1" applyBorder="1" applyAlignment="1">
      <alignment horizontal="center" vertical="center"/>
    </xf>
    <xf numFmtId="2" fontId="45" fillId="6" borderId="227" xfId="63" applyNumberFormat="1" applyFont="1" applyFill="1" applyBorder="1" applyAlignment="1">
      <alignment horizontal="center" vertical="center"/>
    </xf>
    <xf numFmtId="2" fontId="45" fillId="6" borderId="198" xfId="63" applyNumberFormat="1" applyFont="1" applyFill="1" applyBorder="1" applyAlignment="1">
      <alignment horizontal="center" vertical="center"/>
    </xf>
    <xf numFmtId="2" fontId="45" fillId="6" borderId="199" xfId="63" applyNumberFormat="1" applyFont="1" applyFill="1" applyBorder="1" applyAlignment="1">
      <alignment horizontal="center" vertical="center"/>
    </xf>
    <xf numFmtId="0" fontId="110" fillId="6" borderId="65" xfId="63" applyFont="1" applyFill="1" applyBorder="1" applyAlignment="1">
      <alignment horizontal="center" vertical="center" wrapText="1"/>
    </xf>
    <xf numFmtId="0" fontId="23" fillId="6" borderId="65" xfId="63" applyFont="1" applyFill="1" applyBorder="1" applyAlignment="1">
      <alignment horizontal="center" vertical="center" wrapText="1"/>
    </xf>
    <xf numFmtId="0" fontId="110" fillId="41" borderId="140" xfId="63" applyFont="1" applyFill="1" applyBorder="1" applyAlignment="1">
      <alignment horizontal="center" vertical="center"/>
    </xf>
    <xf numFmtId="0" fontId="110" fillId="41" borderId="74" xfId="63" applyFont="1" applyFill="1" applyBorder="1" applyAlignment="1">
      <alignment horizontal="center" vertical="center"/>
    </xf>
    <xf numFmtId="0" fontId="110" fillId="0" borderId="12" xfId="63" applyFont="1" applyFill="1" applyBorder="1" applyAlignment="1">
      <alignment horizontal="center" vertical="center" wrapText="1"/>
    </xf>
    <xf numFmtId="0" fontId="109" fillId="6" borderId="32" xfId="63" quotePrefix="1" applyFont="1" applyFill="1" applyBorder="1" applyAlignment="1">
      <alignment horizontal="center" vertical="center" wrapText="1"/>
    </xf>
    <xf numFmtId="0" fontId="146" fillId="6" borderId="249" xfId="63" applyFont="1" applyFill="1" applyBorder="1" applyAlignment="1">
      <alignment horizontal="center" vertical="center" wrapText="1"/>
    </xf>
    <xf numFmtId="0" fontId="146" fillId="0" borderId="12" xfId="63" applyFont="1" applyFill="1" applyBorder="1" applyAlignment="1">
      <alignment horizontal="center" vertical="center" wrapText="1"/>
    </xf>
    <xf numFmtId="0" fontId="109" fillId="6" borderId="32" xfId="63" applyFont="1" applyFill="1" applyBorder="1" applyAlignment="1">
      <alignment horizontal="center" vertical="center" wrapText="1"/>
    </xf>
    <xf numFmtId="0" fontId="146" fillId="6" borderId="12" xfId="63" applyFont="1" applyFill="1" applyBorder="1" applyAlignment="1">
      <alignment horizontal="center" vertical="center" wrapText="1"/>
    </xf>
    <xf numFmtId="0" fontId="109" fillId="4" borderId="32" xfId="63" quotePrefix="1" applyFont="1" applyFill="1" applyBorder="1" applyAlignment="1">
      <alignment horizontal="center" vertical="center" wrapText="1"/>
    </xf>
    <xf numFmtId="0" fontId="146" fillId="4" borderId="249" xfId="63" applyFont="1" applyFill="1" applyBorder="1" applyAlignment="1">
      <alignment horizontal="center" vertical="center" wrapText="1"/>
    </xf>
    <xf numFmtId="0" fontId="109" fillId="6" borderId="65" xfId="63" quotePrefix="1" applyFont="1" applyFill="1" applyBorder="1" applyAlignment="1">
      <alignment horizontal="center" vertical="center" wrapText="1"/>
    </xf>
    <xf numFmtId="16" fontId="109" fillId="0" borderId="32" xfId="63" quotePrefix="1" applyNumberFormat="1" applyFont="1" applyFill="1" applyBorder="1" applyAlignment="1">
      <alignment horizontal="center" vertical="center" wrapText="1"/>
    </xf>
    <xf numFmtId="0" fontId="109" fillId="0" borderId="12" xfId="63" applyFont="1" applyFill="1" applyBorder="1" applyAlignment="1">
      <alignment horizontal="center" vertical="center" wrapText="1"/>
    </xf>
    <xf numFmtId="0" fontId="53" fillId="0" borderId="0" xfId="63" applyNumberFormat="1" applyFont="1" applyFill="1" applyBorder="1" applyAlignment="1" applyProtection="1">
      <alignment horizontal="left" vertical="center" wrapText="1"/>
      <protection locked="0"/>
    </xf>
    <xf numFmtId="0" fontId="30" fillId="0" borderId="0" xfId="63" applyNumberFormat="1" applyFont="1" applyBorder="1" applyAlignment="1" applyProtection="1">
      <alignment horizontal="left" vertical="center" wrapText="1"/>
      <protection locked="0"/>
    </xf>
    <xf numFmtId="16" fontId="109" fillId="6" borderId="32" xfId="63" quotePrefix="1" applyNumberFormat="1" applyFont="1" applyFill="1" applyBorder="1" applyAlignment="1">
      <alignment horizontal="center" vertical="center" wrapText="1"/>
    </xf>
    <xf numFmtId="0" fontId="109" fillId="4" borderId="65" xfId="63" quotePrefix="1" applyFont="1" applyFill="1" applyBorder="1" applyAlignment="1">
      <alignment horizontal="center" vertical="center" wrapText="1"/>
    </xf>
    <xf numFmtId="0" fontId="146" fillId="4" borderId="65" xfId="63" applyFont="1" applyFill="1" applyBorder="1" applyAlignment="1">
      <alignment horizontal="center" vertical="center" wrapText="1"/>
    </xf>
    <xf numFmtId="2" fontId="45" fillId="4" borderId="67" xfId="63" applyNumberFormat="1" applyFont="1" applyFill="1" applyBorder="1" applyAlignment="1">
      <alignment horizontal="center" vertical="center"/>
    </xf>
    <xf numFmtId="2" fontId="45" fillId="4" borderId="2" xfId="63" applyNumberFormat="1" applyFont="1" applyFill="1" applyBorder="1" applyAlignment="1">
      <alignment horizontal="center" vertical="center"/>
    </xf>
    <xf numFmtId="2" fontId="45" fillId="4" borderId="3" xfId="63" applyNumberFormat="1" applyFont="1" applyFill="1" applyBorder="1" applyAlignment="1">
      <alignment horizontal="center" vertical="center"/>
    </xf>
    <xf numFmtId="2" fontId="45" fillId="4" borderId="227" xfId="63" applyNumberFormat="1" applyFont="1" applyFill="1" applyBorder="1" applyAlignment="1">
      <alignment horizontal="center" vertical="center"/>
    </xf>
    <xf numFmtId="2" fontId="45" fillId="4" borderId="198" xfId="63" applyNumberFormat="1" applyFont="1" applyFill="1" applyBorder="1" applyAlignment="1">
      <alignment horizontal="center" vertical="center"/>
    </xf>
    <xf numFmtId="2" fontId="45" fillId="4" borderId="199" xfId="63" applyNumberFormat="1" applyFont="1" applyFill="1" applyBorder="1" applyAlignment="1">
      <alignment horizontal="center" vertical="center"/>
    </xf>
    <xf numFmtId="0" fontId="110" fillId="4" borderId="65" xfId="63" applyFont="1" applyFill="1" applyBorder="1" applyAlignment="1">
      <alignment horizontal="center" vertical="center" wrapText="1"/>
    </xf>
    <xf numFmtId="0" fontId="23" fillId="4" borderId="65" xfId="63" applyFont="1" applyFill="1" applyBorder="1" applyAlignment="1">
      <alignment horizontal="center" vertical="center" wrapText="1"/>
    </xf>
    <xf numFmtId="0" fontId="110" fillId="4" borderId="32" xfId="63" applyFont="1" applyFill="1" applyBorder="1" applyAlignment="1">
      <alignment horizontal="center" vertical="center" wrapText="1"/>
    </xf>
    <xf numFmtId="0" fontId="23" fillId="4" borderId="12" xfId="63" applyFont="1" applyFill="1" applyBorder="1" applyAlignment="1">
      <alignment horizontal="center" vertical="center" wrapText="1"/>
    </xf>
    <xf numFmtId="0" fontId="109" fillId="4" borderId="32" xfId="63" applyFont="1" applyFill="1" applyBorder="1" applyAlignment="1">
      <alignment horizontal="center" vertical="center" wrapText="1"/>
    </xf>
    <xf numFmtId="0" fontId="146" fillId="4" borderId="12" xfId="63" applyFont="1" applyFill="1" applyBorder="1" applyAlignment="1">
      <alignment horizontal="center" vertical="center" wrapText="1"/>
    </xf>
    <xf numFmtId="0" fontId="110" fillId="6" borderId="12" xfId="63" applyFont="1" applyFill="1" applyBorder="1" applyAlignment="1">
      <alignment horizontal="center" vertical="center" wrapText="1"/>
    </xf>
    <xf numFmtId="0" fontId="53" fillId="0" borderId="0" xfId="0" applyNumberFormat="1" applyFont="1" applyFill="1" applyBorder="1" applyAlignment="1" applyProtection="1">
      <alignment horizontal="left" vertical="center" wrapText="1"/>
      <protection locked="0"/>
    </xf>
    <xf numFmtId="0" fontId="30" fillId="0" borderId="0" xfId="0" applyNumberFormat="1" applyFont="1" applyBorder="1" applyAlignment="1" applyProtection="1">
      <alignment horizontal="left" vertical="center" wrapText="1"/>
      <protection locked="0"/>
    </xf>
    <xf numFmtId="0" fontId="109" fillId="0" borderId="65" xfId="63" applyFont="1" applyFill="1" applyBorder="1" applyAlignment="1">
      <alignment horizontal="center" vertical="center" wrapText="1"/>
    </xf>
    <xf numFmtId="0" fontId="146" fillId="0" borderId="65" xfId="63" applyFont="1" applyBorder="1" applyAlignment="1">
      <alignment horizontal="center" vertical="center" wrapText="1"/>
    </xf>
    <xf numFmtId="0" fontId="109" fillId="6" borderId="12" xfId="63" applyFont="1" applyFill="1" applyBorder="1" applyAlignment="1">
      <alignment horizontal="center" vertical="center" wrapText="1"/>
    </xf>
    <xf numFmtId="2" fontId="140" fillId="0" borderId="226" xfId="0" applyNumberFormat="1" applyFont="1" applyBorder="1" applyAlignment="1">
      <alignment horizontal="center" vertical="center"/>
    </xf>
    <xf numFmtId="2" fontId="140" fillId="0" borderId="225" xfId="0" applyNumberFormat="1" applyFont="1" applyBorder="1" applyAlignment="1">
      <alignment horizontal="center" vertical="center"/>
    </xf>
    <xf numFmtId="2" fontId="140" fillId="0" borderId="220" xfId="0" applyNumberFormat="1" applyFont="1" applyBorder="1" applyAlignment="1">
      <alignment horizontal="center" vertical="center"/>
    </xf>
    <xf numFmtId="0" fontId="26" fillId="4" borderId="40" xfId="0" applyFont="1" applyFill="1" applyBorder="1" applyAlignment="1">
      <alignment horizontal="center" vertical="center"/>
    </xf>
    <xf numFmtId="0" fontId="26" fillId="4" borderId="23" xfId="0" applyFont="1" applyFill="1" applyBorder="1" applyAlignment="1">
      <alignment horizontal="center" vertical="center"/>
    </xf>
    <xf numFmtId="2" fontId="140" fillId="0" borderId="51" xfId="0" applyNumberFormat="1" applyFont="1" applyBorder="1" applyAlignment="1">
      <alignment horizontal="center" vertical="center"/>
    </xf>
    <xf numFmtId="2" fontId="140" fillId="0" borderId="200" xfId="0" applyNumberFormat="1" applyFont="1" applyBorder="1" applyAlignment="1">
      <alignment horizontal="center" vertical="center"/>
    </xf>
    <xf numFmtId="2" fontId="140" fillId="0" borderId="54" xfId="0" applyNumberFormat="1" applyFont="1" applyBorder="1" applyAlignment="1">
      <alignment horizontal="center" vertical="center"/>
    </xf>
    <xf numFmtId="0" fontId="26" fillId="4" borderId="41" xfId="0" applyFont="1" applyFill="1" applyBorder="1" applyAlignment="1">
      <alignment horizontal="center" vertical="center"/>
    </xf>
    <xf numFmtId="0" fontId="26" fillId="4" borderId="42" xfId="0" applyFont="1" applyFill="1" applyBorder="1" applyAlignment="1">
      <alignment horizontal="center" vertical="center"/>
    </xf>
    <xf numFmtId="0" fontId="26" fillId="4" borderId="65" xfId="0" applyFont="1" applyFill="1" applyBorder="1" applyAlignment="1">
      <alignment horizontal="center" vertical="center"/>
    </xf>
    <xf numFmtId="0" fontId="26" fillId="4" borderId="66" xfId="0" applyFont="1" applyFill="1" applyBorder="1" applyAlignment="1">
      <alignment horizontal="center" vertical="center"/>
    </xf>
    <xf numFmtId="0" fontId="26" fillId="4" borderId="75" xfId="0" applyFont="1" applyFill="1" applyBorder="1" applyAlignment="1">
      <alignment horizontal="center" vertical="center"/>
    </xf>
    <xf numFmtId="0" fontId="26" fillId="4" borderId="18" xfId="0" applyFont="1" applyFill="1" applyBorder="1" applyAlignment="1">
      <alignment horizontal="center" vertical="center"/>
    </xf>
    <xf numFmtId="0" fontId="26" fillId="4" borderId="19" xfId="0" applyFont="1" applyFill="1" applyBorder="1" applyAlignment="1">
      <alignment horizontal="center" vertical="center"/>
    </xf>
    <xf numFmtId="0" fontId="26" fillId="4" borderId="43" xfId="0" applyFont="1" applyFill="1" applyBorder="1" applyAlignment="1">
      <alignment horizontal="center" vertical="center"/>
    </xf>
    <xf numFmtId="0" fontId="26" fillId="4" borderId="44" xfId="0" applyFont="1" applyFill="1" applyBorder="1" applyAlignment="1">
      <alignment horizontal="center" vertical="center" wrapText="1"/>
    </xf>
    <xf numFmtId="0" fontId="26" fillId="4" borderId="42" xfId="0" applyFont="1" applyFill="1" applyBorder="1" applyAlignment="1">
      <alignment horizontal="center" vertical="center" wrapText="1"/>
    </xf>
    <xf numFmtId="0" fontId="26" fillId="4" borderId="44" xfId="0" applyFont="1" applyFill="1" applyBorder="1" applyAlignment="1">
      <alignment horizontal="center" vertical="center"/>
    </xf>
    <xf numFmtId="0" fontId="26" fillId="4" borderId="4" xfId="0" applyFont="1" applyFill="1" applyBorder="1" applyAlignment="1">
      <alignment horizontal="center" vertical="center"/>
    </xf>
    <xf numFmtId="0" fontId="26" fillId="4" borderId="0" xfId="0" applyFont="1" applyFill="1" applyBorder="1" applyAlignment="1">
      <alignment horizontal="center" vertical="center"/>
    </xf>
    <xf numFmtId="0" fontId="26" fillId="4" borderId="197" xfId="0" applyFont="1" applyFill="1" applyBorder="1" applyAlignment="1">
      <alignment horizontal="center" vertical="center"/>
    </xf>
    <xf numFmtId="0" fontId="26" fillId="4" borderId="198" xfId="0" applyFont="1" applyFill="1" applyBorder="1" applyAlignment="1">
      <alignment horizontal="center" vertical="center"/>
    </xf>
    <xf numFmtId="0" fontId="26" fillId="4" borderId="199" xfId="0" applyFont="1" applyFill="1" applyBorder="1" applyAlignment="1">
      <alignment horizontal="center" vertical="center"/>
    </xf>
    <xf numFmtId="0" fontId="26" fillId="4" borderId="21" xfId="0" applyFont="1" applyFill="1" applyBorder="1" applyAlignment="1">
      <alignment horizontal="center" vertical="center"/>
    </xf>
    <xf numFmtId="0" fontId="26" fillId="4" borderId="62" xfId="0" applyFont="1" applyFill="1" applyBorder="1" applyAlignment="1">
      <alignment horizontal="center" vertical="center"/>
    </xf>
    <xf numFmtId="0" fontId="26" fillId="4" borderId="22" xfId="0" applyFont="1" applyFill="1" applyBorder="1" applyAlignment="1">
      <alignment horizontal="center" vertical="center"/>
    </xf>
    <xf numFmtId="0" fontId="26" fillId="4" borderId="24" xfId="0" applyFont="1" applyFill="1" applyBorder="1" applyAlignment="1">
      <alignment horizontal="center" vertical="center" wrapText="1"/>
    </xf>
    <xf numFmtId="0" fontId="26" fillId="4" borderId="26" xfId="0" applyFont="1" applyFill="1" applyBorder="1" applyAlignment="1">
      <alignment horizontal="center" vertical="center" wrapText="1"/>
    </xf>
    <xf numFmtId="0" fontId="26" fillId="4" borderId="40" xfId="0" applyFont="1" applyFill="1" applyBorder="1" applyAlignment="1">
      <alignment horizontal="center" vertical="center" wrapText="1"/>
    </xf>
    <xf numFmtId="0" fontId="26" fillId="4" borderId="18" xfId="0" applyFont="1" applyFill="1" applyBorder="1" applyAlignment="1">
      <alignment horizontal="center" vertical="center" wrapText="1"/>
    </xf>
    <xf numFmtId="0" fontId="26" fillId="4" borderId="23" xfId="0" applyFont="1" applyFill="1" applyBorder="1" applyAlignment="1">
      <alignment horizontal="center" vertical="center" wrapText="1"/>
    </xf>
    <xf numFmtId="0" fontId="26" fillId="4" borderId="20" xfId="0" applyFont="1" applyFill="1" applyBorder="1" applyAlignment="1">
      <alignment horizontal="center" vertical="center" wrapText="1"/>
    </xf>
    <xf numFmtId="0" fontId="140" fillId="4" borderId="65" xfId="0" applyFont="1" applyFill="1" applyBorder="1" applyAlignment="1">
      <alignment horizontal="center" vertical="center" wrapText="1"/>
    </xf>
    <xf numFmtId="0" fontId="140" fillId="4" borderId="37" xfId="0" applyFont="1" applyFill="1" applyBorder="1" applyAlignment="1">
      <alignment horizontal="center" vertical="center" wrapText="1"/>
    </xf>
    <xf numFmtId="0" fontId="140" fillId="4" borderId="53" xfId="0" applyFont="1" applyFill="1" applyBorder="1" applyAlignment="1">
      <alignment horizontal="center" vertical="center" wrapText="1"/>
    </xf>
    <xf numFmtId="0" fontId="140" fillId="4" borderId="39" xfId="0" applyFont="1" applyFill="1" applyBorder="1" applyAlignment="1">
      <alignment horizontal="center" vertical="center" wrapText="1"/>
    </xf>
    <xf numFmtId="0" fontId="34" fillId="6" borderId="198" xfId="0" applyFont="1" applyFill="1" applyBorder="1" applyAlignment="1">
      <alignment horizontal="left" vertical="center" wrapText="1"/>
    </xf>
    <xf numFmtId="0" fontId="34" fillId="6" borderId="2" xfId="0" applyFont="1" applyFill="1" applyBorder="1" applyAlignment="1">
      <alignment horizontal="left" vertical="center" wrapText="1"/>
    </xf>
    <xf numFmtId="3" fontId="26" fillId="4" borderId="124" xfId="0" applyNumberFormat="1" applyFont="1" applyFill="1" applyBorder="1" applyAlignment="1">
      <alignment horizontal="center" vertical="center"/>
    </xf>
    <xf numFmtId="3" fontId="26" fillId="4" borderId="121" xfId="0" applyNumberFormat="1" applyFont="1" applyFill="1" applyBorder="1" applyAlignment="1">
      <alignment horizontal="center" vertical="center"/>
    </xf>
    <xf numFmtId="0" fontId="26" fillId="4" borderId="129" xfId="0" applyFont="1" applyFill="1" applyBorder="1" applyAlignment="1">
      <alignment horizontal="center" vertical="center"/>
    </xf>
    <xf numFmtId="0" fontId="26" fillId="4" borderId="119" xfId="0" applyFont="1" applyFill="1" applyBorder="1" applyAlignment="1">
      <alignment horizontal="center" vertical="center"/>
    </xf>
    <xf numFmtId="2" fontId="140" fillId="0" borderId="230" xfId="0" applyNumberFormat="1" applyFont="1" applyBorder="1" applyAlignment="1">
      <alignment horizontal="center" vertical="center"/>
    </xf>
    <xf numFmtId="2" fontId="140" fillId="0" borderId="53" xfId="0" applyNumberFormat="1" applyFont="1" applyBorder="1" applyAlignment="1">
      <alignment horizontal="center" vertical="center"/>
    </xf>
    <xf numFmtId="2" fontId="140" fillId="0" borderId="39" xfId="0" applyNumberFormat="1" applyFont="1" applyBorder="1" applyAlignment="1">
      <alignment horizontal="center" vertical="center"/>
    </xf>
    <xf numFmtId="2" fontId="140" fillId="0" borderId="235" xfId="0" applyNumberFormat="1" applyFont="1" applyBorder="1" applyAlignment="1">
      <alignment horizontal="center" vertical="center"/>
    </xf>
    <xf numFmtId="2" fontId="140" fillId="0" borderId="65" xfId="0" applyNumberFormat="1" applyFont="1" applyBorder="1" applyAlignment="1">
      <alignment horizontal="center" vertical="center"/>
    </xf>
    <xf numFmtId="2" fontId="140" fillId="0" borderId="37" xfId="0" applyNumberFormat="1" applyFont="1" applyBorder="1" applyAlignment="1">
      <alignment horizontal="center" vertical="center"/>
    </xf>
    <xf numFmtId="3" fontId="140" fillId="0" borderId="129" xfId="0" applyNumberFormat="1" applyFont="1" applyFill="1" applyBorder="1" applyAlignment="1">
      <alignment horizontal="center" vertical="center"/>
    </xf>
    <xf numFmtId="3" fontId="140" fillId="0" borderId="119" xfId="0" applyNumberFormat="1" applyFont="1" applyFill="1" applyBorder="1" applyAlignment="1">
      <alignment horizontal="center" vertical="center"/>
    </xf>
    <xf numFmtId="2" fontId="140" fillId="0" borderId="158" xfId="0" applyNumberFormat="1" applyFont="1" applyBorder="1" applyAlignment="1">
      <alignment horizontal="center" vertical="center"/>
    </xf>
    <xf numFmtId="2" fontId="140" fillId="0" borderId="164" xfId="0" applyNumberFormat="1" applyFont="1" applyBorder="1" applyAlignment="1">
      <alignment horizontal="center" vertical="center"/>
    </xf>
    <xf numFmtId="2" fontId="140" fillId="0" borderId="149" xfId="0" applyNumberFormat="1" applyFont="1" applyBorder="1" applyAlignment="1">
      <alignment horizontal="center" vertical="center"/>
    </xf>
    <xf numFmtId="3" fontId="140" fillId="0" borderId="24" xfId="0" applyNumberFormat="1" applyFont="1" applyFill="1" applyBorder="1" applyAlignment="1">
      <alignment horizontal="center" vertical="center"/>
    </xf>
    <xf numFmtId="3" fontId="140" fillId="0" borderId="30" xfId="0" applyNumberFormat="1" applyFont="1" applyFill="1" applyBorder="1" applyAlignment="1">
      <alignment horizontal="center" vertical="center"/>
    </xf>
    <xf numFmtId="2" fontId="140" fillId="0" borderId="129" xfId="0" quotePrefix="1" applyNumberFormat="1" applyFont="1" applyFill="1" applyBorder="1" applyAlignment="1">
      <alignment horizontal="center" vertical="center"/>
    </xf>
    <xf numFmtId="2" fontId="140" fillId="0" borderId="119" xfId="0" applyNumberFormat="1" applyFont="1" applyFill="1" applyBorder="1" applyAlignment="1">
      <alignment horizontal="center" vertical="center"/>
    </xf>
    <xf numFmtId="0" fontId="26" fillId="4" borderId="5"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7" xfId="0" applyFont="1" applyFill="1" applyBorder="1" applyAlignment="1">
      <alignment horizontal="center" vertical="center"/>
    </xf>
    <xf numFmtId="0" fontId="26" fillId="4" borderId="8" xfId="0" applyFont="1" applyFill="1" applyBorder="1" applyAlignment="1">
      <alignment horizontal="center" vertical="center"/>
    </xf>
    <xf numFmtId="0" fontId="26" fillId="4" borderId="124" xfId="0" applyFont="1" applyFill="1" applyBorder="1" applyAlignment="1">
      <alignment horizontal="center" vertical="center"/>
    </xf>
    <xf numFmtId="0" fontId="26" fillId="4" borderId="121" xfId="0" applyFont="1" applyFill="1" applyBorder="1" applyAlignment="1">
      <alignment horizontal="center" vertical="center"/>
    </xf>
    <xf numFmtId="3" fontId="140" fillId="0" borderId="226" xfId="0" applyNumberFormat="1" applyFont="1" applyFill="1" applyBorder="1" applyAlignment="1">
      <alignment horizontal="center" vertical="center"/>
    </xf>
    <xf numFmtId="3" fontId="140" fillId="0" borderId="220" xfId="0" applyNumberFormat="1" applyFont="1" applyFill="1" applyBorder="1" applyAlignment="1">
      <alignment horizontal="center" vertical="center"/>
    </xf>
    <xf numFmtId="3" fontId="140" fillId="0" borderId="234" xfId="0" applyNumberFormat="1" applyFont="1" applyFill="1" applyBorder="1" applyAlignment="1">
      <alignment horizontal="center" vertical="center"/>
    </xf>
    <xf numFmtId="3" fontId="140" fillId="0" borderId="240" xfId="0" applyNumberFormat="1" applyFont="1" applyFill="1" applyBorder="1" applyAlignment="1">
      <alignment horizontal="center" vertical="center"/>
    </xf>
    <xf numFmtId="3" fontId="140" fillId="0" borderId="4" xfId="0" applyNumberFormat="1" applyFont="1" applyFill="1" applyBorder="1" applyAlignment="1">
      <alignment horizontal="center" vertical="center"/>
    </xf>
    <xf numFmtId="3" fontId="140" fillId="0" borderId="5" xfId="0" applyNumberFormat="1" applyFont="1" applyFill="1" applyBorder="1" applyAlignment="1">
      <alignment horizontal="center" vertical="center"/>
    </xf>
    <xf numFmtId="3" fontId="140" fillId="0" borderId="51" xfId="0" applyNumberFormat="1" applyFont="1" applyFill="1" applyBorder="1" applyAlignment="1">
      <alignment horizontal="center" vertical="center"/>
    </xf>
    <xf numFmtId="3" fontId="140" fillId="0" borderId="54" xfId="0" applyNumberFormat="1" applyFont="1" applyFill="1" applyBorder="1" applyAlignment="1">
      <alignment horizontal="center" vertical="center"/>
    </xf>
    <xf numFmtId="1" fontId="140" fillId="0" borderId="51" xfId="0" quotePrefix="1" applyNumberFormat="1" applyFont="1" applyFill="1" applyBorder="1" applyAlignment="1">
      <alignment horizontal="center" vertical="center"/>
    </xf>
    <xf numFmtId="1" fontId="140" fillId="0" borderId="54" xfId="0" applyNumberFormat="1" applyFont="1" applyFill="1" applyBorder="1" applyAlignment="1">
      <alignment horizontal="center" vertical="center"/>
    </xf>
    <xf numFmtId="3" fontId="140" fillId="0" borderId="129" xfId="0" quotePrefix="1" applyNumberFormat="1" applyFont="1" applyFill="1" applyBorder="1" applyAlignment="1">
      <alignment horizontal="center" vertical="center"/>
    </xf>
    <xf numFmtId="3" fontId="140" fillId="0" borderId="226" xfId="0" quotePrefix="1" applyNumberFormat="1" applyFont="1" applyFill="1" applyBorder="1" applyAlignment="1">
      <alignment horizontal="center" vertical="center"/>
    </xf>
    <xf numFmtId="164" fontId="140" fillId="0" borderId="129" xfId="0" quotePrefix="1" applyNumberFormat="1" applyFont="1" applyFill="1" applyBorder="1" applyAlignment="1">
      <alignment horizontal="center" vertical="center"/>
    </xf>
    <xf numFmtId="164" fontId="140" fillId="0" borderId="119" xfId="0" applyNumberFormat="1" applyFont="1" applyFill="1" applyBorder="1" applyAlignment="1">
      <alignment horizontal="center" vertical="center"/>
    </xf>
    <xf numFmtId="3" fontId="140" fillId="0" borderId="51" xfId="0" quotePrefix="1" applyNumberFormat="1" applyFont="1" applyFill="1" applyBorder="1" applyAlignment="1">
      <alignment horizontal="center" vertical="center"/>
    </xf>
    <xf numFmtId="3" fontId="140" fillId="0" borderId="160" xfId="0" quotePrefix="1" applyNumberFormat="1" applyFont="1" applyFill="1" applyBorder="1" applyAlignment="1">
      <alignment horizontal="center" vertical="center"/>
    </xf>
    <xf numFmtId="3" fontId="140" fillId="0" borderId="150" xfId="0" applyNumberFormat="1" applyFont="1" applyFill="1" applyBorder="1" applyAlignment="1">
      <alignment horizontal="center" vertical="center"/>
    </xf>
    <xf numFmtId="0" fontId="29" fillId="0" borderId="228" xfId="0" applyFont="1" applyBorder="1" applyAlignment="1">
      <alignment horizontal="center" vertical="center" wrapText="1"/>
    </xf>
    <xf numFmtId="0" fontId="29" fillId="0" borderId="224" xfId="0" applyFont="1" applyBorder="1" applyAlignment="1">
      <alignment horizontal="center" vertical="center"/>
    </xf>
    <xf numFmtId="0" fontId="29" fillId="0" borderId="229" xfId="0" applyFont="1" applyBorder="1" applyAlignment="1">
      <alignment horizontal="center" vertical="center"/>
    </xf>
    <xf numFmtId="0" fontId="29" fillId="0" borderId="24" xfId="0" applyFont="1" applyBorder="1" applyAlignment="1">
      <alignment horizontal="center" vertical="center" wrapText="1"/>
    </xf>
    <xf numFmtId="0" fontId="29" fillId="0" borderId="73" xfId="0" applyFont="1" applyBorder="1" applyAlignment="1">
      <alignment horizontal="center" vertical="center"/>
    </xf>
    <xf numFmtId="0" fontId="29" fillId="0" borderId="30" xfId="0" applyFont="1" applyBorder="1" applyAlignment="1">
      <alignment horizontal="center" vertical="center"/>
    </xf>
    <xf numFmtId="0" fontId="29" fillId="0" borderId="51" xfId="0" applyFont="1" applyBorder="1" applyAlignment="1">
      <alignment horizontal="center" vertical="center" wrapText="1"/>
    </xf>
    <xf numFmtId="0" fontId="29" fillId="0" borderId="200" xfId="0" applyFont="1" applyBorder="1" applyAlignment="1">
      <alignment horizontal="center" vertical="center"/>
    </xf>
    <xf numFmtId="0" fontId="29" fillId="0" borderId="54" xfId="0" applyFont="1" applyBorder="1" applyAlignment="1">
      <alignment horizontal="center" vertical="center"/>
    </xf>
    <xf numFmtId="0" fontId="140" fillId="0" borderId="51" xfId="0" applyFont="1" applyBorder="1" applyAlignment="1">
      <alignment horizontal="center" vertical="center" wrapText="1"/>
    </xf>
    <xf numFmtId="0" fontId="140" fillId="0" borderId="200" xfId="0" applyFont="1" applyBorder="1" applyAlignment="1">
      <alignment horizontal="center" vertical="center"/>
    </xf>
    <xf numFmtId="0" fontId="140" fillId="0" borderId="54" xfId="0" applyFont="1" applyBorder="1" applyAlignment="1">
      <alignment horizontal="center" vertical="center"/>
    </xf>
    <xf numFmtId="0" fontId="140" fillId="0" borderId="228" xfId="0" applyFont="1" applyBorder="1" applyAlignment="1">
      <alignment horizontal="center" vertical="center" wrapText="1"/>
    </xf>
    <xf numFmtId="0" fontId="140" fillId="0" borderId="224" xfId="0" applyFont="1" applyBorder="1" applyAlignment="1">
      <alignment horizontal="center" vertical="center"/>
    </xf>
    <xf numFmtId="0" fontId="140" fillId="0" borderId="229" xfId="0" applyFont="1" applyBorder="1" applyAlignment="1">
      <alignment horizontal="center" vertical="center"/>
    </xf>
    <xf numFmtId="0" fontId="213" fillId="0" borderId="0" xfId="0" applyFont="1" applyBorder="1" applyAlignment="1">
      <alignment horizontal="center" vertical="center"/>
    </xf>
    <xf numFmtId="0" fontId="140" fillId="0" borderId="24" xfId="0" applyFont="1" applyBorder="1" applyAlignment="1">
      <alignment horizontal="center" vertical="center" wrapText="1"/>
    </xf>
    <xf numFmtId="0" fontId="140" fillId="0" borderId="73" xfId="0" applyFont="1" applyBorder="1" applyAlignment="1">
      <alignment horizontal="center" vertical="center"/>
    </xf>
    <xf numFmtId="0" fontId="140" fillId="0" borderId="30" xfId="0" applyFont="1" applyBorder="1" applyAlignment="1">
      <alignment horizontal="center" vertical="center"/>
    </xf>
    <xf numFmtId="0" fontId="33" fillId="6" borderId="62" xfId="0" applyFont="1" applyFill="1" applyBorder="1" applyAlignment="1">
      <alignment horizontal="left" vertical="center"/>
    </xf>
    <xf numFmtId="0" fontId="26" fillId="4" borderId="197" xfId="0" applyFont="1" applyFill="1" applyBorder="1" applyAlignment="1">
      <alignment horizontal="center" vertical="center" wrapText="1"/>
    </xf>
    <xf numFmtId="0" fontId="26" fillId="4" borderId="198" xfId="0" applyFont="1" applyFill="1" applyBorder="1" applyAlignment="1">
      <alignment horizontal="center" vertical="center" wrapText="1"/>
    </xf>
    <xf numFmtId="0" fontId="26" fillId="4" borderId="199" xfId="0" applyFont="1" applyFill="1" applyBorder="1" applyAlignment="1">
      <alignment horizontal="center" vertical="center" wrapText="1"/>
    </xf>
    <xf numFmtId="0" fontId="26" fillId="4" borderId="11" xfId="0" applyFont="1" applyFill="1" applyBorder="1" applyAlignment="1">
      <alignment horizontal="center" vertical="center"/>
    </xf>
    <xf numFmtId="0" fontId="26" fillId="4" borderId="10" xfId="0" applyFont="1" applyFill="1" applyBorder="1" applyAlignment="1">
      <alignment horizontal="center" vertic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197" xfId="0" applyFont="1" applyBorder="1" applyAlignment="1">
      <alignment horizontal="center" vertical="center"/>
    </xf>
    <xf numFmtId="0" fontId="26" fillId="0" borderId="198" xfId="0" applyFont="1" applyBorder="1" applyAlignment="1">
      <alignment horizontal="center" vertical="center"/>
    </xf>
    <xf numFmtId="0" fontId="26" fillId="0" borderId="199" xfId="0" applyFont="1" applyBorder="1" applyAlignment="1">
      <alignment horizontal="center" vertical="center"/>
    </xf>
    <xf numFmtId="0" fontId="26" fillId="0" borderId="11" xfId="0" applyFont="1" applyFill="1" applyBorder="1" applyAlignment="1">
      <alignment horizontal="center" vertical="center"/>
    </xf>
    <xf numFmtId="0" fontId="26" fillId="0" borderId="10" xfId="0" applyFont="1" applyFill="1" applyBorder="1" applyAlignment="1">
      <alignment horizontal="center" vertical="center"/>
    </xf>
    <xf numFmtId="1" fontId="140" fillId="0" borderId="226" xfId="0" quotePrefix="1" applyNumberFormat="1" applyFont="1" applyFill="1" applyBorder="1" applyAlignment="1">
      <alignment horizontal="center" vertical="center" wrapText="1"/>
    </xf>
    <xf numFmtId="1" fontId="140" fillId="0" borderId="220" xfId="0" quotePrefix="1" applyNumberFormat="1" applyFont="1" applyFill="1" applyBorder="1" applyAlignment="1">
      <alignment horizontal="center" vertical="center" wrapText="1"/>
    </xf>
    <xf numFmtId="1" fontId="140" fillId="0" borderId="228" xfId="0" quotePrefix="1" applyNumberFormat="1" applyFont="1" applyFill="1" applyBorder="1" applyAlignment="1">
      <alignment horizontal="center" vertical="center" wrapText="1"/>
    </xf>
    <xf numFmtId="1" fontId="140" fillId="0" borderId="229" xfId="0" quotePrefix="1" applyNumberFormat="1" applyFont="1" applyFill="1" applyBorder="1" applyAlignment="1">
      <alignment horizontal="center" vertical="center" wrapText="1"/>
    </xf>
    <xf numFmtId="2" fontId="140" fillId="0" borderId="65" xfId="0" applyNumberFormat="1" applyFont="1" applyBorder="1" applyAlignment="1">
      <alignment horizontal="center" vertical="center" wrapText="1"/>
    </xf>
    <xf numFmtId="2" fontId="140" fillId="0" borderId="37" xfId="0" applyNumberFormat="1" applyFont="1" applyBorder="1" applyAlignment="1">
      <alignment horizontal="center" vertical="center" wrapText="1"/>
    </xf>
    <xf numFmtId="2" fontId="140" fillId="0" borderId="158" xfId="0" applyNumberFormat="1" applyFont="1" applyBorder="1" applyAlignment="1">
      <alignment horizontal="center" vertical="center" wrapText="1"/>
    </xf>
    <xf numFmtId="2" fontId="140" fillId="0" borderId="164" xfId="0" applyNumberFormat="1" applyFont="1" applyBorder="1" applyAlignment="1">
      <alignment horizontal="center" vertical="center" wrapText="1"/>
    </xf>
    <xf numFmtId="2" fontId="140" fillId="0" borderId="225" xfId="0" applyNumberFormat="1" applyFont="1" applyBorder="1" applyAlignment="1">
      <alignment horizontal="center" vertical="center" wrapText="1"/>
    </xf>
    <xf numFmtId="2" fontId="140" fillId="0" borderId="149" xfId="0" applyNumberFormat="1" applyFont="1" applyBorder="1" applyAlignment="1">
      <alignment horizontal="center" vertical="center" wrapText="1"/>
    </xf>
    <xf numFmtId="2" fontId="140" fillId="0" borderId="226" xfId="0" applyNumberFormat="1" applyFont="1" applyBorder="1" applyAlignment="1">
      <alignment horizontal="center" vertical="center" wrapText="1"/>
    </xf>
    <xf numFmtId="2" fontId="140" fillId="0" borderId="220" xfId="0" applyNumberFormat="1" applyFont="1" applyBorder="1" applyAlignment="1">
      <alignment horizontal="center" vertical="center" wrapText="1"/>
    </xf>
    <xf numFmtId="3" fontId="140" fillId="0" borderId="226" xfId="0" applyNumberFormat="1" applyFont="1" applyFill="1" applyBorder="1" applyAlignment="1">
      <alignment horizontal="center" vertical="center" wrapText="1"/>
    </xf>
    <xf numFmtId="3" fontId="140" fillId="0" borderId="220" xfId="0" applyNumberFormat="1" applyFont="1" applyFill="1" applyBorder="1" applyAlignment="1">
      <alignment horizontal="center" vertical="center" wrapText="1"/>
    </xf>
    <xf numFmtId="1" fontId="140" fillId="0" borderId="51" xfId="0" quotePrefix="1" applyNumberFormat="1" applyFont="1" applyFill="1" applyBorder="1" applyAlignment="1">
      <alignment horizontal="center" vertical="center" wrapText="1"/>
    </xf>
    <xf numFmtId="1" fontId="140" fillId="0" borderId="54" xfId="0" applyNumberFormat="1" applyFont="1" applyFill="1" applyBorder="1" applyAlignment="1">
      <alignment horizontal="center" vertical="center" wrapText="1"/>
    </xf>
    <xf numFmtId="2" fontId="140" fillId="0" borderId="129" xfId="0" quotePrefix="1" applyNumberFormat="1" applyFont="1" applyFill="1" applyBorder="1" applyAlignment="1">
      <alignment horizontal="center" vertical="center" wrapText="1"/>
    </xf>
    <xf numFmtId="2" fontId="140" fillId="0" borderId="119" xfId="0" applyNumberFormat="1" applyFont="1" applyFill="1" applyBorder="1" applyAlignment="1">
      <alignment horizontal="center" vertical="center" wrapText="1"/>
    </xf>
    <xf numFmtId="2" fontId="140" fillId="0" borderId="226" xfId="0" quotePrefix="1" applyNumberFormat="1" applyFont="1" applyFill="1" applyBorder="1" applyAlignment="1">
      <alignment horizontal="center" vertical="center" wrapText="1"/>
    </xf>
    <xf numFmtId="2" fontId="140" fillId="0" borderId="220" xfId="0" applyNumberFormat="1" applyFont="1" applyFill="1" applyBorder="1" applyAlignment="1">
      <alignment horizontal="center" vertical="center" wrapText="1"/>
    </xf>
    <xf numFmtId="2" fontId="140" fillId="0" borderId="51" xfId="0" applyNumberFormat="1" applyFont="1" applyBorder="1" applyAlignment="1">
      <alignment horizontal="center" vertical="center" wrapText="1"/>
    </xf>
    <xf numFmtId="2" fontId="140" fillId="0" borderId="200" xfId="0" applyNumberFormat="1" applyFont="1" applyBorder="1" applyAlignment="1">
      <alignment horizontal="center" vertical="center" wrapText="1"/>
    </xf>
    <xf numFmtId="2" fontId="140" fillId="0" borderId="54" xfId="0" applyNumberFormat="1" applyFont="1" applyBorder="1" applyAlignment="1">
      <alignment horizontal="center" vertical="center" wrapText="1"/>
    </xf>
    <xf numFmtId="3" fontId="140" fillId="0" borderId="129" xfId="0" applyNumberFormat="1" applyFont="1" applyFill="1" applyBorder="1" applyAlignment="1">
      <alignment horizontal="center" vertical="center" wrapText="1"/>
    </xf>
    <xf numFmtId="3" fontId="140" fillId="0" borderId="119" xfId="0" applyNumberFormat="1" applyFont="1" applyFill="1" applyBorder="1" applyAlignment="1">
      <alignment horizontal="center" vertical="center" wrapText="1"/>
    </xf>
    <xf numFmtId="2" fontId="140" fillId="0" borderId="53" xfId="0" applyNumberFormat="1" applyFont="1" applyBorder="1" applyAlignment="1">
      <alignment horizontal="center" vertical="center" wrapText="1"/>
    </xf>
    <xf numFmtId="2" fontId="140" fillId="0" borderId="39" xfId="0" applyNumberFormat="1" applyFont="1" applyBorder="1" applyAlignment="1">
      <alignment horizontal="center" vertical="center" wrapText="1"/>
    </xf>
    <xf numFmtId="3" fontId="140" fillId="0" borderId="234" xfId="0" applyNumberFormat="1" applyFont="1" applyFill="1" applyBorder="1" applyAlignment="1">
      <alignment horizontal="center" vertical="center" wrapText="1"/>
    </xf>
    <xf numFmtId="3" fontId="140" fillId="0" borderId="240" xfId="0" applyNumberFormat="1" applyFont="1" applyFill="1" applyBorder="1" applyAlignment="1">
      <alignment horizontal="center" vertical="center" wrapText="1"/>
    </xf>
    <xf numFmtId="3" fontId="140" fillId="0" borderId="4" xfId="0" applyNumberFormat="1" applyFont="1" applyFill="1" applyBorder="1" applyAlignment="1">
      <alignment horizontal="center" vertical="center" wrapText="1"/>
    </xf>
    <xf numFmtId="3" fontId="140" fillId="0" borderId="5" xfId="0" applyNumberFormat="1" applyFont="1" applyFill="1" applyBorder="1" applyAlignment="1">
      <alignment horizontal="center" vertical="center" wrapText="1"/>
    </xf>
    <xf numFmtId="3" fontId="140" fillId="0" borderId="51" xfId="0" applyNumberFormat="1" applyFont="1" applyFill="1" applyBorder="1" applyAlignment="1">
      <alignment horizontal="center" vertical="center" wrapText="1"/>
    </xf>
    <xf numFmtId="3" fontId="140" fillId="0" borderId="54" xfId="0" applyNumberFormat="1" applyFont="1" applyFill="1" applyBorder="1" applyAlignment="1">
      <alignment horizontal="center" vertical="center" wrapText="1"/>
    </xf>
    <xf numFmtId="3" fontId="140" fillId="0" borderId="158" xfId="0" applyNumberFormat="1" applyFont="1" applyFill="1" applyBorder="1" applyAlignment="1">
      <alignment horizontal="center" vertical="center" wrapText="1"/>
    </xf>
    <xf numFmtId="3" fontId="140" fillId="0" borderId="149" xfId="0" applyNumberFormat="1" applyFont="1" applyFill="1" applyBorder="1" applyAlignment="1">
      <alignment horizontal="center" vertical="center" wrapText="1"/>
    </xf>
    <xf numFmtId="0" fontId="26" fillId="0" borderId="249" xfId="0" applyFont="1" applyBorder="1" applyAlignment="1">
      <alignment horizontal="center" vertical="center"/>
    </xf>
    <xf numFmtId="0" fontId="26" fillId="0" borderId="248" xfId="0" applyFont="1" applyBorder="1" applyAlignment="1">
      <alignment horizontal="center" vertical="center"/>
    </xf>
    <xf numFmtId="0" fontId="26" fillId="0" borderId="227" xfId="0" applyFont="1" applyBorder="1" applyAlignment="1">
      <alignment horizontal="center" vertical="center"/>
    </xf>
    <xf numFmtId="3" fontId="140" fillId="0" borderId="24" xfId="0" applyNumberFormat="1" applyFont="1" applyFill="1" applyBorder="1" applyAlignment="1">
      <alignment horizontal="center" vertical="center" wrapText="1"/>
    </xf>
    <xf numFmtId="3" fontId="140" fillId="0" borderId="30" xfId="0" applyNumberFormat="1" applyFont="1" applyFill="1" applyBorder="1" applyAlignment="1">
      <alignment horizontal="center" vertical="center" wrapText="1"/>
    </xf>
    <xf numFmtId="0" fontId="26" fillId="4" borderId="124" xfId="0" applyFont="1" applyFill="1" applyBorder="1" applyAlignment="1">
      <alignment horizontal="center" vertical="center" wrapText="1"/>
    </xf>
    <xf numFmtId="0" fontId="26" fillId="4" borderId="121" xfId="0" applyFont="1" applyFill="1" applyBorder="1" applyAlignment="1">
      <alignment horizontal="center" vertical="center" wrapText="1"/>
    </xf>
    <xf numFmtId="2" fontId="33" fillId="4" borderId="226" xfId="1" applyNumberFormat="1" applyFont="1" applyFill="1" applyBorder="1" applyAlignment="1">
      <alignment horizontal="center" vertical="center"/>
    </xf>
    <xf numFmtId="2" fontId="33" fillId="4" borderId="225" xfId="1" applyNumberFormat="1" applyFont="1" applyFill="1" applyBorder="1" applyAlignment="1">
      <alignment horizontal="center" vertical="center"/>
    </xf>
    <xf numFmtId="2" fontId="33" fillId="4" borderId="220" xfId="1" applyNumberFormat="1" applyFont="1" applyFill="1" applyBorder="1" applyAlignment="1">
      <alignment horizontal="center" vertical="center"/>
    </xf>
    <xf numFmtId="2" fontId="33" fillId="4" borderId="228" xfId="1" applyNumberFormat="1" applyFont="1" applyFill="1" applyBorder="1" applyAlignment="1">
      <alignment horizontal="center" vertical="center"/>
    </xf>
    <xf numFmtId="2" fontId="33" fillId="4" borderId="224" xfId="1" applyNumberFormat="1" applyFont="1" applyFill="1" applyBorder="1" applyAlignment="1">
      <alignment horizontal="center" vertical="center"/>
    </xf>
    <xf numFmtId="2" fontId="33" fillId="4" borderId="229" xfId="1" applyNumberFormat="1" applyFont="1" applyFill="1" applyBorder="1" applyAlignment="1">
      <alignment horizontal="center" vertical="center"/>
    </xf>
    <xf numFmtId="0" fontId="22" fillId="0" borderId="60" xfId="1" applyFont="1" applyFill="1" applyBorder="1" applyAlignment="1">
      <alignment horizontal="center" vertical="center"/>
    </xf>
    <xf numFmtId="0" fontId="22" fillId="0" borderId="35" xfId="1" applyFont="1" applyFill="1" applyBorder="1" applyAlignment="1">
      <alignment horizontal="center" vertical="center"/>
    </xf>
    <xf numFmtId="2" fontId="33" fillId="4" borderId="235" xfId="1" applyNumberFormat="1" applyFont="1" applyFill="1" applyBorder="1" applyAlignment="1">
      <alignment horizontal="center" vertical="center"/>
    </xf>
    <xf numFmtId="2" fontId="33" fillId="4" borderId="65" xfId="1" applyNumberFormat="1" applyFont="1" applyFill="1" applyBorder="1" applyAlignment="1">
      <alignment horizontal="center" vertical="center"/>
    </xf>
    <xf numFmtId="2" fontId="33" fillId="4" borderId="37" xfId="1" applyNumberFormat="1" applyFont="1" applyFill="1" applyBorder="1" applyAlignment="1">
      <alignment horizontal="center" vertical="center"/>
    </xf>
    <xf numFmtId="164" fontId="33" fillId="4" borderId="239" xfId="1" applyNumberFormat="1" applyFont="1" applyFill="1" applyBorder="1" applyAlignment="1">
      <alignment horizontal="center" vertical="center"/>
    </xf>
    <xf numFmtId="164" fontId="33" fillId="4" borderId="66" xfId="1" applyNumberFormat="1" applyFont="1" applyFill="1" applyBorder="1" applyAlignment="1">
      <alignment horizontal="center" vertical="center"/>
    </xf>
    <xf numFmtId="164" fontId="33" fillId="4" borderId="38" xfId="1" applyNumberFormat="1" applyFont="1" applyFill="1" applyBorder="1" applyAlignment="1">
      <alignment horizontal="center" vertical="center"/>
    </xf>
    <xf numFmtId="164" fontId="33" fillId="4" borderId="230" xfId="1" applyNumberFormat="1" applyFont="1" applyFill="1" applyBorder="1" applyAlignment="1">
      <alignment horizontal="center" vertical="center"/>
    </xf>
    <xf numFmtId="164" fontId="33" fillId="4" borderId="53" xfId="1" applyNumberFormat="1" applyFont="1" applyFill="1" applyBorder="1" applyAlignment="1">
      <alignment horizontal="center" vertical="center"/>
    </xf>
    <xf numFmtId="164" fontId="33" fillId="4" borderId="39" xfId="1" applyNumberFormat="1" applyFont="1" applyFill="1" applyBorder="1" applyAlignment="1">
      <alignment horizontal="center" vertical="center"/>
    </xf>
    <xf numFmtId="0" fontId="21" fillId="4" borderId="1" xfId="1" applyFont="1" applyFill="1" applyBorder="1" applyAlignment="1">
      <alignment horizontal="center" vertical="center"/>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1" fillId="4" borderId="4" xfId="1" applyFont="1" applyFill="1" applyBorder="1" applyAlignment="1">
      <alignment horizontal="center" vertical="center"/>
    </xf>
    <xf numFmtId="0" fontId="21" fillId="4" borderId="0" xfId="1" applyFont="1" applyFill="1" applyBorder="1" applyAlignment="1">
      <alignment horizontal="center" vertical="center"/>
    </xf>
    <xf numFmtId="0" fontId="21" fillId="4" borderId="5" xfId="1" applyFont="1" applyFill="1" applyBorder="1" applyAlignment="1">
      <alignment horizontal="center" vertical="center"/>
    </xf>
    <xf numFmtId="0" fontId="21" fillId="4" borderId="197" xfId="1" applyFont="1" applyFill="1" applyBorder="1" applyAlignment="1">
      <alignment horizontal="center" vertical="center"/>
    </xf>
    <xf numFmtId="0" fontId="21" fillId="4" borderId="198" xfId="1" applyFont="1" applyFill="1" applyBorder="1" applyAlignment="1">
      <alignment horizontal="center" vertical="center"/>
    </xf>
    <xf numFmtId="0" fontId="21" fillId="4" borderId="199" xfId="1" applyFont="1" applyFill="1" applyBorder="1" applyAlignment="1">
      <alignment horizontal="center" vertical="center"/>
    </xf>
    <xf numFmtId="0" fontId="34" fillId="0" borderId="21" xfId="1" applyFont="1" applyBorder="1" applyAlignment="1">
      <alignment horizontal="center" vertical="center"/>
    </xf>
    <xf numFmtId="0" fontId="34" fillId="0" borderId="62" xfId="1" applyFont="1" applyBorder="1" applyAlignment="1">
      <alignment horizontal="center" vertical="center"/>
    </xf>
    <xf numFmtId="0" fontId="34" fillId="0" borderId="22" xfId="1" applyFont="1" applyBorder="1" applyAlignment="1">
      <alignment horizontal="center" vertical="center"/>
    </xf>
    <xf numFmtId="2" fontId="26" fillId="0" borderId="60" xfId="1" applyNumberFormat="1" applyFont="1" applyFill="1" applyBorder="1" applyAlignment="1">
      <alignment horizontal="center" vertical="center"/>
    </xf>
    <xf numFmtId="0" fontId="26" fillId="0" borderId="62" xfId="1" applyFont="1" applyFill="1" applyBorder="1" applyAlignment="1">
      <alignment horizontal="center" vertical="center"/>
    </xf>
    <xf numFmtId="0" fontId="26" fillId="0" borderId="22" xfId="1" applyFont="1" applyFill="1" applyBorder="1" applyAlignment="1">
      <alignment horizontal="center" vertical="center"/>
    </xf>
    <xf numFmtId="0" fontId="34" fillId="0" borderId="32" xfId="1" applyFont="1" applyFill="1" applyBorder="1" applyAlignment="1">
      <alignment horizontal="center" vertical="center"/>
    </xf>
    <xf numFmtId="0" fontId="34" fillId="0" borderId="37" xfId="1" applyFont="1" applyFill="1" applyBorder="1" applyAlignment="1">
      <alignment horizontal="center" vertical="center"/>
    </xf>
    <xf numFmtId="0" fontId="22" fillId="0" borderId="67" xfId="1" applyFont="1" applyFill="1" applyBorder="1" applyAlignment="1">
      <alignment horizontal="center" vertical="center"/>
    </xf>
    <xf numFmtId="0" fontId="22" fillId="0" borderId="34" xfId="1" applyFont="1" applyFill="1" applyBorder="1" applyAlignment="1">
      <alignment horizontal="center" vertical="center"/>
    </xf>
    <xf numFmtId="0" fontId="22" fillId="0" borderId="61" xfId="1" applyFont="1" applyFill="1" applyBorder="1" applyAlignment="1">
      <alignment horizontal="center" vertical="center"/>
    </xf>
    <xf numFmtId="0" fontId="22" fillId="0" borderId="56" xfId="1" applyFont="1" applyFill="1" applyBorder="1" applyAlignment="1">
      <alignment horizontal="center" vertical="center"/>
    </xf>
    <xf numFmtId="2" fontId="22" fillId="0" borderId="36" xfId="1" applyNumberFormat="1" applyFont="1" applyFill="1" applyBorder="1" applyAlignment="1">
      <alignment horizontal="center" vertical="center"/>
    </xf>
    <xf numFmtId="2" fontId="22" fillId="0" borderId="39" xfId="1" applyNumberFormat="1" applyFont="1" applyFill="1" applyBorder="1" applyAlignment="1">
      <alignment horizontal="center" vertical="center"/>
    </xf>
    <xf numFmtId="0" fontId="34" fillId="0" borderId="235" xfId="1" applyFont="1" applyFill="1" applyBorder="1" applyAlignment="1">
      <alignment horizontal="center" vertical="center"/>
    </xf>
    <xf numFmtId="0" fontId="22" fillId="0" borderId="245" xfId="1" applyFont="1" applyFill="1" applyBorder="1" applyAlignment="1">
      <alignment horizontal="center" vertical="center"/>
    </xf>
    <xf numFmtId="0" fontId="22" fillId="0" borderId="232" xfId="1" applyFont="1" applyFill="1" applyBorder="1" applyAlignment="1">
      <alignment horizontal="center" vertical="center"/>
    </xf>
    <xf numFmtId="2" fontId="22" fillId="0" borderId="53" xfId="1" applyNumberFormat="1" applyFont="1" applyFill="1" applyBorder="1" applyAlignment="1">
      <alignment horizontal="center" vertical="center"/>
    </xf>
    <xf numFmtId="0" fontId="34" fillId="0" borderId="249" xfId="1" applyFont="1" applyFill="1" applyBorder="1" applyAlignment="1">
      <alignment horizontal="center" vertical="center"/>
    </xf>
    <xf numFmtId="0" fontId="22" fillId="0" borderId="227" xfId="1" applyFont="1" applyFill="1" applyBorder="1" applyAlignment="1">
      <alignment horizontal="center" vertical="center"/>
    </xf>
    <xf numFmtId="0" fontId="22" fillId="0" borderId="251" xfId="1" applyFont="1" applyFill="1" applyBorder="1" applyAlignment="1">
      <alignment horizontal="center" vertical="center"/>
    </xf>
    <xf numFmtId="2" fontId="22" fillId="0" borderId="237" xfId="1" applyNumberFormat="1" applyFont="1" applyFill="1" applyBorder="1" applyAlignment="1">
      <alignment horizontal="center" vertical="center"/>
    </xf>
    <xf numFmtId="0" fontId="32" fillId="4" borderId="197" xfId="1" applyFont="1" applyFill="1" applyBorder="1" applyAlignment="1">
      <alignment horizontal="left" vertical="top" wrapText="1"/>
    </xf>
    <xf numFmtId="0" fontId="32" fillId="4" borderId="198" xfId="1" applyFont="1" applyFill="1" applyBorder="1" applyAlignment="1">
      <alignment horizontal="left" vertical="top" wrapText="1"/>
    </xf>
    <xf numFmtId="0" fontId="32" fillId="4" borderId="199" xfId="1" applyFont="1" applyFill="1" applyBorder="1" applyAlignment="1">
      <alignment horizontal="left" vertical="top" wrapText="1"/>
    </xf>
    <xf numFmtId="0" fontId="34" fillId="4" borderId="27" xfId="1" applyFont="1" applyFill="1" applyBorder="1" applyAlignment="1">
      <alignment horizontal="center" vertical="center" wrapText="1"/>
    </xf>
    <xf numFmtId="0" fontId="34" fillId="4" borderId="231" xfId="1" applyFont="1" applyFill="1" applyBorder="1" applyAlignment="1">
      <alignment horizontal="center" vertical="center" wrapText="1"/>
    </xf>
    <xf numFmtId="0" fontId="34" fillId="4" borderId="40" xfId="1" applyFont="1" applyFill="1" applyBorder="1" applyAlignment="1">
      <alignment horizontal="center" vertical="center" wrapText="1"/>
    </xf>
    <xf numFmtId="0" fontId="34" fillId="4" borderId="73" xfId="1" applyFont="1" applyFill="1" applyBorder="1" applyAlignment="1">
      <alignment horizontal="center" vertical="center" wrapText="1"/>
    </xf>
    <xf numFmtId="0" fontId="34" fillId="4" borderId="23" xfId="1" applyFont="1" applyFill="1" applyBorder="1" applyAlignment="1">
      <alignment horizontal="center" vertical="center" wrapText="1"/>
    </xf>
    <xf numFmtId="0" fontId="32" fillId="4" borderId="4" xfId="1" applyFont="1" applyFill="1" applyBorder="1" applyAlignment="1">
      <alignment horizontal="left" vertical="top" wrapText="1"/>
    </xf>
    <xf numFmtId="0" fontId="32" fillId="4" borderId="0" xfId="1" applyFont="1" applyFill="1" applyBorder="1" applyAlignment="1">
      <alignment horizontal="left" vertical="top" wrapText="1"/>
    </xf>
    <xf numFmtId="0" fontId="32" fillId="4" borderId="5" xfId="1" applyFont="1" applyFill="1" applyBorder="1" applyAlignment="1">
      <alignment horizontal="left" vertical="top" wrapText="1"/>
    </xf>
    <xf numFmtId="2" fontId="33" fillId="4" borderId="239" xfId="1" applyNumberFormat="1" applyFont="1" applyFill="1" applyBorder="1" applyAlignment="1">
      <alignment horizontal="center" vertical="center"/>
    </xf>
    <xf numFmtId="2" fontId="33" fillId="4" borderId="66" xfId="1" applyNumberFormat="1" applyFont="1" applyFill="1" applyBorder="1" applyAlignment="1">
      <alignment horizontal="center" vertical="center"/>
    </xf>
    <xf numFmtId="2" fontId="33" fillId="4" borderId="38" xfId="1" applyNumberFormat="1" applyFont="1" applyFill="1" applyBorder="1" applyAlignment="1">
      <alignment horizontal="center" vertical="center"/>
    </xf>
    <xf numFmtId="2" fontId="33" fillId="4" borderId="230" xfId="1" applyNumberFormat="1" applyFont="1" applyFill="1" applyBorder="1" applyAlignment="1">
      <alignment horizontal="center" vertical="center"/>
    </xf>
    <xf numFmtId="2" fontId="33" fillId="4" borderId="53" xfId="1" applyNumberFormat="1" applyFont="1" applyFill="1" applyBorder="1" applyAlignment="1">
      <alignment horizontal="center" vertical="center"/>
    </xf>
    <xf numFmtId="2" fontId="33" fillId="4" borderId="39" xfId="1" applyNumberFormat="1" applyFont="1" applyFill="1" applyBorder="1" applyAlignment="1">
      <alignment horizontal="center" vertical="center"/>
    </xf>
    <xf numFmtId="0" fontId="238" fillId="0" borderId="4" xfId="20893" applyFont="1" applyBorder="1" applyAlignment="1">
      <alignment horizontal="left" wrapText="1"/>
    </xf>
    <xf numFmtId="0" fontId="238" fillId="0" borderId="0" xfId="20893" applyFont="1" applyBorder="1" applyAlignment="1">
      <alignment horizontal="left" wrapText="1"/>
    </xf>
    <xf numFmtId="0" fontId="238" fillId="0" borderId="5" xfId="20893" applyFont="1" applyBorder="1" applyAlignment="1">
      <alignment horizontal="left" wrapText="1"/>
    </xf>
    <xf numFmtId="165" fontId="151" fillId="0" borderId="221" xfId="20893" applyNumberFormat="1" applyFont="1" applyFill="1" applyBorder="1" applyAlignment="1">
      <alignment horizontal="center"/>
    </xf>
    <xf numFmtId="165" fontId="151" fillId="0" borderId="222" xfId="20893" applyNumberFormat="1" applyFont="1" applyFill="1" applyBorder="1" applyAlignment="1">
      <alignment horizontal="center"/>
    </xf>
    <xf numFmtId="165" fontId="238" fillId="0" borderId="221" xfId="20893" applyNumberFormat="1" applyFont="1" applyBorder="1" applyAlignment="1">
      <alignment horizontal="center"/>
    </xf>
    <xf numFmtId="165" fontId="238" fillId="0" borderId="222" xfId="20893" applyNumberFormat="1" applyFont="1" applyBorder="1" applyAlignment="1">
      <alignment horizontal="center"/>
    </xf>
    <xf numFmtId="165" fontId="238" fillId="0" borderId="213" xfId="20893" applyNumberFormat="1" applyFont="1" applyBorder="1" applyAlignment="1">
      <alignment horizontal="center"/>
    </xf>
    <xf numFmtId="165" fontId="238" fillId="0" borderId="223" xfId="20893" applyNumberFormat="1" applyFont="1" applyBorder="1" applyAlignment="1">
      <alignment horizontal="center"/>
    </xf>
    <xf numFmtId="0" fontId="229" fillId="0" borderId="0" xfId="20894" applyFont="1" applyFill="1" applyBorder="1" applyAlignment="1">
      <alignment horizontal="center" vertical="center" wrapText="1"/>
    </xf>
    <xf numFmtId="9" fontId="238" fillId="0" borderId="221" xfId="20893" applyNumberFormat="1" applyFont="1" applyFill="1" applyBorder="1" applyAlignment="1">
      <alignment horizontal="center"/>
    </xf>
    <xf numFmtId="9" fontId="238" fillId="0" borderId="222" xfId="20893" applyNumberFormat="1" applyFont="1" applyFill="1" applyBorder="1" applyAlignment="1">
      <alignment horizontal="center"/>
    </xf>
    <xf numFmtId="165" fontId="238" fillId="0" borderId="221" xfId="20893" applyNumberFormat="1" applyFont="1" applyFill="1" applyBorder="1" applyAlignment="1">
      <alignment horizontal="center"/>
    </xf>
    <xf numFmtId="165" fontId="238" fillId="0" borderId="222" xfId="20893" applyNumberFormat="1" applyFont="1" applyFill="1" applyBorder="1" applyAlignment="1">
      <alignment horizontal="center"/>
    </xf>
    <xf numFmtId="0" fontId="26" fillId="0" borderId="1" xfId="1" applyFont="1" applyBorder="1" applyAlignment="1">
      <alignment horizontal="center"/>
    </xf>
    <xf numFmtId="0" fontId="26" fillId="0" borderId="2" xfId="1" applyFont="1" applyBorder="1" applyAlignment="1">
      <alignment horizontal="center"/>
    </xf>
    <xf numFmtId="0" fontId="26" fillId="0" borderId="3" xfId="1" applyFont="1" applyBorder="1" applyAlignment="1">
      <alignment horizontal="center"/>
    </xf>
    <xf numFmtId="0" fontId="26" fillId="0" borderId="4" xfId="1" applyFont="1" applyBorder="1" applyAlignment="1">
      <alignment horizontal="center"/>
    </xf>
    <xf numFmtId="0" fontId="26" fillId="0" borderId="0" xfId="1" applyFont="1" applyBorder="1" applyAlignment="1">
      <alignment horizontal="center"/>
    </xf>
    <xf numFmtId="0" fontId="26" fillId="0" borderId="5" xfId="1" applyFont="1" applyBorder="1" applyAlignment="1">
      <alignment horizontal="center"/>
    </xf>
    <xf numFmtId="0" fontId="26" fillId="0" borderId="6" xfId="1" applyFont="1" applyBorder="1" applyAlignment="1">
      <alignment horizontal="center"/>
    </xf>
    <xf numFmtId="0" fontId="26" fillId="0" borderId="7" xfId="1" applyFont="1" applyBorder="1" applyAlignment="1">
      <alignment horizontal="center"/>
    </xf>
    <xf numFmtId="0" fontId="26" fillId="0" borderId="8" xfId="1" applyFont="1" applyBorder="1" applyAlignment="1">
      <alignment horizontal="center"/>
    </xf>
    <xf numFmtId="0" fontId="26" fillId="0" borderId="197" xfId="1" applyFont="1" applyBorder="1" applyAlignment="1">
      <alignment horizontal="center"/>
    </xf>
    <xf numFmtId="0" fontId="26" fillId="0" borderId="198" xfId="1" applyFont="1" applyBorder="1" applyAlignment="1">
      <alignment horizontal="center"/>
    </xf>
    <xf numFmtId="0" fontId="26" fillId="0" borderId="199" xfId="1" applyFont="1" applyBorder="1" applyAlignment="1">
      <alignment horizontal="center"/>
    </xf>
    <xf numFmtId="0" fontId="205" fillId="0" borderId="21" xfId="0" applyNumberFormat="1" applyFont="1" applyFill="1" applyBorder="1" applyAlignment="1">
      <alignment horizontal="center"/>
    </xf>
    <xf numFmtId="0" fontId="205" fillId="0" borderId="62" xfId="0" applyNumberFormat="1" applyFont="1" applyFill="1" applyBorder="1" applyAlignment="1">
      <alignment horizontal="center"/>
    </xf>
    <xf numFmtId="0" fontId="205" fillId="0" borderId="22" xfId="0" applyNumberFormat="1" applyFont="1" applyFill="1" applyBorder="1" applyAlignment="1">
      <alignment horizontal="center"/>
    </xf>
    <xf numFmtId="2" fontId="205" fillId="0" borderId="21" xfId="0" applyNumberFormat="1" applyFont="1" applyFill="1" applyBorder="1" applyAlignment="1">
      <alignment horizontal="center"/>
    </xf>
    <xf numFmtId="2" fontId="205" fillId="0" borderId="62" xfId="0" applyNumberFormat="1" applyFont="1" applyFill="1" applyBorder="1" applyAlignment="1">
      <alignment horizontal="center"/>
    </xf>
    <xf numFmtId="2" fontId="205" fillId="0" borderId="22" xfId="0" applyNumberFormat="1" applyFont="1" applyFill="1" applyBorder="1" applyAlignment="1">
      <alignment horizontal="center"/>
    </xf>
    <xf numFmtId="0" fontId="231" fillId="0" borderId="0" xfId="0" applyFont="1" applyBorder="1" applyAlignment="1">
      <alignment horizontal="center"/>
    </xf>
    <xf numFmtId="0" fontId="205" fillId="0" borderId="228" xfId="0" applyFont="1" applyBorder="1" applyAlignment="1">
      <alignment horizontal="center"/>
    </xf>
    <xf numFmtId="0" fontId="205" fillId="0" borderId="223" xfId="0" applyFont="1" applyBorder="1" applyAlignment="1">
      <alignment horizontal="center"/>
    </xf>
    <xf numFmtId="0" fontId="205" fillId="0" borderId="21" xfId="0" applyNumberFormat="1" applyFont="1" applyFill="1" applyBorder="1" applyAlignment="1">
      <alignment horizontal="left"/>
    </xf>
    <xf numFmtId="0" fontId="205" fillId="0" borderId="62" xfId="0" applyNumberFormat="1" applyFont="1" applyFill="1" applyBorder="1" applyAlignment="1">
      <alignment horizontal="left"/>
    </xf>
    <xf numFmtId="0" fontId="205" fillId="0" borderId="22" xfId="0" applyNumberFormat="1" applyFont="1" applyFill="1" applyBorder="1" applyAlignment="1">
      <alignment horizontal="left"/>
    </xf>
    <xf numFmtId="0" fontId="235" fillId="0" borderId="21" xfId="0" applyNumberFormat="1" applyFont="1" applyFill="1" applyBorder="1" applyAlignment="1">
      <alignment horizontal="left"/>
    </xf>
    <xf numFmtId="0" fontId="235" fillId="0" borderId="62" xfId="0" applyNumberFormat="1" applyFont="1" applyFill="1" applyBorder="1" applyAlignment="1">
      <alignment horizontal="left"/>
    </xf>
    <xf numFmtId="0" fontId="235" fillId="0" borderId="22" xfId="0" applyNumberFormat="1" applyFont="1" applyFill="1" applyBorder="1" applyAlignment="1">
      <alignment horizontal="left"/>
    </xf>
    <xf numFmtId="0" fontId="19" fillId="0" borderId="40" xfId="0" applyFont="1" applyBorder="1" applyAlignment="1">
      <alignment horizontal="center"/>
    </xf>
    <xf numFmtId="0" fontId="0" fillId="0" borderId="41" xfId="0" applyBorder="1" applyAlignment="1">
      <alignment horizontal="center"/>
    </xf>
    <xf numFmtId="0" fontId="19" fillId="0" borderId="214" xfId="0" applyFont="1" applyBorder="1" applyAlignment="1">
      <alignment horizontal="center"/>
    </xf>
    <xf numFmtId="0" fontId="0" fillId="0" borderId="215" xfId="0" applyBorder="1" applyAlignment="1">
      <alignment horizontal="center"/>
    </xf>
    <xf numFmtId="0" fontId="19" fillId="0" borderId="217" xfId="0" applyFont="1" applyBorder="1" applyAlignment="1">
      <alignment horizontal="center"/>
    </xf>
    <xf numFmtId="0" fontId="0" fillId="0" borderId="218" xfId="0" applyBorder="1" applyAlignment="1">
      <alignment horizontal="center"/>
    </xf>
    <xf numFmtId="0" fontId="205" fillId="0" borderId="24" xfId="0" applyFont="1" applyFill="1" applyBorder="1" applyAlignment="1">
      <alignment horizontal="center"/>
    </xf>
    <xf numFmtId="0" fontId="205" fillId="0" borderId="73" xfId="0" applyFont="1" applyFill="1" applyBorder="1" applyAlignment="1">
      <alignment horizontal="center"/>
    </xf>
    <xf numFmtId="0" fontId="205" fillId="0" borderId="44" xfId="0" applyFont="1" applyFill="1" applyBorder="1" applyAlignment="1">
      <alignment horizontal="center"/>
    </xf>
    <xf numFmtId="49" fontId="205" fillId="0" borderId="42" xfId="20897" applyNumberFormat="1" applyFont="1" applyBorder="1" applyAlignment="1" applyProtection="1">
      <alignment horizontal="center" vertical="center"/>
    </xf>
    <xf numFmtId="49" fontId="205" fillId="0" borderId="73" xfId="20897" applyNumberFormat="1" applyFont="1" applyBorder="1" applyAlignment="1" applyProtection="1">
      <alignment horizontal="center" vertical="center"/>
    </xf>
    <xf numFmtId="49" fontId="205" fillId="0" borderId="30" xfId="20897" applyNumberFormat="1" applyFont="1" applyBorder="1" applyAlignment="1" applyProtection="1">
      <alignment horizontal="center" vertical="center"/>
    </xf>
    <xf numFmtId="0" fontId="41" fillId="6" borderId="198" xfId="881" quotePrefix="1" applyFont="1" applyFill="1" applyBorder="1" applyAlignment="1">
      <alignment horizontal="left" vertical="center" wrapText="1"/>
    </xf>
    <xf numFmtId="224" fontId="20" fillId="0" borderId="0" xfId="881" applyNumberFormat="1" applyFont="1" applyAlignment="1">
      <alignment horizontal="center"/>
    </xf>
    <xf numFmtId="0" fontId="38" fillId="4" borderId="4" xfId="881" applyFont="1" applyFill="1" applyBorder="1" applyAlignment="1">
      <alignment horizontal="center" vertical="center"/>
    </xf>
    <xf numFmtId="0" fontId="38" fillId="4" borderId="0" xfId="881" applyFont="1" applyFill="1" applyBorder="1" applyAlignment="1">
      <alignment horizontal="center" vertical="center"/>
    </xf>
    <xf numFmtId="0" fontId="38" fillId="4" borderId="197" xfId="881" applyFont="1" applyFill="1" applyBorder="1" applyAlignment="1">
      <alignment horizontal="center" vertical="center"/>
    </xf>
    <xf numFmtId="0" fontId="38" fillId="4" borderId="198" xfId="881" applyFont="1" applyFill="1" applyBorder="1" applyAlignment="1">
      <alignment horizontal="center" vertical="center"/>
    </xf>
    <xf numFmtId="0" fontId="38" fillId="4" borderId="199" xfId="881" applyFont="1" applyFill="1" applyBorder="1" applyAlignment="1">
      <alignment horizontal="center" vertical="center"/>
    </xf>
    <xf numFmtId="0" fontId="38" fillId="4" borderId="21" xfId="881" applyFont="1" applyFill="1" applyBorder="1" applyAlignment="1">
      <alignment horizontal="center" vertical="center"/>
    </xf>
    <xf numFmtId="0" fontId="38" fillId="4" borderId="62" xfId="881" applyFont="1" applyFill="1" applyBorder="1" applyAlignment="1">
      <alignment horizontal="center" vertical="center"/>
    </xf>
    <xf numFmtId="0" fontId="38" fillId="4" borderId="22" xfId="881" applyFont="1" applyFill="1" applyBorder="1" applyAlignment="1">
      <alignment horizontal="center" vertical="center"/>
    </xf>
    <xf numFmtId="0" fontId="41" fillId="6" borderId="2" xfId="881" applyFont="1" applyFill="1" applyBorder="1" applyAlignment="1">
      <alignment horizontal="left" vertical="center" wrapText="1"/>
    </xf>
    <xf numFmtId="0" fontId="41" fillId="6" borderId="0" xfId="881" quotePrefix="1" applyFont="1" applyFill="1" applyBorder="1" applyAlignment="1">
      <alignment horizontal="left" vertical="center" wrapText="1"/>
    </xf>
    <xf numFmtId="0" fontId="33" fillId="4" borderId="1" xfId="881" applyFont="1" applyFill="1" applyBorder="1" applyAlignment="1">
      <alignment horizontal="center" vertical="center"/>
    </xf>
    <xf numFmtId="0" fontId="33" fillId="4" borderId="2" xfId="881" applyFont="1" applyFill="1" applyBorder="1" applyAlignment="1">
      <alignment horizontal="center" vertical="center"/>
    </xf>
    <xf numFmtId="0" fontId="33" fillId="4" borderId="3" xfId="881" applyFont="1" applyFill="1" applyBorder="1" applyAlignment="1">
      <alignment horizontal="center" vertical="center"/>
    </xf>
    <xf numFmtId="0" fontId="33" fillId="4" borderId="197" xfId="881" applyFont="1" applyFill="1" applyBorder="1" applyAlignment="1">
      <alignment horizontal="center" vertical="center"/>
    </xf>
    <xf numFmtId="0" fontId="33" fillId="4" borderId="198" xfId="881" applyFont="1" applyFill="1" applyBorder="1" applyAlignment="1">
      <alignment horizontal="center" vertical="center"/>
    </xf>
    <xf numFmtId="0" fontId="33" fillId="4" borderId="199" xfId="881" applyFont="1" applyFill="1" applyBorder="1" applyAlignment="1">
      <alignment horizontal="center" vertical="center"/>
    </xf>
    <xf numFmtId="0" fontId="213" fillId="4" borderId="1" xfId="881" applyFont="1" applyFill="1" applyBorder="1" applyAlignment="1">
      <alignment horizontal="center" vertical="center"/>
    </xf>
    <xf numFmtId="0" fontId="213" fillId="4" borderId="2" xfId="881" applyFont="1" applyFill="1" applyBorder="1" applyAlignment="1">
      <alignment horizontal="center" vertical="center"/>
    </xf>
    <xf numFmtId="0" fontId="213" fillId="4" borderId="3" xfId="881" applyFont="1" applyFill="1" applyBorder="1" applyAlignment="1">
      <alignment horizontal="center" vertical="center"/>
    </xf>
    <xf numFmtId="0" fontId="213" fillId="4" borderId="4" xfId="881" applyFont="1" applyFill="1" applyBorder="1" applyAlignment="1">
      <alignment horizontal="center" vertical="center"/>
    </xf>
    <xf numFmtId="0" fontId="213" fillId="4" borderId="0" xfId="881" applyFont="1" applyFill="1" applyBorder="1" applyAlignment="1">
      <alignment horizontal="center" vertical="center"/>
    </xf>
    <xf numFmtId="0" fontId="213" fillId="4" borderId="5" xfId="881" applyFont="1" applyFill="1" applyBorder="1" applyAlignment="1">
      <alignment horizontal="center" vertical="center"/>
    </xf>
    <xf numFmtId="0" fontId="213" fillId="4" borderId="197" xfId="881" applyFont="1" applyFill="1" applyBorder="1" applyAlignment="1">
      <alignment horizontal="center" vertical="center"/>
    </xf>
    <xf numFmtId="0" fontId="213" fillId="4" borderId="198" xfId="881" applyFont="1" applyFill="1" applyBorder="1" applyAlignment="1">
      <alignment horizontal="center" vertical="center"/>
    </xf>
    <xf numFmtId="0" fontId="213" fillId="4" borderId="199" xfId="881" applyFont="1" applyFill="1" applyBorder="1" applyAlignment="1">
      <alignment horizontal="center" vertical="center"/>
    </xf>
    <xf numFmtId="0" fontId="26" fillId="0" borderId="21" xfId="881" applyFont="1" applyBorder="1" applyAlignment="1">
      <alignment horizontal="center" vertical="center"/>
    </xf>
    <xf numFmtId="0" fontId="26" fillId="0" borderId="62" xfId="881" applyFont="1" applyBorder="1" applyAlignment="1">
      <alignment horizontal="center" vertical="center"/>
    </xf>
    <xf numFmtId="0" fontId="26" fillId="0" borderId="22" xfId="881" applyFont="1" applyBorder="1" applyAlignment="1">
      <alignment horizontal="center" vertical="center"/>
    </xf>
    <xf numFmtId="0" fontId="38" fillId="4" borderId="1" xfId="881" applyFont="1" applyFill="1" applyBorder="1" applyAlignment="1">
      <alignment horizontal="center" vertical="center"/>
    </xf>
    <xf numFmtId="0" fontId="38" fillId="4" borderId="2" xfId="881" applyFont="1" applyFill="1" applyBorder="1" applyAlignment="1">
      <alignment horizontal="center" vertical="center"/>
    </xf>
    <xf numFmtId="0" fontId="38" fillId="4" borderId="3" xfId="881" applyFont="1" applyFill="1" applyBorder="1" applyAlignment="1">
      <alignment horizontal="center" vertical="center"/>
    </xf>
    <xf numFmtId="0" fontId="26" fillId="0" borderId="1" xfId="1" applyFont="1" applyFill="1" applyBorder="1" applyAlignment="1">
      <alignment horizontal="center" vertical="center"/>
    </xf>
    <xf numFmtId="0" fontId="26" fillId="0" borderId="2" xfId="1" applyFont="1" applyFill="1" applyBorder="1" applyAlignment="1">
      <alignment horizontal="center" vertical="center"/>
    </xf>
    <xf numFmtId="0" fontId="26" fillId="0" borderId="3" xfId="1" applyFont="1" applyFill="1" applyBorder="1" applyAlignment="1">
      <alignment horizontal="center" vertical="center"/>
    </xf>
    <xf numFmtId="0" fontId="26" fillId="0" borderId="4"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5" xfId="1" applyFont="1" applyFill="1" applyBorder="1" applyAlignment="1">
      <alignment horizontal="center" vertical="center"/>
    </xf>
    <xf numFmtId="0" fontId="26" fillId="0" borderId="197" xfId="1" applyFont="1" applyFill="1" applyBorder="1" applyAlignment="1">
      <alignment horizontal="center" vertical="center"/>
    </xf>
    <xf numFmtId="0" fontId="26" fillId="0" borderId="198" xfId="1" applyFont="1" applyFill="1" applyBorder="1" applyAlignment="1">
      <alignment horizontal="center" vertical="center"/>
    </xf>
    <xf numFmtId="0" fontId="26" fillId="0" borderId="199" xfId="1" applyFont="1" applyFill="1" applyBorder="1" applyAlignment="1">
      <alignment horizontal="center" vertical="center"/>
    </xf>
    <xf numFmtId="0" fontId="21" fillId="0" borderId="21" xfId="1" applyFont="1" applyFill="1" applyBorder="1" applyAlignment="1">
      <alignment horizontal="center" vertical="center"/>
    </xf>
    <xf numFmtId="0" fontId="21" fillId="0" borderId="62" xfId="1" applyFont="1" applyFill="1" applyBorder="1" applyAlignment="1">
      <alignment horizontal="center" vertical="center"/>
    </xf>
    <xf numFmtId="0" fontId="21" fillId="0" borderId="22" xfId="1" applyFont="1" applyFill="1" applyBorder="1" applyAlignment="1">
      <alignment horizontal="center" vertical="center"/>
    </xf>
    <xf numFmtId="0" fontId="33" fillId="0" borderId="1" xfId="1" applyFont="1" applyFill="1" applyBorder="1" applyAlignment="1">
      <alignment horizontal="center" vertical="center"/>
    </xf>
    <xf numFmtId="0" fontId="33" fillId="0" borderId="2" xfId="1" applyFont="1" applyFill="1" applyBorder="1" applyAlignment="1">
      <alignment horizontal="center" vertical="center"/>
    </xf>
    <xf numFmtId="0" fontId="33" fillId="0" borderId="3" xfId="1" applyFont="1" applyFill="1" applyBorder="1" applyAlignment="1">
      <alignment horizontal="center" vertical="center"/>
    </xf>
    <xf numFmtId="0" fontId="33" fillId="0" borderId="4" xfId="1" applyFont="1" applyFill="1" applyBorder="1" applyAlignment="1">
      <alignment horizontal="center" vertical="center"/>
    </xf>
    <xf numFmtId="0" fontId="33" fillId="0" borderId="0" xfId="1" applyFont="1" applyFill="1" applyBorder="1" applyAlignment="1">
      <alignment horizontal="center" vertical="center"/>
    </xf>
    <xf numFmtId="0" fontId="33" fillId="0" borderId="5" xfId="1" applyFont="1" applyFill="1" applyBorder="1" applyAlignment="1">
      <alignment horizontal="center" vertical="center"/>
    </xf>
    <xf numFmtId="0" fontId="34" fillId="0" borderId="1" xfId="1" applyFont="1" applyFill="1" applyBorder="1" applyAlignment="1">
      <alignment horizontal="center" vertical="center"/>
    </xf>
    <xf numFmtId="0" fontId="34" fillId="0" borderId="3" xfId="1" applyFont="1" applyFill="1" applyBorder="1" applyAlignment="1">
      <alignment horizontal="center" vertical="center"/>
    </xf>
    <xf numFmtId="0" fontId="34" fillId="0" borderId="6" xfId="1" applyFont="1" applyFill="1" applyBorder="1" applyAlignment="1">
      <alignment horizontal="center" vertical="center"/>
    </xf>
    <xf numFmtId="0" fontId="34" fillId="0" borderId="8" xfId="1" applyFont="1" applyFill="1" applyBorder="1" applyAlignment="1">
      <alignment horizontal="center" vertical="center"/>
    </xf>
    <xf numFmtId="0" fontId="34" fillId="0" borderId="1" xfId="1" applyFont="1" applyFill="1" applyBorder="1" applyAlignment="1">
      <alignment horizontal="center" vertical="center" wrapText="1"/>
    </xf>
    <xf numFmtId="0" fontId="34" fillId="0" borderId="2" xfId="1" applyFont="1" applyFill="1" applyBorder="1" applyAlignment="1">
      <alignment horizontal="center" vertical="center"/>
    </xf>
    <xf numFmtId="0" fontId="34" fillId="0" borderId="197" xfId="1" applyFont="1" applyFill="1" applyBorder="1" applyAlignment="1">
      <alignment horizontal="center" vertical="center"/>
    </xf>
    <xf numFmtId="0" fontId="34" fillId="0" borderId="198" xfId="1" applyFont="1" applyFill="1" applyBorder="1" applyAlignment="1">
      <alignment horizontal="center" vertical="center"/>
    </xf>
    <xf numFmtId="0" fontId="34" fillId="0" borderId="199" xfId="1" applyFont="1" applyFill="1" applyBorder="1" applyAlignment="1">
      <alignment horizontal="center" vertical="center"/>
    </xf>
    <xf numFmtId="2" fontId="34" fillId="0" borderId="59" xfId="1" applyNumberFormat="1" applyFont="1" applyFill="1" applyBorder="1" applyAlignment="1">
      <alignment horizontal="center" vertical="center"/>
    </xf>
    <xf numFmtId="2" fontId="34" fillId="0" borderId="64" xfId="1" applyNumberFormat="1" applyFont="1" applyFill="1" applyBorder="1" applyAlignment="1">
      <alignment horizontal="center" vertical="center"/>
    </xf>
    <xf numFmtId="0" fontId="34" fillId="0" borderId="21" xfId="1" applyFont="1" applyFill="1" applyBorder="1" applyAlignment="1">
      <alignment horizontal="center" vertical="center"/>
    </xf>
    <xf numFmtId="0" fontId="34" fillId="0" borderId="62" xfId="1" applyFont="1" applyFill="1" applyBorder="1" applyAlignment="1">
      <alignment horizontal="center" vertical="center"/>
    </xf>
    <xf numFmtId="0" fontId="34" fillId="0" borderId="22" xfId="1" applyFont="1" applyFill="1" applyBorder="1" applyAlignment="1">
      <alignment horizontal="center" vertical="center"/>
    </xf>
    <xf numFmtId="0" fontId="22" fillId="6" borderId="0" xfId="1" quotePrefix="1" applyFont="1" applyFill="1" applyBorder="1" applyAlignment="1">
      <alignment horizontal="left" vertical="center" wrapText="1"/>
    </xf>
    <xf numFmtId="0" fontId="33" fillId="4" borderId="4" xfId="1" applyFont="1" applyFill="1" applyBorder="1" applyAlignment="1">
      <alignment horizontal="center" vertical="center"/>
    </xf>
    <xf numFmtId="0" fontId="33" fillId="4" borderId="0" xfId="1" applyFont="1" applyFill="1" applyBorder="1" applyAlignment="1">
      <alignment horizontal="center" vertical="center"/>
    </xf>
    <xf numFmtId="0" fontId="33" fillId="4" borderId="5" xfId="1" applyFont="1" applyFill="1" applyBorder="1" applyAlignment="1">
      <alignment horizontal="center" vertical="center"/>
    </xf>
    <xf numFmtId="0" fontId="33" fillId="4" borderId="2" xfId="1" applyFont="1" applyFill="1" applyBorder="1" applyAlignment="1">
      <alignment horizontal="center" vertical="center"/>
    </xf>
    <xf numFmtId="0" fontId="33" fillId="4" borderId="3" xfId="1" applyFont="1" applyFill="1" applyBorder="1" applyAlignment="1">
      <alignment horizontal="center" vertical="center"/>
    </xf>
    <xf numFmtId="0" fontId="33" fillId="4" borderId="1" xfId="1" applyFont="1" applyFill="1" applyBorder="1" applyAlignment="1">
      <alignment horizontal="center" vertical="center"/>
    </xf>
    <xf numFmtId="0" fontId="34" fillId="4" borderId="1" xfId="1" applyFont="1" applyFill="1" applyBorder="1" applyAlignment="1">
      <alignment horizontal="center" vertical="center"/>
    </xf>
    <xf numFmtId="0" fontId="34" fillId="4" borderId="3" xfId="1" applyFont="1" applyFill="1" applyBorder="1" applyAlignment="1">
      <alignment horizontal="center" vertical="center"/>
    </xf>
    <xf numFmtId="0" fontId="34" fillId="4" borderId="6" xfId="1" applyFont="1" applyFill="1" applyBorder="1" applyAlignment="1">
      <alignment horizontal="center" vertical="center"/>
    </xf>
    <xf numFmtId="0" fontId="34" fillId="4" borderId="8" xfId="1" applyFont="1" applyFill="1" applyBorder="1" applyAlignment="1">
      <alignment horizontal="center" vertical="center"/>
    </xf>
    <xf numFmtId="0" fontId="26" fillId="4" borderId="1" xfId="1" applyFont="1" applyFill="1" applyBorder="1" applyAlignment="1">
      <alignment horizontal="center" vertical="center"/>
    </xf>
    <xf numFmtId="0" fontId="26" fillId="4" borderId="2" xfId="1" applyFont="1" applyFill="1" applyBorder="1" applyAlignment="1">
      <alignment horizontal="center" vertical="center"/>
    </xf>
    <xf numFmtId="0" fontId="26" fillId="4" borderId="3" xfId="1" applyFont="1" applyFill="1" applyBorder="1" applyAlignment="1">
      <alignment horizontal="center" vertical="center"/>
    </xf>
    <xf numFmtId="0" fontId="26" fillId="4" borderId="4" xfId="1" applyFont="1" applyFill="1" applyBorder="1" applyAlignment="1">
      <alignment horizontal="center" vertical="center"/>
    </xf>
    <xf numFmtId="0" fontId="26" fillId="4" borderId="0" xfId="1" applyFont="1" applyFill="1" applyBorder="1" applyAlignment="1">
      <alignment horizontal="center" vertical="center"/>
    </xf>
    <xf numFmtId="0" fontId="26" fillId="4" borderId="5" xfId="1" applyFont="1" applyFill="1" applyBorder="1" applyAlignment="1">
      <alignment horizontal="center" vertical="center"/>
    </xf>
    <xf numFmtId="0" fontId="26" fillId="4" borderId="6" xfId="1" applyFont="1" applyFill="1" applyBorder="1" applyAlignment="1">
      <alignment horizontal="center" vertical="center"/>
    </xf>
    <xf numFmtId="0" fontId="26" fillId="4" borderId="198" xfId="1" applyFont="1" applyFill="1" applyBorder="1" applyAlignment="1">
      <alignment horizontal="center" vertical="center"/>
    </xf>
    <xf numFmtId="0" fontId="26" fillId="4" borderId="7" xfId="1" applyFont="1" applyFill="1" applyBorder="1" applyAlignment="1">
      <alignment horizontal="center" vertical="center"/>
    </xf>
    <xf numFmtId="0" fontId="26" fillId="4" borderId="8" xfId="1" applyFont="1" applyFill="1" applyBorder="1" applyAlignment="1">
      <alignment horizontal="center" vertical="center"/>
    </xf>
    <xf numFmtId="0" fontId="21" fillId="4" borderId="21" xfId="1" applyFont="1" applyFill="1" applyBorder="1" applyAlignment="1">
      <alignment horizontal="center" vertical="center"/>
    </xf>
    <xf numFmtId="0" fontId="21" fillId="4" borderId="62" xfId="1" applyFont="1" applyFill="1" applyBorder="1" applyAlignment="1">
      <alignment horizontal="center" vertical="center"/>
    </xf>
    <xf numFmtId="0" fontId="21" fillId="4" borderId="22" xfId="1" applyFont="1" applyFill="1" applyBorder="1" applyAlignment="1">
      <alignment horizontal="center" vertical="center"/>
    </xf>
    <xf numFmtId="0" fontId="34" fillId="4" borderId="1" xfId="1" applyFont="1" applyFill="1" applyBorder="1" applyAlignment="1">
      <alignment horizontal="center" vertical="center" wrapText="1"/>
    </xf>
    <xf numFmtId="0" fontId="34" fillId="4" borderId="2" xfId="1" applyFont="1" applyFill="1" applyBorder="1" applyAlignment="1">
      <alignment horizontal="center" vertical="center"/>
    </xf>
    <xf numFmtId="0" fontId="34" fillId="4" borderId="7" xfId="1" applyFont="1" applyFill="1" applyBorder="1" applyAlignment="1">
      <alignment horizontal="center" vertical="center"/>
    </xf>
    <xf numFmtId="2" fontId="34" fillId="4" borderId="59" xfId="1" applyNumberFormat="1" applyFont="1" applyFill="1" applyBorder="1" applyAlignment="1">
      <alignment horizontal="center" vertical="center"/>
    </xf>
    <xf numFmtId="2" fontId="34" fillId="4" borderId="64" xfId="1" applyNumberFormat="1" applyFont="1" applyFill="1" applyBorder="1" applyAlignment="1">
      <alignment horizontal="center" vertical="center"/>
    </xf>
    <xf numFmtId="0" fontId="140" fillId="4" borderId="4" xfId="1" applyFont="1" applyFill="1" applyBorder="1" applyAlignment="1">
      <alignment horizontal="center" vertical="center"/>
    </xf>
    <xf numFmtId="0" fontId="140" fillId="4" borderId="0" xfId="1" applyFont="1" applyFill="1" applyBorder="1" applyAlignment="1">
      <alignment horizontal="center" vertical="center"/>
    </xf>
    <xf numFmtId="0" fontId="140" fillId="4" borderId="5" xfId="1" applyFont="1" applyFill="1" applyBorder="1" applyAlignment="1">
      <alignment horizontal="center" vertical="center"/>
    </xf>
    <xf numFmtId="0" fontId="140" fillId="4" borderId="6" xfId="1" applyFont="1" applyFill="1" applyBorder="1" applyAlignment="1">
      <alignment horizontal="center" vertical="center"/>
    </xf>
    <xf numFmtId="0" fontId="140" fillId="4" borderId="198" xfId="1" applyFont="1" applyFill="1" applyBorder="1" applyAlignment="1">
      <alignment horizontal="center" vertical="center"/>
    </xf>
    <xf numFmtId="0" fontId="140" fillId="4" borderId="7" xfId="1" applyFont="1" applyFill="1" applyBorder="1" applyAlignment="1">
      <alignment horizontal="center" vertical="center"/>
    </xf>
    <xf numFmtId="0" fontId="140" fillId="4" borderId="8" xfId="1" applyFont="1" applyFill="1" applyBorder="1" applyAlignment="1">
      <alignment horizontal="center" vertical="center"/>
    </xf>
    <xf numFmtId="0" fontId="34" fillId="4" borderId="21" xfId="1" applyFont="1" applyFill="1" applyBorder="1" applyAlignment="1">
      <alignment horizontal="center" vertical="center"/>
    </xf>
    <xf numFmtId="0" fontId="34" fillId="4" borderId="62" xfId="1" applyFont="1" applyFill="1" applyBorder="1" applyAlignment="1">
      <alignment horizontal="center" vertical="center"/>
    </xf>
    <xf numFmtId="0" fontId="34" fillId="4" borderId="22" xfId="1" applyFont="1" applyFill="1" applyBorder="1" applyAlignment="1">
      <alignment horizontal="center" vertical="center"/>
    </xf>
    <xf numFmtId="0" fontId="22" fillId="4" borderId="4" xfId="1" applyFont="1" applyFill="1" applyBorder="1" applyAlignment="1">
      <alignment horizontal="center" vertical="center"/>
    </xf>
    <xf numFmtId="0" fontId="22" fillId="4" borderId="5" xfId="1" applyFont="1" applyFill="1" applyBorder="1" applyAlignment="1">
      <alignment horizontal="center" vertical="center"/>
    </xf>
    <xf numFmtId="0" fontId="22" fillId="4" borderId="197" xfId="1" applyFont="1" applyFill="1" applyBorder="1" applyAlignment="1">
      <alignment horizontal="center" vertical="center"/>
    </xf>
    <xf numFmtId="0" fontId="22" fillId="4" borderId="199" xfId="1" applyFont="1" applyFill="1" applyBorder="1" applyAlignment="1">
      <alignment horizontal="center" vertical="center"/>
    </xf>
    <xf numFmtId="0" fontId="22" fillId="4" borderId="62" xfId="1" applyFont="1" applyFill="1" applyBorder="1" applyAlignment="1">
      <alignment horizontal="center" vertical="center"/>
    </xf>
    <xf numFmtId="0" fontId="147" fillId="6" borderId="4" xfId="1" applyFont="1" applyFill="1" applyBorder="1" applyAlignment="1">
      <alignment horizontal="center" vertical="center"/>
    </xf>
    <xf numFmtId="0" fontId="41" fillId="6" borderId="0" xfId="1" applyFont="1" applyFill="1" applyBorder="1" applyAlignment="1">
      <alignment horizontal="center" vertical="center"/>
    </xf>
    <xf numFmtId="0" fontId="41" fillId="6" borderId="5" xfId="1" applyFont="1" applyFill="1" applyBorder="1" applyAlignment="1">
      <alignment horizontal="center" vertical="center"/>
    </xf>
    <xf numFmtId="0" fontId="41" fillId="6" borderId="197" xfId="1" applyFont="1" applyFill="1" applyBorder="1" applyAlignment="1">
      <alignment horizontal="center" vertical="center"/>
    </xf>
    <xf numFmtId="0" fontId="41" fillId="6" borderId="198" xfId="1" applyFont="1" applyFill="1" applyBorder="1" applyAlignment="1">
      <alignment horizontal="center" vertical="center"/>
    </xf>
    <xf numFmtId="0" fontId="41" fillId="6" borderId="199" xfId="1" applyFont="1" applyFill="1" applyBorder="1" applyAlignment="1">
      <alignment horizontal="center" vertical="center"/>
    </xf>
    <xf numFmtId="0" fontId="22" fillId="4" borderId="1" xfId="1" applyFont="1" applyFill="1" applyBorder="1" applyAlignment="1">
      <alignment horizontal="center" vertical="center"/>
    </xf>
    <xf numFmtId="0" fontId="22" fillId="4" borderId="3" xfId="1" applyFont="1" applyFill="1" applyBorder="1" applyAlignment="1">
      <alignment horizontal="center" vertical="center"/>
    </xf>
    <xf numFmtId="0" fontId="32" fillId="4" borderId="4" xfId="1" applyFont="1" applyFill="1" applyBorder="1" applyAlignment="1">
      <alignment horizontal="left" vertical="center"/>
    </xf>
    <xf numFmtId="0" fontId="32" fillId="4" borderId="0" xfId="1" applyFont="1" applyFill="1" applyBorder="1" applyAlignment="1">
      <alignment horizontal="left" vertical="center"/>
    </xf>
    <xf numFmtId="0" fontId="34" fillId="4" borderId="40" xfId="0" applyFont="1" applyFill="1" applyBorder="1" applyAlignment="1">
      <alignment horizontal="center" vertical="center" wrapText="1"/>
    </xf>
    <xf numFmtId="0" fontId="34" fillId="4" borderId="73" xfId="0" applyFont="1" applyFill="1" applyBorder="1" applyAlignment="1">
      <alignment horizontal="center" vertical="center" wrapText="1"/>
    </xf>
    <xf numFmtId="0" fontId="34" fillId="4" borderId="23" xfId="0"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0"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6"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8" xfId="0" applyFont="1" applyFill="1" applyBorder="1" applyAlignment="1">
      <alignment horizontal="center" vertical="center"/>
    </xf>
    <xf numFmtId="0" fontId="34" fillId="0" borderId="1" xfId="0" applyFont="1" applyBorder="1" applyAlignment="1">
      <alignment horizontal="center"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34" fillId="4" borderId="27" xfId="0" applyFont="1" applyFill="1" applyBorder="1" applyAlignment="1">
      <alignment horizontal="center" vertical="center" wrapText="1"/>
    </xf>
    <xf numFmtId="0" fontId="34" fillId="4" borderId="156" xfId="0" applyFont="1" applyFill="1" applyBorder="1" applyAlignment="1">
      <alignment horizontal="center" vertical="center" wrapText="1"/>
    </xf>
    <xf numFmtId="2" fontId="33" fillId="4" borderId="228" xfId="0" quotePrefix="1" applyNumberFormat="1" applyFont="1" applyFill="1" applyBorder="1" applyAlignment="1">
      <alignment horizontal="center" vertical="center"/>
    </xf>
    <xf numFmtId="2" fontId="33" fillId="4" borderId="224" xfId="0" quotePrefix="1" applyNumberFormat="1" applyFont="1" applyFill="1" applyBorder="1" applyAlignment="1">
      <alignment horizontal="center" vertical="center"/>
    </xf>
    <xf numFmtId="2" fontId="33" fillId="4" borderId="229" xfId="0" quotePrefix="1" applyNumberFormat="1" applyFont="1" applyFill="1" applyBorder="1" applyAlignment="1">
      <alignment horizontal="center" vertical="center"/>
    </xf>
    <xf numFmtId="0" fontId="34" fillId="4" borderId="125" xfId="1" applyFont="1" applyFill="1" applyBorder="1" applyAlignment="1">
      <alignment horizontal="center" vertical="center" wrapText="1"/>
    </xf>
    <xf numFmtId="0" fontId="34" fillId="4" borderId="120" xfId="1" applyFont="1" applyFill="1" applyBorder="1" applyAlignment="1">
      <alignment horizontal="center" vertical="center" wrapText="1"/>
    </xf>
    <xf numFmtId="0" fontId="34" fillId="4" borderId="117" xfId="1" applyFont="1" applyFill="1" applyBorder="1" applyAlignment="1">
      <alignment horizontal="center" vertical="center" wrapText="1"/>
    </xf>
    <xf numFmtId="0" fontId="34" fillId="4" borderId="122" xfId="1" applyFont="1" applyFill="1" applyBorder="1" applyAlignment="1">
      <alignment horizontal="center" vertical="center" wrapText="1"/>
    </xf>
    <xf numFmtId="0" fontId="34" fillId="4" borderId="11" xfId="0" applyFont="1" applyFill="1" applyBorder="1" applyAlignment="1">
      <alignment horizontal="center"/>
    </xf>
    <xf numFmtId="0" fontId="34" fillId="4" borderId="9" xfId="0" applyFont="1" applyFill="1" applyBorder="1" applyAlignment="1">
      <alignment horizontal="center"/>
    </xf>
    <xf numFmtId="0" fontId="34" fillId="4" borderId="41" xfId="1" applyFont="1" applyFill="1" applyBorder="1" applyAlignment="1">
      <alignment horizontal="center" vertical="center" wrapText="1"/>
    </xf>
    <xf numFmtId="0" fontId="34" fillId="4" borderId="146" xfId="1" applyFont="1" applyFill="1" applyBorder="1" applyAlignment="1">
      <alignment horizontal="center" vertical="center" wrapText="1"/>
    </xf>
    <xf numFmtId="0" fontId="34" fillId="4" borderId="147" xfId="1" applyFont="1" applyFill="1" applyBorder="1" applyAlignment="1">
      <alignment horizontal="center" vertical="center" wrapText="1"/>
    </xf>
    <xf numFmtId="0" fontId="32" fillId="4" borderId="6" xfId="1" applyFont="1" applyFill="1" applyBorder="1" applyAlignment="1">
      <alignment horizontal="left" vertical="center" wrapText="1"/>
    </xf>
    <xf numFmtId="0" fontId="32" fillId="4" borderId="7" xfId="1" applyFont="1" applyFill="1" applyBorder="1" applyAlignment="1">
      <alignment horizontal="left" vertical="center" wrapText="1"/>
    </xf>
    <xf numFmtId="0" fontId="32" fillId="4" borderId="8" xfId="1" applyFont="1" applyFill="1" applyBorder="1" applyAlignment="1">
      <alignment horizontal="left" vertical="center" wrapText="1"/>
    </xf>
    <xf numFmtId="0" fontId="34" fillId="4" borderId="74" xfId="1" applyFont="1" applyFill="1" applyBorder="1" applyAlignment="1">
      <alignment horizontal="center" vertical="center"/>
    </xf>
    <xf numFmtId="0" fontId="34" fillId="4" borderId="128" xfId="1" applyFont="1" applyFill="1" applyBorder="1" applyAlignment="1">
      <alignment horizontal="center" vertical="center"/>
    </xf>
    <xf numFmtId="0" fontId="34" fillId="4" borderId="29" xfId="1" applyFont="1" applyFill="1" applyBorder="1" applyAlignment="1">
      <alignment horizontal="center" vertical="center"/>
    </xf>
    <xf numFmtId="0" fontId="34" fillId="4" borderId="33" xfId="1" applyFont="1" applyFill="1" applyBorder="1" applyAlignment="1">
      <alignment horizontal="center" vertical="center" wrapText="1"/>
    </xf>
    <xf numFmtId="0" fontId="34" fillId="4" borderId="38" xfId="1" applyFont="1" applyFill="1" applyBorder="1" applyAlignment="1">
      <alignment horizontal="center" vertical="center" wrapText="1"/>
    </xf>
    <xf numFmtId="0" fontId="34" fillId="4" borderId="67" xfId="1" applyFont="1" applyFill="1" applyBorder="1" applyAlignment="1">
      <alignment horizontal="center" vertical="center"/>
    </xf>
    <xf numFmtId="0" fontId="34" fillId="4" borderId="61" xfId="1" applyFont="1" applyFill="1" applyBorder="1" applyAlignment="1">
      <alignment horizontal="center" vertical="center"/>
    </xf>
    <xf numFmtId="0" fontId="28" fillId="4" borderId="32" xfId="1" applyFont="1" applyFill="1" applyBorder="1" applyAlignment="1">
      <alignment horizontal="center" vertical="center" wrapText="1"/>
    </xf>
    <xf numFmtId="0" fontId="28" fillId="4" borderId="37" xfId="1" applyFont="1" applyFill="1" applyBorder="1" applyAlignment="1">
      <alignment horizontal="center" vertical="center" wrapText="1"/>
    </xf>
    <xf numFmtId="0" fontId="34" fillId="4" borderId="145" xfId="1" applyFont="1" applyFill="1" applyBorder="1" applyAlignment="1">
      <alignment horizontal="center" vertical="center" wrapText="1"/>
    </xf>
    <xf numFmtId="0" fontId="28" fillId="4" borderId="40" xfId="1" applyFont="1" applyFill="1" applyBorder="1" applyAlignment="1">
      <alignment horizontal="center" vertical="center" wrapText="1"/>
    </xf>
    <xf numFmtId="0" fontId="28" fillId="4" borderId="125" xfId="1" applyFont="1" applyFill="1" applyBorder="1" applyAlignment="1">
      <alignment horizontal="center" vertical="center" wrapText="1"/>
    </xf>
    <xf numFmtId="0" fontId="28" fillId="4" borderId="120" xfId="1" applyFont="1" applyFill="1" applyBorder="1" applyAlignment="1">
      <alignment horizontal="center" vertical="center" wrapText="1"/>
    </xf>
    <xf numFmtId="0" fontId="34" fillId="4" borderId="42" xfId="1" applyFont="1" applyFill="1" applyBorder="1" applyAlignment="1">
      <alignment horizontal="center" vertical="center" wrapText="1"/>
    </xf>
    <xf numFmtId="0" fontId="34" fillId="4" borderId="130" xfId="1" applyFont="1" applyFill="1" applyBorder="1" applyAlignment="1">
      <alignment horizontal="center" vertical="center" wrapText="1"/>
    </xf>
    <xf numFmtId="0" fontId="34" fillId="4" borderId="11" xfId="1" applyFont="1" applyFill="1" applyBorder="1" applyAlignment="1">
      <alignment horizontal="center" vertical="center"/>
    </xf>
    <xf numFmtId="0" fontId="34" fillId="4" borderId="9" xfId="1" applyFont="1" applyFill="1" applyBorder="1" applyAlignment="1">
      <alignment horizontal="center" vertical="center"/>
    </xf>
    <xf numFmtId="0" fontId="34" fillId="4" borderId="10" xfId="1" applyFont="1" applyFill="1" applyBorder="1" applyAlignment="1">
      <alignment horizontal="center" vertical="center"/>
    </xf>
    <xf numFmtId="0" fontId="256" fillId="4" borderId="6" xfId="1" applyFont="1" applyFill="1" applyBorder="1" applyAlignment="1">
      <alignment horizontal="center" vertical="center"/>
    </xf>
    <xf numFmtId="0" fontId="256" fillId="4" borderId="7" xfId="1" applyFont="1" applyFill="1" applyBorder="1" applyAlignment="1">
      <alignment horizontal="center" vertical="center"/>
    </xf>
    <xf numFmtId="0" fontId="256" fillId="4" borderId="8" xfId="1" applyFont="1" applyFill="1" applyBorder="1" applyAlignment="1">
      <alignment horizontal="center" vertical="center"/>
    </xf>
    <xf numFmtId="0" fontId="34" fillId="6" borderId="1" xfId="1" applyFont="1" applyFill="1" applyBorder="1" applyAlignment="1">
      <alignment horizontal="center" vertical="center"/>
    </xf>
    <xf numFmtId="0" fontId="34" fillId="6" borderId="2" xfId="1" applyFont="1" applyFill="1" applyBorder="1" applyAlignment="1">
      <alignment horizontal="center" vertical="center"/>
    </xf>
    <xf numFmtId="0" fontId="34" fillId="4" borderId="143" xfId="1" applyFont="1" applyFill="1" applyBorder="1" applyAlignment="1">
      <alignment horizontal="center" vertical="center" wrapText="1"/>
    </xf>
    <xf numFmtId="0" fontId="34" fillId="4" borderId="144" xfId="1" applyFont="1" applyFill="1" applyBorder="1" applyAlignment="1">
      <alignment horizontal="center" vertical="center" wrapText="1"/>
    </xf>
    <xf numFmtId="0" fontId="34" fillId="4" borderId="148" xfId="1" applyFont="1" applyFill="1" applyBorder="1" applyAlignment="1">
      <alignment horizontal="center" vertical="center" wrapText="1"/>
    </xf>
    <xf numFmtId="0" fontId="34" fillId="6" borderId="0" xfId="0" applyFont="1" applyFill="1" applyBorder="1" applyAlignment="1">
      <alignment horizontal="center"/>
    </xf>
    <xf numFmtId="0" fontId="34" fillId="4" borderId="27" xfId="1" applyFont="1" applyFill="1" applyBorder="1" applyAlignment="1">
      <alignment horizontal="center" vertical="center"/>
    </xf>
    <xf numFmtId="0" fontId="34" fillId="4" borderId="155" xfId="1" applyFont="1" applyFill="1" applyBorder="1" applyAlignment="1">
      <alignment horizontal="center" vertical="center"/>
    </xf>
    <xf numFmtId="0" fontId="34" fillId="4" borderId="156" xfId="1" applyFont="1" applyFill="1" applyBorder="1" applyAlignment="1">
      <alignment horizontal="center" vertical="center"/>
    </xf>
    <xf numFmtId="0" fontId="34" fillId="4" borderId="36" xfId="1" applyFont="1" applyFill="1" applyBorder="1" applyAlignment="1">
      <alignment horizontal="center" vertical="center"/>
    </xf>
    <xf numFmtId="0" fontId="34" fillId="4" borderId="39" xfId="1" applyFont="1" applyFill="1" applyBorder="1" applyAlignment="1">
      <alignment horizontal="center" vertical="center"/>
    </xf>
    <xf numFmtId="0" fontId="28" fillId="4" borderId="144" xfId="1" applyFont="1" applyFill="1" applyBorder="1" applyAlignment="1">
      <alignment horizontal="center" vertical="center" wrapText="1"/>
    </xf>
    <xf numFmtId="0" fontId="28" fillId="4" borderId="146" xfId="1" applyFont="1" applyFill="1" applyBorder="1" applyAlignment="1">
      <alignment horizontal="center" vertical="center" wrapText="1"/>
    </xf>
    <xf numFmtId="0" fontId="34" fillId="4" borderId="4" xfId="1" applyFont="1" applyFill="1" applyBorder="1" applyAlignment="1">
      <alignment horizontal="center" vertical="center"/>
    </xf>
    <xf numFmtId="0" fontId="34" fillId="4" borderId="0" xfId="1" applyFont="1" applyFill="1" applyBorder="1" applyAlignment="1">
      <alignment horizontal="center" vertical="center"/>
    </xf>
    <xf numFmtId="0" fontId="34" fillId="4" borderId="41" xfId="1" applyFont="1" applyFill="1" applyBorder="1" applyAlignment="1">
      <alignment horizontal="center" vertical="center"/>
    </xf>
    <xf numFmtId="0" fontId="34" fillId="4" borderId="146" xfId="1" applyFont="1" applyFill="1" applyBorder="1" applyAlignment="1">
      <alignment horizontal="center" vertical="center"/>
    </xf>
    <xf numFmtId="0" fontId="34" fillId="4" borderId="147" xfId="1" applyFont="1" applyFill="1" applyBorder="1" applyAlignment="1">
      <alignment horizontal="center" vertical="center"/>
    </xf>
    <xf numFmtId="0" fontId="28" fillId="4" borderId="33" xfId="1" applyFont="1" applyFill="1" applyBorder="1" applyAlignment="1">
      <alignment horizontal="center" vertical="center" wrapText="1"/>
    </xf>
    <xf numFmtId="0" fontId="28" fillId="4" borderId="38" xfId="1" applyFont="1" applyFill="1" applyBorder="1" applyAlignment="1">
      <alignment horizontal="center" vertical="center" wrapText="1"/>
    </xf>
    <xf numFmtId="0" fontId="256" fillId="4" borderId="1" xfId="1" applyFont="1" applyFill="1" applyBorder="1" applyAlignment="1">
      <alignment horizontal="center" vertical="center"/>
    </xf>
    <xf numFmtId="0" fontId="256" fillId="4" borderId="2" xfId="1" applyFont="1" applyFill="1" applyBorder="1" applyAlignment="1">
      <alignment horizontal="center" vertical="center"/>
    </xf>
    <xf numFmtId="0" fontId="256" fillId="4" borderId="3" xfId="1" applyFont="1" applyFill="1" applyBorder="1" applyAlignment="1">
      <alignment horizontal="center" vertical="center"/>
    </xf>
    <xf numFmtId="0" fontId="256" fillId="4" borderId="4" xfId="1" applyFont="1" applyFill="1" applyBorder="1" applyAlignment="1">
      <alignment horizontal="center" vertical="center"/>
    </xf>
    <xf numFmtId="0" fontId="256" fillId="4" borderId="0" xfId="1" applyFont="1" applyFill="1" applyBorder="1" applyAlignment="1">
      <alignment horizontal="center" vertical="center"/>
    </xf>
    <xf numFmtId="0" fontId="256" fillId="4" borderId="5" xfId="1" applyFont="1" applyFill="1" applyBorder="1" applyAlignment="1">
      <alignment horizontal="center" vertical="center"/>
    </xf>
    <xf numFmtId="0" fontId="22" fillId="4" borderId="21" xfId="1" applyFont="1" applyFill="1" applyBorder="1" applyAlignment="1">
      <alignment horizontal="center" vertical="center"/>
    </xf>
    <xf numFmtId="0" fontId="22" fillId="4" borderId="22" xfId="1" applyFont="1" applyFill="1" applyBorder="1" applyAlignment="1">
      <alignment horizontal="center" vertical="center"/>
    </xf>
    <xf numFmtId="0" fontId="22" fillId="6" borderId="1" xfId="1" applyFont="1" applyFill="1" applyBorder="1" applyAlignment="1">
      <alignment horizontal="center" vertical="center"/>
    </xf>
    <xf numFmtId="0" fontId="22" fillId="6" borderId="2" xfId="1" applyFont="1" applyFill="1" applyBorder="1" applyAlignment="1">
      <alignment horizontal="center" vertical="center"/>
    </xf>
    <xf numFmtId="0" fontId="34" fillId="4" borderId="40" xfId="1" applyFont="1" applyFill="1" applyBorder="1" applyAlignment="1">
      <alignment horizontal="center" vertical="center"/>
    </xf>
    <xf numFmtId="0" fontId="28" fillId="4" borderId="21" xfId="1" applyFont="1" applyFill="1" applyBorder="1" applyAlignment="1">
      <alignment horizontal="center" vertical="center"/>
    </xf>
    <xf numFmtId="0" fontId="28" fillId="4" borderId="62" xfId="1" applyFont="1" applyFill="1" applyBorder="1" applyAlignment="1">
      <alignment horizontal="center" vertical="center"/>
    </xf>
    <xf numFmtId="0" fontId="28" fillId="4" borderId="22" xfId="1" applyFont="1" applyFill="1" applyBorder="1" applyAlignment="1">
      <alignment horizontal="center" vertical="center"/>
    </xf>
    <xf numFmtId="0" fontId="34" fillId="4" borderId="59" xfId="1" applyFont="1" applyFill="1" applyBorder="1" applyAlignment="1">
      <alignment horizontal="center" vertical="center"/>
    </xf>
    <xf numFmtId="0" fontId="34" fillId="4" borderId="63" xfId="1" applyFont="1" applyFill="1" applyBorder="1" applyAlignment="1">
      <alignment horizontal="center" vertical="center"/>
    </xf>
    <xf numFmtId="0" fontId="34" fillId="4" borderId="64" xfId="1" applyFont="1" applyFill="1" applyBorder="1" applyAlignment="1">
      <alignment horizontal="center" vertical="center"/>
    </xf>
    <xf numFmtId="0" fontId="34" fillId="4" borderId="32" xfId="1" applyFont="1" applyFill="1" applyBorder="1" applyAlignment="1">
      <alignment horizontal="center" vertical="center" wrapText="1"/>
    </xf>
    <xf numFmtId="0" fontId="34" fillId="4" borderId="37" xfId="1" applyFont="1" applyFill="1" applyBorder="1" applyAlignment="1">
      <alignment horizontal="center" vertical="center" wrapText="1"/>
    </xf>
    <xf numFmtId="0" fontId="32" fillId="4" borderId="197" xfId="1" applyFont="1" applyFill="1" applyBorder="1" applyAlignment="1">
      <alignment horizontal="left" vertical="center" wrapText="1"/>
    </xf>
    <xf numFmtId="0" fontId="32" fillId="4" borderId="198" xfId="1" applyFont="1" applyFill="1" applyBorder="1" applyAlignment="1">
      <alignment horizontal="left" vertical="center" wrapText="1"/>
    </xf>
    <xf numFmtId="0" fontId="32" fillId="4" borderId="199" xfId="1" applyFont="1" applyFill="1" applyBorder="1" applyAlignment="1">
      <alignment horizontal="left" vertical="center" wrapText="1"/>
    </xf>
    <xf numFmtId="0" fontId="34" fillId="4" borderId="51" xfId="1" applyFont="1" applyFill="1" applyBorder="1" applyAlignment="1">
      <alignment horizontal="center" vertical="center" wrapText="1"/>
    </xf>
    <xf numFmtId="0" fontId="140" fillId="0" borderId="4" xfId="1" applyFont="1" applyFill="1" applyBorder="1" applyAlignment="1">
      <alignment horizontal="center" vertical="center"/>
    </xf>
    <xf numFmtId="0" fontId="140" fillId="0" borderId="0" xfId="1" applyFont="1" applyFill="1" applyBorder="1" applyAlignment="1">
      <alignment horizontal="center" vertical="center"/>
    </xf>
    <xf numFmtId="0" fontId="140" fillId="0" borderId="5" xfId="1" applyFont="1" applyFill="1" applyBorder="1" applyAlignment="1">
      <alignment horizontal="center" vertical="center"/>
    </xf>
    <xf numFmtId="0" fontId="140" fillId="0" borderId="6" xfId="1" applyFont="1" applyFill="1" applyBorder="1" applyAlignment="1">
      <alignment horizontal="center" vertical="center"/>
    </xf>
    <xf numFmtId="0" fontId="140" fillId="0" borderId="7" xfId="1" applyFont="1" applyFill="1" applyBorder="1" applyAlignment="1">
      <alignment horizontal="center" vertical="center"/>
    </xf>
    <xf numFmtId="0" fontId="140" fillId="0" borderId="8" xfId="1" applyFont="1" applyFill="1" applyBorder="1" applyAlignment="1">
      <alignment horizontal="center" vertical="center"/>
    </xf>
    <xf numFmtId="0" fontId="21" fillId="0" borderId="1" xfId="1" applyFont="1" applyFill="1" applyBorder="1" applyAlignment="1">
      <alignment horizontal="center" vertical="center"/>
    </xf>
    <xf numFmtId="0" fontId="21" fillId="0" borderId="2" xfId="1" applyFont="1" applyFill="1" applyBorder="1" applyAlignment="1">
      <alignment horizontal="center" vertical="center"/>
    </xf>
    <xf numFmtId="0" fontId="21" fillId="0" borderId="3" xfId="1" applyFont="1" applyFill="1" applyBorder="1" applyAlignment="1">
      <alignment horizontal="center" vertical="center"/>
    </xf>
    <xf numFmtId="2" fontId="33" fillId="0" borderId="0" xfId="1" applyNumberFormat="1" applyFont="1" applyFill="1" applyBorder="1" applyAlignment="1">
      <alignment horizontal="center" vertical="center"/>
    </xf>
    <xf numFmtId="0" fontId="20" fillId="0" borderId="0" xfId="1" applyFont="1" applyFill="1" applyBorder="1" applyAlignment="1">
      <alignment horizontal="left" vertical="center" wrapText="1"/>
    </xf>
    <xf numFmtId="0" fontId="41" fillId="6" borderId="62" xfId="0" quotePrefix="1" applyFont="1" applyFill="1" applyBorder="1" applyAlignment="1">
      <alignment horizontal="left" vertical="center" wrapText="1"/>
    </xf>
    <xf numFmtId="0" fontId="34" fillId="4" borderId="21" xfId="0" applyFont="1" applyFill="1" applyBorder="1" applyAlignment="1">
      <alignment horizontal="center" vertical="center" wrapText="1"/>
    </xf>
    <xf numFmtId="0" fontId="34" fillId="4" borderId="22" xfId="0" applyFont="1" applyFill="1" applyBorder="1" applyAlignment="1">
      <alignment horizontal="center" vertical="center" wrapText="1"/>
    </xf>
    <xf numFmtId="0" fontId="34" fillId="4" borderId="62" xfId="0" applyFont="1" applyFill="1" applyBorder="1" applyAlignment="1">
      <alignment horizontal="center" vertical="center" wrapText="1"/>
    </xf>
    <xf numFmtId="0" fontId="34" fillId="6" borderId="0" xfId="1" applyFont="1" applyFill="1" applyBorder="1" applyAlignment="1">
      <alignment horizontal="center" vertical="center" wrapText="1"/>
    </xf>
    <xf numFmtId="0" fontId="34" fillId="6" borderId="0" xfId="1" quotePrefix="1" applyFont="1" applyFill="1" applyBorder="1" applyAlignment="1">
      <alignment horizontal="center" vertical="center" wrapText="1"/>
    </xf>
    <xf numFmtId="0" fontId="34" fillId="4" borderId="142" xfId="1" applyFont="1" applyFill="1" applyBorder="1" applyAlignment="1">
      <alignment horizontal="center" vertical="center" wrapText="1"/>
    </xf>
    <xf numFmtId="0" fontId="34" fillId="4" borderId="158" xfId="1" applyFont="1" applyFill="1" applyBorder="1" applyAlignment="1">
      <alignment horizontal="center" vertical="center" wrapText="1"/>
    </xf>
    <xf numFmtId="0" fontId="34" fillId="4" borderId="161" xfId="1" applyFont="1" applyFill="1" applyBorder="1" applyAlignment="1">
      <alignment horizontal="center" vertical="center" wrapText="1"/>
    </xf>
    <xf numFmtId="0" fontId="34" fillId="4" borderId="142" xfId="1" quotePrefix="1" applyFont="1" applyFill="1" applyBorder="1" applyAlignment="1">
      <alignment horizontal="center" vertical="center" wrapText="1"/>
    </xf>
    <xf numFmtId="0" fontId="34" fillId="4" borderId="6" xfId="1" applyFont="1" applyFill="1" applyBorder="1" applyAlignment="1">
      <alignment horizontal="center" vertical="center" wrapText="1"/>
    </xf>
    <xf numFmtId="0" fontId="34" fillId="4" borderId="70" xfId="1" applyFont="1" applyFill="1" applyBorder="1" applyAlignment="1">
      <alignment horizontal="center" vertical="center" wrapText="1"/>
    </xf>
    <xf numFmtId="0" fontId="34" fillId="4" borderId="68" xfId="1" applyFont="1" applyFill="1" applyBorder="1" applyAlignment="1">
      <alignment horizontal="center" vertical="center" wrapText="1"/>
    </xf>
    <xf numFmtId="0" fontId="34" fillId="4" borderId="8" xfId="1" applyFont="1" applyFill="1" applyBorder="1" applyAlignment="1">
      <alignment horizontal="center" vertical="center" wrapText="1"/>
    </xf>
    <xf numFmtId="0" fontId="34" fillId="4" borderId="51" xfId="1" applyFont="1" applyFill="1" applyBorder="1" applyAlignment="1">
      <alignment horizontal="center" vertical="center"/>
    </xf>
    <xf numFmtId="0" fontId="34" fillId="4" borderId="158" xfId="1" applyFont="1" applyFill="1" applyBorder="1" applyAlignment="1">
      <alignment horizontal="center" vertical="center"/>
    </xf>
    <xf numFmtId="0" fontId="34" fillId="4" borderId="160" xfId="1" applyFont="1" applyFill="1" applyBorder="1" applyAlignment="1">
      <alignment horizontal="center" vertical="center"/>
    </xf>
    <xf numFmtId="0" fontId="34" fillId="4" borderId="24" xfId="1" applyFont="1" applyFill="1" applyBorder="1" applyAlignment="1">
      <alignment horizontal="center" vertical="center" wrapText="1"/>
    </xf>
    <xf numFmtId="0" fontId="34" fillId="4" borderId="30" xfId="1" applyFont="1" applyFill="1" applyBorder="1" applyAlignment="1">
      <alignment horizontal="center" vertical="center" wrapText="1"/>
    </xf>
    <xf numFmtId="0" fontId="34" fillId="4" borderId="41" xfId="1" quotePrefix="1" applyFont="1" applyFill="1" applyBorder="1" applyAlignment="1">
      <alignment horizontal="center" vertical="center" wrapText="1"/>
    </xf>
    <xf numFmtId="0" fontId="34" fillId="4" borderId="149" xfId="1" applyFont="1" applyFill="1" applyBorder="1" applyAlignment="1">
      <alignment horizontal="center" vertical="center" wrapText="1"/>
    </xf>
    <xf numFmtId="0" fontId="34" fillId="4" borderId="32" xfId="1" applyFont="1" applyFill="1" applyBorder="1" applyAlignment="1">
      <alignment horizontal="center" vertical="center"/>
    </xf>
    <xf numFmtId="0" fontId="34" fillId="4" borderId="33" xfId="1" applyFont="1" applyFill="1" applyBorder="1" applyAlignment="1">
      <alignment horizontal="center" vertical="center"/>
    </xf>
    <xf numFmtId="0" fontId="34" fillId="6" borderId="4" xfId="1" applyFont="1" applyFill="1" applyBorder="1" applyAlignment="1">
      <alignment horizontal="center" vertical="center"/>
    </xf>
    <xf numFmtId="0" fontId="34" fillId="6" borderId="0" xfId="1" applyFont="1" applyFill="1" applyBorder="1" applyAlignment="1">
      <alignment horizontal="center" vertical="center"/>
    </xf>
    <xf numFmtId="0" fontId="34" fillId="4" borderId="67" xfId="1" applyFont="1" applyFill="1" applyBorder="1" applyAlignment="1">
      <alignment horizontal="center" vertical="center" wrapText="1"/>
    </xf>
    <xf numFmtId="0" fontId="34" fillId="4" borderId="34" xfId="1" applyFont="1" applyFill="1" applyBorder="1" applyAlignment="1">
      <alignment horizontal="center" vertical="center" wrapText="1"/>
    </xf>
    <xf numFmtId="0" fontId="34" fillId="4" borderId="36" xfId="1" applyFont="1" applyFill="1" applyBorder="1" applyAlignment="1">
      <alignment horizontal="center" vertical="center" wrapText="1"/>
    </xf>
    <xf numFmtId="0" fontId="34" fillId="4" borderId="39" xfId="1" applyFont="1" applyFill="1" applyBorder="1" applyAlignment="1">
      <alignment horizontal="center" vertical="center" wrapText="1"/>
    </xf>
    <xf numFmtId="0" fontId="34" fillId="4" borderId="37" xfId="1" applyFont="1" applyFill="1" applyBorder="1" applyAlignment="1">
      <alignment horizontal="center" vertical="center"/>
    </xf>
    <xf numFmtId="0" fontId="22" fillId="6" borderId="4" xfId="1" applyFont="1" applyFill="1" applyBorder="1" applyAlignment="1">
      <alignment horizontal="center" vertical="center"/>
    </xf>
    <xf numFmtId="0" fontId="22" fillId="6" borderId="0" xfId="1" applyFont="1" applyFill="1" applyBorder="1" applyAlignment="1">
      <alignment horizontal="center" vertical="center"/>
    </xf>
    <xf numFmtId="0" fontId="34" fillId="4" borderId="42" xfId="1" applyFont="1" applyFill="1" applyBorder="1" applyAlignment="1">
      <alignment horizontal="center" vertical="center"/>
    </xf>
    <xf numFmtId="0" fontId="34" fillId="4" borderId="143" xfId="1" applyFont="1" applyFill="1" applyBorder="1" applyAlignment="1">
      <alignment horizontal="center" vertical="center"/>
    </xf>
    <xf numFmtId="0" fontId="28" fillId="4" borderId="152" xfId="1" applyFont="1" applyFill="1" applyBorder="1" applyAlignment="1">
      <alignment horizontal="center" vertical="center" wrapText="1"/>
    </xf>
    <xf numFmtId="0" fontId="34" fillId="4" borderId="144" xfId="1" applyFont="1" applyFill="1" applyBorder="1" applyAlignment="1">
      <alignment horizontal="center" vertical="center"/>
    </xf>
    <xf numFmtId="0" fontId="149" fillId="3" borderId="1" xfId="95" applyFont="1" applyFill="1" applyBorder="1" applyAlignment="1">
      <alignment horizontal="left" vertical="center"/>
    </xf>
    <xf numFmtId="0" fontId="149" fillId="3" borderId="2" xfId="95" applyFont="1" applyFill="1" applyBorder="1" applyAlignment="1">
      <alignment horizontal="left" vertical="center"/>
    </xf>
    <xf numFmtId="0" fontId="149" fillId="3" borderId="3" xfId="95" applyFont="1" applyFill="1" applyBorder="1" applyAlignment="1">
      <alignment horizontal="left" vertical="center"/>
    </xf>
    <xf numFmtId="0" fontId="19" fillId="3" borderId="0" xfId="95" applyFont="1" applyFill="1" applyBorder="1" applyAlignment="1">
      <alignment horizontal="center" vertical="center"/>
    </xf>
    <xf numFmtId="0" fontId="19" fillId="3" borderId="5" xfId="95" applyFont="1" applyFill="1" applyBorder="1" applyAlignment="1">
      <alignment horizontal="center" vertical="center"/>
    </xf>
    <xf numFmtId="0" fontId="19" fillId="3" borderId="198" xfId="95" applyFont="1" applyFill="1" applyBorder="1" applyAlignment="1">
      <alignment horizontal="center" vertical="center"/>
    </xf>
    <xf numFmtId="0" fontId="19" fillId="3" borderId="199" xfId="95" applyFont="1" applyFill="1" applyBorder="1" applyAlignment="1">
      <alignment horizontal="center" vertical="center"/>
    </xf>
    <xf numFmtId="0" fontId="257" fillId="3" borderId="1" xfId="95" applyFont="1" applyFill="1" applyBorder="1" applyAlignment="1">
      <alignment horizontal="left" vertical="center"/>
    </xf>
    <xf numFmtId="0" fontId="257" fillId="3" borderId="2" xfId="95" applyFont="1" applyFill="1" applyBorder="1" applyAlignment="1">
      <alignment horizontal="left" vertical="center"/>
    </xf>
    <xf numFmtId="0" fontId="257" fillId="3" borderId="3" xfId="95" applyFont="1" applyFill="1" applyBorder="1" applyAlignment="1">
      <alignment horizontal="left" vertical="center"/>
    </xf>
    <xf numFmtId="0" fontId="60" fillId="3" borderId="0" xfId="95" applyFont="1" applyFill="1" applyBorder="1" applyAlignment="1">
      <alignment horizontal="center" vertical="center"/>
    </xf>
    <xf numFmtId="0" fontId="60" fillId="3" borderId="5" xfId="95" applyFont="1" applyFill="1" applyBorder="1" applyAlignment="1">
      <alignment horizontal="center" vertical="center"/>
    </xf>
    <xf numFmtId="0" fontId="60" fillId="3" borderId="7" xfId="95" applyFont="1" applyFill="1" applyBorder="1" applyAlignment="1">
      <alignment horizontal="center" vertical="center"/>
    </xf>
    <xf numFmtId="0" fontId="60" fillId="3" borderId="8" xfId="95" applyFont="1" applyFill="1" applyBorder="1" applyAlignment="1">
      <alignment horizontal="center" vertical="center"/>
    </xf>
    <xf numFmtId="0" fontId="34" fillId="4" borderId="130" xfId="1" applyFont="1" applyFill="1" applyBorder="1" applyAlignment="1">
      <alignment horizontal="center" vertical="center"/>
    </xf>
    <xf numFmtId="0" fontId="28" fillId="4" borderId="138" xfId="1" applyFont="1" applyFill="1" applyBorder="1" applyAlignment="1">
      <alignment horizontal="center" vertical="center" wrapText="1"/>
    </xf>
    <xf numFmtId="0" fontId="34" fillId="4" borderId="129" xfId="1" applyFont="1" applyFill="1" applyBorder="1" applyAlignment="1">
      <alignment horizontal="center" vertical="center"/>
    </xf>
    <xf numFmtId="0" fontId="34" fillId="4" borderId="124" xfId="1" applyFont="1" applyFill="1" applyBorder="1" applyAlignment="1">
      <alignment horizontal="center" vertical="center"/>
    </xf>
    <xf numFmtId="0" fontId="34" fillId="6" borderId="7" xfId="1" applyFont="1" applyFill="1" applyBorder="1" applyAlignment="1">
      <alignment horizontal="center" vertical="center"/>
    </xf>
    <xf numFmtId="0" fontId="26" fillId="0" borderId="6" xfId="1" applyFont="1" applyFill="1" applyBorder="1" applyAlignment="1">
      <alignment horizontal="center" vertical="center"/>
    </xf>
    <xf numFmtId="0" fontId="26" fillId="0" borderId="7" xfId="1" applyFont="1" applyFill="1" applyBorder="1" applyAlignment="1">
      <alignment horizontal="center" vertical="center"/>
    </xf>
    <xf numFmtId="0" fontId="26" fillId="0" borderId="8" xfId="1" applyFont="1" applyFill="1" applyBorder="1" applyAlignment="1">
      <alignment horizontal="center" vertical="center"/>
    </xf>
    <xf numFmtId="0" fontId="41" fillId="6" borderId="0" xfId="881" applyFont="1" applyFill="1" applyBorder="1" applyAlignment="1">
      <alignment horizontal="left" vertical="center" wrapText="1"/>
    </xf>
    <xf numFmtId="0" fontId="22" fillId="6" borderId="0" xfId="0" applyFont="1" applyFill="1" applyBorder="1" applyAlignment="1">
      <alignment horizontal="right"/>
    </xf>
    <xf numFmtId="0" fontId="20" fillId="4" borderId="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0" fillId="4" borderId="197" xfId="0" applyFont="1" applyFill="1" applyBorder="1" applyAlignment="1">
      <alignment horizontal="center" vertical="center" wrapText="1"/>
    </xf>
    <xf numFmtId="10" fontId="20" fillId="4" borderId="1" xfId="0" applyNumberFormat="1" applyFont="1" applyFill="1" applyBorder="1" applyAlignment="1">
      <alignment horizontal="center" vertical="center" wrapText="1"/>
    </xf>
    <xf numFmtId="10" fontId="20" fillId="4" borderId="4" xfId="0" applyNumberFormat="1" applyFont="1" applyFill="1" applyBorder="1" applyAlignment="1">
      <alignment horizontal="center" vertical="center" wrapText="1"/>
    </xf>
    <xf numFmtId="10" fontId="20" fillId="4" borderId="197"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xf>
    <xf numFmtId="167" fontId="22" fillId="4" borderId="62" xfId="0" applyNumberFormat="1" applyFont="1" applyFill="1" applyBorder="1" applyAlignment="1">
      <alignment horizontal="center" vertical="center"/>
    </xf>
    <xf numFmtId="167" fontId="22" fillId="4" borderId="22" xfId="0" applyNumberFormat="1" applyFont="1" applyFill="1" applyBorder="1" applyAlignment="1">
      <alignment horizontal="center" vertical="center"/>
    </xf>
    <xf numFmtId="0" fontId="20" fillId="6" borderId="4" xfId="0" applyFont="1" applyFill="1" applyBorder="1" applyAlignment="1">
      <alignment horizontal="left" vertical="center"/>
    </xf>
    <xf numFmtId="0" fontId="20" fillId="6" borderId="0" xfId="0" applyFont="1" applyFill="1" applyBorder="1" applyAlignment="1">
      <alignment horizontal="left" vertical="center"/>
    </xf>
    <xf numFmtId="167" fontId="22" fillId="6" borderId="0" xfId="0" applyNumberFormat="1" applyFont="1" applyFill="1" applyBorder="1" applyAlignment="1">
      <alignment horizontal="left" vertical="center" wrapText="1"/>
    </xf>
    <xf numFmtId="0" fontId="21" fillId="6" borderId="62" xfId="0" applyFont="1" applyFill="1" applyBorder="1" applyAlignment="1">
      <alignment horizontal="center"/>
    </xf>
    <xf numFmtId="0" fontId="22" fillId="4" borderId="30" xfId="0" applyFont="1" applyFill="1" applyBorder="1" applyAlignment="1">
      <alignment horizontal="center" vertical="center"/>
    </xf>
    <xf numFmtId="0" fontId="22" fillId="4" borderId="229" xfId="0" applyFont="1" applyFill="1" applyBorder="1" applyAlignment="1">
      <alignment horizontal="center" vertical="center"/>
    </xf>
    <xf numFmtId="167" fontId="22" fillId="4" borderId="197" xfId="0" applyNumberFormat="1" applyFont="1" applyFill="1" applyBorder="1" applyAlignment="1">
      <alignment horizontal="center" vertical="center"/>
    </xf>
    <xf numFmtId="167" fontId="22" fillId="4" borderId="198" xfId="0" applyNumberFormat="1" applyFont="1" applyFill="1" applyBorder="1" applyAlignment="1">
      <alignment horizontal="center" vertical="center"/>
    </xf>
    <xf numFmtId="167" fontId="22" fillId="4" borderId="199"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97" xfId="0" applyFont="1" applyFill="1" applyBorder="1" applyAlignment="1">
      <alignment horizontal="center" vertical="center" wrapText="1"/>
    </xf>
    <xf numFmtId="0" fontId="22" fillId="4" borderId="59" xfId="0" applyFont="1" applyFill="1" applyBorder="1" applyAlignment="1">
      <alignment horizontal="center" vertical="center"/>
    </xf>
    <xf numFmtId="0" fontId="22" fillId="4" borderId="63" xfId="0" applyFont="1" applyFill="1" applyBorder="1" applyAlignment="1">
      <alignment horizontal="center" vertical="center"/>
    </xf>
    <xf numFmtId="0" fontId="22" fillId="4" borderId="59" xfId="0" applyFont="1" applyFill="1" applyBorder="1" applyAlignment="1">
      <alignment horizontal="center" vertical="center" wrapText="1"/>
    </xf>
    <xf numFmtId="0" fontId="22" fillId="4" borderId="63" xfId="0" applyFont="1" applyFill="1" applyBorder="1" applyAlignment="1">
      <alignment horizontal="center" vertical="center" wrapText="1"/>
    </xf>
    <xf numFmtId="169" fontId="22" fillId="4" borderId="59" xfId="0" applyNumberFormat="1" applyFont="1" applyFill="1" applyBorder="1" applyAlignment="1">
      <alignment horizontal="center" vertical="center" wrapText="1"/>
    </xf>
    <xf numFmtId="169" fontId="22" fillId="4" borderId="63" xfId="0" applyNumberFormat="1" applyFont="1" applyFill="1" applyBorder="1" applyAlignment="1">
      <alignment horizontal="center" vertical="center" wrapText="1"/>
    </xf>
    <xf numFmtId="10" fontId="22" fillId="4" borderId="59" xfId="0" applyNumberFormat="1" applyFont="1" applyFill="1" applyBorder="1" applyAlignment="1">
      <alignment horizontal="center" vertical="center" wrapText="1"/>
    </xf>
    <xf numFmtId="10" fontId="22" fillId="4" borderId="63" xfId="0" applyNumberFormat="1" applyFont="1" applyFill="1" applyBorder="1" applyAlignment="1">
      <alignment horizontal="center" vertical="center" wrapText="1"/>
    </xf>
    <xf numFmtId="0" fontId="22" fillId="4" borderId="27" xfId="0" applyFont="1" applyFill="1" applyBorder="1" applyAlignment="1">
      <alignment horizontal="center" vertical="center"/>
    </xf>
    <xf numFmtId="0" fontId="22" fillId="4" borderId="231"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0" xfId="0" applyFont="1" applyFill="1" applyBorder="1" applyAlignment="1">
      <alignment horizontal="center" vertical="center"/>
    </xf>
    <xf numFmtId="0" fontId="22" fillId="4" borderId="217" xfId="0" applyFont="1" applyFill="1" applyBorder="1" applyAlignment="1">
      <alignment horizontal="center" vertical="center"/>
    </xf>
    <xf numFmtId="0" fontId="34" fillId="4" borderId="1" xfId="0" applyFont="1" applyFill="1" applyBorder="1" applyAlignment="1">
      <alignment horizontal="center" vertical="center" wrapText="1"/>
    </xf>
    <xf numFmtId="0" fontId="34" fillId="4" borderId="4" xfId="0" applyFont="1" applyFill="1" applyBorder="1" applyAlignment="1">
      <alignment horizontal="center" vertical="center" wrapText="1"/>
    </xf>
    <xf numFmtId="0" fontId="34" fillId="4" borderId="197" xfId="0" applyFont="1" applyFill="1" applyBorder="1" applyAlignment="1">
      <alignment horizontal="center" vertical="center" wrapText="1"/>
    </xf>
    <xf numFmtId="0" fontId="34" fillId="4" borderId="59"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59" xfId="0" applyFont="1" applyFill="1" applyBorder="1" applyAlignment="1">
      <alignment horizontal="center" vertical="center" wrapText="1"/>
    </xf>
    <xf numFmtId="0" fontId="34" fillId="4" borderId="63" xfId="0" applyFont="1" applyFill="1" applyBorder="1" applyAlignment="1">
      <alignment horizontal="center" vertical="center" wrapText="1"/>
    </xf>
    <xf numFmtId="169" fontId="34" fillId="4" borderId="59" xfId="0" applyNumberFormat="1" applyFont="1" applyFill="1" applyBorder="1" applyAlignment="1">
      <alignment horizontal="center" vertical="center" wrapText="1"/>
    </xf>
    <xf numFmtId="169" fontId="34" fillId="4" borderId="63" xfId="0" applyNumberFormat="1" applyFont="1" applyFill="1" applyBorder="1" applyAlignment="1">
      <alignment horizontal="center" vertical="center" wrapText="1"/>
    </xf>
    <xf numFmtId="10" fontId="34" fillId="4" borderId="59" xfId="0" applyNumberFormat="1" applyFont="1" applyFill="1" applyBorder="1" applyAlignment="1">
      <alignment horizontal="center" vertical="center" wrapText="1"/>
    </xf>
    <xf numFmtId="10" fontId="34" fillId="4" borderId="63" xfId="0" applyNumberFormat="1" applyFont="1" applyFill="1" applyBorder="1" applyAlignment="1">
      <alignment horizontal="center" vertical="center" wrapText="1"/>
    </xf>
    <xf numFmtId="0" fontId="34" fillId="4" borderId="27" xfId="0" applyFont="1" applyFill="1" applyBorder="1" applyAlignment="1">
      <alignment horizontal="center" vertical="center"/>
    </xf>
    <xf numFmtId="0" fontId="34" fillId="4" borderId="231" xfId="0" applyFont="1" applyFill="1" applyBorder="1" applyAlignment="1">
      <alignment horizontal="center" vertical="center"/>
    </xf>
    <xf numFmtId="0" fontId="33" fillId="4" borderId="1"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197" xfId="0" applyFont="1" applyFill="1" applyBorder="1" applyAlignment="1">
      <alignment horizontal="center" vertical="center" wrapText="1"/>
    </xf>
    <xf numFmtId="10" fontId="33" fillId="4" borderId="1" xfId="0" applyNumberFormat="1" applyFont="1" applyFill="1" applyBorder="1" applyAlignment="1">
      <alignment horizontal="center" vertical="center" wrapText="1"/>
    </xf>
    <xf numFmtId="10" fontId="33" fillId="4" borderId="4" xfId="0" applyNumberFormat="1" applyFont="1" applyFill="1" applyBorder="1" applyAlignment="1">
      <alignment horizontal="center" vertical="center" wrapText="1"/>
    </xf>
    <xf numFmtId="10" fontId="33" fillId="4" borderId="197" xfId="0" applyNumberFormat="1" applyFont="1" applyFill="1" applyBorder="1" applyAlignment="1">
      <alignment horizontal="center" vertical="center" wrapText="1"/>
    </xf>
    <xf numFmtId="167" fontId="34" fillId="4" borderId="21" xfId="0" applyNumberFormat="1" applyFont="1" applyFill="1" applyBorder="1" applyAlignment="1">
      <alignment horizontal="center" vertical="center"/>
    </xf>
    <xf numFmtId="167" fontId="34" fillId="4" borderId="62" xfId="0" applyNumberFormat="1" applyFont="1" applyFill="1" applyBorder="1" applyAlignment="1">
      <alignment horizontal="center" vertical="center"/>
    </xf>
    <xf numFmtId="167" fontId="34" fillId="4" borderId="35" xfId="0" applyNumberFormat="1" applyFont="1" applyFill="1" applyBorder="1" applyAlignment="1">
      <alignment horizontal="center" vertical="center"/>
    </xf>
    <xf numFmtId="0" fontId="22" fillId="4" borderId="24" xfId="0" applyFont="1" applyFill="1" applyBorder="1" applyAlignment="1">
      <alignment horizontal="center" vertical="center"/>
    </xf>
    <xf numFmtId="0" fontId="22" fillId="4" borderId="228" xfId="0" applyFont="1" applyFill="1" applyBorder="1" applyAlignment="1">
      <alignment horizontal="center" vertical="center"/>
    </xf>
    <xf numFmtId="0" fontId="23" fillId="6" borderId="0" xfId="0" applyFont="1" applyFill="1" applyBorder="1" applyAlignment="1">
      <alignment horizontal="right"/>
    </xf>
    <xf numFmtId="0" fontId="25" fillId="6" borderId="4" xfId="0" applyFont="1" applyFill="1" applyBorder="1" applyAlignment="1">
      <alignment horizontal="center" vertical="center"/>
    </xf>
    <xf numFmtId="0" fontId="25" fillId="6" borderId="0" xfId="0" applyFont="1" applyFill="1" applyBorder="1" applyAlignment="1">
      <alignment horizontal="center" vertical="center"/>
    </xf>
    <xf numFmtId="0" fontId="25" fillId="6" borderId="5" xfId="0" applyFont="1" applyFill="1" applyBorder="1" applyAlignment="1">
      <alignment horizontal="center" vertical="center"/>
    </xf>
    <xf numFmtId="0" fontId="22" fillId="6" borderId="198" xfId="1" applyFont="1" applyFill="1" applyBorder="1" applyAlignment="1">
      <alignment horizontal="left" vertical="center" wrapText="1"/>
    </xf>
    <xf numFmtId="0" fontId="22" fillId="4" borderId="2" xfId="1" applyFont="1" applyFill="1" applyBorder="1" applyAlignment="1">
      <alignment horizontal="center" vertical="center"/>
    </xf>
    <xf numFmtId="0" fontId="22" fillId="4" borderId="0" xfId="1" applyFont="1" applyFill="1" applyBorder="1" applyAlignment="1">
      <alignment horizontal="center" vertical="center"/>
    </xf>
    <xf numFmtId="0" fontId="22" fillId="4" borderId="198" xfId="1" applyFont="1" applyFill="1" applyBorder="1" applyAlignment="1">
      <alignment horizontal="center" vertical="center"/>
    </xf>
    <xf numFmtId="0" fontId="20" fillId="4" borderId="40" xfId="1" applyFont="1" applyFill="1" applyBorder="1" applyAlignment="1">
      <alignment horizontal="center" vertical="center"/>
    </xf>
    <xf numFmtId="0" fontId="20" fillId="4" borderId="214" xfId="1" applyFont="1" applyFill="1" applyBorder="1" applyAlignment="1">
      <alignment horizontal="center" vertical="center"/>
    </xf>
    <xf numFmtId="0" fontId="20" fillId="4" borderId="23" xfId="1" applyFont="1" applyFill="1" applyBorder="1" applyAlignment="1">
      <alignment horizontal="center" vertical="center"/>
    </xf>
    <xf numFmtId="0" fontId="20" fillId="4" borderId="216" xfId="1" applyFont="1" applyFill="1" applyBorder="1" applyAlignment="1">
      <alignment horizontal="center" vertical="center"/>
    </xf>
    <xf numFmtId="2" fontId="20" fillId="4" borderId="235" xfId="1" applyNumberFormat="1" applyFont="1" applyFill="1" applyBorder="1" applyAlignment="1">
      <alignment horizontal="center" vertical="center"/>
    </xf>
    <xf numFmtId="2" fontId="20" fillId="4" borderId="249" xfId="1" applyNumberFormat="1" applyFont="1" applyFill="1" applyBorder="1" applyAlignment="1">
      <alignment horizontal="center" vertical="center"/>
    </xf>
    <xf numFmtId="2" fontId="20" fillId="4" borderId="230" xfId="1" applyNumberFormat="1" applyFont="1" applyFill="1" applyBorder="1" applyAlignment="1">
      <alignment horizontal="center" vertical="center"/>
    </xf>
    <xf numFmtId="2" fontId="20" fillId="4" borderId="237" xfId="1" applyNumberFormat="1" applyFont="1" applyFill="1" applyBorder="1" applyAlignment="1">
      <alignment horizontal="center" vertical="center"/>
    </xf>
    <xf numFmtId="0" fontId="22" fillId="6" borderId="0" xfId="1" applyFont="1" applyFill="1" applyBorder="1" applyAlignment="1">
      <alignment horizontal="left" vertical="center" wrapText="1"/>
    </xf>
    <xf numFmtId="0" fontId="22" fillId="4" borderId="44" xfId="1" applyFont="1" applyFill="1" applyBorder="1" applyAlignment="1">
      <alignment horizontal="center" vertical="center" wrapText="1"/>
    </xf>
    <xf numFmtId="0" fontId="22" fillId="4" borderId="23" xfId="1" applyFont="1" applyFill="1" applyBorder="1" applyAlignment="1">
      <alignment horizontal="center" vertical="center" wrapText="1"/>
    </xf>
    <xf numFmtId="0" fontId="22" fillId="4" borderId="222" xfId="1" applyFont="1" applyFill="1" applyBorder="1" applyAlignment="1">
      <alignment horizontal="center" vertical="center" wrapText="1"/>
    </xf>
    <xf numFmtId="0" fontId="22" fillId="4" borderId="216" xfId="1" applyFont="1" applyFill="1" applyBorder="1" applyAlignment="1">
      <alignment horizontal="center" vertical="center" wrapText="1"/>
    </xf>
    <xf numFmtId="0" fontId="22" fillId="4" borderId="27" xfId="1" applyFont="1" applyFill="1" applyBorder="1" applyAlignment="1">
      <alignment horizontal="center" vertical="center"/>
    </xf>
    <xf numFmtId="0" fontId="22" fillId="4" borderId="233" xfId="1" applyFont="1" applyFill="1" applyBorder="1" applyAlignment="1">
      <alignment horizontal="center" vertical="center"/>
    </xf>
    <xf numFmtId="0" fontId="22" fillId="4" borderId="231" xfId="1" applyFont="1" applyFill="1" applyBorder="1" applyAlignment="1">
      <alignment horizontal="center" vertical="center"/>
    </xf>
    <xf numFmtId="0" fontId="33" fillId="6" borderId="62" xfId="1" applyFont="1" applyFill="1" applyBorder="1" applyAlignment="1">
      <alignment horizontal="center" vertical="center"/>
    </xf>
    <xf numFmtId="0" fontId="20" fillId="4" borderId="4" xfId="1" applyFont="1" applyFill="1" applyBorder="1" applyAlignment="1">
      <alignment horizontal="right" vertical="center"/>
    </xf>
    <xf numFmtId="0" fontId="20" fillId="4" borderId="0" xfId="1" applyFont="1" applyFill="1" applyBorder="1" applyAlignment="1">
      <alignment horizontal="right" vertical="center"/>
    </xf>
    <xf numFmtId="1" fontId="20" fillId="4" borderId="0" xfId="1" applyNumberFormat="1" applyFont="1" applyFill="1" applyBorder="1" applyAlignment="1">
      <alignment horizontal="center" vertical="center"/>
    </xf>
    <xf numFmtId="1" fontId="20" fillId="4" borderId="5" xfId="1" applyNumberFormat="1" applyFont="1" applyFill="1" applyBorder="1" applyAlignment="1">
      <alignment horizontal="center" vertical="center"/>
    </xf>
    <xf numFmtId="0" fontId="20" fillId="4" borderId="197" xfId="1" applyFont="1" applyFill="1" applyBorder="1" applyAlignment="1">
      <alignment horizontal="right" vertical="center"/>
    </xf>
    <xf numFmtId="0" fontId="20" fillId="4" borderId="198" xfId="1" applyFont="1" applyFill="1" applyBorder="1" applyAlignment="1">
      <alignment horizontal="right" vertical="center"/>
    </xf>
    <xf numFmtId="1" fontId="20" fillId="4" borderId="198" xfId="1" applyNumberFormat="1" applyFont="1" applyFill="1" applyBorder="1" applyAlignment="1">
      <alignment horizontal="center" vertical="center"/>
    </xf>
    <xf numFmtId="1" fontId="20" fillId="4" borderId="199" xfId="1" applyNumberFormat="1" applyFont="1" applyFill="1" applyBorder="1" applyAlignment="1">
      <alignment horizontal="center" vertical="center"/>
    </xf>
    <xf numFmtId="0" fontId="22" fillId="4" borderId="1" xfId="1" applyFont="1" applyFill="1" applyBorder="1" applyAlignment="1">
      <alignment horizontal="center" vertical="center" wrapText="1"/>
    </xf>
    <xf numFmtId="0" fontId="22" fillId="4" borderId="3" xfId="1" applyFont="1" applyFill="1" applyBorder="1" applyAlignment="1">
      <alignment horizontal="center" vertical="center" wrapText="1"/>
    </xf>
    <xf numFmtId="0" fontId="22" fillId="4" borderId="51" xfId="1" applyFont="1" applyFill="1" applyBorder="1" applyAlignment="1">
      <alignment horizontal="center" vertical="center" wrapText="1"/>
    </xf>
    <xf numFmtId="0" fontId="22" fillId="4" borderId="54" xfId="1" applyFont="1" applyFill="1" applyBorder="1" applyAlignment="1">
      <alignment horizontal="center" vertical="center" wrapText="1"/>
    </xf>
    <xf numFmtId="0" fontId="20" fillId="6" borderId="0" xfId="1" applyFont="1" applyFill="1" applyBorder="1" applyAlignment="1">
      <alignment horizontal="center"/>
    </xf>
    <xf numFmtId="0" fontId="33" fillId="6" borderId="21" xfId="1" applyFont="1" applyFill="1" applyBorder="1" applyAlignment="1">
      <alignment horizontal="center" vertical="center"/>
    </xf>
    <xf numFmtId="0" fontId="33" fillId="6" borderId="22" xfId="1" applyFont="1" applyFill="1" applyBorder="1" applyAlignment="1">
      <alignment horizontal="center" vertical="center"/>
    </xf>
    <xf numFmtId="167" fontId="20" fillId="4" borderId="0" xfId="1" applyNumberFormat="1" applyFont="1" applyFill="1" applyBorder="1" applyAlignment="1">
      <alignment horizontal="center" vertical="center"/>
    </xf>
    <xf numFmtId="167" fontId="20" fillId="4" borderId="5" xfId="1" applyNumberFormat="1" applyFont="1" applyFill="1" applyBorder="1" applyAlignment="1">
      <alignment horizontal="center" vertical="center"/>
    </xf>
    <xf numFmtId="0" fontId="22" fillId="4" borderId="4" xfId="1" applyFont="1" applyFill="1" applyBorder="1" applyAlignment="1">
      <alignment horizontal="right" vertical="center"/>
    </xf>
    <xf numFmtId="0" fontId="22" fillId="4" borderId="0" xfId="1" applyFont="1" applyFill="1" applyBorder="1" applyAlignment="1">
      <alignment horizontal="right" vertical="center"/>
    </xf>
    <xf numFmtId="167" fontId="22" fillId="4" borderId="0" xfId="1" applyNumberFormat="1" applyFont="1" applyFill="1" applyBorder="1" applyAlignment="1">
      <alignment horizontal="center" vertical="center"/>
    </xf>
    <xf numFmtId="167" fontId="22" fillId="4" borderId="5" xfId="1" applyNumberFormat="1" applyFont="1" applyFill="1" applyBorder="1" applyAlignment="1">
      <alignment horizontal="center" vertical="center"/>
    </xf>
    <xf numFmtId="4" fontId="20" fillId="4" borderId="0" xfId="1" applyNumberFormat="1" applyFont="1" applyFill="1" applyBorder="1" applyAlignment="1">
      <alignment horizontal="center" vertical="center"/>
    </xf>
    <xf numFmtId="0" fontId="20" fillId="4" borderId="5" xfId="1" applyFont="1" applyFill="1" applyBorder="1" applyAlignment="1">
      <alignment horizontal="center" vertical="center"/>
    </xf>
    <xf numFmtId="0" fontId="20" fillId="4" borderId="0" xfId="8333" applyNumberFormat="1" applyFont="1" applyFill="1" applyBorder="1" applyAlignment="1">
      <alignment horizontal="center" vertical="center"/>
    </xf>
    <xf numFmtId="0" fontId="20" fillId="4" borderId="5" xfId="8333" applyNumberFormat="1" applyFont="1" applyFill="1" applyBorder="1" applyAlignment="1">
      <alignment horizontal="center" vertical="center"/>
    </xf>
    <xf numFmtId="2" fontId="20" fillId="4" borderId="0" xfId="1" applyNumberFormat="1" applyFont="1" applyFill="1" applyBorder="1" applyAlignment="1">
      <alignment horizontal="center" vertical="center"/>
    </xf>
    <xf numFmtId="2" fontId="20" fillId="4" borderId="5" xfId="1" applyNumberFormat="1" applyFont="1" applyFill="1" applyBorder="1" applyAlignment="1">
      <alignment horizontal="center" vertical="center"/>
    </xf>
    <xf numFmtId="164" fontId="20" fillId="4" borderId="0" xfId="1" applyNumberFormat="1" applyFont="1" applyFill="1" applyBorder="1" applyAlignment="1">
      <alignment horizontal="center" vertical="center"/>
    </xf>
    <xf numFmtId="164" fontId="20" fillId="4" borderId="5" xfId="1" applyNumberFormat="1" applyFont="1" applyFill="1" applyBorder="1" applyAlignment="1">
      <alignment horizontal="center" vertical="center"/>
    </xf>
    <xf numFmtId="0" fontId="34" fillId="4" borderId="5" xfId="1" applyFont="1" applyFill="1" applyBorder="1" applyAlignment="1">
      <alignment horizontal="center" vertical="center"/>
    </xf>
    <xf numFmtId="0" fontId="34" fillId="4" borderId="197" xfId="1" applyFont="1" applyFill="1" applyBorder="1" applyAlignment="1">
      <alignment horizontal="center" vertical="center"/>
    </xf>
    <xf numFmtId="0" fontId="34" fillId="4" borderId="198" xfId="1" applyFont="1" applyFill="1" applyBorder="1" applyAlignment="1">
      <alignment horizontal="center" vertical="center"/>
    </xf>
    <xf numFmtId="0" fontId="34" fillId="4" borderId="199" xfId="1" applyFont="1" applyFill="1" applyBorder="1" applyAlignment="1">
      <alignment horizontal="center" vertical="center"/>
    </xf>
    <xf numFmtId="0" fontId="22" fillId="4" borderId="24" xfId="1" applyFont="1" applyFill="1" applyBorder="1" applyAlignment="1">
      <alignment horizontal="center" vertical="center"/>
    </xf>
    <xf numFmtId="0" fontId="22" fillId="4" borderId="30" xfId="1" applyFont="1" applyFill="1" applyBorder="1" applyAlignment="1">
      <alignment horizontal="center" vertical="center"/>
    </xf>
    <xf numFmtId="1" fontId="22" fillId="4" borderId="73" xfId="1" applyNumberFormat="1" applyFont="1" applyFill="1" applyBorder="1" applyAlignment="1">
      <alignment horizontal="center" vertical="center"/>
    </xf>
    <xf numFmtId="1" fontId="22" fillId="4" borderId="30" xfId="1" applyNumberFormat="1" applyFont="1" applyFill="1" applyBorder="1" applyAlignment="1">
      <alignment horizontal="center" vertical="center"/>
    </xf>
    <xf numFmtId="1" fontId="22" fillId="4" borderId="198" xfId="1" applyNumberFormat="1" applyFont="1" applyFill="1" applyBorder="1" applyAlignment="1">
      <alignment horizontal="center" vertical="center"/>
    </xf>
    <xf numFmtId="1" fontId="22" fillId="4" borderId="199" xfId="1" applyNumberFormat="1" applyFont="1" applyFill="1" applyBorder="1" applyAlignment="1">
      <alignment horizontal="center" vertical="center"/>
    </xf>
    <xf numFmtId="0" fontId="20" fillId="4" borderId="0" xfId="1" applyFont="1" applyFill="1" applyBorder="1" applyAlignment="1">
      <alignment horizontal="center" vertical="center"/>
    </xf>
    <xf numFmtId="0" fontId="22" fillId="6" borderId="2" xfId="1" applyFont="1" applyFill="1" applyBorder="1" applyAlignment="1">
      <alignment horizontal="center" vertical="center" wrapText="1"/>
    </xf>
    <xf numFmtId="0" fontId="22" fillId="6" borderId="7" xfId="1" applyFont="1" applyFill="1" applyBorder="1" applyAlignment="1">
      <alignment horizontal="center" vertical="center" wrapText="1"/>
    </xf>
    <xf numFmtId="0" fontId="20" fillId="4" borderId="125" xfId="1" applyFont="1" applyFill="1" applyBorder="1" applyAlignment="1">
      <alignment horizontal="center" vertical="center"/>
    </xf>
    <xf numFmtId="0" fontId="20" fillId="4" borderId="117" xfId="1" applyFont="1" applyFill="1" applyBorder="1" applyAlignment="1">
      <alignment horizontal="center" vertical="center"/>
    </xf>
    <xf numFmtId="2" fontId="20" fillId="4" borderId="138" xfId="1" applyNumberFormat="1" applyFont="1" applyFill="1" applyBorder="1" applyAlignment="1">
      <alignment horizontal="center" vertical="center"/>
    </xf>
    <xf numFmtId="2" fontId="20" fillId="4" borderId="12" xfId="1" applyNumberFormat="1" applyFont="1" applyFill="1" applyBorder="1" applyAlignment="1">
      <alignment horizontal="center" vertical="center"/>
    </xf>
    <xf numFmtId="2" fontId="20" fillId="4" borderId="139" xfId="1" applyNumberFormat="1" applyFont="1" applyFill="1" applyBorder="1" applyAlignment="1">
      <alignment horizontal="center" vertical="center"/>
    </xf>
    <xf numFmtId="2" fontId="20" fillId="4" borderId="14" xfId="1" applyNumberFormat="1" applyFont="1" applyFill="1" applyBorder="1" applyAlignment="1">
      <alignment horizontal="center" vertical="center"/>
    </xf>
    <xf numFmtId="0" fontId="20" fillId="4" borderId="6" xfId="1" applyFont="1" applyFill="1" applyBorder="1" applyAlignment="1">
      <alignment horizontal="right" vertical="center"/>
    </xf>
    <xf numFmtId="0" fontId="20" fillId="4" borderId="7" xfId="1" applyFont="1" applyFill="1" applyBorder="1" applyAlignment="1">
      <alignment horizontal="right" vertical="center"/>
    </xf>
    <xf numFmtId="1" fontId="20" fillId="4" borderId="7" xfId="1" applyNumberFormat="1" applyFont="1" applyFill="1" applyBorder="1" applyAlignment="1">
      <alignment horizontal="center" vertical="center"/>
    </xf>
    <xf numFmtId="1" fontId="20" fillId="4" borderId="8" xfId="1" applyNumberFormat="1" applyFont="1" applyFill="1" applyBorder="1" applyAlignment="1">
      <alignment horizontal="center" vertical="center"/>
    </xf>
    <xf numFmtId="0" fontId="34" fillId="0" borderId="1" xfId="1" applyFont="1" applyBorder="1" applyAlignment="1">
      <alignment horizontal="center" vertical="center"/>
    </xf>
    <xf numFmtId="0" fontId="34" fillId="0" borderId="2" xfId="1" applyFont="1" applyBorder="1" applyAlignment="1">
      <alignment horizontal="center" vertical="center"/>
    </xf>
    <xf numFmtId="0" fontId="34" fillId="0" borderId="3" xfId="1" applyFont="1" applyBorder="1" applyAlignment="1">
      <alignment horizontal="center" vertical="center"/>
    </xf>
    <xf numFmtId="0" fontId="22" fillId="4" borderId="73" xfId="1" applyFont="1" applyFill="1" applyBorder="1" applyAlignment="1">
      <alignment horizontal="center" vertical="center"/>
    </xf>
    <xf numFmtId="0" fontId="22" fillId="4" borderId="6" xfId="1" applyFont="1" applyFill="1" applyBorder="1" applyAlignment="1">
      <alignment horizontal="center" vertical="center"/>
    </xf>
    <xf numFmtId="0" fontId="22" fillId="4" borderId="7" xfId="1" applyFont="1" applyFill="1" applyBorder="1" applyAlignment="1">
      <alignment horizontal="center" vertical="center"/>
    </xf>
    <xf numFmtId="1" fontId="22" fillId="4" borderId="7" xfId="1" applyNumberFormat="1" applyFont="1" applyFill="1" applyBorder="1" applyAlignment="1">
      <alignment horizontal="center" vertical="center"/>
    </xf>
    <xf numFmtId="1" fontId="22" fillId="4" borderId="8" xfId="1" applyNumberFormat="1" applyFont="1" applyFill="1" applyBorder="1" applyAlignment="1">
      <alignment horizontal="center" vertical="center"/>
    </xf>
    <xf numFmtId="0" fontId="20" fillId="4" borderId="4" xfId="1" applyFont="1" applyFill="1" applyBorder="1" applyAlignment="1">
      <alignment horizontal="left"/>
    </xf>
    <xf numFmtId="0" fontId="20" fillId="4" borderId="0" xfId="1" applyFont="1" applyFill="1" applyBorder="1" applyAlignment="1">
      <alignment horizontal="left"/>
    </xf>
    <xf numFmtId="0" fontId="20" fillId="4" borderId="5" xfId="1" applyFont="1" applyFill="1" applyBorder="1" applyAlignment="1">
      <alignment horizontal="left"/>
    </xf>
    <xf numFmtId="0" fontId="20" fillId="4" borderId="197" xfId="1" applyFont="1" applyFill="1" applyBorder="1" applyAlignment="1">
      <alignment horizontal="left"/>
    </xf>
    <xf numFmtId="0" fontId="20" fillId="4" borderId="198" xfId="1" applyFont="1" applyFill="1" applyBorder="1" applyAlignment="1">
      <alignment horizontal="left"/>
    </xf>
    <xf numFmtId="0" fontId="20" fillId="4" borderId="199" xfId="1" applyFont="1" applyFill="1" applyBorder="1" applyAlignment="1">
      <alignment horizontal="left"/>
    </xf>
    <xf numFmtId="0" fontId="155" fillId="4" borderId="1" xfId="1" applyFont="1" applyFill="1" applyBorder="1" applyAlignment="1">
      <alignment horizontal="center" vertical="center"/>
    </xf>
    <xf numFmtId="0" fontId="155" fillId="4" borderId="3" xfId="1" applyFont="1" applyFill="1" applyBorder="1" applyAlignment="1">
      <alignment horizontal="center" vertical="center"/>
    </xf>
    <xf numFmtId="0" fontId="155" fillId="4" borderId="197" xfId="1" applyFont="1" applyFill="1" applyBorder="1" applyAlignment="1">
      <alignment horizontal="center" vertical="center"/>
    </xf>
    <xf numFmtId="0" fontId="155" fillId="4" borderId="199" xfId="1" applyFont="1" applyFill="1" applyBorder="1" applyAlignment="1">
      <alignment horizontal="center" vertical="center"/>
    </xf>
    <xf numFmtId="0" fontId="139" fillId="4" borderId="4" xfId="1" applyFont="1" applyFill="1" applyBorder="1" applyAlignment="1">
      <alignment horizontal="left" wrapText="1"/>
    </xf>
    <xf numFmtId="0" fontId="139" fillId="4" borderId="0" xfId="1" applyFont="1" applyFill="1" applyBorder="1" applyAlignment="1">
      <alignment horizontal="left" wrapText="1"/>
    </xf>
    <xf numFmtId="0" fontId="139" fillId="4" borderId="5" xfId="1" applyFont="1" applyFill="1" applyBorder="1" applyAlignment="1">
      <alignment horizontal="left" wrapText="1"/>
    </xf>
    <xf numFmtId="0" fontId="139" fillId="4" borderId="4" xfId="1" applyFont="1" applyFill="1" applyBorder="1" applyAlignment="1">
      <alignment horizontal="left"/>
    </xf>
    <xf numFmtId="0" fontId="139" fillId="4" borderId="0" xfId="1" applyFont="1" applyFill="1" applyBorder="1" applyAlignment="1">
      <alignment horizontal="left"/>
    </xf>
    <xf numFmtId="0" fontId="139" fillId="4" borderId="5" xfId="1" applyFont="1" applyFill="1" applyBorder="1" applyAlignment="1">
      <alignment horizontal="left"/>
    </xf>
    <xf numFmtId="0" fontId="20" fillId="4" borderId="0" xfId="1" applyFont="1" applyFill="1" applyAlignment="1">
      <alignment horizontal="center"/>
    </xf>
    <xf numFmtId="0" fontId="0" fillId="0" borderId="101" xfId="0" applyBorder="1" applyAlignment="1">
      <alignment horizontal="left"/>
    </xf>
    <xf numFmtId="0" fontId="0" fillId="0" borderId="0" xfId="0" applyBorder="1" applyAlignment="1">
      <alignment horizontal="left"/>
    </xf>
    <xf numFmtId="0" fontId="0" fillId="0" borderId="102" xfId="0" applyBorder="1" applyAlignment="1">
      <alignment horizontal="left"/>
    </xf>
    <xf numFmtId="49" fontId="89" fillId="36" borderId="135" xfId="10208" applyBorder="1">
      <alignment horizontal="center"/>
    </xf>
    <xf numFmtId="49" fontId="89" fillId="36" borderId="136" xfId="10208" applyBorder="1">
      <alignment horizontal="center"/>
    </xf>
    <xf numFmtId="49" fontId="89" fillId="36" borderId="137" xfId="10208" applyBorder="1">
      <alignment horizontal="center"/>
    </xf>
    <xf numFmtId="0" fontId="88" fillId="0" borderId="247" xfId="0" applyFont="1" applyBorder="1" applyAlignment="1">
      <alignment horizontal="left"/>
    </xf>
    <xf numFmtId="0" fontId="88" fillId="0" borderId="236" xfId="0" applyFont="1" applyBorder="1" applyAlignment="1">
      <alignment horizontal="left"/>
    </xf>
    <xf numFmtId="0" fontId="88" fillId="0" borderId="246" xfId="0" applyFont="1" applyBorder="1" applyAlignment="1">
      <alignment horizontal="left"/>
    </xf>
    <xf numFmtId="49" fontId="89" fillId="34" borderId="105" xfId="10200" applyBorder="1">
      <alignment horizontal="center"/>
    </xf>
    <xf numFmtId="49" fontId="89" fillId="34" borderId="62" xfId="10200" applyBorder="1">
      <alignment horizontal="center"/>
    </xf>
    <xf numFmtId="49" fontId="89" fillId="34" borderId="106" xfId="10200" applyBorder="1">
      <alignment horizontal="center"/>
    </xf>
    <xf numFmtId="49" fontId="90" fillId="35" borderId="101" xfId="10202" applyBorder="1">
      <alignment horizontal="center"/>
    </xf>
    <xf numFmtId="49" fontId="90" fillId="35" borderId="0" xfId="10202" applyBorder="1">
      <alignment horizontal="center"/>
    </xf>
    <xf numFmtId="49" fontId="90" fillId="35" borderId="102" xfId="10202" applyBorder="1">
      <alignment horizontal="center"/>
    </xf>
    <xf numFmtId="0" fontId="87" fillId="35" borderId="221" xfId="10204" applyBorder="1" applyAlignment="1">
      <alignment horizontal="left"/>
    </xf>
    <xf numFmtId="0" fontId="87" fillId="35" borderId="225" xfId="10204" applyBorder="1" applyAlignment="1">
      <alignment horizontal="left"/>
    </xf>
    <xf numFmtId="0" fontId="87" fillId="35" borderId="222" xfId="10204" applyBorder="1" applyAlignment="1">
      <alignment horizontal="left"/>
    </xf>
    <xf numFmtId="0" fontId="87" fillId="35" borderId="243" xfId="10204" applyBorder="1" applyAlignment="1">
      <alignment horizontal="left"/>
    </xf>
    <xf numFmtId="0" fontId="87" fillId="0" borderId="101" xfId="20905" quotePrefix="1" applyBorder="1" applyAlignment="1">
      <alignment horizontal="left"/>
    </xf>
    <xf numFmtId="0" fontId="87" fillId="0" borderId="52" xfId="20905" applyBorder="1" applyAlignment="1">
      <alignment horizontal="left"/>
    </xf>
    <xf numFmtId="49" fontId="88" fillId="37" borderId="255" xfId="10209" applyBorder="1" applyAlignment="1">
      <alignment horizontal="left"/>
    </xf>
    <xf numFmtId="49" fontId="88" fillId="37" borderId="256" xfId="10209" applyBorder="1" applyAlignment="1">
      <alignment horizontal="left"/>
    </xf>
    <xf numFmtId="0" fontId="87" fillId="0" borderId="112" xfId="20905" quotePrefix="1" applyBorder="1" applyAlignment="1">
      <alignment horizontal="left"/>
    </xf>
    <xf numFmtId="0" fontId="87" fillId="0" borderId="113" xfId="20905" applyBorder="1" applyAlignment="1">
      <alignment horizontal="left"/>
    </xf>
    <xf numFmtId="0" fontId="87" fillId="0" borderId="103" xfId="20905" quotePrefix="1" applyBorder="1" applyAlignment="1">
      <alignment horizontal="left"/>
    </xf>
    <xf numFmtId="0" fontId="87" fillId="0" borderId="114" xfId="20905" applyBorder="1" applyAlignment="1">
      <alignment horizontal="left"/>
    </xf>
    <xf numFmtId="49" fontId="88" fillId="37" borderId="260" xfId="10209" applyBorder="1" applyAlignment="1">
      <alignment horizontal="left"/>
    </xf>
    <xf numFmtId="49" fontId="88" fillId="37" borderId="261" xfId="10209" applyBorder="1" applyAlignment="1">
      <alignment horizontal="left"/>
    </xf>
    <xf numFmtId="0" fontId="87" fillId="0" borderId="101" xfId="20909" quotePrefix="1" applyBorder="1" applyAlignment="1">
      <alignment horizontal="left"/>
    </xf>
    <xf numFmtId="0" fontId="87" fillId="0" borderId="52" xfId="20909" applyBorder="1" applyAlignment="1">
      <alignment horizontal="left"/>
    </xf>
    <xf numFmtId="0" fontId="87" fillId="0" borderId="112" xfId="20909" quotePrefix="1" applyBorder="1" applyAlignment="1">
      <alignment horizontal="left"/>
    </xf>
    <xf numFmtId="0" fontId="87" fillId="0" borderId="113" xfId="20909" applyBorder="1" applyAlignment="1">
      <alignment horizontal="left"/>
    </xf>
    <xf numFmtId="49" fontId="88" fillId="37" borderId="264" xfId="10209" applyBorder="1" applyAlignment="1">
      <alignment horizontal="left"/>
    </xf>
    <xf numFmtId="49" fontId="88" fillId="37" borderId="263" xfId="10209" applyBorder="1" applyAlignment="1">
      <alignment horizontal="left"/>
    </xf>
    <xf numFmtId="0" fontId="87" fillId="0" borderId="103" xfId="20909" quotePrefix="1" applyBorder="1" applyAlignment="1">
      <alignment horizontal="left"/>
    </xf>
    <xf numFmtId="0" fontId="87" fillId="0" borderId="114" xfId="20909" applyBorder="1" applyAlignment="1">
      <alignment horizontal="left"/>
    </xf>
    <xf numFmtId="0" fontId="102" fillId="0" borderId="11" xfId="0" applyFont="1" applyFill="1" applyBorder="1" applyAlignment="1">
      <alignment horizontal="center" vertical="top" wrapText="1"/>
    </xf>
    <xf numFmtId="0" fontId="102" fillId="0" borderId="10" xfId="0" applyFont="1" applyFill="1" applyBorder="1" applyAlignment="1">
      <alignment horizontal="center" vertical="top" wrapText="1"/>
    </xf>
    <xf numFmtId="0" fontId="21" fillId="4" borderId="6" xfId="1" applyFont="1" applyFill="1" applyBorder="1" applyAlignment="1">
      <alignment horizontal="center" vertical="center"/>
    </xf>
    <xf numFmtId="0" fontId="21" fillId="4" borderId="7" xfId="1" applyFont="1" applyFill="1" applyBorder="1" applyAlignment="1">
      <alignment horizontal="center" vertical="center"/>
    </xf>
    <xf numFmtId="0" fontId="21" fillId="4" borderId="8" xfId="1" applyFont="1" applyFill="1" applyBorder="1" applyAlignment="1">
      <alignment horizontal="center" vertical="center"/>
    </xf>
    <xf numFmtId="0" fontId="24" fillId="0" borderId="4" xfId="0" applyFont="1" applyBorder="1" applyAlignment="1">
      <alignment horizontal="center"/>
    </xf>
    <xf numFmtId="0" fontId="24" fillId="0" borderId="5" xfId="0" applyFont="1" applyBorder="1" applyAlignment="1">
      <alignment horizontal="center"/>
    </xf>
    <xf numFmtId="0" fontId="24" fillId="0" borderId="197" xfId="0" applyFont="1" applyFill="1" applyBorder="1" applyAlignment="1">
      <alignment horizontal="center"/>
    </xf>
    <xf numFmtId="0" fontId="24" fillId="0" borderId="198" xfId="0" applyFont="1" applyFill="1" applyBorder="1" applyAlignment="1">
      <alignment horizontal="center"/>
    </xf>
    <xf numFmtId="0" fontId="24" fillId="0" borderId="199" xfId="0" applyFont="1" applyFill="1" applyBorder="1" applyAlignment="1">
      <alignment horizontal="center"/>
    </xf>
    <xf numFmtId="0" fontId="24" fillId="0" borderId="1" xfId="0" applyFont="1" applyBorder="1" applyAlignment="1">
      <alignment horizontal="center" vertical="center"/>
    </xf>
    <xf numFmtId="0" fontId="24" fillId="0" borderId="6" xfId="0" applyFont="1" applyBorder="1" applyAlignment="1">
      <alignment horizontal="center" vertical="center"/>
    </xf>
    <xf numFmtId="49" fontId="24" fillId="0" borderId="59" xfId="0" applyNumberFormat="1" applyFont="1" applyBorder="1" applyAlignment="1">
      <alignment horizontal="center" vertical="center"/>
    </xf>
    <xf numFmtId="49" fontId="24" fillId="0" borderId="64" xfId="0" applyNumberFormat="1" applyFont="1" applyBorder="1" applyAlignment="1">
      <alignment horizontal="center" vertical="center"/>
    </xf>
    <xf numFmtId="0" fontId="24" fillId="0" borderId="59" xfId="0" applyFont="1" applyFill="1" applyBorder="1" applyAlignment="1">
      <alignment horizontal="center" vertical="center"/>
    </xf>
    <xf numFmtId="0" fontId="24" fillId="0" borderId="64" xfId="0" applyFont="1" applyFill="1" applyBorder="1" applyAlignment="1">
      <alignment horizontal="center" vertical="center"/>
    </xf>
    <xf numFmtId="49" fontId="24" fillId="0" borderId="1" xfId="0" applyNumberFormat="1" applyFont="1" applyFill="1" applyBorder="1" applyAlignment="1">
      <alignment horizontal="center" vertical="center"/>
    </xf>
    <xf numFmtId="49" fontId="24" fillId="0" borderId="6" xfId="0" applyNumberFormat="1" applyFont="1" applyFill="1" applyBorder="1" applyAlignment="1">
      <alignment horizontal="center" vertical="center"/>
    </xf>
    <xf numFmtId="49" fontId="24" fillId="0" borderId="59" xfId="0" applyNumberFormat="1" applyFont="1" applyFill="1" applyBorder="1" applyAlignment="1">
      <alignment horizontal="center" vertical="center"/>
    </xf>
    <xf numFmtId="49" fontId="24" fillId="0" borderId="64" xfId="0" applyNumberFormat="1" applyFont="1" applyFill="1" applyBorder="1" applyAlignment="1">
      <alignment horizontal="center" vertical="center"/>
    </xf>
    <xf numFmtId="0" fontId="24" fillId="4" borderId="9" xfId="0" applyFont="1" applyFill="1" applyBorder="1" applyAlignment="1">
      <alignment horizontal="center" vertical="center"/>
    </xf>
    <xf numFmtId="0" fontId="24" fillId="4" borderId="10" xfId="0" applyFont="1" applyFill="1" applyBorder="1" applyAlignment="1">
      <alignment horizontal="center" vertical="center"/>
    </xf>
    <xf numFmtId="0" fontId="24" fillId="0" borderId="1" xfId="0" applyFont="1" applyBorder="1" applyAlignment="1">
      <alignment horizontal="center"/>
    </xf>
    <xf numFmtId="0" fontId="24" fillId="0" borderId="3" xfId="0" applyFont="1" applyBorder="1" applyAlignment="1">
      <alignment horizontal="center"/>
    </xf>
    <xf numFmtId="0" fontId="24" fillId="0" borderId="1" xfId="0" applyFont="1" applyFill="1" applyBorder="1" applyAlignment="1">
      <alignment horizontal="center"/>
    </xf>
    <xf numFmtId="0" fontId="24" fillId="0" borderId="3" xfId="0" applyFont="1" applyFill="1" applyBorder="1" applyAlignment="1">
      <alignment horizontal="center"/>
    </xf>
    <xf numFmtId="0" fontId="24" fillId="0" borderId="197" xfId="0" applyFont="1" applyBorder="1" applyAlignment="1">
      <alignment horizontal="center" vertical="center"/>
    </xf>
    <xf numFmtId="0" fontId="185" fillId="0" borderId="0" xfId="0" applyFont="1" applyBorder="1" applyAlignment="1">
      <alignment horizontal="left" vertical="top" wrapText="1"/>
    </xf>
    <xf numFmtId="0" fontId="23" fillId="4" borderId="21" xfId="0" applyFont="1" applyFill="1" applyBorder="1" applyAlignment="1">
      <alignment horizontal="center" vertical="center" wrapText="1"/>
    </xf>
    <xf numFmtId="0" fontId="23" fillId="4" borderId="22" xfId="0" applyFont="1" applyFill="1" applyBorder="1" applyAlignment="1">
      <alignment horizontal="center" vertical="center" wrapText="1"/>
    </xf>
    <xf numFmtId="0" fontId="23" fillId="82" borderId="143" xfId="1200" applyFont="1" applyFill="1" applyBorder="1" applyAlignment="1" applyProtection="1">
      <alignment horizontal="right" wrapText="1"/>
    </xf>
    <xf numFmtId="0" fontId="23" fillId="82" borderId="161" xfId="1200" applyFont="1" applyFill="1" applyBorder="1" applyAlignment="1" applyProtection="1">
      <alignment horizontal="right" wrapText="1"/>
    </xf>
    <xf numFmtId="0" fontId="23" fillId="75" borderId="21" xfId="1200" applyFont="1" applyFill="1" applyBorder="1" applyAlignment="1" applyProtection="1">
      <alignment horizontal="left" vertical="top" wrapText="1"/>
      <protection locked="0"/>
    </xf>
    <xf numFmtId="0" fontId="23" fillId="75" borderId="62" xfId="1200" applyFont="1" applyFill="1" applyBorder="1" applyAlignment="1" applyProtection="1">
      <alignment horizontal="left" vertical="top" wrapText="1"/>
      <protection locked="0"/>
    </xf>
    <xf numFmtId="0" fontId="23" fillId="75" borderId="22" xfId="1200" applyFont="1" applyFill="1" applyBorder="1" applyAlignment="1" applyProtection="1">
      <alignment horizontal="left" vertical="top" wrapText="1"/>
      <protection locked="0"/>
    </xf>
    <xf numFmtId="0" fontId="23" fillId="82" borderId="211" xfId="1200" applyFont="1" applyFill="1" applyBorder="1" applyAlignment="1" applyProtection="1">
      <alignment horizontal="right" wrapText="1"/>
    </xf>
    <xf numFmtId="0" fontId="23" fillId="82" borderId="143" xfId="1200" applyFont="1" applyFill="1" applyBorder="1" applyAlignment="1" applyProtection="1">
      <alignment horizontal="center" wrapText="1"/>
    </xf>
    <xf numFmtId="0" fontId="23" fillId="82" borderId="161" xfId="1200" applyFont="1" applyFill="1" applyBorder="1" applyAlignment="1" applyProtection="1">
      <alignment horizontal="center" wrapText="1"/>
    </xf>
    <xf numFmtId="1" fontId="29" fillId="0" borderId="226" xfId="0" applyNumberFormat="1" applyFont="1" applyBorder="1" applyAlignment="1">
      <alignment horizontal="center" vertical="center"/>
    </xf>
    <xf numFmtId="1" fontId="29" fillId="0" borderId="220" xfId="0" applyNumberFormat="1" applyFont="1" applyBorder="1" applyAlignment="1">
      <alignment horizontal="center" vertical="center"/>
    </xf>
    <xf numFmtId="1" fontId="29" fillId="0" borderId="1" xfId="0" applyNumberFormat="1" applyFont="1" applyBorder="1" applyAlignment="1">
      <alignment horizontal="center" vertical="center"/>
    </xf>
    <xf numFmtId="1" fontId="29" fillId="0" borderId="3" xfId="0" applyNumberFormat="1" applyFont="1" applyBorder="1" applyAlignment="1">
      <alignment horizontal="center" vertical="center"/>
    </xf>
    <xf numFmtId="2" fontId="29" fillId="0" borderId="51" xfId="0" quotePrefix="1" applyNumberFormat="1" applyFont="1" applyFill="1" applyBorder="1" applyAlignment="1">
      <alignment horizontal="center" vertical="center"/>
    </xf>
    <xf numFmtId="2" fontId="29" fillId="0" borderId="54" xfId="0" applyNumberFormat="1" applyFont="1" applyFill="1" applyBorder="1" applyAlignment="1">
      <alignment horizontal="center" vertical="center"/>
    </xf>
    <xf numFmtId="1" fontId="29" fillId="0" borderId="234" xfId="0" applyNumberFormat="1" applyFont="1" applyFill="1" applyBorder="1" applyAlignment="1">
      <alignment horizontal="center" vertical="center"/>
    </xf>
    <xf numFmtId="1" fontId="29" fillId="0" borderId="240" xfId="0" applyNumberFormat="1" applyFont="1" applyFill="1" applyBorder="1" applyAlignment="1">
      <alignment horizontal="center" vertical="center"/>
    </xf>
    <xf numFmtId="1" fontId="29" fillId="0" borderId="4" xfId="0" applyNumberFormat="1" applyFont="1" applyFill="1" applyBorder="1" applyAlignment="1">
      <alignment horizontal="center" vertical="center"/>
    </xf>
    <xf numFmtId="1" fontId="29" fillId="0" borderId="5" xfId="0" applyNumberFormat="1" applyFont="1" applyFill="1" applyBorder="1" applyAlignment="1">
      <alignment horizontal="center" vertical="center"/>
    </xf>
    <xf numFmtId="1" fontId="29" fillId="0" borderId="51" xfId="0" applyNumberFormat="1" applyFont="1" applyFill="1" applyBorder="1" applyAlignment="1">
      <alignment horizontal="center" vertical="center"/>
    </xf>
    <xf numFmtId="1" fontId="29" fillId="0" borderId="54" xfId="0" applyNumberFormat="1" applyFont="1" applyFill="1" applyBorder="1" applyAlignment="1">
      <alignment horizontal="center" vertical="center"/>
    </xf>
    <xf numFmtId="1" fontId="29" fillId="0" borderId="129" xfId="0" applyNumberFormat="1" applyFont="1" applyFill="1" applyBorder="1" applyAlignment="1">
      <alignment horizontal="center" vertical="center"/>
    </xf>
    <xf numFmtId="1" fontId="29" fillId="0" borderId="119" xfId="0" applyNumberFormat="1" applyFont="1" applyFill="1" applyBorder="1" applyAlignment="1">
      <alignment horizontal="center" vertical="center"/>
    </xf>
    <xf numFmtId="1" fontId="29" fillId="0" borderId="226" xfId="0" applyNumberFormat="1" applyFont="1" applyFill="1" applyBorder="1" applyAlignment="1">
      <alignment horizontal="center" vertical="center"/>
    </xf>
    <xf numFmtId="1" fontId="29" fillId="0" borderId="220" xfId="0" applyNumberFormat="1" applyFont="1" applyFill="1" applyBorder="1" applyAlignment="1">
      <alignment horizontal="center" vertical="center"/>
    </xf>
    <xf numFmtId="3" fontId="29" fillId="0" borderId="228" xfId="0" quotePrefix="1" applyNumberFormat="1" applyFont="1" applyFill="1" applyBorder="1" applyAlignment="1">
      <alignment horizontal="center" vertical="center"/>
    </xf>
    <xf numFmtId="3" fontId="29" fillId="0" borderId="229" xfId="0" applyNumberFormat="1" applyFont="1" applyFill="1" applyBorder="1" applyAlignment="1">
      <alignment horizontal="center" vertical="center"/>
    </xf>
    <xf numFmtId="0" fontId="19" fillId="6" borderId="0" xfId="1" applyFill="1" applyBorder="1" applyAlignment="1">
      <alignment horizontal="left" vertical="center" wrapText="1"/>
    </xf>
    <xf numFmtId="0" fontId="19" fillId="6" borderId="188" xfId="1" applyFont="1" applyFill="1" applyBorder="1" applyAlignment="1" applyProtection="1">
      <alignment horizontal="center" vertical="center" wrapText="1"/>
    </xf>
    <xf numFmtId="0" fontId="19" fillId="6" borderId="190" xfId="1" applyFont="1" applyFill="1" applyBorder="1" applyAlignment="1" applyProtection="1">
      <alignment horizontal="center" vertical="center" wrapText="1"/>
    </xf>
    <xf numFmtId="0" fontId="19" fillId="6" borderId="194" xfId="1" applyFill="1" applyBorder="1" applyAlignment="1">
      <alignment horizontal="left" vertical="center"/>
    </xf>
    <xf numFmtId="0" fontId="19" fillId="6" borderId="190" xfId="1" applyFill="1" applyBorder="1" applyAlignment="1">
      <alignment horizontal="left" vertical="center"/>
    </xf>
    <xf numFmtId="0" fontId="19" fillId="6" borderId="186" xfId="1" applyFill="1" applyBorder="1" applyAlignment="1">
      <alignment horizontal="left" vertical="center"/>
    </xf>
    <xf numFmtId="0" fontId="19" fillId="6" borderId="38" xfId="1" applyFill="1" applyBorder="1" applyAlignment="1">
      <alignment horizontal="left" vertical="center"/>
    </xf>
    <xf numFmtId="0" fontId="200" fillId="6" borderId="180" xfId="1" applyFont="1" applyFill="1" applyBorder="1" applyAlignment="1">
      <alignment horizontal="center" vertical="center" wrapText="1"/>
    </xf>
    <xf numFmtId="0" fontId="200" fillId="6" borderId="181" xfId="1" applyFont="1" applyFill="1" applyBorder="1" applyAlignment="1">
      <alignment horizontal="center" vertical="center" wrapText="1"/>
    </xf>
    <xf numFmtId="0" fontId="200" fillId="6" borderId="143" xfId="1" applyFont="1" applyFill="1" applyBorder="1" applyAlignment="1">
      <alignment horizontal="center" vertical="center" wrapText="1"/>
    </xf>
    <xf numFmtId="0" fontId="200" fillId="6" borderId="183" xfId="1" applyFont="1" applyFill="1" applyBorder="1" applyAlignment="1">
      <alignment horizontal="center" vertical="center" wrapText="1"/>
    </xf>
    <xf numFmtId="0" fontId="19" fillId="6" borderId="180" xfId="1" applyFill="1" applyBorder="1" applyAlignment="1">
      <alignment horizontal="center" vertical="center"/>
    </xf>
    <xf numFmtId="0" fontId="19" fillId="6" borderId="195" xfId="1" applyFill="1" applyBorder="1" applyAlignment="1">
      <alignment horizontal="center" vertical="center"/>
    </xf>
    <xf numFmtId="0" fontId="19" fillId="6" borderId="181" xfId="1" applyFill="1" applyBorder="1" applyAlignment="1">
      <alignment horizontal="center" vertical="center"/>
    </xf>
    <xf numFmtId="0" fontId="23" fillId="6" borderId="186" xfId="1" applyFont="1" applyFill="1" applyBorder="1" applyAlignment="1" applyProtection="1">
      <alignment horizontal="center" vertical="center" wrapText="1"/>
    </xf>
    <xf numFmtId="0" fontId="23" fillId="6" borderId="66" xfId="1" applyFont="1" applyFill="1" applyBorder="1" applyAlignment="1" applyProtection="1">
      <alignment horizontal="center" vertical="center" wrapText="1"/>
    </xf>
    <xf numFmtId="0" fontId="23" fillId="6" borderId="38" xfId="1" applyFont="1" applyFill="1" applyBorder="1" applyAlignment="1" applyProtection="1">
      <alignment horizontal="center" vertical="center" wrapText="1"/>
    </xf>
    <xf numFmtId="0" fontId="23" fillId="6" borderId="187" xfId="1" applyFont="1" applyFill="1" applyBorder="1" applyAlignment="1" applyProtection="1">
      <alignment horizontal="center" vertical="center"/>
    </xf>
    <xf numFmtId="0" fontId="23" fillId="6" borderId="166" xfId="1" applyFont="1" applyFill="1" applyBorder="1" applyAlignment="1" applyProtection="1">
      <alignment horizontal="center" vertical="center"/>
    </xf>
    <xf numFmtId="0" fontId="23" fillId="6" borderId="167" xfId="1" applyFont="1" applyFill="1" applyBorder="1" applyAlignment="1" applyProtection="1">
      <alignment horizontal="center" vertical="center"/>
    </xf>
    <xf numFmtId="0" fontId="23" fillId="6" borderId="61" xfId="1" applyFont="1" applyFill="1" applyBorder="1" applyAlignment="1" applyProtection="1">
      <alignment horizontal="center" vertical="center"/>
    </xf>
    <xf numFmtId="0" fontId="23" fillId="6" borderId="72" xfId="1" applyFont="1" applyFill="1" applyBorder="1" applyAlignment="1" applyProtection="1">
      <alignment horizontal="center" vertical="center"/>
    </xf>
    <xf numFmtId="0" fontId="23" fillId="6" borderId="189" xfId="1" applyFont="1" applyFill="1" applyBorder="1" applyAlignment="1" applyProtection="1">
      <alignment horizontal="center" vertical="center"/>
    </xf>
    <xf numFmtId="0" fontId="19" fillId="6" borderId="143" xfId="1" applyFill="1" applyBorder="1" applyAlignment="1">
      <alignment horizontal="center" vertical="center"/>
    </xf>
    <xf numFmtId="0" fontId="19" fillId="6" borderId="183" xfId="1" applyFill="1" applyBorder="1" applyAlignment="1">
      <alignment horizontal="center" vertical="center"/>
    </xf>
    <xf numFmtId="0" fontId="19" fillId="6" borderId="174" xfId="1" applyFill="1" applyBorder="1" applyAlignment="1">
      <alignment horizontal="center" vertical="center"/>
    </xf>
    <xf numFmtId="0" fontId="19" fillId="6" borderId="185" xfId="1" applyFill="1" applyBorder="1" applyAlignment="1">
      <alignment horizontal="center" vertical="center"/>
    </xf>
    <xf numFmtId="0" fontId="19" fillId="6" borderId="180" xfId="1" applyFont="1" applyFill="1" applyBorder="1" applyAlignment="1">
      <alignment horizontal="center" vertical="center" wrapText="1"/>
    </xf>
    <xf numFmtId="0" fontId="19" fillId="6" borderId="181" xfId="1" applyFont="1" applyFill="1" applyBorder="1" applyAlignment="1">
      <alignment horizontal="center" vertical="center" wrapText="1"/>
    </xf>
    <xf numFmtId="0" fontId="19" fillId="6" borderId="40" xfId="1" applyFont="1" applyFill="1" applyBorder="1" applyAlignment="1">
      <alignment horizontal="center" vertical="center"/>
    </xf>
    <xf numFmtId="0" fontId="19" fillId="6" borderId="41" xfId="1" applyFont="1" applyFill="1" applyBorder="1" applyAlignment="1">
      <alignment horizontal="center" vertical="center"/>
    </xf>
    <xf numFmtId="0" fontId="19" fillId="6" borderId="23" xfId="1" applyFont="1" applyFill="1" applyBorder="1" applyAlignment="1">
      <alignment horizontal="center" vertical="center"/>
    </xf>
    <xf numFmtId="0" fontId="19" fillId="6" borderId="144" xfId="1" applyFont="1" applyFill="1" applyBorder="1" applyAlignment="1">
      <alignment horizontal="center" vertical="center"/>
    </xf>
    <xf numFmtId="0" fontId="19" fillId="6" borderId="142" xfId="1" applyFont="1" applyFill="1" applyBorder="1" applyAlignment="1">
      <alignment horizontal="center" vertical="center"/>
    </xf>
    <xf numFmtId="0" fontId="19" fillId="6" borderId="145" xfId="1" applyFont="1" applyFill="1" applyBorder="1" applyAlignment="1">
      <alignment horizontal="center" vertical="center"/>
    </xf>
    <xf numFmtId="0" fontId="19" fillId="6" borderId="152" xfId="1" applyFont="1" applyFill="1" applyBorder="1" applyAlignment="1">
      <alignment horizontal="center" vertical="center"/>
    </xf>
    <xf numFmtId="0" fontId="19" fillId="6" borderId="65" xfId="1" applyFill="1" applyBorder="1" applyAlignment="1">
      <alignment horizontal="center" vertical="center"/>
    </xf>
    <xf numFmtId="0" fontId="19" fillId="6" borderId="37" xfId="1" applyFill="1" applyBorder="1" applyAlignment="1">
      <alignment horizontal="center" vertical="center"/>
    </xf>
    <xf numFmtId="0" fontId="19" fillId="6" borderId="142" xfId="1" applyFill="1" applyBorder="1" applyAlignment="1">
      <alignment horizontal="center" vertical="center" wrapText="1"/>
    </xf>
    <xf numFmtId="0" fontId="19" fillId="6" borderId="145" xfId="1" applyFont="1" applyFill="1" applyBorder="1" applyAlignment="1">
      <alignment horizontal="center" vertical="center" wrapText="1"/>
    </xf>
    <xf numFmtId="0" fontId="19" fillId="6" borderId="145" xfId="1" applyFill="1" applyBorder="1" applyAlignment="1">
      <alignment horizontal="center" vertical="center" wrapText="1"/>
    </xf>
    <xf numFmtId="0" fontId="19" fillId="6" borderId="65" xfId="1" applyFont="1" applyFill="1" applyBorder="1" applyAlignment="1">
      <alignment horizontal="center" vertical="center"/>
    </xf>
    <xf numFmtId="0" fontId="19" fillId="6" borderId="37" xfId="1" applyFont="1" applyFill="1" applyBorder="1" applyAlignment="1">
      <alignment horizontal="center" vertical="center"/>
    </xf>
    <xf numFmtId="0" fontId="23" fillId="6" borderId="159" xfId="1" applyFont="1" applyFill="1" applyBorder="1" applyAlignment="1">
      <alignment horizontal="center" vertical="center"/>
    </xf>
    <xf numFmtId="0" fontId="23" fillId="6" borderId="163" xfId="1" applyFont="1" applyFill="1" applyBorder="1" applyAlignment="1">
      <alignment horizontal="center" vertical="center"/>
    </xf>
    <xf numFmtId="0" fontId="23" fillId="6" borderId="177" xfId="1" applyFont="1" applyFill="1" applyBorder="1" applyAlignment="1">
      <alignment horizontal="center" vertical="center"/>
    </xf>
    <xf numFmtId="0" fontId="23" fillId="6" borderId="51" xfId="1" applyFont="1" applyFill="1" applyBorder="1" applyAlignment="1">
      <alignment horizontal="center" vertical="center"/>
    </xf>
    <xf numFmtId="0" fontId="23" fillId="6" borderId="72" xfId="1" applyFont="1" applyFill="1" applyBorder="1" applyAlignment="1">
      <alignment horizontal="center" vertical="center"/>
    </xf>
    <xf numFmtId="0" fontId="23" fillId="6" borderId="54" xfId="1" applyFont="1" applyFill="1" applyBorder="1" applyAlignment="1">
      <alignment horizontal="center" vertical="center"/>
    </xf>
    <xf numFmtId="0" fontId="23" fillId="6" borderId="152" xfId="1" applyFont="1" applyFill="1" applyBorder="1" applyAlignment="1">
      <alignment horizontal="center" vertical="center"/>
    </xf>
    <xf numFmtId="0" fontId="23" fillId="6" borderId="65" xfId="1" applyFont="1" applyFill="1" applyBorder="1" applyAlignment="1">
      <alignment horizontal="center" vertical="center"/>
    </xf>
    <xf numFmtId="0" fontId="23" fillId="6" borderId="37" xfId="1" applyFont="1" applyFill="1" applyBorder="1" applyAlignment="1">
      <alignment horizontal="center" vertical="center"/>
    </xf>
    <xf numFmtId="0" fontId="23" fillId="6" borderId="142" xfId="1" applyFont="1" applyFill="1" applyBorder="1" applyAlignment="1">
      <alignment horizontal="center" vertical="center" wrapText="1"/>
    </xf>
    <xf numFmtId="0" fontId="23" fillId="6" borderId="145" xfId="1" applyFont="1" applyFill="1" applyBorder="1" applyAlignment="1">
      <alignment horizontal="center" vertical="center" wrapText="1"/>
    </xf>
    <xf numFmtId="43" fontId="19" fillId="85" borderId="162" xfId="4" applyFont="1" applyFill="1" applyBorder="1" applyAlignment="1" applyProtection="1">
      <alignment vertical="top" wrapText="1"/>
      <protection locked="0"/>
    </xf>
    <xf numFmtId="43" fontId="19" fillId="85" borderId="163" xfId="4" applyFont="1" applyFill="1" applyBorder="1" applyAlignment="1" applyProtection="1">
      <alignment vertical="top" wrapText="1"/>
      <protection locked="0"/>
    </xf>
    <xf numFmtId="43" fontId="19" fillId="85" borderId="178" xfId="4" applyFont="1" applyFill="1" applyBorder="1" applyAlignment="1" applyProtection="1">
      <alignment vertical="top" wrapText="1"/>
      <protection locked="0"/>
    </xf>
    <xf numFmtId="43" fontId="19" fillId="85" borderId="75" xfId="4" applyFont="1" applyFill="1" applyBorder="1" applyAlignment="1" applyProtection="1">
      <alignment vertical="top" wrapText="1"/>
      <protection locked="0"/>
    </xf>
    <xf numFmtId="43" fontId="19" fillId="85" borderId="0" xfId="4" applyFont="1" applyFill="1" applyBorder="1" applyAlignment="1" applyProtection="1">
      <alignment vertical="top" wrapText="1"/>
      <protection locked="0"/>
    </xf>
    <xf numFmtId="43" fontId="19" fillId="85" borderId="52" xfId="4" applyFont="1" applyFill="1" applyBorder="1" applyAlignment="1" applyProtection="1">
      <alignment vertical="top" wrapText="1"/>
      <protection locked="0"/>
    </xf>
    <xf numFmtId="43" fontId="19" fillId="85" borderId="61" xfId="4" applyFont="1" applyFill="1" applyBorder="1" applyAlignment="1" applyProtection="1">
      <alignment vertical="top" wrapText="1"/>
      <protection locked="0"/>
    </xf>
    <xf numFmtId="43" fontId="19" fillId="85" borderId="72" xfId="4" applyFont="1" applyFill="1" applyBorder="1" applyAlignment="1" applyProtection="1">
      <alignment vertical="top" wrapText="1"/>
      <protection locked="0"/>
    </xf>
    <xf numFmtId="43" fontId="19" fillId="85" borderId="56" xfId="4" applyFont="1" applyFill="1" applyBorder="1" applyAlignment="1" applyProtection="1">
      <alignment vertical="top" wrapText="1"/>
      <protection locked="0"/>
    </xf>
    <xf numFmtId="0" fontId="19" fillId="6" borderId="21" xfId="1" applyFont="1" applyFill="1" applyBorder="1" applyAlignment="1">
      <alignment horizontal="center" vertical="center"/>
    </xf>
    <xf numFmtId="0" fontId="19" fillId="6" borderId="22" xfId="1" applyFont="1" applyFill="1" applyBorder="1" applyAlignment="1">
      <alignment horizontal="center" vertical="center"/>
    </xf>
    <xf numFmtId="0" fontId="24" fillId="6" borderId="0" xfId="1" applyFont="1" applyFill="1" applyBorder="1" applyAlignment="1">
      <alignment horizontal="center" vertical="center"/>
    </xf>
    <xf numFmtId="0" fontId="23" fillId="0" borderId="1" xfId="1" applyFont="1" applyFill="1" applyBorder="1" applyAlignment="1">
      <alignment horizontal="left" vertical="center" wrapText="1"/>
    </xf>
    <xf numFmtId="0" fontId="23" fillId="0" borderId="2" xfId="1" applyFont="1" applyFill="1" applyBorder="1" applyAlignment="1">
      <alignment horizontal="left" vertical="center" wrapText="1"/>
    </xf>
    <xf numFmtId="0" fontId="23" fillId="0" borderId="4" xfId="1" applyFont="1" applyFill="1" applyBorder="1" applyAlignment="1">
      <alignment horizontal="left" vertical="center" wrapText="1"/>
    </xf>
    <xf numFmtId="0" fontId="23" fillId="0" borderId="0" xfId="1" applyFont="1" applyFill="1" applyBorder="1" applyAlignment="1">
      <alignment horizontal="left" vertical="center" wrapText="1"/>
    </xf>
    <xf numFmtId="0" fontId="23" fillId="0" borderId="5" xfId="1" applyFont="1" applyFill="1" applyBorder="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6" borderId="1" xfId="1" applyFont="1" applyFill="1" applyBorder="1" applyAlignment="1">
      <alignment horizontal="center" vertical="center"/>
    </xf>
    <xf numFmtId="0" fontId="23" fillId="6" borderId="3" xfId="1" applyFont="1" applyFill="1" applyBorder="1" applyAlignment="1">
      <alignment horizontal="center" vertical="center"/>
    </xf>
    <xf numFmtId="0" fontId="23" fillId="6" borderId="6" xfId="1" applyFont="1" applyFill="1" applyBorder="1" applyAlignment="1">
      <alignment horizontal="center" vertical="center"/>
    </xf>
    <xf numFmtId="0" fontId="23" fillId="6" borderId="8" xfId="1" applyFont="1" applyFill="1" applyBorder="1" applyAlignment="1">
      <alignment horizontal="center" vertical="center"/>
    </xf>
    <xf numFmtId="0" fontId="176" fillId="6" borderId="143" xfId="1" applyFont="1" applyFill="1" applyBorder="1" applyAlignment="1">
      <alignment horizontal="center"/>
    </xf>
    <xf numFmtId="0" fontId="176" fillId="6" borderId="164" xfId="1" applyFont="1" applyFill="1" applyBorder="1" applyAlignment="1">
      <alignment horizontal="center"/>
    </xf>
    <xf numFmtId="0" fontId="176" fillId="6" borderId="161" xfId="1" applyFont="1" applyFill="1" applyBorder="1" applyAlignment="1">
      <alignment horizontal="center"/>
    </xf>
    <xf numFmtId="0" fontId="176" fillId="6" borderId="0" xfId="1" applyFont="1" applyFill="1" applyAlignment="1">
      <alignment horizontal="left" vertical="top" wrapText="1"/>
    </xf>
    <xf numFmtId="0" fontId="178" fillId="6" borderId="159" xfId="1" applyFont="1" applyFill="1" applyBorder="1" applyAlignment="1">
      <alignment horizontal="center"/>
    </xf>
    <xf numFmtId="0" fontId="178" fillId="6" borderId="163" xfId="1" applyFont="1" applyFill="1" applyBorder="1" applyAlignment="1">
      <alignment horizontal="center"/>
    </xf>
    <xf numFmtId="0" fontId="178" fillId="6" borderId="177" xfId="1" applyFont="1" applyFill="1" applyBorder="1" applyAlignment="1">
      <alignment horizontal="center"/>
    </xf>
    <xf numFmtId="0" fontId="178" fillId="6" borderId="51" xfId="1" applyFont="1" applyFill="1" applyBorder="1" applyAlignment="1">
      <alignment horizontal="center"/>
    </xf>
    <xf numFmtId="0" fontId="178" fillId="6" borderId="72" xfId="1" applyFont="1" applyFill="1" applyBorder="1" applyAlignment="1">
      <alignment horizontal="center"/>
    </xf>
    <xf numFmtId="0" fontId="178" fillId="6" borderId="54" xfId="1" applyFont="1" applyFill="1" applyBorder="1" applyAlignment="1">
      <alignment horizontal="center"/>
    </xf>
    <xf numFmtId="0" fontId="178" fillId="6" borderId="4" xfId="1" applyFont="1" applyFill="1" applyBorder="1" applyAlignment="1">
      <alignment horizontal="center"/>
    </xf>
    <xf numFmtId="0" fontId="178" fillId="6" borderId="153" xfId="1" applyFont="1" applyFill="1" applyBorder="1" applyAlignment="1">
      <alignment horizontal="center" wrapText="1"/>
    </xf>
    <xf numFmtId="0" fontId="178" fillId="6" borderId="66" xfId="1" applyFont="1" applyFill="1" applyBorder="1" applyAlignment="1">
      <alignment horizontal="center" wrapText="1"/>
    </xf>
    <xf numFmtId="0" fontId="178" fillId="6" borderId="38" xfId="1" applyFont="1" applyFill="1" applyBorder="1" applyAlignment="1">
      <alignment horizontal="center" wrapText="1"/>
    </xf>
    <xf numFmtId="0" fontId="178" fillId="6" borderId="145" xfId="1" applyFont="1" applyFill="1" applyBorder="1" applyAlignment="1">
      <alignment horizontal="center" wrapText="1"/>
    </xf>
    <xf numFmtId="43" fontId="176" fillId="85" borderId="162" xfId="4" applyFont="1" applyFill="1" applyBorder="1" applyAlignment="1" applyProtection="1">
      <alignment horizontal="left" vertical="top" wrapText="1"/>
      <protection locked="0"/>
    </xf>
    <xf numFmtId="43" fontId="176" fillId="85" borderId="163" xfId="4" applyFont="1" applyFill="1" applyBorder="1" applyAlignment="1" applyProtection="1">
      <alignment horizontal="left" vertical="top" wrapText="1"/>
      <protection locked="0"/>
    </xf>
    <xf numFmtId="43" fontId="176" fillId="85" borderId="178" xfId="4" applyFont="1" applyFill="1" applyBorder="1" applyAlignment="1" applyProtection="1">
      <alignment horizontal="left" vertical="top" wrapText="1"/>
      <protection locked="0"/>
    </xf>
    <xf numFmtId="43" fontId="176" fillId="85" borderId="75" xfId="4" applyFont="1" applyFill="1" applyBorder="1" applyAlignment="1" applyProtection="1">
      <alignment horizontal="left" vertical="top" wrapText="1"/>
      <protection locked="0"/>
    </xf>
    <xf numFmtId="43" fontId="176" fillId="85" borderId="0" xfId="4" applyFont="1" applyFill="1" applyBorder="1" applyAlignment="1" applyProtection="1">
      <alignment horizontal="left" vertical="top" wrapText="1"/>
      <protection locked="0"/>
    </xf>
    <xf numFmtId="43" fontId="176" fillId="85" borderId="52" xfId="4" applyFont="1" applyFill="1" applyBorder="1" applyAlignment="1" applyProtection="1">
      <alignment horizontal="left" vertical="top" wrapText="1"/>
      <protection locked="0"/>
    </xf>
    <xf numFmtId="43" fontId="176" fillId="85" borderId="61" xfId="4" applyFont="1" applyFill="1" applyBorder="1" applyAlignment="1" applyProtection="1">
      <alignment horizontal="left" vertical="top" wrapText="1"/>
      <protection locked="0"/>
    </xf>
    <xf numFmtId="43" fontId="176" fillId="85" borderId="72" xfId="4" applyFont="1" applyFill="1" applyBorder="1" applyAlignment="1" applyProtection="1">
      <alignment horizontal="left" vertical="top" wrapText="1"/>
      <protection locked="0"/>
    </xf>
    <xf numFmtId="43" fontId="176" fillId="85" borderId="56" xfId="4" applyFont="1" applyFill="1" applyBorder="1" applyAlignment="1" applyProtection="1">
      <alignment horizontal="left" vertical="top" wrapText="1"/>
      <protection locked="0"/>
    </xf>
    <xf numFmtId="0" fontId="178" fillId="6" borderId="186" xfId="1" applyFont="1" applyFill="1" applyBorder="1" applyAlignment="1" applyProtection="1">
      <alignment horizontal="center" wrapText="1"/>
    </xf>
    <xf numFmtId="0" fontId="178" fillId="6" borderId="66" xfId="1" applyFont="1" applyFill="1" applyBorder="1" applyAlignment="1" applyProtection="1">
      <alignment horizontal="center" wrapText="1"/>
    </xf>
    <xf numFmtId="0" fontId="178" fillId="6" borderId="38" xfId="1" applyFont="1" applyFill="1" applyBorder="1" applyAlignment="1" applyProtection="1">
      <alignment horizontal="center" wrapText="1"/>
    </xf>
    <xf numFmtId="0" fontId="178" fillId="6" borderId="187" xfId="1" applyFont="1" applyFill="1" applyBorder="1" applyAlignment="1" applyProtection="1">
      <alignment horizontal="center"/>
    </xf>
    <xf numFmtId="0" fontId="178" fillId="6" borderId="166" xfId="1" applyFont="1" applyFill="1" applyBorder="1" applyAlignment="1" applyProtection="1">
      <alignment horizontal="center"/>
    </xf>
    <xf numFmtId="0" fontId="178" fillId="6" borderId="167" xfId="1" applyFont="1" applyFill="1" applyBorder="1" applyAlignment="1" applyProtection="1">
      <alignment horizontal="center"/>
    </xf>
    <xf numFmtId="0" fontId="178" fillId="6" borderId="61" xfId="1" applyFont="1" applyFill="1" applyBorder="1" applyAlignment="1" applyProtection="1">
      <alignment horizontal="center"/>
    </xf>
    <xf numFmtId="0" fontId="178" fillId="6" borderId="72" xfId="1" applyFont="1" applyFill="1" applyBorder="1" applyAlignment="1" applyProtection="1">
      <alignment horizontal="center"/>
    </xf>
    <xf numFmtId="0" fontId="178" fillId="6" borderId="189" xfId="1" applyFont="1" applyFill="1" applyBorder="1" applyAlignment="1" applyProtection="1">
      <alignment horizontal="center"/>
    </xf>
    <xf numFmtId="0" fontId="176" fillId="6" borderId="188" xfId="1" applyFont="1" applyFill="1" applyBorder="1" applyAlignment="1" applyProtection="1">
      <alignment horizontal="center" wrapText="1"/>
    </xf>
    <xf numFmtId="0" fontId="176" fillId="6" borderId="190" xfId="1" applyFont="1" applyFill="1" applyBorder="1" applyAlignment="1" applyProtection="1">
      <alignment horizontal="center" wrapText="1"/>
    </xf>
    <xf numFmtId="0" fontId="176" fillId="6" borderId="152" xfId="1" applyFont="1" applyFill="1" applyBorder="1" applyAlignment="1">
      <alignment horizontal="center"/>
    </xf>
    <xf numFmtId="0" fontId="176" fillId="6" borderId="65" xfId="1" applyFont="1" applyFill="1" applyBorder="1" applyAlignment="1">
      <alignment horizontal="center"/>
    </xf>
    <xf numFmtId="0" fontId="176" fillId="6" borderId="37" xfId="1" applyFont="1" applyFill="1" applyBorder="1" applyAlignment="1">
      <alignment horizontal="center"/>
    </xf>
    <xf numFmtId="0" fontId="176" fillId="6" borderId="153" xfId="1" applyFont="1" applyFill="1" applyBorder="1" applyAlignment="1">
      <alignment horizontal="center" wrapText="1"/>
    </xf>
    <xf numFmtId="0" fontId="176" fillId="6" borderId="66" xfId="1" applyFont="1" applyFill="1" applyBorder="1" applyAlignment="1">
      <alignment horizontal="center" wrapText="1"/>
    </xf>
    <xf numFmtId="0" fontId="176" fillId="6" borderId="38" xfId="1" applyFont="1" applyFill="1" applyBorder="1" applyAlignment="1">
      <alignment horizontal="center" wrapText="1"/>
    </xf>
    <xf numFmtId="0" fontId="176" fillId="6" borderId="145" xfId="1" applyFont="1" applyFill="1" applyBorder="1" applyAlignment="1">
      <alignment horizontal="center" wrapText="1"/>
    </xf>
    <xf numFmtId="0" fontId="176" fillId="6" borderId="144" xfId="1" applyFont="1" applyFill="1" applyBorder="1" applyAlignment="1">
      <alignment horizontal="center"/>
    </xf>
    <xf numFmtId="0" fontId="176" fillId="6" borderId="142" xfId="1" applyFont="1" applyFill="1" applyBorder="1" applyAlignment="1">
      <alignment horizontal="center"/>
    </xf>
    <xf numFmtId="0" fontId="176" fillId="6" borderId="145" xfId="1" applyFont="1" applyFill="1" applyBorder="1" applyAlignment="1">
      <alignment horizontal="center"/>
    </xf>
    <xf numFmtId="0" fontId="176" fillId="6" borderId="159" xfId="1" applyFont="1" applyFill="1" applyBorder="1" applyAlignment="1">
      <alignment horizontal="center"/>
    </xf>
    <xf numFmtId="0" fontId="176" fillId="6" borderId="4" xfId="1" applyFont="1" applyFill="1" applyBorder="1" applyAlignment="1">
      <alignment horizontal="center"/>
    </xf>
    <xf numFmtId="0" fontId="176" fillId="6" borderId="51" xfId="1" applyFont="1" applyFill="1" applyBorder="1" applyAlignment="1">
      <alignment horizontal="center"/>
    </xf>
    <xf numFmtId="0" fontId="176" fillId="6" borderId="24" xfId="1" applyFont="1" applyFill="1" applyBorder="1" applyAlignment="1">
      <alignment horizontal="center"/>
    </xf>
    <xf numFmtId="0" fontId="176" fillId="6" borderId="73" xfId="1" applyFont="1" applyFill="1" applyBorder="1" applyAlignment="1">
      <alignment horizontal="center"/>
    </xf>
    <xf numFmtId="0" fontId="176" fillId="6" borderId="30" xfId="1" applyFont="1" applyFill="1" applyBorder="1" applyAlignment="1">
      <alignment horizontal="center"/>
    </xf>
    <xf numFmtId="0" fontId="205" fillId="6" borderId="163" xfId="1" applyFont="1" applyFill="1" applyBorder="1" applyAlignment="1">
      <alignment horizontal="center" wrapText="1"/>
    </xf>
    <xf numFmtId="0" fontId="205" fillId="6" borderId="0" xfId="1" applyFont="1" applyFill="1" applyBorder="1" applyAlignment="1">
      <alignment horizontal="center" wrapText="1"/>
    </xf>
    <xf numFmtId="0" fontId="178" fillId="0" borderId="1" xfId="1" applyFont="1" applyBorder="1" applyAlignment="1">
      <alignment horizontal="left" wrapText="1"/>
    </xf>
    <xf numFmtId="0" fontId="178" fillId="0" borderId="2" xfId="1" applyFont="1" applyBorder="1" applyAlignment="1">
      <alignment horizontal="left" wrapText="1"/>
    </xf>
    <xf numFmtId="0" fontId="178" fillId="0" borderId="3" xfId="1" applyFont="1" applyBorder="1" applyAlignment="1">
      <alignment horizontal="left" wrapText="1"/>
    </xf>
    <xf numFmtId="0" fontId="178" fillId="0" borderId="4" xfId="1" applyFont="1" applyBorder="1" applyAlignment="1">
      <alignment horizontal="left" wrapText="1"/>
    </xf>
    <xf numFmtId="0" fontId="178" fillId="0" borderId="0" xfId="1" applyFont="1" applyBorder="1" applyAlignment="1">
      <alignment horizontal="left" wrapText="1"/>
    </xf>
    <xf numFmtId="0" fontId="178" fillId="0" borderId="5" xfId="1" applyFont="1" applyBorder="1" applyAlignment="1">
      <alignment horizontal="left" wrapText="1"/>
    </xf>
    <xf numFmtId="0" fontId="178" fillId="0" borderId="6" xfId="1" applyFont="1" applyBorder="1" applyAlignment="1">
      <alignment horizontal="left" vertical="top" wrapText="1"/>
    </xf>
    <xf numFmtId="0" fontId="178" fillId="0" borderId="7" xfId="1" applyFont="1" applyBorder="1" applyAlignment="1">
      <alignment horizontal="left" vertical="top" wrapText="1"/>
    </xf>
    <xf numFmtId="0" fontId="178" fillId="0" borderId="8" xfId="1" applyFont="1" applyBorder="1" applyAlignment="1">
      <alignment horizontal="left" vertical="top" wrapText="1"/>
    </xf>
    <xf numFmtId="0" fontId="178" fillId="6" borderId="11" xfId="1" applyFont="1" applyFill="1" applyBorder="1" applyAlignment="1">
      <alignment horizontal="center"/>
    </xf>
    <xf numFmtId="0" fontId="178" fillId="6" borderId="10" xfId="1" applyFont="1" applyFill="1" applyBorder="1" applyAlignment="1">
      <alignment horizontal="center"/>
    </xf>
    <xf numFmtId="0" fontId="176" fillId="6" borderId="40" xfId="1" applyFont="1" applyFill="1" applyBorder="1" applyAlignment="1">
      <alignment horizontal="center" wrapText="1"/>
    </xf>
    <xf numFmtId="0" fontId="176" fillId="6" borderId="144" xfId="1" applyFont="1" applyFill="1" applyBorder="1" applyAlignment="1">
      <alignment horizontal="center" wrapText="1"/>
    </xf>
    <xf numFmtId="0" fontId="176" fillId="6" borderId="23" xfId="1" applyFont="1" applyFill="1" applyBorder="1" applyAlignment="1">
      <alignment horizontal="center" wrapText="1"/>
    </xf>
    <xf numFmtId="0" fontId="176" fillId="6" borderId="21" xfId="1" applyFont="1" applyFill="1" applyBorder="1" applyAlignment="1">
      <alignment horizontal="center"/>
    </xf>
    <xf numFmtId="0" fontId="176" fillId="6" borderId="22" xfId="1" applyFont="1" applyFill="1" applyBorder="1" applyAlignment="1">
      <alignment horizontal="center"/>
    </xf>
    <xf numFmtId="0" fontId="213" fillId="4" borderId="1" xfId="0" applyFont="1" applyFill="1" applyBorder="1" applyAlignment="1">
      <alignment horizontal="center" vertical="center"/>
    </xf>
    <xf numFmtId="0" fontId="213" fillId="4" borderId="2" xfId="0" applyFont="1" applyFill="1" applyBorder="1" applyAlignment="1">
      <alignment horizontal="center" vertical="center"/>
    </xf>
    <xf numFmtId="0" fontId="213" fillId="4" borderId="3" xfId="0" applyFont="1" applyFill="1" applyBorder="1" applyAlignment="1">
      <alignment horizontal="center" vertical="center"/>
    </xf>
    <xf numFmtId="0" fontId="213" fillId="4" borderId="124" xfId="0" applyFont="1" applyFill="1" applyBorder="1" applyAlignment="1">
      <alignment horizontal="center" vertical="center"/>
    </xf>
    <xf numFmtId="0" fontId="213" fillId="4" borderId="121" xfId="0" applyFont="1" applyFill="1" applyBorder="1" applyAlignment="1">
      <alignment horizontal="center" vertical="center"/>
    </xf>
    <xf numFmtId="0" fontId="40" fillId="4" borderId="1" xfId="0" applyFont="1" applyFill="1" applyBorder="1" applyAlignment="1">
      <alignment horizontal="center" vertical="center"/>
    </xf>
    <xf numFmtId="0" fontId="40" fillId="4" borderId="2" xfId="0" applyFont="1" applyFill="1" applyBorder="1" applyAlignment="1">
      <alignment horizontal="center" vertical="center"/>
    </xf>
    <xf numFmtId="0" fontId="40" fillId="4" borderId="3" xfId="0" applyFont="1" applyFill="1" applyBorder="1" applyAlignment="1">
      <alignment horizontal="center" vertical="center"/>
    </xf>
    <xf numFmtId="0" fontId="243" fillId="4" borderId="4" xfId="0" applyFont="1" applyFill="1" applyBorder="1" applyAlignment="1">
      <alignment horizontal="center" vertical="center"/>
    </xf>
    <xf numFmtId="0" fontId="243" fillId="4" borderId="0" xfId="0" applyFont="1" applyFill="1" applyBorder="1" applyAlignment="1">
      <alignment horizontal="center" vertical="center"/>
    </xf>
    <xf numFmtId="0" fontId="243" fillId="4" borderId="5" xfId="0" applyFont="1" applyFill="1" applyBorder="1" applyAlignment="1">
      <alignment horizontal="center" vertical="center"/>
    </xf>
    <xf numFmtId="0" fontId="243" fillId="4" borderId="6" xfId="0" applyFont="1" applyFill="1" applyBorder="1" applyAlignment="1">
      <alignment horizontal="center" vertical="center"/>
    </xf>
    <xf numFmtId="0" fontId="243" fillId="4" borderId="7" xfId="0" applyFont="1" applyFill="1" applyBorder="1" applyAlignment="1">
      <alignment horizontal="center" vertical="center"/>
    </xf>
    <xf numFmtId="0" fontId="243" fillId="4" borderId="198" xfId="0" applyFont="1" applyFill="1" applyBorder="1" applyAlignment="1">
      <alignment horizontal="center" vertical="center"/>
    </xf>
    <xf numFmtId="0" fontId="243" fillId="4" borderId="8" xfId="0" applyFont="1" applyFill="1" applyBorder="1" applyAlignment="1">
      <alignment horizontal="center" vertical="center"/>
    </xf>
    <xf numFmtId="0" fontId="213" fillId="4" borderId="197" xfId="0" applyFont="1" applyFill="1" applyBorder="1" applyAlignment="1">
      <alignment horizontal="center" vertical="center"/>
    </xf>
    <xf numFmtId="0" fontId="213" fillId="4" borderId="198" xfId="0" applyFont="1" applyFill="1" applyBorder="1" applyAlignment="1">
      <alignment horizontal="center" vertical="center"/>
    </xf>
    <xf numFmtId="0" fontId="213" fillId="4" borderId="199" xfId="0" applyFont="1" applyFill="1" applyBorder="1" applyAlignment="1">
      <alignment horizontal="center" vertical="center"/>
    </xf>
    <xf numFmtId="0" fontId="213" fillId="4" borderId="40" xfId="0" applyFont="1" applyFill="1" applyBorder="1" applyAlignment="1">
      <alignment horizontal="center" vertical="center" wrapText="1"/>
    </xf>
    <xf numFmtId="0" fontId="213" fillId="4" borderId="217" xfId="0" applyFont="1" applyFill="1" applyBorder="1" applyAlignment="1">
      <alignment horizontal="center" vertical="center" wrapText="1"/>
    </xf>
    <xf numFmtId="0" fontId="213" fillId="4" borderId="44" xfId="0" applyFont="1" applyFill="1" applyBorder="1" applyAlignment="1">
      <alignment horizontal="center" vertical="center" wrapText="1"/>
    </xf>
    <xf numFmtId="0" fontId="213" fillId="4" borderId="223" xfId="0" applyFont="1" applyFill="1" applyBorder="1" applyAlignment="1">
      <alignment horizontal="center" vertical="center" wrapText="1"/>
    </xf>
    <xf numFmtId="0" fontId="213" fillId="4" borderId="23" xfId="0" applyFont="1" applyFill="1" applyBorder="1" applyAlignment="1">
      <alignment horizontal="center" vertical="center" wrapText="1"/>
    </xf>
    <xf numFmtId="0" fontId="213" fillId="4" borderId="20" xfId="0" applyFont="1" applyFill="1" applyBorder="1" applyAlignment="1">
      <alignment horizontal="center" vertical="center" wrapText="1"/>
    </xf>
    <xf numFmtId="0" fontId="213" fillId="4" borderId="44" xfId="0" applyFont="1" applyFill="1" applyBorder="1" applyAlignment="1">
      <alignment horizontal="center" vertical="center"/>
    </xf>
    <xf numFmtId="0" fontId="213" fillId="4" borderId="42" xfId="0" applyFont="1" applyFill="1" applyBorder="1" applyAlignment="1">
      <alignment horizontal="center" vertical="center"/>
    </xf>
    <xf numFmtId="0" fontId="213" fillId="4" borderId="40" xfId="0" applyFont="1" applyFill="1" applyBorder="1" applyAlignment="1">
      <alignment horizontal="center" vertical="center"/>
    </xf>
    <xf numFmtId="0" fontId="213" fillId="4" borderId="23" xfId="0" applyFont="1" applyFill="1" applyBorder="1" applyAlignment="1">
      <alignment horizontal="center" vertical="center"/>
    </xf>
    <xf numFmtId="0" fontId="213" fillId="4" borderId="42" xfId="0" applyFont="1" applyFill="1" applyBorder="1" applyAlignment="1">
      <alignment horizontal="center" vertical="center" wrapText="1"/>
    </xf>
    <xf numFmtId="3" fontId="219" fillId="0" borderId="129" xfId="0" applyNumberFormat="1" applyFont="1" applyFill="1" applyBorder="1" applyAlignment="1">
      <alignment horizontal="center" vertical="center"/>
    </xf>
    <xf numFmtId="3" fontId="219" fillId="0" borderId="119" xfId="0" applyNumberFormat="1" applyFont="1" applyFill="1" applyBorder="1" applyAlignment="1">
      <alignment horizontal="center" vertical="center"/>
    </xf>
    <xf numFmtId="3" fontId="219" fillId="0" borderId="228" xfId="0" applyNumberFormat="1" applyFont="1" applyFill="1" applyBorder="1" applyAlignment="1">
      <alignment horizontal="center" vertical="center"/>
    </xf>
    <xf numFmtId="3" fontId="219" fillId="0" borderId="229" xfId="0" applyNumberFormat="1" applyFont="1" applyFill="1" applyBorder="1" applyAlignment="1">
      <alignment horizontal="center" vertical="center"/>
    </xf>
    <xf numFmtId="3" fontId="219" fillId="0" borderId="24" xfId="0" applyNumberFormat="1" applyFont="1" applyFill="1" applyBorder="1" applyAlignment="1">
      <alignment horizontal="center" vertical="center"/>
    </xf>
    <xf numFmtId="3" fontId="219" fillId="0" borderId="30" xfId="0" applyNumberFormat="1" applyFont="1" applyFill="1" applyBorder="1" applyAlignment="1">
      <alignment horizontal="center" vertical="center"/>
    </xf>
    <xf numFmtId="1" fontId="29" fillId="4" borderId="235" xfId="0" applyNumberFormat="1" applyFont="1" applyFill="1" applyBorder="1" applyAlignment="1">
      <alignment horizontal="center" vertical="center" wrapText="1"/>
    </xf>
    <xf numFmtId="1" fontId="29" fillId="4" borderId="65" xfId="0" applyNumberFormat="1" applyFont="1" applyFill="1" applyBorder="1" applyAlignment="1">
      <alignment horizontal="center" vertical="center" wrapText="1"/>
    </xf>
    <xf numFmtId="1" fontId="29" fillId="4" borderId="37" xfId="0" applyNumberFormat="1" applyFont="1" applyFill="1" applyBorder="1" applyAlignment="1">
      <alignment horizontal="center" vertical="center" wrapText="1"/>
    </xf>
    <xf numFmtId="1" fontId="29" fillId="4" borderId="230" xfId="0" applyNumberFormat="1" applyFont="1" applyFill="1" applyBorder="1" applyAlignment="1">
      <alignment horizontal="center" vertical="center" wrapText="1"/>
    </xf>
    <xf numFmtId="1" fontId="29" fillId="4" borderId="53" xfId="0" applyNumberFormat="1" applyFont="1" applyFill="1" applyBorder="1" applyAlignment="1">
      <alignment horizontal="center" vertical="center" wrapText="1"/>
    </xf>
    <xf numFmtId="1" fontId="29" fillId="4" borderId="39" xfId="0" applyNumberFormat="1" applyFont="1" applyFill="1" applyBorder="1" applyAlignment="1">
      <alignment horizontal="center" vertical="center" wrapText="1"/>
    </xf>
    <xf numFmtId="3" fontId="140" fillId="0" borderId="259" xfId="0" quotePrefix="1" applyNumberFormat="1" applyFont="1" applyFill="1" applyBorder="1" applyAlignment="1">
      <alignment horizontal="center" vertical="center"/>
    </xf>
    <xf numFmtId="3" fontId="140" fillId="0" borderId="229" xfId="0" applyNumberFormat="1" applyFont="1" applyFill="1" applyBorder="1" applyAlignment="1">
      <alignment horizontal="center" vertical="center"/>
    </xf>
    <xf numFmtId="0" fontId="21" fillId="4" borderId="24" xfId="0" applyFont="1" applyFill="1" applyBorder="1" applyAlignment="1">
      <alignment horizontal="center" vertical="center"/>
    </xf>
    <xf numFmtId="0" fontId="21" fillId="4" borderId="26" xfId="0" applyFont="1" applyFill="1" applyBorder="1" applyAlignment="1">
      <alignment horizontal="center" vertical="center"/>
    </xf>
    <xf numFmtId="0" fontId="21" fillId="4" borderId="40"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44" xfId="0" applyFont="1" applyFill="1" applyBorder="1" applyAlignment="1">
      <alignment horizontal="center" vertical="center" wrapText="1"/>
    </xf>
    <xf numFmtId="0" fontId="21" fillId="4" borderId="42" xfId="0" applyFont="1" applyFill="1" applyBorder="1" applyAlignment="1">
      <alignment horizontal="center" vertical="center" wrapText="1"/>
    </xf>
    <xf numFmtId="0" fontId="21" fillId="4" borderId="124" xfId="0" applyFont="1" applyFill="1" applyBorder="1" applyAlignment="1">
      <alignment horizontal="center" vertical="center"/>
    </xf>
    <xf numFmtId="0" fontId="21" fillId="4" borderId="121" xfId="0" applyFont="1" applyFill="1" applyBorder="1" applyAlignment="1">
      <alignment horizontal="center" vertical="center"/>
    </xf>
    <xf numFmtId="3" fontId="29" fillId="0" borderId="1" xfId="0" applyNumberFormat="1" applyFont="1" applyFill="1" applyBorder="1" applyAlignment="1">
      <alignment horizontal="center" vertical="center"/>
    </xf>
    <xf numFmtId="3" fontId="29" fillId="0" borderId="3" xfId="0" applyNumberFormat="1" applyFont="1" applyFill="1" applyBorder="1" applyAlignment="1">
      <alignment horizontal="center" vertical="center"/>
    </xf>
    <xf numFmtId="3" fontId="29" fillId="0" borderId="226" xfId="0" applyNumberFormat="1" applyFont="1" applyFill="1" applyBorder="1" applyAlignment="1">
      <alignment horizontal="center" vertical="center"/>
    </xf>
    <xf numFmtId="3" fontId="29" fillId="0" borderId="220" xfId="0" applyNumberFormat="1" applyFont="1" applyFill="1" applyBorder="1" applyAlignment="1">
      <alignment horizontal="center" vertical="center"/>
    </xf>
    <xf numFmtId="2" fontId="29" fillId="0" borderId="226" xfId="0" quotePrefix="1" applyNumberFormat="1" applyFont="1" applyFill="1" applyBorder="1" applyAlignment="1">
      <alignment horizontal="center" vertical="center"/>
    </xf>
    <xf numFmtId="2" fontId="29" fillId="0" borderId="220" xfId="0" applyNumberFormat="1" applyFont="1" applyFill="1" applyBorder="1" applyAlignment="1">
      <alignment horizontal="center" vertical="center"/>
    </xf>
    <xf numFmtId="0" fontId="213" fillId="0" borderId="62" xfId="0" applyFont="1" applyBorder="1" applyAlignment="1">
      <alignment horizontal="center" vertical="center"/>
    </xf>
    <xf numFmtId="0" fontId="26" fillId="0" borderId="10" xfId="0" applyFont="1" applyBorder="1" applyAlignment="1">
      <alignment horizontal="center" vertical="center"/>
    </xf>
    <xf numFmtId="0" fontId="140" fillId="0" borderId="39" xfId="0" applyFont="1" applyBorder="1" applyAlignment="1">
      <alignment horizontal="center" vertical="center"/>
    </xf>
    <xf numFmtId="0" fontId="140" fillId="0" borderId="214" xfId="0" applyFont="1" applyBorder="1" applyAlignment="1">
      <alignment horizontal="center" vertical="center"/>
    </xf>
    <xf numFmtId="0" fontId="140" fillId="0" borderId="215" xfId="0" applyFont="1" applyBorder="1" applyAlignment="1">
      <alignment horizontal="center" vertical="center"/>
    </xf>
    <xf numFmtId="0" fontId="140" fillId="0" borderId="216" xfId="0" applyFont="1" applyBorder="1" applyAlignment="1">
      <alignment horizontal="center" vertical="center"/>
    </xf>
    <xf numFmtId="3" fontId="29" fillId="0" borderId="226" xfId="0" quotePrefix="1" applyNumberFormat="1" applyFont="1" applyFill="1" applyBorder="1" applyAlignment="1">
      <alignment horizontal="center" vertical="center"/>
    </xf>
    <xf numFmtId="0" fontId="140" fillId="0" borderId="146" xfId="0" applyFont="1" applyBorder="1" applyAlignment="1">
      <alignment horizontal="center" vertical="center"/>
    </xf>
    <xf numFmtId="0" fontId="140" fillId="0" borderId="147" xfId="0" applyFont="1" applyBorder="1" applyAlignment="1">
      <alignment horizontal="center" vertical="center"/>
    </xf>
    <xf numFmtId="0" fontId="140" fillId="0" borderId="148" xfId="0" applyFont="1" applyBorder="1" applyAlignment="1">
      <alignment horizontal="center" vertical="center"/>
    </xf>
    <xf numFmtId="0" fontId="29" fillId="4" borderId="235" xfId="0" applyFont="1" applyFill="1" applyBorder="1" applyAlignment="1">
      <alignment horizontal="center" vertical="center" wrapText="1"/>
    </xf>
    <xf numFmtId="0" fontId="29" fillId="4" borderId="65" xfId="0" applyFont="1" applyFill="1" applyBorder="1" applyAlignment="1">
      <alignment horizontal="center" vertical="center" wrapText="1"/>
    </xf>
    <xf numFmtId="0" fontId="29" fillId="4" borderId="37" xfId="0" applyFont="1" applyFill="1" applyBorder="1" applyAlignment="1">
      <alignment horizontal="center" vertical="center" wrapText="1"/>
    </xf>
    <xf numFmtId="0" fontId="29" fillId="4" borderId="230" xfId="0" applyFont="1" applyFill="1" applyBorder="1" applyAlignment="1">
      <alignment horizontal="center" vertical="center" wrapText="1"/>
    </xf>
    <xf numFmtId="0" fontId="29" fillId="4" borderId="53" xfId="0" applyFont="1" applyFill="1" applyBorder="1" applyAlignment="1">
      <alignment horizontal="center" vertical="center" wrapText="1"/>
    </xf>
    <xf numFmtId="0" fontId="29" fillId="4" borderId="39" xfId="0" applyFont="1" applyFill="1" applyBorder="1" applyAlignment="1">
      <alignment horizontal="center" vertical="center" wrapText="1"/>
    </xf>
    <xf numFmtId="3" fontId="29" fillId="0" borderId="54" xfId="0" quotePrefix="1" applyNumberFormat="1" applyFont="1" applyFill="1" applyBorder="1" applyAlignment="1">
      <alignment horizontal="center" vertical="center"/>
    </xf>
    <xf numFmtId="2" fontId="29" fillId="0" borderId="211" xfId="0" applyNumberFormat="1" applyFont="1" applyBorder="1" applyAlignment="1">
      <alignment horizontal="center" vertical="center"/>
    </xf>
    <xf numFmtId="3" fontId="29" fillId="0" borderId="259" xfId="0" quotePrefix="1" applyNumberFormat="1" applyFont="1" applyFill="1" applyBorder="1" applyAlignment="1">
      <alignment horizontal="center" vertical="center"/>
    </xf>
    <xf numFmtId="3" fontId="29" fillId="0" borderId="229" xfId="0" quotePrefix="1" applyNumberFormat="1" applyFont="1" applyFill="1" applyBorder="1" applyAlignment="1">
      <alignment horizontal="center" vertical="center"/>
    </xf>
    <xf numFmtId="3" fontId="29" fillId="0" borderId="220" xfId="0" quotePrefix="1" applyNumberFormat="1" applyFont="1" applyFill="1" applyBorder="1" applyAlignment="1">
      <alignment horizontal="center" vertical="center"/>
    </xf>
    <xf numFmtId="3" fontId="29" fillId="0" borderId="234" xfId="0" quotePrefix="1" applyNumberFormat="1" applyFont="1" applyFill="1" applyBorder="1" applyAlignment="1">
      <alignment horizontal="center" vertical="center"/>
    </xf>
    <xf numFmtId="3" fontId="29" fillId="0" borderId="240" xfId="0" quotePrefix="1" applyNumberFormat="1" applyFont="1" applyFill="1" applyBorder="1" applyAlignment="1">
      <alignment horizontal="center" vertical="center"/>
    </xf>
    <xf numFmtId="2" fontId="29" fillId="4" borderId="235" xfId="0" applyNumberFormat="1" applyFont="1" applyFill="1" applyBorder="1" applyAlignment="1">
      <alignment horizontal="center" vertical="center" wrapText="1"/>
    </xf>
    <xf numFmtId="2" fontId="29" fillId="4" borderId="65" xfId="0" applyNumberFormat="1" applyFont="1" applyFill="1" applyBorder="1" applyAlignment="1">
      <alignment horizontal="center" vertical="center" wrapText="1"/>
    </xf>
    <xf numFmtId="2" fontId="29" fillId="4" borderId="37" xfId="0" applyNumberFormat="1" applyFont="1" applyFill="1" applyBorder="1" applyAlignment="1">
      <alignment horizontal="center" vertical="center" wrapText="1"/>
    </xf>
    <xf numFmtId="2" fontId="29" fillId="4" borderId="230" xfId="0" applyNumberFormat="1" applyFont="1" applyFill="1" applyBorder="1" applyAlignment="1">
      <alignment horizontal="center" vertical="center" wrapText="1"/>
    </xf>
    <xf numFmtId="2" fontId="29" fillId="4" borderId="53" xfId="0" applyNumberFormat="1" applyFont="1" applyFill="1" applyBorder="1" applyAlignment="1">
      <alignment horizontal="center" vertical="center" wrapText="1"/>
    </xf>
    <xf numFmtId="2" fontId="29" fillId="4" borderId="39" xfId="0" applyNumberFormat="1" applyFont="1" applyFill="1" applyBorder="1" applyAlignment="1">
      <alignment horizontal="center" vertical="center" wrapText="1"/>
    </xf>
    <xf numFmtId="0" fontId="217" fillId="0" borderId="221" xfId="20889" applyFont="1" applyBorder="1" applyAlignment="1">
      <alignment horizontal="center" vertical="center" wrapText="1"/>
    </xf>
    <xf numFmtId="0" fontId="217" fillId="0" borderId="225" xfId="20889" applyFont="1" applyBorder="1" applyAlignment="1">
      <alignment horizontal="center" vertical="center" wrapText="1"/>
    </xf>
    <xf numFmtId="0" fontId="217" fillId="0" borderId="222" xfId="20889" applyFont="1" applyBorder="1" applyAlignment="1">
      <alignment horizontal="center" vertical="center" wrapText="1"/>
    </xf>
    <xf numFmtId="0" fontId="58" fillId="6" borderId="126" xfId="0" applyFont="1" applyFill="1" applyBorder="1" applyAlignment="1">
      <alignment horizontal="center" vertical="center" wrapText="1" shrinkToFit="1"/>
    </xf>
    <xf numFmtId="0" fontId="53" fillId="0" borderId="235" xfId="1" applyFont="1" applyBorder="1" applyAlignment="1">
      <alignment horizontal="center" vertical="center" wrapText="1"/>
    </xf>
  </cellXfs>
  <cellStyles count="20912">
    <cellStyle name="###,###,###.##" xfId="2" xr:uid="{00000000-0005-0000-0000-000000000000}"/>
    <cellStyle name="#.0" xfId="3" xr:uid="{00000000-0005-0000-0000-000001000000}"/>
    <cellStyle name="#.0 2" xfId="10675" xr:uid="{00000000-0005-0000-0000-000002000000}"/>
    <cellStyle name="0%" xfId="243" xr:uid="{00000000-0005-0000-0000-000003000000}"/>
    <cellStyle name="0% 2" xfId="244" xr:uid="{00000000-0005-0000-0000-000004000000}"/>
    <cellStyle name="0% 2 2" xfId="245" xr:uid="{00000000-0005-0000-0000-000005000000}"/>
    <cellStyle name="0% 2 2 2" xfId="246" xr:uid="{00000000-0005-0000-0000-000006000000}"/>
    <cellStyle name="0% 2 2 3" xfId="247" xr:uid="{00000000-0005-0000-0000-000007000000}"/>
    <cellStyle name="0% 2 3" xfId="248" xr:uid="{00000000-0005-0000-0000-000008000000}"/>
    <cellStyle name="0% 2 3 2" xfId="249" xr:uid="{00000000-0005-0000-0000-000009000000}"/>
    <cellStyle name="0% 2 3 3" xfId="250" xr:uid="{00000000-0005-0000-0000-00000A000000}"/>
    <cellStyle name="0% 2 4" xfId="251" xr:uid="{00000000-0005-0000-0000-00000B000000}"/>
    <cellStyle name="0% 2 5" xfId="252" xr:uid="{00000000-0005-0000-0000-00000C000000}"/>
    <cellStyle name="0% 3" xfId="253" xr:uid="{00000000-0005-0000-0000-00000D000000}"/>
    <cellStyle name="0% 3 2" xfId="254" xr:uid="{00000000-0005-0000-0000-00000E000000}"/>
    <cellStyle name="0% 3 2 2" xfId="255" xr:uid="{00000000-0005-0000-0000-00000F000000}"/>
    <cellStyle name="0% 3 2 3" xfId="256" xr:uid="{00000000-0005-0000-0000-000010000000}"/>
    <cellStyle name="0% 3 3" xfId="257" xr:uid="{00000000-0005-0000-0000-000011000000}"/>
    <cellStyle name="0% 3 3 2" xfId="258" xr:uid="{00000000-0005-0000-0000-000012000000}"/>
    <cellStyle name="0% 3 3 3" xfId="259" xr:uid="{00000000-0005-0000-0000-000013000000}"/>
    <cellStyle name="0% 3 4" xfId="260" xr:uid="{00000000-0005-0000-0000-000014000000}"/>
    <cellStyle name="0% 3 5" xfId="261" xr:uid="{00000000-0005-0000-0000-000015000000}"/>
    <cellStyle name="0% 4" xfId="262" xr:uid="{00000000-0005-0000-0000-000016000000}"/>
    <cellStyle name="0% 4 2" xfId="263" xr:uid="{00000000-0005-0000-0000-000017000000}"/>
    <cellStyle name="0% 4 3" xfId="264" xr:uid="{00000000-0005-0000-0000-000018000000}"/>
    <cellStyle name="0% 5" xfId="265" xr:uid="{00000000-0005-0000-0000-000019000000}"/>
    <cellStyle name="0% 5 2" xfId="266" xr:uid="{00000000-0005-0000-0000-00001A000000}"/>
    <cellStyle name="0% 5 3" xfId="267" xr:uid="{00000000-0005-0000-0000-00001B000000}"/>
    <cellStyle name="0% 6" xfId="268" xr:uid="{00000000-0005-0000-0000-00001C000000}"/>
    <cellStyle name="0% 7" xfId="269" xr:uid="{00000000-0005-0000-0000-00001D000000}"/>
    <cellStyle name="0% 8" xfId="270" xr:uid="{00000000-0005-0000-0000-00001E000000}"/>
    <cellStyle name="0.0%" xfId="271" xr:uid="{00000000-0005-0000-0000-00001F000000}"/>
    <cellStyle name="0.0% 2" xfId="272" xr:uid="{00000000-0005-0000-0000-000020000000}"/>
    <cellStyle name="0.00%" xfId="273" xr:uid="{00000000-0005-0000-0000-000021000000}"/>
    <cellStyle name="0.00% 2" xfId="274" xr:uid="{00000000-0005-0000-0000-000022000000}"/>
    <cellStyle name="20% - Accent1" xfId="10488" builtinId="30" customBuiltin="1"/>
    <cellStyle name="20% - Accent1 2" xfId="275" xr:uid="{00000000-0005-0000-0000-000024000000}"/>
    <cellStyle name="20% - Accent1 2 2" xfId="10676" xr:uid="{00000000-0005-0000-0000-000025000000}"/>
    <cellStyle name="20% - Accent1 3" xfId="10677" xr:uid="{00000000-0005-0000-0000-000026000000}"/>
    <cellStyle name="20% - Accent1 3 2" xfId="10678" xr:uid="{00000000-0005-0000-0000-000027000000}"/>
    <cellStyle name="20% - Accent1 4" xfId="10679" xr:uid="{00000000-0005-0000-0000-000028000000}"/>
    <cellStyle name="20% - Accent2" xfId="10492" builtinId="34" customBuiltin="1"/>
    <cellStyle name="20% - Accent2 2" xfId="276" xr:uid="{00000000-0005-0000-0000-00002A000000}"/>
    <cellStyle name="20% - Accent2 2 2" xfId="10680" xr:uid="{00000000-0005-0000-0000-00002B000000}"/>
    <cellStyle name="20% - Accent2 3" xfId="10681" xr:uid="{00000000-0005-0000-0000-00002C000000}"/>
    <cellStyle name="20% - Accent2 3 2" xfId="10682" xr:uid="{00000000-0005-0000-0000-00002D000000}"/>
    <cellStyle name="20% - Accent2 4" xfId="10683" xr:uid="{00000000-0005-0000-0000-00002E000000}"/>
    <cellStyle name="20% - Accent3" xfId="10496" builtinId="38" customBuiltin="1"/>
    <cellStyle name="20% - Accent3 2" xfId="277" xr:uid="{00000000-0005-0000-0000-000030000000}"/>
    <cellStyle name="20% - Accent3 2 2" xfId="10684" xr:uid="{00000000-0005-0000-0000-000031000000}"/>
    <cellStyle name="20% - Accent3 3" xfId="10685" xr:uid="{00000000-0005-0000-0000-000032000000}"/>
    <cellStyle name="20% - Accent3 3 2" xfId="10686" xr:uid="{00000000-0005-0000-0000-000033000000}"/>
    <cellStyle name="20% - Accent3 4" xfId="10687" xr:uid="{00000000-0005-0000-0000-000034000000}"/>
    <cellStyle name="20% - Accent4" xfId="10500" builtinId="42" customBuiltin="1"/>
    <cellStyle name="20% - Accent4 2" xfId="278" xr:uid="{00000000-0005-0000-0000-000036000000}"/>
    <cellStyle name="20% - Accent4 2 2" xfId="10688" xr:uid="{00000000-0005-0000-0000-000037000000}"/>
    <cellStyle name="20% - Accent4 3" xfId="10689" xr:uid="{00000000-0005-0000-0000-000038000000}"/>
    <cellStyle name="20% - Accent4 3 2" xfId="10690" xr:uid="{00000000-0005-0000-0000-000039000000}"/>
    <cellStyle name="20% - Accent4 4" xfId="10691" xr:uid="{00000000-0005-0000-0000-00003A000000}"/>
    <cellStyle name="20% - Accent5" xfId="10504" builtinId="46" customBuiltin="1"/>
    <cellStyle name="20% - Accent5 2" xfId="279" xr:uid="{00000000-0005-0000-0000-00003C000000}"/>
    <cellStyle name="20% - Accent5 2 2" xfId="10692" xr:uid="{00000000-0005-0000-0000-00003D000000}"/>
    <cellStyle name="20% - Accent5 3" xfId="10693" xr:uid="{00000000-0005-0000-0000-00003E000000}"/>
    <cellStyle name="20% - Accent5 3 2" xfId="10694" xr:uid="{00000000-0005-0000-0000-00003F000000}"/>
    <cellStyle name="20% - Accent5 4" xfId="10695" xr:uid="{00000000-0005-0000-0000-000040000000}"/>
    <cellStyle name="20% - Accent6" xfId="10508" builtinId="50" customBuiltin="1"/>
    <cellStyle name="20% - Accent6 2" xfId="280" xr:uid="{00000000-0005-0000-0000-000042000000}"/>
    <cellStyle name="20% - Accent6 2 2" xfId="10696" xr:uid="{00000000-0005-0000-0000-000043000000}"/>
    <cellStyle name="20% - Accent6 3" xfId="10697" xr:uid="{00000000-0005-0000-0000-000044000000}"/>
    <cellStyle name="20% - Accent6 3 2" xfId="10698" xr:uid="{00000000-0005-0000-0000-000045000000}"/>
    <cellStyle name="20% - Accent6 4" xfId="10699" xr:uid="{00000000-0005-0000-0000-000046000000}"/>
    <cellStyle name="³f¹ô[0]_pldt" xfId="281" xr:uid="{00000000-0005-0000-0000-000047000000}"/>
    <cellStyle name="³f¹ô_pldt" xfId="282" xr:uid="{00000000-0005-0000-0000-000048000000}"/>
    <cellStyle name="40% - Accent1" xfId="10489" builtinId="31" customBuiltin="1"/>
    <cellStyle name="40% - Accent1 2" xfId="283" xr:uid="{00000000-0005-0000-0000-00004A000000}"/>
    <cellStyle name="40% - Accent1 2 2" xfId="10700" xr:uid="{00000000-0005-0000-0000-00004B000000}"/>
    <cellStyle name="40% - Accent1 3" xfId="10701" xr:uid="{00000000-0005-0000-0000-00004C000000}"/>
    <cellStyle name="40% - Accent1 3 2" xfId="10702" xr:uid="{00000000-0005-0000-0000-00004D000000}"/>
    <cellStyle name="40% - Accent1 4" xfId="10703" xr:uid="{00000000-0005-0000-0000-00004E000000}"/>
    <cellStyle name="40% - Accent2" xfId="10493" builtinId="35" customBuiltin="1"/>
    <cellStyle name="40% - Accent2 2" xfId="284" xr:uid="{00000000-0005-0000-0000-000050000000}"/>
    <cellStyle name="40% - Accent2 2 2" xfId="10704" xr:uid="{00000000-0005-0000-0000-000051000000}"/>
    <cellStyle name="40% - Accent2 3" xfId="10705" xr:uid="{00000000-0005-0000-0000-000052000000}"/>
    <cellStyle name="40% - Accent2 3 2" xfId="10706" xr:uid="{00000000-0005-0000-0000-000053000000}"/>
    <cellStyle name="40% - Accent2 4" xfId="10707" xr:uid="{00000000-0005-0000-0000-000054000000}"/>
    <cellStyle name="40% - Accent3" xfId="10497" builtinId="39" customBuiltin="1"/>
    <cellStyle name="40% - Accent3 2" xfId="285" xr:uid="{00000000-0005-0000-0000-000056000000}"/>
    <cellStyle name="40% - Accent3 2 2" xfId="10708" xr:uid="{00000000-0005-0000-0000-000057000000}"/>
    <cellStyle name="40% - Accent3 3" xfId="10709" xr:uid="{00000000-0005-0000-0000-000058000000}"/>
    <cellStyle name="40% - Accent3 3 2" xfId="10710" xr:uid="{00000000-0005-0000-0000-000059000000}"/>
    <cellStyle name="40% - Accent3 4" xfId="10711" xr:uid="{00000000-0005-0000-0000-00005A000000}"/>
    <cellStyle name="40% - Accent4" xfId="10501" builtinId="43" customBuiltin="1"/>
    <cellStyle name="40% - Accent4 2" xfId="286" xr:uid="{00000000-0005-0000-0000-00005C000000}"/>
    <cellStyle name="40% - Accent4 2 2" xfId="10712" xr:uid="{00000000-0005-0000-0000-00005D000000}"/>
    <cellStyle name="40% - Accent4 3" xfId="10713" xr:uid="{00000000-0005-0000-0000-00005E000000}"/>
    <cellStyle name="40% - Accent4 3 2" xfId="10714" xr:uid="{00000000-0005-0000-0000-00005F000000}"/>
    <cellStyle name="40% - Accent4 4" xfId="10715" xr:uid="{00000000-0005-0000-0000-000060000000}"/>
    <cellStyle name="40% - Accent5" xfId="10505" builtinId="47" customBuiltin="1"/>
    <cellStyle name="40% - Accent5 2" xfId="287" xr:uid="{00000000-0005-0000-0000-000062000000}"/>
    <cellStyle name="40% - Accent5 2 2" xfId="10716" xr:uid="{00000000-0005-0000-0000-000063000000}"/>
    <cellStyle name="40% - Accent5 3" xfId="10717" xr:uid="{00000000-0005-0000-0000-000064000000}"/>
    <cellStyle name="40% - Accent5 3 2" xfId="10718" xr:uid="{00000000-0005-0000-0000-000065000000}"/>
    <cellStyle name="40% - Accent5 4" xfId="10719" xr:uid="{00000000-0005-0000-0000-000066000000}"/>
    <cellStyle name="40% - Accent6" xfId="10509" builtinId="51" customBuiltin="1"/>
    <cellStyle name="40% - Accent6 2" xfId="288" xr:uid="{00000000-0005-0000-0000-000068000000}"/>
    <cellStyle name="40% - Accent6 2 2" xfId="10720" xr:uid="{00000000-0005-0000-0000-000069000000}"/>
    <cellStyle name="40% - Accent6 3" xfId="10721" xr:uid="{00000000-0005-0000-0000-00006A000000}"/>
    <cellStyle name="40% - Accent6 3 2" xfId="10722" xr:uid="{00000000-0005-0000-0000-00006B000000}"/>
    <cellStyle name="40% - Accent6 4" xfId="10723" xr:uid="{00000000-0005-0000-0000-00006C000000}"/>
    <cellStyle name="60% - Accent1" xfId="10490" builtinId="32" customBuiltin="1"/>
    <cellStyle name="60% - Accent1 2" xfId="289" xr:uid="{00000000-0005-0000-0000-00006E000000}"/>
    <cellStyle name="60% - Accent2" xfId="10494" builtinId="36" customBuiltin="1"/>
    <cellStyle name="60% - Accent2 2" xfId="290" xr:uid="{00000000-0005-0000-0000-000070000000}"/>
    <cellStyle name="60% - Accent3" xfId="10498" builtinId="40" customBuiltin="1"/>
    <cellStyle name="60% - Accent3 2" xfId="291" xr:uid="{00000000-0005-0000-0000-000072000000}"/>
    <cellStyle name="60% - Accent4" xfId="10502" builtinId="44" customBuiltin="1"/>
    <cellStyle name="60% - Accent4 2" xfId="292" xr:uid="{00000000-0005-0000-0000-000074000000}"/>
    <cellStyle name="60% - Accent5" xfId="10506" builtinId="48" customBuiltin="1"/>
    <cellStyle name="60% - Accent5 2" xfId="293" xr:uid="{00000000-0005-0000-0000-000076000000}"/>
    <cellStyle name="60% - Accent6" xfId="10510" builtinId="52" customBuiltin="1"/>
    <cellStyle name="60% - Accent6 2" xfId="294" xr:uid="{00000000-0005-0000-0000-000078000000}"/>
    <cellStyle name="Accent1" xfId="10487" builtinId="29" customBuiltin="1"/>
    <cellStyle name="Accent1 2" xfId="295" xr:uid="{00000000-0005-0000-0000-00007A000000}"/>
    <cellStyle name="Accent2" xfId="10491" builtinId="33" customBuiltin="1"/>
    <cellStyle name="Accent2 2" xfId="296" xr:uid="{00000000-0005-0000-0000-00007C000000}"/>
    <cellStyle name="Accent3" xfId="10495" builtinId="37" customBuiltin="1"/>
    <cellStyle name="Accent3 2" xfId="297" xr:uid="{00000000-0005-0000-0000-00007E000000}"/>
    <cellStyle name="Accent4" xfId="10499" builtinId="41" customBuiltin="1"/>
    <cellStyle name="Accent4 2" xfId="298" xr:uid="{00000000-0005-0000-0000-000080000000}"/>
    <cellStyle name="Accent5" xfId="10503" builtinId="45" customBuiltin="1"/>
    <cellStyle name="Accent5 2" xfId="299" xr:uid="{00000000-0005-0000-0000-000082000000}"/>
    <cellStyle name="Accent6" xfId="10507" builtinId="49" customBuiltin="1"/>
    <cellStyle name="Accent6 2" xfId="300" xr:uid="{00000000-0005-0000-0000-000084000000}"/>
    <cellStyle name="Actual" xfId="301" xr:uid="{00000000-0005-0000-0000-000085000000}"/>
    <cellStyle name="Actual Date" xfId="302" xr:uid="{00000000-0005-0000-0000-000086000000}"/>
    <cellStyle name="AllLines" xfId="303" xr:uid="{00000000-0005-0000-0000-000087000000}"/>
    <cellStyle name="AllLines 2" xfId="12721" xr:uid="{00000000-0005-0000-0000-000088000000}"/>
    <cellStyle name="args.style" xfId="304" xr:uid="{00000000-0005-0000-0000-000089000000}"/>
    <cellStyle name="Bad" xfId="10477" builtinId="27" customBuiltin="1"/>
    <cellStyle name="Bad 2" xfId="305" xr:uid="{00000000-0005-0000-0000-00008B000000}"/>
    <cellStyle name="blank" xfId="306" xr:uid="{00000000-0005-0000-0000-00008C000000}"/>
    <cellStyle name="Border" xfId="307" xr:uid="{00000000-0005-0000-0000-00008D000000}"/>
    <cellStyle name="Border 2" xfId="308" xr:uid="{00000000-0005-0000-0000-00008E000000}"/>
    <cellStyle name="Border 3" xfId="309" xr:uid="{00000000-0005-0000-0000-00008F000000}"/>
    <cellStyle name="Bottom - Style7" xfId="310" xr:uid="{00000000-0005-0000-0000-000090000000}"/>
    <cellStyle name="Bottom - Style7 10" xfId="311" xr:uid="{00000000-0005-0000-0000-000091000000}"/>
    <cellStyle name="Bottom - Style7 11" xfId="312" xr:uid="{00000000-0005-0000-0000-000092000000}"/>
    <cellStyle name="Bottom - Style7 2" xfId="313" xr:uid="{00000000-0005-0000-0000-000093000000}"/>
    <cellStyle name="Bottom - Style7 2 2" xfId="314" xr:uid="{00000000-0005-0000-0000-000094000000}"/>
    <cellStyle name="Bottom - Style7 2 2 2" xfId="315" xr:uid="{00000000-0005-0000-0000-000095000000}"/>
    <cellStyle name="Bottom - Style7 2 2 3" xfId="316" xr:uid="{00000000-0005-0000-0000-000096000000}"/>
    <cellStyle name="Bottom - Style7 2 3" xfId="317" xr:uid="{00000000-0005-0000-0000-000097000000}"/>
    <cellStyle name="Bottom - Style7 2 3 2" xfId="318" xr:uid="{00000000-0005-0000-0000-000098000000}"/>
    <cellStyle name="Bottom - Style7 2 3 3" xfId="319" xr:uid="{00000000-0005-0000-0000-000099000000}"/>
    <cellStyle name="Bottom - Style7 2 4" xfId="320" xr:uid="{00000000-0005-0000-0000-00009A000000}"/>
    <cellStyle name="Bottom - Style7 2 4 2" xfId="321" xr:uid="{00000000-0005-0000-0000-00009B000000}"/>
    <cellStyle name="Bottom - Style7 2 4 3" xfId="322" xr:uid="{00000000-0005-0000-0000-00009C000000}"/>
    <cellStyle name="Bottom - Style7 2 5" xfId="323" xr:uid="{00000000-0005-0000-0000-00009D000000}"/>
    <cellStyle name="Bottom - Style7 2 6" xfId="324" xr:uid="{00000000-0005-0000-0000-00009E000000}"/>
    <cellStyle name="Bottom - Style7 2 7" xfId="325" xr:uid="{00000000-0005-0000-0000-00009F000000}"/>
    <cellStyle name="Bottom - Style7 3" xfId="326" xr:uid="{00000000-0005-0000-0000-0000A0000000}"/>
    <cellStyle name="Bottom - Style7 3 2" xfId="327" xr:uid="{00000000-0005-0000-0000-0000A1000000}"/>
    <cellStyle name="Bottom - Style7 3 2 2" xfId="328" xr:uid="{00000000-0005-0000-0000-0000A2000000}"/>
    <cellStyle name="Bottom - Style7 3 2 3" xfId="329" xr:uid="{00000000-0005-0000-0000-0000A3000000}"/>
    <cellStyle name="Bottom - Style7 3 3" xfId="330" xr:uid="{00000000-0005-0000-0000-0000A4000000}"/>
    <cellStyle name="Bottom - Style7 3 3 2" xfId="331" xr:uid="{00000000-0005-0000-0000-0000A5000000}"/>
    <cellStyle name="Bottom - Style7 3 3 3" xfId="332" xr:uid="{00000000-0005-0000-0000-0000A6000000}"/>
    <cellStyle name="Bottom - Style7 3 4" xfId="333" xr:uid="{00000000-0005-0000-0000-0000A7000000}"/>
    <cellStyle name="Bottom - Style7 3 4 2" xfId="334" xr:uid="{00000000-0005-0000-0000-0000A8000000}"/>
    <cellStyle name="Bottom - Style7 3 4 3" xfId="335" xr:uid="{00000000-0005-0000-0000-0000A9000000}"/>
    <cellStyle name="Bottom - Style7 3 5" xfId="336" xr:uid="{00000000-0005-0000-0000-0000AA000000}"/>
    <cellStyle name="Bottom - Style7 3 6" xfId="337" xr:uid="{00000000-0005-0000-0000-0000AB000000}"/>
    <cellStyle name="Bottom - Style7 3 7" xfId="338" xr:uid="{00000000-0005-0000-0000-0000AC000000}"/>
    <cellStyle name="Bottom - Style7 4" xfId="339" xr:uid="{00000000-0005-0000-0000-0000AD000000}"/>
    <cellStyle name="Bottom - Style7 4 2" xfId="340" xr:uid="{00000000-0005-0000-0000-0000AE000000}"/>
    <cellStyle name="Bottom - Style7 4 2 2" xfId="341" xr:uid="{00000000-0005-0000-0000-0000AF000000}"/>
    <cellStyle name="Bottom - Style7 4 2 3" xfId="342" xr:uid="{00000000-0005-0000-0000-0000B0000000}"/>
    <cellStyle name="Bottom - Style7 4 3" xfId="343" xr:uid="{00000000-0005-0000-0000-0000B1000000}"/>
    <cellStyle name="Bottom - Style7 4 3 2" xfId="344" xr:uid="{00000000-0005-0000-0000-0000B2000000}"/>
    <cellStyle name="Bottom - Style7 4 3 3" xfId="345" xr:uid="{00000000-0005-0000-0000-0000B3000000}"/>
    <cellStyle name="Bottom - Style7 4 4" xfId="346" xr:uid="{00000000-0005-0000-0000-0000B4000000}"/>
    <cellStyle name="Bottom - Style7 4 4 2" xfId="347" xr:uid="{00000000-0005-0000-0000-0000B5000000}"/>
    <cellStyle name="Bottom - Style7 4 4 3" xfId="348" xr:uid="{00000000-0005-0000-0000-0000B6000000}"/>
    <cellStyle name="Bottom - Style7 4 5" xfId="349" xr:uid="{00000000-0005-0000-0000-0000B7000000}"/>
    <cellStyle name="Bottom - Style7 4 6" xfId="350" xr:uid="{00000000-0005-0000-0000-0000B8000000}"/>
    <cellStyle name="Bottom - Style7 4 7" xfId="351" xr:uid="{00000000-0005-0000-0000-0000B9000000}"/>
    <cellStyle name="Bottom - Style7 5" xfId="352" xr:uid="{00000000-0005-0000-0000-0000BA000000}"/>
    <cellStyle name="Bottom - Style7 5 2" xfId="353" xr:uid="{00000000-0005-0000-0000-0000BB000000}"/>
    <cellStyle name="Bottom - Style7 5 2 2" xfId="354" xr:uid="{00000000-0005-0000-0000-0000BC000000}"/>
    <cellStyle name="Bottom - Style7 5 2 3" xfId="355" xr:uid="{00000000-0005-0000-0000-0000BD000000}"/>
    <cellStyle name="Bottom - Style7 5 3" xfId="356" xr:uid="{00000000-0005-0000-0000-0000BE000000}"/>
    <cellStyle name="Bottom - Style7 5 3 2" xfId="357" xr:uid="{00000000-0005-0000-0000-0000BF000000}"/>
    <cellStyle name="Bottom - Style7 5 3 3" xfId="358" xr:uid="{00000000-0005-0000-0000-0000C0000000}"/>
    <cellStyle name="Bottom - Style7 5 4" xfId="359" xr:uid="{00000000-0005-0000-0000-0000C1000000}"/>
    <cellStyle name="Bottom - Style7 5 5" xfId="360" xr:uid="{00000000-0005-0000-0000-0000C2000000}"/>
    <cellStyle name="Bottom - Style7 5 6" xfId="361" xr:uid="{00000000-0005-0000-0000-0000C3000000}"/>
    <cellStyle name="Bottom - Style7 6" xfId="362" xr:uid="{00000000-0005-0000-0000-0000C4000000}"/>
    <cellStyle name="Bottom - Style7 6 2" xfId="363" xr:uid="{00000000-0005-0000-0000-0000C5000000}"/>
    <cellStyle name="Bottom - Style7 6 2 2" xfId="364" xr:uid="{00000000-0005-0000-0000-0000C6000000}"/>
    <cellStyle name="Bottom - Style7 6 2 3" xfId="365" xr:uid="{00000000-0005-0000-0000-0000C7000000}"/>
    <cellStyle name="Bottom - Style7 6 3" xfId="366" xr:uid="{00000000-0005-0000-0000-0000C8000000}"/>
    <cellStyle name="Bottom - Style7 6 3 2" xfId="367" xr:uid="{00000000-0005-0000-0000-0000C9000000}"/>
    <cellStyle name="Bottom - Style7 6 3 3" xfId="368" xr:uid="{00000000-0005-0000-0000-0000CA000000}"/>
    <cellStyle name="Bottom - Style7 6 4" xfId="369" xr:uid="{00000000-0005-0000-0000-0000CB000000}"/>
    <cellStyle name="Bottom - Style7 6 5" xfId="370" xr:uid="{00000000-0005-0000-0000-0000CC000000}"/>
    <cellStyle name="Bottom - Style7 6 6" xfId="371" xr:uid="{00000000-0005-0000-0000-0000CD000000}"/>
    <cellStyle name="Bottom - Style7 7" xfId="372" xr:uid="{00000000-0005-0000-0000-0000CE000000}"/>
    <cellStyle name="Bottom - Style7 7 2" xfId="373" xr:uid="{00000000-0005-0000-0000-0000CF000000}"/>
    <cellStyle name="Bottom - Style7 7 3" xfId="374" xr:uid="{00000000-0005-0000-0000-0000D0000000}"/>
    <cellStyle name="Bottom - Style7 8" xfId="375" xr:uid="{00000000-0005-0000-0000-0000D1000000}"/>
    <cellStyle name="Bottom - Style7 8 2" xfId="376" xr:uid="{00000000-0005-0000-0000-0000D2000000}"/>
    <cellStyle name="Bottom - Style7 8 3" xfId="377" xr:uid="{00000000-0005-0000-0000-0000D3000000}"/>
    <cellStyle name="Bottom - Style7 9" xfId="378" xr:uid="{00000000-0005-0000-0000-0000D4000000}"/>
    <cellStyle name="BottomLine" xfId="379" xr:uid="{00000000-0005-0000-0000-0000D5000000}"/>
    <cellStyle name="BottomLine 10" xfId="380" xr:uid="{00000000-0005-0000-0000-0000D6000000}"/>
    <cellStyle name="BottomLine 11" xfId="381" xr:uid="{00000000-0005-0000-0000-0000D7000000}"/>
    <cellStyle name="BottomLine 2" xfId="382" xr:uid="{00000000-0005-0000-0000-0000D8000000}"/>
    <cellStyle name="BottomLine 2 2" xfId="383" xr:uid="{00000000-0005-0000-0000-0000D9000000}"/>
    <cellStyle name="BottomLine 2 2 2" xfId="384" xr:uid="{00000000-0005-0000-0000-0000DA000000}"/>
    <cellStyle name="BottomLine 2 2 3" xfId="385" xr:uid="{00000000-0005-0000-0000-0000DB000000}"/>
    <cellStyle name="BottomLine 2 3" xfId="386" xr:uid="{00000000-0005-0000-0000-0000DC000000}"/>
    <cellStyle name="BottomLine 2 3 2" xfId="387" xr:uid="{00000000-0005-0000-0000-0000DD000000}"/>
    <cellStyle name="BottomLine 2 3 3" xfId="388" xr:uid="{00000000-0005-0000-0000-0000DE000000}"/>
    <cellStyle name="BottomLine 2 4" xfId="389" xr:uid="{00000000-0005-0000-0000-0000DF000000}"/>
    <cellStyle name="BottomLine 2 4 2" xfId="390" xr:uid="{00000000-0005-0000-0000-0000E0000000}"/>
    <cellStyle name="BottomLine 2 4 3" xfId="391" xr:uid="{00000000-0005-0000-0000-0000E1000000}"/>
    <cellStyle name="BottomLine 2 5" xfId="392" xr:uid="{00000000-0005-0000-0000-0000E2000000}"/>
    <cellStyle name="BottomLine 2 6" xfId="393" xr:uid="{00000000-0005-0000-0000-0000E3000000}"/>
    <cellStyle name="BottomLine 2 7" xfId="394" xr:uid="{00000000-0005-0000-0000-0000E4000000}"/>
    <cellStyle name="BottomLine 3" xfId="395" xr:uid="{00000000-0005-0000-0000-0000E5000000}"/>
    <cellStyle name="BottomLine 3 2" xfId="396" xr:uid="{00000000-0005-0000-0000-0000E6000000}"/>
    <cellStyle name="BottomLine 3 2 2" xfId="397" xr:uid="{00000000-0005-0000-0000-0000E7000000}"/>
    <cellStyle name="BottomLine 3 2 3" xfId="398" xr:uid="{00000000-0005-0000-0000-0000E8000000}"/>
    <cellStyle name="BottomLine 3 3" xfId="399" xr:uid="{00000000-0005-0000-0000-0000E9000000}"/>
    <cellStyle name="BottomLine 3 3 2" xfId="400" xr:uid="{00000000-0005-0000-0000-0000EA000000}"/>
    <cellStyle name="BottomLine 3 3 3" xfId="401" xr:uid="{00000000-0005-0000-0000-0000EB000000}"/>
    <cellStyle name="BottomLine 3 4" xfId="402" xr:uid="{00000000-0005-0000-0000-0000EC000000}"/>
    <cellStyle name="BottomLine 3 4 2" xfId="403" xr:uid="{00000000-0005-0000-0000-0000ED000000}"/>
    <cellStyle name="BottomLine 3 4 3" xfId="404" xr:uid="{00000000-0005-0000-0000-0000EE000000}"/>
    <cellStyle name="BottomLine 3 5" xfId="405" xr:uid="{00000000-0005-0000-0000-0000EF000000}"/>
    <cellStyle name="BottomLine 3 6" xfId="406" xr:uid="{00000000-0005-0000-0000-0000F0000000}"/>
    <cellStyle name="BottomLine 3 7" xfId="407" xr:uid="{00000000-0005-0000-0000-0000F1000000}"/>
    <cellStyle name="BottomLine 4" xfId="408" xr:uid="{00000000-0005-0000-0000-0000F2000000}"/>
    <cellStyle name="BottomLine 4 2" xfId="409" xr:uid="{00000000-0005-0000-0000-0000F3000000}"/>
    <cellStyle name="BottomLine 4 2 2" xfId="410" xr:uid="{00000000-0005-0000-0000-0000F4000000}"/>
    <cellStyle name="BottomLine 4 2 3" xfId="411" xr:uid="{00000000-0005-0000-0000-0000F5000000}"/>
    <cellStyle name="BottomLine 4 3" xfId="412" xr:uid="{00000000-0005-0000-0000-0000F6000000}"/>
    <cellStyle name="BottomLine 4 3 2" xfId="413" xr:uid="{00000000-0005-0000-0000-0000F7000000}"/>
    <cellStyle name="BottomLine 4 3 3" xfId="414" xr:uid="{00000000-0005-0000-0000-0000F8000000}"/>
    <cellStyle name="BottomLine 4 4" xfId="415" xr:uid="{00000000-0005-0000-0000-0000F9000000}"/>
    <cellStyle name="BottomLine 4 4 2" xfId="416" xr:uid="{00000000-0005-0000-0000-0000FA000000}"/>
    <cellStyle name="BottomLine 4 4 3" xfId="417" xr:uid="{00000000-0005-0000-0000-0000FB000000}"/>
    <cellStyle name="BottomLine 4 5" xfId="418" xr:uid="{00000000-0005-0000-0000-0000FC000000}"/>
    <cellStyle name="BottomLine 4 6" xfId="419" xr:uid="{00000000-0005-0000-0000-0000FD000000}"/>
    <cellStyle name="BottomLine 4 7" xfId="420" xr:uid="{00000000-0005-0000-0000-0000FE000000}"/>
    <cellStyle name="BottomLine 5" xfId="421" xr:uid="{00000000-0005-0000-0000-0000FF000000}"/>
    <cellStyle name="BottomLine 5 2" xfId="422" xr:uid="{00000000-0005-0000-0000-000000010000}"/>
    <cellStyle name="BottomLine 5 2 2" xfId="423" xr:uid="{00000000-0005-0000-0000-000001010000}"/>
    <cellStyle name="BottomLine 5 2 3" xfId="424" xr:uid="{00000000-0005-0000-0000-000002010000}"/>
    <cellStyle name="BottomLine 5 3" xfId="425" xr:uid="{00000000-0005-0000-0000-000003010000}"/>
    <cellStyle name="BottomLine 5 3 2" xfId="426" xr:uid="{00000000-0005-0000-0000-000004010000}"/>
    <cellStyle name="BottomLine 5 3 3" xfId="427" xr:uid="{00000000-0005-0000-0000-000005010000}"/>
    <cellStyle name="BottomLine 5 4" xfId="428" xr:uid="{00000000-0005-0000-0000-000006010000}"/>
    <cellStyle name="BottomLine 5 5" xfId="429" xr:uid="{00000000-0005-0000-0000-000007010000}"/>
    <cellStyle name="BottomLine 5 6" xfId="430" xr:uid="{00000000-0005-0000-0000-000008010000}"/>
    <cellStyle name="BottomLine 6" xfId="431" xr:uid="{00000000-0005-0000-0000-000009010000}"/>
    <cellStyle name="BottomLine 6 2" xfId="432" xr:uid="{00000000-0005-0000-0000-00000A010000}"/>
    <cellStyle name="BottomLine 6 2 2" xfId="433" xr:uid="{00000000-0005-0000-0000-00000B010000}"/>
    <cellStyle name="BottomLine 6 2 3" xfId="434" xr:uid="{00000000-0005-0000-0000-00000C010000}"/>
    <cellStyle name="BottomLine 6 3" xfId="435" xr:uid="{00000000-0005-0000-0000-00000D010000}"/>
    <cellStyle name="BottomLine 6 3 2" xfId="436" xr:uid="{00000000-0005-0000-0000-00000E010000}"/>
    <cellStyle name="BottomLine 6 3 3" xfId="437" xr:uid="{00000000-0005-0000-0000-00000F010000}"/>
    <cellStyle name="BottomLine 6 4" xfId="438" xr:uid="{00000000-0005-0000-0000-000010010000}"/>
    <cellStyle name="BottomLine 6 5" xfId="439" xr:uid="{00000000-0005-0000-0000-000011010000}"/>
    <cellStyle name="BottomLine 6 6" xfId="440" xr:uid="{00000000-0005-0000-0000-000012010000}"/>
    <cellStyle name="BottomLine 7" xfId="441" xr:uid="{00000000-0005-0000-0000-000013010000}"/>
    <cellStyle name="BottomLine 7 2" xfId="442" xr:uid="{00000000-0005-0000-0000-000014010000}"/>
    <cellStyle name="BottomLine 7 3" xfId="443" xr:uid="{00000000-0005-0000-0000-000015010000}"/>
    <cellStyle name="BottomLine 8" xfId="444" xr:uid="{00000000-0005-0000-0000-000016010000}"/>
    <cellStyle name="BottomLine 8 2" xfId="445" xr:uid="{00000000-0005-0000-0000-000017010000}"/>
    <cellStyle name="BottomLine 8 3" xfId="446" xr:uid="{00000000-0005-0000-0000-000018010000}"/>
    <cellStyle name="BottomLine 9" xfId="447" xr:uid="{00000000-0005-0000-0000-000019010000}"/>
    <cellStyle name="BtmLin - Style4" xfId="448" xr:uid="{00000000-0005-0000-0000-00001A010000}"/>
    <cellStyle name="BtmLin - Style4 10" xfId="449" xr:uid="{00000000-0005-0000-0000-00001B010000}"/>
    <cellStyle name="BtmLin - Style4 11" xfId="450" xr:uid="{00000000-0005-0000-0000-00001C010000}"/>
    <cellStyle name="BtmLin - Style4 2" xfId="451" xr:uid="{00000000-0005-0000-0000-00001D010000}"/>
    <cellStyle name="BtmLin - Style4 2 2" xfId="452" xr:uid="{00000000-0005-0000-0000-00001E010000}"/>
    <cellStyle name="BtmLin - Style4 2 2 2" xfId="453" xr:uid="{00000000-0005-0000-0000-00001F010000}"/>
    <cellStyle name="BtmLin - Style4 2 2 3" xfId="454" xr:uid="{00000000-0005-0000-0000-000020010000}"/>
    <cellStyle name="BtmLin - Style4 2 3" xfId="455" xr:uid="{00000000-0005-0000-0000-000021010000}"/>
    <cellStyle name="BtmLin - Style4 2 3 2" xfId="456" xr:uid="{00000000-0005-0000-0000-000022010000}"/>
    <cellStyle name="BtmLin - Style4 2 3 3" xfId="457" xr:uid="{00000000-0005-0000-0000-000023010000}"/>
    <cellStyle name="BtmLin - Style4 2 4" xfId="458" xr:uid="{00000000-0005-0000-0000-000024010000}"/>
    <cellStyle name="BtmLin - Style4 2 4 2" xfId="459" xr:uid="{00000000-0005-0000-0000-000025010000}"/>
    <cellStyle name="BtmLin - Style4 2 4 3" xfId="460" xr:uid="{00000000-0005-0000-0000-000026010000}"/>
    <cellStyle name="BtmLin - Style4 2 5" xfId="461" xr:uid="{00000000-0005-0000-0000-000027010000}"/>
    <cellStyle name="BtmLin - Style4 2 6" xfId="462" xr:uid="{00000000-0005-0000-0000-000028010000}"/>
    <cellStyle name="BtmLin - Style4 2 7" xfId="463" xr:uid="{00000000-0005-0000-0000-000029010000}"/>
    <cellStyle name="BtmLin - Style4 3" xfId="464" xr:uid="{00000000-0005-0000-0000-00002A010000}"/>
    <cellStyle name="BtmLin - Style4 3 2" xfId="465" xr:uid="{00000000-0005-0000-0000-00002B010000}"/>
    <cellStyle name="BtmLin - Style4 3 2 2" xfId="466" xr:uid="{00000000-0005-0000-0000-00002C010000}"/>
    <cellStyle name="BtmLin - Style4 3 2 3" xfId="467" xr:uid="{00000000-0005-0000-0000-00002D010000}"/>
    <cellStyle name="BtmLin - Style4 3 3" xfId="468" xr:uid="{00000000-0005-0000-0000-00002E010000}"/>
    <cellStyle name="BtmLin - Style4 3 3 2" xfId="469" xr:uid="{00000000-0005-0000-0000-00002F010000}"/>
    <cellStyle name="BtmLin - Style4 3 3 3" xfId="470" xr:uid="{00000000-0005-0000-0000-000030010000}"/>
    <cellStyle name="BtmLin - Style4 3 4" xfId="471" xr:uid="{00000000-0005-0000-0000-000031010000}"/>
    <cellStyle name="BtmLin - Style4 3 4 2" xfId="472" xr:uid="{00000000-0005-0000-0000-000032010000}"/>
    <cellStyle name="BtmLin - Style4 3 4 3" xfId="473" xr:uid="{00000000-0005-0000-0000-000033010000}"/>
    <cellStyle name="BtmLin - Style4 3 5" xfId="474" xr:uid="{00000000-0005-0000-0000-000034010000}"/>
    <cellStyle name="BtmLin - Style4 3 6" xfId="475" xr:uid="{00000000-0005-0000-0000-000035010000}"/>
    <cellStyle name="BtmLin - Style4 3 7" xfId="476" xr:uid="{00000000-0005-0000-0000-000036010000}"/>
    <cellStyle name="BtmLin - Style4 4" xfId="477" xr:uid="{00000000-0005-0000-0000-000037010000}"/>
    <cellStyle name="BtmLin - Style4 4 2" xfId="478" xr:uid="{00000000-0005-0000-0000-000038010000}"/>
    <cellStyle name="BtmLin - Style4 4 2 2" xfId="479" xr:uid="{00000000-0005-0000-0000-000039010000}"/>
    <cellStyle name="BtmLin - Style4 4 2 3" xfId="480" xr:uid="{00000000-0005-0000-0000-00003A010000}"/>
    <cellStyle name="BtmLin - Style4 4 3" xfId="481" xr:uid="{00000000-0005-0000-0000-00003B010000}"/>
    <cellStyle name="BtmLin - Style4 4 3 2" xfId="482" xr:uid="{00000000-0005-0000-0000-00003C010000}"/>
    <cellStyle name="BtmLin - Style4 4 3 3" xfId="483" xr:uid="{00000000-0005-0000-0000-00003D010000}"/>
    <cellStyle name="BtmLin - Style4 4 4" xfId="484" xr:uid="{00000000-0005-0000-0000-00003E010000}"/>
    <cellStyle name="BtmLin - Style4 4 4 2" xfId="485" xr:uid="{00000000-0005-0000-0000-00003F010000}"/>
    <cellStyle name="BtmLin - Style4 4 4 3" xfId="486" xr:uid="{00000000-0005-0000-0000-000040010000}"/>
    <cellStyle name="BtmLin - Style4 4 5" xfId="487" xr:uid="{00000000-0005-0000-0000-000041010000}"/>
    <cellStyle name="BtmLin - Style4 4 6" xfId="488" xr:uid="{00000000-0005-0000-0000-000042010000}"/>
    <cellStyle name="BtmLin - Style4 4 7" xfId="489" xr:uid="{00000000-0005-0000-0000-000043010000}"/>
    <cellStyle name="BtmLin - Style4 5" xfId="490" xr:uid="{00000000-0005-0000-0000-000044010000}"/>
    <cellStyle name="BtmLin - Style4 5 2" xfId="491" xr:uid="{00000000-0005-0000-0000-000045010000}"/>
    <cellStyle name="BtmLin - Style4 5 2 2" xfId="492" xr:uid="{00000000-0005-0000-0000-000046010000}"/>
    <cellStyle name="BtmLin - Style4 5 2 3" xfId="493" xr:uid="{00000000-0005-0000-0000-000047010000}"/>
    <cellStyle name="BtmLin - Style4 5 3" xfId="494" xr:uid="{00000000-0005-0000-0000-000048010000}"/>
    <cellStyle name="BtmLin - Style4 5 3 2" xfId="495" xr:uid="{00000000-0005-0000-0000-000049010000}"/>
    <cellStyle name="BtmLin - Style4 5 3 3" xfId="496" xr:uid="{00000000-0005-0000-0000-00004A010000}"/>
    <cellStyle name="BtmLin - Style4 5 4" xfId="497" xr:uid="{00000000-0005-0000-0000-00004B010000}"/>
    <cellStyle name="BtmLin - Style4 5 5" xfId="498" xr:uid="{00000000-0005-0000-0000-00004C010000}"/>
    <cellStyle name="BtmLin - Style4 5 6" xfId="499" xr:uid="{00000000-0005-0000-0000-00004D010000}"/>
    <cellStyle name="BtmLin - Style4 6" xfId="500" xr:uid="{00000000-0005-0000-0000-00004E010000}"/>
    <cellStyle name="BtmLin - Style4 6 2" xfId="501" xr:uid="{00000000-0005-0000-0000-00004F010000}"/>
    <cellStyle name="BtmLin - Style4 6 2 2" xfId="502" xr:uid="{00000000-0005-0000-0000-000050010000}"/>
    <cellStyle name="BtmLin - Style4 6 2 3" xfId="503" xr:uid="{00000000-0005-0000-0000-000051010000}"/>
    <cellStyle name="BtmLin - Style4 6 3" xfId="504" xr:uid="{00000000-0005-0000-0000-000052010000}"/>
    <cellStyle name="BtmLin - Style4 6 3 2" xfId="505" xr:uid="{00000000-0005-0000-0000-000053010000}"/>
    <cellStyle name="BtmLin - Style4 6 3 3" xfId="506" xr:uid="{00000000-0005-0000-0000-000054010000}"/>
    <cellStyle name="BtmLin - Style4 6 4" xfId="507" xr:uid="{00000000-0005-0000-0000-000055010000}"/>
    <cellStyle name="BtmLin - Style4 6 5" xfId="508" xr:uid="{00000000-0005-0000-0000-000056010000}"/>
    <cellStyle name="BtmLin - Style4 6 6" xfId="509" xr:uid="{00000000-0005-0000-0000-000057010000}"/>
    <cellStyle name="BtmLin - Style4 7" xfId="510" xr:uid="{00000000-0005-0000-0000-000058010000}"/>
    <cellStyle name="BtmLin - Style4 7 2" xfId="511" xr:uid="{00000000-0005-0000-0000-000059010000}"/>
    <cellStyle name="BtmLin - Style4 7 3" xfId="512" xr:uid="{00000000-0005-0000-0000-00005A010000}"/>
    <cellStyle name="BtmLin - Style4 8" xfId="513" xr:uid="{00000000-0005-0000-0000-00005B010000}"/>
    <cellStyle name="BtmLin - Style4 8 2" xfId="514" xr:uid="{00000000-0005-0000-0000-00005C010000}"/>
    <cellStyle name="BtmLin - Style4 8 3" xfId="515" xr:uid="{00000000-0005-0000-0000-00005D010000}"/>
    <cellStyle name="BtmLin - Style4 9" xfId="516" xr:uid="{00000000-0005-0000-0000-00005E010000}"/>
    <cellStyle name="BtmLin - Style5" xfId="517" xr:uid="{00000000-0005-0000-0000-00005F010000}"/>
    <cellStyle name="BtmLin - Style5 10" xfId="518" xr:uid="{00000000-0005-0000-0000-000060010000}"/>
    <cellStyle name="BtmLin - Style5 11" xfId="519" xr:uid="{00000000-0005-0000-0000-000061010000}"/>
    <cellStyle name="BtmLin - Style5 2" xfId="520" xr:uid="{00000000-0005-0000-0000-000062010000}"/>
    <cellStyle name="BtmLin - Style5 2 2" xfId="521" xr:uid="{00000000-0005-0000-0000-000063010000}"/>
    <cellStyle name="BtmLin - Style5 2 2 2" xfId="522" xr:uid="{00000000-0005-0000-0000-000064010000}"/>
    <cellStyle name="BtmLin - Style5 2 2 3" xfId="523" xr:uid="{00000000-0005-0000-0000-000065010000}"/>
    <cellStyle name="BtmLin - Style5 2 3" xfId="524" xr:uid="{00000000-0005-0000-0000-000066010000}"/>
    <cellStyle name="BtmLin - Style5 2 3 2" xfId="525" xr:uid="{00000000-0005-0000-0000-000067010000}"/>
    <cellStyle name="BtmLin - Style5 2 3 3" xfId="526" xr:uid="{00000000-0005-0000-0000-000068010000}"/>
    <cellStyle name="BtmLin - Style5 2 4" xfId="527" xr:uid="{00000000-0005-0000-0000-000069010000}"/>
    <cellStyle name="BtmLin - Style5 2 4 2" xfId="528" xr:uid="{00000000-0005-0000-0000-00006A010000}"/>
    <cellStyle name="BtmLin - Style5 2 4 3" xfId="529" xr:uid="{00000000-0005-0000-0000-00006B010000}"/>
    <cellStyle name="BtmLin - Style5 2 5" xfId="530" xr:uid="{00000000-0005-0000-0000-00006C010000}"/>
    <cellStyle name="BtmLin - Style5 2 6" xfId="531" xr:uid="{00000000-0005-0000-0000-00006D010000}"/>
    <cellStyle name="BtmLin - Style5 2 7" xfId="532" xr:uid="{00000000-0005-0000-0000-00006E010000}"/>
    <cellStyle name="BtmLin - Style5 3" xfId="533" xr:uid="{00000000-0005-0000-0000-00006F010000}"/>
    <cellStyle name="BtmLin - Style5 3 2" xfId="534" xr:uid="{00000000-0005-0000-0000-000070010000}"/>
    <cellStyle name="BtmLin - Style5 3 2 2" xfId="535" xr:uid="{00000000-0005-0000-0000-000071010000}"/>
    <cellStyle name="BtmLin - Style5 3 2 3" xfId="536" xr:uid="{00000000-0005-0000-0000-000072010000}"/>
    <cellStyle name="BtmLin - Style5 3 3" xfId="537" xr:uid="{00000000-0005-0000-0000-000073010000}"/>
    <cellStyle name="BtmLin - Style5 3 3 2" xfId="538" xr:uid="{00000000-0005-0000-0000-000074010000}"/>
    <cellStyle name="BtmLin - Style5 3 3 3" xfId="539" xr:uid="{00000000-0005-0000-0000-000075010000}"/>
    <cellStyle name="BtmLin - Style5 3 4" xfId="540" xr:uid="{00000000-0005-0000-0000-000076010000}"/>
    <cellStyle name="BtmLin - Style5 3 4 2" xfId="541" xr:uid="{00000000-0005-0000-0000-000077010000}"/>
    <cellStyle name="BtmLin - Style5 3 4 3" xfId="542" xr:uid="{00000000-0005-0000-0000-000078010000}"/>
    <cellStyle name="BtmLin - Style5 3 5" xfId="543" xr:uid="{00000000-0005-0000-0000-000079010000}"/>
    <cellStyle name="BtmLin - Style5 3 6" xfId="544" xr:uid="{00000000-0005-0000-0000-00007A010000}"/>
    <cellStyle name="BtmLin - Style5 3 7" xfId="545" xr:uid="{00000000-0005-0000-0000-00007B010000}"/>
    <cellStyle name="BtmLin - Style5 4" xfId="546" xr:uid="{00000000-0005-0000-0000-00007C010000}"/>
    <cellStyle name="BtmLin - Style5 4 2" xfId="547" xr:uid="{00000000-0005-0000-0000-00007D010000}"/>
    <cellStyle name="BtmLin - Style5 4 2 2" xfId="548" xr:uid="{00000000-0005-0000-0000-00007E010000}"/>
    <cellStyle name="BtmLin - Style5 4 2 3" xfId="549" xr:uid="{00000000-0005-0000-0000-00007F010000}"/>
    <cellStyle name="BtmLin - Style5 4 3" xfId="550" xr:uid="{00000000-0005-0000-0000-000080010000}"/>
    <cellStyle name="BtmLin - Style5 4 3 2" xfId="551" xr:uid="{00000000-0005-0000-0000-000081010000}"/>
    <cellStyle name="BtmLin - Style5 4 3 3" xfId="552" xr:uid="{00000000-0005-0000-0000-000082010000}"/>
    <cellStyle name="BtmLin - Style5 4 4" xfId="553" xr:uid="{00000000-0005-0000-0000-000083010000}"/>
    <cellStyle name="BtmLin - Style5 4 4 2" xfId="554" xr:uid="{00000000-0005-0000-0000-000084010000}"/>
    <cellStyle name="BtmLin - Style5 4 4 3" xfId="555" xr:uid="{00000000-0005-0000-0000-000085010000}"/>
    <cellStyle name="BtmLin - Style5 4 5" xfId="556" xr:uid="{00000000-0005-0000-0000-000086010000}"/>
    <cellStyle name="BtmLin - Style5 4 6" xfId="557" xr:uid="{00000000-0005-0000-0000-000087010000}"/>
    <cellStyle name="BtmLin - Style5 4 7" xfId="558" xr:uid="{00000000-0005-0000-0000-000088010000}"/>
    <cellStyle name="BtmLin - Style5 5" xfId="559" xr:uid="{00000000-0005-0000-0000-000089010000}"/>
    <cellStyle name="BtmLin - Style5 5 2" xfId="560" xr:uid="{00000000-0005-0000-0000-00008A010000}"/>
    <cellStyle name="BtmLin - Style5 5 2 2" xfId="561" xr:uid="{00000000-0005-0000-0000-00008B010000}"/>
    <cellStyle name="BtmLin - Style5 5 2 3" xfId="562" xr:uid="{00000000-0005-0000-0000-00008C010000}"/>
    <cellStyle name="BtmLin - Style5 5 3" xfId="563" xr:uid="{00000000-0005-0000-0000-00008D010000}"/>
    <cellStyle name="BtmLin - Style5 5 3 2" xfId="564" xr:uid="{00000000-0005-0000-0000-00008E010000}"/>
    <cellStyle name="BtmLin - Style5 5 3 3" xfId="565" xr:uid="{00000000-0005-0000-0000-00008F010000}"/>
    <cellStyle name="BtmLin - Style5 5 4" xfId="566" xr:uid="{00000000-0005-0000-0000-000090010000}"/>
    <cellStyle name="BtmLin - Style5 5 5" xfId="567" xr:uid="{00000000-0005-0000-0000-000091010000}"/>
    <cellStyle name="BtmLin - Style5 5 6" xfId="568" xr:uid="{00000000-0005-0000-0000-000092010000}"/>
    <cellStyle name="BtmLin - Style5 6" xfId="569" xr:uid="{00000000-0005-0000-0000-000093010000}"/>
    <cellStyle name="BtmLin - Style5 6 2" xfId="570" xr:uid="{00000000-0005-0000-0000-000094010000}"/>
    <cellStyle name="BtmLin - Style5 6 2 2" xfId="571" xr:uid="{00000000-0005-0000-0000-000095010000}"/>
    <cellStyle name="BtmLin - Style5 6 2 3" xfId="572" xr:uid="{00000000-0005-0000-0000-000096010000}"/>
    <cellStyle name="BtmLin - Style5 6 3" xfId="573" xr:uid="{00000000-0005-0000-0000-000097010000}"/>
    <cellStyle name="BtmLin - Style5 6 3 2" xfId="574" xr:uid="{00000000-0005-0000-0000-000098010000}"/>
    <cellStyle name="BtmLin - Style5 6 3 3" xfId="575" xr:uid="{00000000-0005-0000-0000-000099010000}"/>
    <cellStyle name="BtmLin - Style5 6 4" xfId="576" xr:uid="{00000000-0005-0000-0000-00009A010000}"/>
    <cellStyle name="BtmLin - Style5 6 5" xfId="577" xr:uid="{00000000-0005-0000-0000-00009B010000}"/>
    <cellStyle name="BtmLin - Style5 6 6" xfId="578" xr:uid="{00000000-0005-0000-0000-00009C010000}"/>
    <cellStyle name="BtmLin - Style5 7" xfId="579" xr:uid="{00000000-0005-0000-0000-00009D010000}"/>
    <cellStyle name="BtmLin - Style5 7 2" xfId="580" xr:uid="{00000000-0005-0000-0000-00009E010000}"/>
    <cellStyle name="BtmLin - Style5 7 3" xfId="581" xr:uid="{00000000-0005-0000-0000-00009F010000}"/>
    <cellStyle name="BtmLin - Style5 8" xfId="582" xr:uid="{00000000-0005-0000-0000-0000A0010000}"/>
    <cellStyle name="BtmLin - Style5 8 2" xfId="583" xr:uid="{00000000-0005-0000-0000-0000A1010000}"/>
    <cellStyle name="BtmLin - Style5 8 3" xfId="584" xr:uid="{00000000-0005-0000-0000-0000A2010000}"/>
    <cellStyle name="BtmLin - Style5 9" xfId="585" xr:uid="{00000000-0005-0000-0000-0000A3010000}"/>
    <cellStyle name="BtmLine" xfId="586" xr:uid="{00000000-0005-0000-0000-0000A4010000}"/>
    <cellStyle name="BtmLine 10" xfId="587" xr:uid="{00000000-0005-0000-0000-0000A5010000}"/>
    <cellStyle name="BtmLine 11" xfId="588" xr:uid="{00000000-0005-0000-0000-0000A6010000}"/>
    <cellStyle name="BtmLine 2" xfId="589" xr:uid="{00000000-0005-0000-0000-0000A7010000}"/>
    <cellStyle name="BtmLine 2 2" xfId="590" xr:uid="{00000000-0005-0000-0000-0000A8010000}"/>
    <cellStyle name="BtmLine 2 2 2" xfId="591" xr:uid="{00000000-0005-0000-0000-0000A9010000}"/>
    <cellStyle name="BtmLine 2 2 3" xfId="592" xr:uid="{00000000-0005-0000-0000-0000AA010000}"/>
    <cellStyle name="BtmLine 2 3" xfId="593" xr:uid="{00000000-0005-0000-0000-0000AB010000}"/>
    <cellStyle name="BtmLine 2 3 2" xfId="594" xr:uid="{00000000-0005-0000-0000-0000AC010000}"/>
    <cellStyle name="BtmLine 2 3 3" xfId="595" xr:uid="{00000000-0005-0000-0000-0000AD010000}"/>
    <cellStyle name="BtmLine 2 4" xfId="596" xr:uid="{00000000-0005-0000-0000-0000AE010000}"/>
    <cellStyle name="BtmLine 2 4 2" xfId="597" xr:uid="{00000000-0005-0000-0000-0000AF010000}"/>
    <cellStyle name="BtmLine 2 4 3" xfId="598" xr:uid="{00000000-0005-0000-0000-0000B0010000}"/>
    <cellStyle name="BtmLine 2 5" xfId="599" xr:uid="{00000000-0005-0000-0000-0000B1010000}"/>
    <cellStyle name="BtmLine 2 6" xfId="600" xr:uid="{00000000-0005-0000-0000-0000B2010000}"/>
    <cellStyle name="BtmLine 2 7" xfId="601" xr:uid="{00000000-0005-0000-0000-0000B3010000}"/>
    <cellStyle name="BtmLine 3" xfId="602" xr:uid="{00000000-0005-0000-0000-0000B4010000}"/>
    <cellStyle name="BtmLine 3 2" xfId="603" xr:uid="{00000000-0005-0000-0000-0000B5010000}"/>
    <cellStyle name="BtmLine 3 2 2" xfId="604" xr:uid="{00000000-0005-0000-0000-0000B6010000}"/>
    <cellStyle name="BtmLine 3 2 3" xfId="605" xr:uid="{00000000-0005-0000-0000-0000B7010000}"/>
    <cellStyle name="BtmLine 3 3" xfId="606" xr:uid="{00000000-0005-0000-0000-0000B8010000}"/>
    <cellStyle name="BtmLine 3 3 2" xfId="607" xr:uid="{00000000-0005-0000-0000-0000B9010000}"/>
    <cellStyle name="BtmLine 3 3 3" xfId="608" xr:uid="{00000000-0005-0000-0000-0000BA010000}"/>
    <cellStyle name="BtmLine 3 4" xfId="609" xr:uid="{00000000-0005-0000-0000-0000BB010000}"/>
    <cellStyle name="BtmLine 3 4 2" xfId="610" xr:uid="{00000000-0005-0000-0000-0000BC010000}"/>
    <cellStyle name="BtmLine 3 4 3" xfId="611" xr:uid="{00000000-0005-0000-0000-0000BD010000}"/>
    <cellStyle name="BtmLine 3 5" xfId="612" xr:uid="{00000000-0005-0000-0000-0000BE010000}"/>
    <cellStyle name="BtmLine 3 6" xfId="613" xr:uid="{00000000-0005-0000-0000-0000BF010000}"/>
    <cellStyle name="BtmLine 3 7" xfId="614" xr:uid="{00000000-0005-0000-0000-0000C0010000}"/>
    <cellStyle name="BtmLine 4" xfId="615" xr:uid="{00000000-0005-0000-0000-0000C1010000}"/>
    <cellStyle name="BtmLine 4 2" xfId="616" xr:uid="{00000000-0005-0000-0000-0000C2010000}"/>
    <cellStyle name="BtmLine 4 2 2" xfId="617" xr:uid="{00000000-0005-0000-0000-0000C3010000}"/>
    <cellStyle name="BtmLine 4 2 3" xfId="618" xr:uid="{00000000-0005-0000-0000-0000C4010000}"/>
    <cellStyle name="BtmLine 4 3" xfId="619" xr:uid="{00000000-0005-0000-0000-0000C5010000}"/>
    <cellStyle name="BtmLine 4 3 2" xfId="620" xr:uid="{00000000-0005-0000-0000-0000C6010000}"/>
    <cellStyle name="BtmLine 4 3 3" xfId="621" xr:uid="{00000000-0005-0000-0000-0000C7010000}"/>
    <cellStyle name="BtmLine 4 4" xfId="622" xr:uid="{00000000-0005-0000-0000-0000C8010000}"/>
    <cellStyle name="BtmLine 4 4 2" xfId="623" xr:uid="{00000000-0005-0000-0000-0000C9010000}"/>
    <cellStyle name="BtmLine 4 4 3" xfId="624" xr:uid="{00000000-0005-0000-0000-0000CA010000}"/>
    <cellStyle name="BtmLine 4 5" xfId="625" xr:uid="{00000000-0005-0000-0000-0000CB010000}"/>
    <cellStyle name="BtmLine 4 6" xfId="626" xr:uid="{00000000-0005-0000-0000-0000CC010000}"/>
    <cellStyle name="BtmLine 4 7" xfId="627" xr:uid="{00000000-0005-0000-0000-0000CD010000}"/>
    <cellStyle name="BtmLine 5" xfId="628" xr:uid="{00000000-0005-0000-0000-0000CE010000}"/>
    <cellStyle name="BtmLine 5 2" xfId="629" xr:uid="{00000000-0005-0000-0000-0000CF010000}"/>
    <cellStyle name="BtmLine 5 2 2" xfId="630" xr:uid="{00000000-0005-0000-0000-0000D0010000}"/>
    <cellStyle name="BtmLine 5 2 3" xfId="631" xr:uid="{00000000-0005-0000-0000-0000D1010000}"/>
    <cellStyle name="BtmLine 5 3" xfId="632" xr:uid="{00000000-0005-0000-0000-0000D2010000}"/>
    <cellStyle name="BtmLine 5 3 2" xfId="633" xr:uid="{00000000-0005-0000-0000-0000D3010000}"/>
    <cellStyle name="BtmLine 5 3 3" xfId="634" xr:uid="{00000000-0005-0000-0000-0000D4010000}"/>
    <cellStyle name="BtmLine 5 4" xfId="635" xr:uid="{00000000-0005-0000-0000-0000D5010000}"/>
    <cellStyle name="BtmLine 5 5" xfId="636" xr:uid="{00000000-0005-0000-0000-0000D6010000}"/>
    <cellStyle name="BtmLine 5 6" xfId="637" xr:uid="{00000000-0005-0000-0000-0000D7010000}"/>
    <cellStyle name="BtmLine 6" xfId="638" xr:uid="{00000000-0005-0000-0000-0000D8010000}"/>
    <cellStyle name="BtmLine 6 2" xfId="639" xr:uid="{00000000-0005-0000-0000-0000D9010000}"/>
    <cellStyle name="BtmLine 6 2 2" xfId="640" xr:uid="{00000000-0005-0000-0000-0000DA010000}"/>
    <cellStyle name="BtmLine 6 2 3" xfId="641" xr:uid="{00000000-0005-0000-0000-0000DB010000}"/>
    <cellStyle name="BtmLine 6 3" xfId="642" xr:uid="{00000000-0005-0000-0000-0000DC010000}"/>
    <cellStyle name="BtmLine 6 3 2" xfId="643" xr:uid="{00000000-0005-0000-0000-0000DD010000}"/>
    <cellStyle name="BtmLine 6 3 3" xfId="644" xr:uid="{00000000-0005-0000-0000-0000DE010000}"/>
    <cellStyle name="BtmLine 6 4" xfId="645" xr:uid="{00000000-0005-0000-0000-0000DF010000}"/>
    <cellStyle name="BtmLine 6 5" xfId="646" xr:uid="{00000000-0005-0000-0000-0000E0010000}"/>
    <cellStyle name="BtmLine 6 6" xfId="647" xr:uid="{00000000-0005-0000-0000-0000E1010000}"/>
    <cellStyle name="BtmLine 7" xfId="648" xr:uid="{00000000-0005-0000-0000-0000E2010000}"/>
    <cellStyle name="BtmLine 7 2" xfId="649" xr:uid="{00000000-0005-0000-0000-0000E3010000}"/>
    <cellStyle name="BtmLine 7 3" xfId="650" xr:uid="{00000000-0005-0000-0000-0000E4010000}"/>
    <cellStyle name="BtmLine 8" xfId="651" xr:uid="{00000000-0005-0000-0000-0000E5010000}"/>
    <cellStyle name="BtmLine 8 2" xfId="652" xr:uid="{00000000-0005-0000-0000-0000E6010000}"/>
    <cellStyle name="BtmLine 8 3" xfId="653" xr:uid="{00000000-0005-0000-0000-0000E7010000}"/>
    <cellStyle name="BtmLine 9" xfId="654" xr:uid="{00000000-0005-0000-0000-0000E8010000}"/>
    <cellStyle name="Calc Currency (0)" xfId="655" xr:uid="{00000000-0005-0000-0000-0000E9010000}"/>
    <cellStyle name="Calculation" xfId="10481" builtinId="22" customBuiltin="1"/>
    <cellStyle name="Calculation 2" xfId="656" xr:uid="{00000000-0005-0000-0000-0000EB010000}"/>
    <cellStyle name="Check Cell" xfId="10483" builtinId="23" customBuiltin="1"/>
    <cellStyle name="Check Cell 2" xfId="657" xr:uid="{00000000-0005-0000-0000-0000ED010000}"/>
    <cellStyle name="Col Heads" xfId="658" xr:uid="{00000000-0005-0000-0000-0000EE010000}"/>
    <cellStyle name="Col Heads 2" xfId="659" xr:uid="{00000000-0005-0000-0000-0000EF010000}"/>
    <cellStyle name="Col Heads 3" xfId="12667" xr:uid="{00000000-0005-0000-0000-0000F0010000}"/>
    <cellStyle name="Col_labels" xfId="660" xr:uid="{00000000-0005-0000-0000-0000F1010000}"/>
    <cellStyle name="Comma" xfId="20888" builtinId="3"/>
    <cellStyle name="Comma  - Style1" xfId="661" xr:uid="{00000000-0005-0000-0000-0000F3010000}"/>
    <cellStyle name="Comma  - Style1 2" xfId="662" xr:uid="{00000000-0005-0000-0000-0000F4010000}"/>
    <cellStyle name="Comma  - Style1 2 2" xfId="663" xr:uid="{00000000-0005-0000-0000-0000F5010000}"/>
    <cellStyle name="Comma  - Style1 2 3" xfId="664" xr:uid="{00000000-0005-0000-0000-0000F6010000}"/>
    <cellStyle name="Comma  - Style1 2 4" xfId="665" xr:uid="{00000000-0005-0000-0000-0000F7010000}"/>
    <cellStyle name="Comma  - Style1 3" xfId="666" xr:uid="{00000000-0005-0000-0000-0000F8010000}"/>
    <cellStyle name="Comma  - Style1 4" xfId="667" xr:uid="{00000000-0005-0000-0000-0000F9010000}"/>
    <cellStyle name="Comma 10" xfId="668" xr:uid="{00000000-0005-0000-0000-0000FA010000}"/>
    <cellStyle name="Comma 11" xfId="12152" xr:uid="{00000000-0005-0000-0000-0000FB010000}"/>
    <cellStyle name="Comma 12" xfId="12159" xr:uid="{00000000-0005-0000-0000-0000FC010000}"/>
    <cellStyle name="Comma 2" xfId="4" xr:uid="{00000000-0005-0000-0000-0000FD010000}"/>
    <cellStyle name="Comma 2 10" xfId="10724" xr:uid="{00000000-0005-0000-0000-0000FE010000}"/>
    <cellStyle name="Comma 2 11" xfId="10725" xr:uid="{00000000-0005-0000-0000-0000FF010000}"/>
    <cellStyle name="Comma 2 12" xfId="10726" xr:uid="{00000000-0005-0000-0000-000000020000}"/>
    <cellStyle name="Comma 2 13" xfId="10727" xr:uid="{00000000-0005-0000-0000-000001020000}"/>
    <cellStyle name="Comma 2 14" xfId="10728" xr:uid="{00000000-0005-0000-0000-000002020000}"/>
    <cellStyle name="Comma 2 15" xfId="10729" xr:uid="{00000000-0005-0000-0000-000003020000}"/>
    <cellStyle name="Comma 2 16" xfId="10730" xr:uid="{00000000-0005-0000-0000-000004020000}"/>
    <cellStyle name="Comma 2 2" xfId="5" xr:uid="{00000000-0005-0000-0000-000005020000}"/>
    <cellStyle name="Comma 2 2 2" xfId="669" xr:uid="{00000000-0005-0000-0000-000006020000}"/>
    <cellStyle name="Comma 2 2 2 2" xfId="670" xr:uid="{00000000-0005-0000-0000-000007020000}"/>
    <cellStyle name="Comma 2 2 2 3" xfId="671" xr:uid="{00000000-0005-0000-0000-000008020000}"/>
    <cellStyle name="Comma 2 2 3" xfId="672" xr:uid="{00000000-0005-0000-0000-000009020000}"/>
    <cellStyle name="Comma 2 2 4" xfId="673" xr:uid="{00000000-0005-0000-0000-00000A020000}"/>
    <cellStyle name="Comma 2 3" xfId="674" xr:uid="{00000000-0005-0000-0000-00000B020000}"/>
    <cellStyle name="Comma 2 3 2" xfId="675" xr:uid="{00000000-0005-0000-0000-00000C020000}"/>
    <cellStyle name="Comma 2 3 3" xfId="676" xr:uid="{00000000-0005-0000-0000-00000D020000}"/>
    <cellStyle name="Comma 2 4" xfId="677" xr:uid="{00000000-0005-0000-0000-00000E020000}"/>
    <cellStyle name="Comma 2 4 2" xfId="678" xr:uid="{00000000-0005-0000-0000-00000F020000}"/>
    <cellStyle name="Comma 2 4 3" xfId="679" xr:uid="{00000000-0005-0000-0000-000010020000}"/>
    <cellStyle name="Comma 2 5" xfId="680" xr:uid="{00000000-0005-0000-0000-000011020000}"/>
    <cellStyle name="Comma 2 6" xfId="681" xr:uid="{00000000-0005-0000-0000-000012020000}"/>
    <cellStyle name="Comma 2 7" xfId="10731" xr:uid="{00000000-0005-0000-0000-000013020000}"/>
    <cellStyle name="Comma 2 8" xfId="10732" xr:uid="{00000000-0005-0000-0000-000014020000}"/>
    <cellStyle name="Comma 2 9" xfId="10733" xr:uid="{00000000-0005-0000-0000-000015020000}"/>
    <cellStyle name="Comma 2_EIQGORDON2009" xfId="682" xr:uid="{00000000-0005-0000-0000-000016020000}"/>
    <cellStyle name="Comma 3" xfId="6" xr:uid="{00000000-0005-0000-0000-000017020000}"/>
    <cellStyle name="Comma 3 2" xfId="683" xr:uid="{00000000-0005-0000-0000-000018020000}"/>
    <cellStyle name="Comma 3 2 2" xfId="684" xr:uid="{00000000-0005-0000-0000-000019020000}"/>
    <cellStyle name="Comma 3 2 2 2" xfId="685" xr:uid="{00000000-0005-0000-0000-00001A020000}"/>
    <cellStyle name="Comma 3 2 2 3" xfId="686" xr:uid="{00000000-0005-0000-0000-00001B020000}"/>
    <cellStyle name="Comma 3 2 3" xfId="687" xr:uid="{00000000-0005-0000-0000-00001C020000}"/>
    <cellStyle name="Comma 3 2 4" xfId="688" xr:uid="{00000000-0005-0000-0000-00001D020000}"/>
    <cellStyle name="Comma 3 3" xfId="689" xr:uid="{00000000-0005-0000-0000-00001E020000}"/>
    <cellStyle name="Comma 3 3 2" xfId="690" xr:uid="{00000000-0005-0000-0000-00001F020000}"/>
    <cellStyle name="Comma 3 3 3" xfId="691" xr:uid="{00000000-0005-0000-0000-000020020000}"/>
    <cellStyle name="Comma 3 4" xfId="692" xr:uid="{00000000-0005-0000-0000-000021020000}"/>
    <cellStyle name="Comma 3 5" xfId="693" xr:uid="{00000000-0005-0000-0000-000022020000}"/>
    <cellStyle name="Comma 4" xfId="7" xr:uid="{00000000-0005-0000-0000-000023020000}"/>
    <cellStyle name="Comma 4 2" xfId="8" xr:uid="{00000000-0005-0000-0000-000024020000}"/>
    <cellStyle name="Comma 4 2 2" xfId="694" xr:uid="{00000000-0005-0000-0000-000025020000}"/>
    <cellStyle name="Comma 4 2 3" xfId="695" xr:uid="{00000000-0005-0000-0000-000026020000}"/>
    <cellStyle name="Comma 4 3" xfId="9" xr:uid="{00000000-0005-0000-0000-000027020000}"/>
    <cellStyle name="Comma 4 4" xfId="696" xr:uid="{00000000-0005-0000-0000-000028020000}"/>
    <cellStyle name="Comma 5" xfId="10" xr:uid="{00000000-0005-0000-0000-000029020000}"/>
    <cellStyle name="Comma 5 2" xfId="697" xr:uid="{00000000-0005-0000-0000-00002A020000}"/>
    <cellStyle name="Comma 5 2 2" xfId="698" xr:uid="{00000000-0005-0000-0000-00002B020000}"/>
    <cellStyle name="Comma 5 2 2 2" xfId="699" xr:uid="{00000000-0005-0000-0000-00002C020000}"/>
    <cellStyle name="Comma 5 2 2 2 2" xfId="12722" xr:uid="{00000000-0005-0000-0000-00002D020000}"/>
    <cellStyle name="Comma 5 2 2 3" xfId="700" xr:uid="{00000000-0005-0000-0000-00002E020000}"/>
    <cellStyle name="Comma 5 2 2 3 2" xfId="12723" xr:uid="{00000000-0005-0000-0000-00002F020000}"/>
    <cellStyle name="Comma 5 2 2 4" xfId="12724" xr:uid="{00000000-0005-0000-0000-000030020000}"/>
    <cellStyle name="Comma 5 2 3" xfId="701" xr:uid="{00000000-0005-0000-0000-000031020000}"/>
    <cellStyle name="Comma 5 2 3 2" xfId="702" xr:uid="{00000000-0005-0000-0000-000032020000}"/>
    <cellStyle name="Comma 5 2 3 2 2" xfId="12725" xr:uid="{00000000-0005-0000-0000-000033020000}"/>
    <cellStyle name="Comma 5 2 3 3" xfId="703" xr:uid="{00000000-0005-0000-0000-000034020000}"/>
    <cellStyle name="Comma 5 2 3 3 2" xfId="12726" xr:uid="{00000000-0005-0000-0000-000035020000}"/>
    <cellStyle name="Comma 5 2 3 4" xfId="12727" xr:uid="{00000000-0005-0000-0000-000036020000}"/>
    <cellStyle name="Comma 5 2 4" xfId="704" xr:uid="{00000000-0005-0000-0000-000037020000}"/>
    <cellStyle name="Comma 5 2 4 2" xfId="12728" xr:uid="{00000000-0005-0000-0000-000038020000}"/>
    <cellStyle name="Comma 5 2 5" xfId="705" xr:uid="{00000000-0005-0000-0000-000039020000}"/>
    <cellStyle name="Comma 5 2 5 2" xfId="12729" xr:uid="{00000000-0005-0000-0000-00003A020000}"/>
    <cellStyle name="Comma 5 2 6" xfId="12634" xr:uid="{00000000-0005-0000-0000-00003B020000}"/>
    <cellStyle name="Comma 5 3" xfId="706" xr:uid="{00000000-0005-0000-0000-00003C020000}"/>
    <cellStyle name="Comma 5 4" xfId="707" xr:uid="{00000000-0005-0000-0000-00003D020000}"/>
    <cellStyle name="Comma 5 4 2" xfId="708" xr:uid="{00000000-0005-0000-0000-00003E020000}"/>
    <cellStyle name="Comma 5 4 2 2" xfId="12730" xr:uid="{00000000-0005-0000-0000-00003F020000}"/>
    <cellStyle name="Comma 5 4 3" xfId="709" xr:uid="{00000000-0005-0000-0000-000040020000}"/>
    <cellStyle name="Comma 5 4 3 2" xfId="12731" xr:uid="{00000000-0005-0000-0000-000041020000}"/>
    <cellStyle name="Comma 5 4 4" xfId="12732" xr:uid="{00000000-0005-0000-0000-000042020000}"/>
    <cellStyle name="Comma 5 5" xfId="710" xr:uid="{00000000-0005-0000-0000-000043020000}"/>
    <cellStyle name="Comma 5 5 2" xfId="711" xr:uid="{00000000-0005-0000-0000-000044020000}"/>
    <cellStyle name="Comma 5 5 2 2" xfId="12733" xr:uid="{00000000-0005-0000-0000-000045020000}"/>
    <cellStyle name="Comma 5 5 3" xfId="712" xr:uid="{00000000-0005-0000-0000-000046020000}"/>
    <cellStyle name="Comma 5 5 3 2" xfId="12734" xr:uid="{00000000-0005-0000-0000-000047020000}"/>
    <cellStyle name="Comma 5 5 4" xfId="12735" xr:uid="{00000000-0005-0000-0000-000048020000}"/>
    <cellStyle name="Comma 5 6" xfId="713" xr:uid="{00000000-0005-0000-0000-000049020000}"/>
    <cellStyle name="Comma 5 6 2" xfId="12736" xr:uid="{00000000-0005-0000-0000-00004A020000}"/>
    <cellStyle name="Comma 5 7" xfId="714" xr:uid="{00000000-0005-0000-0000-00004B020000}"/>
    <cellStyle name="Comma 5 7 2" xfId="12737" xr:uid="{00000000-0005-0000-0000-00004C020000}"/>
    <cellStyle name="Comma 5 8" xfId="12175" xr:uid="{00000000-0005-0000-0000-00004D020000}"/>
    <cellStyle name="Comma 6" xfId="715" xr:uid="{00000000-0005-0000-0000-00004E020000}"/>
    <cellStyle name="Comma 6 2" xfId="716" xr:uid="{00000000-0005-0000-0000-00004F020000}"/>
    <cellStyle name="Comma 6 2 2" xfId="717" xr:uid="{00000000-0005-0000-0000-000050020000}"/>
    <cellStyle name="Comma 6 2 3" xfId="718" xr:uid="{00000000-0005-0000-0000-000051020000}"/>
    <cellStyle name="Comma 6 3" xfId="719" xr:uid="{00000000-0005-0000-0000-000052020000}"/>
    <cellStyle name="Comma 6 4" xfId="720" xr:uid="{00000000-0005-0000-0000-000053020000}"/>
    <cellStyle name="Comma 7" xfId="721" xr:uid="{00000000-0005-0000-0000-000054020000}"/>
    <cellStyle name="Comma 8" xfId="722" xr:uid="{00000000-0005-0000-0000-000055020000}"/>
    <cellStyle name="Comma 9" xfId="723" xr:uid="{00000000-0005-0000-0000-000056020000}"/>
    <cellStyle name="Comma,0" xfId="724" xr:uid="{00000000-0005-0000-0000-000057020000}"/>
    <cellStyle name="Comma,0 2" xfId="725" xr:uid="{00000000-0005-0000-0000-000058020000}"/>
    <cellStyle name="Comma,1" xfId="726" xr:uid="{00000000-0005-0000-0000-000059020000}"/>
    <cellStyle name="Comma,1 2" xfId="727" xr:uid="{00000000-0005-0000-0000-00005A020000}"/>
    <cellStyle name="Comma,2" xfId="728" xr:uid="{00000000-0005-0000-0000-00005B020000}"/>
    <cellStyle name="Comma,2 2" xfId="729" xr:uid="{00000000-0005-0000-0000-00005C020000}"/>
    <cellStyle name="Comma0" xfId="730" xr:uid="{00000000-0005-0000-0000-00005D020000}"/>
    <cellStyle name="Comma0 - Style1" xfId="731" xr:uid="{00000000-0005-0000-0000-00005E020000}"/>
    <cellStyle name="Comma0 - Style3" xfId="732" xr:uid="{00000000-0005-0000-0000-00005F020000}"/>
    <cellStyle name="Comma0 2" xfId="12176" xr:uid="{00000000-0005-0000-0000-000060020000}"/>
    <cellStyle name="Comma0 3" xfId="12570" xr:uid="{00000000-0005-0000-0000-000061020000}"/>
    <cellStyle name="Comma0_30-KC-1" xfId="733" xr:uid="{00000000-0005-0000-0000-000062020000}"/>
    <cellStyle name="Copied" xfId="734" xr:uid="{00000000-0005-0000-0000-000063020000}"/>
    <cellStyle name="Curren - Style2" xfId="735" xr:uid="{00000000-0005-0000-0000-000064020000}"/>
    <cellStyle name="Curren - Style2 2" xfId="736" xr:uid="{00000000-0005-0000-0000-000065020000}"/>
    <cellStyle name="Curren - Style2 2 2" xfId="737" xr:uid="{00000000-0005-0000-0000-000066020000}"/>
    <cellStyle name="Curren - Style2 2 3" xfId="738" xr:uid="{00000000-0005-0000-0000-000067020000}"/>
    <cellStyle name="Curren - Style2 2 4" xfId="739" xr:uid="{00000000-0005-0000-0000-000068020000}"/>
    <cellStyle name="Curren - Style2 3" xfId="740" xr:uid="{00000000-0005-0000-0000-000069020000}"/>
    <cellStyle name="Curren - Style2 4" xfId="741" xr:uid="{00000000-0005-0000-0000-00006A020000}"/>
    <cellStyle name="Currency 2" xfId="11" xr:uid="{00000000-0005-0000-0000-00006B020000}"/>
    <cellStyle name="Currency 2 2" xfId="742" xr:uid="{00000000-0005-0000-0000-00006C020000}"/>
    <cellStyle name="Currency 2 3" xfId="743" xr:uid="{00000000-0005-0000-0000-00006D020000}"/>
    <cellStyle name="Currency 3" xfId="12" xr:uid="{00000000-0005-0000-0000-00006E020000}"/>
    <cellStyle name="Currency 3 2" xfId="744" xr:uid="{00000000-0005-0000-0000-00006F020000}"/>
    <cellStyle name="Currency 3 3" xfId="745" xr:uid="{00000000-0005-0000-0000-000070020000}"/>
    <cellStyle name="Currency 4" xfId="13" xr:uid="{00000000-0005-0000-0000-000071020000}"/>
    <cellStyle name="Currency 5" xfId="14" xr:uid="{00000000-0005-0000-0000-000072020000}"/>
    <cellStyle name="Currency 6" xfId="15" xr:uid="{00000000-0005-0000-0000-000073020000}"/>
    <cellStyle name="Currency 6 2" xfId="16" xr:uid="{00000000-0005-0000-0000-000074020000}"/>
    <cellStyle name="Currency 7" xfId="17" xr:uid="{00000000-0005-0000-0000-000075020000}"/>
    <cellStyle name="Currency 7 2" xfId="18" xr:uid="{00000000-0005-0000-0000-000076020000}"/>
    <cellStyle name="Currency 8" xfId="19" xr:uid="{00000000-0005-0000-0000-000077020000}"/>
    <cellStyle name="Currency 8 2" xfId="20" xr:uid="{00000000-0005-0000-0000-000078020000}"/>
    <cellStyle name="Currency,0" xfId="746" xr:uid="{00000000-0005-0000-0000-000079020000}"/>
    <cellStyle name="Currency,0 2" xfId="747" xr:uid="{00000000-0005-0000-0000-00007A020000}"/>
    <cellStyle name="Currency,2" xfId="748" xr:uid="{00000000-0005-0000-0000-00007B020000}"/>
    <cellStyle name="Currency,2 2" xfId="749" xr:uid="{00000000-0005-0000-0000-00007C020000}"/>
    <cellStyle name="Currency0" xfId="21" xr:uid="{00000000-0005-0000-0000-00007D020000}"/>
    <cellStyle name="Currency0 2" xfId="22" xr:uid="{00000000-0005-0000-0000-00007E020000}"/>
    <cellStyle name="Currency0 3" xfId="23" xr:uid="{00000000-0005-0000-0000-00007F020000}"/>
    <cellStyle name="Currency0 4" xfId="24" xr:uid="{00000000-0005-0000-0000-000080020000}"/>
    <cellStyle name="Currency0 4 2" xfId="25" xr:uid="{00000000-0005-0000-0000-000081020000}"/>
    <cellStyle name="Currency0 5" xfId="26" xr:uid="{00000000-0005-0000-0000-000082020000}"/>
    <cellStyle name="Currency0 5 2" xfId="27" xr:uid="{00000000-0005-0000-0000-000083020000}"/>
    <cellStyle name="Currency0 6" xfId="28" xr:uid="{00000000-0005-0000-0000-000084020000}"/>
    <cellStyle name="Currency0 6 2" xfId="29" xr:uid="{00000000-0005-0000-0000-000085020000}"/>
    <cellStyle name="Currency0 7" xfId="12177" xr:uid="{00000000-0005-0000-0000-000086020000}"/>
    <cellStyle name="Data Entry" xfId="750" xr:uid="{00000000-0005-0000-0000-000087020000}"/>
    <cellStyle name="Date" xfId="30" xr:uid="{00000000-0005-0000-0000-000088020000}"/>
    <cellStyle name="Date 2" xfId="31" xr:uid="{00000000-0005-0000-0000-000089020000}"/>
    <cellStyle name="Date 3" xfId="32" xr:uid="{00000000-0005-0000-0000-00008A020000}"/>
    <cellStyle name="Date 4" xfId="33" xr:uid="{00000000-0005-0000-0000-00008B020000}"/>
    <cellStyle name="Date 4 2" xfId="34" xr:uid="{00000000-0005-0000-0000-00008C020000}"/>
    <cellStyle name="Date 5" xfId="35" xr:uid="{00000000-0005-0000-0000-00008D020000}"/>
    <cellStyle name="Date 5 2" xfId="36" xr:uid="{00000000-0005-0000-0000-00008E020000}"/>
    <cellStyle name="Date 6" xfId="37" xr:uid="{00000000-0005-0000-0000-00008F020000}"/>
    <cellStyle name="Date 6 2" xfId="38" xr:uid="{00000000-0005-0000-0000-000090020000}"/>
    <cellStyle name="Date 7" xfId="12178" xr:uid="{00000000-0005-0000-0000-000091020000}"/>
    <cellStyle name="Entered" xfId="751" xr:uid="{00000000-0005-0000-0000-000092020000}"/>
    <cellStyle name="Epa" xfId="752" xr:uid="{00000000-0005-0000-0000-000093020000}"/>
    <cellStyle name="Explanatory Text" xfId="10485" builtinId="53" customBuiltin="1"/>
    <cellStyle name="Explanatory Text 18" xfId="10734" xr:uid="{00000000-0005-0000-0000-000095020000}"/>
    <cellStyle name="Explanatory Text 2" xfId="753" xr:uid="{00000000-0005-0000-0000-000096020000}"/>
    <cellStyle name="Fixed" xfId="754" xr:uid="{00000000-0005-0000-0000-000097020000}"/>
    <cellStyle name="Fixed 2" xfId="755" xr:uid="{00000000-0005-0000-0000-000098020000}"/>
    <cellStyle name="Fixed 2 2" xfId="756" xr:uid="{00000000-0005-0000-0000-000099020000}"/>
    <cellStyle name="Fixed 2 2 2" xfId="757" xr:uid="{00000000-0005-0000-0000-00009A020000}"/>
    <cellStyle name="Fixed 2 2 3" xfId="758" xr:uid="{00000000-0005-0000-0000-00009B020000}"/>
    <cellStyle name="Fixed 2 3" xfId="759" xr:uid="{00000000-0005-0000-0000-00009C020000}"/>
    <cellStyle name="Fixed 2 3 2" xfId="760" xr:uid="{00000000-0005-0000-0000-00009D020000}"/>
    <cellStyle name="Fixed 2 3 3" xfId="761" xr:uid="{00000000-0005-0000-0000-00009E020000}"/>
    <cellStyle name="Fixed 2 4" xfId="762" xr:uid="{00000000-0005-0000-0000-00009F020000}"/>
    <cellStyle name="Fixed 2 5" xfId="763" xr:uid="{00000000-0005-0000-0000-0000A0020000}"/>
    <cellStyle name="Fixed 3" xfId="764" xr:uid="{00000000-0005-0000-0000-0000A1020000}"/>
    <cellStyle name="Fixed 3 2" xfId="765" xr:uid="{00000000-0005-0000-0000-0000A2020000}"/>
    <cellStyle name="Fixed 3 2 2" xfId="766" xr:uid="{00000000-0005-0000-0000-0000A3020000}"/>
    <cellStyle name="Fixed 3 2 3" xfId="767" xr:uid="{00000000-0005-0000-0000-0000A4020000}"/>
    <cellStyle name="Fixed 3 3" xfId="768" xr:uid="{00000000-0005-0000-0000-0000A5020000}"/>
    <cellStyle name="Fixed 3 3 2" xfId="769" xr:uid="{00000000-0005-0000-0000-0000A6020000}"/>
    <cellStyle name="Fixed 3 3 3" xfId="770" xr:uid="{00000000-0005-0000-0000-0000A7020000}"/>
    <cellStyle name="Fixed 3 4" xfId="771" xr:uid="{00000000-0005-0000-0000-0000A8020000}"/>
    <cellStyle name="Fixed 3 5" xfId="772" xr:uid="{00000000-0005-0000-0000-0000A9020000}"/>
    <cellStyle name="Fixed 4" xfId="773" xr:uid="{00000000-0005-0000-0000-0000AA020000}"/>
    <cellStyle name="Fixed 4 2" xfId="774" xr:uid="{00000000-0005-0000-0000-0000AB020000}"/>
    <cellStyle name="Fixed 4 3" xfId="775" xr:uid="{00000000-0005-0000-0000-0000AC020000}"/>
    <cellStyle name="Fixed 5" xfId="776" xr:uid="{00000000-0005-0000-0000-0000AD020000}"/>
    <cellStyle name="Fixed 5 2" xfId="777" xr:uid="{00000000-0005-0000-0000-0000AE020000}"/>
    <cellStyle name="Fixed 5 3" xfId="778" xr:uid="{00000000-0005-0000-0000-0000AF020000}"/>
    <cellStyle name="Fixed 6" xfId="779" xr:uid="{00000000-0005-0000-0000-0000B0020000}"/>
    <cellStyle name="Fixed 7" xfId="780" xr:uid="{00000000-0005-0000-0000-0000B1020000}"/>
    <cellStyle name="Fixed 8" xfId="781" xr:uid="{00000000-0005-0000-0000-0000B2020000}"/>
    <cellStyle name="Fixed_Jackson County Calculations 8-15-11 4 Plants" xfId="782" xr:uid="{00000000-0005-0000-0000-0000B3020000}"/>
    <cellStyle name="Fixed0" xfId="783" xr:uid="{00000000-0005-0000-0000-0000B4020000}"/>
    <cellStyle name="Fixed1" xfId="784" xr:uid="{00000000-0005-0000-0000-0000B5020000}"/>
    <cellStyle name="Fixed1 - Style1" xfId="785" xr:uid="{00000000-0005-0000-0000-0000B6020000}"/>
    <cellStyle name="Fixed1_Lup101" xfId="786" xr:uid="{00000000-0005-0000-0000-0000B7020000}"/>
    <cellStyle name="Fixed2" xfId="787" xr:uid="{00000000-0005-0000-0000-0000B8020000}"/>
    <cellStyle name="Fixed2 - Style4" xfId="788" xr:uid="{00000000-0005-0000-0000-0000B9020000}"/>
    <cellStyle name="Fixed2 - Style6" xfId="789" xr:uid="{00000000-0005-0000-0000-0000BA020000}"/>
    <cellStyle name="Fixed2_Lup101" xfId="790" xr:uid="{00000000-0005-0000-0000-0000BB020000}"/>
    <cellStyle name="Fixed3" xfId="791" xr:uid="{00000000-0005-0000-0000-0000BC020000}"/>
    <cellStyle name="Fixed3 - Style5" xfId="792" xr:uid="{00000000-0005-0000-0000-0000BD020000}"/>
    <cellStyle name="Fixed3 - Style8" xfId="793" xr:uid="{00000000-0005-0000-0000-0000BE020000}"/>
    <cellStyle name="Fixed3_Lup101" xfId="794" xr:uid="{00000000-0005-0000-0000-0000BF020000}"/>
    <cellStyle name="Fixed4" xfId="795" xr:uid="{00000000-0005-0000-0000-0000C0020000}"/>
    <cellStyle name="Fixed4 - Style3" xfId="796" xr:uid="{00000000-0005-0000-0000-0000C1020000}"/>
    <cellStyle name="Fixed4 - Style4" xfId="797" xr:uid="{00000000-0005-0000-0000-0000C2020000}"/>
    <cellStyle name="Fixed4 - Style5" xfId="798" xr:uid="{00000000-0005-0000-0000-0000C3020000}"/>
    <cellStyle name="Fixed4 - Style6" xfId="799" xr:uid="{00000000-0005-0000-0000-0000C4020000}"/>
    <cellStyle name="Fixed4_Lup101" xfId="800" xr:uid="{00000000-0005-0000-0000-0000C5020000}"/>
    <cellStyle name="Fixed5" xfId="801" xr:uid="{00000000-0005-0000-0000-0000C6020000}"/>
    <cellStyle name="Fixed6" xfId="802" xr:uid="{00000000-0005-0000-0000-0000C7020000}"/>
    <cellStyle name="Footnotes" xfId="803" xr:uid="{00000000-0005-0000-0000-0000C8020000}"/>
    <cellStyle name="Good" xfId="10476" builtinId="26" customBuiltin="1"/>
    <cellStyle name="Good 2" xfId="804" xr:uid="{00000000-0005-0000-0000-0000CA020000}"/>
    <cellStyle name="Grey" xfId="805" xr:uid="{00000000-0005-0000-0000-0000CB020000}"/>
    <cellStyle name="Grey 2" xfId="806" xr:uid="{00000000-0005-0000-0000-0000CC020000}"/>
    <cellStyle name="Grey 2 2" xfId="807" xr:uid="{00000000-0005-0000-0000-0000CD020000}"/>
    <cellStyle name="Grey 2 3" xfId="808" xr:uid="{00000000-0005-0000-0000-0000CE020000}"/>
    <cellStyle name="Grey 2 4" xfId="809" xr:uid="{00000000-0005-0000-0000-0000CF020000}"/>
    <cellStyle name="Grey 3" xfId="810" xr:uid="{00000000-0005-0000-0000-0000D0020000}"/>
    <cellStyle name="Grey 4" xfId="811" xr:uid="{00000000-0005-0000-0000-0000D1020000}"/>
    <cellStyle name="Header" xfId="812" xr:uid="{00000000-0005-0000-0000-0000D2020000}"/>
    <cellStyle name="Header 2" xfId="12179" xr:uid="{00000000-0005-0000-0000-0000D3020000}"/>
    <cellStyle name="Header1" xfId="813" xr:uid="{00000000-0005-0000-0000-0000D4020000}"/>
    <cellStyle name="Header1 2" xfId="814" xr:uid="{00000000-0005-0000-0000-0000D5020000}"/>
    <cellStyle name="Header1 3" xfId="815" xr:uid="{00000000-0005-0000-0000-0000D6020000}"/>
    <cellStyle name="Header2" xfId="816" xr:uid="{00000000-0005-0000-0000-0000D7020000}"/>
    <cellStyle name="Header2 2" xfId="817" xr:uid="{00000000-0005-0000-0000-0000D8020000}"/>
    <cellStyle name="Header2 2 2" xfId="12668" xr:uid="{00000000-0005-0000-0000-0000D9020000}"/>
    <cellStyle name="Header2 2 3" xfId="12704" xr:uid="{00000000-0005-0000-0000-0000DA020000}"/>
    <cellStyle name="Header2 3" xfId="818" xr:uid="{00000000-0005-0000-0000-0000DB020000}"/>
    <cellStyle name="Header2 3 2" xfId="12669" xr:uid="{00000000-0005-0000-0000-0000DC020000}"/>
    <cellStyle name="Header2 3 3" xfId="12705" xr:uid="{00000000-0005-0000-0000-0000DD020000}"/>
    <cellStyle name="Header2 4" xfId="10645" xr:uid="{00000000-0005-0000-0000-0000DE020000}"/>
    <cellStyle name="Header2 5" xfId="12180" xr:uid="{00000000-0005-0000-0000-0000DF020000}"/>
    <cellStyle name="Header2 6" xfId="12549" xr:uid="{00000000-0005-0000-0000-0000E0020000}"/>
    <cellStyle name="HEADIN - Style1" xfId="819" xr:uid="{00000000-0005-0000-0000-0000E1020000}"/>
    <cellStyle name="HEADIN - Style1 2" xfId="820" xr:uid="{00000000-0005-0000-0000-0000E2020000}"/>
    <cellStyle name="Headin - Style2" xfId="821" xr:uid="{00000000-0005-0000-0000-0000E3020000}"/>
    <cellStyle name="Heading 1" xfId="10472" builtinId="16" customBuiltin="1"/>
    <cellStyle name="Heading 1 2" xfId="822" xr:uid="{00000000-0005-0000-0000-0000E5020000}"/>
    <cellStyle name="Heading 2" xfId="10473" builtinId="17" customBuiltin="1"/>
    <cellStyle name="Heading 2 2" xfId="823" xr:uid="{00000000-0005-0000-0000-0000E7020000}"/>
    <cellStyle name="Heading 3" xfId="10474" builtinId="18" customBuiltin="1"/>
    <cellStyle name="Heading 3 2" xfId="824" xr:uid="{00000000-0005-0000-0000-0000E9020000}"/>
    <cellStyle name="Heading 4" xfId="10475" builtinId="19" customBuiltin="1"/>
    <cellStyle name="Heading 4 2" xfId="825" xr:uid="{00000000-0005-0000-0000-0000EB020000}"/>
    <cellStyle name="Heading1" xfId="826" xr:uid="{00000000-0005-0000-0000-0000EC020000}"/>
    <cellStyle name="Heading2" xfId="827" xr:uid="{00000000-0005-0000-0000-0000ED020000}"/>
    <cellStyle name="HIGHLIGHT" xfId="828" xr:uid="{00000000-0005-0000-0000-0000EE020000}"/>
    <cellStyle name="Hyperlink 2" xfId="829" xr:uid="{00000000-0005-0000-0000-0000EF020000}"/>
    <cellStyle name="Hyperlink 2 2" xfId="10735" xr:uid="{00000000-0005-0000-0000-0000F0020000}"/>
    <cellStyle name="Hyperlink 2 3" xfId="12181" xr:uid="{00000000-0005-0000-0000-0000F1020000}"/>
    <cellStyle name="Hyperlink 3" xfId="830" xr:uid="{00000000-0005-0000-0000-0000F2020000}"/>
    <cellStyle name="Hyperlink 3 2" xfId="831" xr:uid="{00000000-0005-0000-0000-0000F3020000}"/>
    <cellStyle name="Hyperlink 3 3" xfId="832" xr:uid="{00000000-0005-0000-0000-0000F4020000}"/>
    <cellStyle name="Hyperlink 3 4" xfId="12670" xr:uid="{00000000-0005-0000-0000-0000F5020000}"/>
    <cellStyle name="Hyperlink 4" xfId="833" xr:uid="{00000000-0005-0000-0000-0000F6020000}"/>
    <cellStyle name="Hyperlink 4 2" xfId="834" xr:uid="{00000000-0005-0000-0000-0000F7020000}"/>
    <cellStyle name="Hyperlink 4 3" xfId="835" xr:uid="{00000000-0005-0000-0000-0000F8020000}"/>
    <cellStyle name="Input" xfId="10479" builtinId="20" customBuiltin="1"/>
    <cellStyle name="Input [yellow]" xfId="836" xr:uid="{00000000-0005-0000-0000-0000FA020000}"/>
    <cellStyle name="Input [yellow] 2" xfId="837" xr:uid="{00000000-0005-0000-0000-0000FB020000}"/>
    <cellStyle name="Input [yellow] 2 2" xfId="838" xr:uid="{00000000-0005-0000-0000-0000FC020000}"/>
    <cellStyle name="Input [yellow] 2 2 2" xfId="12671" xr:uid="{00000000-0005-0000-0000-0000FD020000}"/>
    <cellStyle name="Input [yellow] 2 2 3" xfId="12706" xr:uid="{00000000-0005-0000-0000-0000FE020000}"/>
    <cellStyle name="Input [yellow] 2 3" xfId="839" xr:uid="{00000000-0005-0000-0000-0000FF020000}"/>
    <cellStyle name="Input [yellow] 2 3 2" xfId="12738" xr:uid="{00000000-0005-0000-0000-000000030000}"/>
    <cellStyle name="Input [yellow] 2 4" xfId="840" xr:uid="{00000000-0005-0000-0000-000001030000}"/>
    <cellStyle name="Input [yellow] 2 4 2" xfId="12739" xr:uid="{00000000-0005-0000-0000-000002030000}"/>
    <cellStyle name="Input [yellow] 2 5" xfId="12635" xr:uid="{00000000-0005-0000-0000-000003030000}"/>
    <cellStyle name="Input [yellow] 2 6" xfId="12697" xr:uid="{00000000-0005-0000-0000-000004030000}"/>
    <cellStyle name="Input [yellow] 3" xfId="841" xr:uid="{00000000-0005-0000-0000-000005030000}"/>
    <cellStyle name="Input [yellow] 3 2" xfId="12672" xr:uid="{00000000-0005-0000-0000-000006030000}"/>
    <cellStyle name="Input [yellow] 3 3" xfId="12707" xr:uid="{00000000-0005-0000-0000-000007030000}"/>
    <cellStyle name="Input [yellow] 4" xfId="842" xr:uid="{00000000-0005-0000-0000-000008030000}"/>
    <cellStyle name="Input [yellow] 4 2" xfId="12673" xr:uid="{00000000-0005-0000-0000-000009030000}"/>
    <cellStyle name="Input [yellow] 4 3" xfId="12708" xr:uid="{00000000-0005-0000-0000-00000A030000}"/>
    <cellStyle name="Input [yellow] 5" xfId="10646" xr:uid="{00000000-0005-0000-0000-00000B030000}"/>
    <cellStyle name="Input [yellow] 6" xfId="12182" xr:uid="{00000000-0005-0000-0000-00000C030000}"/>
    <cellStyle name="Input [yellow] 7" xfId="12548" xr:uid="{00000000-0005-0000-0000-00000D030000}"/>
    <cellStyle name="Input 2" xfId="843" xr:uid="{00000000-0005-0000-0000-00000E030000}"/>
    <cellStyle name="Linked Cell" xfId="10482" builtinId="24" customBuiltin="1"/>
    <cellStyle name="Linked Cell 2" xfId="844" xr:uid="{00000000-0005-0000-0000-000010030000}"/>
    <cellStyle name="Milliers [0]_!!!GO" xfId="845" xr:uid="{00000000-0005-0000-0000-000011030000}"/>
    <cellStyle name="Milliers_!!!GO" xfId="846" xr:uid="{00000000-0005-0000-0000-000012030000}"/>
    <cellStyle name="Monétaire [0]_!!!GO" xfId="847" xr:uid="{00000000-0005-0000-0000-000013030000}"/>
    <cellStyle name="Monétaire_!!!GO" xfId="848" xr:uid="{00000000-0005-0000-0000-000014030000}"/>
    <cellStyle name="Neutral" xfId="10478" builtinId="28" customBuiltin="1"/>
    <cellStyle name="Neutral 2" xfId="849" xr:uid="{00000000-0005-0000-0000-000016030000}"/>
    <cellStyle name="no dec" xfId="850" xr:uid="{00000000-0005-0000-0000-000017030000}"/>
    <cellStyle name="no dec 2" xfId="851" xr:uid="{00000000-0005-0000-0000-000018030000}"/>
    <cellStyle name="no dec 2 2" xfId="852" xr:uid="{00000000-0005-0000-0000-000019030000}"/>
    <cellStyle name="Normal" xfId="0" builtinId="0"/>
    <cellStyle name="Normal - Style1" xfId="853" xr:uid="{00000000-0005-0000-0000-00001B030000}"/>
    <cellStyle name="Normal - Style1 2" xfId="854" xr:uid="{00000000-0005-0000-0000-00001C030000}"/>
    <cellStyle name="Normal - Style1 2 2" xfId="855" xr:uid="{00000000-0005-0000-0000-00001D030000}"/>
    <cellStyle name="Normal - Style1 2 2 2" xfId="856" xr:uid="{00000000-0005-0000-0000-00001E030000}"/>
    <cellStyle name="Normal - Style1 2 2 3" xfId="857" xr:uid="{00000000-0005-0000-0000-00001F030000}"/>
    <cellStyle name="Normal - Style1 2 3" xfId="858" xr:uid="{00000000-0005-0000-0000-000020030000}"/>
    <cellStyle name="Normal - Style1 2 3 2" xfId="859" xr:uid="{00000000-0005-0000-0000-000021030000}"/>
    <cellStyle name="Normal - Style1 2 3 3" xfId="860" xr:uid="{00000000-0005-0000-0000-000022030000}"/>
    <cellStyle name="Normal - Style1 2 4" xfId="861" xr:uid="{00000000-0005-0000-0000-000023030000}"/>
    <cellStyle name="Normal - Style1 2 5" xfId="862" xr:uid="{00000000-0005-0000-0000-000024030000}"/>
    <cellStyle name="Normal - Style1 2 6" xfId="12674" xr:uid="{00000000-0005-0000-0000-000025030000}"/>
    <cellStyle name="Normal - Style1 3" xfId="863" xr:uid="{00000000-0005-0000-0000-000026030000}"/>
    <cellStyle name="Normal - Style1 3 2" xfId="864" xr:uid="{00000000-0005-0000-0000-000027030000}"/>
    <cellStyle name="Normal - Style1 3 2 2" xfId="865" xr:uid="{00000000-0005-0000-0000-000028030000}"/>
    <cellStyle name="Normal - Style1 3 2 3" xfId="866" xr:uid="{00000000-0005-0000-0000-000029030000}"/>
    <cellStyle name="Normal - Style1 3 3" xfId="867" xr:uid="{00000000-0005-0000-0000-00002A030000}"/>
    <cellStyle name="Normal - Style1 3 3 2" xfId="868" xr:uid="{00000000-0005-0000-0000-00002B030000}"/>
    <cellStyle name="Normal - Style1 3 3 3" xfId="869" xr:uid="{00000000-0005-0000-0000-00002C030000}"/>
    <cellStyle name="Normal - Style1 3 4" xfId="870" xr:uid="{00000000-0005-0000-0000-00002D030000}"/>
    <cellStyle name="Normal - Style1 3 5" xfId="871" xr:uid="{00000000-0005-0000-0000-00002E030000}"/>
    <cellStyle name="Normal - Style1 4" xfId="872" xr:uid="{00000000-0005-0000-0000-00002F030000}"/>
    <cellStyle name="Normal - Style1 4 2" xfId="873" xr:uid="{00000000-0005-0000-0000-000030030000}"/>
    <cellStyle name="Normal - Style1 4 3" xfId="874" xr:uid="{00000000-0005-0000-0000-000031030000}"/>
    <cellStyle name="Normal - Style1 5" xfId="875" xr:uid="{00000000-0005-0000-0000-000032030000}"/>
    <cellStyle name="Normal - Style1 5 2" xfId="876" xr:uid="{00000000-0005-0000-0000-000033030000}"/>
    <cellStyle name="Normal - Style1 5 3" xfId="877" xr:uid="{00000000-0005-0000-0000-000034030000}"/>
    <cellStyle name="Normal - Style1 6" xfId="878" xr:uid="{00000000-0005-0000-0000-000035030000}"/>
    <cellStyle name="Normal - Style1 7" xfId="879" xr:uid="{00000000-0005-0000-0000-000036030000}"/>
    <cellStyle name="Normal - Style1 8" xfId="880" xr:uid="{00000000-0005-0000-0000-000037030000}"/>
    <cellStyle name="Normal - Style1 9" xfId="12183" xr:uid="{00000000-0005-0000-0000-000038030000}"/>
    <cellStyle name="Normal 10" xfId="1" xr:uid="{00000000-0005-0000-0000-000039030000}"/>
    <cellStyle name="Normal 10 2" xfId="39" xr:uid="{00000000-0005-0000-0000-00003A030000}"/>
    <cellStyle name="Normal 10 2 2" xfId="40" xr:uid="{00000000-0005-0000-0000-00003B030000}"/>
    <cellStyle name="Normal 10 2 2 2" xfId="881" xr:uid="{00000000-0005-0000-0000-00003C030000}"/>
    <cellStyle name="Normal 10 2 2 3" xfId="882" xr:uid="{00000000-0005-0000-0000-00003D030000}"/>
    <cellStyle name="Normal 10 2 3" xfId="883" xr:uid="{00000000-0005-0000-0000-00003E030000}"/>
    <cellStyle name="Normal 10 2 3 2" xfId="884" xr:uid="{00000000-0005-0000-0000-00003F030000}"/>
    <cellStyle name="Normal 10 2 3 3" xfId="885" xr:uid="{00000000-0005-0000-0000-000040030000}"/>
    <cellStyle name="Normal 10 2 4" xfId="886" xr:uid="{00000000-0005-0000-0000-000041030000}"/>
    <cellStyle name="Normal 10 2 5" xfId="887" xr:uid="{00000000-0005-0000-0000-000042030000}"/>
    <cellStyle name="Normal 10 3" xfId="888" xr:uid="{00000000-0005-0000-0000-000043030000}"/>
    <cellStyle name="Normal 10 3 2" xfId="889" xr:uid="{00000000-0005-0000-0000-000044030000}"/>
    <cellStyle name="Normal 10 3 3" xfId="890" xr:uid="{00000000-0005-0000-0000-000045030000}"/>
    <cellStyle name="Normal 10 4" xfId="891" xr:uid="{00000000-0005-0000-0000-000046030000}"/>
    <cellStyle name="Normal 10 4 10" xfId="892" xr:uid="{00000000-0005-0000-0000-000047030000}"/>
    <cellStyle name="Normal 10 4 10 2" xfId="12740" xr:uid="{00000000-0005-0000-0000-000048030000}"/>
    <cellStyle name="Normal 10 4 11" xfId="893" xr:uid="{00000000-0005-0000-0000-000049030000}"/>
    <cellStyle name="Normal 10 4 11 2" xfId="12741" xr:uid="{00000000-0005-0000-0000-00004A030000}"/>
    <cellStyle name="Normal 10 4 12" xfId="12742" xr:uid="{00000000-0005-0000-0000-00004B030000}"/>
    <cellStyle name="Normal 10 4 2" xfId="894" xr:uid="{00000000-0005-0000-0000-00004C030000}"/>
    <cellStyle name="Normal 10 4 2 2" xfId="895" xr:uid="{00000000-0005-0000-0000-00004D030000}"/>
    <cellStyle name="Normal 10 4 2 2 2" xfId="896" xr:uid="{00000000-0005-0000-0000-00004E030000}"/>
    <cellStyle name="Normal 10 4 2 2 2 2" xfId="897" xr:uid="{00000000-0005-0000-0000-00004F030000}"/>
    <cellStyle name="Normal 10 4 2 2 2 2 2" xfId="898" xr:uid="{00000000-0005-0000-0000-000050030000}"/>
    <cellStyle name="Normal 10 4 2 2 2 2 2 2" xfId="12743" xr:uid="{00000000-0005-0000-0000-000051030000}"/>
    <cellStyle name="Normal 10 4 2 2 2 2 3" xfId="899" xr:uid="{00000000-0005-0000-0000-000052030000}"/>
    <cellStyle name="Normal 10 4 2 2 2 2 3 2" xfId="12744" xr:uid="{00000000-0005-0000-0000-000053030000}"/>
    <cellStyle name="Normal 10 4 2 2 2 2 4" xfId="12745" xr:uid="{00000000-0005-0000-0000-000054030000}"/>
    <cellStyle name="Normal 10 4 2 2 2 3" xfId="900" xr:uid="{00000000-0005-0000-0000-000055030000}"/>
    <cellStyle name="Normal 10 4 2 2 2 3 2" xfId="901" xr:uid="{00000000-0005-0000-0000-000056030000}"/>
    <cellStyle name="Normal 10 4 2 2 2 3 2 2" xfId="12746" xr:uid="{00000000-0005-0000-0000-000057030000}"/>
    <cellStyle name="Normal 10 4 2 2 2 3 3" xfId="902" xr:uid="{00000000-0005-0000-0000-000058030000}"/>
    <cellStyle name="Normal 10 4 2 2 2 3 3 2" xfId="12747" xr:uid="{00000000-0005-0000-0000-000059030000}"/>
    <cellStyle name="Normal 10 4 2 2 2 3 4" xfId="12748" xr:uid="{00000000-0005-0000-0000-00005A030000}"/>
    <cellStyle name="Normal 10 4 2 2 2 4" xfId="903" xr:uid="{00000000-0005-0000-0000-00005B030000}"/>
    <cellStyle name="Normal 10 4 2 2 2 4 2" xfId="12749" xr:uid="{00000000-0005-0000-0000-00005C030000}"/>
    <cellStyle name="Normal 10 4 2 2 2 5" xfId="904" xr:uid="{00000000-0005-0000-0000-00005D030000}"/>
    <cellStyle name="Normal 10 4 2 2 2 5 2" xfId="12750" xr:uid="{00000000-0005-0000-0000-00005E030000}"/>
    <cellStyle name="Normal 10 4 2 2 2 6" xfId="12751" xr:uid="{00000000-0005-0000-0000-00005F030000}"/>
    <cellStyle name="Normal 10 4 2 2 3" xfId="905" xr:uid="{00000000-0005-0000-0000-000060030000}"/>
    <cellStyle name="Normal 10 4 2 2 3 2" xfId="906" xr:uid="{00000000-0005-0000-0000-000061030000}"/>
    <cellStyle name="Normal 10 4 2 2 3 2 2" xfId="907" xr:uid="{00000000-0005-0000-0000-000062030000}"/>
    <cellStyle name="Normal 10 4 2 2 3 2 2 2" xfId="12752" xr:uid="{00000000-0005-0000-0000-000063030000}"/>
    <cellStyle name="Normal 10 4 2 2 3 2 3" xfId="908" xr:uid="{00000000-0005-0000-0000-000064030000}"/>
    <cellStyle name="Normal 10 4 2 2 3 2 3 2" xfId="12753" xr:uid="{00000000-0005-0000-0000-000065030000}"/>
    <cellStyle name="Normal 10 4 2 2 3 2 4" xfId="12754" xr:uid="{00000000-0005-0000-0000-000066030000}"/>
    <cellStyle name="Normal 10 4 2 2 3 3" xfId="909" xr:uid="{00000000-0005-0000-0000-000067030000}"/>
    <cellStyle name="Normal 10 4 2 2 3 3 2" xfId="910" xr:uid="{00000000-0005-0000-0000-000068030000}"/>
    <cellStyle name="Normal 10 4 2 2 3 3 2 2" xfId="12755" xr:uid="{00000000-0005-0000-0000-000069030000}"/>
    <cellStyle name="Normal 10 4 2 2 3 3 3" xfId="911" xr:uid="{00000000-0005-0000-0000-00006A030000}"/>
    <cellStyle name="Normal 10 4 2 2 3 3 3 2" xfId="12756" xr:uid="{00000000-0005-0000-0000-00006B030000}"/>
    <cellStyle name="Normal 10 4 2 2 3 3 4" xfId="12757" xr:uid="{00000000-0005-0000-0000-00006C030000}"/>
    <cellStyle name="Normal 10 4 2 2 3 4" xfId="912" xr:uid="{00000000-0005-0000-0000-00006D030000}"/>
    <cellStyle name="Normal 10 4 2 2 3 4 2" xfId="12758" xr:uid="{00000000-0005-0000-0000-00006E030000}"/>
    <cellStyle name="Normal 10 4 2 2 3 5" xfId="913" xr:uid="{00000000-0005-0000-0000-00006F030000}"/>
    <cellStyle name="Normal 10 4 2 2 3 5 2" xfId="12759" xr:uid="{00000000-0005-0000-0000-000070030000}"/>
    <cellStyle name="Normal 10 4 2 2 3 6" xfId="12760" xr:uid="{00000000-0005-0000-0000-000071030000}"/>
    <cellStyle name="Normal 10 4 2 2 4" xfId="914" xr:uid="{00000000-0005-0000-0000-000072030000}"/>
    <cellStyle name="Normal 10 4 2 2 4 2" xfId="915" xr:uid="{00000000-0005-0000-0000-000073030000}"/>
    <cellStyle name="Normal 10 4 2 2 4 2 2" xfId="12761" xr:uid="{00000000-0005-0000-0000-000074030000}"/>
    <cellStyle name="Normal 10 4 2 2 4 3" xfId="916" xr:uid="{00000000-0005-0000-0000-000075030000}"/>
    <cellStyle name="Normal 10 4 2 2 4 3 2" xfId="12762" xr:uid="{00000000-0005-0000-0000-000076030000}"/>
    <cellStyle name="Normal 10 4 2 2 4 4" xfId="12763" xr:uid="{00000000-0005-0000-0000-000077030000}"/>
    <cellStyle name="Normal 10 4 2 2 5" xfId="917" xr:uid="{00000000-0005-0000-0000-000078030000}"/>
    <cellStyle name="Normal 10 4 2 2 5 2" xfId="918" xr:uid="{00000000-0005-0000-0000-000079030000}"/>
    <cellStyle name="Normal 10 4 2 2 5 2 2" xfId="12764" xr:uid="{00000000-0005-0000-0000-00007A030000}"/>
    <cellStyle name="Normal 10 4 2 2 5 3" xfId="919" xr:uid="{00000000-0005-0000-0000-00007B030000}"/>
    <cellStyle name="Normal 10 4 2 2 5 3 2" xfId="12765" xr:uid="{00000000-0005-0000-0000-00007C030000}"/>
    <cellStyle name="Normal 10 4 2 2 5 4" xfId="12766" xr:uid="{00000000-0005-0000-0000-00007D030000}"/>
    <cellStyle name="Normal 10 4 2 2 6" xfId="920" xr:uid="{00000000-0005-0000-0000-00007E030000}"/>
    <cellStyle name="Normal 10 4 2 2 6 2" xfId="12767" xr:uid="{00000000-0005-0000-0000-00007F030000}"/>
    <cellStyle name="Normal 10 4 2 2 7" xfId="921" xr:uid="{00000000-0005-0000-0000-000080030000}"/>
    <cellStyle name="Normal 10 4 2 2 7 2" xfId="12768" xr:uid="{00000000-0005-0000-0000-000081030000}"/>
    <cellStyle name="Normal 10 4 2 2 8" xfId="12769" xr:uid="{00000000-0005-0000-0000-000082030000}"/>
    <cellStyle name="Normal 10 4 2 3" xfId="922" xr:uid="{00000000-0005-0000-0000-000083030000}"/>
    <cellStyle name="Normal 10 4 2 3 2" xfId="923" xr:uid="{00000000-0005-0000-0000-000084030000}"/>
    <cellStyle name="Normal 10 4 2 3 2 2" xfId="924" xr:uid="{00000000-0005-0000-0000-000085030000}"/>
    <cellStyle name="Normal 10 4 2 3 2 2 2" xfId="12770" xr:uid="{00000000-0005-0000-0000-000086030000}"/>
    <cellStyle name="Normal 10 4 2 3 2 3" xfId="925" xr:uid="{00000000-0005-0000-0000-000087030000}"/>
    <cellStyle name="Normal 10 4 2 3 2 3 2" xfId="12771" xr:uid="{00000000-0005-0000-0000-000088030000}"/>
    <cellStyle name="Normal 10 4 2 3 2 4" xfId="12772" xr:uid="{00000000-0005-0000-0000-000089030000}"/>
    <cellStyle name="Normal 10 4 2 3 3" xfId="926" xr:uid="{00000000-0005-0000-0000-00008A030000}"/>
    <cellStyle name="Normal 10 4 2 3 3 2" xfId="927" xr:uid="{00000000-0005-0000-0000-00008B030000}"/>
    <cellStyle name="Normal 10 4 2 3 3 2 2" xfId="12773" xr:uid="{00000000-0005-0000-0000-00008C030000}"/>
    <cellStyle name="Normal 10 4 2 3 3 3" xfId="928" xr:uid="{00000000-0005-0000-0000-00008D030000}"/>
    <cellStyle name="Normal 10 4 2 3 3 3 2" xfId="12774" xr:uid="{00000000-0005-0000-0000-00008E030000}"/>
    <cellStyle name="Normal 10 4 2 3 3 4" xfId="12775" xr:uid="{00000000-0005-0000-0000-00008F030000}"/>
    <cellStyle name="Normal 10 4 2 3 4" xfId="929" xr:uid="{00000000-0005-0000-0000-000090030000}"/>
    <cellStyle name="Normal 10 4 2 3 4 2" xfId="12776" xr:uid="{00000000-0005-0000-0000-000091030000}"/>
    <cellStyle name="Normal 10 4 2 3 5" xfId="930" xr:uid="{00000000-0005-0000-0000-000092030000}"/>
    <cellStyle name="Normal 10 4 2 3 5 2" xfId="12777" xr:uid="{00000000-0005-0000-0000-000093030000}"/>
    <cellStyle name="Normal 10 4 2 3 6" xfId="12778" xr:uid="{00000000-0005-0000-0000-000094030000}"/>
    <cellStyle name="Normal 10 4 2 4" xfId="931" xr:uid="{00000000-0005-0000-0000-000095030000}"/>
    <cellStyle name="Normal 10 4 2 4 2" xfId="932" xr:uid="{00000000-0005-0000-0000-000096030000}"/>
    <cellStyle name="Normal 10 4 2 4 2 2" xfId="933" xr:uid="{00000000-0005-0000-0000-000097030000}"/>
    <cellStyle name="Normal 10 4 2 4 2 2 2" xfId="12779" xr:uid="{00000000-0005-0000-0000-000098030000}"/>
    <cellStyle name="Normal 10 4 2 4 2 3" xfId="934" xr:uid="{00000000-0005-0000-0000-000099030000}"/>
    <cellStyle name="Normal 10 4 2 4 2 3 2" xfId="12780" xr:uid="{00000000-0005-0000-0000-00009A030000}"/>
    <cellStyle name="Normal 10 4 2 4 2 4" xfId="12781" xr:uid="{00000000-0005-0000-0000-00009B030000}"/>
    <cellStyle name="Normal 10 4 2 4 3" xfId="935" xr:uid="{00000000-0005-0000-0000-00009C030000}"/>
    <cellStyle name="Normal 10 4 2 4 3 2" xfId="936" xr:uid="{00000000-0005-0000-0000-00009D030000}"/>
    <cellStyle name="Normal 10 4 2 4 3 2 2" xfId="12782" xr:uid="{00000000-0005-0000-0000-00009E030000}"/>
    <cellStyle name="Normal 10 4 2 4 3 3" xfId="937" xr:uid="{00000000-0005-0000-0000-00009F030000}"/>
    <cellStyle name="Normal 10 4 2 4 3 3 2" xfId="12783" xr:uid="{00000000-0005-0000-0000-0000A0030000}"/>
    <cellStyle name="Normal 10 4 2 4 3 4" xfId="12784" xr:uid="{00000000-0005-0000-0000-0000A1030000}"/>
    <cellStyle name="Normal 10 4 2 4 4" xfId="938" xr:uid="{00000000-0005-0000-0000-0000A2030000}"/>
    <cellStyle name="Normal 10 4 2 4 4 2" xfId="12785" xr:uid="{00000000-0005-0000-0000-0000A3030000}"/>
    <cellStyle name="Normal 10 4 2 4 5" xfId="939" xr:uid="{00000000-0005-0000-0000-0000A4030000}"/>
    <cellStyle name="Normal 10 4 2 4 5 2" xfId="12786" xr:uid="{00000000-0005-0000-0000-0000A5030000}"/>
    <cellStyle name="Normal 10 4 2 4 6" xfId="12787" xr:uid="{00000000-0005-0000-0000-0000A6030000}"/>
    <cellStyle name="Normal 10 4 2 5" xfId="940" xr:uid="{00000000-0005-0000-0000-0000A7030000}"/>
    <cellStyle name="Normal 10 4 2 5 2" xfId="941" xr:uid="{00000000-0005-0000-0000-0000A8030000}"/>
    <cellStyle name="Normal 10 4 2 5 2 2" xfId="12788" xr:uid="{00000000-0005-0000-0000-0000A9030000}"/>
    <cellStyle name="Normal 10 4 2 5 3" xfId="942" xr:uid="{00000000-0005-0000-0000-0000AA030000}"/>
    <cellStyle name="Normal 10 4 2 5 3 2" xfId="12789" xr:uid="{00000000-0005-0000-0000-0000AB030000}"/>
    <cellStyle name="Normal 10 4 2 5 4" xfId="12790" xr:uid="{00000000-0005-0000-0000-0000AC030000}"/>
    <cellStyle name="Normal 10 4 2 6" xfId="943" xr:uid="{00000000-0005-0000-0000-0000AD030000}"/>
    <cellStyle name="Normal 10 4 2 6 2" xfId="944" xr:uid="{00000000-0005-0000-0000-0000AE030000}"/>
    <cellStyle name="Normal 10 4 2 6 2 2" xfId="12791" xr:uid="{00000000-0005-0000-0000-0000AF030000}"/>
    <cellStyle name="Normal 10 4 2 6 3" xfId="945" xr:uid="{00000000-0005-0000-0000-0000B0030000}"/>
    <cellStyle name="Normal 10 4 2 6 3 2" xfId="12792" xr:uid="{00000000-0005-0000-0000-0000B1030000}"/>
    <cellStyle name="Normal 10 4 2 6 4" xfId="12793" xr:uid="{00000000-0005-0000-0000-0000B2030000}"/>
    <cellStyle name="Normal 10 4 2 7" xfId="946" xr:uid="{00000000-0005-0000-0000-0000B3030000}"/>
    <cellStyle name="Normal 10 4 2 7 2" xfId="12794" xr:uid="{00000000-0005-0000-0000-0000B4030000}"/>
    <cellStyle name="Normal 10 4 2 8" xfId="947" xr:uid="{00000000-0005-0000-0000-0000B5030000}"/>
    <cellStyle name="Normal 10 4 2 8 2" xfId="12795" xr:uid="{00000000-0005-0000-0000-0000B6030000}"/>
    <cellStyle name="Normal 10 4 2 9" xfId="12796" xr:uid="{00000000-0005-0000-0000-0000B7030000}"/>
    <cellStyle name="Normal 10 4 3" xfId="948" xr:uid="{00000000-0005-0000-0000-0000B8030000}"/>
    <cellStyle name="Normal 10 4 3 2" xfId="949" xr:uid="{00000000-0005-0000-0000-0000B9030000}"/>
    <cellStyle name="Normal 10 4 3 2 2" xfId="950" xr:uid="{00000000-0005-0000-0000-0000BA030000}"/>
    <cellStyle name="Normal 10 4 3 2 2 2" xfId="951" xr:uid="{00000000-0005-0000-0000-0000BB030000}"/>
    <cellStyle name="Normal 10 4 3 2 2 2 2" xfId="12797" xr:uid="{00000000-0005-0000-0000-0000BC030000}"/>
    <cellStyle name="Normal 10 4 3 2 2 3" xfId="952" xr:uid="{00000000-0005-0000-0000-0000BD030000}"/>
    <cellStyle name="Normal 10 4 3 2 2 3 2" xfId="12798" xr:uid="{00000000-0005-0000-0000-0000BE030000}"/>
    <cellStyle name="Normal 10 4 3 2 2 4" xfId="12799" xr:uid="{00000000-0005-0000-0000-0000BF030000}"/>
    <cellStyle name="Normal 10 4 3 2 3" xfId="953" xr:uid="{00000000-0005-0000-0000-0000C0030000}"/>
    <cellStyle name="Normal 10 4 3 2 3 2" xfId="954" xr:uid="{00000000-0005-0000-0000-0000C1030000}"/>
    <cellStyle name="Normal 10 4 3 2 3 2 2" xfId="12800" xr:uid="{00000000-0005-0000-0000-0000C2030000}"/>
    <cellStyle name="Normal 10 4 3 2 3 3" xfId="955" xr:uid="{00000000-0005-0000-0000-0000C3030000}"/>
    <cellStyle name="Normal 10 4 3 2 3 3 2" xfId="12801" xr:uid="{00000000-0005-0000-0000-0000C4030000}"/>
    <cellStyle name="Normal 10 4 3 2 3 4" xfId="12802" xr:uid="{00000000-0005-0000-0000-0000C5030000}"/>
    <cellStyle name="Normal 10 4 3 2 4" xfId="956" xr:uid="{00000000-0005-0000-0000-0000C6030000}"/>
    <cellStyle name="Normal 10 4 3 2 4 2" xfId="12803" xr:uid="{00000000-0005-0000-0000-0000C7030000}"/>
    <cellStyle name="Normal 10 4 3 2 5" xfId="957" xr:uid="{00000000-0005-0000-0000-0000C8030000}"/>
    <cellStyle name="Normal 10 4 3 2 5 2" xfId="12804" xr:uid="{00000000-0005-0000-0000-0000C9030000}"/>
    <cellStyle name="Normal 10 4 3 2 6" xfId="12805" xr:uid="{00000000-0005-0000-0000-0000CA030000}"/>
    <cellStyle name="Normal 10 4 3 3" xfId="958" xr:uid="{00000000-0005-0000-0000-0000CB030000}"/>
    <cellStyle name="Normal 10 4 3 3 2" xfId="959" xr:uid="{00000000-0005-0000-0000-0000CC030000}"/>
    <cellStyle name="Normal 10 4 3 3 2 2" xfId="960" xr:uid="{00000000-0005-0000-0000-0000CD030000}"/>
    <cellStyle name="Normal 10 4 3 3 2 2 2" xfId="12806" xr:uid="{00000000-0005-0000-0000-0000CE030000}"/>
    <cellStyle name="Normal 10 4 3 3 2 3" xfId="961" xr:uid="{00000000-0005-0000-0000-0000CF030000}"/>
    <cellStyle name="Normal 10 4 3 3 2 3 2" xfId="12807" xr:uid="{00000000-0005-0000-0000-0000D0030000}"/>
    <cellStyle name="Normal 10 4 3 3 2 4" xfId="12808" xr:uid="{00000000-0005-0000-0000-0000D1030000}"/>
    <cellStyle name="Normal 10 4 3 3 3" xfId="962" xr:uid="{00000000-0005-0000-0000-0000D2030000}"/>
    <cellStyle name="Normal 10 4 3 3 3 2" xfId="963" xr:uid="{00000000-0005-0000-0000-0000D3030000}"/>
    <cellStyle name="Normal 10 4 3 3 3 2 2" xfId="12809" xr:uid="{00000000-0005-0000-0000-0000D4030000}"/>
    <cellStyle name="Normal 10 4 3 3 3 3" xfId="964" xr:uid="{00000000-0005-0000-0000-0000D5030000}"/>
    <cellStyle name="Normal 10 4 3 3 3 3 2" xfId="12810" xr:uid="{00000000-0005-0000-0000-0000D6030000}"/>
    <cellStyle name="Normal 10 4 3 3 3 4" xfId="12811" xr:uid="{00000000-0005-0000-0000-0000D7030000}"/>
    <cellStyle name="Normal 10 4 3 3 4" xfId="965" xr:uid="{00000000-0005-0000-0000-0000D8030000}"/>
    <cellStyle name="Normal 10 4 3 3 4 2" xfId="12812" xr:uid="{00000000-0005-0000-0000-0000D9030000}"/>
    <cellStyle name="Normal 10 4 3 3 5" xfId="966" xr:uid="{00000000-0005-0000-0000-0000DA030000}"/>
    <cellStyle name="Normal 10 4 3 3 5 2" xfId="12813" xr:uid="{00000000-0005-0000-0000-0000DB030000}"/>
    <cellStyle name="Normal 10 4 3 3 6" xfId="12814" xr:uid="{00000000-0005-0000-0000-0000DC030000}"/>
    <cellStyle name="Normal 10 4 3 4" xfId="967" xr:uid="{00000000-0005-0000-0000-0000DD030000}"/>
    <cellStyle name="Normal 10 4 3 4 2" xfId="968" xr:uid="{00000000-0005-0000-0000-0000DE030000}"/>
    <cellStyle name="Normal 10 4 3 4 2 2" xfId="12815" xr:uid="{00000000-0005-0000-0000-0000DF030000}"/>
    <cellStyle name="Normal 10 4 3 4 3" xfId="969" xr:uid="{00000000-0005-0000-0000-0000E0030000}"/>
    <cellStyle name="Normal 10 4 3 4 3 2" xfId="12816" xr:uid="{00000000-0005-0000-0000-0000E1030000}"/>
    <cellStyle name="Normal 10 4 3 4 4" xfId="12817" xr:uid="{00000000-0005-0000-0000-0000E2030000}"/>
    <cellStyle name="Normal 10 4 3 5" xfId="970" xr:uid="{00000000-0005-0000-0000-0000E3030000}"/>
    <cellStyle name="Normal 10 4 3 5 2" xfId="971" xr:uid="{00000000-0005-0000-0000-0000E4030000}"/>
    <cellStyle name="Normal 10 4 3 5 2 2" xfId="12818" xr:uid="{00000000-0005-0000-0000-0000E5030000}"/>
    <cellStyle name="Normal 10 4 3 5 3" xfId="972" xr:uid="{00000000-0005-0000-0000-0000E6030000}"/>
    <cellStyle name="Normal 10 4 3 5 3 2" xfId="12819" xr:uid="{00000000-0005-0000-0000-0000E7030000}"/>
    <cellStyle name="Normal 10 4 3 5 4" xfId="12820" xr:uid="{00000000-0005-0000-0000-0000E8030000}"/>
    <cellStyle name="Normal 10 4 3 6" xfId="973" xr:uid="{00000000-0005-0000-0000-0000E9030000}"/>
    <cellStyle name="Normal 10 4 3 6 2" xfId="12821" xr:uid="{00000000-0005-0000-0000-0000EA030000}"/>
    <cellStyle name="Normal 10 4 3 7" xfId="974" xr:uid="{00000000-0005-0000-0000-0000EB030000}"/>
    <cellStyle name="Normal 10 4 3 7 2" xfId="12822" xr:uid="{00000000-0005-0000-0000-0000EC030000}"/>
    <cellStyle name="Normal 10 4 3 8" xfId="12823" xr:uid="{00000000-0005-0000-0000-0000ED030000}"/>
    <cellStyle name="Normal 10 4 4" xfId="975" xr:uid="{00000000-0005-0000-0000-0000EE030000}"/>
    <cellStyle name="Normal 10 4 4 2" xfId="976" xr:uid="{00000000-0005-0000-0000-0000EF030000}"/>
    <cellStyle name="Normal 10 4 4 2 2" xfId="977" xr:uid="{00000000-0005-0000-0000-0000F0030000}"/>
    <cellStyle name="Normal 10 4 4 2 2 2" xfId="978" xr:uid="{00000000-0005-0000-0000-0000F1030000}"/>
    <cellStyle name="Normal 10 4 4 2 2 2 2" xfId="12824" xr:uid="{00000000-0005-0000-0000-0000F2030000}"/>
    <cellStyle name="Normal 10 4 4 2 2 3" xfId="979" xr:uid="{00000000-0005-0000-0000-0000F3030000}"/>
    <cellStyle name="Normal 10 4 4 2 2 3 2" xfId="12825" xr:uid="{00000000-0005-0000-0000-0000F4030000}"/>
    <cellStyle name="Normal 10 4 4 2 2 4" xfId="12826" xr:uid="{00000000-0005-0000-0000-0000F5030000}"/>
    <cellStyle name="Normal 10 4 4 2 3" xfId="980" xr:uid="{00000000-0005-0000-0000-0000F6030000}"/>
    <cellStyle name="Normal 10 4 4 2 3 2" xfId="981" xr:uid="{00000000-0005-0000-0000-0000F7030000}"/>
    <cellStyle name="Normal 10 4 4 2 3 2 2" xfId="12827" xr:uid="{00000000-0005-0000-0000-0000F8030000}"/>
    <cellStyle name="Normal 10 4 4 2 3 3" xfId="982" xr:uid="{00000000-0005-0000-0000-0000F9030000}"/>
    <cellStyle name="Normal 10 4 4 2 3 3 2" xfId="12828" xr:uid="{00000000-0005-0000-0000-0000FA030000}"/>
    <cellStyle name="Normal 10 4 4 2 3 4" xfId="12829" xr:uid="{00000000-0005-0000-0000-0000FB030000}"/>
    <cellStyle name="Normal 10 4 4 2 4" xfId="983" xr:uid="{00000000-0005-0000-0000-0000FC030000}"/>
    <cellStyle name="Normal 10 4 4 2 4 2" xfId="12830" xr:uid="{00000000-0005-0000-0000-0000FD030000}"/>
    <cellStyle name="Normal 10 4 4 2 5" xfId="984" xr:uid="{00000000-0005-0000-0000-0000FE030000}"/>
    <cellStyle name="Normal 10 4 4 2 5 2" xfId="12831" xr:uid="{00000000-0005-0000-0000-0000FF030000}"/>
    <cellStyle name="Normal 10 4 4 2 6" xfId="12832" xr:uid="{00000000-0005-0000-0000-000000040000}"/>
    <cellStyle name="Normal 10 4 4 3" xfId="985" xr:uid="{00000000-0005-0000-0000-000001040000}"/>
    <cellStyle name="Normal 10 4 4 3 2" xfId="986" xr:uid="{00000000-0005-0000-0000-000002040000}"/>
    <cellStyle name="Normal 10 4 4 3 2 2" xfId="987" xr:uid="{00000000-0005-0000-0000-000003040000}"/>
    <cellStyle name="Normal 10 4 4 3 2 2 2" xfId="12833" xr:uid="{00000000-0005-0000-0000-000004040000}"/>
    <cellStyle name="Normal 10 4 4 3 2 3" xfId="988" xr:uid="{00000000-0005-0000-0000-000005040000}"/>
    <cellStyle name="Normal 10 4 4 3 2 3 2" xfId="12834" xr:uid="{00000000-0005-0000-0000-000006040000}"/>
    <cellStyle name="Normal 10 4 4 3 2 4" xfId="12835" xr:uid="{00000000-0005-0000-0000-000007040000}"/>
    <cellStyle name="Normal 10 4 4 3 3" xfId="989" xr:uid="{00000000-0005-0000-0000-000008040000}"/>
    <cellStyle name="Normal 10 4 4 3 3 2" xfId="990" xr:uid="{00000000-0005-0000-0000-000009040000}"/>
    <cellStyle name="Normal 10 4 4 3 3 2 2" xfId="12836" xr:uid="{00000000-0005-0000-0000-00000A040000}"/>
    <cellStyle name="Normal 10 4 4 3 3 3" xfId="991" xr:uid="{00000000-0005-0000-0000-00000B040000}"/>
    <cellStyle name="Normal 10 4 4 3 3 3 2" xfId="12837" xr:uid="{00000000-0005-0000-0000-00000C040000}"/>
    <cellStyle name="Normal 10 4 4 3 3 4" xfId="12838" xr:uid="{00000000-0005-0000-0000-00000D040000}"/>
    <cellStyle name="Normal 10 4 4 3 4" xfId="992" xr:uid="{00000000-0005-0000-0000-00000E040000}"/>
    <cellStyle name="Normal 10 4 4 3 4 2" xfId="12839" xr:uid="{00000000-0005-0000-0000-00000F040000}"/>
    <cellStyle name="Normal 10 4 4 3 5" xfId="993" xr:uid="{00000000-0005-0000-0000-000010040000}"/>
    <cellStyle name="Normal 10 4 4 3 5 2" xfId="12840" xr:uid="{00000000-0005-0000-0000-000011040000}"/>
    <cellStyle name="Normal 10 4 4 3 6" xfId="12841" xr:uid="{00000000-0005-0000-0000-000012040000}"/>
    <cellStyle name="Normal 10 4 4 4" xfId="994" xr:uid="{00000000-0005-0000-0000-000013040000}"/>
    <cellStyle name="Normal 10 4 4 4 2" xfId="995" xr:uid="{00000000-0005-0000-0000-000014040000}"/>
    <cellStyle name="Normal 10 4 4 4 2 2" xfId="12842" xr:uid="{00000000-0005-0000-0000-000015040000}"/>
    <cellStyle name="Normal 10 4 4 4 3" xfId="996" xr:uid="{00000000-0005-0000-0000-000016040000}"/>
    <cellStyle name="Normal 10 4 4 4 3 2" xfId="12843" xr:uid="{00000000-0005-0000-0000-000017040000}"/>
    <cellStyle name="Normal 10 4 4 4 4" xfId="12844" xr:uid="{00000000-0005-0000-0000-000018040000}"/>
    <cellStyle name="Normal 10 4 4 5" xfId="997" xr:uid="{00000000-0005-0000-0000-000019040000}"/>
    <cellStyle name="Normal 10 4 4 5 2" xfId="998" xr:uid="{00000000-0005-0000-0000-00001A040000}"/>
    <cellStyle name="Normal 10 4 4 5 2 2" xfId="12845" xr:uid="{00000000-0005-0000-0000-00001B040000}"/>
    <cellStyle name="Normal 10 4 4 5 3" xfId="999" xr:uid="{00000000-0005-0000-0000-00001C040000}"/>
    <cellStyle name="Normal 10 4 4 5 3 2" xfId="12846" xr:uid="{00000000-0005-0000-0000-00001D040000}"/>
    <cellStyle name="Normal 10 4 4 5 4" xfId="12847" xr:uid="{00000000-0005-0000-0000-00001E040000}"/>
    <cellStyle name="Normal 10 4 4 6" xfId="1000" xr:uid="{00000000-0005-0000-0000-00001F040000}"/>
    <cellStyle name="Normal 10 4 4 6 2" xfId="12848" xr:uid="{00000000-0005-0000-0000-000020040000}"/>
    <cellStyle name="Normal 10 4 4 7" xfId="1001" xr:uid="{00000000-0005-0000-0000-000021040000}"/>
    <cellStyle name="Normal 10 4 4 7 2" xfId="12849" xr:uid="{00000000-0005-0000-0000-000022040000}"/>
    <cellStyle name="Normal 10 4 4 8" xfId="12850" xr:uid="{00000000-0005-0000-0000-000023040000}"/>
    <cellStyle name="Normal 10 4 5" xfId="1002" xr:uid="{00000000-0005-0000-0000-000024040000}"/>
    <cellStyle name="Normal 10 4 5 2" xfId="1003" xr:uid="{00000000-0005-0000-0000-000025040000}"/>
    <cellStyle name="Normal 10 4 5 2 2" xfId="1004" xr:uid="{00000000-0005-0000-0000-000026040000}"/>
    <cellStyle name="Normal 10 4 5 2 2 2" xfId="12851" xr:uid="{00000000-0005-0000-0000-000027040000}"/>
    <cellStyle name="Normal 10 4 5 2 3" xfId="1005" xr:uid="{00000000-0005-0000-0000-000028040000}"/>
    <cellStyle name="Normal 10 4 5 2 3 2" xfId="12852" xr:uid="{00000000-0005-0000-0000-000029040000}"/>
    <cellStyle name="Normal 10 4 5 2 4" xfId="12853" xr:uid="{00000000-0005-0000-0000-00002A040000}"/>
    <cellStyle name="Normal 10 4 5 3" xfId="1006" xr:uid="{00000000-0005-0000-0000-00002B040000}"/>
    <cellStyle name="Normal 10 4 5 3 2" xfId="1007" xr:uid="{00000000-0005-0000-0000-00002C040000}"/>
    <cellStyle name="Normal 10 4 5 3 2 2" xfId="12854" xr:uid="{00000000-0005-0000-0000-00002D040000}"/>
    <cellStyle name="Normal 10 4 5 3 3" xfId="1008" xr:uid="{00000000-0005-0000-0000-00002E040000}"/>
    <cellStyle name="Normal 10 4 5 3 3 2" xfId="12855" xr:uid="{00000000-0005-0000-0000-00002F040000}"/>
    <cellStyle name="Normal 10 4 5 3 4" xfId="12856" xr:uid="{00000000-0005-0000-0000-000030040000}"/>
    <cellStyle name="Normal 10 4 5 4" xfId="1009" xr:uid="{00000000-0005-0000-0000-000031040000}"/>
    <cellStyle name="Normal 10 4 5 4 2" xfId="12857" xr:uid="{00000000-0005-0000-0000-000032040000}"/>
    <cellStyle name="Normal 10 4 5 5" xfId="1010" xr:uid="{00000000-0005-0000-0000-000033040000}"/>
    <cellStyle name="Normal 10 4 5 5 2" xfId="12858" xr:uid="{00000000-0005-0000-0000-000034040000}"/>
    <cellStyle name="Normal 10 4 5 6" xfId="12859" xr:uid="{00000000-0005-0000-0000-000035040000}"/>
    <cellStyle name="Normal 10 4 6" xfId="1011" xr:uid="{00000000-0005-0000-0000-000036040000}"/>
    <cellStyle name="Normal 10 4 6 2" xfId="1012" xr:uid="{00000000-0005-0000-0000-000037040000}"/>
    <cellStyle name="Normal 10 4 6 2 2" xfId="1013" xr:uid="{00000000-0005-0000-0000-000038040000}"/>
    <cellStyle name="Normal 10 4 6 2 2 2" xfId="12860" xr:uid="{00000000-0005-0000-0000-000039040000}"/>
    <cellStyle name="Normal 10 4 6 2 3" xfId="1014" xr:uid="{00000000-0005-0000-0000-00003A040000}"/>
    <cellStyle name="Normal 10 4 6 2 3 2" xfId="12861" xr:uid="{00000000-0005-0000-0000-00003B040000}"/>
    <cellStyle name="Normal 10 4 6 2 4" xfId="12862" xr:uid="{00000000-0005-0000-0000-00003C040000}"/>
    <cellStyle name="Normal 10 4 6 3" xfId="1015" xr:uid="{00000000-0005-0000-0000-00003D040000}"/>
    <cellStyle name="Normal 10 4 6 3 2" xfId="1016" xr:uid="{00000000-0005-0000-0000-00003E040000}"/>
    <cellStyle name="Normal 10 4 6 3 2 2" xfId="12863" xr:uid="{00000000-0005-0000-0000-00003F040000}"/>
    <cellStyle name="Normal 10 4 6 3 3" xfId="1017" xr:uid="{00000000-0005-0000-0000-000040040000}"/>
    <cellStyle name="Normal 10 4 6 3 3 2" xfId="12864" xr:uid="{00000000-0005-0000-0000-000041040000}"/>
    <cellStyle name="Normal 10 4 6 3 4" xfId="12865" xr:uid="{00000000-0005-0000-0000-000042040000}"/>
    <cellStyle name="Normal 10 4 6 4" xfId="1018" xr:uid="{00000000-0005-0000-0000-000043040000}"/>
    <cellStyle name="Normal 10 4 6 4 2" xfId="12866" xr:uid="{00000000-0005-0000-0000-000044040000}"/>
    <cellStyle name="Normal 10 4 6 5" xfId="1019" xr:uid="{00000000-0005-0000-0000-000045040000}"/>
    <cellStyle name="Normal 10 4 6 5 2" xfId="12867" xr:uid="{00000000-0005-0000-0000-000046040000}"/>
    <cellStyle name="Normal 10 4 6 6" xfId="12868" xr:uid="{00000000-0005-0000-0000-000047040000}"/>
    <cellStyle name="Normal 10 4 7" xfId="1020" xr:uid="{00000000-0005-0000-0000-000048040000}"/>
    <cellStyle name="Normal 10 4 7 2" xfId="1021" xr:uid="{00000000-0005-0000-0000-000049040000}"/>
    <cellStyle name="Normal 10 4 7 2 2" xfId="1022" xr:uid="{00000000-0005-0000-0000-00004A040000}"/>
    <cellStyle name="Normal 10 4 7 2 2 2" xfId="12869" xr:uid="{00000000-0005-0000-0000-00004B040000}"/>
    <cellStyle name="Normal 10 4 7 2 3" xfId="1023" xr:uid="{00000000-0005-0000-0000-00004C040000}"/>
    <cellStyle name="Normal 10 4 7 2 3 2" xfId="12870" xr:uid="{00000000-0005-0000-0000-00004D040000}"/>
    <cellStyle name="Normal 10 4 7 2 4" xfId="12871" xr:uid="{00000000-0005-0000-0000-00004E040000}"/>
    <cellStyle name="Normal 10 4 7 3" xfId="1024" xr:uid="{00000000-0005-0000-0000-00004F040000}"/>
    <cellStyle name="Normal 10 4 7 3 2" xfId="1025" xr:uid="{00000000-0005-0000-0000-000050040000}"/>
    <cellStyle name="Normal 10 4 7 3 2 2" xfId="12872" xr:uid="{00000000-0005-0000-0000-000051040000}"/>
    <cellStyle name="Normal 10 4 7 3 3" xfId="1026" xr:uid="{00000000-0005-0000-0000-000052040000}"/>
    <cellStyle name="Normal 10 4 7 3 3 2" xfId="12873" xr:uid="{00000000-0005-0000-0000-000053040000}"/>
    <cellStyle name="Normal 10 4 7 3 4" xfId="12874" xr:uid="{00000000-0005-0000-0000-000054040000}"/>
    <cellStyle name="Normal 10 4 7 4" xfId="1027" xr:uid="{00000000-0005-0000-0000-000055040000}"/>
    <cellStyle name="Normal 10 4 7 4 2" xfId="12875" xr:uid="{00000000-0005-0000-0000-000056040000}"/>
    <cellStyle name="Normal 10 4 7 5" xfId="1028" xr:uid="{00000000-0005-0000-0000-000057040000}"/>
    <cellStyle name="Normal 10 4 7 5 2" xfId="12876" xr:uid="{00000000-0005-0000-0000-000058040000}"/>
    <cellStyle name="Normal 10 4 7 6" xfId="12877" xr:uid="{00000000-0005-0000-0000-000059040000}"/>
    <cellStyle name="Normal 10 4 8" xfId="1029" xr:uid="{00000000-0005-0000-0000-00005A040000}"/>
    <cellStyle name="Normal 10 4 8 2" xfId="1030" xr:uid="{00000000-0005-0000-0000-00005B040000}"/>
    <cellStyle name="Normal 10 4 8 2 2" xfId="12878" xr:uid="{00000000-0005-0000-0000-00005C040000}"/>
    <cellStyle name="Normal 10 4 8 3" xfId="1031" xr:uid="{00000000-0005-0000-0000-00005D040000}"/>
    <cellStyle name="Normal 10 4 8 3 2" xfId="12879" xr:uid="{00000000-0005-0000-0000-00005E040000}"/>
    <cellStyle name="Normal 10 4 8 4" xfId="12880" xr:uid="{00000000-0005-0000-0000-00005F040000}"/>
    <cellStyle name="Normal 10 4 9" xfId="1032" xr:uid="{00000000-0005-0000-0000-000060040000}"/>
    <cellStyle name="Normal 10 4 9 2" xfId="1033" xr:uid="{00000000-0005-0000-0000-000061040000}"/>
    <cellStyle name="Normal 10 4 9 2 2" xfId="12881" xr:uid="{00000000-0005-0000-0000-000062040000}"/>
    <cellStyle name="Normal 10 4 9 3" xfId="1034" xr:uid="{00000000-0005-0000-0000-000063040000}"/>
    <cellStyle name="Normal 10 4 9 3 2" xfId="12882" xr:uid="{00000000-0005-0000-0000-000064040000}"/>
    <cellStyle name="Normal 10 4 9 4" xfId="12883" xr:uid="{00000000-0005-0000-0000-000065040000}"/>
    <cellStyle name="Normal 10 5" xfId="1035" xr:uid="{00000000-0005-0000-0000-000066040000}"/>
    <cellStyle name="Normal 10 5 2" xfId="1036" xr:uid="{00000000-0005-0000-0000-000067040000}"/>
    <cellStyle name="Normal 10 5 3" xfId="1037" xr:uid="{00000000-0005-0000-0000-000068040000}"/>
    <cellStyle name="Normal 10 6" xfId="1038" xr:uid="{00000000-0005-0000-0000-000069040000}"/>
    <cellStyle name="Normal 10 7" xfId="1039" xr:uid="{00000000-0005-0000-0000-00006A040000}"/>
    <cellStyle name="Normal 100" xfId="1040" xr:uid="{00000000-0005-0000-0000-00006B040000}"/>
    <cellStyle name="Normal 100 2" xfId="10736" xr:uid="{00000000-0005-0000-0000-00006C040000}"/>
    <cellStyle name="Normal 100 2 2" xfId="10737" xr:uid="{00000000-0005-0000-0000-00006D040000}"/>
    <cellStyle name="Normal 100 2 2 2" xfId="10738" xr:uid="{00000000-0005-0000-0000-00006E040000}"/>
    <cellStyle name="Normal 100 2 2 2 2" xfId="12636" xr:uid="{00000000-0005-0000-0000-00006F040000}"/>
    <cellStyle name="Normal 100 2 2 3" xfId="12619" xr:uid="{00000000-0005-0000-0000-000070040000}"/>
    <cellStyle name="Normal 100 2 3" xfId="10739" xr:uid="{00000000-0005-0000-0000-000071040000}"/>
    <cellStyle name="Normal 100 2 3 2" xfId="12637" xr:uid="{00000000-0005-0000-0000-000072040000}"/>
    <cellStyle name="Normal 100 2 4" xfId="12163" xr:uid="{00000000-0005-0000-0000-000073040000}"/>
    <cellStyle name="Normal 100 3" xfId="10740" xr:uid="{00000000-0005-0000-0000-000074040000}"/>
    <cellStyle name="Normal 100 3 2" xfId="10741" xr:uid="{00000000-0005-0000-0000-000075040000}"/>
    <cellStyle name="Normal 100 3 2 2" xfId="12638" xr:uid="{00000000-0005-0000-0000-000076040000}"/>
    <cellStyle name="Normal 100 3 3" xfId="12187" xr:uid="{00000000-0005-0000-0000-000077040000}"/>
    <cellStyle name="Normal 100 4" xfId="10742" xr:uid="{00000000-0005-0000-0000-000078040000}"/>
    <cellStyle name="Normal 100 4 2" xfId="12188" xr:uid="{00000000-0005-0000-0000-000079040000}"/>
    <cellStyle name="Normal 100 5" xfId="10743" xr:uid="{00000000-0005-0000-0000-00007A040000}"/>
    <cellStyle name="Normal 100 5 2" xfId="12189" xr:uid="{00000000-0005-0000-0000-00007B040000}"/>
    <cellStyle name="Normal 100 6" xfId="10744" xr:uid="{00000000-0005-0000-0000-00007C040000}"/>
    <cellStyle name="Normal 100 7" xfId="12162" xr:uid="{00000000-0005-0000-0000-00007D040000}"/>
    <cellStyle name="Normal 101" xfId="1041" xr:uid="{00000000-0005-0000-0000-00007E040000}"/>
    <cellStyle name="Normal 101 2" xfId="10745" xr:uid="{00000000-0005-0000-0000-00007F040000}"/>
    <cellStyle name="Normal 101 2 2" xfId="12191" xr:uid="{00000000-0005-0000-0000-000080040000}"/>
    <cellStyle name="Normal 101 3" xfId="12190" xr:uid="{00000000-0005-0000-0000-000081040000}"/>
    <cellStyle name="Normal 102" xfId="1042" xr:uid="{00000000-0005-0000-0000-000082040000}"/>
    <cellStyle name="Normal 102 2" xfId="10746" xr:uid="{00000000-0005-0000-0000-000083040000}"/>
    <cellStyle name="Normal 102 2 2" xfId="12193" xr:uid="{00000000-0005-0000-0000-000084040000}"/>
    <cellStyle name="Normal 102 3" xfId="12192" xr:uid="{00000000-0005-0000-0000-000085040000}"/>
    <cellStyle name="Normal 103" xfId="1043" xr:uid="{00000000-0005-0000-0000-000086040000}"/>
    <cellStyle name="Normal 104" xfId="1044" xr:uid="{00000000-0005-0000-0000-000087040000}"/>
    <cellStyle name="Normal 105" xfId="1045" xr:uid="{00000000-0005-0000-0000-000088040000}"/>
    <cellStyle name="Normal 105 2" xfId="12184" xr:uid="{00000000-0005-0000-0000-000089040000}"/>
    <cellStyle name="Normal 106" xfId="1046" xr:uid="{00000000-0005-0000-0000-00008A040000}"/>
    <cellStyle name="Normal 106 2" xfId="12194" xr:uid="{00000000-0005-0000-0000-00008B040000}"/>
    <cellStyle name="Normal 107" xfId="1047" xr:uid="{00000000-0005-0000-0000-00008C040000}"/>
    <cellStyle name="Normal 107 2" xfId="12195" xr:uid="{00000000-0005-0000-0000-00008D040000}"/>
    <cellStyle name="Normal 108" xfId="1048" xr:uid="{00000000-0005-0000-0000-00008E040000}"/>
    <cellStyle name="Normal 108 2" xfId="12196" xr:uid="{00000000-0005-0000-0000-00008F040000}"/>
    <cellStyle name="Normal 109" xfId="1049" xr:uid="{00000000-0005-0000-0000-000090040000}"/>
    <cellStyle name="Normal 109 2" xfId="12618" xr:uid="{00000000-0005-0000-0000-000091040000}"/>
    <cellStyle name="Normal 11" xfId="41" xr:uid="{00000000-0005-0000-0000-000092040000}"/>
    <cellStyle name="Normal 11 2" xfId="42" xr:uid="{00000000-0005-0000-0000-000093040000}"/>
    <cellStyle name="Normal 11 2 2" xfId="1050" xr:uid="{00000000-0005-0000-0000-000094040000}"/>
    <cellStyle name="Normal 11 2 2 2" xfId="12639" xr:uid="{00000000-0005-0000-0000-000095040000}"/>
    <cellStyle name="Normal 11 2 3" xfId="1051" xr:uid="{00000000-0005-0000-0000-000096040000}"/>
    <cellStyle name="Normal 11 2 4" xfId="12620" xr:uid="{00000000-0005-0000-0000-000097040000}"/>
    <cellStyle name="Normal 11 3" xfId="1052" xr:uid="{00000000-0005-0000-0000-000098040000}"/>
    <cellStyle name="Normal 11 3 2" xfId="1053" xr:uid="{00000000-0005-0000-0000-000099040000}"/>
    <cellStyle name="Normal 11 3 3" xfId="1054" xr:uid="{00000000-0005-0000-0000-00009A040000}"/>
    <cellStyle name="Normal 11 3 4" xfId="12640" xr:uid="{00000000-0005-0000-0000-00009B040000}"/>
    <cellStyle name="Normal 11 4" xfId="1055" xr:uid="{00000000-0005-0000-0000-00009C040000}"/>
    <cellStyle name="Normal 11 5" xfId="1056" xr:uid="{00000000-0005-0000-0000-00009D040000}"/>
    <cellStyle name="Normal 11 6" xfId="12164" xr:uid="{00000000-0005-0000-0000-00009E040000}"/>
    <cellStyle name="Normal 110" xfId="1057" xr:uid="{00000000-0005-0000-0000-00009F040000}"/>
    <cellStyle name="Normal 111" xfId="1058" xr:uid="{00000000-0005-0000-0000-0000A0040000}"/>
    <cellStyle name="Normal 112" xfId="1059" xr:uid="{00000000-0005-0000-0000-0000A1040000}"/>
    <cellStyle name="Normal 112 2" xfId="12687" xr:uid="{00000000-0005-0000-0000-0000A2040000}"/>
    <cellStyle name="Normal 113" xfId="1060" xr:uid="{00000000-0005-0000-0000-0000A3040000}"/>
    <cellStyle name="Normal 113 2" xfId="10648" xr:uid="{00000000-0005-0000-0000-0000A4040000}"/>
    <cellStyle name="Normal 113 3" xfId="12688" xr:uid="{00000000-0005-0000-0000-0000A5040000}"/>
    <cellStyle name="Normal 114" xfId="1061" xr:uid="{00000000-0005-0000-0000-0000A6040000}"/>
    <cellStyle name="Normal 115" xfId="1062" xr:uid="{00000000-0005-0000-0000-0000A7040000}"/>
    <cellStyle name="Normal 116" xfId="1063" xr:uid="{00000000-0005-0000-0000-0000A8040000}"/>
    <cellStyle name="Normal 117" xfId="1064" xr:uid="{00000000-0005-0000-0000-0000A9040000}"/>
    <cellStyle name="Normal 118" xfId="1065" xr:uid="{00000000-0005-0000-0000-0000AA040000}"/>
    <cellStyle name="Normal 119" xfId="1066" xr:uid="{00000000-0005-0000-0000-0000AB040000}"/>
    <cellStyle name="Normal 12" xfId="43" xr:uid="{00000000-0005-0000-0000-0000AC040000}"/>
    <cellStyle name="Normal 12 2" xfId="44" xr:uid="{00000000-0005-0000-0000-0000AD040000}"/>
    <cellStyle name="Normal 12 2 2" xfId="1067" xr:uid="{00000000-0005-0000-0000-0000AE040000}"/>
    <cellStyle name="Normal 12 2 2 2" xfId="12641" xr:uid="{00000000-0005-0000-0000-0000AF040000}"/>
    <cellStyle name="Normal 12 2 3" xfId="1068" xr:uid="{00000000-0005-0000-0000-0000B0040000}"/>
    <cellStyle name="Normal 12 2 4" xfId="12621" xr:uid="{00000000-0005-0000-0000-0000B1040000}"/>
    <cellStyle name="Normal 12 3" xfId="1069" xr:uid="{00000000-0005-0000-0000-0000B2040000}"/>
    <cellStyle name="Normal 12 3 2" xfId="1070" xr:uid="{00000000-0005-0000-0000-0000B3040000}"/>
    <cellStyle name="Normal 12 3 3" xfId="1071" xr:uid="{00000000-0005-0000-0000-0000B4040000}"/>
    <cellStyle name="Normal 12 3 4" xfId="12642" xr:uid="{00000000-0005-0000-0000-0000B5040000}"/>
    <cellStyle name="Normal 12 4" xfId="1072" xr:uid="{00000000-0005-0000-0000-0000B6040000}"/>
    <cellStyle name="Normal 12 5" xfId="1073" xr:uid="{00000000-0005-0000-0000-0000B7040000}"/>
    <cellStyle name="Normal 12 6" xfId="12170" xr:uid="{00000000-0005-0000-0000-0000B8040000}"/>
    <cellStyle name="Normal 120" xfId="1074" xr:uid="{00000000-0005-0000-0000-0000B9040000}"/>
    <cellStyle name="Normal 121" xfId="1075" xr:uid="{00000000-0005-0000-0000-0000BA040000}"/>
    <cellStyle name="Normal 122" xfId="1076" xr:uid="{00000000-0005-0000-0000-0000BB040000}"/>
    <cellStyle name="Normal 123" xfId="1077" xr:uid="{00000000-0005-0000-0000-0000BC040000}"/>
    <cellStyle name="Normal 124" xfId="1078" xr:uid="{00000000-0005-0000-0000-0000BD040000}"/>
    <cellStyle name="Normal 125" xfId="1079" xr:uid="{00000000-0005-0000-0000-0000BE040000}"/>
    <cellStyle name="Normal 126" xfId="1080" xr:uid="{00000000-0005-0000-0000-0000BF040000}"/>
    <cellStyle name="Normal 127" xfId="1081" xr:uid="{00000000-0005-0000-0000-0000C0040000}"/>
    <cellStyle name="Normal 128" xfId="1082" xr:uid="{00000000-0005-0000-0000-0000C1040000}"/>
    <cellStyle name="Normal 129" xfId="1083" xr:uid="{00000000-0005-0000-0000-0000C2040000}"/>
    <cellStyle name="Normal 13" xfId="45" xr:uid="{00000000-0005-0000-0000-0000C3040000}"/>
    <cellStyle name="Normal 13 2" xfId="46" xr:uid="{00000000-0005-0000-0000-0000C4040000}"/>
    <cellStyle name="Normal 13 2 2" xfId="1084" xr:uid="{00000000-0005-0000-0000-0000C5040000}"/>
    <cellStyle name="Normal 13 2 2 2" xfId="12643" xr:uid="{00000000-0005-0000-0000-0000C6040000}"/>
    <cellStyle name="Normal 13 2 3" xfId="1085" xr:uid="{00000000-0005-0000-0000-0000C7040000}"/>
    <cellStyle name="Normal 13 2 4" xfId="12622" xr:uid="{00000000-0005-0000-0000-0000C8040000}"/>
    <cellStyle name="Normal 13 3" xfId="1086" xr:uid="{00000000-0005-0000-0000-0000C9040000}"/>
    <cellStyle name="Normal 13 3 2" xfId="12644" xr:uid="{00000000-0005-0000-0000-0000CA040000}"/>
    <cellStyle name="Normal 13 4" xfId="1087" xr:uid="{00000000-0005-0000-0000-0000CB040000}"/>
    <cellStyle name="Normal 13 5" xfId="12171" xr:uid="{00000000-0005-0000-0000-0000CC040000}"/>
    <cellStyle name="Normal 130" xfId="1088" xr:uid="{00000000-0005-0000-0000-0000CD040000}"/>
    <cellStyle name="Normal 131" xfId="1089" xr:uid="{00000000-0005-0000-0000-0000CE040000}"/>
    <cellStyle name="Normal 132" xfId="1090" xr:uid="{00000000-0005-0000-0000-0000CF040000}"/>
    <cellStyle name="Normal 133" xfId="1091" xr:uid="{00000000-0005-0000-0000-0000D0040000}"/>
    <cellStyle name="Normal 134" xfId="1092" xr:uid="{00000000-0005-0000-0000-0000D1040000}"/>
    <cellStyle name="Normal 135" xfId="1093" xr:uid="{00000000-0005-0000-0000-0000D2040000}"/>
    <cellStyle name="Normal 136" xfId="1094" xr:uid="{00000000-0005-0000-0000-0000D3040000}"/>
    <cellStyle name="Normal 137" xfId="1095" xr:uid="{00000000-0005-0000-0000-0000D4040000}"/>
    <cellStyle name="Normal 138" xfId="1096" xr:uid="{00000000-0005-0000-0000-0000D5040000}"/>
    <cellStyle name="Normal 139" xfId="1097" xr:uid="{00000000-0005-0000-0000-0000D6040000}"/>
    <cellStyle name="Normal 14" xfId="47" xr:uid="{00000000-0005-0000-0000-0000D7040000}"/>
    <cellStyle name="Normal 14 2" xfId="48" xr:uid="{00000000-0005-0000-0000-0000D8040000}"/>
    <cellStyle name="Normal 14 2 2" xfId="1098" xr:uid="{00000000-0005-0000-0000-0000D9040000}"/>
    <cellStyle name="Normal 14 2 3" xfId="1099" xr:uid="{00000000-0005-0000-0000-0000DA040000}"/>
    <cellStyle name="Normal 14 3" xfId="1100" xr:uid="{00000000-0005-0000-0000-0000DB040000}"/>
    <cellStyle name="Normal 14 4" xfId="1101" xr:uid="{00000000-0005-0000-0000-0000DC040000}"/>
    <cellStyle name="Normal 14 5" xfId="12172" xr:uid="{00000000-0005-0000-0000-0000DD040000}"/>
    <cellStyle name="Normal 140" xfId="1102" xr:uid="{00000000-0005-0000-0000-0000DE040000}"/>
    <cellStyle name="Normal 141" xfId="1103" xr:uid="{00000000-0005-0000-0000-0000DF040000}"/>
    <cellStyle name="Normal 142" xfId="1104" xr:uid="{00000000-0005-0000-0000-0000E0040000}"/>
    <cellStyle name="Normal 143" xfId="1105" xr:uid="{00000000-0005-0000-0000-0000E1040000}"/>
    <cellStyle name="Normal 144" xfId="1106" xr:uid="{00000000-0005-0000-0000-0000E2040000}"/>
    <cellStyle name="Normal 145" xfId="1107" xr:uid="{00000000-0005-0000-0000-0000E3040000}"/>
    <cellStyle name="Normal 146" xfId="1108" xr:uid="{00000000-0005-0000-0000-0000E4040000}"/>
    <cellStyle name="Normal 147" xfId="1109" xr:uid="{00000000-0005-0000-0000-0000E5040000}"/>
    <cellStyle name="Normal 148" xfId="1110" xr:uid="{00000000-0005-0000-0000-0000E6040000}"/>
    <cellStyle name="Normal 149" xfId="1111" xr:uid="{00000000-0005-0000-0000-0000E7040000}"/>
    <cellStyle name="Normal 15" xfId="49" xr:uid="{00000000-0005-0000-0000-0000E8040000}"/>
    <cellStyle name="Normal 15 2" xfId="50" xr:uid="{00000000-0005-0000-0000-0000E9040000}"/>
    <cellStyle name="Normal 15 2 2" xfId="1112" xr:uid="{00000000-0005-0000-0000-0000EA040000}"/>
    <cellStyle name="Normal 15 2 3" xfId="1113" xr:uid="{00000000-0005-0000-0000-0000EB040000}"/>
    <cellStyle name="Normal 15 2 4" xfId="12645" xr:uid="{00000000-0005-0000-0000-0000EC040000}"/>
    <cellStyle name="Normal 15 3" xfId="1114" xr:uid="{00000000-0005-0000-0000-0000ED040000}"/>
    <cellStyle name="Normal 15 3 2" xfId="1115" xr:uid="{00000000-0005-0000-0000-0000EE040000}"/>
    <cellStyle name="Normal 15 3 3" xfId="1116" xr:uid="{00000000-0005-0000-0000-0000EF040000}"/>
    <cellStyle name="Normal 15 4" xfId="1117" xr:uid="{00000000-0005-0000-0000-0000F0040000}"/>
    <cellStyle name="Normal 15 5" xfId="1118" xr:uid="{00000000-0005-0000-0000-0000F1040000}"/>
    <cellStyle name="Normal 15 6" xfId="12173" xr:uid="{00000000-0005-0000-0000-0000F2040000}"/>
    <cellStyle name="Normal 150" xfId="1119" xr:uid="{00000000-0005-0000-0000-0000F3040000}"/>
    <cellStyle name="Normal 151" xfId="1120" xr:uid="{00000000-0005-0000-0000-0000F4040000}"/>
    <cellStyle name="Normal 152" xfId="1121" xr:uid="{00000000-0005-0000-0000-0000F5040000}"/>
    <cellStyle name="Normal 153" xfId="1122" xr:uid="{00000000-0005-0000-0000-0000F6040000}"/>
    <cellStyle name="Normal 154" xfId="1123" xr:uid="{00000000-0005-0000-0000-0000F7040000}"/>
    <cellStyle name="Normal 155" xfId="1124" xr:uid="{00000000-0005-0000-0000-0000F8040000}"/>
    <cellStyle name="Normal 156" xfId="1125" xr:uid="{00000000-0005-0000-0000-0000F9040000}"/>
    <cellStyle name="Normal 157" xfId="1126" xr:uid="{00000000-0005-0000-0000-0000FA040000}"/>
    <cellStyle name="Normal 158" xfId="1127" xr:uid="{00000000-0005-0000-0000-0000FB040000}"/>
    <cellStyle name="Normal 159" xfId="1128" xr:uid="{00000000-0005-0000-0000-0000FC040000}"/>
    <cellStyle name="Normal 16" xfId="51" xr:uid="{00000000-0005-0000-0000-0000FD040000}"/>
    <cellStyle name="Normal 16 2" xfId="52" xr:uid="{00000000-0005-0000-0000-0000FE040000}"/>
    <cellStyle name="Normal 16 2 2" xfId="1129" xr:uid="{00000000-0005-0000-0000-0000FF040000}"/>
    <cellStyle name="Normal 16 2 3" xfId="1130" xr:uid="{00000000-0005-0000-0000-000000050000}"/>
    <cellStyle name="Normal 16 2 4" xfId="12185" xr:uid="{00000000-0005-0000-0000-000001050000}"/>
    <cellStyle name="Normal 16 3" xfId="1131" xr:uid="{00000000-0005-0000-0000-000002050000}"/>
    <cellStyle name="Normal 16 3 2" xfId="1132" xr:uid="{00000000-0005-0000-0000-000003050000}"/>
    <cellStyle name="Normal 16 3 3" xfId="1133" xr:uid="{00000000-0005-0000-0000-000004050000}"/>
    <cellStyle name="Normal 16 4" xfId="1134" xr:uid="{00000000-0005-0000-0000-000005050000}"/>
    <cellStyle name="Normal 16 5" xfId="1135" xr:uid="{00000000-0005-0000-0000-000006050000}"/>
    <cellStyle name="Normal 16 6" xfId="12174" xr:uid="{00000000-0005-0000-0000-000007050000}"/>
    <cellStyle name="Normal 160" xfId="1136" xr:uid="{00000000-0005-0000-0000-000008050000}"/>
    <cellStyle name="Normal 161" xfId="1137" xr:uid="{00000000-0005-0000-0000-000009050000}"/>
    <cellStyle name="Normal 162" xfId="1138" xr:uid="{00000000-0005-0000-0000-00000A050000}"/>
    <cellStyle name="Normal 163" xfId="1139" xr:uid="{00000000-0005-0000-0000-00000B050000}"/>
    <cellStyle name="Normal 164" xfId="1140" xr:uid="{00000000-0005-0000-0000-00000C050000}"/>
    <cellStyle name="Normal 165" xfId="1141" xr:uid="{00000000-0005-0000-0000-00000D050000}"/>
    <cellStyle name="Normal 166" xfId="1142" xr:uid="{00000000-0005-0000-0000-00000E050000}"/>
    <cellStyle name="Normal 167" xfId="1143" xr:uid="{00000000-0005-0000-0000-00000F050000}"/>
    <cellStyle name="Normal 168" xfId="1144" xr:uid="{00000000-0005-0000-0000-000010050000}"/>
    <cellStyle name="Normal 169" xfId="1145" xr:uid="{00000000-0005-0000-0000-000011050000}"/>
    <cellStyle name="Normal 17" xfId="53" xr:uid="{00000000-0005-0000-0000-000012050000}"/>
    <cellStyle name="Normal 17 2" xfId="54" xr:uid="{00000000-0005-0000-0000-000013050000}"/>
    <cellStyle name="Normal 17 2 2" xfId="1146" xr:uid="{00000000-0005-0000-0000-000014050000}"/>
    <cellStyle name="Normal 17 2 3" xfId="1147" xr:uid="{00000000-0005-0000-0000-000015050000}"/>
    <cellStyle name="Normal 17 3" xfId="1148" xr:uid="{00000000-0005-0000-0000-000016050000}"/>
    <cellStyle name="Normal 17 3 2" xfId="1149" xr:uid="{00000000-0005-0000-0000-000017050000}"/>
    <cellStyle name="Normal 17 3 3" xfId="1150" xr:uid="{00000000-0005-0000-0000-000018050000}"/>
    <cellStyle name="Normal 17 4" xfId="1151" xr:uid="{00000000-0005-0000-0000-000019050000}"/>
    <cellStyle name="Normal 17 5" xfId="1152" xr:uid="{00000000-0005-0000-0000-00001A050000}"/>
    <cellStyle name="Normal 17 6" xfId="12197" xr:uid="{00000000-0005-0000-0000-00001B050000}"/>
    <cellStyle name="Normal 170" xfId="1153" xr:uid="{00000000-0005-0000-0000-00001C050000}"/>
    <cellStyle name="Normal 171" xfId="1154" xr:uid="{00000000-0005-0000-0000-00001D050000}"/>
    <cellStyle name="Normal 172" xfId="1155" xr:uid="{00000000-0005-0000-0000-00001E050000}"/>
    <cellStyle name="Normal 173" xfId="1156" xr:uid="{00000000-0005-0000-0000-00001F050000}"/>
    <cellStyle name="Normal 174" xfId="1157" xr:uid="{00000000-0005-0000-0000-000020050000}"/>
    <cellStyle name="Normal 175" xfId="1158" xr:uid="{00000000-0005-0000-0000-000021050000}"/>
    <cellStyle name="Normal 176" xfId="1159" xr:uid="{00000000-0005-0000-0000-000022050000}"/>
    <cellStyle name="Normal 177" xfId="1160" xr:uid="{00000000-0005-0000-0000-000023050000}"/>
    <cellStyle name="Normal 178" xfId="1161" xr:uid="{00000000-0005-0000-0000-000024050000}"/>
    <cellStyle name="Normal 179" xfId="1162" xr:uid="{00000000-0005-0000-0000-000025050000}"/>
    <cellStyle name="Normal 18" xfId="55" xr:uid="{00000000-0005-0000-0000-000026050000}"/>
    <cellStyle name="Normal 18 2" xfId="56" xr:uid="{00000000-0005-0000-0000-000027050000}"/>
    <cellStyle name="Normal 18 2 2" xfId="1163" xr:uid="{00000000-0005-0000-0000-000028050000}"/>
    <cellStyle name="Normal 18 2 3" xfId="1164" xr:uid="{00000000-0005-0000-0000-000029050000}"/>
    <cellStyle name="Normal 18 3" xfId="1165" xr:uid="{00000000-0005-0000-0000-00002A050000}"/>
    <cellStyle name="Normal 18 3 2" xfId="1166" xr:uid="{00000000-0005-0000-0000-00002B050000}"/>
    <cellStyle name="Normal 18 3 3" xfId="1167" xr:uid="{00000000-0005-0000-0000-00002C050000}"/>
    <cellStyle name="Normal 18 4" xfId="1168" xr:uid="{00000000-0005-0000-0000-00002D050000}"/>
    <cellStyle name="Normal 18 5" xfId="1169" xr:uid="{00000000-0005-0000-0000-00002E050000}"/>
    <cellStyle name="Normal 18 6" xfId="12198" xr:uid="{00000000-0005-0000-0000-00002F050000}"/>
    <cellStyle name="Normal 180" xfId="1170" xr:uid="{00000000-0005-0000-0000-000030050000}"/>
    <cellStyle name="Normal 181" xfId="1171" xr:uid="{00000000-0005-0000-0000-000031050000}"/>
    <cellStyle name="Normal 182" xfId="1172" xr:uid="{00000000-0005-0000-0000-000032050000}"/>
    <cellStyle name="Normal 183" xfId="1173" xr:uid="{00000000-0005-0000-0000-000033050000}"/>
    <cellStyle name="Normal 184" xfId="1174" xr:uid="{00000000-0005-0000-0000-000034050000}"/>
    <cellStyle name="Normal 185" xfId="1175" xr:uid="{00000000-0005-0000-0000-000035050000}"/>
    <cellStyle name="Normal 186" xfId="1176" xr:uid="{00000000-0005-0000-0000-000036050000}"/>
    <cellStyle name="Normal 187" xfId="1177" xr:uid="{00000000-0005-0000-0000-000037050000}"/>
    <cellStyle name="Normal 188" xfId="1178" xr:uid="{00000000-0005-0000-0000-000038050000}"/>
    <cellStyle name="Normal 189" xfId="1179" xr:uid="{00000000-0005-0000-0000-000039050000}"/>
    <cellStyle name="Normal 19" xfId="57" xr:uid="{00000000-0005-0000-0000-00003A050000}"/>
    <cellStyle name="Normal 19 2" xfId="58" xr:uid="{00000000-0005-0000-0000-00003B050000}"/>
    <cellStyle name="Normal 19 2 2" xfId="59" xr:uid="{00000000-0005-0000-0000-00003C050000}"/>
    <cellStyle name="Normal 19 2 3" xfId="60" xr:uid="{00000000-0005-0000-0000-00003D050000}"/>
    <cellStyle name="Normal 19 2 4" xfId="1180" xr:uid="{00000000-0005-0000-0000-00003E050000}"/>
    <cellStyle name="Normal 19 3" xfId="61" xr:uid="{00000000-0005-0000-0000-00003F050000}"/>
    <cellStyle name="Normal 19 3 2" xfId="1181" xr:uid="{00000000-0005-0000-0000-000040050000}"/>
    <cellStyle name="Normal 19 3 3" xfId="1182" xr:uid="{00000000-0005-0000-0000-000041050000}"/>
    <cellStyle name="Normal 19 4" xfId="62" xr:uid="{00000000-0005-0000-0000-000042050000}"/>
    <cellStyle name="Normal 19 5" xfId="1183" xr:uid="{00000000-0005-0000-0000-000043050000}"/>
    <cellStyle name="Normal 19 6" xfId="12199" xr:uid="{00000000-0005-0000-0000-000044050000}"/>
    <cellStyle name="Normal 190" xfId="1184" xr:uid="{00000000-0005-0000-0000-000045050000}"/>
    <cellStyle name="Normal 191" xfId="1185" xr:uid="{00000000-0005-0000-0000-000046050000}"/>
    <cellStyle name="Normal 192" xfId="1186" xr:uid="{00000000-0005-0000-0000-000047050000}"/>
    <cellStyle name="Normal 193" xfId="1187" xr:uid="{00000000-0005-0000-0000-000048050000}"/>
    <cellStyle name="Normal 194" xfId="1188" xr:uid="{00000000-0005-0000-0000-000049050000}"/>
    <cellStyle name="Normal 195" xfId="1189" xr:uid="{00000000-0005-0000-0000-00004A050000}"/>
    <cellStyle name="Normal 196" xfId="1190" xr:uid="{00000000-0005-0000-0000-00004B050000}"/>
    <cellStyle name="Normal 197" xfId="1191" xr:uid="{00000000-0005-0000-0000-00004C050000}"/>
    <cellStyle name="Normal 198" xfId="1192" xr:uid="{00000000-0005-0000-0000-00004D050000}"/>
    <cellStyle name="Normal 199" xfId="1193" xr:uid="{00000000-0005-0000-0000-00004E050000}"/>
    <cellStyle name="Normal 2" xfId="63" xr:uid="{00000000-0005-0000-0000-00004F050000}"/>
    <cellStyle name="Normal 2 10" xfId="1194" xr:uid="{00000000-0005-0000-0000-000050050000}"/>
    <cellStyle name="Normal 2 10 2" xfId="1195" xr:uid="{00000000-0005-0000-0000-000051050000}"/>
    <cellStyle name="Normal 2 10 2 2" xfId="1196" xr:uid="{00000000-0005-0000-0000-000052050000}"/>
    <cellStyle name="Normal 2 10 2 3" xfId="1197" xr:uid="{00000000-0005-0000-0000-000053050000}"/>
    <cellStyle name="Normal 2 10 2 4" xfId="12201" xr:uid="{00000000-0005-0000-0000-000054050000}"/>
    <cellStyle name="Normal 2 10 3" xfId="1198" xr:uid="{00000000-0005-0000-0000-000055050000}"/>
    <cellStyle name="Normal 2 10 3 2" xfId="12202" xr:uid="{00000000-0005-0000-0000-000056050000}"/>
    <cellStyle name="Normal 2 10 4" xfId="1199" xr:uid="{00000000-0005-0000-0000-000057050000}"/>
    <cellStyle name="Normal 2 10 5" xfId="12200" xr:uid="{00000000-0005-0000-0000-000058050000}"/>
    <cellStyle name="Normal 2 11" xfId="10747" xr:uid="{00000000-0005-0000-0000-000059050000}"/>
    <cellStyle name="Normal 2 11 2" xfId="10748" xr:uid="{00000000-0005-0000-0000-00005A050000}"/>
    <cellStyle name="Normal 2 11 2 2" xfId="12204" xr:uid="{00000000-0005-0000-0000-00005B050000}"/>
    <cellStyle name="Normal 2 11 3" xfId="10749" xr:uid="{00000000-0005-0000-0000-00005C050000}"/>
    <cellStyle name="Normal 2 11 3 2" xfId="12205" xr:uid="{00000000-0005-0000-0000-00005D050000}"/>
    <cellStyle name="Normal 2 11 4" xfId="12203" xr:uid="{00000000-0005-0000-0000-00005E050000}"/>
    <cellStyle name="Normal 2 12" xfId="10750" xr:uid="{00000000-0005-0000-0000-00005F050000}"/>
    <cellStyle name="Normal 2 13" xfId="10751" xr:uid="{00000000-0005-0000-0000-000060050000}"/>
    <cellStyle name="Normal 2 14" xfId="10752" xr:uid="{00000000-0005-0000-0000-000061050000}"/>
    <cellStyle name="Normal 2 15" xfId="10753" xr:uid="{00000000-0005-0000-0000-000062050000}"/>
    <cellStyle name="Normal 2 16" xfId="10754" xr:uid="{00000000-0005-0000-0000-000063050000}"/>
    <cellStyle name="Normal 2 2" xfId="64" xr:uid="{00000000-0005-0000-0000-000064050000}"/>
    <cellStyle name="Normal 2 2 2" xfId="1200" xr:uid="{00000000-0005-0000-0000-000065050000}"/>
    <cellStyle name="Normal 2 2 2 2" xfId="1201" xr:uid="{00000000-0005-0000-0000-000066050000}"/>
    <cellStyle name="Normal 2 2 2 2 2" xfId="12206" xr:uid="{00000000-0005-0000-0000-000067050000}"/>
    <cellStyle name="Normal 2 2 2 3" xfId="1202" xr:uid="{00000000-0005-0000-0000-000068050000}"/>
    <cellStyle name="Normal 2 2 3" xfId="1203" xr:uid="{00000000-0005-0000-0000-000069050000}"/>
    <cellStyle name="Normal 2 2 3 2" xfId="12186" xr:uid="{00000000-0005-0000-0000-00006A050000}"/>
    <cellStyle name="Normal 2 2 4" xfId="1204" xr:uid="{00000000-0005-0000-0000-00006B050000}"/>
    <cellStyle name="Normal 2 2 4 2" xfId="12207" xr:uid="{00000000-0005-0000-0000-00006C050000}"/>
    <cellStyle name="Normal 2 2 5" xfId="1205" xr:uid="{00000000-0005-0000-0000-00006D050000}"/>
    <cellStyle name="Normal 2 2 5 2" xfId="12208" xr:uid="{00000000-0005-0000-0000-00006E050000}"/>
    <cellStyle name="Normal 2 2 6" xfId="1206" xr:uid="{00000000-0005-0000-0000-00006F050000}"/>
    <cellStyle name="Normal 2 2 6 2" xfId="12209" xr:uid="{00000000-0005-0000-0000-000070050000}"/>
    <cellStyle name="Normal 2 2 7" xfId="1207" xr:uid="{00000000-0005-0000-0000-000071050000}"/>
    <cellStyle name="Normal 2 2 7 2" xfId="12210" xr:uid="{00000000-0005-0000-0000-000072050000}"/>
    <cellStyle name="Normal 2 2 8" xfId="1208" xr:uid="{00000000-0005-0000-0000-000073050000}"/>
    <cellStyle name="Normal 2 2 8 2" xfId="12211" xr:uid="{00000000-0005-0000-0000-000074050000}"/>
    <cellStyle name="Normal 2 2 9" xfId="10755" xr:uid="{00000000-0005-0000-0000-000075050000}"/>
    <cellStyle name="Normal 2 2 9 2" xfId="12212" xr:uid="{00000000-0005-0000-0000-000076050000}"/>
    <cellStyle name="Normal 2 2_Broolshire X-Over.Site Emissions" xfId="1209" xr:uid="{00000000-0005-0000-0000-000077050000}"/>
    <cellStyle name="Normal 2 3" xfId="65" xr:uid="{00000000-0005-0000-0000-000078050000}"/>
    <cellStyle name="Normal 2 3 2" xfId="66" xr:uid="{00000000-0005-0000-0000-000079050000}"/>
    <cellStyle name="Normal 2 3 3" xfId="1210" xr:uid="{00000000-0005-0000-0000-00007A050000}"/>
    <cellStyle name="Normal 2 3 4" xfId="12213" xr:uid="{00000000-0005-0000-0000-00007B050000}"/>
    <cellStyle name="Normal 2 4" xfId="67" xr:uid="{00000000-0005-0000-0000-00007C050000}"/>
    <cellStyle name="Normal 2 4 2" xfId="68" xr:uid="{00000000-0005-0000-0000-00007D050000}"/>
    <cellStyle name="Normal 2 4 2 2" xfId="1211" xr:uid="{00000000-0005-0000-0000-00007E050000}"/>
    <cellStyle name="Normal 2 4 3" xfId="69" xr:uid="{00000000-0005-0000-0000-00007F050000}"/>
    <cellStyle name="Normal 2 4 4" xfId="1212" xr:uid="{00000000-0005-0000-0000-000080050000}"/>
    <cellStyle name="Normal 2 4 5" xfId="12214" xr:uid="{00000000-0005-0000-0000-000081050000}"/>
    <cellStyle name="Normal 2 5" xfId="70" xr:uid="{00000000-0005-0000-0000-000082050000}"/>
    <cellStyle name="Normal 2 5 2" xfId="1213" xr:uid="{00000000-0005-0000-0000-000083050000}"/>
    <cellStyle name="Normal 2 5 2 2" xfId="1214" xr:uid="{00000000-0005-0000-0000-000084050000}"/>
    <cellStyle name="Normal 2 5 2 2 2" xfId="12884" xr:uid="{00000000-0005-0000-0000-000085050000}"/>
    <cellStyle name="Normal 2 5 2 3" xfId="1215" xr:uid="{00000000-0005-0000-0000-000086050000}"/>
    <cellStyle name="Normal 2 5 2 3 2" xfId="12885" xr:uid="{00000000-0005-0000-0000-000087050000}"/>
    <cellStyle name="Normal 2 5 2 4" xfId="12886" xr:uid="{00000000-0005-0000-0000-000088050000}"/>
    <cellStyle name="Normal 2 5 3" xfId="1216" xr:uid="{00000000-0005-0000-0000-000089050000}"/>
    <cellStyle name="Normal 2 5 3 2" xfId="1217" xr:uid="{00000000-0005-0000-0000-00008A050000}"/>
    <cellStyle name="Normal 2 5 3 2 2" xfId="12887" xr:uid="{00000000-0005-0000-0000-00008B050000}"/>
    <cellStyle name="Normal 2 5 3 3" xfId="1218" xr:uid="{00000000-0005-0000-0000-00008C050000}"/>
    <cellStyle name="Normal 2 5 3 3 2" xfId="12888" xr:uid="{00000000-0005-0000-0000-00008D050000}"/>
    <cellStyle name="Normal 2 5 3 4" xfId="12889" xr:uid="{00000000-0005-0000-0000-00008E050000}"/>
    <cellStyle name="Normal 2 5 4" xfId="1219" xr:uid="{00000000-0005-0000-0000-00008F050000}"/>
    <cellStyle name="Normal 2 5 4 2" xfId="12890" xr:uid="{00000000-0005-0000-0000-000090050000}"/>
    <cellStyle name="Normal 2 5 5" xfId="1220" xr:uid="{00000000-0005-0000-0000-000091050000}"/>
    <cellStyle name="Normal 2 5 5 2" xfId="12891" xr:uid="{00000000-0005-0000-0000-000092050000}"/>
    <cellStyle name="Normal 2 5 6" xfId="12215" xr:uid="{00000000-0005-0000-0000-000093050000}"/>
    <cellStyle name="Normal 2 6" xfId="1221" xr:uid="{00000000-0005-0000-0000-000094050000}"/>
    <cellStyle name="Normal 2 6 2" xfId="1222" xr:uid="{00000000-0005-0000-0000-000095050000}"/>
    <cellStyle name="Normal 2 6 2 2" xfId="1223" xr:uid="{00000000-0005-0000-0000-000096050000}"/>
    <cellStyle name="Normal 2 6 2 2 2" xfId="12892" xr:uid="{00000000-0005-0000-0000-000097050000}"/>
    <cellStyle name="Normal 2 6 2 3" xfId="1224" xr:uid="{00000000-0005-0000-0000-000098050000}"/>
    <cellStyle name="Normal 2 6 2 3 2" xfId="12893" xr:uid="{00000000-0005-0000-0000-000099050000}"/>
    <cellStyle name="Normal 2 6 2 4" xfId="12217" xr:uid="{00000000-0005-0000-0000-00009A050000}"/>
    <cellStyle name="Normal 2 6 3" xfId="1225" xr:uid="{00000000-0005-0000-0000-00009B050000}"/>
    <cellStyle name="Normal 2 6 3 2" xfId="1226" xr:uid="{00000000-0005-0000-0000-00009C050000}"/>
    <cellStyle name="Normal 2 6 3 2 2" xfId="12894" xr:uid="{00000000-0005-0000-0000-00009D050000}"/>
    <cellStyle name="Normal 2 6 3 3" xfId="1227" xr:uid="{00000000-0005-0000-0000-00009E050000}"/>
    <cellStyle name="Normal 2 6 3 3 2" xfId="12895" xr:uid="{00000000-0005-0000-0000-00009F050000}"/>
    <cellStyle name="Normal 2 6 3 4" xfId="12896" xr:uid="{00000000-0005-0000-0000-0000A0050000}"/>
    <cellStyle name="Normal 2 6 4" xfId="1228" xr:uid="{00000000-0005-0000-0000-0000A1050000}"/>
    <cellStyle name="Normal 2 6 4 2" xfId="12897" xr:uid="{00000000-0005-0000-0000-0000A2050000}"/>
    <cellStyle name="Normal 2 6 5" xfId="1229" xr:uid="{00000000-0005-0000-0000-0000A3050000}"/>
    <cellStyle name="Normal 2 6 5 2" xfId="12898" xr:uid="{00000000-0005-0000-0000-0000A4050000}"/>
    <cellStyle name="Normal 2 6 6" xfId="12216" xr:uid="{00000000-0005-0000-0000-0000A5050000}"/>
    <cellStyle name="Normal 2 7" xfId="1230" xr:uid="{00000000-0005-0000-0000-0000A6050000}"/>
    <cellStyle name="Normal 2 7 2" xfId="12218" xr:uid="{00000000-0005-0000-0000-0000A7050000}"/>
    <cellStyle name="Normal 2 8" xfId="1231" xr:uid="{00000000-0005-0000-0000-0000A8050000}"/>
    <cellStyle name="Normal 2 8 2" xfId="10756" xr:uid="{00000000-0005-0000-0000-0000A9050000}"/>
    <cellStyle name="Normal 2 8 2 2" xfId="12220" xr:uid="{00000000-0005-0000-0000-0000AA050000}"/>
    <cellStyle name="Normal 2 8 3" xfId="10757" xr:uid="{00000000-0005-0000-0000-0000AB050000}"/>
    <cellStyle name="Normal 2 8 3 2" xfId="12221" xr:uid="{00000000-0005-0000-0000-0000AC050000}"/>
    <cellStyle name="Normal 2 8 4" xfId="12219" xr:uid="{00000000-0005-0000-0000-0000AD050000}"/>
    <cellStyle name="Normal 2 9" xfId="1232" xr:uid="{00000000-0005-0000-0000-0000AE050000}"/>
    <cellStyle name="Normal 2 9 2" xfId="10758" xr:uid="{00000000-0005-0000-0000-0000AF050000}"/>
    <cellStyle name="Normal 2 9 2 2" xfId="12223" xr:uid="{00000000-0005-0000-0000-0000B0050000}"/>
    <cellStyle name="Normal 2 9 3" xfId="10759" xr:uid="{00000000-0005-0000-0000-0000B1050000}"/>
    <cellStyle name="Normal 2 9 3 2" xfId="12224" xr:uid="{00000000-0005-0000-0000-0000B2050000}"/>
    <cellStyle name="Normal 2 9 4" xfId="12222" xr:uid="{00000000-0005-0000-0000-0000B3050000}"/>
    <cellStyle name="Normal 2_EIQHuck08" xfId="1233" xr:uid="{00000000-0005-0000-0000-0000B4050000}"/>
    <cellStyle name="Normal 20" xfId="71" xr:uid="{00000000-0005-0000-0000-0000B5050000}"/>
    <cellStyle name="Normal 20 2" xfId="72" xr:uid="{00000000-0005-0000-0000-0000B6050000}"/>
    <cellStyle name="Normal 20 2 2" xfId="1234" xr:uid="{00000000-0005-0000-0000-0000B7050000}"/>
    <cellStyle name="Normal 20 2 2 2" xfId="1235" xr:uid="{00000000-0005-0000-0000-0000B8050000}"/>
    <cellStyle name="Normal 20 2 2 2 2" xfId="1236" xr:uid="{00000000-0005-0000-0000-0000B9050000}"/>
    <cellStyle name="Normal 20 2 2 2 2 2" xfId="1237" xr:uid="{00000000-0005-0000-0000-0000BA050000}"/>
    <cellStyle name="Normal 20 2 2 2 2 2 2" xfId="1238" xr:uid="{00000000-0005-0000-0000-0000BB050000}"/>
    <cellStyle name="Normal 20 2 2 2 2 2 2 2" xfId="12899" xr:uid="{00000000-0005-0000-0000-0000BC050000}"/>
    <cellStyle name="Normal 20 2 2 2 2 2 3" xfId="1239" xr:uid="{00000000-0005-0000-0000-0000BD050000}"/>
    <cellStyle name="Normal 20 2 2 2 2 2 3 2" xfId="12900" xr:uid="{00000000-0005-0000-0000-0000BE050000}"/>
    <cellStyle name="Normal 20 2 2 2 2 2 4" xfId="12901" xr:uid="{00000000-0005-0000-0000-0000BF050000}"/>
    <cellStyle name="Normal 20 2 2 2 2 3" xfId="1240" xr:uid="{00000000-0005-0000-0000-0000C0050000}"/>
    <cellStyle name="Normal 20 2 2 2 2 3 2" xfId="1241" xr:uid="{00000000-0005-0000-0000-0000C1050000}"/>
    <cellStyle name="Normal 20 2 2 2 2 3 2 2" xfId="12902" xr:uid="{00000000-0005-0000-0000-0000C2050000}"/>
    <cellStyle name="Normal 20 2 2 2 2 3 3" xfId="1242" xr:uid="{00000000-0005-0000-0000-0000C3050000}"/>
    <cellStyle name="Normal 20 2 2 2 2 3 3 2" xfId="12903" xr:uid="{00000000-0005-0000-0000-0000C4050000}"/>
    <cellStyle name="Normal 20 2 2 2 2 3 4" xfId="12904" xr:uid="{00000000-0005-0000-0000-0000C5050000}"/>
    <cellStyle name="Normal 20 2 2 2 2 4" xfId="1243" xr:uid="{00000000-0005-0000-0000-0000C6050000}"/>
    <cellStyle name="Normal 20 2 2 2 2 4 2" xfId="12905" xr:uid="{00000000-0005-0000-0000-0000C7050000}"/>
    <cellStyle name="Normal 20 2 2 2 2 5" xfId="1244" xr:uid="{00000000-0005-0000-0000-0000C8050000}"/>
    <cellStyle name="Normal 20 2 2 2 2 5 2" xfId="12906" xr:uid="{00000000-0005-0000-0000-0000C9050000}"/>
    <cellStyle name="Normal 20 2 2 2 2 6" xfId="12907" xr:uid="{00000000-0005-0000-0000-0000CA050000}"/>
    <cellStyle name="Normal 20 2 2 2 3" xfId="1245" xr:uid="{00000000-0005-0000-0000-0000CB050000}"/>
    <cellStyle name="Normal 20 2 2 2 3 2" xfId="1246" xr:uid="{00000000-0005-0000-0000-0000CC050000}"/>
    <cellStyle name="Normal 20 2 2 2 3 2 2" xfId="1247" xr:uid="{00000000-0005-0000-0000-0000CD050000}"/>
    <cellStyle name="Normal 20 2 2 2 3 2 2 2" xfId="12908" xr:uid="{00000000-0005-0000-0000-0000CE050000}"/>
    <cellStyle name="Normal 20 2 2 2 3 2 3" xfId="1248" xr:uid="{00000000-0005-0000-0000-0000CF050000}"/>
    <cellStyle name="Normal 20 2 2 2 3 2 3 2" xfId="12909" xr:uid="{00000000-0005-0000-0000-0000D0050000}"/>
    <cellStyle name="Normal 20 2 2 2 3 2 4" xfId="12910" xr:uid="{00000000-0005-0000-0000-0000D1050000}"/>
    <cellStyle name="Normal 20 2 2 2 3 3" xfId="1249" xr:uid="{00000000-0005-0000-0000-0000D2050000}"/>
    <cellStyle name="Normal 20 2 2 2 3 3 2" xfId="1250" xr:uid="{00000000-0005-0000-0000-0000D3050000}"/>
    <cellStyle name="Normal 20 2 2 2 3 3 2 2" xfId="12911" xr:uid="{00000000-0005-0000-0000-0000D4050000}"/>
    <cellStyle name="Normal 20 2 2 2 3 3 3" xfId="1251" xr:uid="{00000000-0005-0000-0000-0000D5050000}"/>
    <cellStyle name="Normal 20 2 2 2 3 3 3 2" xfId="12912" xr:uid="{00000000-0005-0000-0000-0000D6050000}"/>
    <cellStyle name="Normal 20 2 2 2 3 3 4" xfId="12913" xr:uid="{00000000-0005-0000-0000-0000D7050000}"/>
    <cellStyle name="Normal 20 2 2 2 3 4" xfId="1252" xr:uid="{00000000-0005-0000-0000-0000D8050000}"/>
    <cellStyle name="Normal 20 2 2 2 3 4 2" xfId="12914" xr:uid="{00000000-0005-0000-0000-0000D9050000}"/>
    <cellStyle name="Normal 20 2 2 2 3 5" xfId="1253" xr:uid="{00000000-0005-0000-0000-0000DA050000}"/>
    <cellStyle name="Normal 20 2 2 2 3 5 2" xfId="12915" xr:uid="{00000000-0005-0000-0000-0000DB050000}"/>
    <cellStyle name="Normal 20 2 2 2 3 6" xfId="12916" xr:uid="{00000000-0005-0000-0000-0000DC050000}"/>
    <cellStyle name="Normal 20 2 2 2 4" xfId="1254" xr:uid="{00000000-0005-0000-0000-0000DD050000}"/>
    <cellStyle name="Normal 20 2 2 2 4 2" xfId="1255" xr:uid="{00000000-0005-0000-0000-0000DE050000}"/>
    <cellStyle name="Normal 20 2 2 2 4 2 2" xfId="12917" xr:uid="{00000000-0005-0000-0000-0000DF050000}"/>
    <cellStyle name="Normal 20 2 2 2 4 3" xfId="1256" xr:uid="{00000000-0005-0000-0000-0000E0050000}"/>
    <cellStyle name="Normal 20 2 2 2 4 3 2" xfId="12918" xr:uid="{00000000-0005-0000-0000-0000E1050000}"/>
    <cellStyle name="Normal 20 2 2 2 4 4" xfId="12919" xr:uid="{00000000-0005-0000-0000-0000E2050000}"/>
    <cellStyle name="Normal 20 2 2 2 5" xfId="1257" xr:uid="{00000000-0005-0000-0000-0000E3050000}"/>
    <cellStyle name="Normal 20 2 2 2 5 2" xfId="1258" xr:uid="{00000000-0005-0000-0000-0000E4050000}"/>
    <cellStyle name="Normal 20 2 2 2 5 2 2" xfId="12920" xr:uid="{00000000-0005-0000-0000-0000E5050000}"/>
    <cellStyle name="Normal 20 2 2 2 5 3" xfId="1259" xr:uid="{00000000-0005-0000-0000-0000E6050000}"/>
    <cellStyle name="Normal 20 2 2 2 5 3 2" xfId="12921" xr:uid="{00000000-0005-0000-0000-0000E7050000}"/>
    <cellStyle name="Normal 20 2 2 2 5 4" xfId="12922" xr:uid="{00000000-0005-0000-0000-0000E8050000}"/>
    <cellStyle name="Normal 20 2 2 2 6" xfId="1260" xr:uid="{00000000-0005-0000-0000-0000E9050000}"/>
    <cellStyle name="Normal 20 2 2 2 6 2" xfId="12923" xr:uid="{00000000-0005-0000-0000-0000EA050000}"/>
    <cellStyle name="Normal 20 2 2 2 7" xfId="1261" xr:uid="{00000000-0005-0000-0000-0000EB050000}"/>
    <cellStyle name="Normal 20 2 2 2 7 2" xfId="12924" xr:uid="{00000000-0005-0000-0000-0000EC050000}"/>
    <cellStyle name="Normal 20 2 2 2 8" xfId="12925" xr:uid="{00000000-0005-0000-0000-0000ED050000}"/>
    <cellStyle name="Normal 20 2 2 3" xfId="1262" xr:uid="{00000000-0005-0000-0000-0000EE050000}"/>
    <cellStyle name="Normal 20 2 2 3 2" xfId="1263" xr:uid="{00000000-0005-0000-0000-0000EF050000}"/>
    <cellStyle name="Normal 20 2 2 3 2 2" xfId="1264" xr:uid="{00000000-0005-0000-0000-0000F0050000}"/>
    <cellStyle name="Normal 20 2 2 3 2 2 2" xfId="12926" xr:uid="{00000000-0005-0000-0000-0000F1050000}"/>
    <cellStyle name="Normal 20 2 2 3 2 3" xfId="1265" xr:uid="{00000000-0005-0000-0000-0000F2050000}"/>
    <cellStyle name="Normal 20 2 2 3 2 3 2" xfId="12927" xr:uid="{00000000-0005-0000-0000-0000F3050000}"/>
    <cellStyle name="Normal 20 2 2 3 2 4" xfId="12928" xr:uid="{00000000-0005-0000-0000-0000F4050000}"/>
    <cellStyle name="Normal 20 2 2 3 3" xfId="1266" xr:uid="{00000000-0005-0000-0000-0000F5050000}"/>
    <cellStyle name="Normal 20 2 2 3 3 2" xfId="1267" xr:uid="{00000000-0005-0000-0000-0000F6050000}"/>
    <cellStyle name="Normal 20 2 2 3 3 2 2" xfId="12929" xr:uid="{00000000-0005-0000-0000-0000F7050000}"/>
    <cellStyle name="Normal 20 2 2 3 3 3" xfId="1268" xr:uid="{00000000-0005-0000-0000-0000F8050000}"/>
    <cellStyle name="Normal 20 2 2 3 3 3 2" xfId="12930" xr:uid="{00000000-0005-0000-0000-0000F9050000}"/>
    <cellStyle name="Normal 20 2 2 3 3 4" xfId="12931" xr:uid="{00000000-0005-0000-0000-0000FA050000}"/>
    <cellStyle name="Normal 20 2 2 3 4" xfId="1269" xr:uid="{00000000-0005-0000-0000-0000FB050000}"/>
    <cellStyle name="Normal 20 2 2 3 4 2" xfId="12932" xr:uid="{00000000-0005-0000-0000-0000FC050000}"/>
    <cellStyle name="Normal 20 2 2 3 5" xfId="1270" xr:uid="{00000000-0005-0000-0000-0000FD050000}"/>
    <cellStyle name="Normal 20 2 2 3 5 2" xfId="12933" xr:uid="{00000000-0005-0000-0000-0000FE050000}"/>
    <cellStyle name="Normal 20 2 2 3 6" xfId="12934" xr:uid="{00000000-0005-0000-0000-0000FF050000}"/>
    <cellStyle name="Normal 20 2 2 4" xfId="1271" xr:uid="{00000000-0005-0000-0000-000000060000}"/>
    <cellStyle name="Normal 20 2 2 4 2" xfId="1272" xr:uid="{00000000-0005-0000-0000-000001060000}"/>
    <cellStyle name="Normal 20 2 2 4 2 2" xfId="1273" xr:uid="{00000000-0005-0000-0000-000002060000}"/>
    <cellStyle name="Normal 20 2 2 4 2 2 2" xfId="12935" xr:uid="{00000000-0005-0000-0000-000003060000}"/>
    <cellStyle name="Normal 20 2 2 4 2 3" xfId="1274" xr:uid="{00000000-0005-0000-0000-000004060000}"/>
    <cellStyle name="Normal 20 2 2 4 2 3 2" xfId="12936" xr:uid="{00000000-0005-0000-0000-000005060000}"/>
    <cellStyle name="Normal 20 2 2 4 2 4" xfId="12937" xr:uid="{00000000-0005-0000-0000-000006060000}"/>
    <cellStyle name="Normal 20 2 2 4 3" xfId="1275" xr:uid="{00000000-0005-0000-0000-000007060000}"/>
    <cellStyle name="Normal 20 2 2 4 3 2" xfId="1276" xr:uid="{00000000-0005-0000-0000-000008060000}"/>
    <cellStyle name="Normal 20 2 2 4 3 2 2" xfId="12938" xr:uid="{00000000-0005-0000-0000-000009060000}"/>
    <cellStyle name="Normal 20 2 2 4 3 3" xfId="1277" xr:uid="{00000000-0005-0000-0000-00000A060000}"/>
    <cellStyle name="Normal 20 2 2 4 3 3 2" xfId="12939" xr:uid="{00000000-0005-0000-0000-00000B060000}"/>
    <cellStyle name="Normal 20 2 2 4 3 4" xfId="12940" xr:uid="{00000000-0005-0000-0000-00000C060000}"/>
    <cellStyle name="Normal 20 2 2 4 4" xfId="1278" xr:uid="{00000000-0005-0000-0000-00000D060000}"/>
    <cellStyle name="Normal 20 2 2 4 4 2" xfId="12941" xr:uid="{00000000-0005-0000-0000-00000E060000}"/>
    <cellStyle name="Normal 20 2 2 4 5" xfId="1279" xr:uid="{00000000-0005-0000-0000-00000F060000}"/>
    <cellStyle name="Normal 20 2 2 4 5 2" xfId="12942" xr:uid="{00000000-0005-0000-0000-000010060000}"/>
    <cellStyle name="Normal 20 2 2 4 6" xfId="12943" xr:uid="{00000000-0005-0000-0000-000011060000}"/>
    <cellStyle name="Normal 20 2 2 5" xfId="1280" xr:uid="{00000000-0005-0000-0000-000012060000}"/>
    <cellStyle name="Normal 20 2 2 5 2" xfId="1281" xr:uid="{00000000-0005-0000-0000-000013060000}"/>
    <cellStyle name="Normal 20 2 2 5 2 2" xfId="12944" xr:uid="{00000000-0005-0000-0000-000014060000}"/>
    <cellStyle name="Normal 20 2 2 5 3" xfId="1282" xr:uid="{00000000-0005-0000-0000-000015060000}"/>
    <cellStyle name="Normal 20 2 2 5 3 2" xfId="12945" xr:uid="{00000000-0005-0000-0000-000016060000}"/>
    <cellStyle name="Normal 20 2 2 5 4" xfId="12946" xr:uid="{00000000-0005-0000-0000-000017060000}"/>
    <cellStyle name="Normal 20 2 2 6" xfId="1283" xr:uid="{00000000-0005-0000-0000-000018060000}"/>
    <cellStyle name="Normal 20 2 2 6 2" xfId="1284" xr:uid="{00000000-0005-0000-0000-000019060000}"/>
    <cellStyle name="Normal 20 2 2 6 2 2" xfId="12947" xr:uid="{00000000-0005-0000-0000-00001A060000}"/>
    <cellStyle name="Normal 20 2 2 6 3" xfId="1285" xr:uid="{00000000-0005-0000-0000-00001B060000}"/>
    <cellStyle name="Normal 20 2 2 6 3 2" xfId="12948" xr:uid="{00000000-0005-0000-0000-00001C060000}"/>
    <cellStyle name="Normal 20 2 2 6 4" xfId="12949" xr:uid="{00000000-0005-0000-0000-00001D060000}"/>
    <cellStyle name="Normal 20 2 2 7" xfId="1286" xr:uid="{00000000-0005-0000-0000-00001E060000}"/>
    <cellStyle name="Normal 20 2 2 7 2" xfId="12950" xr:uid="{00000000-0005-0000-0000-00001F060000}"/>
    <cellStyle name="Normal 20 2 2 8" xfId="1287" xr:uid="{00000000-0005-0000-0000-000020060000}"/>
    <cellStyle name="Normal 20 2 2 8 2" xfId="12951" xr:uid="{00000000-0005-0000-0000-000021060000}"/>
    <cellStyle name="Normal 20 2 2 9" xfId="12952" xr:uid="{00000000-0005-0000-0000-000022060000}"/>
    <cellStyle name="Normal 20 2 3" xfId="1288" xr:uid="{00000000-0005-0000-0000-000023060000}"/>
    <cellStyle name="Normal 20 2 3 2" xfId="1289" xr:uid="{00000000-0005-0000-0000-000024060000}"/>
    <cellStyle name="Normal 20 2 3 2 2" xfId="1290" xr:uid="{00000000-0005-0000-0000-000025060000}"/>
    <cellStyle name="Normal 20 2 3 2 2 2" xfId="1291" xr:uid="{00000000-0005-0000-0000-000026060000}"/>
    <cellStyle name="Normal 20 2 3 2 2 2 2" xfId="12953" xr:uid="{00000000-0005-0000-0000-000027060000}"/>
    <cellStyle name="Normal 20 2 3 2 2 3" xfId="1292" xr:uid="{00000000-0005-0000-0000-000028060000}"/>
    <cellStyle name="Normal 20 2 3 2 2 3 2" xfId="12954" xr:uid="{00000000-0005-0000-0000-000029060000}"/>
    <cellStyle name="Normal 20 2 3 2 2 4" xfId="12955" xr:uid="{00000000-0005-0000-0000-00002A060000}"/>
    <cellStyle name="Normal 20 2 3 2 3" xfId="1293" xr:uid="{00000000-0005-0000-0000-00002B060000}"/>
    <cellStyle name="Normal 20 2 3 2 3 2" xfId="1294" xr:uid="{00000000-0005-0000-0000-00002C060000}"/>
    <cellStyle name="Normal 20 2 3 2 3 2 2" xfId="12956" xr:uid="{00000000-0005-0000-0000-00002D060000}"/>
    <cellStyle name="Normal 20 2 3 2 3 3" xfId="1295" xr:uid="{00000000-0005-0000-0000-00002E060000}"/>
    <cellStyle name="Normal 20 2 3 2 3 3 2" xfId="12957" xr:uid="{00000000-0005-0000-0000-00002F060000}"/>
    <cellStyle name="Normal 20 2 3 2 3 4" xfId="12958" xr:uid="{00000000-0005-0000-0000-000030060000}"/>
    <cellStyle name="Normal 20 2 3 2 4" xfId="1296" xr:uid="{00000000-0005-0000-0000-000031060000}"/>
    <cellStyle name="Normal 20 2 3 2 4 2" xfId="12959" xr:uid="{00000000-0005-0000-0000-000032060000}"/>
    <cellStyle name="Normal 20 2 3 2 5" xfId="1297" xr:uid="{00000000-0005-0000-0000-000033060000}"/>
    <cellStyle name="Normal 20 2 3 2 5 2" xfId="12960" xr:uid="{00000000-0005-0000-0000-000034060000}"/>
    <cellStyle name="Normal 20 2 3 2 6" xfId="12961" xr:uid="{00000000-0005-0000-0000-000035060000}"/>
    <cellStyle name="Normal 20 2 3 3" xfId="1298" xr:uid="{00000000-0005-0000-0000-000036060000}"/>
    <cellStyle name="Normal 20 2 3 3 2" xfId="1299" xr:uid="{00000000-0005-0000-0000-000037060000}"/>
    <cellStyle name="Normal 20 2 3 3 2 2" xfId="1300" xr:uid="{00000000-0005-0000-0000-000038060000}"/>
    <cellStyle name="Normal 20 2 3 3 2 2 2" xfId="12962" xr:uid="{00000000-0005-0000-0000-000039060000}"/>
    <cellStyle name="Normal 20 2 3 3 2 3" xfId="1301" xr:uid="{00000000-0005-0000-0000-00003A060000}"/>
    <cellStyle name="Normal 20 2 3 3 2 3 2" xfId="12963" xr:uid="{00000000-0005-0000-0000-00003B060000}"/>
    <cellStyle name="Normal 20 2 3 3 2 4" xfId="12964" xr:uid="{00000000-0005-0000-0000-00003C060000}"/>
    <cellStyle name="Normal 20 2 3 3 3" xfId="1302" xr:uid="{00000000-0005-0000-0000-00003D060000}"/>
    <cellStyle name="Normal 20 2 3 3 3 2" xfId="1303" xr:uid="{00000000-0005-0000-0000-00003E060000}"/>
    <cellStyle name="Normal 20 2 3 3 3 2 2" xfId="12965" xr:uid="{00000000-0005-0000-0000-00003F060000}"/>
    <cellStyle name="Normal 20 2 3 3 3 3" xfId="1304" xr:uid="{00000000-0005-0000-0000-000040060000}"/>
    <cellStyle name="Normal 20 2 3 3 3 3 2" xfId="12966" xr:uid="{00000000-0005-0000-0000-000041060000}"/>
    <cellStyle name="Normal 20 2 3 3 3 4" xfId="12967" xr:uid="{00000000-0005-0000-0000-000042060000}"/>
    <cellStyle name="Normal 20 2 3 3 4" xfId="1305" xr:uid="{00000000-0005-0000-0000-000043060000}"/>
    <cellStyle name="Normal 20 2 3 3 4 2" xfId="12968" xr:uid="{00000000-0005-0000-0000-000044060000}"/>
    <cellStyle name="Normal 20 2 3 3 5" xfId="1306" xr:uid="{00000000-0005-0000-0000-000045060000}"/>
    <cellStyle name="Normal 20 2 3 3 5 2" xfId="12969" xr:uid="{00000000-0005-0000-0000-000046060000}"/>
    <cellStyle name="Normal 20 2 3 3 6" xfId="12970" xr:uid="{00000000-0005-0000-0000-000047060000}"/>
    <cellStyle name="Normal 20 2 3 4" xfId="1307" xr:uid="{00000000-0005-0000-0000-000048060000}"/>
    <cellStyle name="Normal 20 2 3 4 2" xfId="1308" xr:uid="{00000000-0005-0000-0000-000049060000}"/>
    <cellStyle name="Normal 20 2 3 4 2 2" xfId="12971" xr:uid="{00000000-0005-0000-0000-00004A060000}"/>
    <cellStyle name="Normal 20 2 3 4 3" xfId="1309" xr:uid="{00000000-0005-0000-0000-00004B060000}"/>
    <cellStyle name="Normal 20 2 3 4 3 2" xfId="12972" xr:uid="{00000000-0005-0000-0000-00004C060000}"/>
    <cellStyle name="Normal 20 2 3 4 4" xfId="12973" xr:uid="{00000000-0005-0000-0000-00004D060000}"/>
    <cellStyle name="Normal 20 2 3 5" xfId="1310" xr:uid="{00000000-0005-0000-0000-00004E060000}"/>
    <cellStyle name="Normal 20 2 3 5 2" xfId="1311" xr:uid="{00000000-0005-0000-0000-00004F060000}"/>
    <cellStyle name="Normal 20 2 3 5 2 2" xfId="12974" xr:uid="{00000000-0005-0000-0000-000050060000}"/>
    <cellStyle name="Normal 20 2 3 5 3" xfId="1312" xr:uid="{00000000-0005-0000-0000-000051060000}"/>
    <cellStyle name="Normal 20 2 3 5 3 2" xfId="12975" xr:uid="{00000000-0005-0000-0000-000052060000}"/>
    <cellStyle name="Normal 20 2 3 5 4" xfId="12976" xr:uid="{00000000-0005-0000-0000-000053060000}"/>
    <cellStyle name="Normal 20 2 3 6" xfId="1313" xr:uid="{00000000-0005-0000-0000-000054060000}"/>
    <cellStyle name="Normal 20 2 3 6 2" xfId="12977" xr:uid="{00000000-0005-0000-0000-000055060000}"/>
    <cellStyle name="Normal 20 2 3 7" xfId="1314" xr:uid="{00000000-0005-0000-0000-000056060000}"/>
    <cellStyle name="Normal 20 2 3 7 2" xfId="12978" xr:uid="{00000000-0005-0000-0000-000057060000}"/>
    <cellStyle name="Normal 20 2 3 8" xfId="12979" xr:uid="{00000000-0005-0000-0000-000058060000}"/>
    <cellStyle name="Normal 20 2 4" xfId="1315" xr:uid="{00000000-0005-0000-0000-000059060000}"/>
    <cellStyle name="Normal 20 2 4 2" xfId="1316" xr:uid="{00000000-0005-0000-0000-00005A060000}"/>
    <cellStyle name="Normal 20 2 4 2 2" xfId="1317" xr:uid="{00000000-0005-0000-0000-00005B060000}"/>
    <cellStyle name="Normal 20 2 4 2 2 2" xfId="1318" xr:uid="{00000000-0005-0000-0000-00005C060000}"/>
    <cellStyle name="Normal 20 2 4 2 2 2 2" xfId="12980" xr:uid="{00000000-0005-0000-0000-00005D060000}"/>
    <cellStyle name="Normal 20 2 4 2 2 3" xfId="1319" xr:uid="{00000000-0005-0000-0000-00005E060000}"/>
    <cellStyle name="Normal 20 2 4 2 2 3 2" xfId="12981" xr:uid="{00000000-0005-0000-0000-00005F060000}"/>
    <cellStyle name="Normal 20 2 4 2 2 4" xfId="12982" xr:uid="{00000000-0005-0000-0000-000060060000}"/>
    <cellStyle name="Normal 20 2 4 2 3" xfId="1320" xr:uid="{00000000-0005-0000-0000-000061060000}"/>
    <cellStyle name="Normal 20 2 4 2 3 2" xfId="1321" xr:uid="{00000000-0005-0000-0000-000062060000}"/>
    <cellStyle name="Normal 20 2 4 2 3 2 2" xfId="12983" xr:uid="{00000000-0005-0000-0000-000063060000}"/>
    <cellStyle name="Normal 20 2 4 2 3 3" xfId="1322" xr:uid="{00000000-0005-0000-0000-000064060000}"/>
    <cellStyle name="Normal 20 2 4 2 3 3 2" xfId="12984" xr:uid="{00000000-0005-0000-0000-000065060000}"/>
    <cellStyle name="Normal 20 2 4 2 3 4" xfId="12985" xr:uid="{00000000-0005-0000-0000-000066060000}"/>
    <cellStyle name="Normal 20 2 4 2 4" xfId="1323" xr:uid="{00000000-0005-0000-0000-000067060000}"/>
    <cellStyle name="Normal 20 2 4 2 4 2" xfId="12986" xr:uid="{00000000-0005-0000-0000-000068060000}"/>
    <cellStyle name="Normal 20 2 4 2 5" xfId="1324" xr:uid="{00000000-0005-0000-0000-000069060000}"/>
    <cellStyle name="Normal 20 2 4 2 5 2" xfId="12987" xr:uid="{00000000-0005-0000-0000-00006A060000}"/>
    <cellStyle name="Normal 20 2 4 2 6" xfId="12988" xr:uid="{00000000-0005-0000-0000-00006B060000}"/>
    <cellStyle name="Normal 20 2 4 3" xfId="1325" xr:uid="{00000000-0005-0000-0000-00006C060000}"/>
    <cellStyle name="Normal 20 2 4 3 2" xfId="1326" xr:uid="{00000000-0005-0000-0000-00006D060000}"/>
    <cellStyle name="Normal 20 2 4 3 2 2" xfId="1327" xr:uid="{00000000-0005-0000-0000-00006E060000}"/>
    <cellStyle name="Normal 20 2 4 3 2 2 2" xfId="12989" xr:uid="{00000000-0005-0000-0000-00006F060000}"/>
    <cellStyle name="Normal 20 2 4 3 2 3" xfId="1328" xr:uid="{00000000-0005-0000-0000-000070060000}"/>
    <cellStyle name="Normal 20 2 4 3 2 3 2" xfId="12990" xr:uid="{00000000-0005-0000-0000-000071060000}"/>
    <cellStyle name="Normal 20 2 4 3 2 4" xfId="12991" xr:uid="{00000000-0005-0000-0000-000072060000}"/>
    <cellStyle name="Normal 20 2 4 3 3" xfId="1329" xr:uid="{00000000-0005-0000-0000-000073060000}"/>
    <cellStyle name="Normal 20 2 4 3 3 2" xfId="1330" xr:uid="{00000000-0005-0000-0000-000074060000}"/>
    <cellStyle name="Normal 20 2 4 3 3 2 2" xfId="12992" xr:uid="{00000000-0005-0000-0000-000075060000}"/>
    <cellStyle name="Normal 20 2 4 3 3 3" xfId="1331" xr:uid="{00000000-0005-0000-0000-000076060000}"/>
    <cellStyle name="Normal 20 2 4 3 3 3 2" xfId="12993" xr:uid="{00000000-0005-0000-0000-000077060000}"/>
    <cellStyle name="Normal 20 2 4 3 3 4" xfId="12994" xr:uid="{00000000-0005-0000-0000-000078060000}"/>
    <cellStyle name="Normal 20 2 4 3 4" xfId="1332" xr:uid="{00000000-0005-0000-0000-000079060000}"/>
    <cellStyle name="Normal 20 2 4 3 4 2" xfId="12995" xr:uid="{00000000-0005-0000-0000-00007A060000}"/>
    <cellStyle name="Normal 20 2 4 3 5" xfId="1333" xr:uid="{00000000-0005-0000-0000-00007B060000}"/>
    <cellStyle name="Normal 20 2 4 3 5 2" xfId="12996" xr:uid="{00000000-0005-0000-0000-00007C060000}"/>
    <cellStyle name="Normal 20 2 4 3 6" xfId="12997" xr:uid="{00000000-0005-0000-0000-00007D060000}"/>
    <cellStyle name="Normal 20 2 4 4" xfId="1334" xr:uid="{00000000-0005-0000-0000-00007E060000}"/>
    <cellStyle name="Normal 20 2 4 4 2" xfId="1335" xr:uid="{00000000-0005-0000-0000-00007F060000}"/>
    <cellStyle name="Normal 20 2 4 4 2 2" xfId="12998" xr:uid="{00000000-0005-0000-0000-000080060000}"/>
    <cellStyle name="Normal 20 2 4 4 3" xfId="1336" xr:uid="{00000000-0005-0000-0000-000081060000}"/>
    <cellStyle name="Normal 20 2 4 4 3 2" xfId="12999" xr:uid="{00000000-0005-0000-0000-000082060000}"/>
    <cellStyle name="Normal 20 2 4 4 4" xfId="13000" xr:uid="{00000000-0005-0000-0000-000083060000}"/>
    <cellStyle name="Normal 20 2 4 5" xfId="1337" xr:uid="{00000000-0005-0000-0000-000084060000}"/>
    <cellStyle name="Normal 20 2 4 5 2" xfId="1338" xr:uid="{00000000-0005-0000-0000-000085060000}"/>
    <cellStyle name="Normal 20 2 4 5 2 2" xfId="13001" xr:uid="{00000000-0005-0000-0000-000086060000}"/>
    <cellStyle name="Normal 20 2 4 5 3" xfId="1339" xr:uid="{00000000-0005-0000-0000-000087060000}"/>
    <cellStyle name="Normal 20 2 4 5 3 2" xfId="13002" xr:uid="{00000000-0005-0000-0000-000088060000}"/>
    <cellStyle name="Normal 20 2 4 5 4" xfId="13003" xr:uid="{00000000-0005-0000-0000-000089060000}"/>
    <cellStyle name="Normal 20 2 4 6" xfId="1340" xr:uid="{00000000-0005-0000-0000-00008A060000}"/>
    <cellStyle name="Normal 20 2 4 6 2" xfId="13004" xr:uid="{00000000-0005-0000-0000-00008B060000}"/>
    <cellStyle name="Normal 20 2 4 7" xfId="1341" xr:uid="{00000000-0005-0000-0000-00008C060000}"/>
    <cellStyle name="Normal 20 2 4 7 2" xfId="13005" xr:uid="{00000000-0005-0000-0000-00008D060000}"/>
    <cellStyle name="Normal 20 2 4 8" xfId="13006" xr:uid="{00000000-0005-0000-0000-00008E060000}"/>
    <cellStyle name="Normal 20 2 5" xfId="1342" xr:uid="{00000000-0005-0000-0000-00008F060000}"/>
    <cellStyle name="Normal 20 2 5 2" xfId="1343" xr:uid="{00000000-0005-0000-0000-000090060000}"/>
    <cellStyle name="Normal 20 2 5 2 2" xfId="1344" xr:uid="{00000000-0005-0000-0000-000091060000}"/>
    <cellStyle name="Normal 20 2 5 2 2 2" xfId="13007" xr:uid="{00000000-0005-0000-0000-000092060000}"/>
    <cellStyle name="Normal 20 2 5 2 3" xfId="1345" xr:uid="{00000000-0005-0000-0000-000093060000}"/>
    <cellStyle name="Normal 20 2 5 2 3 2" xfId="13008" xr:uid="{00000000-0005-0000-0000-000094060000}"/>
    <cellStyle name="Normal 20 2 5 2 4" xfId="13009" xr:uid="{00000000-0005-0000-0000-000095060000}"/>
    <cellStyle name="Normal 20 2 5 3" xfId="1346" xr:uid="{00000000-0005-0000-0000-000096060000}"/>
    <cellStyle name="Normal 20 2 5 3 2" xfId="1347" xr:uid="{00000000-0005-0000-0000-000097060000}"/>
    <cellStyle name="Normal 20 2 5 3 2 2" xfId="13010" xr:uid="{00000000-0005-0000-0000-000098060000}"/>
    <cellStyle name="Normal 20 2 5 3 3" xfId="1348" xr:uid="{00000000-0005-0000-0000-000099060000}"/>
    <cellStyle name="Normal 20 2 5 3 3 2" xfId="13011" xr:uid="{00000000-0005-0000-0000-00009A060000}"/>
    <cellStyle name="Normal 20 2 5 3 4" xfId="13012" xr:uid="{00000000-0005-0000-0000-00009B060000}"/>
    <cellStyle name="Normal 20 2 5 4" xfId="1349" xr:uid="{00000000-0005-0000-0000-00009C060000}"/>
    <cellStyle name="Normal 20 2 5 4 2" xfId="13013" xr:uid="{00000000-0005-0000-0000-00009D060000}"/>
    <cellStyle name="Normal 20 2 5 5" xfId="1350" xr:uid="{00000000-0005-0000-0000-00009E060000}"/>
    <cellStyle name="Normal 20 2 5 5 2" xfId="13014" xr:uid="{00000000-0005-0000-0000-00009F060000}"/>
    <cellStyle name="Normal 20 2 5 6" xfId="13015" xr:uid="{00000000-0005-0000-0000-0000A0060000}"/>
    <cellStyle name="Normal 20 2 6" xfId="1351" xr:uid="{00000000-0005-0000-0000-0000A1060000}"/>
    <cellStyle name="Normal 20 2 6 2" xfId="1352" xr:uid="{00000000-0005-0000-0000-0000A2060000}"/>
    <cellStyle name="Normal 20 2 6 2 2" xfId="1353" xr:uid="{00000000-0005-0000-0000-0000A3060000}"/>
    <cellStyle name="Normal 20 2 6 2 2 2" xfId="13016" xr:uid="{00000000-0005-0000-0000-0000A4060000}"/>
    <cellStyle name="Normal 20 2 6 2 3" xfId="1354" xr:uid="{00000000-0005-0000-0000-0000A5060000}"/>
    <cellStyle name="Normal 20 2 6 2 3 2" xfId="13017" xr:uid="{00000000-0005-0000-0000-0000A6060000}"/>
    <cellStyle name="Normal 20 2 6 2 4" xfId="13018" xr:uid="{00000000-0005-0000-0000-0000A7060000}"/>
    <cellStyle name="Normal 20 2 6 3" xfId="1355" xr:uid="{00000000-0005-0000-0000-0000A8060000}"/>
    <cellStyle name="Normal 20 2 6 3 2" xfId="1356" xr:uid="{00000000-0005-0000-0000-0000A9060000}"/>
    <cellStyle name="Normal 20 2 6 3 2 2" xfId="13019" xr:uid="{00000000-0005-0000-0000-0000AA060000}"/>
    <cellStyle name="Normal 20 2 6 3 3" xfId="1357" xr:uid="{00000000-0005-0000-0000-0000AB060000}"/>
    <cellStyle name="Normal 20 2 6 3 3 2" xfId="13020" xr:uid="{00000000-0005-0000-0000-0000AC060000}"/>
    <cellStyle name="Normal 20 2 6 3 4" xfId="13021" xr:uid="{00000000-0005-0000-0000-0000AD060000}"/>
    <cellStyle name="Normal 20 2 6 4" xfId="1358" xr:uid="{00000000-0005-0000-0000-0000AE060000}"/>
    <cellStyle name="Normal 20 2 6 4 2" xfId="13022" xr:uid="{00000000-0005-0000-0000-0000AF060000}"/>
    <cellStyle name="Normal 20 2 6 5" xfId="1359" xr:uid="{00000000-0005-0000-0000-0000B0060000}"/>
    <cellStyle name="Normal 20 2 6 5 2" xfId="13023" xr:uid="{00000000-0005-0000-0000-0000B1060000}"/>
    <cellStyle name="Normal 20 2 6 6" xfId="13024" xr:uid="{00000000-0005-0000-0000-0000B2060000}"/>
    <cellStyle name="Normal 20 2 7" xfId="1360" xr:uid="{00000000-0005-0000-0000-0000B3060000}"/>
    <cellStyle name="Normal 20 2 7 2" xfId="1361" xr:uid="{00000000-0005-0000-0000-0000B4060000}"/>
    <cellStyle name="Normal 20 2 7 2 2" xfId="1362" xr:uid="{00000000-0005-0000-0000-0000B5060000}"/>
    <cellStyle name="Normal 20 2 7 2 2 2" xfId="13025" xr:uid="{00000000-0005-0000-0000-0000B6060000}"/>
    <cellStyle name="Normal 20 2 7 2 3" xfId="1363" xr:uid="{00000000-0005-0000-0000-0000B7060000}"/>
    <cellStyle name="Normal 20 2 7 2 3 2" xfId="13026" xr:uid="{00000000-0005-0000-0000-0000B8060000}"/>
    <cellStyle name="Normal 20 2 7 2 4" xfId="13027" xr:uid="{00000000-0005-0000-0000-0000B9060000}"/>
    <cellStyle name="Normal 20 2 7 3" xfId="1364" xr:uid="{00000000-0005-0000-0000-0000BA060000}"/>
    <cellStyle name="Normal 20 2 7 3 2" xfId="1365" xr:uid="{00000000-0005-0000-0000-0000BB060000}"/>
    <cellStyle name="Normal 20 2 7 3 2 2" xfId="13028" xr:uid="{00000000-0005-0000-0000-0000BC060000}"/>
    <cellStyle name="Normal 20 2 7 3 3" xfId="1366" xr:uid="{00000000-0005-0000-0000-0000BD060000}"/>
    <cellStyle name="Normal 20 2 7 3 3 2" xfId="13029" xr:uid="{00000000-0005-0000-0000-0000BE060000}"/>
    <cellStyle name="Normal 20 2 7 3 4" xfId="13030" xr:uid="{00000000-0005-0000-0000-0000BF060000}"/>
    <cellStyle name="Normal 20 2 7 4" xfId="1367" xr:uid="{00000000-0005-0000-0000-0000C0060000}"/>
    <cellStyle name="Normal 20 2 7 4 2" xfId="13031" xr:uid="{00000000-0005-0000-0000-0000C1060000}"/>
    <cellStyle name="Normal 20 2 7 5" xfId="1368" xr:uid="{00000000-0005-0000-0000-0000C2060000}"/>
    <cellStyle name="Normal 20 2 7 5 2" xfId="13032" xr:uid="{00000000-0005-0000-0000-0000C3060000}"/>
    <cellStyle name="Normal 20 2 7 6" xfId="13033" xr:uid="{00000000-0005-0000-0000-0000C4060000}"/>
    <cellStyle name="Normal 20 3" xfId="1369" xr:uid="{00000000-0005-0000-0000-0000C5060000}"/>
    <cellStyle name="Normal 20 3 2" xfId="1370" xr:uid="{00000000-0005-0000-0000-0000C6060000}"/>
    <cellStyle name="Normal 20 3 3" xfId="1371" xr:uid="{00000000-0005-0000-0000-0000C7060000}"/>
    <cellStyle name="Normal 20 4" xfId="1372" xr:uid="{00000000-0005-0000-0000-0000C8060000}"/>
    <cellStyle name="Normal 20 4 2" xfId="1373" xr:uid="{00000000-0005-0000-0000-0000C9060000}"/>
    <cellStyle name="Normal 20 4 3" xfId="1374" xr:uid="{00000000-0005-0000-0000-0000CA060000}"/>
    <cellStyle name="Normal 20 5" xfId="1375" xr:uid="{00000000-0005-0000-0000-0000CB060000}"/>
    <cellStyle name="Normal 20 6" xfId="1376" xr:uid="{00000000-0005-0000-0000-0000CC060000}"/>
    <cellStyle name="Normal 20 7" xfId="12225" xr:uid="{00000000-0005-0000-0000-0000CD060000}"/>
    <cellStyle name="Normal 200" xfId="1377" xr:uid="{00000000-0005-0000-0000-0000CE060000}"/>
    <cellStyle name="Normal 201" xfId="1378" xr:uid="{00000000-0005-0000-0000-0000CF060000}"/>
    <cellStyle name="Normal 202" xfId="1379" xr:uid="{00000000-0005-0000-0000-0000D0060000}"/>
    <cellStyle name="Normal 203" xfId="1380" xr:uid="{00000000-0005-0000-0000-0000D1060000}"/>
    <cellStyle name="Normal 204" xfId="1381" xr:uid="{00000000-0005-0000-0000-0000D2060000}"/>
    <cellStyle name="Normal 205" xfId="1382" xr:uid="{00000000-0005-0000-0000-0000D3060000}"/>
    <cellStyle name="Normal 206" xfId="1383" xr:uid="{00000000-0005-0000-0000-0000D4060000}"/>
    <cellStyle name="Normal 207" xfId="1384" xr:uid="{00000000-0005-0000-0000-0000D5060000}"/>
    <cellStyle name="Normal 208" xfId="1385" xr:uid="{00000000-0005-0000-0000-0000D6060000}"/>
    <cellStyle name="Normal 209" xfId="1386" xr:uid="{00000000-0005-0000-0000-0000D7060000}"/>
    <cellStyle name="Normal 21" xfId="73" xr:uid="{00000000-0005-0000-0000-0000D8060000}"/>
    <cellStyle name="Normal 21 10" xfId="12226" xr:uid="{00000000-0005-0000-0000-0000D9060000}"/>
    <cellStyle name="Normal 21 2" xfId="1387" xr:uid="{00000000-0005-0000-0000-0000DA060000}"/>
    <cellStyle name="Normal 21 2 2" xfId="1388" xr:uid="{00000000-0005-0000-0000-0000DB060000}"/>
    <cellStyle name="Normal 21 2 3" xfId="1389" xr:uid="{00000000-0005-0000-0000-0000DC060000}"/>
    <cellStyle name="Normal 21 3" xfId="1390" xr:uid="{00000000-0005-0000-0000-0000DD060000}"/>
    <cellStyle name="Normal 21 3 2" xfId="1391" xr:uid="{00000000-0005-0000-0000-0000DE060000}"/>
    <cellStyle name="Normal 21 3 3" xfId="1392" xr:uid="{00000000-0005-0000-0000-0000DF060000}"/>
    <cellStyle name="Normal 21 4" xfId="1393" xr:uid="{00000000-0005-0000-0000-0000E0060000}"/>
    <cellStyle name="Normal 21 5" xfId="1394" xr:uid="{00000000-0005-0000-0000-0000E1060000}"/>
    <cellStyle name="Normal 21 6" xfId="1395" xr:uid="{00000000-0005-0000-0000-0000E2060000}"/>
    <cellStyle name="Normal 21 6 2" xfId="1396" xr:uid="{00000000-0005-0000-0000-0000E3060000}"/>
    <cellStyle name="Normal 21 6 2 2" xfId="13034" xr:uid="{00000000-0005-0000-0000-0000E4060000}"/>
    <cellStyle name="Normal 21 6 3" xfId="1397" xr:uid="{00000000-0005-0000-0000-0000E5060000}"/>
    <cellStyle name="Normal 21 6 3 2" xfId="13035" xr:uid="{00000000-0005-0000-0000-0000E6060000}"/>
    <cellStyle name="Normal 21 6 4" xfId="13036" xr:uid="{00000000-0005-0000-0000-0000E7060000}"/>
    <cellStyle name="Normal 21 7" xfId="1398" xr:uid="{00000000-0005-0000-0000-0000E8060000}"/>
    <cellStyle name="Normal 21 7 2" xfId="1399" xr:uid="{00000000-0005-0000-0000-0000E9060000}"/>
    <cellStyle name="Normal 21 7 2 2" xfId="13037" xr:uid="{00000000-0005-0000-0000-0000EA060000}"/>
    <cellStyle name="Normal 21 7 3" xfId="1400" xr:uid="{00000000-0005-0000-0000-0000EB060000}"/>
    <cellStyle name="Normal 21 7 3 2" xfId="13038" xr:uid="{00000000-0005-0000-0000-0000EC060000}"/>
    <cellStyle name="Normal 21 7 4" xfId="13039" xr:uid="{00000000-0005-0000-0000-0000ED060000}"/>
    <cellStyle name="Normal 21 8" xfId="1401" xr:uid="{00000000-0005-0000-0000-0000EE060000}"/>
    <cellStyle name="Normal 21 8 2" xfId="13040" xr:uid="{00000000-0005-0000-0000-0000EF060000}"/>
    <cellStyle name="Normal 21 9" xfId="1402" xr:uid="{00000000-0005-0000-0000-0000F0060000}"/>
    <cellStyle name="Normal 21 9 2" xfId="13041" xr:uid="{00000000-0005-0000-0000-0000F1060000}"/>
    <cellStyle name="Normal 210" xfId="1403" xr:uid="{00000000-0005-0000-0000-0000F2060000}"/>
    <cellStyle name="Normal 211" xfId="1404" xr:uid="{00000000-0005-0000-0000-0000F3060000}"/>
    <cellStyle name="Normal 212" xfId="1405" xr:uid="{00000000-0005-0000-0000-0000F4060000}"/>
    <cellStyle name="Normal 213" xfId="1406" xr:uid="{00000000-0005-0000-0000-0000F5060000}"/>
    <cellStyle name="Normal 214" xfId="1407" xr:uid="{00000000-0005-0000-0000-0000F6060000}"/>
    <cellStyle name="Normal 215" xfId="1408" xr:uid="{00000000-0005-0000-0000-0000F7060000}"/>
    <cellStyle name="Normal 216" xfId="1409" xr:uid="{00000000-0005-0000-0000-0000F8060000}"/>
    <cellStyle name="Normal 217" xfId="1410" xr:uid="{00000000-0005-0000-0000-0000F9060000}"/>
    <cellStyle name="Normal 218" xfId="1411" xr:uid="{00000000-0005-0000-0000-0000FA060000}"/>
    <cellStyle name="Normal 219" xfId="1412" xr:uid="{00000000-0005-0000-0000-0000FB060000}"/>
    <cellStyle name="Normal 22" xfId="1413" xr:uid="{00000000-0005-0000-0000-0000FC060000}"/>
    <cellStyle name="Normal 22 10" xfId="12227" xr:uid="{00000000-0005-0000-0000-0000FD060000}"/>
    <cellStyle name="Normal 22 2" xfId="1414" xr:uid="{00000000-0005-0000-0000-0000FE060000}"/>
    <cellStyle name="Normal 22 2 2" xfId="1415" xr:uid="{00000000-0005-0000-0000-0000FF060000}"/>
    <cellStyle name="Normal 22 2 3" xfId="1416" xr:uid="{00000000-0005-0000-0000-000000070000}"/>
    <cellStyle name="Normal 22 3" xfId="1417" xr:uid="{00000000-0005-0000-0000-000001070000}"/>
    <cellStyle name="Normal 22 3 2" xfId="1418" xr:uid="{00000000-0005-0000-0000-000002070000}"/>
    <cellStyle name="Normal 22 3 3" xfId="1419" xr:uid="{00000000-0005-0000-0000-000003070000}"/>
    <cellStyle name="Normal 22 4" xfId="1420" xr:uid="{00000000-0005-0000-0000-000004070000}"/>
    <cellStyle name="Normal 22 5" xfId="1421" xr:uid="{00000000-0005-0000-0000-000005070000}"/>
    <cellStyle name="Normal 22 6" xfId="1422" xr:uid="{00000000-0005-0000-0000-000006070000}"/>
    <cellStyle name="Normal 22 6 2" xfId="1423" xr:uid="{00000000-0005-0000-0000-000007070000}"/>
    <cellStyle name="Normal 22 6 2 2" xfId="13042" xr:uid="{00000000-0005-0000-0000-000008070000}"/>
    <cellStyle name="Normal 22 6 3" xfId="1424" xr:uid="{00000000-0005-0000-0000-000009070000}"/>
    <cellStyle name="Normal 22 6 3 2" xfId="13043" xr:uid="{00000000-0005-0000-0000-00000A070000}"/>
    <cellStyle name="Normal 22 6 4" xfId="13044" xr:uid="{00000000-0005-0000-0000-00000B070000}"/>
    <cellStyle name="Normal 22 7" xfId="1425" xr:uid="{00000000-0005-0000-0000-00000C070000}"/>
    <cellStyle name="Normal 22 7 2" xfId="1426" xr:uid="{00000000-0005-0000-0000-00000D070000}"/>
    <cellStyle name="Normal 22 7 2 2" xfId="13045" xr:uid="{00000000-0005-0000-0000-00000E070000}"/>
    <cellStyle name="Normal 22 7 3" xfId="1427" xr:uid="{00000000-0005-0000-0000-00000F070000}"/>
    <cellStyle name="Normal 22 7 3 2" xfId="13046" xr:uid="{00000000-0005-0000-0000-000010070000}"/>
    <cellStyle name="Normal 22 7 4" xfId="13047" xr:uid="{00000000-0005-0000-0000-000011070000}"/>
    <cellStyle name="Normal 22 8" xfId="1428" xr:uid="{00000000-0005-0000-0000-000012070000}"/>
    <cellStyle name="Normal 22 8 2" xfId="13048" xr:uid="{00000000-0005-0000-0000-000013070000}"/>
    <cellStyle name="Normal 22 9" xfId="1429" xr:uid="{00000000-0005-0000-0000-000014070000}"/>
    <cellStyle name="Normal 22 9 2" xfId="13049" xr:uid="{00000000-0005-0000-0000-000015070000}"/>
    <cellStyle name="Normal 220" xfId="1430" xr:uid="{00000000-0005-0000-0000-000016070000}"/>
    <cellStyle name="Normal 221" xfId="1431" xr:uid="{00000000-0005-0000-0000-000017070000}"/>
    <cellStyle name="Normal 222" xfId="1432" xr:uid="{00000000-0005-0000-0000-000018070000}"/>
    <cellStyle name="Normal 223" xfId="1433" xr:uid="{00000000-0005-0000-0000-000019070000}"/>
    <cellStyle name="Normal 224" xfId="1434" xr:uid="{00000000-0005-0000-0000-00001A070000}"/>
    <cellStyle name="Normal 225" xfId="1435" xr:uid="{00000000-0005-0000-0000-00001B070000}"/>
    <cellStyle name="Normal 226" xfId="1436" xr:uid="{00000000-0005-0000-0000-00001C070000}"/>
    <cellStyle name="Normal 227" xfId="1437" xr:uid="{00000000-0005-0000-0000-00001D070000}"/>
    <cellStyle name="Normal 228" xfId="1438" xr:uid="{00000000-0005-0000-0000-00001E070000}"/>
    <cellStyle name="Normal 229" xfId="1439" xr:uid="{00000000-0005-0000-0000-00001F070000}"/>
    <cellStyle name="Normal 23" xfId="1440" xr:uid="{00000000-0005-0000-0000-000020070000}"/>
    <cellStyle name="Normal 23 10" xfId="10760" xr:uid="{00000000-0005-0000-0000-000021070000}"/>
    <cellStyle name="Normal 23 11" xfId="10761" xr:uid="{00000000-0005-0000-0000-000022070000}"/>
    <cellStyle name="Normal 23 12" xfId="10762" xr:uid="{00000000-0005-0000-0000-000023070000}"/>
    <cellStyle name="Normal 23 13" xfId="10763" xr:uid="{00000000-0005-0000-0000-000024070000}"/>
    <cellStyle name="Normal 23 14" xfId="10764" xr:uid="{00000000-0005-0000-0000-000025070000}"/>
    <cellStyle name="Normal 23 15" xfId="10765" xr:uid="{00000000-0005-0000-0000-000026070000}"/>
    <cellStyle name="Normal 23 16" xfId="10766" xr:uid="{00000000-0005-0000-0000-000027070000}"/>
    <cellStyle name="Normal 23 17" xfId="10767" xr:uid="{00000000-0005-0000-0000-000028070000}"/>
    <cellStyle name="Normal 23 18" xfId="10768" xr:uid="{00000000-0005-0000-0000-000029070000}"/>
    <cellStyle name="Normal 23 19" xfId="10769" xr:uid="{00000000-0005-0000-0000-00002A070000}"/>
    <cellStyle name="Normal 23 2" xfId="1441" xr:uid="{00000000-0005-0000-0000-00002B070000}"/>
    <cellStyle name="Normal 23 2 2" xfId="1442" xr:uid="{00000000-0005-0000-0000-00002C070000}"/>
    <cellStyle name="Normal 23 2 2 2" xfId="12229" xr:uid="{00000000-0005-0000-0000-00002D070000}"/>
    <cellStyle name="Normal 23 2 3" xfId="1443" xr:uid="{00000000-0005-0000-0000-00002E070000}"/>
    <cellStyle name="Normal 23 2 4" xfId="12228" xr:uid="{00000000-0005-0000-0000-00002F070000}"/>
    <cellStyle name="Normal 23 20" xfId="10770" xr:uid="{00000000-0005-0000-0000-000030070000}"/>
    <cellStyle name="Normal 23 3" xfId="1444" xr:uid="{00000000-0005-0000-0000-000031070000}"/>
    <cellStyle name="Normal 23 3 2" xfId="1445" xr:uid="{00000000-0005-0000-0000-000032070000}"/>
    <cellStyle name="Normal 23 3 2 2" xfId="12231" xr:uid="{00000000-0005-0000-0000-000033070000}"/>
    <cellStyle name="Normal 23 3 3" xfId="1446" xr:uid="{00000000-0005-0000-0000-000034070000}"/>
    <cellStyle name="Normal 23 3 4" xfId="12230" xr:uid="{00000000-0005-0000-0000-000035070000}"/>
    <cellStyle name="Normal 23 4" xfId="1447" xr:uid="{00000000-0005-0000-0000-000036070000}"/>
    <cellStyle name="Normal 23 4 2" xfId="10771" xr:uid="{00000000-0005-0000-0000-000037070000}"/>
    <cellStyle name="Normal 23 5" xfId="1448" xr:uid="{00000000-0005-0000-0000-000038070000}"/>
    <cellStyle name="Normal 23 5 2" xfId="10772" xr:uid="{00000000-0005-0000-0000-000039070000}"/>
    <cellStyle name="Normal 23 6" xfId="1449" xr:uid="{00000000-0005-0000-0000-00003A070000}"/>
    <cellStyle name="Normal 23 6 2" xfId="1450" xr:uid="{00000000-0005-0000-0000-00003B070000}"/>
    <cellStyle name="Normal 23 6 2 2" xfId="12233" xr:uid="{00000000-0005-0000-0000-00003C070000}"/>
    <cellStyle name="Normal 23 6 3" xfId="1451" xr:uid="{00000000-0005-0000-0000-00003D070000}"/>
    <cellStyle name="Normal 23 6 3 2" xfId="13050" xr:uid="{00000000-0005-0000-0000-00003E070000}"/>
    <cellStyle name="Normal 23 6 4" xfId="12232" xr:uid="{00000000-0005-0000-0000-00003F070000}"/>
    <cellStyle name="Normal 23 7" xfId="1452" xr:uid="{00000000-0005-0000-0000-000040070000}"/>
    <cellStyle name="Normal 23 7 2" xfId="1453" xr:uid="{00000000-0005-0000-0000-000041070000}"/>
    <cellStyle name="Normal 23 7 2 2" xfId="13051" xr:uid="{00000000-0005-0000-0000-000042070000}"/>
    <cellStyle name="Normal 23 7 3" xfId="1454" xr:uid="{00000000-0005-0000-0000-000043070000}"/>
    <cellStyle name="Normal 23 7 3 2" xfId="13052" xr:uid="{00000000-0005-0000-0000-000044070000}"/>
    <cellStyle name="Normal 23 7 4" xfId="12234" xr:uid="{00000000-0005-0000-0000-000045070000}"/>
    <cellStyle name="Normal 23 8" xfId="1455" xr:uid="{00000000-0005-0000-0000-000046070000}"/>
    <cellStyle name="Normal 23 8 2" xfId="12235" xr:uid="{00000000-0005-0000-0000-000047070000}"/>
    <cellStyle name="Normal 23 9" xfId="1456" xr:uid="{00000000-0005-0000-0000-000048070000}"/>
    <cellStyle name="Normal 23 9 2" xfId="12236" xr:uid="{00000000-0005-0000-0000-000049070000}"/>
    <cellStyle name="Normal 230" xfId="1457" xr:uid="{00000000-0005-0000-0000-00004A070000}"/>
    <cellStyle name="Normal 231" xfId="1458" xr:uid="{00000000-0005-0000-0000-00004B070000}"/>
    <cellStyle name="Normal 232" xfId="1459" xr:uid="{00000000-0005-0000-0000-00004C070000}"/>
    <cellStyle name="Normal 233" xfId="1460" xr:uid="{00000000-0005-0000-0000-00004D070000}"/>
    <cellStyle name="Normal 234" xfId="1461" xr:uid="{00000000-0005-0000-0000-00004E070000}"/>
    <cellStyle name="Normal 235" xfId="1462" xr:uid="{00000000-0005-0000-0000-00004F070000}"/>
    <cellStyle name="Normal 236" xfId="1463" xr:uid="{00000000-0005-0000-0000-000050070000}"/>
    <cellStyle name="Normal 237" xfId="1464" xr:uid="{00000000-0005-0000-0000-000051070000}"/>
    <cellStyle name="Normal 238" xfId="1465" xr:uid="{00000000-0005-0000-0000-000052070000}"/>
    <cellStyle name="Normal 239" xfId="1466" xr:uid="{00000000-0005-0000-0000-000053070000}"/>
    <cellStyle name="Normal 24" xfId="1467" xr:uid="{00000000-0005-0000-0000-000054070000}"/>
    <cellStyle name="Normal 24 10" xfId="10773" xr:uid="{00000000-0005-0000-0000-000055070000}"/>
    <cellStyle name="Normal 24 11" xfId="10774" xr:uid="{00000000-0005-0000-0000-000056070000}"/>
    <cellStyle name="Normal 24 12" xfId="10775" xr:uid="{00000000-0005-0000-0000-000057070000}"/>
    <cellStyle name="Normal 24 13" xfId="10776" xr:uid="{00000000-0005-0000-0000-000058070000}"/>
    <cellStyle name="Normal 24 14" xfId="10777" xr:uid="{00000000-0005-0000-0000-000059070000}"/>
    <cellStyle name="Normal 24 15" xfId="10778" xr:uid="{00000000-0005-0000-0000-00005A070000}"/>
    <cellStyle name="Normal 24 16" xfId="10779" xr:uid="{00000000-0005-0000-0000-00005B070000}"/>
    <cellStyle name="Normal 24 17" xfId="10780" xr:uid="{00000000-0005-0000-0000-00005C070000}"/>
    <cellStyle name="Normal 24 18" xfId="10781" xr:uid="{00000000-0005-0000-0000-00005D070000}"/>
    <cellStyle name="Normal 24 19" xfId="10782" xr:uid="{00000000-0005-0000-0000-00005E070000}"/>
    <cellStyle name="Normal 24 2" xfId="1468" xr:uid="{00000000-0005-0000-0000-00005F070000}"/>
    <cellStyle name="Normal 24 2 2" xfId="1469" xr:uid="{00000000-0005-0000-0000-000060070000}"/>
    <cellStyle name="Normal 24 2 2 2" xfId="12238" xr:uid="{00000000-0005-0000-0000-000061070000}"/>
    <cellStyle name="Normal 24 2 3" xfId="1470" xr:uid="{00000000-0005-0000-0000-000062070000}"/>
    <cellStyle name="Normal 24 2 4" xfId="12237" xr:uid="{00000000-0005-0000-0000-000063070000}"/>
    <cellStyle name="Normal 24 20" xfId="10783" xr:uid="{00000000-0005-0000-0000-000064070000}"/>
    <cellStyle name="Normal 24 3" xfId="1471" xr:uid="{00000000-0005-0000-0000-000065070000}"/>
    <cellStyle name="Normal 24 3 2" xfId="1472" xr:uid="{00000000-0005-0000-0000-000066070000}"/>
    <cellStyle name="Normal 24 3 2 2" xfId="12240" xr:uid="{00000000-0005-0000-0000-000067070000}"/>
    <cellStyle name="Normal 24 3 3" xfId="1473" xr:uid="{00000000-0005-0000-0000-000068070000}"/>
    <cellStyle name="Normal 24 3 4" xfId="12239" xr:uid="{00000000-0005-0000-0000-000069070000}"/>
    <cellStyle name="Normal 24 4" xfId="1474" xr:uid="{00000000-0005-0000-0000-00006A070000}"/>
    <cellStyle name="Normal 24 4 2" xfId="10784" xr:uid="{00000000-0005-0000-0000-00006B070000}"/>
    <cellStyle name="Normal 24 5" xfId="1475" xr:uid="{00000000-0005-0000-0000-00006C070000}"/>
    <cellStyle name="Normal 24 5 2" xfId="10785" xr:uid="{00000000-0005-0000-0000-00006D070000}"/>
    <cellStyle name="Normal 24 6" xfId="10786" xr:uid="{00000000-0005-0000-0000-00006E070000}"/>
    <cellStyle name="Normal 24 6 2" xfId="10787" xr:uid="{00000000-0005-0000-0000-00006F070000}"/>
    <cellStyle name="Normal 24 7" xfId="10788" xr:uid="{00000000-0005-0000-0000-000070070000}"/>
    <cellStyle name="Normal 24 8" xfId="10789" xr:uid="{00000000-0005-0000-0000-000071070000}"/>
    <cellStyle name="Normal 24 9" xfId="10790" xr:uid="{00000000-0005-0000-0000-000072070000}"/>
    <cellStyle name="Normal 240" xfId="1476" xr:uid="{00000000-0005-0000-0000-000073070000}"/>
    <cellStyle name="Normal 241" xfId="1477" xr:uid="{00000000-0005-0000-0000-000074070000}"/>
    <cellStyle name="Normal 242" xfId="1478" xr:uid="{00000000-0005-0000-0000-000075070000}"/>
    <cellStyle name="Normal 243" xfId="1479" xr:uid="{00000000-0005-0000-0000-000076070000}"/>
    <cellStyle name="Normal 244" xfId="1480" xr:uid="{00000000-0005-0000-0000-000077070000}"/>
    <cellStyle name="Normal 245" xfId="1481" xr:uid="{00000000-0005-0000-0000-000078070000}"/>
    <cellStyle name="Normal 246" xfId="1482" xr:uid="{00000000-0005-0000-0000-000079070000}"/>
    <cellStyle name="Normal 247" xfId="1483" xr:uid="{00000000-0005-0000-0000-00007A070000}"/>
    <cellStyle name="Normal 248" xfId="1484" xr:uid="{00000000-0005-0000-0000-00007B070000}"/>
    <cellStyle name="Normal 249" xfId="1485" xr:uid="{00000000-0005-0000-0000-00007C070000}"/>
    <cellStyle name="Normal 25" xfId="1486" xr:uid="{00000000-0005-0000-0000-00007D070000}"/>
    <cellStyle name="Normal 25 10" xfId="10791" xr:uid="{00000000-0005-0000-0000-00007E070000}"/>
    <cellStyle name="Normal 25 11" xfId="10792" xr:uid="{00000000-0005-0000-0000-00007F070000}"/>
    <cellStyle name="Normal 25 12" xfId="10793" xr:uid="{00000000-0005-0000-0000-000080070000}"/>
    <cellStyle name="Normal 25 13" xfId="10794" xr:uid="{00000000-0005-0000-0000-000081070000}"/>
    <cellStyle name="Normal 25 14" xfId="10795" xr:uid="{00000000-0005-0000-0000-000082070000}"/>
    <cellStyle name="Normal 25 15" xfId="10796" xr:uid="{00000000-0005-0000-0000-000083070000}"/>
    <cellStyle name="Normal 25 16" xfId="10797" xr:uid="{00000000-0005-0000-0000-000084070000}"/>
    <cellStyle name="Normal 25 17" xfId="10798" xr:uid="{00000000-0005-0000-0000-000085070000}"/>
    <cellStyle name="Normal 25 18" xfId="10799" xr:uid="{00000000-0005-0000-0000-000086070000}"/>
    <cellStyle name="Normal 25 19" xfId="10800" xr:uid="{00000000-0005-0000-0000-000087070000}"/>
    <cellStyle name="Normal 25 2" xfId="1487" xr:uid="{00000000-0005-0000-0000-000088070000}"/>
    <cellStyle name="Normal 25 2 2" xfId="1488" xr:uid="{00000000-0005-0000-0000-000089070000}"/>
    <cellStyle name="Normal 25 2 2 2" xfId="12242" xr:uid="{00000000-0005-0000-0000-00008A070000}"/>
    <cellStyle name="Normal 25 2 3" xfId="1489" xr:uid="{00000000-0005-0000-0000-00008B070000}"/>
    <cellStyle name="Normal 25 2 4" xfId="12241" xr:uid="{00000000-0005-0000-0000-00008C070000}"/>
    <cellStyle name="Normal 25 20" xfId="10801" xr:uid="{00000000-0005-0000-0000-00008D070000}"/>
    <cellStyle name="Normal 25 3" xfId="1490" xr:uid="{00000000-0005-0000-0000-00008E070000}"/>
    <cellStyle name="Normal 25 3 2" xfId="1491" xr:uid="{00000000-0005-0000-0000-00008F070000}"/>
    <cellStyle name="Normal 25 3 2 2" xfId="12244" xr:uid="{00000000-0005-0000-0000-000090070000}"/>
    <cellStyle name="Normal 25 3 3" xfId="1492" xr:uid="{00000000-0005-0000-0000-000091070000}"/>
    <cellStyle name="Normal 25 3 4" xfId="12243" xr:uid="{00000000-0005-0000-0000-000092070000}"/>
    <cellStyle name="Normal 25 4" xfId="1493" xr:uid="{00000000-0005-0000-0000-000093070000}"/>
    <cellStyle name="Normal 25 4 2" xfId="10802" xr:uid="{00000000-0005-0000-0000-000094070000}"/>
    <cellStyle name="Normal 25 5" xfId="1494" xr:uid="{00000000-0005-0000-0000-000095070000}"/>
    <cellStyle name="Normal 25 5 2" xfId="10803" xr:uid="{00000000-0005-0000-0000-000096070000}"/>
    <cellStyle name="Normal 25 6" xfId="10804" xr:uid="{00000000-0005-0000-0000-000097070000}"/>
    <cellStyle name="Normal 25 6 2" xfId="10805" xr:uid="{00000000-0005-0000-0000-000098070000}"/>
    <cellStyle name="Normal 25 7" xfId="10806" xr:uid="{00000000-0005-0000-0000-000099070000}"/>
    <cellStyle name="Normal 25 8" xfId="10807" xr:uid="{00000000-0005-0000-0000-00009A070000}"/>
    <cellStyle name="Normal 25 9" xfId="10808" xr:uid="{00000000-0005-0000-0000-00009B070000}"/>
    <cellStyle name="Normal 250" xfId="1495" xr:uid="{00000000-0005-0000-0000-00009C070000}"/>
    <cellStyle name="Normal 251" xfId="1496" xr:uid="{00000000-0005-0000-0000-00009D070000}"/>
    <cellStyle name="Normal 252" xfId="1497" xr:uid="{00000000-0005-0000-0000-00009E070000}"/>
    <cellStyle name="Normal 253" xfId="1498" xr:uid="{00000000-0005-0000-0000-00009F070000}"/>
    <cellStyle name="Normal 254" xfId="1499" xr:uid="{00000000-0005-0000-0000-0000A0070000}"/>
    <cellStyle name="Normal 255" xfId="1500" xr:uid="{00000000-0005-0000-0000-0000A1070000}"/>
    <cellStyle name="Normal 256" xfId="1501" xr:uid="{00000000-0005-0000-0000-0000A2070000}"/>
    <cellStyle name="Normal 257" xfId="1502" xr:uid="{00000000-0005-0000-0000-0000A3070000}"/>
    <cellStyle name="Normal 258" xfId="1503" xr:uid="{00000000-0005-0000-0000-0000A4070000}"/>
    <cellStyle name="Normal 259" xfId="1504" xr:uid="{00000000-0005-0000-0000-0000A5070000}"/>
    <cellStyle name="Normal 26" xfId="1505" xr:uid="{00000000-0005-0000-0000-0000A6070000}"/>
    <cellStyle name="Normal 26 10" xfId="10809" xr:uid="{00000000-0005-0000-0000-0000A7070000}"/>
    <cellStyle name="Normal 26 11" xfId="10810" xr:uid="{00000000-0005-0000-0000-0000A8070000}"/>
    <cellStyle name="Normal 26 12" xfId="10811" xr:uid="{00000000-0005-0000-0000-0000A9070000}"/>
    <cellStyle name="Normal 26 13" xfId="10812" xr:uid="{00000000-0005-0000-0000-0000AA070000}"/>
    <cellStyle name="Normal 26 14" xfId="10813" xr:uid="{00000000-0005-0000-0000-0000AB070000}"/>
    <cellStyle name="Normal 26 15" xfId="10814" xr:uid="{00000000-0005-0000-0000-0000AC070000}"/>
    <cellStyle name="Normal 26 16" xfId="10815" xr:uid="{00000000-0005-0000-0000-0000AD070000}"/>
    <cellStyle name="Normal 26 17" xfId="10816" xr:uid="{00000000-0005-0000-0000-0000AE070000}"/>
    <cellStyle name="Normal 26 18" xfId="10817" xr:uid="{00000000-0005-0000-0000-0000AF070000}"/>
    <cellStyle name="Normal 26 19" xfId="10818" xr:uid="{00000000-0005-0000-0000-0000B0070000}"/>
    <cellStyle name="Normal 26 2" xfId="1506" xr:uid="{00000000-0005-0000-0000-0000B1070000}"/>
    <cellStyle name="Normal 26 2 2" xfId="1507" xr:uid="{00000000-0005-0000-0000-0000B2070000}"/>
    <cellStyle name="Normal 26 2 2 2" xfId="12246" xr:uid="{00000000-0005-0000-0000-0000B3070000}"/>
    <cellStyle name="Normal 26 2 3" xfId="1508" xr:uid="{00000000-0005-0000-0000-0000B4070000}"/>
    <cellStyle name="Normal 26 2 4" xfId="12245" xr:uid="{00000000-0005-0000-0000-0000B5070000}"/>
    <cellStyle name="Normal 26 20" xfId="10819" xr:uid="{00000000-0005-0000-0000-0000B6070000}"/>
    <cellStyle name="Normal 26 3" xfId="1509" xr:uid="{00000000-0005-0000-0000-0000B7070000}"/>
    <cellStyle name="Normal 26 3 2" xfId="1510" xr:uid="{00000000-0005-0000-0000-0000B8070000}"/>
    <cellStyle name="Normal 26 3 2 2" xfId="12248" xr:uid="{00000000-0005-0000-0000-0000B9070000}"/>
    <cellStyle name="Normal 26 3 3" xfId="1511" xr:uid="{00000000-0005-0000-0000-0000BA070000}"/>
    <cellStyle name="Normal 26 3 4" xfId="12247" xr:uid="{00000000-0005-0000-0000-0000BB070000}"/>
    <cellStyle name="Normal 26 4" xfId="1512" xr:uid="{00000000-0005-0000-0000-0000BC070000}"/>
    <cellStyle name="Normal 26 4 2" xfId="10820" xr:uid="{00000000-0005-0000-0000-0000BD070000}"/>
    <cellStyle name="Normal 26 5" xfId="1513" xr:uid="{00000000-0005-0000-0000-0000BE070000}"/>
    <cellStyle name="Normal 26 5 2" xfId="10821" xr:uid="{00000000-0005-0000-0000-0000BF070000}"/>
    <cellStyle name="Normal 26 6" xfId="10822" xr:uid="{00000000-0005-0000-0000-0000C0070000}"/>
    <cellStyle name="Normal 26 6 2" xfId="10823" xr:uid="{00000000-0005-0000-0000-0000C1070000}"/>
    <cellStyle name="Normal 26 7" xfId="10824" xr:uid="{00000000-0005-0000-0000-0000C2070000}"/>
    <cellStyle name="Normal 26 8" xfId="10825" xr:uid="{00000000-0005-0000-0000-0000C3070000}"/>
    <cellStyle name="Normal 26 9" xfId="10826" xr:uid="{00000000-0005-0000-0000-0000C4070000}"/>
    <cellStyle name="Normal 260" xfId="1514" xr:uid="{00000000-0005-0000-0000-0000C5070000}"/>
    <cellStyle name="Normal 261" xfId="1515" xr:uid="{00000000-0005-0000-0000-0000C6070000}"/>
    <cellStyle name="Normal 262" xfId="1516" xr:uid="{00000000-0005-0000-0000-0000C7070000}"/>
    <cellStyle name="Normal 263" xfId="1517" xr:uid="{00000000-0005-0000-0000-0000C8070000}"/>
    <cellStyle name="Normal 264" xfId="1518" xr:uid="{00000000-0005-0000-0000-0000C9070000}"/>
    <cellStyle name="Normal 265" xfId="1519" xr:uid="{00000000-0005-0000-0000-0000CA070000}"/>
    <cellStyle name="Normal 266" xfId="1520" xr:uid="{00000000-0005-0000-0000-0000CB070000}"/>
    <cellStyle name="Normal 267" xfId="1521" xr:uid="{00000000-0005-0000-0000-0000CC070000}"/>
    <cellStyle name="Normal 268" xfId="1522" xr:uid="{00000000-0005-0000-0000-0000CD070000}"/>
    <cellStyle name="Normal 269" xfId="1523" xr:uid="{00000000-0005-0000-0000-0000CE070000}"/>
    <cellStyle name="Normal 27" xfId="1524" xr:uid="{00000000-0005-0000-0000-0000CF070000}"/>
    <cellStyle name="Normal 27 10" xfId="10827" xr:uid="{00000000-0005-0000-0000-0000D0070000}"/>
    <cellStyle name="Normal 27 11" xfId="10828" xr:uid="{00000000-0005-0000-0000-0000D1070000}"/>
    <cellStyle name="Normal 27 12" xfId="10829" xr:uid="{00000000-0005-0000-0000-0000D2070000}"/>
    <cellStyle name="Normal 27 13" xfId="10830" xr:uid="{00000000-0005-0000-0000-0000D3070000}"/>
    <cellStyle name="Normal 27 14" xfId="10831" xr:uid="{00000000-0005-0000-0000-0000D4070000}"/>
    <cellStyle name="Normal 27 15" xfId="10832" xr:uid="{00000000-0005-0000-0000-0000D5070000}"/>
    <cellStyle name="Normal 27 16" xfId="10833" xr:uid="{00000000-0005-0000-0000-0000D6070000}"/>
    <cellStyle name="Normal 27 17" xfId="10834" xr:uid="{00000000-0005-0000-0000-0000D7070000}"/>
    <cellStyle name="Normal 27 18" xfId="10835" xr:uid="{00000000-0005-0000-0000-0000D8070000}"/>
    <cellStyle name="Normal 27 19" xfId="10836" xr:uid="{00000000-0005-0000-0000-0000D9070000}"/>
    <cellStyle name="Normal 27 2" xfId="1525" xr:uid="{00000000-0005-0000-0000-0000DA070000}"/>
    <cellStyle name="Normal 27 2 2" xfId="1526" xr:uid="{00000000-0005-0000-0000-0000DB070000}"/>
    <cellStyle name="Normal 27 2 2 2" xfId="12250" xr:uid="{00000000-0005-0000-0000-0000DC070000}"/>
    <cellStyle name="Normal 27 2 3" xfId="1527" xr:uid="{00000000-0005-0000-0000-0000DD070000}"/>
    <cellStyle name="Normal 27 2 4" xfId="12249" xr:uid="{00000000-0005-0000-0000-0000DE070000}"/>
    <cellStyle name="Normal 27 20" xfId="10837" xr:uid="{00000000-0005-0000-0000-0000DF070000}"/>
    <cellStyle name="Normal 27 3" xfId="1528" xr:uid="{00000000-0005-0000-0000-0000E0070000}"/>
    <cellStyle name="Normal 27 3 2" xfId="1529" xr:uid="{00000000-0005-0000-0000-0000E1070000}"/>
    <cellStyle name="Normal 27 3 2 2" xfId="12252" xr:uid="{00000000-0005-0000-0000-0000E2070000}"/>
    <cellStyle name="Normal 27 3 3" xfId="1530" xr:uid="{00000000-0005-0000-0000-0000E3070000}"/>
    <cellStyle name="Normal 27 3 4" xfId="12251" xr:uid="{00000000-0005-0000-0000-0000E4070000}"/>
    <cellStyle name="Normal 27 4" xfId="1531" xr:uid="{00000000-0005-0000-0000-0000E5070000}"/>
    <cellStyle name="Normal 27 4 2" xfId="10838" xr:uid="{00000000-0005-0000-0000-0000E6070000}"/>
    <cellStyle name="Normal 27 5" xfId="1532" xr:uid="{00000000-0005-0000-0000-0000E7070000}"/>
    <cellStyle name="Normal 27 5 2" xfId="10839" xr:uid="{00000000-0005-0000-0000-0000E8070000}"/>
    <cellStyle name="Normal 27 6" xfId="10840" xr:uid="{00000000-0005-0000-0000-0000E9070000}"/>
    <cellStyle name="Normal 27 6 2" xfId="10841" xr:uid="{00000000-0005-0000-0000-0000EA070000}"/>
    <cellStyle name="Normal 27 7" xfId="10842" xr:uid="{00000000-0005-0000-0000-0000EB070000}"/>
    <cellStyle name="Normal 27 8" xfId="10843" xr:uid="{00000000-0005-0000-0000-0000EC070000}"/>
    <cellStyle name="Normal 27 9" xfId="10844" xr:uid="{00000000-0005-0000-0000-0000ED070000}"/>
    <cellStyle name="Normal 270" xfId="1533" xr:uid="{00000000-0005-0000-0000-0000EE070000}"/>
    <cellStyle name="Normal 271" xfId="1534" xr:uid="{00000000-0005-0000-0000-0000EF070000}"/>
    <cellStyle name="Normal 272" xfId="1535" xr:uid="{00000000-0005-0000-0000-0000F0070000}"/>
    <cellStyle name="Normal 273" xfId="1536" xr:uid="{00000000-0005-0000-0000-0000F1070000}"/>
    <cellStyle name="Normal 274" xfId="1537" xr:uid="{00000000-0005-0000-0000-0000F2070000}"/>
    <cellStyle name="Normal 275" xfId="1538" xr:uid="{00000000-0005-0000-0000-0000F3070000}"/>
    <cellStyle name="Normal 276" xfId="1539" xr:uid="{00000000-0005-0000-0000-0000F4070000}"/>
    <cellStyle name="Normal 277" xfId="1540" xr:uid="{00000000-0005-0000-0000-0000F5070000}"/>
    <cellStyle name="Normal 278" xfId="1541" xr:uid="{00000000-0005-0000-0000-0000F6070000}"/>
    <cellStyle name="Normal 279" xfId="1542" xr:uid="{00000000-0005-0000-0000-0000F7070000}"/>
    <cellStyle name="Normal 28" xfId="1543" xr:uid="{00000000-0005-0000-0000-0000F8070000}"/>
    <cellStyle name="Normal 28 10" xfId="10845" xr:uid="{00000000-0005-0000-0000-0000F9070000}"/>
    <cellStyle name="Normal 28 11" xfId="10846" xr:uid="{00000000-0005-0000-0000-0000FA070000}"/>
    <cellStyle name="Normal 28 12" xfId="10847" xr:uid="{00000000-0005-0000-0000-0000FB070000}"/>
    <cellStyle name="Normal 28 13" xfId="10848" xr:uid="{00000000-0005-0000-0000-0000FC070000}"/>
    <cellStyle name="Normal 28 14" xfId="10849" xr:uid="{00000000-0005-0000-0000-0000FD070000}"/>
    <cellStyle name="Normal 28 15" xfId="10850" xr:uid="{00000000-0005-0000-0000-0000FE070000}"/>
    <cellStyle name="Normal 28 16" xfId="10851" xr:uid="{00000000-0005-0000-0000-0000FF070000}"/>
    <cellStyle name="Normal 28 17" xfId="10852" xr:uid="{00000000-0005-0000-0000-000000080000}"/>
    <cellStyle name="Normal 28 18" xfId="10853" xr:uid="{00000000-0005-0000-0000-000001080000}"/>
    <cellStyle name="Normal 28 19" xfId="10854" xr:uid="{00000000-0005-0000-0000-000002080000}"/>
    <cellStyle name="Normal 28 2" xfId="1544" xr:uid="{00000000-0005-0000-0000-000003080000}"/>
    <cellStyle name="Normal 28 2 2" xfId="1545" xr:uid="{00000000-0005-0000-0000-000004080000}"/>
    <cellStyle name="Normal 28 2 2 2" xfId="12254" xr:uid="{00000000-0005-0000-0000-000005080000}"/>
    <cellStyle name="Normal 28 2 3" xfId="1546" xr:uid="{00000000-0005-0000-0000-000006080000}"/>
    <cellStyle name="Normal 28 2 4" xfId="12253" xr:uid="{00000000-0005-0000-0000-000007080000}"/>
    <cellStyle name="Normal 28 20" xfId="10855" xr:uid="{00000000-0005-0000-0000-000008080000}"/>
    <cellStyle name="Normal 28 3" xfId="1547" xr:uid="{00000000-0005-0000-0000-000009080000}"/>
    <cellStyle name="Normal 28 3 2" xfId="1548" xr:uid="{00000000-0005-0000-0000-00000A080000}"/>
    <cellStyle name="Normal 28 3 2 2" xfId="12256" xr:uid="{00000000-0005-0000-0000-00000B080000}"/>
    <cellStyle name="Normal 28 3 3" xfId="1549" xr:uid="{00000000-0005-0000-0000-00000C080000}"/>
    <cellStyle name="Normal 28 3 4" xfId="12255" xr:uid="{00000000-0005-0000-0000-00000D080000}"/>
    <cellStyle name="Normal 28 4" xfId="1550" xr:uid="{00000000-0005-0000-0000-00000E080000}"/>
    <cellStyle name="Normal 28 4 2" xfId="10856" xr:uid="{00000000-0005-0000-0000-00000F080000}"/>
    <cellStyle name="Normal 28 5" xfId="1551" xr:uid="{00000000-0005-0000-0000-000010080000}"/>
    <cellStyle name="Normal 28 5 2" xfId="10857" xr:uid="{00000000-0005-0000-0000-000011080000}"/>
    <cellStyle name="Normal 28 6" xfId="10858" xr:uid="{00000000-0005-0000-0000-000012080000}"/>
    <cellStyle name="Normal 28 6 2" xfId="10859" xr:uid="{00000000-0005-0000-0000-000013080000}"/>
    <cellStyle name="Normal 28 7" xfId="10860" xr:uid="{00000000-0005-0000-0000-000014080000}"/>
    <cellStyle name="Normal 28 8" xfId="10861" xr:uid="{00000000-0005-0000-0000-000015080000}"/>
    <cellStyle name="Normal 28 9" xfId="10862" xr:uid="{00000000-0005-0000-0000-000016080000}"/>
    <cellStyle name="Normal 280" xfId="1552" xr:uid="{00000000-0005-0000-0000-000017080000}"/>
    <cellStyle name="Normal 281" xfId="1553" xr:uid="{00000000-0005-0000-0000-000018080000}"/>
    <cellStyle name="Normal 282" xfId="1554" xr:uid="{00000000-0005-0000-0000-000019080000}"/>
    <cellStyle name="Normal 283" xfId="1555" xr:uid="{00000000-0005-0000-0000-00001A080000}"/>
    <cellStyle name="Normal 284" xfId="1556" xr:uid="{00000000-0005-0000-0000-00001B080000}"/>
    <cellStyle name="Normal 285" xfId="1557" xr:uid="{00000000-0005-0000-0000-00001C080000}"/>
    <cellStyle name="Normal 286" xfId="1558" xr:uid="{00000000-0005-0000-0000-00001D080000}"/>
    <cellStyle name="Normal 287" xfId="1559" xr:uid="{00000000-0005-0000-0000-00001E080000}"/>
    <cellStyle name="Normal 288" xfId="1560" xr:uid="{00000000-0005-0000-0000-00001F080000}"/>
    <cellStyle name="Normal 289" xfId="1561" xr:uid="{00000000-0005-0000-0000-000020080000}"/>
    <cellStyle name="Normal 29" xfId="1562" xr:uid="{00000000-0005-0000-0000-000021080000}"/>
    <cellStyle name="Normal 29 10" xfId="10863" xr:uid="{00000000-0005-0000-0000-000022080000}"/>
    <cellStyle name="Normal 29 11" xfId="10864" xr:uid="{00000000-0005-0000-0000-000023080000}"/>
    <cellStyle name="Normal 29 12" xfId="10865" xr:uid="{00000000-0005-0000-0000-000024080000}"/>
    <cellStyle name="Normal 29 13" xfId="10866" xr:uid="{00000000-0005-0000-0000-000025080000}"/>
    <cellStyle name="Normal 29 14" xfId="10867" xr:uid="{00000000-0005-0000-0000-000026080000}"/>
    <cellStyle name="Normal 29 15" xfId="10868" xr:uid="{00000000-0005-0000-0000-000027080000}"/>
    <cellStyle name="Normal 29 16" xfId="10869" xr:uid="{00000000-0005-0000-0000-000028080000}"/>
    <cellStyle name="Normal 29 17" xfId="10870" xr:uid="{00000000-0005-0000-0000-000029080000}"/>
    <cellStyle name="Normal 29 18" xfId="10871" xr:uid="{00000000-0005-0000-0000-00002A080000}"/>
    <cellStyle name="Normal 29 19" xfId="10872" xr:uid="{00000000-0005-0000-0000-00002B080000}"/>
    <cellStyle name="Normal 29 2" xfId="1563" xr:uid="{00000000-0005-0000-0000-00002C080000}"/>
    <cellStyle name="Normal 29 2 2" xfId="1564" xr:uid="{00000000-0005-0000-0000-00002D080000}"/>
    <cellStyle name="Normal 29 2 2 2" xfId="12258" xr:uid="{00000000-0005-0000-0000-00002E080000}"/>
    <cellStyle name="Normal 29 2 3" xfId="1565" xr:uid="{00000000-0005-0000-0000-00002F080000}"/>
    <cellStyle name="Normal 29 2 4" xfId="12257" xr:uid="{00000000-0005-0000-0000-000030080000}"/>
    <cellStyle name="Normal 29 20" xfId="10873" xr:uid="{00000000-0005-0000-0000-000031080000}"/>
    <cellStyle name="Normal 29 3" xfId="1566" xr:uid="{00000000-0005-0000-0000-000032080000}"/>
    <cellStyle name="Normal 29 3 2" xfId="1567" xr:uid="{00000000-0005-0000-0000-000033080000}"/>
    <cellStyle name="Normal 29 3 2 2" xfId="12260" xr:uid="{00000000-0005-0000-0000-000034080000}"/>
    <cellStyle name="Normal 29 3 3" xfId="1568" xr:uid="{00000000-0005-0000-0000-000035080000}"/>
    <cellStyle name="Normal 29 3 4" xfId="12259" xr:uid="{00000000-0005-0000-0000-000036080000}"/>
    <cellStyle name="Normal 29 4" xfId="1569" xr:uid="{00000000-0005-0000-0000-000037080000}"/>
    <cellStyle name="Normal 29 4 2" xfId="10874" xr:uid="{00000000-0005-0000-0000-000038080000}"/>
    <cellStyle name="Normal 29 5" xfId="1570" xr:uid="{00000000-0005-0000-0000-000039080000}"/>
    <cellStyle name="Normal 29 5 2" xfId="10875" xr:uid="{00000000-0005-0000-0000-00003A080000}"/>
    <cellStyle name="Normal 29 6" xfId="10876" xr:uid="{00000000-0005-0000-0000-00003B080000}"/>
    <cellStyle name="Normal 29 6 2" xfId="10877" xr:uid="{00000000-0005-0000-0000-00003C080000}"/>
    <cellStyle name="Normal 29 7" xfId="10878" xr:uid="{00000000-0005-0000-0000-00003D080000}"/>
    <cellStyle name="Normal 29 8" xfId="10879" xr:uid="{00000000-0005-0000-0000-00003E080000}"/>
    <cellStyle name="Normal 29 9" xfId="10880" xr:uid="{00000000-0005-0000-0000-00003F080000}"/>
    <cellStyle name="Normal 290" xfId="1571" xr:uid="{00000000-0005-0000-0000-000040080000}"/>
    <cellStyle name="Normal 291" xfId="1572" xr:uid="{00000000-0005-0000-0000-000041080000}"/>
    <cellStyle name="Normal 292" xfId="1573" xr:uid="{00000000-0005-0000-0000-000042080000}"/>
    <cellStyle name="Normal 293" xfId="1574" xr:uid="{00000000-0005-0000-0000-000043080000}"/>
    <cellStyle name="Normal 294" xfId="1575" xr:uid="{00000000-0005-0000-0000-000044080000}"/>
    <cellStyle name="Normal 295" xfId="1576" xr:uid="{00000000-0005-0000-0000-000045080000}"/>
    <cellStyle name="Normal 296" xfId="1577" xr:uid="{00000000-0005-0000-0000-000046080000}"/>
    <cellStyle name="Normal 297" xfId="1578" xr:uid="{00000000-0005-0000-0000-000047080000}"/>
    <cellStyle name="Normal 298" xfId="1579" xr:uid="{00000000-0005-0000-0000-000048080000}"/>
    <cellStyle name="Normal 299" xfId="1580" xr:uid="{00000000-0005-0000-0000-000049080000}"/>
    <cellStyle name="Normal 3" xfId="74" xr:uid="{00000000-0005-0000-0000-00004A080000}"/>
    <cellStyle name="Normal 3 10" xfId="75" xr:uid="{00000000-0005-0000-0000-00004B080000}"/>
    <cellStyle name="Normal 3 10 2" xfId="1581" xr:uid="{00000000-0005-0000-0000-00004C080000}"/>
    <cellStyle name="Normal 3 10 2 2" xfId="1582" xr:uid="{00000000-0005-0000-0000-00004D080000}"/>
    <cellStyle name="Normal 3 10 2 2 2" xfId="13053" xr:uid="{00000000-0005-0000-0000-00004E080000}"/>
    <cellStyle name="Normal 3 10 2 3" xfId="1583" xr:uid="{00000000-0005-0000-0000-00004F080000}"/>
    <cellStyle name="Normal 3 10 2 3 2" xfId="13054" xr:uid="{00000000-0005-0000-0000-000050080000}"/>
    <cellStyle name="Normal 3 10 2 4" xfId="13055" xr:uid="{00000000-0005-0000-0000-000051080000}"/>
    <cellStyle name="Normal 3 10 3" xfId="1584" xr:uid="{00000000-0005-0000-0000-000052080000}"/>
    <cellStyle name="Normal 3 10 3 2" xfId="1585" xr:uid="{00000000-0005-0000-0000-000053080000}"/>
    <cellStyle name="Normal 3 10 3 2 2" xfId="13056" xr:uid="{00000000-0005-0000-0000-000054080000}"/>
    <cellStyle name="Normal 3 10 3 3" xfId="1586" xr:uid="{00000000-0005-0000-0000-000055080000}"/>
    <cellStyle name="Normal 3 10 3 3 2" xfId="13057" xr:uid="{00000000-0005-0000-0000-000056080000}"/>
    <cellStyle name="Normal 3 10 3 4" xfId="13058" xr:uid="{00000000-0005-0000-0000-000057080000}"/>
    <cellStyle name="Normal 3 10 4" xfId="1587" xr:uid="{00000000-0005-0000-0000-000058080000}"/>
    <cellStyle name="Normal 3 10 4 2" xfId="13059" xr:uid="{00000000-0005-0000-0000-000059080000}"/>
    <cellStyle name="Normal 3 10 5" xfId="1588" xr:uid="{00000000-0005-0000-0000-00005A080000}"/>
    <cellStyle name="Normal 3 10 5 2" xfId="13060" xr:uid="{00000000-0005-0000-0000-00005B080000}"/>
    <cellStyle name="Normal 3 10 6" xfId="12690" xr:uid="{00000000-0005-0000-0000-00005C080000}"/>
    <cellStyle name="Normal 3 11" xfId="76" xr:uid="{00000000-0005-0000-0000-00005D080000}"/>
    <cellStyle name="Normal 3 11 2" xfId="1589" xr:uid="{00000000-0005-0000-0000-00005E080000}"/>
    <cellStyle name="Normal 3 11 2 2" xfId="13061" xr:uid="{00000000-0005-0000-0000-00005F080000}"/>
    <cellStyle name="Normal 3 11 3" xfId="1590" xr:uid="{00000000-0005-0000-0000-000060080000}"/>
    <cellStyle name="Normal 3 11 3 2" xfId="13062" xr:uid="{00000000-0005-0000-0000-000061080000}"/>
    <cellStyle name="Normal 3 11 4" xfId="13063" xr:uid="{00000000-0005-0000-0000-000062080000}"/>
    <cellStyle name="Normal 3 12" xfId="1591" xr:uid="{00000000-0005-0000-0000-000063080000}"/>
    <cellStyle name="Normal 3 12 2" xfId="1592" xr:uid="{00000000-0005-0000-0000-000064080000}"/>
    <cellStyle name="Normal 3 12 2 2" xfId="13064" xr:uid="{00000000-0005-0000-0000-000065080000}"/>
    <cellStyle name="Normal 3 12 3" xfId="1593" xr:uid="{00000000-0005-0000-0000-000066080000}"/>
    <cellStyle name="Normal 3 12 3 2" xfId="13065" xr:uid="{00000000-0005-0000-0000-000067080000}"/>
    <cellStyle name="Normal 3 12 4" xfId="13066" xr:uid="{00000000-0005-0000-0000-000068080000}"/>
    <cellStyle name="Normal 3 13" xfId="1594" xr:uid="{00000000-0005-0000-0000-000069080000}"/>
    <cellStyle name="Normal 3 13 2" xfId="13067" xr:uid="{00000000-0005-0000-0000-00006A080000}"/>
    <cellStyle name="Normal 3 14" xfId="1595" xr:uid="{00000000-0005-0000-0000-00006B080000}"/>
    <cellStyle name="Normal 3 14 2" xfId="13068" xr:uid="{00000000-0005-0000-0000-00006C080000}"/>
    <cellStyle name="Normal 3 15" xfId="13069" xr:uid="{00000000-0005-0000-0000-00006D080000}"/>
    <cellStyle name="Normal 3 2" xfId="77" xr:uid="{00000000-0005-0000-0000-00006E080000}"/>
    <cellStyle name="Normal 3 2 10" xfId="1596" xr:uid="{00000000-0005-0000-0000-00006F080000}"/>
    <cellStyle name="Normal 3 2 10 2" xfId="1597" xr:uid="{00000000-0005-0000-0000-000070080000}"/>
    <cellStyle name="Normal 3 2 10 2 2" xfId="13070" xr:uid="{00000000-0005-0000-0000-000071080000}"/>
    <cellStyle name="Normal 3 2 10 3" xfId="1598" xr:uid="{00000000-0005-0000-0000-000072080000}"/>
    <cellStyle name="Normal 3 2 10 3 2" xfId="13071" xr:uid="{00000000-0005-0000-0000-000073080000}"/>
    <cellStyle name="Normal 3 2 10 4" xfId="13072" xr:uid="{00000000-0005-0000-0000-000074080000}"/>
    <cellStyle name="Normal 3 2 11" xfId="1599" xr:uid="{00000000-0005-0000-0000-000075080000}"/>
    <cellStyle name="Normal 3 2 11 2" xfId="13073" xr:uid="{00000000-0005-0000-0000-000076080000}"/>
    <cellStyle name="Normal 3 2 12" xfId="1600" xr:uid="{00000000-0005-0000-0000-000077080000}"/>
    <cellStyle name="Normal 3 2 12 2" xfId="13074" xr:uid="{00000000-0005-0000-0000-000078080000}"/>
    <cellStyle name="Normal 3 2 13" xfId="13075" xr:uid="{00000000-0005-0000-0000-000079080000}"/>
    <cellStyle name="Normal 3 2 2" xfId="78" xr:uid="{00000000-0005-0000-0000-00007A080000}"/>
    <cellStyle name="Normal 3 2 2 10" xfId="1601" xr:uid="{00000000-0005-0000-0000-00007B080000}"/>
    <cellStyle name="Normal 3 2 2 10 2" xfId="13076" xr:uid="{00000000-0005-0000-0000-00007C080000}"/>
    <cellStyle name="Normal 3 2 2 11" xfId="1602" xr:uid="{00000000-0005-0000-0000-00007D080000}"/>
    <cellStyle name="Normal 3 2 2 11 2" xfId="13077" xr:uid="{00000000-0005-0000-0000-00007E080000}"/>
    <cellStyle name="Normal 3 2 2 12" xfId="13078" xr:uid="{00000000-0005-0000-0000-00007F080000}"/>
    <cellStyle name="Normal 3 2 2 2" xfId="79" xr:uid="{00000000-0005-0000-0000-000080080000}"/>
    <cellStyle name="Normal 3 2 2 2 10" xfId="13079" xr:uid="{00000000-0005-0000-0000-000081080000}"/>
    <cellStyle name="Normal 3 2 2 2 2" xfId="80" xr:uid="{00000000-0005-0000-0000-000082080000}"/>
    <cellStyle name="Normal 3 2 2 2 3" xfId="81" xr:uid="{00000000-0005-0000-0000-000083080000}"/>
    <cellStyle name="Normal 3 2 2 2 4" xfId="82" xr:uid="{00000000-0005-0000-0000-000084080000}"/>
    <cellStyle name="Normal 3 2 2 2 4 2" xfId="13080" xr:uid="{00000000-0005-0000-0000-000085080000}"/>
    <cellStyle name="Normal 3 2 2 2 5" xfId="83" xr:uid="{00000000-0005-0000-0000-000086080000}"/>
    <cellStyle name="Normal 3 2 2 2 5 2" xfId="1603" xr:uid="{00000000-0005-0000-0000-000087080000}"/>
    <cellStyle name="Normal 3 2 2 2 5 2 2" xfId="1604" xr:uid="{00000000-0005-0000-0000-000088080000}"/>
    <cellStyle name="Normal 3 2 2 2 5 2 2 2" xfId="13081" xr:uid="{00000000-0005-0000-0000-000089080000}"/>
    <cellStyle name="Normal 3 2 2 2 5 2 3" xfId="1605" xr:uid="{00000000-0005-0000-0000-00008A080000}"/>
    <cellStyle name="Normal 3 2 2 2 5 2 3 2" xfId="13082" xr:uid="{00000000-0005-0000-0000-00008B080000}"/>
    <cellStyle name="Normal 3 2 2 2 5 2 4" xfId="13083" xr:uid="{00000000-0005-0000-0000-00008C080000}"/>
    <cellStyle name="Normal 3 2 2 2 5 3" xfId="1606" xr:uid="{00000000-0005-0000-0000-00008D080000}"/>
    <cellStyle name="Normal 3 2 2 2 5 3 2" xfId="1607" xr:uid="{00000000-0005-0000-0000-00008E080000}"/>
    <cellStyle name="Normal 3 2 2 2 5 3 2 2" xfId="13084" xr:uid="{00000000-0005-0000-0000-00008F080000}"/>
    <cellStyle name="Normal 3 2 2 2 5 3 3" xfId="1608" xr:uid="{00000000-0005-0000-0000-000090080000}"/>
    <cellStyle name="Normal 3 2 2 2 5 3 3 2" xfId="13085" xr:uid="{00000000-0005-0000-0000-000091080000}"/>
    <cellStyle name="Normal 3 2 2 2 5 3 4" xfId="13086" xr:uid="{00000000-0005-0000-0000-000092080000}"/>
    <cellStyle name="Normal 3 2 2 2 5 4" xfId="1609" xr:uid="{00000000-0005-0000-0000-000093080000}"/>
    <cellStyle name="Normal 3 2 2 2 5 4 2" xfId="13087" xr:uid="{00000000-0005-0000-0000-000094080000}"/>
    <cellStyle name="Normal 3 2 2 2 5 5" xfId="1610" xr:uid="{00000000-0005-0000-0000-000095080000}"/>
    <cellStyle name="Normal 3 2 2 2 5 5 2" xfId="13088" xr:uid="{00000000-0005-0000-0000-000096080000}"/>
    <cellStyle name="Normal 3 2 2 2 5 6" xfId="13089" xr:uid="{00000000-0005-0000-0000-000097080000}"/>
    <cellStyle name="Normal 3 2 2 2 6" xfId="84" xr:uid="{00000000-0005-0000-0000-000098080000}"/>
    <cellStyle name="Normal 3 2 2 2 6 2" xfId="1611" xr:uid="{00000000-0005-0000-0000-000099080000}"/>
    <cellStyle name="Normal 3 2 2 2 6 2 2" xfId="13090" xr:uid="{00000000-0005-0000-0000-00009A080000}"/>
    <cellStyle name="Normal 3 2 2 2 6 3" xfId="1612" xr:uid="{00000000-0005-0000-0000-00009B080000}"/>
    <cellStyle name="Normal 3 2 2 2 6 3 2" xfId="13091" xr:uid="{00000000-0005-0000-0000-00009C080000}"/>
    <cellStyle name="Normal 3 2 2 2 6 4" xfId="13092" xr:uid="{00000000-0005-0000-0000-00009D080000}"/>
    <cellStyle name="Normal 3 2 2 2 7" xfId="1613" xr:uid="{00000000-0005-0000-0000-00009E080000}"/>
    <cellStyle name="Normal 3 2 2 2 7 2" xfId="1614" xr:uid="{00000000-0005-0000-0000-00009F080000}"/>
    <cellStyle name="Normal 3 2 2 2 7 2 2" xfId="13093" xr:uid="{00000000-0005-0000-0000-0000A0080000}"/>
    <cellStyle name="Normal 3 2 2 2 7 3" xfId="1615" xr:uid="{00000000-0005-0000-0000-0000A1080000}"/>
    <cellStyle name="Normal 3 2 2 2 7 3 2" xfId="13094" xr:uid="{00000000-0005-0000-0000-0000A2080000}"/>
    <cellStyle name="Normal 3 2 2 2 7 4" xfId="13095" xr:uid="{00000000-0005-0000-0000-0000A3080000}"/>
    <cellStyle name="Normal 3 2 2 2 8" xfId="1616" xr:uid="{00000000-0005-0000-0000-0000A4080000}"/>
    <cellStyle name="Normal 3 2 2 2 8 2" xfId="13096" xr:uid="{00000000-0005-0000-0000-0000A5080000}"/>
    <cellStyle name="Normal 3 2 2 2 9" xfId="1617" xr:uid="{00000000-0005-0000-0000-0000A6080000}"/>
    <cellStyle name="Normal 3 2 2 2 9 2" xfId="13097" xr:uid="{00000000-0005-0000-0000-0000A7080000}"/>
    <cellStyle name="Normal 3 2 2 3" xfId="85" xr:uid="{00000000-0005-0000-0000-0000A8080000}"/>
    <cellStyle name="Normal 3 2 2 4" xfId="86" xr:uid="{00000000-0005-0000-0000-0000A9080000}"/>
    <cellStyle name="Normal 3 2 2 5" xfId="87" xr:uid="{00000000-0005-0000-0000-0000AA080000}"/>
    <cellStyle name="Normal 3 2 2 5 2" xfId="13098" xr:uid="{00000000-0005-0000-0000-0000AB080000}"/>
    <cellStyle name="Normal 3 2 2 6" xfId="88" xr:uid="{00000000-0005-0000-0000-0000AC080000}"/>
    <cellStyle name="Normal 3 2 2 6 2" xfId="1618" xr:uid="{00000000-0005-0000-0000-0000AD080000}"/>
    <cellStyle name="Normal 3 2 2 6 2 2" xfId="1619" xr:uid="{00000000-0005-0000-0000-0000AE080000}"/>
    <cellStyle name="Normal 3 2 2 6 2 2 2" xfId="13099" xr:uid="{00000000-0005-0000-0000-0000AF080000}"/>
    <cellStyle name="Normal 3 2 2 6 2 3" xfId="1620" xr:uid="{00000000-0005-0000-0000-0000B0080000}"/>
    <cellStyle name="Normal 3 2 2 6 2 3 2" xfId="13100" xr:uid="{00000000-0005-0000-0000-0000B1080000}"/>
    <cellStyle name="Normal 3 2 2 6 2 4" xfId="13101" xr:uid="{00000000-0005-0000-0000-0000B2080000}"/>
    <cellStyle name="Normal 3 2 2 6 3" xfId="1621" xr:uid="{00000000-0005-0000-0000-0000B3080000}"/>
    <cellStyle name="Normal 3 2 2 6 3 2" xfId="1622" xr:uid="{00000000-0005-0000-0000-0000B4080000}"/>
    <cellStyle name="Normal 3 2 2 6 3 2 2" xfId="13102" xr:uid="{00000000-0005-0000-0000-0000B5080000}"/>
    <cellStyle name="Normal 3 2 2 6 3 3" xfId="1623" xr:uid="{00000000-0005-0000-0000-0000B6080000}"/>
    <cellStyle name="Normal 3 2 2 6 3 3 2" xfId="13103" xr:uid="{00000000-0005-0000-0000-0000B7080000}"/>
    <cellStyle name="Normal 3 2 2 6 3 4" xfId="13104" xr:uid="{00000000-0005-0000-0000-0000B8080000}"/>
    <cellStyle name="Normal 3 2 2 6 4" xfId="1624" xr:uid="{00000000-0005-0000-0000-0000B9080000}"/>
    <cellStyle name="Normal 3 2 2 6 4 2" xfId="13105" xr:uid="{00000000-0005-0000-0000-0000BA080000}"/>
    <cellStyle name="Normal 3 2 2 6 5" xfId="1625" xr:uid="{00000000-0005-0000-0000-0000BB080000}"/>
    <cellStyle name="Normal 3 2 2 6 5 2" xfId="13106" xr:uid="{00000000-0005-0000-0000-0000BC080000}"/>
    <cellStyle name="Normal 3 2 2 6 6" xfId="13107" xr:uid="{00000000-0005-0000-0000-0000BD080000}"/>
    <cellStyle name="Normal 3 2 2 7" xfId="89" xr:uid="{00000000-0005-0000-0000-0000BE080000}"/>
    <cellStyle name="Normal 3 2 2 7 2" xfId="13108" xr:uid="{00000000-0005-0000-0000-0000BF080000}"/>
    <cellStyle name="Normal 3 2 2 8" xfId="1626" xr:uid="{00000000-0005-0000-0000-0000C0080000}"/>
    <cellStyle name="Normal 3 2 2 8 2" xfId="1627" xr:uid="{00000000-0005-0000-0000-0000C1080000}"/>
    <cellStyle name="Normal 3 2 2 8 2 2" xfId="13109" xr:uid="{00000000-0005-0000-0000-0000C2080000}"/>
    <cellStyle name="Normal 3 2 2 8 3" xfId="1628" xr:uid="{00000000-0005-0000-0000-0000C3080000}"/>
    <cellStyle name="Normal 3 2 2 8 3 2" xfId="13110" xr:uid="{00000000-0005-0000-0000-0000C4080000}"/>
    <cellStyle name="Normal 3 2 2 8 4" xfId="13111" xr:uid="{00000000-0005-0000-0000-0000C5080000}"/>
    <cellStyle name="Normal 3 2 2 9" xfId="1629" xr:uid="{00000000-0005-0000-0000-0000C6080000}"/>
    <cellStyle name="Normal 3 2 2 9 2" xfId="1630" xr:uid="{00000000-0005-0000-0000-0000C7080000}"/>
    <cellStyle name="Normal 3 2 2 9 2 2" xfId="13112" xr:uid="{00000000-0005-0000-0000-0000C8080000}"/>
    <cellStyle name="Normal 3 2 2 9 3" xfId="1631" xr:uid="{00000000-0005-0000-0000-0000C9080000}"/>
    <cellStyle name="Normal 3 2 2 9 3 2" xfId="13113" xr:uid="{00000000-0005-0000-0000-0000CA080000}"/>
    <cellStyle name="Normal 3 2 2 9 4" xfId="13114" xr:uid="{00000000-0005-0000-0000-0000CB080000}"/>
    <cellStyle name="Normal 3 2 3" xfId="90" xr:uid="{00000000-0005-0000-0000-0000CC080000}"/>
    <cellStyle name="Normal 3 2 3 2" xfId="91" xr:uid="{00000000-0005-0000-0000-0000CD080000}"/>
    <cellStyle name="Normal 3 2 3 2 2" xfId="92" xr:uid="{00000000-0005-0000-0000-0000CE080000}"/>
    <cellStyle name="Normal 3 2 3 2 2 2" xfId="1632" xr:uid="{00000000-0005-0000-0000-0000CF080000}"/>
    <cellStyle name="Normal 3 2 3 2 2 2 2" xfId="1633" xr:uid="{00000000-0005-0000-0000-0000D0080000}"/>
    <cellStyle name="Normal 3 2 3 2 2 2 2 2" xfId="13115" xr:uid="{00000000-0005-0000-0000-0000D1080000}"/>
    <cellStyle name="Normal 3 2 3 2 2 2 3" xfId="1634" xr:uid="{00000000-0005-0000-0000-0000D2080000}"/>
    <cellStyle name="Normal 3 2 3 2 2 2 3 2" xfId="13116" xr:uid="{00000000-0005-0000-0000-0000D3080000}"/>
    <cellStyle name="Normal 3 2 3 2 2 2 4" xfId="13117" xr:uid="{00000000-0005-0000-0000-0000D4080000}"/>
    <cellStyle name="Normal 3 2 3 2 2 3" xfId="1635" xr:uid="{00000000-0005-0000-0000-0000D5080000}"/>
    <cellStyle name="Normal 3 2 3 2 2 3 2" xfId="1636" xr:uid="{00000000-0005-0000-0000-0000D6080000}"/>
    <cellStyle name="Normal 3 2 3 2 2 3 2 2" xfId="13118" xr:uid="{00000000-0005-0000-0000-0000D7080000}"/>
    <cellStyle name="Normal 3 2 3 2 2 3 3" xfId="1637" xr:uid="{00000000-0005-0000-0000-0000D8080000}"/>
    <cellStyle name="Normal 3 2 3 2 2 3 3 2" xfId="13119" xr:uid="{00000000-0005-0000-0000-0000D9080000}"/>
    <cellStyle name="Normal 3 2 3 2 2 3 4" xfId="13120" xr:uid="{00000000-0005-0000-0000-0000DA080000}"/>
    <cellStyle name="Normal 3 2 3 2 2 4" xfId="1638" xr:uid="{00000000-0005-0000-0000-0000DB080000}"/>
    <cellStyle name="Normal 3 2 3 2 2 4 2" xfId="13121" xr:uid="{00000000-0005-0000-0000-0000DC080000}"/>
    <cellStyle name="Normal 3 2 3 2 2 5" xfId="1639" xr:uid="{00000000-0005-0000-0000-0000DD080000}"/>
    <cellStyle name="Normal 3 2 3 2 2 5 2" xfId="13122" xr:uid="{00000000-0005-0000-0000-0000DE080000}"/>
    <cellStyle name="Normal 3 2 3 2 2 6" xfId="13123" xr:uid="{00000000-0005-0000-0000-0000DF080000}"/>
    <cellStyle name="Normal 3 2 3 2 3" xfId="93" xr:uid="{00000000-0005-0000-0000-0000E0080000}"/>
    <cellStyle name="Normal 3 2 3 2 3 2" xfId="1640" xr:uid="{00000000-0005-0000-0000-0000E1080000}"/>
    <cellStyle name="Normal 3 2 3 2 3 2 2" xfId="13124" xr:uid="{00000000-0005-0000-0000-0000E2080000}"/>
    <cellStyle name="Normal 3 2 3 2 3 3" xfId="1641" xr:uid="{00000000-0005-0000-0000-0000E3080000}"/>
    <cellStyle name="Normal 3 2 3 2 3 3 2" xfId="13125" xr:uid="{00000000-0005-0000-0000-0000E4080000}"/>
    <cellStyle name="Normal 3 2 3 2 3 4" xfId="13126" xr:uid="{00000000-0005-0000-0000-0000E5080000}"/>
    <cellStyle name="Normal 3 2 3 2 4" xfId="94" xr:uid="{00000000-0005-0000-0000-0000E6080000}"/>
    <cellStyle name="Normal 3 2 3 2 4 2" xfId="1642" xr:uid="{00000000-0005-0000-0000-0000E7080000}"/>
    <cellStyle name="Normal 3 2 3 2 4 2 2" xfId="13127" xr:uid="{00000000-0005-0000-0000-0000E8080000}"/>
    <cellStyle name="Normal 3 2 3 2 4 3" xfId="1643" xr:uid="{00000000-0005-0000-0000-0000E9080000}"/>
    <cellStyle name="Normal 3 2 3 2 4 3 2" xfId="13128" xr:uid="{00000000-0005-0000-0000-0000EA080000}"/>
    <cellStyle name="Normal 3 2 3 2 4 4" xfId="13129" xr:uid="{00000000-0005-0000-0000-0000EB080000}"/>
    <cellStyle name="Normal 3 2 3 2 5" xfId="1644" xr:uid="{00000000-0005-0000-0000-0000EC080000}"/>
    <cellStyle name="Normal 3 2 3 2 5 2" xfId="13130" xr:uid="{00000000-0005-0000-0000-0000ED080000}"/>
    <cellStyle name="Normal 3 2 3 2 6" xfId="1645" xr:uid="{00000000-0005-0000-0000-0000EE080000}"/>
    <cellStyle name="Normal 3 2 3 2 6 2" xfId="13131" xr:uid="{00000000-0005-0000-0000-0000EF080000}"/>
    <cellStyle name="Normal 3 2 3 2 7" xfId="13132" xr:uid="{00000000-0005-0000-0000-0000F0080000}"/>
    <cellStyle name="Normal 3 2 3 3" xfId="95" xr:uid="{00000000-0005-0000-0000-0000F1080000}"/>
    <cellStyle name="Normal 3 2 3 4" xfId="96" xr:uid="{00000000-0005-0000-0000-0000F2080000}"/>
    <cellStyle name="Normal 3 2 3 4 2" xfId="1646" xr:uid="{00000000-0005-0000-0000-0000F3080000}"/>
    <cellStyle name="Normal 3 2 3 4 2 2" xfId="1647" xr:uid="{00000000-0005-0000-0000-0000F4080000}"/>
    <cellStyle name="Normal 3 2 3 4 2 2 2" xfId="13133" xr:uid="{00000000-0005-0000-0000-0000F5080000}"/>
    <cellStyle name="Normal 3 2 3 4 2 3" xfId="1648" xr:uid="{00000000-0005-0000-0000-0000F6080000}"/>
    <cellStyle name="Normal 3 2 3 4 2 3 2" xfId="13134" xr:uid="{00000000-0005-0000-0000-0000F7080000}"/>
    <cellStyle name="Normal 3 2 3 4 2 4" xfId="13135" xr:uid="{00000000-0005-0000-0000-0000F8080000}"/>
    <cellStyle name="Normal 3 2 3 4 3" xfId="1649" xr:uid="{00000000-0005-0000-0000-0000F9080000}"/>
    <cellStyle name="Normal 3 2 3 4 3 2" xfId="1650" xr:uid="{00000000-0005-0000-0000-0000FA080000}"/>
    <cellStyle name="Normal 3 2 3 4 3 2 2" xfId="13136" xr:uid="{00000000-0005-0000-0000-0000FB080000}"/>
    <cellStyle name="Normal 3 2 3 4 3 3" xfId="1651" xr:uid="{00000000-0005-0000-0000-0000FC080000}"/>
    <cellStyle name="Normal 3 2 3 4 3 3 2" xfId="13137" xr:uid="{00000000-0005-0000-0000-0000FD080000}"/>
    <cellStyle name="Normal 3 2 3 4 3 4" xfId="13138" xr:uid="{00000000-0005-0000-0000-0000FE080000}"/>
    <cellStyle name="Normal 3 2 3 4 4" xfId="1652" xr:uid="{00000000-0005-0000-0000-0000FF080000}"/>
    <cellStyle name="Normal 3 2 3 4 4 2" xfId="13139" xr:uid="{00000000-0005-0000-0000-000000090000}"/>
    <cellStyle name="Normal 3 2 3 4 5" xfId="1653" xr:uid="{00000000-0005-0000-0000-000001090000}"/>
    <cellStyle name="Normal 3 2 3 4 5 2" xfId="13140" xr:uid="{00000000-0005-0000-0000-000002090000}"/>
    <cellStyle name="Normal 3 2 3 4 6" xfId="13141" xr:uid="{00000000-0005-0000-0000-000003090000}"/>
    <cellStyle name="Normal 3 2 3 5" xfId="97" xr:uid="{00000000-0005-0000-0000-000004090000}"/>
    <cellStyle name="Normal 3 2 3 5 2" xfId="1654" xr:uid="{00000000-0005-0000-0000-000005090000}"/>
    <cellStyle name="Normal 3 2 3 5 2 2" xfId="13142" xr:uid="{00000000-0005-0000-0000-000006090000}"/>
    <cellStyle name="Normal 3 2 3 5 3" xfId="1655" xr:uid="{00000000-0005-0000-0000-000007090000}"/>
    <cellStyle name="Normal 3 2 3 5 3 2" xfId="13143" xr:uid="{00000000-0005-0000-0000-000008090000}"/>
    <cellStyle name="Normal 3 2 3 5 4" xfId="13144" xr:uid="{00000000-0005-0000-0000-000009090000}"/>
    <cellStyle name="Normal 3 2 3 6" xfId="98" xr:uid="{00000000-0005-0000-0000-00000A090000}"/>
    <cellStyle name="Normal 3 2 3 6 2" xfId="1656" xr:uid="{00000000-0005-0000-0000-00000B090000}"/>
    <cellStyle name="Normal 3 2 3 6 2 2" xfId="13145" xr:uid="{00000000-0005-0000-0000-00000C090000}"/>
    <cellStyle name="Normal 3 2 3 6 3" xfId="1657" xr:uid="{00000000-0005-0000-0000-00000D090000}"/>
    <cellStyle name="Normal 3 2 3 6 3 2" xfId="13146" xr:uid="{00000000-0005-0000-0000-00000E090000}"/>
    <cellStyle name="Normal 3 2 3 6 4" xfId="13147" xr:uid="{00000000-0005-0000-0000-00000F090000}"/>
    <cellStyle name="Normal 3 2 3 7" xfId="1658" xr:uid="{00000000-0005-0000-0000-000010090000}"/>
    <cellStyle name="Normal 3 2 3 7 2" xfId="13148" xr:uid="{00000000-0005-0000-0000-000011090000}"/>
    <cellStyle name="Normal 3 2 3 8" xfId="1659" xr:uid="{00000000-0005-0000-0000-000012090000}"/>
    <cellStyle name="Normal 3 2 3 8 2" xfId="13149" xr:uid="{00000000-0005-0000-0000-000013090000}"/>
    <cellStyle name="Normal 3 2 3 9" xfId="13150" xr:uid="{00000000-0005-0000-0000-000014090000}"/>
    <cellStyle name="Normal 3 2 4" xfId="99" xr:uid="{00000000-0005-0000-0000-000015090000}"/>
    <cellStyle name="Normal 3 2 4 10" xfId="13151" xr:uid="{00000000-0005-0000-0000-000016090000}"/>
    <cellStyle name="Normal 3 2 4 2" xfId="100" xr:uid="{00000000-0005-0000-0000-000017090000}"/>
    <cellStyle name="Normal 3 2 4 2 2" xfId="101" xr:uid="{00000000-0005-0000-0000-000018090000}"/>
    <cellStyle name="Normal 3 2 4 2 3" xfId="102" xr:uid="{00000000-0005-0000-0000-000019090000}"/>
    <cellStyle name="Normal 3 2 4 2 3 2" xfId="1660" xr:uid="{00000000-0005-0000-0000-00001A090000}"/>
    <cellStyle name="Normal 3 2 4 2 3 2 2" xfId="1661" xr:uid="{00000000-0005-0000-0000-00001B090000}"/>
    <cellStyle name="Normal 3 2 4 2 3 2 2 2" xfId="13152" xr:uid="{00000000-0005-0000-0000-00001C090000}"/>
    <cellStyle name="Normal 3 2 4 2 3 2 3" xfId="1662" xr:uid="{00000000-0005-0000-0000-00001D090000}"/>
    <cellStyle name="Normal 3 2 4 2 3 2 3 2" xfId="13153" xr:uid="{00000000-0005-0000-0000-00001E090000}"/>
    <cellStyle name="Normal 3 2 4 2 3 2 4" xfId="13154" xr:uid="{00000000-0005-0000-0000-00001F090000}"/>
    <cellStyle name="Normal 3 2 4 2 3 3" xfId="1663" xr:uid="{00000000-0005-0000-0000-000020090000}"/>
    <cellStyle name="Normal 3 2 4 2 3 3 2" xfId="1664" xr:uid="{00000000-0005-0000-0000-000021090000}"/>
    <cellStyle name="Normal 3 2 4 2 3 3 2 2" xfId="13155" xr:uid="{00000000-0005-0000-0000-000022090000}"/>
    <cellStyle name="Normal 3 2 4 2 3 3 3" xfId="1665" xr:uid="{00000000-0005-0000-0000-000023090000}"/>
    <cellStyle name="Normal 3 2 4 2 3 3 3 2" xfId="13156" xr:uid="{00000000-0005-0000-0000-000024090000}"/>
    <cellStyle name="Normal 3 2 4 2 3 3 4" xfId="13157" xr:uid="{00000000-0005-0000-0000-000025090000}"/>
    <cellStyle name="Normal 3 2 4 2 3 4" xfId="1666" xr:uid="{00000000-0005-0000-0000-000026090000}"/>
    <cellStyle name="Normal 3 2 4 2 3 4 2" xfId="13158" xr:uid="{00000000-0005-0000-0000-000027090000}"/>
    <cellStyle name="Normal 3 2 4 2 3 5" xfId="1667" xr:uid="{00000000-0005-0000-0000-000028090000}"/>
    <cellStyle name="Normal 3 2 4 2 3 5 2" xfId="13159" xr:uid="{00000000-0005-0000-0000-000029090000}"/>
    <cellStyle name="Normal 3 2 4 2 3 6" xfId="13160" xr:uid="{00000000-0005-0000-0000-00002A090000}"/>
    <cellStyle name="Normal 3 2 4 2 4" xfId="1668" xr:uid="{00000000-0005-0000-0000-00002B090000}"/>
    <cellStyle name="Normal 3 2 4 2 4 2" xfId="1669" xr:uid="{00000000-0005-0000-0000-00002C090000}"/>
    <cellStyle name="Normal 3 2 4 2 4 2 2" xfId="13161" xr:uid="{00000000-0005-0000-0000-00002D090000}"/>
    <cellStyle name="Normal 3 2 4 2 4 3" xfId="1670" xr:uid="{00000000-0005-0000-0000-00002E090000}"/>
    <cellStyle name="Normal 3 2 4 2 4 3 2" xfId="13162" xr:uid="{00000000-0005-0000-0000-00002F090000}"/>
    <cellStyle name="Normal 3 2 4 2 4 4" xfId="13163" xr:uid="{00000000-0005-0000-0000-000030090000}"/>
    <cellStyle name="Normal 3 2 4 2 5" xfId="1671" xr:uid="{00000000-0005-0000-0000-000031090000}"/>
    <cellStyle name="Normal 3 2 4 2 5 2" xfId="1672" xr:uid="{00000000-0005-0000-0000-000032090000}"/>
    <cellStyle name="Normal 3 2 4 2 5 2 2" xfId="13164" xr:uid="{00000000-0005-0000-0000-000033090000}"/>
    <cellStyle name="Normal 3 2 4 2 5 3" xfId="1673" xr:uid="{00000000-0005-0000-0000-000034090000}"/>
    <cellStyle name="Normal 3 2 4 2 5 3 2" xfId="13165" xr:uid="{00000000-0005-0000-0000-000035090000}"/>
    <cellStyle name="Normal 3 2 4 2 5 4" xfId="13166" xr:uid="{00000000-0005-0000-0000-000036090000}"/>
    <cellStyle name="Normal 3 2 4 2 6" xfId="1674" xr:uid="{00000000-0005-0000-0000-000037090000}"/>
    <cellStyle name="Normal 3 2 4 2 6 2" xfId="13167" xr:uid="{00000000-0005-0000-0000-000038090000}"/>
    <cellStyle name="Normal 3 2 4 2 7" xfId="1675" xr:uid="{00000000-0005-0000-0000-000039090000}"/>
    <cellStyle name="Normal 3 2 4 2 7 2" xfId="13168" xr:uid="{00000000-0005-0000-0000-00003A090000}"/>
    <cellStyle name="Normal 3 2 4 2 8" xfId="13169" xr:uid="{00000000-0005-0000-0000-00003B090000}"/>
    <cellStyle name="Normal 3 2 4 3" xfId="103" xr:uid="{00000000-0005-0000-0000-00003C090000}"/>
    <cellStyle name="Normal 3 2 4 4" xfId="104" xr:uid="{00000000-0005-0000-0000-00003D090000}"/>
    <cellStyle name="Normal 3 2 4 4 2" xfId="13170" xr:uid="{00000000-0005-0000-0000-00003E090000}"/>
    <cellStyle name="Normal 3 2 4 5" xfId="105" xr:uid="{00000000-0005-0000-0000-00003F090000}"/>
    <cellStyle name="Normal 3 2 4 5 2" xfId="1676" xr:uid="{00000000-0005-0000-0000-000040090000}"/>
    <cellStyle name="Normal 3 2 4 5 2 2" xfId="1677" xr:uid="{00000000-0005-0000-0000-000041090000}"/>
    <cellStyle name="Normal 3 2 4 5 2 2 2" xfId="13171" xr:uid="{00000000-0005-0000-0000-000042090000}"/>
    <cellStyle name="Normal 3 2 4 5 2 3" xfId="1678" xr:uid="{00000000-0005-0000-0000-000043090000}"/>
    <cellStyle name="Normal 3 2 4 5 2 3 2" xfId="13172" xr:uid="{00000000-0005-0000-0000-000044090000}"/>
    <cellStyle name="Normal 3 2 4 5 2 4" xfId="13173" xr:uid="{00000000-0005-0000-0000-000045090000}"/>
    <cellStyle name="Normal 3 2 4 5 3" xfId="1679" xr:uid="{00000000-0005-0000-0000-000046090000}"/>
    <cellStyle name="Normal 3 2 4 5 3 2" xfId="1680" xr:uid="{00000000-0005-0000-0000-000047090000}"/>
    <cellStyle name="Normal 3 2 4 5 3 2 2" xfId="13174" xr:uid="{00000000-0005-0000-0000-000048090000}"/>
    <cellStyle name="Normal 3 2 4 5 3 3" xfId="1681" xr:uid="{00000000-0005-0000-0000-000049090000}"/>
    <cellStyle name="Normal 3 2 4 5 3 3 2" xfId="13175" xr:uid="{00000000-0005-0000-0000-00004A090000}"/>
    <cellStyle name="Normal 3 2 4 5 3 4" xfId="13176" xr:uid="{00000000-0005-0000-0000-00004B090000}"/>
    <cellStyle name="Normal 3 2 4 5 4" xfId="1682" xr:uid="{00000000-0005-0000-0000-00004C090000}"/>
    <cellStyle name="Normal 3 2 4 5 4 2" xfId="13177" xr:uid="{00000000-0005-0000-0000-00004D090000}"/>
    <cellStyle name="Normal 3 2 4 5 5" xfId="1683" xr:uid="{00000000-0005-0000-0000-00004E090000}"/>
    <cellStyle name="Normal 3 2 4 5 5 2" xfId="13178" xr:uid="{00000000-0005-0000-0000-00004F090000}"/>
    <cellStyle name="Normal 3 2 4 5 6" xfId="13179" xr:uid="{00000000-0005-0000-0000-000050090000}"/>
    <cellStyle name="Normal 3 2 4 6" xfId="106" xr:uid="{00000000-0005-0000-0000-000051090000}"/>
    <cellStyle name="Normal 3 2 4 6 2" xfId="1684" xr:uid="{00000000-0005-0000-0000-000052090000}"/>
    <cellStyle name="Normal 3 2 4 6 2 2" xfId="13180" xr:uid="{00000000-0005-0000-0000-000053090000}"/>
    <cellStyle name="Normal 3 2 4 6 3" xfId="1685" xr:uid="{00000000-0005-0000-0000-000054090000}"/>
    <cellStyle name="Normal 3 2 4 6 3 2" xfId="13181" xr:uid="{00000000-0005-0000-0000-000055090000}"/>
    <cellStyle name="Normal 3 2 4 6 4" xfId="13182" xr:uid="{00000000-0005-0000-0000-000056090000}"/>
    <cellStyle name="Normal 3 2 4 7" xfId="1686" xr:uid="{00000000-0005-0000-0000-000057090000}"/>
    <cellStyle name="Normal 3 2 4 7 2" xfId="1687" xr:uid="{00000000-0005-0000-0000-000058090000}"/>
    <cellStyle name="Normal 3 2 4 7 2 2" xfId="13183" xr:uid="{00000000-0005-0000-0000-000059090000}"/>
    <cellStyle name="Normal 3 2 4 7 3" xfId="1688" xr:uid="{00000000-0005-0000-0000-00005A090000}"/>
    <cellStyle name="Normal 3 2 4 7 3 2" xfId="13184" xr:uid="{00000000-0005-0000-0000-00005B090000}"/>
    <cellStyle name="Normal 3 2 4 7 4" xfId="13185" xr:uid="{00000000-0005-0000-0000-00005C090000}"/>
    <cellStyle name="Normal 3 2 4 8" xfId="1689" xr:uid="{00000000-0005-0000-0000-00005D090000}"/>
    <cellStyle name="Normal 3 2 4 8 2" xfId="13186" xr:uid="{00000000-0005-0000-0000-00005E090000}"/>
    <cellStyle name="Normal 3 2 4 9" xfId="1690" xr:uid="{00000000-0005-0000-0000-00005F090000}"/>
    <cellStyle name="Normal 3 2 4 9 2" xfId="13187" xr:uid="{00000000-0005-0000-0000-000060090000}"/>
    <cellStyle name="Normal 3 2 5" xfId="107" xr:uid="{00000000-0005-0000-0000-000061090000}"/>
    <cellStyle name="Normal 3 2 5 2" xfId="108" xr:uid="{00000000-0005-0000-0000-000062090000}"/>
    <cellStyle name="Normal 3 2 5 3" xfId="109" xr:uid="{00000000-0005-0000-0000-000063090000}"/>
    <cellStyle name="Normal 3 2 5 3 2" xfId="1691" xr:uid="{00000000-0005-0000-0000-000064090000}"/>
    <cellStyle name="Normal 3 2 5 3 2 2" xfId="1692" xr:uid="{00000000-0005-0000-0000-000065090000}"/>
    <cellStyle name="Normal 3 2 5 3 2 2 2" xfId="13188" xr:uid="{00000000-0005-0000-0000-000066090000}"/>
    <cellStyle name="Normal 3 2 5 3 2 3" xfId="1693" xr:uid="{00000000-0005-0000-0000-000067090000}"/>
    <cellStyle name="Normal 3 2 5 3 2 3 2" xfId="13189" xr:uid="{00000000-0005-0000-0000-000068090000}"/>
    <cellStyle name="Normal 3 2 5 3 2 4" xfId="13190" xr:uid="{00000000-0005-0000-0000-000069090000}"/>
    <cellStyle name="Normal 3 2 5 3 3" xfId="1694" xr:uid="{00000000-0005-0000-0000-00006A090000}"/>
    <cellStyle name="Normal 3 2 5 3 3 2" xfId="1695" xr:uid="{00000000-0005-0000-0000-00006B090000}"/>
    <cellStyle name="Normal 3 2 5 3 3 2 2" xfId="13191" xr:uid="{00000000-0005-0000-0000-00006C090000}"/>
    <cellStyle name="Normal 3 2 5 3 3 3" xfId="1696" xr:uid="{00000000-0005-0000-0000-00006D090000}"/>
    <cellStyle name="Normal 3 2 5 3 3 3 2" xfId="13192" xr:uid="{00000000-0005-0000-0000-00006E090000}"/>
    <cellStyle name="Normal 3 2 5 3 3 4" xfId="13193" xr:uid="{00000000-0005-0000-0000-00006F090000}"/>
    <cellStyle name="Normal 3 2 5 3 4" xfId="1697" xr:uid="{00000000-0005-0000-0000-000070090000}"/>
    <cellStyle name="Normal 3 2 5 3 4 2" xfId="13194" xr:uid="{00000000-0005-0000-0000-000071090000}"/>
    <cellStyle name="Normal 3 2 5 3 5" xfId="1698" xr:uid="{00000000-0005-0000-0000-000072090000}"/>
    <cellStyle name="Normal 3 2 5 3 5 2" xfId="13195" xr:uid="{00000000-0005-0000-0000-000073090000}"/>
    <cellStyle name="Normal 3 2 5 3 6" xfId="13196" xr:uid="{00000000-0005-0000-0000-000074090000}"/>
    <cellStyle name="Normal 3 2 5 4" xfId="110" xr:uid="{00000000-0005-0000-0000-000075090000}"/>
    <cellStyle name="Normal 3 2 5 4 2" xfId="1699" xr:uid="{00000000-0005-0000-0000-000076090000}"/>
    <cellStyle name="Normal 3 2 5 4 2 2" xfId="13197" xr:uid="{00000000-0005-0000-0000-000077090000}"/>
    <cellStyle name="Normal 3 2 5 4 3" xfId="1700" xr:uid="{00000000-0005-0000-0000-000078090000}"/>
    <cellStyle name="Normal 3 2 5 4 3 2" xfId="13198" xr:uid="{00000000-0005-0000-0000-000079090000}"/>
    <cellStyle name="Normal 3 2 5 4 4" xfId="13199" xr:uid="{00000000-0005-0000-0000-00007A090000}"/>
    <cellStyle name="Normal 3 2 5 5" xfId="111" xr:uid="{00000000-0005-0000-0000-00007B090000}"/>
    <cellStyle name="Normal 3 2 5 5 2" xfId="1701" xr:uid="{00000000-0005-0000-0000-00007C090000}"/>
    <cellStyle name="Normal 3 2 5 5 2 2" xfId="13200" xr:uid="{00000000-0005-0000-0000-00007D090000}"/>
    <cellStyle name="Normal 3 2 5 5 3" xfId="1702" xr:uid="{00000000-0005-0000-0000-00007E090000}"/>
    <cellStyle name="Normal 3 2 5 5 3 2" xfId="13201" xr:uid="{00000000-0005-0000-0000-00007F090000}"/>
    <cellStyle name="Normal 3 2 5 5 4" xfId="13202" xr:uid="{00000000-0005-0000-0000-000080090000}"/>
    <cellStyle name="Normal 3 2 5 6" xfId="1703" xr:uid="{00000000-0005-0000-0000-000081090000}"/>
    <cellStyle name="Normal 3 2 5 6 2" xfId="13203" xr:uid="{00000000-0005-0000-0000-000082090000}"/>
    <cellStyle name="Normal 3 2 5 7" xfId="1704" xr:uid="{00000000-0005-0000-0000-000083090000}"/>
    <cellStyle name="Normal 3 2 5 7 2" xfId="13204" xr:uid="{00000000-0005-0000-0000-000084090000}"/>
    <cellStyle name="Normal 3 2 5 8" xfId="13205" xr:uid="{00000000-0005-0000-0000-000085090000}"/>
    <cellStyle name="Normal 3 2 6" xfId="112" xr:uid="{00000000-0005-0000-0000-000086090000}"/>
    <cellStyle name="Normal 3 2 6 2" xfId="1705" xr:uid="{00000000-0005-0000-0000-000087090000}"/>
    <cellStyle name="Normal 3 2 6 3" xfId="1706" xr:uid="{00000000-0005-0000-0000-000088090000}"/>
    <cellStyle name="Normal 3 2 6 3 2" xfId="1707" xr:uid="{00000000-0005-0000-0000-000089090000}"/>
    <cellStyle name="Normal 3 2 6 3 2 2" xfId="13206" xr:uid="{00000000-0005-0000-0000-00008A090000}"/>
    <cellStyle name="Normal 3 2 6 3 3" xfId="1708" xr:uid="{00000000-0005-0000-0000-00008B090000}"/>
    <cellStyle name="Normal 3 2 6 3 3 2" xfId="13207" xr:uid="{00000000-0005-0000-0000-00008C090000}"/>
    <cellStyle name="Normal 3 2 6 3 4" xfId="13208" xr:uid="{00000000-0005-0000-0000-00008D090000}"/>
    <cellStyle name="Normal 3 2 6 4" xfId="1709" xr:uid="{00000000-0005-0000-0000-00008E090000}"/>
    <cellStyle name="Normal 3 2 6 4 2" xfId="1710" xr:uid="{00000000-0005-0000-0000-00008F090000}"/>
    <cellStyle name="Normal 3 2 6 4 2 2" xfId="13209" xr:uid="{00000000-0005-0000-0000-000090090000}"/>
    <cellStyle name="Normal 3 2 6 4 3" xfId="1711" xr:uid="{00000000-0005-0000-0000-000091090000}"/>
    <cellStyle name="Normal 3 2 6 4 3 2" xfId="13210" xr:uid="{00000000-0005-0000-0000-000092090000}"/>
    <cellStyle name="Normal 3 2 6 4 4" xfId="13211" xr:uid="{00000000-0005-0000-0000-000093090000}"/>
    <cellStyle name="Normal 3 2 6 5" xfId="1712" xr:uid="{00000000-0005-0000-0000-000094090000}"/>
    <cellStyle name="Normal 3 2 6 5 2" xfId="13212" xr:uid="{00000000-0005-0000-0000-000095090000}"/>
    <cellStyle name="Normal 3 2 6 6" xfId="1713" xr:uid="{00000000-0005-0000-0000-000096090000}"/>
    <cellStyle name="Normal 3 2 6 6 2" xfId="13213" xr:uid="{00000000-0005-0000-0000-000097090000}"/>
    <cellStyle name="Normal 3 2 7" xfId="113" xr:uid="{00000000-0005-0000-0000-000098090000}"/>
    <cellStyle name="Normal 3 2 7 2" xfId="13214" xr:uid="{00000000-0005-0000-0000-000099090000}"/>
    <cellStyle name="Normal 3 2 8" xfId="114" xr:uid="{00000000-0005-0000-0000-00009A090000}"/>
    <cellStyle name="Normal 3 2 8 2" xfId="1714" xr:uid="{00000000-0005-0000-0000-00009B090000}"/>
    <cellStyle name="Normal 3 2 8 2 2" xfId="1715" xr:uid="{00000000-0005-0000-0000-00009C090000}"/>
    <cellStyle name="Normal 3 2 8 2 2 2" xfId="13215" xr:uid="{00000000-0005-0000-0000-00009D090000}"/>
    <cellStyle name="Normal 3 2 8 2 3" xfId="1716" xr:uid="{00000000-0005-0000-0000-00009E090000}"/>
    <cellStyle name="Normal 3 2 8 2 3 2" xfId="13216" xr:uid="{00000000-0005-0000-0000-00009F090000}"/>
    <cellStyle name="Normal 3 2 8 2 4" xfId="13217" xr:uid="{00000000-0005-0000-0000-0000A0090000}"/>
    <cellStyle name="Normal 3 2 8 3" xfId="1717" xr:uid="{00000000-0005-0000-0000-0000A1090000}"/>
    <cellStyle name="Normal 3 2 8 3 2" xfId="1718" xr:uid="{00000000-0005-0000-0000-0000A2090000}"/>
    <cellStyle name="Normal 3 2 8 3 2 2" xfId="13218" xr:uid="{00000000-0005-0000-0000-0000A3090000}"/>
    <cellStyle name="Normal 3 2 8 3 3" xfId="1719" xr:uid="{00000000-0005-0000-0000-0000A4090000}"/>
    <cellStyle name="Normal 3 2 8 3 3 2" xfId="13219" xr:uid="{00000000-0005-0000-0000-0000A5090000}"/>
    <cellStyle name="Normal 3 2 8 3 4" xfId="13220" xr:uid="{00000000-0005-0000-0000-0000A6090000}"/>
    <cellStyle name="Normal 3 2 8 4" xfId="1720" xr:uid="{00000000-0005-0000-0000-0000A7090000}"/>
    <cellStyle name="Normal 3 2 8 4 2" xfId="13221" xr:uid="{00000000-0005-0000-0000-0000A8090000}"/>
    <cellStyle name="Normal 3 2 8 5" xfId="1721" xr:uid="{00000000-0005-0000-0000-0000A9090000}"/>
    <cellStyle name="Normal 3 2 8 5 2" xfId="13222" xr:uid="{00000000-0005-0000-0000-0000AA090000}"/>
    <cellStyle name="Normal 3 2 8 6" xfId="13223" xr:uid="{00000000-0005-0000-0000-0000AB090000}"/>
    <cellStyle name="Normal 3 2 9" xfId="115" xr:uid="{00000000-0005-0000-0000-0000AC090000}"/>
    <cellStyle name="Normal 3 2 9 2" xfId="1722" xr:uid="{00000000-0005-0000-0000-0000AD090000}"/>
    <cellStyle name="Normal 3 2 9 2 2" xfId="13224" xr:uid="{00000000-0005-0000-0000-0000AE090000}"/>
    <cellStyle name="Normal 3 2 9 3" xfId="1723" xr:uid="{00000000-0005-0000-0000-0000AF090000}"/>
    <cellStyle name="Normal 3 2 9 3 2" xfId="13225" xr:uid="{00000000-0005-0000-0000-0000B0090000}"/>
    <cellStyle name="Normal 3 2 9 4" xfId="13226" xr:uid="{00000000-0005-0000-0000-0000B1090000}"/>
    <cellStyle name="Normal 3 3" xfId="116" xr:uid="{00000000-0005-0000-0000-0000B2090000}"/>
    <cellStyle name="Normal 3 3 10" xfId="1724" xr:uid="{00000000-0005-0000-0000-0000B3090000}"/>
    <cellStyle name="Normal 3 3 10 2" xfId="13227" xr:uid="{00000000-0005-0000-0000-0000B4090000}"/>
    <cellStyle name="Normal 3 3 11" xfId="1725" xr:uid="{00000000-0005-0000-0000-0000B5090000}"/>
    <cellStyle name="Normal 3 3 11 2" xfId="13228" xr:uid="{00000000-0005-0000-0000-0000B6090000}"/>
    <cellStyle name="Normal 3 3 12" xfId="12261" xr:uid="{00000000-0005-0000-0000-0000B7090000}"/>
    <cellStyle name="Normal 3 3 2" xfId="117" xr:uid="{00000000-0005-0000-0000-0000B8090000}"/>
    <cellStyle name="Normal 3 3 2 10" xfId="13229" xr:uid="{00000000-0005-0000-0000-0000B9090000}"/>
    <cellStyle name="Normal 3 3 2 2" xfId="118" xr:uid="{00000000-0005-0000-0000-0000BA090000}"/>
    <cellStyle name="Normal 3 3 2 2 2" xfId="119" xr:uid="{00000000-0005-0000-0000-0000BB090000}"/>
    <cellStyle name="Normal 3 3 2 2 3" xfId="120" xr:uid="{00000000-0005-0000-0000-0000BC090000}"/>
    <cellStyle name="Normal 3 3 2 2 3 2" xfId="1726" xr:uid="{00000000-0005-0000-0000-0000BD090000}"/>
    <cellStyle name="Normal 3 3 2 2 3 2 2" xfId="1727" xr:uid="{00000000-0005-0000-0000-0000BE090000}"/>
    <cellStyle name="Normal 3 3 2 2 3 2 2 2" xfId="13230" xr:uid="{00000000-0005-0000-0000-0000BF090000}"/>
    <cellStyle name="Normal 3 3 2 2 3 2 3" xfId="1728" xr:uid="{00000000-0005-0000-0000-0000C0090000}"/>
    <cellStyle name="Normal 3 3 2 2 3 2 3 2" xfId="13231" xr:uid="{00000000-0005-0000-0000-0000C1090000}"/>
    <cellStyle name="Normal 3 3 2 2 3 2 4" xfId="13232" xr:uid="{00000000-0005-0000-0000-0000C2090000}"/>
    <cellStyle name="Normal 3 3 2 2 3 3" xfId="1729" xr:uid="{00000000-0005-0000-0000-0000C3090000}"/>
    <cellStyle name="Normal 3 3 2 2 3 3 2" xfId="1730" xr:uid="{00000000-0005-0000-0000-0000C4090000}"/>
    <cellStyle name="Normal 3 3 2 2 3 3 2 2" xfId="13233" xr:uid="{00000000-0005-0000-0000-0000C5090000}"/>
    <cellStyle name="Normal 3 3 2 2 3 3 3" xfId="1731" xr:uid="{00000000-0005-0000-0000-0000C6090000}"/>
    <cellStyle name="Normal 3 3 2 2 3 3 3 2" xfId="13234" xr:uid="{00000000-0005-0000-0000-0000C7090000}"/>
    <cellStyle name="Normal 3 3 2 2 3 3 4" xfId="13235" xr:uid="{00000000-0005-0000-0000-0000C8090000}"/>
    <cellStyle name="Normal 3 3 2 2 3 4" xfId="1732" xr:uid="{00000000-0005-0000-0000-0000C9090000}"/>
    <cellStyle name="Normal 3 3 2 2 3 4 2" xfId="13236" xr:uid="{00000000-0005-0000-0000-0000CA090000}"/>
    <cellStyle name="Normal 3 3 2 2 3 5" xfId="1733" xr:uid="{00000000-0005-0000-0000-0000CB090000}"/>
    <cellStyle name="Normal 3 3 2 2 3 5 2" xfId="13237" xr:uid="{00000000-0005-0000-0000-0000CC090000}"/>
    <cellStyle name="Normal 3 3 2 2 3 6" xfId="13238" xr:uid="{00000000-0005-0000-0000-0000CD090000}"/>
    <cellStyle name="Normal 3 3 2 2 4" xfId="121" xr:uid="{00000000-0005-0000-0000-0000CE090000}"/>
    <cellStyle name="Normal 3 3 2 2 4 2" xfId="1734" xr:uid="{00000000-0005-0000-0000-0000CF090000}"/>
    <cellStyle name="Normal 3 3 2 2 4 2 2" xfId="13239" xr:uid="{00000000-0005-0000-0000-0000D0090000}"/>
    <cellStyle name="Normal 3 3 2 2 4 3" xfId="1735" xr:uid="{00000000-0005-0000-0000-0000D1090000}"/>
    <cellStyle name="Normal 3 3 2 2 4 3 2" xfId="13240" xr:uid="{00000000-0005-0000-0000-0000D2090000}"/>
    <cellStyle name="Normal 3 3 2 2 4 4" xfId="13241" xr:uid="{00000000-0005-0000-0000-0000D3090000}"/>
    <cellStyle name="Normal 3 3 2 2 5" xfId="122" xr:uid="{00000000-0005-0000-0000-0000D4090000}"/>
    <cellStyle name="Normal 3 3 2 2 5 2" xfId="1736" xr:uid="{00000000-0005-0000-0000-0000D5090000}"/>
    <cellStyle name="Normal 3 3 2 2 5 2 2" xfId="13242" xr:uid="{00000000-0005-0000-0000-0000D6090000}"/>
    <cellStyle name="Normal 3 3 2 2 5 3" xfId="1737" xr:uid="{00000000-0005-0000-0000-0000D7090000}"/>
    <cellStyle name="Normal 3 3 2 2 5 3 2" xfId="13243" xr:uid="{00000000-0005-0000-0000-0000D8090000}"/>
    <cellStyle name="Normal 3 3 2 2 5 4" xfId="13244" xr:uid="{00000000-0005-0000-0000-0000D9090000}"/>
    <cellStyle name="Normal 3 3 2 2 6" xfId="1738" xr:uid="{00000000-0005-0000-0000-0000DA090000}"/>
    <cellStyle name="Normal 3 3 2 2 6 2" xfId="13245" xr:uid="{00000000-0005-0000-0000-0000DB090000}"/>
    <cellStyle name="Normal 3 3 2 2 7" xfId="1739" xr:uid="{00000000-0005-0000-0000-0000DC090000}"/>
    <cellStyle name="Normal 3 3 2 2 7 2" xfId="13246" xr:uid="{00000000-0005-0000-0000-0000DD090000}"/>
    <cellStyle name="Normal 3 3 2 2 8" xfId="13247" xr:uid="{00000000-0005-0000-0000-0000DE090000}"/>
    <cellStyle name="Normal 3 3 2 3" xfId="123" xr:uid="{00000000-0005-0000-0000-0000DF090000}"/>
    <cellStyle name="Normal 3 3 2 4" xfId="124" xr:uid="{00000000-0005-0000-0000-0000E0090000}"/>
    <cellStyle name="Normal 3 3 2 4 2" xfId="13248" xr:uid="{00000000-0005-0000-0000-0000E1090000}"/>
    <cellStyle name="Normal 3 3 2 5" xfId="125" xr:uid="{00000000-0005-0000-0000-0000E2090000}"/>
    <cellStyle name="Normal 3 3 2 5 2" xfId="1740" xr:uid="{00000000-0005-0000-0000-0000E3090000}"/>
    <cellStyle name="Normal 3 3 2 5 2 2" xfId="1741" xr:uid="{00000000-0005-0000-0000-0000E4090000}"/>
    <cellStyle name="Normal 3 3 2 5 2 2 2" xfId="13249" xr:uid="{00000000-0005-0000-0000-0000E5090000}"/>
    <cellStyle name="Normal 3 3 2 5 2 3" xfId="1742" xr:uid="{00000000-0005-0000-0000-0000E6090000}"/>
    <cellStyle name="Normal 3 3 2 5 2 3 2" xfId="13250" xr:uid="{00000000-0005-0000-0000-0000E7090000}"/>
    <cellStyle name="Normal 3 3 2 5 2 4" xfId="13251" xr:uid="{00000000-0005-0000-0000-0000E8090000}"/>
    <cellStyle name="Normal 3 3 2 5 3" xfId="1743" xr:uid="{00000000-0005-0000-0000-0000E9090000}"/>
    <cellStyle name="Normal 3 3 2 5 3 2" xfId="1744" xr:uid="{00000000-0005-0000-0000-0000EA090000}"/>
    <cellStyle name="Normal 3 3 2 5 3 2 2" xfId="13252" xr:uid="{00000000-0005-0000-0000-0000EB090000}"/>
    <cellStyle name="Normal 3 3 2 5 3 3" xfId="1745" xr:uid="{00000000-0005-0000-0000-0000EC090000}"/>
    <cellStyle name="Normal 3 3 2 5 3 3 2" xfId="13253" xr:uid="{00000000-0005-0000-0000-0000ED090000}"/>
    <cellStyle name="Normal 3 3 2 5 3 4" xfId="13254" xr:uid="{00000000-0005-0000-0000-0000EE090000}"/>
    <cellStyle name="Normal 3 3 2 5 4" xfId="1746" xr:uid="{00000000-0005-0000-0000-0000EF090000}"/>
    <cellStyle name="Normal 3 3 2 5 4 2" xfId="13255" xr:uid="{00000000-0005-0000-0000-0000F0090000}"/>
    <cellStyle name="Normal 3 3 2 5 5" xfId="1747" xr:uid="{00000000-0005-0000-0000-0000F1090000}"/>
    <cellStyle name="Normal 3 3 2 5 5 2" xfId="13256" xr:uid="{00000000-0005-0000-0000-0000F2090000}"/>
    <cellStyle name="Normal 3 3 2 5 6" xfId="13257" xr:uid="{00000000-0005-0000-0000-0000F3090000}"/>
    <cellStyle name="Normal 3 3 2 6" xfId="126" xr:uid="{00000000-0005-0000-0000-0000F4090000}"/>
    <cellStyle name="Normal 3 3 2 6 2" xfId="1748" xr:uid="{00000000-0005-0000-0000-0000F5090000}"/>
    <cellStyle name="Normal 3 3 2 6 2 2" xfId="13258" xr:uid="{00000000-0005-0000-0000-0000F6090000}"/>
    <cellStyle name="Normal 3 3 2 6 3" xfId="1749" xr:uid="{00000000-0005-0000-0000-0000F7090000}"/>
    <cellStyle name="Normal 3 3 2 6 3 2" xfId="13259" xr:uid="{00000000-0005-0000-0000-0000F8090000}"/>
    <cellStyle name="Normal 3 3 2 6 4" xfId="13260" xr:uid="{00000000-0005-0000-0000-0000F9090000}"/>
    <cellStyle name="Normal 3 3 2 7" xfId="1750" xr:uid="{00000000-0005-0000-0000-0000FA090000}"/>
    <cellStyle name="Normal 3 3 2 7 2" xfId="1751" xr:uid="{00000000-0005-0000-0000-0000FB090000}"/>
    <cellStyle name="Normal 3 3 2 7 2 2" xfId="13261" xr:uid="{00000000-0005-0000-0000-0000FC090000}"/>
    <cellStyle name="Normal 3 3 2 7 3" xfId="1752" xr:uid="{00000000-0005-0000-0000-0000FD090000}"/>
    <cellStyle name="Normal 3 3 2 7 3 2" xfId="13262" xr:uid="{00000000-0005-0000-0000-0000FE090000}"/>
    <cellStyle name="Normal 3 3 2 7 4" xfId="13263" xr:uid="{00000000-0005-0000-0000-0000FF090000}"/>
    <cellStyle name="Normal 3 3 2 8" xfId="1753" xr:uid="{00000000-0005-0000-0000-0000000A0000}"/>
    <cellStyle name="Normal 3 3 2 8 2" xfId="13264" xr:uid="{00000000-0005-0000-0000-0000010A0000}"/>
    <cellStyle name="Normal 3 3 2 9" xfId="1754" xr:uid="{00000000-0005-0000-0000-0000020A0000}"/>
    <cellStyle name="Normal 3 3 2 9 2" xfId="13265" xr:uid="{00000000-0005-0000-0000-0000030A0000}"/>
    <cellStyle name="Normal 3 3 3" xfId="127" xr:uid="{00000000-0005-0000-0000-0000040A0000}"/>
    <cellStyle name="Normal 3 3 3 2" xfId="128" xr:uid="{00000000-0005-0000-0000-0000050A0000}"/>
    <cellStyle name="Normal 3 3 3 2 2" xfId="129" xr:uid="{00000000-0005-0000-0000-0000060A0000}"/>
    <cellStyle name="Normal 3 3 3 2 2 2" xfId="1755" xr:uid="{00000000-0005-0000-0000-0000070A0000}"/>
    <cellStyle name="Normal 3 3 3 2 2 2 2" xfId="1756" xr:uid="{00000000-0005-0000-0000-0000080A0000}"/>
    <cellStyle name="Normal 3 3 3 2 2 2 2 2" xfId="13266" xr:uid="{00000000-0005-0000-0000-0000090A0000}"/>
    <cellStyle name="Normal 3 3 3 2 2 2 3" xfId="1757" xr:uid="{00000000-0005-0000-0000-00000A0A0000}"/>
    <cellStyle name="Normal 3 3 3 2 2 2 3 2" xfId="13267" xr:uid="{00000000-0005-0000-0000-00000B0A0000}"/>
    <cellStyle name="Normal 3 3 3 2 2 2 4" xfId="13268" xr:uid="{00000000-0005-0000-0000-00000C0A0000}"/>
    <cellStyle name="Normal 3 3 3 2 2 3" xfId="1758" xr:uid="{00000000-0005-0000-0000-00000D0A0000}"/>
    <cellStyle name="Normal 3 3 3 2 2 3 2" xfId="1759" xr:uid="{00000000-0005-0000-0000-00000E0A0000}"/>
    <cellStyle name="Normal 3 3 3 2 2 3 2 2" xfId="13269" xr:uid="{00000000-0005-0000-0000-00000F0A0000}"/>
    <cellStyle name="Normal 3 3 3 2 2 3 3" xfId="1760" xr:uid="{00000000-0005-0000-0000-0000100A0000}"/>
    <cellStyle name="Normal 3 3 3 2 2 3 3 2" xfId="13270" xr:uid="{00000000-0005-0000-0000-0000110A0000}"/>
    <cellStyle name="Normal 3 3 3 2 2 3 4" xfId="13271" xr:uid="{00000000-0005-0000-0000-0000120A0000}"/>
    <cellStyle name="Normal 3 3 3 2 2 4" xfId="1761" xr:uid="{00000000-0005-0000-0000-0000130A0000}"/>
    <cellStyle name="Normal 3 3 3 2 2 4 2" xfId="13272" xr:uid="{00000000-0005-0000-0000-0000140A0000}"/>
    <cellStyle name="Normal 3 3 3 2 2 5" xfId="1762" xr:uid="{00000000-0005-0000-0000-0000150A0000}"/>
    <cellStyle name="Normal 3 3 3 2 2 5 2" xfId="13273" xr:uid="{00000000-0005-0000-0000-0000160A0000}"/>
    <cellStyle name="Normal 3 3 3 2 2 6" xfId="13274" xr:uid="{00000000-0005-0000-0000-0000170A0000}"/>
    <cellStyle name="Normal 3 3 3 2 3" xfId="1763" xr:uid="{00000000-0005-0000-0000-0000180A0000}"/>
    <cellStyle name="Normal 3 3 3 2 3 2" xfId="1764" xr:uid="{00000000-0005-0000-0000-0000190A0000}"/>
    <cellStyle name="Normal 3 3 3 2 3 2 2" xfId="13275" xr:uid="{00000000-0005-0000-0000-00001A0A0000}"/>
    <cellStyle name="Normal 3 3 3 2 3 3" xfId="1765" xr:uid="{00000000-0005-0000-0000-00001B0A0000}"/>
    <cellStyle name="Normal 3 3 3 2 3 3 2" xfId="13276" xr:uid="{00000000-0005-0000-0000-00001C0A0000}"/>
    <cellStyle name="Normal 3 3 3 2 3 4" xfId="13277" xr:uid="{00000000-0005-0000-0000-00001D0A0000}"/>
    <cellStyle name="Normal 3 3 3 2 4" xfId="1766" xr:uid="{00000000-0005-0000-0000-00001E0A0000}"/>
    <cellStyle name="Normal 3 3 3 2 4 2" xfId="1767" xr:uid="{00000000-0005-0000-0000-00001F0A0000}"/>
    <cellStyle name="Normal 3 3 3 2 4 2 2" xfId="13278" xr:uid="{00000000-0005-0000-0000-0000200A0000}"/>
    <cellStyle name="Normal 3 3 3 2 4 3" xfId="1768" xr:uid="{00000000-0005-0000-0000-0000210A0000}"/>
    <cellStyle name="Normal 3 3 3 2 4 3 2" xfId="13279" xr:uid="{00000000-0005-0000-0000-0000220A0000}"/>
    <cellStyle name="Normal 3 3 3 2 4 4" xfId="13280" xr:uid="{00000000-0005-0000-0000-0000230A0000}"/>
    <cellStyle name="Normal 3 3 3 2 5" xfId="1769" xr:uid="{00000000-0005-0000-0000-0000240A0000}"/>
    <cellStyle name="Normal 3 3 3 2 5 2" xfId="13281" xr:uid="{00000000-0005-0000-0000-0000250A0000}"/>
    <cellStyle name="Normal 3 3 3 2 6" xfId="1770" xr:uid="{00000000-0005-0000-0000-0000260A0000}"/>
    <cellStyle name="Normal 3 3 3 2 6 2" xfId="13282" xr:uid="{00000000-0005-0000-0000-0000270A0000}"/>
    <cellStyle name="Normal 3 3 3 2 7" xfId="13283" xr:uid="{00000000-0005-0000-0000-0000280A0000}"/>
    <cellStyle name="Normal 3 3 3 3" xfId="130" xr:uid="{00000000-0005-0000-0000-0000290A0000}"/>
    <cellStyle name="Normal 3 3 3 4" xfId="131" xr:uid="{00000000-0005-0000-0000-00002A0A0000}"/>
    <cellStyle name="Normal 3 3 3 4 2" xfId="1771" xr:uid="{00000000-0005-0000-0000-00002B0A0000}"/>
    <cellStyle name="Normal 3 3 3 4 2 2" xfId="1772" xr:uid="{00000000-0005-0000-0000-00002C0A0000}"/>
    <cellStyle name="Normal 3 3 3 4 2 2 2" xfId="13284" xr:uid="{00000000-0005-0000-0000-00002D0A0000}"/>
    <cellStyle name="Normal 3 3 3 4 2 3" xfId="1773" xr:uid="{00000000-0005-0000-0000-00002E0A0000}"/>
    <cellStyle name="Normal 3 3 3 4 2 3 2" xfId="13285" xr:uid="{00000000-0005-0000-0000-00002F0A0000}"/>
    <cellStyle name="Normal 3 3 3 4 2 4" xfId="13286" xr:uid="{00000000-0005-0000-0000-0000300A0000}"/>
    <cellStyle name="Normal 3 3 3 4 3" xfId="1774" xr:uid="{00000000-0005-0000-0000-0000310A0000}"/>
    <cellStyle name="Normal 3 3 3 4 3 2" xfId="1775" xr:uid="{00000000-0005-0000-0000-0000320A0000}"/>
    <cellStyle name="Normal 3 3 3 4 3 2 2" xfId="13287" xr:uid="{00000000-0005-0000-0000-0000330A0000}"/>
    <cellStyle name="Normal 3 3 3 4 3 3" xfId="1776" xr:uid="{00000000-0005-0000-0000-0000340A0000}"/>
    <cellStyle name="Normal 3 3 3 4 3 3 2" xfId="13288" xr:uid="{00000000-0005-0000-0000-0000350A0000}"/>
    <cellStyle name="Normal 3 3 3 4 3 4" xfId="13289" xr:uid="{00000000-0005-0000-0000-0000360A0000}"/>
    <cellStyle name="Normal 3 3 3 4 4" xfId="1777" xr:uid="{00000000-0005-0000-0000-0000370A0000}"/>
    <cellStyle name="Normal 3 3 3 4 4 2" xfId="13290" xr:uid="{00000000-0005-0000-0000-0000380A0000}"/>
    <cellStyle name="Normal 3 3 3 4 5" xfId="1778" xr:uid="{00000000-0005-0000-0000-0000390A0000}"/>
    <cellStyle name="Normal 3 3 3 4 5 2" xfId="13291" xr:uid="{00000000-0005-0000-0000-00003A0A0000}"/>
    <cellStyle name="Normal 3 3 3 4 6" xfId="13292" xr:uid="{00000000-0005-0000-0000-00003B0A0000}"/>
    <cellStyle name="Normal 3 3 3 5" xfId="132" xr:uid="{00000000-0005-0000-0000-00003C0A0000}"/>
    <cellStyle name="Normal 3 3 3 5 2" xfId="1779" xr:uid="{00000000-0005-0000-0000-00003D0A0000}"/>
    <cellStyle name="Normal 3 3 3 5 2 2" xfId="13293" xr:uid="{00000000-0005-0000-0000-00003E0A0000}"/>
    <cellStyle name="Normal 3 3 3 5 3" xfId="1780" xr:uid="{00000000-0005-0000-0000-00003F0A0000}"/>
    <cellStyle name="Normal 3 3 3 5 3 2" xfId="13294" xr:uid="{00000000-0005-0000-0000-0000400A0000}"/>
    <cellStyle name="Normal 3 3 3 5 4" xfId="13295" xr:uid="{00000000-0005-0000-0000-0000410A0000}"/>
    <cellStyle name="Normal 3 3 3 6" xfId="133" xr:uid="{00000000-0005-0000-0000-0000420A0000}"/>
    <cellStyle name="Normal 3 3 3 6 2" xfId="1781" xr:uid="{00000000-0005-0000-0000-0000430A0000}"/>
    <cellStyle name="Normal 3 3 3 6 2 2" xfId="13296" xr:uid="{00000000-0005-0000-0000-0000440A0000}"/>
    <cellStyle name="Normal 3 3 3 6 3" xfId="1782" xr:uid="{00000000-0005-0000-0000-0000450A0000}"/>
    <cellStyle name="Normal 3 3 3 6 3 2" xfId="13297" xr:uid="{00000000-0005-0000-0000-0000460A0000}"/>
    <cellStyle name="Normal 3 3 3 6 4" xfId="13298" xr:uid="{00000000-0005-0000-0000-0000470A0000}"/>
    <cellStyle name="Normal 3 3 3 7" xfId="1783" xr:uid="{00000000-0005-0000-0000-0000480A0000}"/>
    <cellStyle name="Normal 3 3 3 7 2" xfId="13299" xr:uid="{00000000-0005-0000-0000-0000490A0000}"/>
    <cellStyle name="Normal 3 3 3 8" xfId="1784" xr:uid="{00000000-0005-0000-0000-00004A0A0000}"/>
    <cellStyle name="Normal 3 3 3 8 2" xfId="13300" xr:uid="{00000000-0005-0000-0000-00004B0A0000}"/>
    <cellStyle name="Normal 3 3 3 9" xfId="13301" xr:uid="{00000000-0005-0000-0000-00004C0A0000}"/>
    <cellStyle name="Normal 3 3 4" xfId="134" xr:uid="{00000000-0005-0000-0000-00004D0A0000}"/>
    <cellStyle name="Normal 3 3 4 2" xfId="135" xr:uid="{00000000-0005-0000-0000-00004E0A0000}"/>
    <cellStyle name="Normal 3 3 4 2 2" xfId="13302" xr:uid="{00000000-0005-0000-0000-00004F0A0000}"/>
    <cellStyle name="Normal 3 3 4 3" xfId="136" xr:uid="{00000000-0005-0000-0000-0000500A0000}"/>
    <cellStyle name="Normal 3 3 4 3 2" xfId="1785" xr:uid="{00000000-0005-0000-0000-0000510A0000}"/>
    <cellStyle name="Normal 3 3 4 3 2 2" xfId="1786" xr:uid="{00000000-0005-0000-0000-0000520A0000}"/>
    <cellStyle name="Normal 3 3 4 3 2 2 2" xfId="13303" xr:uid="{00000000-0005-0000-0000-0000530A0000}"/>
    <cellStyle name="Normal 3 3 4 3 2 3" xfId="1787" xr:uid="{00000000-0005-0000-0000-0000540A0000}"/>
    <cellStyle name="Normal 3 3 4 3 2 3 2" xfId="13304" xr:uid="{00000000-0005-0000-0000-0000550A0000}"/>
    <cellStyle name="Normal 3 3 4 3 2 4" xfId="13305" xr:uid="{00000000-0005-0000-0000-0000560A0000}"/>
    <cellStyle name="Normal 3 3 4 3 3" xfId="1788" xr:uid="{00000000-0005-0000-0000-0000570A0000}"/>
    <cellStyle name="Normal 3 3 4 3 3 2" xfId="1789" xr:uid="{00000000-0005-0000-0000-0000580A0000}"/>
    <cellStyle name="Normal 3 3 4 3 3 2 2" xfId="13306" xr:uid="{00000000-0005-0000-0000-0000590A0000}"/>
    <cellStyle name="Normal 3 3 4 3 3 3" xfId="1790" xr:uid="{00000000-0005-0000-0000-00005A0A0000}"/>
    <cellStyle name="Normal 3 3 4 3 3 3 2" xfId="13307" xr:uid="{00000000-0005-0000-0000-00005B0A0000}"/>
    <cellStyle name="Normal 3 3 4 3 3 4" xfId="13308" xr:uid="{00000000-0005-0000-0000-00005C0A0000}"/>
    <cellStyle name="Normal 3 3 4 3 4" xfId="1791" xr:uid="{00000000-0005-0000-0000-00005D0A0000}"/>
    <cellStyle name="Normal 3 3 4 3 4 2" xfId="13309" xr:uid="{00000000-0005-0000-0000-00005E0A0000}"/>
    <cellStyle name="Normal 3 3 4 3 5" xfId="1792" xr:uid="{00000000-0005-0000-0000-00005F0A0000}"/>
    <cellStyle name="Normal 3 3 4 3 5 2" xfId="13310" xr:uid="{00000000-0005-0000-0000-0000600A0000}"/>
    <cellStyle name="Normal 3 3 4 3 6" xfId="13311" xr:uid="{00000000-0005-0000-0000-0000610A0000}"/>
    <cellStyle name="Normal 3 3 4 4" xfId="137" xr:uid="{00000000-0005-0000-0000-0000620A0000}"/>
    <cellStyle name="Normal 3 3 4 4 2" xfId="1793" xr:uid="{00000000-0005-0000-0000-0000630A0000}"/>
    <cellStyle name="Normal 3 3 4 4 2 2" xfId="13312" xr:uid="{00000000-0005-0000-0000-0000640A0000}"/>
    <cellStyle name="Normal 3 3 4 4 3" xfId="1794" xr:uid="{00000000-0005-0000-0000-0000650A0000}"/>
    <cellStyle name="Normal 3 3 4 4 3 2" xfId="13313" xr:uid="{00000000-0005-0000-0000-0000660A0000}"/>
    <cellStyle name="Normal 3 3 4 4 4" xfId="13314" xr:uid="{00000000-0005-0000-0000-0000670A0000}"/>
    <cellStyle name="Normal 3 3 4 5" xfId="1795" xr:uid="{00000000-0005-0000-0000-0000680A0000}"/>
    <cellStyle name="Normal 3 3 4 5 2" xfId="1796" xr:uid="{00000000-0005-0000-0000-0000690A0000}"/>
    <cellStyle name="Normal 3 3 4 5 2 2" xfId="13315" xr:uid="{00000000-0005-0000-0000-00006A0A0000}"/>
    <cellStyle name="Normal 3 3 4 5 3" xfId="1797" xr:uid="{00000000-0005-0000-0000-00006B0A0000}"/>
    <cellStyle name="Normal 3 3 4 5 3 2" xfId="13316" xr:uid="{00000000-0005-0000-0000-00006C0A0000}"/>
    <cellStyle name="Normal 3 3 4 5 4" xfId="13317" xr:uid="{00000000-0005-0000-0000-00006D0A0000}"/>
    <cellStyle name="Normal 3 3 4 6" xfId="1798" xr:uid="{00000000-0005-0000-0000-00006E0A0000}"/>
    <cellStyle name="Normal 3 3 4 6 2" xfId="13318" xr:uid="{00000000-0005-0000-0000-00006F0A0000}"/>
    <cellStyle name="Normal 3 3 4 7" xfId="1799" xr:uid="{00000000-0005-0000-0000-0000700A0000}"/>
    <cellStyle name="Normal 3 3 4 7 2" xfId="13319" xr:uid="{00000000-0005-0000-0000-0000710A0000}"/>
    <cellStyle name="Normal 3 3 4 8" xfId="13320" xr:uid="{00000000-0005-0000-0000-0000720A0000}"/>
    <cellStyle name="Normal 3 3 5" xfId="138" xr:uid="{00000000-0005-0000-0000-0000730A0000}"/>
    <cellStyle name="Normal 3 3 5 2" xfId="1800" xr:uid="{00000000-0005-0000-0000-0000740A0000}"/>
    <cellStyle name="Normal 3 3 5 3" xfId="1801" xr:uid="{00000000-0005-0000-0000-0000750A0000}"/>
    <cellStyle name="Normal 3 3 5 3 2" xfId="1802" xr:uid="{00000000-0005-0000-0000-0000760A0000}"/>
    <cellStyle name="Normal 3 3 5 3 2 2" xfId="13321" xr:uid="{00000000-0005-0000-0000-0000770A0000}"/>
    <cellStyle name="Normal 3 3 5 3 3" xfId="1803" xr:uid="{00000000-0005-0000-0000-0000780A0000}"/>
    <cellStyle name="Normal 3 3 5 3 3 2" xfId="13322" xr:uid="{00000000-0005-0000-0000-0000790A0000}"/>
    <cellStyle name="Normal 3 3 5 3 4" xfId="13323" xr:uid="{00000000-0005-0000-0000-00007A0A0000}"/>
    <cellStyle name="Normal 3 3 5 4" xfId="1804" xr:uid="{00000000-0005-0000-0000-00007B0A0000}"/>
    <cellStyle name="Normal 3 3 5 4 2" xfId="1805" xr:uid="{00000000-0005-0000-0000-00007C0A0000}"/>
    <cellStyle name="Normal 3 3 5 4 2 2" xfId="13324" xr:uid="{00000000-0005-0000-0000-00007D0A0000}"/>
    <cellStyle name="Normal 3 3 5 4 3" xfId="1806" xr:uid="{00000000-0005-0000-0000-00007E0A0000}"/>
    <cellStyle name="Normal 3 3 5 4 3 2" xfId="13325" xr:uid="{00000000-0005-0000-0000-00007F0A0000}"/>
    <cellStyle name="Normal 3 3 5 4 4" xfId="13326" xr:uid="{00000000-0005-0000-0000-0000800A0000}"/>
    <cellStyle name="Normal 3 3 5 5" xfId="1807" xr:uid="{00000000-0005-0000-0000-0000810A0000}"/>
    <cellStyle name="Normal 3 3 5 5 2" xfId="13327" xr:uid="{00000000-0005-0000-0000-0000820A0000}"/>
    <cellStyle name="Normal 3 3 5 6" xfId="1808" xr:uid="{00000000-0005-0000-0000-0000830A0000}"/>
    <cellStyle name="Normal 3 3 5 6 2" xfId="13328" xr:uid="{00000000-0005-0000-0000-0000840A0000}"/>
    <cellStyle name="Normal 3 3 6" xfId="139" xr:uid="{00000000-0005-0000-0000-0000850A0000}"/>
    <cellStyle name="Normal 3 3 6 2" xfId="13329" xr:uid="{00000000-0005-0000-0000-0000860A0000}"/>
    <cellStyle name="Normal 3 3 7" xfId="140" xr:uid="{00000000-0005-0000-0000-0000870A0000}"/>
    <cellStyle name="Normal 3 3 7 2" xfId="1809" xr:uid="{00000000-0005-0000-0000-0000880A0000}"/>
    <cellStyle name="Normal 3 3 7 2 2" xfId="1810" xr:uid="{00000000-0005-0000-0000-0000890A0000}"/>
    <cellStyle name="Normal 3 3 7 2 2 2" xfId="13330" xr:uid="{00000000-0005-0000-0000-00008A0A0000}"/>
    <cellStyle name="Normal 3 3 7 2 3" xfId="1811" xr:uid="{00000000-0005-0000-0000-00008B0A0000}"/>
    <cellStyle name="Normal 3 3 7 2 3 2" xfId="13331" xr:uid="{00000000-0005-0000-0000-00008C0A0000}"/>
    <cellStyle name="Normal 3 3 7 2 4" xfId="13332" xr:uid="{00000000-0005-0000-0000-00008D0A0000}"/>
    <cellStyle name="Normal 3 3 7 3" xfId="1812" xr:uid="{00000000-0005-0000-0000-00008E0A0000}"/>
    <cellStyle name="Normal 3 3 7 3 2" xfId="1813" xr:uid="{00000000-0005-0000-0000-00008F0A0000}"/>
    <cellStyle name="Normal 3 3 7 3 2 2" xfId="13333" xr:uid="{00000000-0005-0000-0000-0000900A0000}"/>
    <cellStyle name="Normal 3 3 7 3 3" xfId="1814" xr:uid="{00000000-0005-0000-0000-0000910A0000}"/>
    <cellStyle name="Normal 3 3 7 3 3 2" xfId="13334" xr:uid="{00000000-0005-0000-0000-0000920A0000}"/>
    <cellStyle name="Normal 3 3 7 3 4" xfId="13335" xr:uid="{00000000-0005-0000-0000-0000930A0000}"/>
    <cellStyle name="Normal 3 3 7 4" xfId="1815" xr:uid="{00000000-0005-0000-0000-0000940A0000}"/>
    <cellStyle name="Normal 3 3 7 4 2" xfId="13336" xr:uid="{00000000-0005-0000-0000-0000950A0000}"/>
    <cellStyle name="Normal 3 3 7 5" xfId="1816" xr:uid="{00000000-0005-0000-0000-0000960A0000}"/>
    <cellStyle name="Normal 3 3 7 5 2" xfId="13337" xr:uid="{00000000-0005-0000-0000-0000970A0000}"/>
    <cellStyle name="Normal 3 3 7 6" xfId="13338" xr:uid="{00000000-0005-0000-0000-0000980A0000}"/>
    <cellStyle name="Normal 3 3 8" xfId="141" xr:uid="{00000000-0005-0000-0000-0000990A0000}"/>
    <cellStyle name="Normal 3 3 8 2" xfId="1817" xr:uid="{00000000-0005-0000-0000-00009A0A0000}"/>
    <cellStyle name="Normal 3 3 8 2 2" xfId="13339" xr:uid="{00000000-0005-0000-0000-00009B0A0000}"/>
    <cellStyle name="Normal 3 3 8 3" xfId="1818" xr:uid="{00000000-0005-0000-0000-00009C0A0000}"/>
    <cellStyle name="Normal 3 3 8 3 2" xfId="13340" xr:uid="{00000000-0005-0000-0000-00009D0A0000}"/>
    <cellStyle name="Normal 3 3 8 4" xfId="13341" xr:uid="{00000000-0005-0000-0000-00009E0A0000}"/>
    <cellStyle name="Normal 3 3 9" xfId="1819" xr:uid="{00000000-0005-0000-0000-00009F0A0000}"/>
    <cellStyle name="Normal 3 3 9 2" xfId="1820" xr:uid="{00000000-0005-0000-0000-0000A00A0000}"/>
    <cellStyle name="Normal 3 3 9 2 2" xfId="13342" xr:uid="{00000000-0005-0000-0000-0000A10A0000}"/>
    <cellStyle name="Normal 3 3 9 3" xfId="1821" xr:uid="{00000000-0005-0000-0000-0000A20A0000}"/>
    <cellStyle name="Normal 3 3 9 3 2" xfId="13343" xr:uid="{00000000-0005-0000-0000-0000A30A0000}"/>
    <cellStyle name="Normal 3 3 9 4" xfId="13344" xr:uid="{00000000-0005-0000-0000-0000A40A0000}"/>
    <cellStyle name="Normal 3 4" xfId="142" xr:uid="{00000000-0005-0000-0000-0000A50A0000}"/>
    <cellStyle name="Normal 3 4 2" xfId="143" xr:uid="{00000000-0005-0000-0000-0000A60A0000}"/>
    <cellStyle name="Normal 3 4 2 2" xfId="144" xr:uid="{00000000-0005-0000-0000-0000A70A0000}"/>
    <cellStyle name="Normal 3 4 2 2 2" xfId="1822" xr:uid="{00000000-0005-0000-0000-0000A80A0000}"/>
    <cellStyle name="Normal 3 4 2 2 2 2" xfId="1823" xr:uid="{00000000-0005-0000-0000-0000A90A0000}"/>
    <cellStyle name="Normal 3 4 2 2 2 2 2" xfId="13345" xr:uid="{00000000-0005-0000-0000-0000AA0A0000}"/>
    <cellStyle name="Normal 3 4 2 2 2 3" xfId="1824" xr:uid="{00000000-0005-0000-0000-0000AB0A0000}"/>
    <cellStyle name="Normal 3 4 2 2 2 3 2" xfId="13346" xr:uid="{00000000-0005-0000-0000-0000AC0A0000}"/>
    <cellStyle name="Normal 3 4 2 2 2 4" xfId="13347" xr:uid="{00000000-0005-0000-0000-0000AD0A0000}"/>
    <cellStyle name="Normal 3 4 2 2 3" xfId="1825" xr:uid="{00000000-0005-0000-0000-0000AE0A0000}"/>
    <cellStyle name="Normal 3 4 2 2 3 2" xfId="1826" xr:uid="{00000000-0005-0000-0000-0000AF0A0000}"/>
    <cellStyle name="Normal 3 4 2 2 3 2 2" xfId="13348" xr:uid="{00000000-0005-0000-0000-0000B00A0000}"/>
    <cellStyle name="Normal 3 4 2 2 3 3" xfId="1827" xr:uid="{00000000-0005-0000-0000-0000B10A0000}"/>
    <cellStyle name="Normal 3 4 2 2 3 3 2" xfId="13349" xr:uid="{00000000-0005-0000-0000-0000B20A0000}"/>
    <cellStyle name="Normal 3 4 2 2 3 4" xfId="13350" xr:uid="{00000000-0005-0000-0000-0000B30A0000}"/>
    <cellStyle name="Normal 3 4 2 2 4" xfId="1828" xr:uid="{00000000-0005-0000-0000-0000B40A0000}"/>
    <cellStyle name="Normal 3 4 2 2 4 2" xfId="13351" xr:uid="{00000000-0005-0000-0000-0000B50A0000}"/>
    <cellStyle name="Normal 3 4 2 2 5" xfId="1829" xr:uid="{00000000-0005-0000-0000-0000B60A0000}"/>
    <cellStyle name="Normal 3 4 2 2 5 2" xfId="13352" xr:uid="{00000000-0005-0000-0000-0000B70A0000}"/>
    <cellStyle name="Normal 3 4 2 2 6" xfId="13353" xr:uid="{00000000-0005-0000-0000-0000B80A0000}"/>
    <cellStyle name="Normal 3 4 2 3" xfId="145" xr:uid="{00000000-0005-0000-0000-0000B90A0000}"/>
    <cellStyle name="Normal 3 4 2 3 2" xfId="1830" xr:uid="{00000000-0005-0000-0000-0000BA0A0000}"/>
    <cellStyle name="Normal 3 4 2 3 2 2" xfId="13354" xr:uid="{00000000-0005-0000-0000-0000BB0A0000}"/>
    <cellStyle name="Normal 3 4 2 3 3" xfId="1831" xr:uid="{00000000-0005-0000-0000-0000BC0A0000}"/>
    <cellStyle name="Normal 3 4 2 3 3 2" xfId="13355" xr:uid="{00000000-0005-0000-0000-0000BD0A0000}"/>
    <cellStyle name="Normal 3 4 2 3 4" xfId="13356" xr:uid="{00000000-0005-0000-0000-0000BE0A0000}"/>
    <cellStyle name="Normal 3 4 2 4" xfId="146" xr:uid="{00000000-0005-0000-0000-0000BF0A0000}"/>
    <cellStyle name="Normal 3 4 2 4 2" xfId="1832" xr:uid="{00000000-0005-0000-0000-0000C00A0000}"/>
    <cellStyle name="Normal 3 4 2 4 2 2" xfId="13357" xr:uid="{00000000-0005-0000-0000-0000C10A0000}"/>
    <cellStyle name="Normal 3 4 2 4 3" xfId="1833" xr:uid="{00000000-0005-0000-0000-0000C20A0000}"/>
    <cellStyle name="Normal 3 4 2 4 3 2" xfId="13358" xr:uid="{00000000-0005-0000-0000-0000C30A0000}"/>
    <cellStyle name="Normal 3 4 2 4 4" xfId="13359" xr:uid="{00000000-0005-0000-0000-0000C40A0000}"/>
    <cellStyle name="Normal 3 4 2 5" xfId="1834" xr:uid="{00000000-0005-0000-0000-0000C50A0000}"/>
    <cellStyle name="Normal 3 4 2 5 2" xfId="13360" xr:uid="{00000000-0005-0000-0000-0000C60A0000}"/>
    <cellStyle name="Normal 3 4 2 6" xfId="1835" xr:uid="{00000000-0005-0000-0000-0000C70A0000}"/>
    <cellStyle name="Normal 3 4 2 6 2" xfId="13361" xr:uid="{00000000-0005-0000-0000-0000C80A0000}"/>
    <cellStyle name="Normal 3 4 2 7" xfId="13362" xr:uid="{00000000-0005-0000-0000-0000C90A0000}"/>
    <cellStyle name="Normal 3 4 3" xfId="147" xr:uid="{00000000-0005-0000-0000-0000CA0A0000}"/>
    <cellStyle name="Normal 3 4 4" xfId="148" xr:uid="{00000000-0005-0000-0000-0000CB0A0000}"/>
    <cellStyle name="Normal 3 4 4 2" xfId="1836" xr:uid="{00000000-0005-0000-0000-0000CC0A0000}"/>
    <cellStyle name="Normal 3 4 4 2 2" xfId="1837" xr:uid="{00000000-0005-0000-0000-0000CD0A0000}"/>
    <cellStyle name="Normal 3 4 4 2 2 2" xfId="13363" xr:uid="{00000000-0005-0000-0000-0000CE0A0000}"/>
    <cellStyle name="Normal 3 4 4 2 3" xfId="1838" xr:uid="{00000000-0005-0000-0000-0000CF0A0000}"/>
    <cellStyle name="Normal 3 4 4 2 3 2" xfId="13364" xr:uid="{00000000-0005-0000-0000-0000D00A0000}"/>
    <cellStyle name="Normal 3 4 4 2 4" xfId="13365" xr:uid="{00000000-0005-0000-0000-0000D10A0000}"/>
    <cellStyle name="Normal 3 4 4 3" xfId="1839" xr:uid="{00000000-0005-0000-0000-0000D20A0000}"/>
    <cellStyle name="Normal 3 4 4 3 2" xfId="1840" xr:uid="{00000000-0005-0000-0000-0000D30A0000}"/>
    <cellStyle name="Normal 3 4 4 3 2 2" xfId="13366" xr:uid="{00000000-0005-0000-0000-0000D40A0000}"/>
    <cellStyle name="Normal 3 4 4 3 3" xfId="1841" xr:uid="{00000000-0005-0000-0000-0000D50A0000}"/>
    <cellStyle name="Normal 3 4 4 3 3 2" xfId="13367" xr:uid="{00000000-0005-0000-0000-0000D60A0000}"/>
    <cellStyle name="Normal 3 4 4 3 4" xfId="13368" xr:uid="{00000000-0005-0000-0000-0000D70A0000}"/>
    <cellStyle name="Normal 3 4 4 4" xfId="1842" xr:uid="{00000000-0005-0000-0000-0000D80A0000}"/>
    <cellStyle name="Normal 3 4 4 4 2" xfId="13369" xr:uid="{00000000-0005-0000-0000-0000D90A0000}"/>
    <cellStyle name="Normal 3 4 4 5" xfId="1843" xr:uid="{00000000-0005-0000-0000-0000DA0A0000}"/>
    <cellStyle name="Normal 3 4 4 5 2" xfId="13370" xr:uid="{00000000-0005-0000-0000-0000DB0A0000}"/>
    <cellStyle name="Normal 3 4 4 6" xfId="13371" xr:uid="{00000000-0005-0000-0000-0000DC0A0000}"/>
    <cellStyle name="Normal 3 4 5" xfId="149" xr:uid="{00000000-0005-0000-0000-0000DD0A0000}"/>
    <cellStyle name="Normal 3 4 5 2" xfId="1844" xr:uid="{00000000-0005-0000-0000-0000DE0A0000}"/>
    <cellStyle name="Normal 3 4 5 2 2" xfId="13372" xr:uid="{00000000-0005-0000-0000-0000DF0A0000}"/>
    <cellStyle name="Normal 3 4 5 3" xfId="1845" xr:uid="{00000000-0005-0000-0000-0000E00A0000}"/>
    <cellStyle name="Normal 3 4 5 3 2" xfId="13373" xr:uid="{00000000-0005-0000-0000-0000E10A0000}"/>
    <cellStyle name="Normal 3 4 5 4" xfId="13374" xr:uid="{00000000-0005-0000-0000-0000E20A0000}"/>
    <cellStyle name="Normal 3 4 6" xfId="150" xr:uid="{00000000-0005-0000-0000-0000E30A0000}"/>
    <cellStyle name="Normal 3 4 6 2" xfId="1846" xr:uid="{00000000-0005-0000-0000-0000E40A0000}"/>
    <cellStyle name="Normal 3 4 6 2 2" xfId="13375" xr:uid="{00000000-0005-0000-0000-0000E50A0000}"/>
    <cellStyle name="Normal 3 4 6 3" xfId="1847" xr:uid="{00000000-0005-0000-0000-0000E60A0000}"/>
    <cellStyle name="Normal 3 4 6 3 2" xfId="13376" xr:uid="{00000000-0005-0000-0000-0000E70A0000}"/>
    <cellStyle name="Normal 3 4 6 4" xfId="13377" xr:uid="{00000000-0005-0000-0000-0000E80A0000}"/>
    <cellStyle name="Normal 3 4 7" xfId="1848" xr:uid="{00000000-0005-0000-0000-0000E90A0000}"/>
    <cellStyle name="Normal 3 4 7 2" xfId="13378" xr:uid="{00000000-0005-0000-0000-0000EA0A0000}"/>
    <cellStyle name="Normal 3 4 8" xfId="1849" xr:uid="{00000000-0005-0000-0000-0000EB0A0000}"/>
    <cellStyle name="Normal 3 4 8 2" xfId="13379" xr:uid="{00000000-0005-0000-0000-0000EC0A0000}"/>
    <cellStyle name="Normal 3 4 9" xfId="12262" xr:uid="{00000000-0005-0000-0000-0000ED0A0000}"/>
    <cellStyle name="Normal 3 5" xfId="151" xr:uid="{00000000-0005-0000-0000-0000EE0A0000}"/>
    <cellStyle name="Normal 3 5 10" xfId="12263" xr:uid="{00000000-0005-0000-0000-0000EF0A0000}"/>
    <cellStyle name="Normal 3 5 2" xfId="152" xr:uid="{00000000-0005-0000-0000-0000F00A0000}"/>
    <cellStyle name="Normal 3 5 2 2" xfId="153" xr:uid="{00000000-0005-0000-0000-0000F10A0000}"/>
    <cellStyle name="Normal 3 5 2 3" xfId="154" xr:uid="{00000000-0005-0000-0000-0000F20A0000}"/>
    <cellStyle name="Normal 3 5 2 3 2" xfId="1850" xr:uid="{00000000-0005-0000-0000-0000F30A0000}"/>
    <cellStyle name="Normal 3 5 2 3 2 2" xfId="1851" xr:uid="{00000000-0005-0000-0000-0000F40A0000}"/>
    <cellStyle name="Normal 3 5 2 3 2 2 2" xfId="13380" xr:uid="{00000000-0005-0000-0000-0000F50A0000}"/>
    <cellStyle name="Normal 3 5 2 3 2 3" xfId="1852" xr:uid="{00000000-0005-0000-0000-0000F60A0000}"/>
    <cellStyle name="Normal 3 5 2 3 2 3 2" xfId="13381" xr:uid="{00000000-0005-0000-0000-0000F70A0000}"/>
    <cellStyle name="Normal 3 5 2 3 2 4" xfId="13382" xr:uid="{00000000-0005-0000-0000-0000F80A0000}"/>
    <cellStyle name="Normal 3 5 2 3 3" xfId="1853" xr:uid="{00000000-0005-0000-0000-0000F90A0000}"/>
    <cellStyle name="Normal 3 5 2 3 3 2" xfId="1854" xr:uid="{00000000-0005-0000-0000-0000FA0A0000}"/>
    <cellStyle name="Normal 3 5 2 3 3 2 2" xfId="13383" xr:uid="{00000000-0005-0000-0000-0000FB0A0000}"/>
    <cellStyle name="Normal 3 5 2 3 3 3" xfId="1855" xr:uid="{00000000-0005-0000-0000-0000FC0A0000}"/>
    <cellStyle name="Normal 3 5 2 3 3 3 2" xfId="13384" xr:uid="{00000000-0005-0000-0000-0000FD0A0000}"/>
    <cellStyle name="Normal 3 5 2 3 3 4" xfId="13385" xr:uid="{00000000-0005-0000-0000-0000FE0A0000}"/>
    <cellStyle name="Normal 3 5 2 3 4" xfId="1856" xr:uid="{00000000-0005-0000-0000-0000FF0A0000}"/>
    <cellStyle name="Normal 3 5 2 3 4 2" xfId="13386" xr:uid="{00000000-0005-0000-0000-0000000B0000}"/>
    <cellStyle name="Normal 3 5 2 3 5" xfId="1857" xr:uid="{00000000-0005-0000-0000-0000010B0000}"/>
    <cellStyle name="Normal 3 5 2 3 5 2" xfId="13387" xr:uid="{00000000-0005-0000-0000-0000020B0000}"/>
    <cellStyle name="Normal 3 5 2 3 6" xfId="13388" xr:uid="{00000000-0005-0000-0000-0000030B0000}"/>
    <cellStyle name="Normal 3 5 2 4" xfId="155" xr:uid="{00000000-0005-0000-0000-0000040B0000}"/>
    <cellStyle name="Normal 3 5 2 4 2" xfId="1858" xr:uid="{00000000-0005-0000-0000-0000050B0000}"/>
    <cellStyle name="Normal 3 5 2 4 2 2" xfId="13389" xr:uid="{00000000-0005-0000-0000-0000060B0000}"/>
    <cellStyle name="Normal 3 5 2 4 3" xfId="1859" xr:uid="{00000000-0005-0000-0000-0000070B0000}"/>
    <cellStyle name="Normal 3 5 2 4 3 2" xfId="13390" xr:uid="{00000000-0005-0000-0000-0000080B0000}"/>
    <cellStyle name="Normal 3 5 2 4 4" xfId="13391" xr:uid="{00000000-0005-0000-0000-0000090B0000}"/>
    <cellStyle name="Normal 3 5 2 5" xfId="156" xr:uid="{00000000-0005-0000-0000-00000A0B0000}"/>
    <cellStyle name="Normal 3 5 2 5 2" xfId="1860" xr:uid="{00000000-0005-0000-0000-00000B0B0000}"/>
    <cellStyle name="Normal 3 5 2 5 2 2" xfId="13392" xr:uid="{00000000-0005-0000-0000-00000C0B0000}"/>
    <cellStyle name="Normal 3 5 2 5 3" xfId="1861" xr:uid="{00000000-0005-0000-0000-00000D0B0000}"/>
    <cellStyle name="Normal 3 5 2 5 3 2" xfId="13393" xr:uid="{00000000-0005-0000-0000-00000E0B0000}"/>
    <cellStyle name="Normal 3 5 2 5 4" xfId="13394" xr:uid="{00000000-0005-0000-0000-00000F0B0000}"/>
    <cellStyle name="Normal 3 5 2 6" xfId="1862" xr:uid="{00000000-0005-0000-0000-0000100B0000}"/>
    <cellStyle name="Normal 3 5 2 6 2" xfId="13395" xr:uid="{00000000-0005-0000-0000-0000110B0000}"/>
    <cellStyle name="Normal 3 5 2 7" xfId="1863" xr:uid="{00000000-0005-0000-0000-0000120B0000}"/>
    <cellStyle name="Normal 3 5 2 7 2" xfId="13396" xr:uid="{00000000-0005-0000-0000-0000130B0000}"/>
    <cellStyle name="Normal 3 5 2 8" xfId="13397" xr:uid="{00000000-0005-0000-0000-0000140B0000}"/>
    <cellStyle name="Normal 3 5 3" xfId="157" xr:uid="{00000000-0005-0000-0000-0000150B0000}"/>
    <cellStyle name="Normal 3 5 4" xfId="158" xr:uid="{00000000-0005-0000-0000-0000160B0000}"/>
    <cellStyle name="Normal 3 5 4 2" xfId="13398" xr:uid="{00000000-0005-0000-0000-0000170B0000}"/>
    <cellStyle name="Normal 3 5 5" xfId="159" xr:uid="{00000000-0005-0000-0000-0000180B0000}"/>
    <cellStyle name="Normal 3 5 5 2" xfId="1864" xr:uid="{00000000-0005-0000-0000-0000190B0000}"/>
    <cellStyle name="Normal 3 5 5 2 2" xfId="1865" xr:uid="{00000000-0005-0000-0000-00001A0B0000}"/>
    <cellStyle name="Normal 3 5 5 2 2 2" xfId="13399" xr:uid="{00000000-0005-0000-0000-00001B0B0000}"/>
    <cellStyle name="Normal 3 5 5 2 3" xfId="1866" xr:uid="{00000000-0005-0000-0000-00001C0B0000}"/>
    <cellStyle name="Normal 3 5 5 2 3 2" xfId="13400" xr:uid="{00000000-0005-0000-0000-00001D0B0000}"/>
    <cellStyle name="Normal 3 5 5 2 4" xfId="13401" xr:uid="{00000000-0005-0000-0000-00001E0B0000}"/>
    <cellStyle name="Normal 3 5 5 3" xfId="1867" xr:uid="{00000000-0005-0000-0000-00001F0B0000}"/>
    <cellStyle name="Normal 3 5 5 3 2" xfId="1868" xr:uid="{00000000-0005-0000-0000-0000200B0000}"/>
    <cellStyle name="Normal 3 5 5 3 2 2" xfId="13402" xr:uid="{00000000-0005-0000-0000-0000210B0000}"/>
    <cellStyle name="Normal 3 5 5 3 3" xfId="1869" xr:uid="{00000000-0005-0000-0000-0000220B0000}"/>
    <cellStyle name="Normal 3 5 5 3 3 2" xfId="13403" xr:uid="{00000000-0005-0000-0000-0000230B0000}"/>
    <cellStyle name="Normal 3 5 5 3 4" xfId="13404" xr:uid="{00000000-0005-0000-0000-0000240B0000}"/>
    <cellStyle name="Normal 3 5 5 4" xfId="1870" xr:uid="{00000000-0005-0000-0000-0000250B0000}"/>
    <cellStyle name="Normal 3 5 5 4 2" xfId="13405" xr:uid="{00000000-0005-0000-0000-0000260B0000}"/>
    <cellStyle name="Normal 3 5 5 5" xfId="1871" xr:uid="{00000000-0005-0000-0000-0000270B0000}"/>
    <cellStyle name="Normal 3 5 5 5 2" xfId="13406" xr:uid="{00000000-0005-0000-0000-0000280B0000}"/>
    <cellStyle name="Normal 3 5 5 6" xfId="13407" xr:uid="{00000000-0005-0000-0000-0000290B0000}"/>
    <cellStyle name="Normal 3 5 6" xfId="160" xr:uid="{00000000-0005-0000-0000-00002A0B0000}"/>
    <cellStyle name="Normal 3 5 6 2" xfId="1872" xr:uid="{00000000-0005-0000-0000-00002B0B0000}"/>
    <cellStyle name="Normal 3 5 6 2 2" xfId="13408" xr:uid="{00000000-0005-0000-0000-00002C0B0000}"/>
    <cellStyle name="Normal 3 5 6 3" xfId="1873" xr:uid="{00000000-0005-0000-0000-00002D0B0000}"/>
    <cellStyle name="Normal 3 5 6 3 2" xfId="13409" xr:uid="{00000000-0005-0000-0000-00002E0B0000}"/>
    <cellStyle name="Normal 3 5 6 4" xfId="13410" xr:uid="{00000000-0005-0000-0000-00002F0B0000}"/>
    <cellStyle name="Normal 3 5 7" xfId="1874" xr:uid="{00000000-0005-0000-0000-0000300B0000}"/>
    <cellStyle name="Normal 3 5 7 2" xfId="1875" xr:uid="{00000000-0005-0000-0000-0000310B0000}"/>
    <cellStyle name="Normal 3 5 7 2 2" xfId="13411" xr:uid="{00000000-0005-0000-0000-0000320B0000}"/>
    <cellStyle name="Normal 3 5 7 3" xfId="1876" xr:uid="{00000000-0005-0000-0000-0000330B0000}"/>
    <cellStyle name="Normal 3 5 7 3 2" xfId="13412" xr:uid="{00000000-0005-0000-0000-0000340B0000}"/>
    <cellStyle name="Normal 3 5 7 4" xfId="13413" xr:uid="{00000000-0005-0000-0000-0000350B0000}"/>
    <cellStyle name="Normal 3 5 8" xfId="1877" xr:uid="{00000000-0005-0000-0000-0000360B0000}"/>
    <cellStyle name="Normal 3 5 8 2" xfId="13414" xr:uid="{00000000-0005-0000-0000-0000370B0000}"/>
    <cellStyle name="Normal 3 5 9" xfId="1878" xr:uid="{00000000-0005-0000-0000-0000380B0000}"/>
    <cellStyle name="Normal 3 5 9 2" xfId="13415" xr:uid="{00000000-0005-0000-0000-0000390B0000}"/>
    <cellStyle name="Normal 3 6" xfId="161" xr:uid="{00000000-0005-0000-0000-00003A0B0000}"/>
    <cellStyle name="Normal 3 6 2" xfId="162" xr:uid="{00000000-0005-0000-0000-00003B0B0000}"/>
    <cellStyle name="Normal 3 6 2 2" xfId="163" xr:uid="{00000000-0005-0000-0000-00003C0B0000}"/>
    <cellStyle name="Normal 3 6 2 2 2" xfId="1879" xr:uid="{00000000-0005-0000-0000-00003D0B0000}"/>
    <cellStyle name="Normal 3 6 2 2 2 2" xfId="1880" xr:uid="{00000000-0005-0000-0000-00003E0B0000}"/>
    <cellStyle name="Normal 3 6 2 2 2 2 2" xfId="13416" xr:uid="{00000000-0005-0000-0000-00003F0B0000}"/>
    <cellStyle name="Normal 3 6 2 2 2 3" xfId="1881" xr:uid="{00000000-0005-0000-0000-0000400B0000}"/>
    <cellStyle name="Normal 3 6 2 2 2 3 2" xfId="13417" xr:uid="{00000000-0005-0000-0000-0000410B0000}"/>
    <cellStyle name="Normal 3 6 2 2 2 4" xfId="13418" xr:uid="{00000000-0005-0000-0000-0000420B0000}"/>
    <cellStyle name="Normal 3 6 2 2 3" xfId="1882" xr:uid="{00000000-0005-0000-0000-0000430B0000}"/>
    <cellStyle name="Normal 3 6 2 2 3 2" xfId="1883" xr:uid="{00000000-0005-0000-0000-0000440B0000}"/>
    <cellStyle name="Normal 3 6 2 2 3 2 2" xfId="13419" xr:uid="{00000000-0005-0000-0000-0000450B0000}"/>
    <cellStyle name="Normal 3 6 2 2 3 3" xfId="1884" xr:uid="{00000000-0005-0000-0000-0000460B0000}"/>
    <cellStyle name="Normal 3 6 2 2 3 3 2" xfId="13420" xr:uid="{00000000-0005-0000-0000-0000470B0000}"/>
    <cellStyle name="Normal 3 6 2 2 3 4" xfId="13421" xr:uid="{00000000-0005-0000-0000-0000480B0000}"/>
    <cellStyle name="Normal 3 6 2 2 4" xfId="1885" xr:uid="{00000000-0005-0000-0000-0000490B0000}"/>
    <cellStyle name="Normal 3 6 2 2 4 2" xfId="13422" xr:uid="{00000000-0005-0000-0000-00004A0B0000}"/>
    <cellStyle name="Normal 3 6 2 2 5" xfId="1886" xr:uid="{00000000-0005-0000-0000-00004B0B0000}"/>
    <cellStyle name="Normal 3 6 2 2 5 2" xfId="13423" xr:uid="{00000000-0005-0000-0000-00004C0B0000}"/>
    <cellStyle name="Normal 3 6 2 2 6" xfId="13424" xr:uid="{00000000-0005-0000-0000-00004D0B0000}"/>
    <cellStyle name="Normal 3 6 2 3" xfId="1887" xr:uid="{00000000-0005-0000-0000-00004E0B0000}"/>
    <cellStyle name="Normal 3 6 2 3 2" xfId="1888" xr:uid="{00000000-0005-0000-0000-00004F0B0000}"/>
    <cellStyle name="Normal 3 6 2 3 2 2" xfId="13425" xr:uid="{00000000-0005-0000-0000-0000500B0000}"/>
    <cellStyle name="Normal 3 6 2 3 3" xfId="1889" xr:uid="{00000000-0005-0000-0000-0000510B0000}"/>
    <cellStyle name="Normal 3 6 2 3 3 2" xfId="13426" xr:uid="{00000000-0005-0000-0000-0000520B0000}"/>
    <cellStyle name="Normal 3 6 2 3 4" xfId="13427" xr:uid="{00000000-0005-0000-0000-0000530B0000}"/>
    <cellStyle name="Normal 3 6 2 4" xfId="1890" xr:uid="{00000000-0005-0000-0000-0000540B0000}"/>
    <cellStyle name="Normal 3 6 2 4 2" xfId="1891" xr:uid="{00000000-0005-0000-0000-0000550B0000}"/>
    <cellStyle name="Normal 3 6 2 4 2 2" xfId="13428" xr:uid="{00000000-0005-0000-0000-0000560B0000}"/>
    <cellStyle name="Normal 3 6 2 4 3" xfId="1892" xr:uid="{00000000-0005-0000-0000-0000570B0000}"/>
    <cellStyle name="Normal 3 6 2 4 3 2" xfId="13429" xr:uid="{00000000-0005-0000-0000-0000580B0000}"/>
    <cellStyle name="Normal 3 6 2 4 4" xfId="13430" xr:uid="{00000000-0005-0000-0000-0000590B0000}"/>
    <cellStyle name="Normal 3 6 2 5" xfId="1893" xr:uid="{00000000-0005-0000-0000-00005A0B0000}"/>
    <cellStyle name="Normal 3 6 2 5 2" xfId="13431" xr:uid="{00000000-0005-0000-0000-00005B0B0000}"/>
    <cellStyle name="Normal 3 6 2 6" xfId="1894" xr:uid="{00000000-0005-0000-0000-00005C0B0000}"/>
    <cellStyle name="Normal 3 6 2 6 2" xfId="13432" xr:uid="{00000000-0005-0000-0000-00005D0B0000}"/>
    <cellStyle name="Normal 3 6 2 7" xfId="13433" xr:uid="{00000000-0005-0000-0000-00005E0B0000}"/>
    <cellStyle name="Normal 3 6 3" xfId="164" xr:uid="{00000000-0005-0000-0000-00005F0B0000}"/>
    <cellStyle name="Normal 3 6 4" xfId="165" xr:uid="{00000000-0005-0000-0000-0000600B0000}"/>
    <cellStyle name="Normal 3 6 4 2" xfId="1895" xr:uid="{00000000-0005-0000-0000-0000610B0000}"/>
    <cellStyle name="Normal 3 6 4 2 2" xfId="1896" xr:uid="{00000000-0005-0000-0000-0000620B0000}"/>
    <cellStyle name="Normal 3 6 4 2 2 2" xfId="13434" xr:uid="{00000000-0005-0000-0000-0000630B0000}"/>
    <cellStyle name="Normal 3 6 4 2 3" xfId="1897" xr:uid="{00000000-0005-0000-0000-0000640B0000}"/>
    <cellStyle name="Normal 3 6 4 2 3 2" xfId="13435" xr:uid="{00000000-0005-0000-0000-0000650B0000}"/>
    <cellStyle name="Normal 3 6 4 2 4" xfId="13436" xr:uid="{00000000-0005-0000-0000-0000660B0000}"/>
    <cellStyle name="Normal 3 6 4 3" xfId="1898" xr:uid="{00000000-0005-0000-0000-0000670B0000}"/>
    <cellStyle name="Normal 3 6 4 3 2" xfId="1899" xr:uid="{00000000-0005-0000-0000-0000680B0000}"/>
    <cellStyle name="Normal 3 6 4 3 2 2" xfId="13437" xr:uid="{00000000-0005-0000-0000-0000690B0000}"/>
    <cellStyle name="Normal 3 6 4 3 3" xfId="1900" xr:uid="{00000000-0005-0000-0000-00006A0B0000}"/>
    <cellStyle name="Normal 3 6 4 3 3 2" xfId="13438" xr:uid="{00000000-0005-0000-0000-00006B0B0000}"/>
    <cellStyle name="Normal 3 6 4 3 4" xfId="13439" xr:uid="{00000000-0005-0000-0000-00006C0B0000}"/>
    <cellStyle name="Normal 3 6 4 4" xfId="1901" xr:uid="{00000000-0005-0000-0000-00006D0B0000}"/>
    <cellStyle name="Normal 3 6 4 4 2" xfId="13440" xr:uid="{00000000-0005-0000-0000-00006E0B0000}"/>
    <cellStyle name="Normal 3 6 4 5" xfId="1902" xr:uid="{00000000-0005-0000-0000-00006F0B0000}"/>
    <cellStyle name="Normal 3 6 4 5 2" xfId="13441" xr:uid="{00000000-0005-0000-0000-0000700B0000}"/>
    <cellStyle name="Normal 3 6 4 6" xfId="13442" xr:uid="{00000000-0005-0000-0000-0000710B0000}"/>
    <cellStyle name="Normal 3 6 5" xfId="166" xr:uid="{00000000-0005-0000-0000-0000720B0000}"/>
    <cellStyle name="Normal 3 6 5 2" xfId="1903" xr:uid="{00000000-0005-0000-0000-0000730B0000}"/>
    <cellStyle name="Normal 3 6 5 2 2" xfId="13443" xr:uid="{00000000-0005-0000-0000-0000740B0000}"/>
    <cellStyle name="Normal 3 6 5 3" xfId="1904" xr:uid="{00000000-0005-0000-0000-0000750B0000}"/>
    <cellStyle name="Normal 3 6 5 3 2" xfId="13444" xr:uid="{00000000-0005-0000-0000-0000760B0000}"/>
    <cellStyle name="Normal 3 6 5 4" xfId="13445" xr:uid="{00000000-0005-0000-0000-0000770B0000}"/>
    <cellStyle name="Normal 3 6 6" xfId="167" xr:uid="{00000000-0005-0000-0000-0000780B0000}"/>
    <cellStyle name="Normal 3 6 6 2" xfId="1905" xr:uid="{00000000-0005-0000-0000-0000790B0000}"/>
    <cellStyle name="Normal 3 6 6 2 2" xfId="13446" xr:uid="{00000000-0005-0000-0000-00007A0B0000}"/>
    <cellStyle name="Normal 3 6 6 3" xfId="1906" xr:uid="{00000000-0005-0000-0000-00007B0B0000}"/>
    <cellStyle name="Normal 3 6 6 3 2" xfId="13447" xr:uid="{00000000-0005-0000-0000-00007C0B0000}"/>
    <cellStyle name="Normal 3 6 6 4" xfId="13448" xr:uid="{00000000-0005-0000-0000-00007D0B0000}"/>
    <cellStyle name="Normal 3 6 7" xfId="1907" xr:uid="{00000000-0005-0000-0000-00007E0B0000}"/>
    <cellStyle name="Normal 3 6 7 2" xfId="13449" xr:uid="{00000000-0005-0000-0000-00007F0B0000}"/>
    <cellStyle name="Normal 3 6 8" xfId="1908" xr:uid="{00000000-0005-0000-0000-0000800B0000}"/>
    <cellStyle name="Normal 3 6 8 2" xfId="13450" xr:uid="{00000000-0005-0000-0000-0000810B0000}"/>
    <cellStyle name="Normal 3 6 9" xfId="13451" xr:uid="{00000000-0005-0000-0000-0000820B0000}"/>
    <cellStyle name="Normal 3 7" xfId="168" xr:uid="{00000000-0005-0000-0000-0000830B0000}"/>
    <cellStyle name="Normal 3 7 2" xfId="169" xr:uid="{00000000-0005-0000-0000-0000840B0000}"/>
    <cellStyle name="Normal 3 7 2 2" xfId="13452" xr:uid="{00000000-0005-0000-0000-0000850B0000}"/>
    <cellStyle name="Normal 3 7 3" xfId="170" xr:uid="{00000000-0005-0000-0000-0000860B0000}"/>
    <cellStyle name="Normal 3 7 3 2" xfId="1909" xr:uid="{00000000-0005-0000-0000-0000870B0000}"/>
    <cellStyle name="Normal 3 7 3 2 2" xfId="1910" xr:uid="{00000000-0005-0000-0000-0000880B0000}"/>
    <cellStyle name="Normal 3 7 3 2 2 2" xfId="13453" xr:uid="{00000000-0005-0000-0000-0000890B0000}"/>
    <cellStyle name="Normal 3 7 3 2 3" xfId="1911" xr:uid="{00000000-0005-0000-0000-00008A0B0000}"/>
    <cellStyle name="Normal 3 7 3 2 3 2" xfId="13454" xr:uid="{00000000-0005-0000-0000-00008B0B0000}"/>
    <cellStyle name="Normal 3 7 3 2 4" xfId="13455" xr:uid="{00000000-0005-0000-0000-00008C0B0000}"/>
    <cellStyle name="Normal 3 7 3 3" xfId="1912" xr:uid="{00000000-0005-0000-0000-00008D0B0000}"/>
    <cellStyle name="Normal 3 7 3 3 2" xfId="1913" xr:uid="{00000000-0005-0000-0000-00008E0B0000}"/>
    <cellStyle name="Normal 3 7 3 3 2 2" xfId="13456" xr:uid="{00000000-0005-0000-0000-00008F0B0000}"/>
    <cellStyle name="Normal 3 7 3 3 3" xfId="1914" xr:uid="{00000000-0005-0000-0000-0000900B0000}"/>
    <cellStyle name="Normal 3 7 3 3 3 2" xfId="13457" xr:uid="{00000000-0005-0000-0000-0000910B0000}"/>
    <cellStyle name="Normal 3 7 3 3 4" xfId="13458" xr:uid="{00000000-0005-0000-0000-0000920B0000}"/>
    <cellStyle name="Normal 3 7 3 4" xfId="1915" xr:uid="{00000000-0005-0000-0000-0000930B0000}"/>
    <cellStyle name="Normal 3 7 3 4 2" xfId="13459" xr:uid="{00000000-0005-0000-0000-0000940B0000}"/>
    <cellStyle name="Normal 3 7 3 5" xfId="1916" xr:uid="{00000000-0005-0000-0000-0000950B0000}"/>
    <cellStyle name="Normal 3 7 3 5 2" xfId="13460" xr:uid="{00000000-0005-0000-0000-0000960B0000}"/>
    <cellStyle name="Normal 3 7 3 6" xfId="13461" xr:uid="{00000000-0005-0000-0000-0000970B0000}"/>
    <cellStyle name="Normal 3 7 4" xfId="171" xr:uid="{00000000-0005-0000-0000-0000980B0000}"/>
    <cellStyle name="Normal 3 7 4 2" xfId="1917" xr:uid="{00000000-0005-0000-0000-0000990B0000}"/>
    <cellStyle name="Normal 3 7 4 2 2" xfId="13462" xr:uid="{00000000-0005-0000-0000-00009A0B0000}"/>
    <cellStyle name="Normal 3 7 4 3" xfId="1918" xr:uid="{00000000-0005-0000-0000-00009B0B0000}"/>
    <cellStyle name="Normal 3 7 4 3 2" xfId="13463" xr:uid="{00000000-0005-0000-0000-00009C0B0000}"/>
    <cellStyle name="Normal 3 7 4 4" xfId="13464" xr:uid="{00000000-0005-0000-0000-00009D0B0000}"/>
    <cellStyle name="Normal 3 7 5" xfId="1919" xr:uid="{00000000-0005-0000-0000-00009E0B0000}"/>
    <cellStyle name="Normal 3 7 5 2" xfId="1920" xr:uid="{00000000-0005-0000-0000-00009F0B0000}"/>
    <cellStyle name="Normal 3 7 5 2 2" xfId="13465" xr:uid="{00000000-0005-0000-0000-0000A00B0000}"/>
    <cellStyle name="Normal 3 7 5 3" xfId="1921" xr:uid="{00000000-0005-0000-0000-0000A10B0000}"/>
    <cellStyle name="Normal 3 7 5 3 2" xfId="13466" xr:uid="{00000000-0005-0000-0000-0000A20B0000}"/>
    <cellStyle name="Normal 3 7 5 4" xfId="13467" xr:uid="{00000000-0005-0000-0000-0000A30B0000}"/>
    <cellStyle name="Normal 3 7 6" xfId="1922" xr:uid="{00000000-0005-0000-0000-0000A40B0000}"/>
    <cellStyle name="Normal 3 7 6 2" xfId="13468" xr:uid="{00000000-0005-0000-0000-0000A50B0000}"/>
    <cellStyle name="Normal 3 7 7" xfId="1923" xr:uid="{00000000-0005-0000-0000-0000A60B0000}"/>
    <cellStyle name="Normal 3 7 7 2" xfId="13469" xr:uid="{00000000-0005-0000-0000-0000A70B0000}"/>
    <cellStyle name="Normal 3 7 8" xfId="13470" xr:uid="{00000000-0005-0000-0000-0000A80B0000}"/>
    <cellStyle name="Normal 3 8" xfId="172" xr:uid="{00000000-0005-0000-0000-0000A90B0000}"/>
    <cellStyle name="Normal 3 8 2" xfId="1924" xr:uid="{00000000-0005-0000-0000-0000AA0B0000}"/>
    <cellStyle name="Normal 3 8 3" xfId="1925" xr:uid="{00000000-0005-0000-0000-0000AB0B0000}"/>
    <cellStyle name="Normal 3 8 3 2" xfId="1926" xr:uid="{00000000-0005-0000-0000-0000AC0B0000}"/>
    <cellStyle name="Normal 3 8 3 2 2" xfId="1927" xr:uid="{00000000-0005-0000-0000-0000AD0B0000}"/>
    <cellStyle name="Normal 3 8 3 2 2 2" xfId="13471" xr:uid="{00000000-0005-0000-0000-0000AE0B0000}"/>
    <cellStyle name="Normal 3 8 3 2 3" xfId="1928" xr:uid="{00000000-0005-0000-0000-0000AF0B0000}"/>
    <cellStyle name="Normal 3 8 3 2 3 2" xfId="13472" xr:uid="{00000000-0005-0000-0000-0000B00B0000}"/>
    <cellStyle name="Normal 3 8 3 2 4" xfId="13473" xr:uid="{00000000-0005-0000-0000-0000B10B0000}"/>
    <cellStyle name="Normal 3 8 3 3" xfId="1929" xr:uid="{00000000-0005-0000-0000-0000B20B0000}"/>
    <cellStyle name="Normal 3 8 3 3 2" xfId="1930" xr:uid="{00000000-0005-0000-0000-0000B30B0000}"/>
    <cellStyle name="Normal 3 8 3 3 2 2" xfId="13474" xr:uid="{00000000-0005-0000-0000-0000B40B0000}"/>
    <cellStyle name="Normal 3 8 3 3 3" xfId="1931" xr:uid="{00000000-0005-0000-0000-0000B50B0000}"/>
    <cellStyle name="Normal 3 8 3 3 3 2" xfId="13475" xr:uid="{00000000-0005-0000-0000-0000B60B0000}"/>
    <cellStyle name="Normal 3 8 3 3 4" xfId="13476" xr:uid="{00000000-0005-0000-0000-0000B70B0000}"/>
    <cellStyle name="Normal 3 8 3 4" xfId="1932" xr:uid="{00000000-0005-0000-0000-0000B80B0000}"/>
    <cellStyle name="Normal 3 8 3 4 2" xfId="13477" xr:uid="{00000000-0005-0000-0000-0000B90B0000}"/>
    <cellStyle name="Normal 3 8 3 5" xfId="1933" xr:uid="{00000000-0005-0000-0000-0000BA0B0000}"/>
    <cellStyle name="Normal 3 8 3 5 2" xfId="13478" xr:uid="{00000000-0005-0000-0000-0000BB0B0000}"/>
    <cellStyle name="Normal 3 8 3 6" xfId="13479" xr:uid="{00000000-0005-0000-0000-0000BC0B0000}"/>
    <cellStyle name="Normal 3 8 4" xfId="1934" xr:uid="{00000000-0005-0000-0000-0000BD0B0000}"/>
    <cellStyle name="Normal 3 8 4 2" xfId="1935" xr:uid="{00000000-0005-0000-0000-0000BE0B0000}"/>
    <cellStyle name="Normal 3 8 4 2 2" xfId="13480" xr:uid="{00000000-0005-0000-0000-0000BF0B0000}"/>
    <cellStyle name="Normal 3 8 4 3" xfId="1936" xr:uid="{00000000-0005-0000-0000-0000C00B0000}"/>
    <cellStyle name="Normal 3 8 4 3 2" xfId="13481" xr:uid="{00000000-0005-0000-0000-0000C10B0000}"/>
    <cellStyle name="Normal 3 8 4 4" xfId="13482" xr:uid="{00000000-0005-0000-0000-0000C20B0000}"/>
    <cellStyle name="Normal 3 8 5" xfId="1937" xr:uid="{00000000-0005-0000-0000-0000C30B0000}"/>
    <cellStyle name="Normal 3 8 5 2" xfId="1938" xr:uid="{00000000-0005-0000-0000-0000C40B0000}"/>
    <cellStyle name="Normal 3 8 5 2 2" xfId="13483" xr:uid="{00000000-0005-0000-0000-0000C50B0000}"/>
    <cellStyle name="Normal 3 8 5 3" xfId="1939" xr:uid="{00000000-0005-0000-0000-0000C60B0000}"/>
    <cellStyle name="Normal 3 8 5 3 2" xfId="13484" xr:uid="{00000000-0005-0000-0000-0000C70B0000}"/>
    <cellStyle name="Normal 3 8 5 4" xfId="13485" xr:uid="{00000000-0005-0000-0000-0000C80B0000}"/>
    <cellStyle name="Normal 3 8 6" xfId="1940" xr:uid="{00000000-0005-0000-0000-0000C90B0000}"/>
    <cellStyle name="Normal 3 8 6 2" xfId="13486" xr:uid="{00000000-0005-0000-0000-0000CA0B0000}"/>
    <cellStyle name="Normal 3 8 7" xfId="1941" xr:uid="{00000000-0005-0000-0000-0000CB0B0000}"/>
    <cellStyle name="Normal 3 8 7 2" xfId="13487" xr:uid="{00000000-0005-0000-0000-0000CC0B0000}"/>
    <cellStyle name="Normal 3 9" xfId="173" xr:uid="{00000000-0005-0000-0000-0000CD0B0000}"/>
    <cellStyle name="Normal 3 9 2" xfId="13488" xr:uid="{00000000-0005-0000-0000-0000CE0B0000}"/>
    <cellStyle name="Normal 3_Broolshire X-Over.Site Emissions" xfId="1942" xr:uid="{00000000-0005-0000-0000-0000CF0B0000}"/>
    <cellStyle name="Normal 30" xfId="1943" xr:uid="{00000000-0005-0000-0000-0000D00B0000}"/>
    <cellStyle name="Normal 30 10" xfId="10881" xr:uid="{00000000-0005-0000-0000-0000D10B0000}"/>
    <cellStyle name="Normal 30 11" xfId="10882" xr:uid="{00000000-0005-0000-0000-0000D20B0000}"/>
    <cellStyle name="Normal 30 12" xfId="10883" xr:uid="{00000000-0005-0000-0000-0000D30B0000}"/>
    <cellStyle name="Normal 30 13" xfId="10884" xr:uid="{00000000-0005-0000-0000-0000D40B0000}"/>
    <cellStyle name="Normal 30 14" xfId="10885" xr:uid="{00000000-0005-0000-0000-0000D50B0000}"/>
    <cellStyle name="Normal 30 15" xfId="10886" xr:uid="{00000000-0005-0000-0000-0000D60B0000}"/>
    <cellStyle name="Normal 30 16" xfId="10887" xr:uid="{00000000-0005-0000-0000-0000D70B0000}"/>
    <cellStyle name="Normal 30 17" xfId="10888" xr:uid="{00000000-0005-0000-0000-0000D80B0000}"/>
    <cellStyle name="Normal 30 18" xfId="10889" xr:uid="{00000000-0005-0000-0000-0000D90B0000}"/>
    <cellStyle name="Normal 30 19" xfId="10890" xr:uid="{00000000-0005-0000-0000-0000DA0B0000}"/>
    <cellStyle name="Normal 30 2" xfId="1944" xr:uid="{00000000-0005-0000-0000-0000DB0B0000}"/>
    <cellStyle name="Normal 30 2 2" xfId="1945" xr:uid="{00000000-0005-0000-0000-0000DC0B0000}"/>
    <cellStyle name="Normal 30 2 2 2" xfId="12265" xr:uid="{00000000-0005-0000-0000-0000DD0B0000}"/>
    <cellStyle name="Normal 30 2 3" xfId="1946" xr:uid="{00000000-0005-0000-0000-0000DE0B0000}"/>
    <cellStyle name="Normal 30 2 4" xfId="12264" xr:uid="{00000000-0005-0000-0000-0000DF0B0000}"/>
    <cellStyle name="Normal 30 20" xfId="10891" xr:uid="{00000000-0005-0000-0000-0000E00B0000}"/>
    <cellStyle name="Normal 30 3" xfId="1947" xr:uid="{00000000-0005-0000-0000-0000E10B0000}"/>
    <cellStyle name="Normal 30 3 2" xfId="1948" xr:uid="{00000000-0005-0000-0000-0000E20B0000}"/>
    <cellStyle name="Normal 30 3 2 2" xfId="12267" xr:uid="{00000000-0005-0000-0000-0000E30B0000}"/>
    <cellStyle name="Normal 30 3 3" xfId="1949" xr:uid="{00000000-0005-0000-0000-0000E40B0000}"/>
    <cellStyle name="Normal 30 3 4" xfId="12266" xr:uid="{00000000-0005-0000-0000-0000E50B0000}"/>
    <cellStyle name="Normal 30 4" xfId="1950" xr:uid="{00000000-0005-0000-0000-0000E60B0000}"/>
    <cellStyle name="Normal 30 4 2" xfId="10892" xr:uid="{00000000-0005-0000-0000-0000E70B0000}"/>
    <cellStyle name="Normal 30 5" xfId="1951" xr:uid="{00000000-0005-0000-0000-0000E80B0000}"/>
    <cellStyle name="Normal 30 5 2" xfId="10893" xr:uid="{00000000-0005-0000-0000-0000E90B0000}"/>
    <cellStyle name="Normal 30 6" xfId="10894" xr:uid="{00000000-0005-0000-0000-0000EA0B0000}"/>
    <cellStyle name="Normal 30 6 2" xfId="10895" xr:uid="{00000000-0005-0000-0000-0000EB0B0000}"/>
    <cellStyle name="Normal 30 7" xfId="10896" xr:uid="{00000000-0005-0000-0000-0000EC0B0000}"/>
    <cellStyle name="Normal 30 8" xfId="10897" xr:uid="{00000000-0005-0000-0000-0000ED0B0000}"/>
    <cellStyle name="Normal 30 9" xfId="10898" xr:uid="{00000000-0005-0000-0000-0000EE0B0000}"/>
    <cellStyle name="Normal 300" xfId="1952" xr:uid="{00000000-0005-0000-0000-0000EF0B0000}"/>
    <cellStyle name="Normal 301" xfId="1953" xr:uid="{00000000-0005-0000-0000-0000F00B0000}"/>
    <cellStyle name="Normal 302" xfId="1954" xr:uid="{00000000-0005-0000-0000-0000F10B0000}"/>
    <cellStyle name="Normal 303" xfId="1955" xr:uid="{00000000-0005-0000-0000-0000F20B0000}"/>
    <cellStyle name="Normal 304" xfId="1956" xr:uid="{00000000-0005-0000-0000-0000F30B0000}"/>
    <cellStyle name="Normal 305" xfId="1957" xr:uid="{00000000-0005-0000-0000-0000F40B0000}"/>
    <cellStyle name="Normal 306" xfId="1958" xr:uid="{00000000-0005-0000-0000-0000F50B0000}"/>
    <cellStyle name="Normal 307" xfId="1959" xr:uid="{00000000-0005-0000-0000-0000F60B0000}"/>
    <cellStyle name="Normal 308" xfId="1960" xr:uid="{00000000-0005-0000-0000-0000F70B0000}"/>
    <cellStyle name="Normal 309" xfId="1961" xr:uid="{00000000-0005-0000-0000-0000F80B0000}"/>
    <cellStyle name="Normal 31" xfId="1962" xr:uid="{00000000-0005-0000-0000-0000F90B0000}"/>
    <cellStyle name="Normal 31 10" xfId="10899" xr:uid="{00000000-0005-0000-0000-0000FA0B0000}"/>
    <cellStyle name="Normal 31 11" xfId="10900" xr:uid="{00000000-0005-0000-0000-0000FB0B0000}"/>
    <cellStyle name="Normal 31 12" xfId="10901" xr:uid="{00000000-0005-0000-0000-0000FC0B0000}"/>
    <cellStyle name="Normal 31 13" xfId="10902" xr:uid="{00000000-0005-0000-0000-0000FD0B0000}"/>
    <cellStyle name="Normal 31 14" xfId="10903" xr:uid="{00000000-0005-0000-0000-0000FE0B0000}"/>
    <cellStyle name="Normal 31 15" xfId="10904" xr:uid="{00000000-0005-0000-0000-0000FF0B0000}"/>
    <cellStyle name="Normal 31 16" xfId="10905" xr:uid="{00000000-0005-0000-0000-0000000C0000}"/>
    <cellStyle name="Normal 31 17" xfId="10906" xr:uid="{00000000-0005-0000-0000-0000010C0000}"/>
    <cellStyle name="Normal 31 18" xfId="10907" xr:uid="{00000000-0005-0000-0000-0000020C0000}"/>
    <cellStyle name="Normal 31 19" xfId="10908" xr:uid="{00000000-0005-0000-0000-0000030C0000}"/>
    <cellStyle name="Normal 31 2" xfId="1963" xr:uid="{00000000-0005-0000-0000-0000040C0000}"/>
    <cellStyle name="Normal 31 2 2" xfId="1964" xr:uid="{00000000-0005-0000-0000-0000050C0000}"/>
    <cellStyle name="Normal 31 2 2 2" xfId="12269" xr:uid="{00000000-0005-0000-0000-0000060C0000}"/>
    <cellStyle name="Normal 31 2 3" xfId="1965" xr:uid="{00000000-0005-0000-0000-0000070C0000}"/>
    <cellStyle name="Normal 31 2 4" xfId="12268" xr:uid="{00000000-0005-0000-0000-0000080C0000}"/>
    <cellStyle name="Normal 31 20" xfId="10909" xr:uid="{00000000-0005-0000-0000-0000090C0000}"/>
    <cellStyle name="Normal 31 3" xfId="1966" xr:uid="{00000000-0005-0000-0000-00000A0C0000}"/>
    <cellStyle name="Normal 31 3 2" xfId="1967" xr:uid="{00000000-0005-0000-0000-00000B0C0000}"/>
    <cellStyle name="Normal 31 3 2 2" xfId="12271" xr:uid="{00000000-0005-0000-0000-00000C0C0000}"/>
    <cellStyle name="Normal 31 3 3" xfId="1968" xr:uid="{00000000-0005-0000-0000-00000D0C0000}"/>
    <cellStyle name="Normal 31 3 4" xfId="12270" xr:uid="{00000000-0005-0000-0000-00000E0C0000}"/>
    <cellStyle name="Normal 31 4" xfId="1969" xr:uid="{00000000-0005-0000-0000-00000F0C0000}"/>
    <cellStyle name="Normal 31 4 2" xfId="10910" xr:uid="{00000000-0005-0000-0000-0000100C0000}"/>
    <cellStyle name="Normal 31 5" xfId="1970" xr:uid="{00000000-0005-0000-0000-0000110C0000}"/>
    <cellStyle name="Normal 31 5 2" xfId="10911" xr:uid="{00000000-0005-0000-0000-0000120C0000}"/>
    <cellStyle name="Normal 31 6" xfId="10912" xr:uid="{00000000-0005-0000-0000-0000130C0000}"/>
    <cellStyle name="Normal 31 6 2" xfId="10913" xr:uid="{00000000-0005-0000-0000-0000140C0000}"/>
    <cellStyle name="Normal 31 7" xfId="10914" xr:uid="{00000000-0005-0000-0000-0000150C0000}"/>
    <cellStyle name="Normal 31 8" xfId="10915" xr:uid="{00000000-0005-0000-0000-0000160C0000}"/>
    <cellStyle name="Normal 31 9" xfId="10916" xr:uid="{00000000-0005-0000-0000-0000170C0000}"/>
    <cellStyle name="Normal 310" xfId="1971" xr:uid="{00000000-0005-0000-0000-0000180C0000}"/>
    <cellStyle name="Normal 311" xfId="1972" xr:uid="{00000000-0005-0000-0000-0000190C0000}"/>
    <cellStyle name="Normal 312" xfId="1973" xr:uid="{00000000-0005-0000-0000-00001A0C0000}"/>
    <cellStyle name="Normal 313" xfId="1974" xr:uid="{00000000-0005-0000-0000-00001B0C0000}"/>
    <cellStyle name="Normal 314" xfId="1975" xr:uid="{00000000-0005-0000-0000-00001C0C0000}"/>
    <cellStyle name="Normal 315" xfId="1976" xr:uid="{00000000-0005-0000-0000-00001D0C0000}"/>
    <cellStyle name="Normal 316" xfId="1977" xr:uid="{00000000-0005-0000-0000-00001E0C0000}"/>
    <cellStyle name="Normal 317" xfId="1978" xr:uid="{00000000-0005-0000-0000-00001F0C0000}"/>
    <cellStyle name="Normal 318" xfId="1979" xr:uid="{00000000-0005-0000-0000-0000200C0000}"/>
    <cellStyle name="Normal 319" xfId="1980" xr:uid="{00000000-0005-0000-0000-0000210C0000}"/>
    <cellStyle name="Normal 32" xfId="1981" xr:uid="{00000000-0005-0000-0000-0000220C0000}"/>
    <cellStyle name="Normal 32 10" xfId="10917" xr:uid="{00000000-0005-0000-0000-0000230C0000}"/>
    <cellStyle name="Normal 32 11" xfId="10918" xr:uid="{00000000-0005-0000-0000-0000240C0000}"/>
    <cellStyle name="Normal 32 12" xfId="10919" xr:uid="{00000000-0005-0000-0000-0000250C0000}"/>
    <cellStyle name="Normal 32 13" xfId="10920" xr:uid="{00000000-0005-0000-0000-0000260C0000}"/>
    <cellStyle name="Normal 32 14" xfId="10921" xr:uid="{00000000-0005-0000-0000-0000270C0000}"/>
    <cellStyle name="Normal 32 15" xfId="10922" xr:uid="{00000000-0005-0000-0000-0000280C0000}"/>
    <cellStyle name="Normal 32 16" xfId="10923" xr:uid="{00000000-0005-0000-0000-0000290C0000}"/>
    <cellStyle name="Normal 32 17" xfId="10924" xr:uid="{00000000-0005-0000-0000-00002A0C0000}"/>
    <cellStyle name="Normal 32 18" xfId="10925" xr:uid="{00000000-0005-0000-0000-00002B0C0000}"/>
    <cellStyle name="Normal 32 19" xfId="10926" xr:uid="{00000000-0005-0000-0000-00002C0C0000}"/>
    <cellStyle name="Normal 32 2" xfId="1982" xr:uid="{00000000-0005-0000-0000-00002D0C0000}"/>
    <cellStyle name="Normal 32 2 2" xfId="1983" xr:uid="{00000000-0005-0000-0000-00002E0C0000}"/>
    <cellStyle name="Normal 32 2 2 2" xfId="12273" xr:uid="{00000000-0005-0000-0000-00002F0C0000}"/>
    <cellStyle name="Normal 32 2 3" xfId="1984" xr:uid="{00000000-0005-0000-0000-0000300C0000}"/>
    <cellStyle name="Normal 32 2 4" xfId="12272" xr:uid="{00000000-0005-0000-0000-0000310C0000}"/>
    <cellStyle name="Normal 32 20" xfId="10927" xr:uid="{00000000-0005-0000-0000-0000320C0000}"/>
    <cellStyle name="Normal 32 3" xfId="1985" xr:uid="{00000000-0005-0000-0000-0000330C0000}"/>
    <cellStyle name="Normal 32 3 2" xfId="1986" xr:uid="{00000000-0005-0000-0000-0000340C0000}"/>
    <cellStyle name="Normal 32 3 2 2" xfId="12275" xr:uid="{00000000-0005-0000-0000-0000350C0000}"/>
    <cellStyle name="Normal 32 3 3" xfId="1987" xr:uid="{00000000-0005-0000-0000-0000360C0000}"/>
    <cellStyle name="Normal 32 3 4" xfId="12274" xr:uid="{00000000-0005-0000-0000-0000370C0000}"/>
    <cellStyle name="Normal 32 4" xfId="1988" xr:uid="{00000000-0005-0000-0000-0000380C0000}"/>
    <cellStyle name="Normal 32 4 2" xfId="10928" xr:uid="{00000000-0005-0000-0000-0000390C0000}"/>
    <cellStyle name="Normal 32 5" xfId="1989" xr:uid="{00000000-0005-0000-0000-00003A0C0000}"/>
    <cellStyle name="Normal 32 5 2" xfId="10929" xr:uid="{00000000-0005-0000-0000-00003B0C0000}"/>
    <cellStyle name="Normal 32 6" xfId="10930" xr:uid="{00000000-0005-0000-0000-00003C0C0000}"/>
    <cellStyle name="Normal 32 6 2" xfId="10931" xr:uid="{00000000-0005-0000-0000-00003D0C0000}"/>
    <cellStyle name="Normal 32 7" xfId="10932" xr:uid="{00000000-0005-0000-0000-00003E0C0000}"/>
    <cellStyle name="Normal 32 8" xfId="10933" xr:uid="{00000000-0005-0000-0000-00003F0C0000}"/>
    <cellStyle name="Normal 32 9" xfId="10934" xr:uid="{00000000-0005-0000-0000-0000400C0000}"/>
    <cellStyle name="Normal 320" xfId="1990" xr:uid="{00000000-0005-0000-0000-0000410C0000}"/>
    <cellStyle name="Normal 321" xfId="1991" xr:uid="{00000000-0005-0000-0000-0000420C0000}"/>
    <cellStyle name="Normal 322" xfId="1992" xr:uid="{00000000-0005-0000-0000-0000430C0000}"/>
    <cellStyle name="Normal 323" xfId="1993" xr:uid="{00000000-0005-0000-0000-0000440C0000}"/>
    <cellStyle name="Normal 324" xfId="1994" xr:uid="{00000000-0005-0000-0000-0000450C0000}"/>
    <cellStyle name="Normal 325" xfId="1995" xr:uid="{00000000-0005-0000-0000-0000460C0000}"/>
    <cellStyle name="Normal 326" xfId="1996" xr:uid="{00000000-0005-0000-0000-0000470C0000}"/>
    <cellStyle name="Normal 327" xfId="1997" xr:uid="{00000000-0005-0000-0000-0000480C0000}"/>
    <cellStyle name="Normal 328" xfId="1998" xr:uid="{00000000-0005-0000-0000-0000490C0000}"/>
    <cellStyle name="Normal 329" xfId="1999" xr:uid="{00000000-0005-0000-0000-00004A0C0000}"/>
    <cellStyle name="Normal 33" xfId="2000" xr:uid="{00000000-0005-0000-0000-00004B0C0000}"/>
    <cellStyle name="Normal 33 10" xfId="10935" xr:uid="{00000000-0005-0000-0000-00004C0C0000}"/>
    <cellStyle name="Normal 33 11" xfId="10936" xr:uid="{00000000-0005-0000-0000-00004D0C0000}"/>
    <cellStyle name="Normal 33 12" xfId="10937" xr:uid="{00000000-0005-0000-0000-00004E0C0000}"/>
    <cellStyle name="Normal 33 13" xfId="10938" xr:uid="{00000000-0005-0000-0000-00004F0C0000}"/>
    <cellStyle name="Normal 33 14" xfId="10939" xr:uid="{00000000-0005-0000-0000-0000500C0000}"/>
    <cellStyle name="Normal 33 15" xfId="10940" xr:uid="{00000000-0005-0000-0000-0000510C0000}"/>
    <cellStyle name="Normal 33 16" xfId="10941" xr:uid="{00000000-0005-0000-0000-0000520C0000}"/>
    <cellStyle name="Normal 33 17" xfId="10942" xr:uid="{00000000-0005-0000-0000-0000530C0000}"/>
    <cellStyle name="Normal 33 18" xfId="10943" xr:uid="{00000000-0005-0000-0000-0000540C0000}"/>
    <cellStyle name="Normal 33 19" xfId="10944" xr:uid="{00000000-0005-0000-0000-0000550C0000}"/>
    <cellStyle name="Normal 33 2" xfId="2001" xr:uid="{00000000-0005-0000-0000-0000560C0000}"/>
    <cellStyle name="Normal 33 2 2" xfId="2002" xr:uid="{00000000-0005-0000-0000-0000570C0000}"/>
    <cellStyle name="Normal 33 2 2 2" xfId="12277" xr:uid="{00000000-0005-0000-0000-0000580C0000}"/>
    <cellStyle name="Normal 33 2 3" xfId="2003" xr:uid="{00000000-0005-0000-0000-0000590C0000}"/>
    <cellStyle name="Normal 33 2 4" xfId="12276" xr:uid="{00000000-0005-0000-0000-00005A0C0000}"/>
    <cellStyle name="Normal 33 20" xfId="10945" xr:uid="{00000000-0005-0000-0000-00005B0C0000}"/>
    <cellStyle name="Normal 33 3" xfId="2004" xr:uid="{00000000-0005-0000-0000-00005C0C0000}"/>
    <cellStyle name="Normal 33 3 2" xfId="2005" xr:uid="{00000000-0005-0000-0000-00005D0C0000}"/>
    <cellStyle name="Normal 33 3 2 2" xfId="12279" xr:uid="{00000000-0005-0000-0000-00005E0C0000}"/>
    <cellStyle name="Normal 33 3 3" xfId="2006" xr:uid="{00000000-0005-0000-0000-00005F0C0000}"/>
    <cellStyle name="Normal 33 3 4" xfId="12278" xr:uid="{00000000-0005-0000-0000-0000600C0000}"/>
    <cellStyle name="Normal 33 4" xfId="2007" xr:uid="{00000000-0005-0000-0000-0000610C0000}"/>
    <cellStyle name="Normal 33 4 2" xfId="10946" xr:uid="{00000000-0005-0000-0000-0000620C0000}"/>
    <cellStyle name="Normal 33 5" xfId="2008" xr:uid="{00000000-0005-0000-0000-0000630C0000}"/>
    <cellStyle name="Normal 33 5 2" xfId="10947" xr:uid="{00000000-0005-0000-0000-0000640C0000}"/>
    <cellStyle name="Normal 33 6" xfId="10948" xr:uid="{00000000-0005-0000-0000-0000650C0000}"/>
    <cellStyle name="Normal 33 6 2" xfId="10949" xr:uid="{00000000-0005-0000-0000-0000660C0000}"/>
    <cellStyle name="Normal 33 7" xfId="10950" xr:uid="{00000000-0005-0000-0000-0000670C0000}"/>
    <cellStyle name="Normal 33 8" xfId="10951" xr:uid="{00000000-0005-0000-0000-0000680C0000}"/>
    <cellStyle name="Normal 33 9" xfId="10952" xr:uid="{00000000-0005-0000-0000-0000690C0000}"/>
    <cellStyle name="Normal 330" xfId="2009" xr:uid="{00000000-0005-0000-0000-00006A0C0000}"/>
    <cellStyle name="Normal 331" xfId="2010" xr:uid="{00000000-0005-0000-0000-00006B0C0000}"/>
    <cellStyle name="Normal 332" xfId="2011" xr:uid="{00000000-0005-0000-0000-00006C0C0000}"/>
    <cellStyle name="Normal 333" xfId="2012" xr:uid="{00000000-0005-0000-0000-00006D0C0000}"/>
    <cellStyle name="Normal 334" xfId="2013" xr:uid="{00000000-0005-0000-0000-00006E0C0000}"/>
    <cellStyle name="Normal 335" xfId="2014" xr:uid="{00000000-0005-0000-0000-00006F0C0000}"/>
    <cellStyle name="Normal 336" xfId="2015" xr:uid="{00000000-0005-0000-0000-0000700C0000}"/>
    <cellStyle name="Normal 337" xfId="2016" xr:uid="{00000000-0005-0000-0000-0000710C0000}"/>
    <cellStyle name="Normal 338" xfId="2017" xr:uid="{00000000-0005-0000-0000-0000720C0000}"/>
    <cellStyle name="Normal 339" xfId="2018" xr:uid="{00000000-0005-0000-0000-0000730C0000}"/>
    <cellStyle name="Normal 34" xfId="2019" xr:uid="{00000000-0005-0000-0000-0000740C0000}"/>
    <cellStyle name="Normal 34 10" xfId="10953" xr:uid="{00000000-0005-0000-0000-0000750C0000}"/>
    <cellStyle name="Normal 34 11" xfId="10954" xr:uid="{00000000-0005-0000-0000-0000760C0000}"/>
    <cellStyle name="Normal 34 12" xfId="10955" xr:uid="{00000000-0005-0000-0000-0000770C0000}"/>
    <cellStyle name="Normal 34 13" xfId="10956" xr:uid="{00000000-0005-0000-0000-0000780C0000}"/>
    <cellStyle name="Normal 34 14" xfId="10957" xr:uid="{00000000-0005-0000-0000-0000790C0000}"/>
    <cellStyle name="Normal 34 15" xfId="10958" xr:uid="{00000000-0005-0000-0000-00007A0C0000}"/>
    <cellStyle name="Normal 34 16" xfId="10959" xr:uid="{00000000-0005-0000-0000-00007B0C0000}"/>
    <cellStyle name="Normal 34 17" xfId="10960" xr:uid="{00000000-0005-0000-0000-00007C0C0000}"/>
    <cellStyle name="Normal 34 18" xfId="10961" xr:uid="{00000000-0005-0000-0000-00007D0C0000}"/>
    <cellStyle name="Normal 34 19" xfId="10962" xr:uid="{00000000-0005-0000-0000-00007E0C0000}"/>
    <cellStyle name="Normal 34 2" xfId="2020" xr:uid="{00000000-0005-0000-0000-00007F0C0000}"/>
    <cellStyle name="Normal 34 2 2" xfId="2021" xr:uid="{00000000-0005-0000-0000-0000800C0000}"/>
    <cellStyle name="Normal 34 2 2 2" xfId="12281" xr:uid="{00000000-0005-0000-0000-0000810C0000}"/>
    <cellStyle name="Normal 34 2 3" xfId="2022" xr:uid="{00000000-0005-0000-0000-0000820C0000}"/>
    <cellStyle name="Normal 34 2 4" xfId="12280" xr:uid="{00000000-0005-0000-0000-0000830C0000}"/>
    <cellStyle name="Normal 34 20" xfId="10963" xr:uid="{00000000-0005-0000-0000-0000840C0000}"/>
    <cellStyle name="Normal 34 3" xfId="2023" xr:uid="{00000000-0005-0000-0000-0000850C0000}"/>
    <cellStyle name="Normal 34 3 2" xfId="2024" xr:uid="{00000000-0005-0000-0000-0000860C0000}"/>
    <cellStyle name="Normal 34 3 2 2" xfId="12283" xr:uid="{00000000-0005-0000-0000-0000870C0000}"/>
    <cellStyle name="Normal 34 3 3" xfId="2025" xr:uid="{00000000-0005-0000-0000-0000880C0000}"/>
    <cellStyle name="Normal 34 3 4" xfId="12282" xr:uid="{00000000-0005-0000-0000-0000890C0000}"/>
    <cellStyle name="Normal 34 4" xfId="2026" xr:uid="{00000000-0005-0000-0000-00008A0C0000}"/>
    <cellStyle name="Normal 34 4 2" xfId="10964" xr:uid="{00000000-0005-0000-0000-00008B0C0000}"/>
    <cellStyle name="Normal 34 5" xfId="2027" xr:uid="{00000000-0005-0000-0000-00008C0C0000}"/>
    <cellStyle name="Normal 34 5 2" xfId="10965" xr:uid="{00000000-0005-0000-0000-00008D0C0000}"/>
    <cellStyle name="Normal 34 6" xfId="10966" xr:uid="{00000000-0005-0000-0000-00008E0C0000}"/>
    <cellStyle name="Normal 34 6 2" xfId="10967" xr:uid="{00000000-0005-0000-0000-00008F0C0000}"/>
    <cellStyle name="Normal 34 7" xfId="10968" xr:uid="{00000000-0005-0000-0000-0000900C0000}"/>
    <cellStyle name="Normal 34 8" xfId="10969" xr:uid="{00000000-0005-0000-0000-0000910C0000}"/>
    <cellStyle name="Normal 34 9" xfId="10970" xr:uid="{00000000-0005-0000-0000-0000920C0000}"/>
    <cellStyle name="Normal 340" xfId="2028" xr:uid="{00000000-0005-0000-0000-0000930C0000}"/>
    <cellStyle name="Normal 341" xfId="2029" xr:uid="{00000000-0005-0000-0000-0000940C0000}"/>
    <cellStyle name="Normal 342" xfId="2030" xr:uid="{00000000-0005-0000-0000-0000950C0000}"/>
    <cellStyle name="Normal 343" xfId="2031" xr:uid="{00000000-0005-0000-0000-0000960C0000}"/>
    <cellStyle name="Normal 344" xfId="2032" xr:uid="{00000000-0005-0000-0000-0000970C0000}"/>
    <cellStyle name="Normal 345" xfId="2033" xr:uid="{00000000-0005-0000-0000-0000980C0000}"/>
    <cellStyle name="Normal 346" xfId="2034" xr:uid="{00000000-0005-0000-0000-0000990C0000}"/>
    <cellStyle name="Normal 347" xfId="2035" xr:uid="{00000000-0005-0000-0000-00009A0C0000}"/>
    <cellStyle name="Normal 348" xfId="2036" xr:uid="{00000000-0005-0000-0000-00009B0C0000}"/>
    <cellStyle name="Normal 349" xfId="2037" xr:uid="{00000000-0005-0000-0000-00009C0C0000}"/>
    <cellStyle name="Normal 35" xfId="2038" xr:uid="{00000000-0005-0000-0000-00009D0C0000}"/>
    <cellStyle name="Normal 35 10" xfId="10971" xr:uid="{00000000-0005-0000-0000-00009E0C0000}"/>
    <cellStyle name="Normal 35 11" xfId="10972" xr:uid="{00000000-0005-0000-0000-00009F0C0000}"/>
    <cellStyle name="Normal 35 12" xfId="10973" xr:uid="{00000000-0005-0000-0000-0000A00C0000}"/>
    <cellStyle name="Normal 35 13" xfId="10974" xr:uid="{00000000-0005-0000-0000-0000A10C0000}"/>
    <cellStyle name="Normal 35 14" xfId="10975" xr:uid="{00000000-0005-0000-0000-0000A20C0000}"/>
    <cellStyle name="Normal 35 15" xfId="10976" xr:uid="{00000000-0005-0000-0000-0000A30C0000}"/>
    <cellStyle name="Normal 35 16" xfId="10977" xr:uid="{00000000-0005-0000-0000-0000A40C0000}"/>
    <cellStyle name="Normal 35 17" xfId="10978" xr:uid="{00000000-0005-0000-0000-0000A50C0000}"/>
    <cellStyle name="Normal 35 18" xfId="10979" xr:uid="{00000000-0005-0000-0000-0000A60C0000}"/>
    <cellStyle name="Normal 35 19" xfId="10980" xr:uid="{00000000-0005-0000-0000-0000A70C0000}"/>
    <cellStyle name="Normal 35 2" xfId="2039" xr:uid="{00000000-0005-0000-0000-0000A80C0000}"/>
    <cellStyle name="Normal 35 2 2" xfId="2040" xr:uid="{00000000-0005-0000-0000-0000A90C0000}"/>
    <cellStyle name="Normal 35 2 2 2" xfId="12285" xr:uid="{00000000-0005-0000-0000-0000AA0C0000}"/>
    <cellStyle name="Normal 35 2 3" xfId="2041" xr:uid="{00000000-0005-0000-0000-0000AB0C0000}"/>
    <cellStyle name="Normal 35 2 4" xfId="12284" xr:uid="{00000000-0005-0000-0000-0000AC0C0000}"/>
    <cellStyle name="Normal 35 20" xfId="10981" xr:uid="{00000000-0005-0000-0000-0000AD0C0000}"/>
    <cellStyle name="Normal 35 3" xfId="2042" xr:uid="{00000000-0005-0000-0000-0000AE0C0000}"/>
    <cellStyle name="Normal 35 3 2" xfId="2043" xr:uid="{00000000-0005-0000-0000-0000AF0C0000}"/>
    <cellStyle name="Normal 35 3 2 2" xfId="12287" xr:uid="{00000000-0005-0000-0000-0000B00C0000}"/>
    <cellStyle name="Normal 35 3 3" xfId="2044" xr:uid="{00000000-0005-0000-0000-0000B10C0000}"/>
    <cellStyle name="Normal 35 3 4" xfId="12286" xr:uid="{00000000-0005-0000-0000-0000B20C0000}"/>
    <cellStyle name="Normal 35 4" xfId="2045" xr:uid="{00000000-0005-0000-0000-0000B30C0000}"/>
    <cellStyle name="Normal 35 4 2" xfId="10982" xr:uid="{00000000-0005-0000-0000-0000B40C0000}"/>
    <cellStyle name="Normal 35 5" xfId="2046" xr:uid="{00000000-0005-0000-0000-0000B50C0000}"/>
    <cellStyle name="Normal 35 5 2" xfId="10983" xr:uid="{00000000-0005-0000-0000-0000B60C0000}"/>
    <cellStyle name="Normal 35 6" xfId="10984" xr:uid="{00000000-0005-0000-0000-0000B70C0000}"/>
    <cellStyle name="Normal 35 6 2" xfId="10985" xr:uid="{00000000-0005-0000-0000-0000B80C0000}"/>
    <cellStyle name="Normal 35 7" xfId="10986" xr:uid="{00000000-0005-0000-0000-0000B90C0000}"/>
    <cellStyle name="Normal 35 8" xfId="10987" xr:uid="{00000000-0005-0000-0000-0000BA0C0000}"/>
    <cellStyle name="Normal 35 9" xfId="10988" xr:uid="{00000000-0005-0000-0000-0000BB0C0000}"/>
    <cellStyle name="Normal 350" xfId="2047" xr:uid="{00000000-0005-0000-0000-0000BC0C0000}"/>
    <cellStyle name="Normal 351" xfId="2048" xr:uid="{00000000-0005-0000-0000-0000BD0C0000}"/>
    <cellStyle name="Normal 352" xfId="2049" xr:uid="{00000000-0005-0000-0000-0000BE0C0000}"/>
    <cellStyle name="Normal 353" xfId="2050" xr:uid="{00000000-0005-0000-0000-0000BF0C0000}"/>
    <cellStyle name="Normal 354" xfId="2051" xr:uid="{00000000-0005-0000-0000-0000C00C0000}"/>
    <cellStyle name="Normal 355" xfId="2052" xr:uid="{00000000-0005-0000-0000-0000C10C0000}"/>
    <cellStyle name="Normal 356" xfId="2053" xr:uid="{00000000-0005-0000-0000-0000C20C0000}"/>
    <cellStyle name="Normal 357" xfId="2054" xr:uid="{00000000-0005-0000-0000-0000C30C0000}"/>
    <cellStyle name="Normal 358" xfId="2055" xr:uid="{00000000-0005-0000-0000-0000C40C0000}"/>
    <cellStyle name="Normal 359" xfId="2056" xr:uid="{00000000-0005-0000-0000-0000C50C0000}"/>
    <cellStyle name="Normal 36" xfId="2057" xr:uid="{00000000-0005-0000-0000-0000C60C0000}"/>
    <cellStyle name="Normal 36 10" xfId="10989" xr:uid="{00000000-0005-0000-0000-0000C70C0000}"/>
    <cellStyle name="Normal 36 11" xfId="10990" xr:uid="{00000000-0005-0000-0000-0000C80C0000}"/>
    <cellStyle name="Normal 36 12" xfId="10991" xr:uid="{00000000-0005-0000-0000-0000C90C0000}"/>
    <cellStyle name="Normal 36 13" xfId="10992" xr:uid="{00000000-0005-0000-0000-0000CA0C0000}"/>
    <cellStyle name="Normal 36 14" xfId="10993" xr:uid="{00000000-0005-0000-0000-0000CB0C0000}"/>
    <cellStyle name="Normal 36 15" xfId="10994" xr:uid="{00000000-0005-0000-0000-0000CC0C0000}"/>
    <cellStyle name="Normal 36 16" xfId="10995" xr:uid="{00000000-0005-0000-0000-0000CD0C0000}"/>
    <cellStyle name="Normal 36 17" xfId="10996" xr:uid="{00000000-0005-0000-0000-0000CE0C0000}"/>
    <cellStyle name="Normal 36 18" xfId="10997" xr:uid="{00000000-0005-0000-0000-0000CF0C0000}"/>
    <cellStyle name="Normal 36 19" xfId="10998" xr:uid="{00000000-0005-0000-0000-0000D00C0000}"/>
    <cellStyle name="Normal 36 2" xfId="2058" xr:uid="{00000000-0005-0000-0000-0000D10C0000}"/>
    <cellStyle name="Normal 36 2 2" xfId="2059" xr:uid="{00000000-0005-0000-0000-0000D20C0000}"/>
    <cellStyle name="Normal 36 2 2 2" xfId="12289" xr:uid="{00000000-0005-0000-0000-0000D30C0000}"/>
    <cellStyle name="Normal 36 2 3" xfId="2060" xr:uid="{00000000-0005-0000-0000-0000D40C0000}"/>
    <cellStyle name="Normal 36 2 4" xfId="12288" xr:uid="{00000000-0005-0000-0000-0000D50C0000}"/>
    <cellStyle name="Normal 36 20" xfId="10999" xr:uid="{00000000-0005-0000-0000-0000D60C0000}"/>
    <cellStyle name="Normal 36 3" xfId="2061" xr:uid="{00000000-0005-0000-0000-0000D70C0000}"/>
    <cellStyle name="Normal 36 3 2" xfId="2062" xr:uid="{00000000-0005-0000-0000-0000D80C0000}"/>
    <cellStyle name="Normal 36 3 2 2" xfId="12291" xr:uid="{00000000-0005-0000-0000-0000D90C0000}"/>
    <cellStyle name="Normal 36 3 3" xfId="2063" xr:uid="{00000000-0005-0000-0000-0000DA0C0000}"/>
    <cellStyle name="Normal 36 3 4" xfId="12290" xr:uid="{00000000-0005-0000-0000-0000DB0C0000}"/>
    <cellStyle name="Normal 36 4" xfId="2064" xr:uid="{00000000-0005-0000-0000-0000DC0C0000}"/>
    <cellStyle name="Normal 36 4 2" xfId="11000" xr:uid="{00000000-0005-0000-0000-0000DD0C0000}"/>
    <cellStyle name="Normal 36 5" xfId="2065" xr:uid="{00000000-0005-0000-0000-0000DE0C0000}"/>
    <cellStyle name="Normal 36 5 2" xfId="11001" xr:uid="{00000000-0005-0000-0000-0000DF0C0000}"/>
    <cellStyle name="Normal 36 6" xfId="11002" xr:uid="{00000000-0005-0000-0000-0000E00C0000}"/>
    <cellStyle name="Normal 36 6 2" xfId="11003" xr:uid="{00000000-0005-0000-0000-0000E10C0000}"/>
    <cellStyle name="Normal 36 7" xfId="11004" xr:uid="{00000000-0005-0000-0000-0000E20C0000}"/>
    <cellStyle name="Normal 36 8" xfId="11005" xr:uid="{00000000-0005-0000-0000-0000E30C0000}"/>
    <cellStyle name="Normal 36 9" xfId="11006" xr:uid="{00000000-0005-0000-0000-0000E40C0000}"/>
    <cellStyle name="Normal 360" xfId="2066" xr:uid="{00000000-0005-0000-0000-0000E50C0000}"/>
    <cellStyle name="Normal 361" xfId="2067" xr:uid="{00000000-0005-0000-0000-0000E60C0000}"/>
    <cellStyle name="Normal 362" xfId="2068" xr:uid="{00000000-0005-0000-0000-0000E70C0000}"/>
    <cellStyle name="Normal 363" xfId="2069" xr:uid="{00000000-0005-0000-0000-0000E80C0000}"/>
    <cellStyle name="Normal 364" xfId="2070" xr:uid="{00000000-0005-0000-0000-0000E90C0000}"/>
    <cellStyle name="Normal 365" xfId="2071" xr:uid="{00000000-0005-0000-0000-0000EA0C0000}"/>
    <cellStyle name="Normal 366" xfId="2072" xr:uid="{00000000-0005-0000-0000-0000EB0C0000}"/>
    <cellStyle name="Normal 367" xfId="2073" xr:uid="{00000000-0005-0000-0000-0000EC0C0000}"/>
    <cellStyle name="Normal 368" xfId="2074" xr:uid="{00000000-0005-0000-0000-0000ED0C0000}"/>
    <cellStyle name="Normal 369" xfId="2075" xr:uid="{00000000-0005-0000-0000-0000EE0C0000}"/>
    <cellStyle name="Normal 37" xfId="2076" xr:uid="{00000000-0005-0000-0000-0000EF0C0000}"/>
    <cellStyle name="Normal 37 10" xfId="11007" xr:uid="{00000000-0005-0000-0000-0000F00C0000}"/>
    <cellStyle name="Normal 37 11" xfId="11008" xr:uid="{00000000-0005-0000-0000-0000F10C0000}"/>
    <cellStyle name="Normal 37 12" xfId="11009" xr:uid="{00000000-0005-0000-0000-0000F20C0000}"/>
    <cellStyle name="Normal 37 13" xfId="11010" xr:uid="{00000000-0005-0000-0000-0000F30C0000}"/>
    <cellStyle name="Normal 37 14" xfId="11011" xr:uid="{00000000-0005-0000-0000-0000F40C0000}"/>
    <cellStyle name="Normal 37 15" xfId="11012" xr:uid="{00000000-0005-0000-0000-0000F50C0000}"/>
    <cellStyle name="Normal 37 16" xfId="11013" xr:uid="{00000000-0005-0000-0000-0000F60C0000}"/>
    <cellStyle name="Normal 37 17" xfId="11014" xr:uid="{00000000-0005-0000-0000-0000F70C0000}"/>
    <cellStyle name="Normal 37 18" xfId="11015" xr:uid="{00000000-0005-0000-0000-0000F80C0000}"/>
    <cellStyle name="Normal 37 19" xfId="11016" xr:uid="{00000000-0005-0000-0000-0000F90C0000}"/>
    <cellStyle name="Normal 37 2" xfId="2077" xr:uid="{00000000-0005-0000-0000-0000FA0C0000}"/>
    <cellStyle name="Normal 37 2 2" xfId="2078" xr:uid="{00000000-0005-0000-0000-0000FB0C0000}"/>
    <cellStyle name="Normal 37 2 2 2" xfId="12293" xr:uid="{00000000-0005-0000-0000-0000FC0C0000}"/>
    <cellStyle name="Normal 37 2 3" xfId="2079" xr:uid="{00000000-0005-0000-0000-0000FD0C0000}"/>
    <cellStyle name="Normal 37 2 4" xfId="12292" xr:uid="{00000000-0005-0000-0000-0000FE0C0000}"/>
    <cellStyle name="Normal 37 20" xfId="11017" xr:uid="{00000000-0005-0000-0000-0000FF0C0000}"/>
    <cellStyle name="Normal 37 3" xfId="2080" xr:uid="{00000000-0005-0000-0000-0000000D0000}"/>
    <cellStyle name="Normal 37 3 2" xfId="2081" xr:uid="{00000000-0005-0000-0000-0000010D0000}"/>
    <cellStyle name="Normal 37 3 2 2" xfId="12295" xr:uid="{00000000-0005-0000-0000-0000020D0000}"/>
    <cellStyle name="Normal 37 3 3" xfId="2082" xr:uid="{00000000-0005-0000-0000-0000030D0000}"/>
    <cellStyle name="Normal 37 3 4" xfId="12294" xr:uid="{00000000-0005-0000-0000-0000040D0000}"/>
    <cellStyle name="Normal 37 4" xfId="2083" xr:uid="{00000000-0005-0000-0000-0000050D0000}"/>
    <cellStyle name="Normal 37 4 2" xfId="11018" xr:uid="{00000000-0005-0000-0000-0000060D0000}"/>
    <cellStyle name="Normal 37 5" xfId="2084" xr:uid="{00000000-0005-0000-0000-0000070D0000}"/>
    <cellStyle name="Normal 37 5 2" xfId="11019" xr:uid="{00000000-0005-0000-0000-0000080D0000}"/>
    <cellStyle name="Normal 37 6" xfId="11020" xr:uid="{00000000-0005-0000-0000-0000090D0000}"/>
    <cellStyle name="Normal 37 6 2" xfId="11021" xr:uid="{00000000-0005-0000-0000-00000A0D0000}"/>
    <cellStyle name="Normal 37 7" xfId="11022" xr:uid="{00000000-0005-0000-0000-00000B0D0000}"/>
    <cellStyle name="Normal 37 8" xfId="11023" xr:uid="{00000000-0005-0000-0000-00000C0D0000}"/>
    <cellStyle name="Normal 37 9" xfId="11024" xr:uid="{00000000-0005-0000-0000-00000D0D0000}"/>
    <cellStyle name="Normal 370" xfId="2085" xr:uid="{00000000-0005-0000-0000-00000E0D0000}"/>
    <cellStyle name="Normal 371" xfId="2086" xr:uid="{00000000-0005-0000-0000-00000F0D0000}"/>
    <cellStyle name="Normal 372" xfId="2087" xr:uid="{00000000-0005-0000-0000-0000100D0000}"/>
    <cellStyle name="Normal 373" xfId="2088" xr:uid="{00000000-0005-0000-0000-0000110D0000}"/>
    <cellStyle name="Normal 374" xfId="2089" xr:uid="{00000000-0005-0000-0000-0000120D0000}"/>
    <cellStyle name="Normal 375" xfId="2090" xr:uid="{00000000-0005-0000-0000-0000130D0000}"/>
    <cellStyle name="Normal 376" xfId="2091" xr:uid="{00000000-0005-0000-0000-0000140D0000}"/>
    <cellStyle name="Normal 377" xfId="2092" xr:uid="{00000000-0005-0000-0000-0000150D0000}"/>
    <cellStyle name="Normal 378" xfId="2093" xr:uid="{00000000-0005-0000-0000-0000160D0000}"/>
    <cellStyle name="Normal 379" xfId="2094" xr:uid="{00000000-0005-0000-0000-0000170D0000}"/>
    <cellStyle name="Normal 38" xfId="2095" xr:uid="{00000000-0005-0000-0000-0000180D0000}"/>
    <cellStyle name="Normal 38 10" xfId="11025" xr:uid="{00000000-0005-0000-0000-0000190D0000}"/>
    <cellStyle name="Normal 38 11" xfId="11026" xr:uid="{00000000-0005-0000-0000-00001A0D0000}"/>
    <cellStyle name="Normal 38 12" xfId="11027" xr:uid="{00000000-0005-0000-0000-00001B0D0000}"/>
    <cellStyle name="Normal 38 13" xfId="11028" xr:uid="{00000000-0005-0000-0000-00001C0D0000}"/>
    <cellStyle name="Normal 38 14" xfId="11029" xr:uid="{00000000-0005-0000-0000-00001D0D0000}"/>
    <cellStyle name="Normal 38 15" xfId="11030" xr:uid="{00000000-0005-0000-0000-00001E0D0000}"/>
    <cellStyle name="Normal 38 16" xfId="11031" xr:uid="{00000000-0005-0000-0000-00001F0D0000}"/>
    <cellStyle name="Normal 38 17" xfId="11032" xr:uid="{00000000-0005-0000-0000-0000200D0000}"/>
    <cellStyle name="Normal 38 18" xfId="11033" xr:uid="{00000000-0005-0000-0000-0000210D0000}"/>
    <cellStyle name="Normal 38 19" xfId="11034" xr:uid="{00000000-0005-0000-0000-0000220D0000}"/>
    <cellStyle name="Normal 38 2" xfId="2096" xr:uid="{00000000-0005-0000-0000-0000230D0000}"/>
    <cellStyle name="Normal 38 2 2" xfId="2097" xr:uid="{00000000-0005-0000-0000-0000240D0000}"/>
    <cellStyle name="Normal 38 2 2 2" xfId="12297" xr:uid="{00000000-0005-0000-0000-0000250D0000}"/>
    <cellStyle name="Normal 38 2 3" xfId="2098" xr:uid="{00000000-0005-0000-0000-0000260D0000}"/>
    <cellStyle name="Normal 38 2 4" xfId="12296" xr:uid="{00000000-0005-0000-0000-0000270D0000}"/>
    <cellStyle name="Normal 38 20" xfId="11035" xr:uid="{00000000-0005-0000-0000-0000280D0000}"/>
    <cellStyle name="Normal 38 3" xfId="2099" xr:uid="{00000000-0005-0000-0000-0000290D0000}"/>
    <cellStyle name="Normal 38 3 2" xfId="2100" xr:uid="{00000000-0005-0000-0000-00002A0D0000}"/>
    <cellStyle name="Normal 38 3 2 2" xfId="12299" xr:uid="{00000000-0005-0000-0000-00002B0D0000}"/>
    <cellStyle name="Normal 38 3 3" xfId="2101" xr:uid="{00000000-0005-0000-0000-00002C0D0000}"/>
    <cellStyle name="Normal 38 3 4" xfId="12298" xr:uid="{00000000-0005-0000-0000-00002D0D0000}"/>
    <cellStyle name="Normal 38 4" xfId="2102" xr:uid="{00000000-0005-0000-0000-00002E0D0000}"/>
    <cellStyle name="Normal 38 4 2" xfId="11036" xr:uid="{00000000-0005-0000-0000-00002F0D0000}"/>
    <cellStyle name="Normal 38 5" xfId="2103" xr:uid="{00000000-0005-0000-0000-0000300D0000}"/>
    <cellStyle name="Normal 38 5 2" xfId="11037" xr:uid="{00000000-0005-0000-0000-0000310D0000}"/>
    <cellStyle name="Normal 38 6" xfId="11038" xr:uid="{00000000-0005-0000-0000-0000320D0000}"/>
    <cellStyle name="Normal 38 6 2" xfId="11039" xr:uid="{00000000-0005-0000-0000-0000330D0000}"/>
    <cellStyle name="Normal 38 7" xfId="11040" xr:uid="{00000000-0005-0000-0000-0000340D0000}"/>
    <cellStyle name="Normal 38 8" xfId="11041" xr:uid="{00000000-0005-0000-0000-0000350D0000}"/>
    <cellStyle name="Normal 38 9" xfId="11042" xr:uid="{00000000-0005-0000-0000-0000360D0000}"/>
    <cellStyle name="Normal 380" xfId="2104" xr:uid="{00000000-0005-0000-0000-0000370D0000}"/>
    <cellStyle name="Normal 381" xfId="2105" xr:uid="{00000000-0005-0000-0000-0000380D0000}"/>
    <cellStyle name="Normal 382" xfId="2106" xr:uid="{00000000-0005-0000-0000-0000390D0000}"/>
    <cellStyle name="Normal 383" xfId="2107" xr:uid="{00000000-0005-0000-0000-00003A0D0000}"/>
    <cellStyle name="Normal 384" xfId="2108" xr:uid="{00000000-0005-0000-0000-00003B0D0000}"/>
    <cellStyle name="Normal 385" xfId="2109" xr:uid="{00000000-0005-0000-0000-00003C0D0000}"/>
    <cellStyle name="Normal 386" xfId="2110" xr:uid="{00000000-0005-0000-0000-00003D0D0000}"/>
    <cellStyle name="Normal 387" xfId="2111" xr:uid="{00000000-0005-0000-0000-00003E0D0000}"/>
    <cellStyle name="Normal 388" xfId="2112" xr:uid="{00000000-0005-0000-0000-00003F0D0000}"/>
    <cellStyle name="Normal 389" xfId="2113" xr:uid="{00000000-0005-0000-0000-0000400D0000}"/>
    <cellStyle name="Normal 39" xfId="2114" xr:uid="{00000000-0005-0000-0000-0000410D0000}"/>
    <cellStyle name="Normal 39 10" xfId="11043" xr:uid="{00000000-0005-0000-0000-0000420D0000}"/>
    <cellStyle name="Normal 39 11" xfId="11044" xr:uid="{00000000-0005-0000-0000-0000430D0000}"/>
    <cellStyle name="Normal 39 12" xfId="11045" xr:uid="{00000000-0005-0000-0000-0000440D0000}"/>
    <cellStyle name="Normal 39 13" xfId="11046" xr:uid="{00000000-0005-0000-0000-0000450D0000}"/>
    <cellStyle name="Normal 39 14" xfId="11047" xr:uid="{00000000-0005-0000-0000-0000460D0000}"/>
    <cellStyle name="Normal 39 15" xfId="11048" xr:uid="{00000000-0005-0000-0000-0000470D0000}"/>
    <cellStyle name="Normal 39 16" xfId="11049" xr:uid="{00000000-0005-0000-0000-0000480D0000}"/>
    <cellStyle name="Normal 39 17" xfId="11050" xr:uid="{00000000-0005-0000-0000-0000490D0000}"/>
    <cellStyle name="Normal 39 18" xfId="11051" xr:uid="{00000000-0005-0000-0000-00004A0D0000}"/>
    <cellStyle name="Normal 39 19" xfId="11052" xr:uid="{00000000-0005-0000-0000-00004B0D0000}"/>
    <cellStyle name="Normal 39 2" xfId="2115" xr:uid="{00000000-0005-0000-0000-00004C0D0000}"/>
    <cellStyle name="Normal 39 2 2" xfId="2116" xr:uid="{00000000-0005-0000-0000-00004D0D0000}"/>
    <cellStyle name="Normal 39 2 2 2" xfId="12301" xr:uid="{00000000-0005-0000-0000-00004E0D0000}"/>
    <cellStyle name="Normal 39 2 3" xfId="2117" xr:uid="{00000000-0005-0000-0000-00004F0D0000}"/>
    <cellStyle name="Normal 39 2 4" xfId="12300" xr:uid="{00000000-0005-0000-0000-0000500D0000}"/>
    <cellStyle name="Normal 39 20" xfId="11053" xr:uid="{00000000-0005-0000-0000-0000510D0000}"/>
    <cellStyle name="Normal 39 3" xfId="2118" xr:uid="{00000000-0005-0000-0000-0000520D0000}"/>
    <cellStyle name="Normal 39 3 2" xfId="2119" xr:uid="{00000000-0005-0000-0000-0000530D0000}"/>
    <cellStyle name="Normal 39 3 2 2" xfId="12303" xr:uid="{00000000-0005-0000-0000-0000540D0000}"/>
    <cellStyle name="Normal 39 3 3" xfId="2120" xr:uid="{00000000-0005-0000-0000-0000550D0000}"/>
    <cellStyle name="Normal 39 3 4" xfId="12302" xr:uid="{00000000-0005-0000-0000-0000560D0000}"/>
    <cellStyle name="Normal 39 4" xfId="2121" xr:uid="{00000000-0005-0000-0000-0000570D0000}"/>
    <cellStyle name="Normal 39 4 2" xfId="11054" xr:uid="{00000000-0005-0000-0000-0000580D0000}"/>
    <cellStyle name="Normal 39 5" xfId="2122" xr:uid="{00000000-0005-0000-0000-0000590D0000}"/>
    <cellStyle name="Normal 39 5 2" xfId="11055" xr:uid="{00000000-0005-0000-0000-00005A0D0000}"/>
    <cellStyle name="Normal 39 6" xfId="11056" xr:uid="{00000000-0005-0000-0000-00005B0D0000}"/>
    <cellStyle name="Normal 39 6 2" xfId="11057" xr:uid="{00000000-0005-0000-0000-00005C0D0000}"/>
    <cellStyle name="Normal 39 7" xfId="11058" xr:uid="{00000000-0005-0000-0000-00005D0D0000}"/>
    <cellStyle name="Normal 39 8" xfId="11059" xr:uid="{00000000-0005-0000-0000-00005E0D0000}"/>
    <cellStyle name="Normal 39 9" xfId="11060" xr:uid="{00000000-0005-0000-0000-00005F0D0000}"/>
    <cellStyle name="Normal 390" xfId="2123" xr:uid="{00000000-0005-0000-0000-0000600D0000}"/>
    <cellStyle name="Normal 391" xfId="2124" xr:uid="{00000000-0005-0000-0000-0000610D0000}"/>
    <cellStyle name="Normal 392" xfId="2125" xr:uid="{00000000-0005-0000-0000-0000620D0000}"/>
    <cellStyle name="Normal 393" xfId="2126" xr:uid="{00000000-0005-0000-0000-0000630D0000}"/>
    <cellStyle name="Normal 394" xfId="2127" xr:uid="{00000000-0005-0000-0000-0000640D0000}"/>
    <cellStyle name="Normal 395" xfId="2128" xr:uid="{00000000-0005-0000-0000-0000650D0000}"/>
    <cellStyle name="Normal 396" xfId="2129" xr:uid="{00000000-0005-0000-0000-0000660D0000}"/>
    <cellStyle name="Normal 397" xfId="2130" xr:uid="{00000000-0005-0000-0000-0000670D0000}"/>
    <cellStyle name="Normal 398" xfId="2131" xr:uid="{00000000-0005-0000-0000-0000680D0000}"/>
    <cellStyle name="Normal 399" xfId="2132" xr:uid="{00000000-0005-0000-0000-0000690D0000}"/>
    <cellStyle name="Normal 4" xfId="174" xr:uid="{00000000-0005-0000-0000-00006A0D0000}"/>
    <cellStyle name="Normal 4 10" xfId="2133" xr:uid="{00000000-0005-0000-0000-00006B0D0000}"/>
    <cellStyle name="Normal 4 10 2" xfId="2134" xr:uid="{00000000-0005-0000-0000-00006C0D0000}"/>
    <cellStyle name="Normal 4 10 2 2" xfId="13489" xr:uid="{00000000-0005-0000-0000-00006D0D0000}"/>
    <cellStyle name="Normal 4 10 3" xfId="2135" xr:uid="{00000000-0005-0000-0000-00006E0D0000}"/>
    <cellStyle name="Normal 4 10 3 2" xfId="13490" xr:uid="{00000000-0005-0000-0000-00006F0D0000}"/>
    <cellStyle name="Normal 4 10 4" xfId="12666" xr:uid="{00000000-0005-0000-0000-0000700D0000}"/>
    <cellStyle name="Normal 4 11" xfId="2136" xr:uid="{00000000-0005-0000-0000-0000710D0000}"/>
    <cellStyle name="Normal 4 11 2" xfId="13491" xr:uid="{00000000-0005-0000-0000-0000720D0000}"/>
    <cellStyle name="Normal 4 12" xfId="2137" xr:uid="{00000000-0005-0000-0000-0000730D0000}"/>
    <cellStyle name="Normal 4 12 2" xfId="13492" xr:uid="{00000000-0005-0000-0000-0000740D0000}"/>
    <cellStyle name="Normal 4 13" xfId="12154" xr:uid="{00000000-0005-0000-0000-0000750D0000}"/>
    <cellStyle name="Normal 4 14" xfId="20895" xr:uid="{00000000-0005-0000-0000-0000760D0000}"/>
    <cellStyle name="Normal 4 2" xfId="175" xr:uid="{00000000-0005-0000-0000-0000770D0000}"/>
    <cellStyle name="Normal 4 2 2" xfId="176" xr:uid="{00000000-0005-0000-0000-0000780D0000}"/>
    <cellStyle name="Normal 4 2 2 2" xfId="177" xr:uid="{00000000-0005-0000-0000-0000790D0000}"/>
    <cellStyle name="Normal 4 2 2 2 2" xfId="2138" xr:uid="{00000000-0005-0000-0000-00007A0D0000}"/>
    <cellStyle name="Normal 4 2 2 2 2 2" xfId="2139" xr:uid="{00000000-0005-0000-0000-00007B0D0000}"/>
    <cellStyle name="Normal 4 2 2 2 2 2 2" xfId="13493" xr:uid="{00000000-0005-0000-0000-00007C0D0000}"/>
    <cellStyle name="Normal 4 2 2 2 2 3" xfId="2140" xr:uid="{00000000-0005-0000-0000-00007D0D0000}"/>
    <cellStyle name="Normal 4 2 2 2 2 3 2" xfId="13494" xr:uid="{00000000-0005-0000-0000-00007E0D0000}"/>
    <cellStyle name="Normal 4 2 2 2 2 4" xfId="12646" xr:uid="{00000000-0005-0000-0000-00007F0D0000}"/>
    <cellStyle name="Normal 4 2 2 2 3" xfId="2141" xr:uid="{00000000-0005-0000-0000-0000800D0000}"/>
    <cellStyle name="Normal 4 2 2 2 3 2" xfId="2142" xr:uid="{00000000-0005-0000-0000-0000810D0000}"/>
    <cellStyle name="Normal 4 2 2 2 3 2 2" xfId="13495" xr:uid="{00000000-0005-0000-0000-0000820D0000}"/>
    <cellStyle name="Normal 4 2 2 2 3 3" xfId="2143" xr:uid="{00000000-0005-0000-0000-0000830D0000}"/>
    <cellStyle name="Normal 4 2 2 2 3 3 2" xfId="13496" xr:uid="{00000000-0005-0000-0000-0000840D0000}"/>
    <cellStyle name="Normal 4 2 2 2 3 4" xfId="13497" xr:uid="{00000000-0005-0000-0000-0000850D0000}"/>
    <cellStyle name="Normal 4 2 2 2 4" xfId="2144" xr:uid="{00000000-0005-0000-0000-0000860D0000}"/>
    <cellStyle name="Normal 4 2 2 2 4 2" xfId="13498" xr:uid="{00000000-0005-0000-0000-0000870D0000}"/>
    <cellStyle name="Normal 4 2 2 2 5" xfId="2145" xr:uid="{00000000-0005-0000-0000-0000880D0000}"/>
    <cellStyle name="Normal 4 2 2 2 5 2" xfId="13499" xr:uid="{00000000-0005-0000-0000-0000890D0000}"/>
    <cellStyle name="Normal 4 2 2 2 6" xfId="12623" xr:uid="{00000000-0005-0000-0000-00008A0D0000}"/>
    <cellStyle name="Normal 4 2 2 3" xfId="178" xr:uid="{00000000-0005-0000-0000-00008B0D0000}"/>
    <cellStyle name="Normal 4 2 2 3 2" xfId="2146" xr:uid="{00000000-0005-0000-0000-00008C0D0000}"/>
    <cellStyle name="Normal 4 2 2 3 2 2" xfId="13500" xr:uid="{00000000-0005-0000-0000-00008D0D0000}"/>
    <cellStyle name="Normal 4 2 2 3 3" xfId="2147" xr:uid="{00000000-0005-0000-0000-00008E0D0000}"/>
    <cellStyle name="Normal 4 2 2 3 3 2" xfId="13501" xr:uid="{00000000-0005-0000-0000-00008F0D0000}"/>
    <cellStyle name="Normal 4 2 2 3 4" xfId="12647" xr:uid="{00000000-0005-0000-0000-0000900D0000}"/>
    <cellStyle name="Normal 4 2 2 4" xfId="179" xr:uid="{00000000-0005-0000-0000-0000910D0000}"/>
    <cellStyle name="Normal 4 2 2 4 2" xfId="2148" xr:uid="{00000000-0005-0000-0000-0000920D0000}"/>
    <cellStyle name="Normal 4 2 2 4 2 2" xfId="13502" xr:uid="{00000000-0005-0000-0000-0000930D0000}"/>
    <cellStyle name="Normal 4 2 2 4 3" xfId="2149" xr:uid="{00000000-0005-0000-0000-0000940D0000}"/>
    <cellStyle name="Normal 4 2 2 4 3 2" xfId="13503" xr:uid="{00000000-0005-0000-0000-0000950D0000}"/>
    <cellStyle name="Normal 4 2 2 4 4" xfId="13504" xr:uid="{00000000-0005-0000-0000-0000960D0000}"/>
    <cellStyle name="Normal 4 2 2 5" xfId="2150" xr:uid="{00000000-0005-0000-0000-0000970D0000}"/>
    <cellStyle name="Normal 4 2 2 5 2" xfId="13505" xr:uid="{00000000-0005-0000-0000-0000980D0000}"/>
    <cellStyle name="Normal 4 2 2 6" xfId="2151" xr:uid="{00000000-0005-0000-0000-0000990D0000}"/>
    <cellStyle name="Normal 4 2 2 6 2" xfId="13506" xr:uid="{00000000-0005-0000-0000-00009A0D0000}"/>
    <cellStyle name="Normal 4 2 2 7" xfId="12166" xr:uid="{00000000-0005-0000-0000-00009B0D0000}"/>
    <cellStyle name="Normal 4 2 3" xfId="180" xr:uid="{00000000-0005-0000-0000-00009C0D0000}"/>
    <cellStyle name="Normal 4 2 3 2" xfId="11061" xr:uid="{00000000-0005-0000-0000-00009D0D0000}"/>
    <cellStyle name="Normal 4 2 3 2 2" xfId="12648" xr:uid="{00000000-0005-0000-0000-00009E0D0000}"/>
    <cellStyle name="Normal 4 2 3 3" xfId="12304" xr:uid="{00000000-0005-0000-0000-00009F0D0000}"/>
    <cellStyle name="Normal 4 2 4" xfId="181" xr:uid="{00000000-0005-0000-0000-0000A00D0000}"/>
    <cellStyle name="Normal 4 2 4 2" xfId="2152" xr:uid="{00000000-0005-0000-0000-0000A10D0000}"/>
    <cellStyle name="Normal 4 2 4 2 2" xfId="2153" xr:uid="{00000000-0005-0000-0000-0000A20D0000}"/>
    <cellStyle name="Normal 4 2 4 2 2 2" xfId="13507" xr:uid="{00000000-0005-0000-0000-0000A30D0000}"/>
    <cellStyle name="Normal 4 2 4 2 3" xfId="2154" xr:uid="{00000000-0005-0000-0000-0000A40D0000}"/>
    <cellStyle name="Normal 4 2 4 2 3 2" xfId="13508" xr:uid="{00000000-0005-0000-0000-0000A50D0000}"/>
    <cellStyle name="Normal 4 2 4 2 4" xfId="13509" xr:uid="{00000000-0005-0000-0000-0000A60D0000}"/>
    <cellStyle name="Normal 4 2 4 3" xfId="2155" xr:uid="{00000000-0005-0000-0000-0000A70D0000}"/>
    <cellStyle name="Normal 4 2 4 3 2" xfId="2156" xr:uid="{00000000-0005-0000-0000-0000A80D0000}"/>
    <cellStyle name="Normal 4 2 4 3 2 2" xfId="13510" xr:uid="{00000000-0005-0000-0000-0000A90D0000}"/>
    <cellStyle name="Normal 4 2 4 3 3" xfId="2157" xr:uid="{00000000-0005-0000-0000-0000AA0D0000}"/>
    <cellStyle name="Normal 4 2 4 3 3 2" xfId="13511" xr:uid="{00000000-0005-0000-0000-0000AB0D0000}"/>
    <cellStyle name="Normal 4 2 4 3 4" xfId="13512" xr:uid="{00000000-0005-0000-0000-0000AC0D0000}"/>
    <cellStyle name="Normal 4 2 4 4" xfId="2158" xr:uid="{00000000-0005-0000-0000-0000AD0D0000}"/>
    <cellStyle name="Normal 4 2 4 4 2" xfId="13513" xr:uid="{00000000-0005-0000-0000-0000AE0D0000}"/>
    <cellStyle name="Normal 4 2 4 5" xfId="2159" xr:uid="{00000000-0005-0000-0000-0000AF0D0000}"/>
    <cellStyle name="Normal 4 2 4 5 2" xfId="13514" xr:uid="{00000000-0005-0000-0000-0000B00D0000}"/>
    <cellStyle name="Normal 4 2 4 6" xfId="12305" xr:uid="{00000000-0005-0000-0000-0000B10D0000}"/>
    <cellStyle name="Normal 4 2 5" xfId="182" xr:uid="{00000000-0005-0000-0000-0000B20D0000}"/>
    <cellStyle name="Normal 4 2 5 2" xfId="2160" xr:uid="{00000000-0005-0000-0000-0000B30D0000}"/>
    <cellStyle name="Normal 4 2 5 2 2" xfId="13515" xr:uid="{00000000-0005-0000-0000-0000B40D0000}"/>
    <cellStyle name="Normal 4 2 5 3" xfId="2161" xr:uid="{00000000-0005-0000-0000-0000B50D0000}"/>
    <cellStyle name="Normal 4 2 5 3 2" xfId="13516" xr:uid="{00000000-0005-0000-0000-0000B60D0000}"/>
    <cellStyle name="Normal 4 2 5 4" xfId="12306" xr:uid="{00000000-0005-0000-0000-0000B70D0000}"/>
    <cellStyle name="Normal 4 2 6" xfId="183" xr:uid="{00000000-0005-0000-0000-0000B80D0000}"/>
    <cellStyle name="Normal 4 2 6 2" xfId="2162" xr:uid="{00000000-0005-0000-0000-0000B90D0000}"/>
    <cellStyle name="Normal 4 2 6 2 2" xfId="13517" xr:uid="{00000000-0005-0000-0000-0000BA0D0000}"/>
    <cellStyle name="Normal 4 2 6 3" xfId="2163" xr:uid="{00000000-0005-0000-0000-0000BB0D0000}"/>
    <cellStyle name="Normal 4 2 6 3 2" xfId="13518" xr:uid="{00000000-0005-0000-0000-0000BC0D0000}"/>
    <cellStyle name="Normal 4 2 6 4" xfId="12307" xr:uid="{00000000-0005-0000-0000-0000BD0D0000}"/>
    <cellStyle name="Normal 4 2 7" xfId="2164" xr:uid="{00000000-0005-0000-0000-0000BE0D0000}"/>
    <cellStyle name="Normal 4 2 7 2" xfId="12308" xr:uid="{00000000-0005-0000-0000-0000BF0D0000}"/>
    <cellStyle name="Normal 4 2 8" xfId="2165" xr:uid="{00000000-0005-0000-0000-0000C00D0000}"/>
    <cellStyle name="Normal 4 2 8 2" xfId="12309" xr:uid="{00000000-0005-0000-0000-0000C10D0000}"/>
    <cellStyle name="Normal 4 2 9" xfId="12165" xr:uid="{00000000-0005-0000-0000-0000C20D0000}"/>
    <cellStyle name="Normal 4 3" xfId="184" xr:uid="{00000000-0005-0000-0000-0000C30D0000}"/>
    <cellStyle name="Normal 4 3 2" xfId="185" xr:uid="{00000000-0005-0000-0000-0000C40D0000}"/>
    <cellStyle name="Normal 4 3 2 2" xfId="186" xr:uid="{00000000-0005-0000-0000-0000C50D0000}"/>
    <cellStyle name="Normal 4 3 2 2 2" xfId="2166" xr:uid="{00000000-0005-0000-0000-0000C60D0000}"/>
    <cellStyle name="Normal 4 3 2 2 2 2" xfId="2167" xr:uid="{00000000-0005-0000-0000-0000C70D0000}"/>
    <cellStyle name="Normal 4 3 2 2 2 2 2" xfId="13519" xr:uid="{00000000-0005-0000-0000-0000C80D0000}"/>
    <cellStyle name="Normal 4 3 2 2 2 3" xfId="2168" xr:uid="{00000000-0005-0000-0000-0000C90D0000}"/>
    <cellStyle name="Normal 4 3 2 2 2 3 2" xfId="13520" xr:uid="{00000000-0005-0000-0000-0000CA0D0000}"/>
    <cellStyle name="Normal 4 3 2 2 2 4" xfId="13521" xr:uid="{00000000-0005-0000-0000-0000CB0D0000}"/>
    <cellStyle name="Normal 4 3 2 2 3" xfId="2169" xr:uid="{00000000-0005-0000-0000-0000CC0D0000}"/>
    <cellStyle name="Normal 4 3 2 2 3 2" xfId="2170" xr:uid="{00000000-0005-0000-0000-0000CD0D0000}"/>
    <cellStyle name="Normal 4 3 2 2 3 2 2" xfId="13522" xr:uid="{00000000-0005-0000-0000-0000CE0D0000}"/>
    <cellStyle name="Normal 4 3 2 2 3 3" xfId="2171" xr:uid="{00000000-0005-0000-0000-0000CF0D0000}"/>
    <cellStyle name="Normal 4 3 2 2 3 3 2" xfId="13523" xr:uid="{00000000-0005-0000-0000-0000D00D0000}"/>
    <cellStyle name="Normal 4 3 2 2 3 4" xfId="13524" xr:uid="{00000000-0005-0000-0000-0000D10D0000}"/>
    <cellStyle name="Normal 4 3 2 2 4" xfId="2172" xr:uid="{00000000-0005-0000-0000-0000D20D0000}"/>
    <cellStyle name="Normal 4 3 2 2 4 2" xfId="13525" xr:uid="{00000000-0005-0000-0000-0000D30D0000}"/>
    <cellStyle name="Normal 4 3 2 2 5" xfId="2173" xr:uid="{00000000-0005-0000-0000-0000D40D0000}"/>
    <cellStyle name="Normal 4 3 2 2 5 2" xfId="13526" xr:uid="{00000000-0005-0000-0000-0000D50D0000}"/>
    <cellStyle name="Normal 4 3 2 2 6" xfId="12649" xr:uid="{00000000-0005-0000-0000-0000D60D0000}"/>
    <cellStyle name="Normal 4 3 2 3" xfId="187" xr:uid="{00000000-0005-0000-0000-0000D70D0000}"/>
    <cellStyle name="Normal 4 3 2 3 2" xfId="2174" xr:uid="{00000000-0005-0000-0000-0000D80D0000}"/>
    <cellStyle name="Normal 4 3 2 3 2 2" xfId="13527" xr:uid="{00000000-0005-0000-0000-0000D90D0000}"/>
    <cellStyle name="Normal 4 3 2 3 3" xfId="2175" xr:uid="{00000000-0005-0000-0000-0000DA0D0000}"/>
    <cellStyle name="Normal 4 3 2 3 3 2" xfId="13528" xr:uid="{00000000-0005-0000-0000-0000DB0D0000}"/>
    <cellStyle name="Normal 4 3 2 3 4" xfId="13529" xr:uid="{00000000-0005-0000-0000-0000DC0D0000}"/>
    <cellStyle name="Normal 4 3 2 4" xfId="188" xr:uid="{00000000-0005-0000-0000-0000DD0D0000}"/>
    <cellStyle name="Normal 4 3 2 4 2" xfId="2176" xr:uid="{00000000-0005-0000-0000-0000DE0D0000}"/>
    <cellStyle name="Normal 4 3 2 4 2 2" xfId="13530" xr:uid="{00000000-0005-0000-0000-0000DF0D0000}"/>
    <cellStyle name="Normal 4 3 2 4 3" xfId="2177" xr:uid="{00000000-0005-0000-0000-0000E00D0000}"/>
    <cellStyle name="Normal 4 3 2 4 3 2" xfId="13531" xr:uid="{00000000-0005-0000-0000-0000E10D0000}"/>
    <cellStyle name="Normal 4 3 2 4 4" xfId="13532" xr:uid="{00000000-0005-0000-0000-0000E20D0000}"/>
    <cellStyle name="Normal 4 3 2 5" xfId="2178" xr:uid="{00000000-0005-0000-0000-0000E30D0000}"/>
    <cellStyle name="Normal 4 3 2 5 2" xfId="13533" xr:uid="{00000000-0005-0000-0000-0000E40D0000}"/>
    <cellStyle name="Normal 4 3 2 6" xfId="2179" xr:uid="{00000000-0005-0000-0000-0000E50D0000}"/>
    <cellStyle name="Normal 4 3 2 6 2" xfId="13534" xr:uid="{00000000-0005-0000-0000-0000E60D0000}"/>
    <cellStyle name="Normal 4 3 2 7" xfId="12624" xr:uid="{00000000-0005-0000-0000-0000E70D0000}"/>
    <cellStyle name="Normal 4 3 3" xfId="189" xr:uid="{00000000-0005-0000-0000-0000E80D0000}"/>
    <cellStyle name="Normal 4 3 3 2" xfId="12650" xr:uid="{00000000-0005-0000-0000-0000E90D0000}"/>
    <cellStyle name="Normal 4 3 4" xfId="190" xr:uid="{00000000-0005-0000-0000-0000EA0D0000}"/>
    <cellStyle name="Normal 4 3 4 2" xfId="2180" xr:uid="{00000000-0005-0000-0000-0000EB0D0000}"/>
    <cellStyle name="Normal 4 3 4 2 2" xfId="2181" xr:uid="{00000000-0005-0000-0000-0000EC0D0000}"/>
    <cellStyle name="Normal 4 3 4 2 2 2" xfId="13535" xr:uid="{00000000-0005-0000-0000-0000ED0D0000}"/>
    <cellStyle name="Normal 4 3 4 2 3" xfId="2182" xr:uid="{00000000-0005-0000-0000-0000EE0D0000}"/>
    <cellStyle name="Normal 4 3 4 2 3 2" xfId="13536" xr:uid="{00000000-0005-0000-0000-0000EF0D0000}"/>
    <cellStyle name="Normal 4 3 4 2 4" xfId="13537" xr:uid="{00000000-0005-0000-0000-0000F00D0000}"/>
    <cellStyle name="Normal 4 3 4 3" xfId="2183" xr:uid="{00000000-0005-0000-0000-0000F10D0000}"/>
    <cellStyle name="Normal 4 3 4 3 2" xfId="2184" xr:uid="{00000000-0005-0000-0000-0000F20D0000}"/>
    <cellStyle name="Normal 4 3 4 3 2 2" xfId="13538" xr:uid="{00000000-0005-0000-0000-0000F30D0000}"/>
    <cellStyle name="Normal 4 3 4 3 3" xfId="2185" xr:uid="{00000000-0005-0000-0000-0000F40D0000}"/>
    <cellStyle name="Normal 4 3 4 3 3 2" xfId="13539" xr:uid="{00000000-0005-0000-0000-0000F50D0000}"/>
    <cellStyle name="Normal 4 3 4 3 4" xfId="13540" xr:uid="{00000000-0005-0000-0000-0000F60D0000}"/>
    <cellStyle name="Normal 4 3 4 4" xfId="2186" xr:uid="{00000000-0005-0000-0000-0000F70D0000}"/>
    <cellStyle name="Normal 4 3 4 4 2" xfId="13541" xr:uid="{00000000-0005-0000-0000-0000F80D0000}"/>
    <cellStyle name="Normal 4 3 4 5" xfId="2187" xr:uid="{00000000-0005-0000-0000-0000F90D0000}"/>
    <cellStyle name="Normal 4 3 4 5 2" xfId="13542" xr:uid="{00000000-0005-0000-0000-0000FA0D0000}"/>
    <cellStyle name="Normal 4 3 4 6" xfId="13543" xr:uid="{00000000-0005-0000-0000-0000FB0D0000}"/>
    <cellStyle name="Normal 4 3 5" xfId="191" xr:uid="{00000000-0005-0000-0000-0000FC0D0000}"/>
    <cellStyle name="Normal 4 3 5 2" xfId="2188" xr:uid="{00000000-0005-0000-0000-0000FD0D0000}"/>
    <cellStyle name="Normal 4 3 5 2 2" xfId="13544" xr:uid="{00000000-0005-0000-0000-0000FE0D0000}"/>
    <cellStyle name="Normal 4 3 5 3" xfId="2189" xr:uid="{00000000-0005-0000-0000-0000FF0D0000}"/>
    <cellStyle name="Normal 4 3 5 3 2" xfId="13545" xr:uid="{00000000-0005-0000-0000-0000000E0000}"/>
    <cellStyle name="Normal 4 3 5 4" xfId="13546" xr:uid="{00000000-0005-0000-0000-0000010E0000}"/>
    <cellStyle name="Normal 4 3 6" xfId="192" xr:uid="{00000000-0005-0000-0000-0000020E0000}"/>
    <cellStyle name="Normal 4 3 6 2" xfId="2190" xr:uid="{00000000-0005-0000-0000-0000030E0000}"/>
    <cellStyle name="Normal 4 3 6 2 2" xfId="13547" xr:uid="{00000000-0005-0000-0000-0000040E0000}"/>
    <cellStyle name="Normal 4 3 6 3" xfId="2191" xr:uid="{00000000-0005-0000-0000-0000050E0000}"/>
    <cellStyle name="Normal 4 3 6 3 2" xfId="13548" xr:uid="{00000000-0005-0000-0000-0000060E0000}"/>
    <cellStyle name="Normal 4 3 6 4" xfId="13549" xr:uid="{00000000-0005-0000-0000-0000070E0000}"/>
    <cellStyle name="Normal 4 3 7" xfId="2192" xr:uid="{00000000-0005-0000-0000-0000080E0000}"/>
    <cellStyle name="Normal 4 3 7 2" xfId="13550" xr:uid="{00000000-0005-0000-0000-0000090E0000}"/>
    <cellStyle name="Normal 4 3 8" xfId="2193" xr:uid="{00000000-0005-0000-0000-00000A0E0000}"/>
    <cellStyle name="Normal 4 3 8 2" xfId="13551" xr:uid="{00000000-0005-0000-0000-00000B0E0000}"/>
    <cellStyle name="Normal 4 3 9" xfId="12167" xr:uid="{00000000-0005-0000-0000-00000C0E0000}"/>
    <cellStyle name="Normal 4 4" xfId="193" xr:uid="{00000000-0005-0000-0000-00000D0E0000}"/>
    <cellStyle name="Normal 4 4 2" xfId="194" xr:uid="{00000000-0005-0000-0000-00000E0E0000}"/>
    <cellStyle name="Normal 4 4 2 2" xfId="195" xr:uid="{00000000-0005-0000-0000-00000F0E0000}"/>
    <cellStyle name="Normal 4 4 2 2 2" xfId="2194" xr:uid="{00000000-0005-0000-0000-0000100E0000}"/>
    <cellStyle name="Normal 4 4 2 2 2 2" xfId="2195" xr:uid="{00000000-0005-0000-0000-0000110E0000}"/>
    <cellStyle name="Normal 4 4 2 2 2 2 2" xfId="13552" xr:uid="{00000000-0005-0000-0000-0000120E0000}"/>
    <cellStyle name="Normal 4 4 2 2 2 3" xfId="2196" xr:uid="{00000000-0005-0000-0000-0000130E0000}"/>
    <cellStyle name="Normal 4 4 2 2 2 3 2" xfId="13553" xr:uid="{00000000-0005-0000-0000-0000140E0000}"/>
    <cellStyle name="Normal 4 4 2 2 2 4" xfId="13554" xr:uid="{00000000-0005-0000-0000-0000150E0000}"/>
    <cellStyle name="Normal 4 4 2 2 3" xfId="2197" xr:uid="{00000000-0005-0000-0000-0000160E0000}"/>
    <cellStyle name="Normal 4 4 2 2 3 2" xfId="2198" xr:uid="{00000000-0005-0000-0000-0000170E0000}"/>
    <cellStyle name="Normal 4 4 2 2 3 2 2" xfId="13555" xr:uid="{00000000-0005-0000-0000-0000180E0000}"/>
    <cellStyle name="Normal 4 4 2 2 3 3" xfId="2199" xr:uid="{00000000-0005-0000-0000-0000190E0000}"/>
    <cellStyle name="Normal 4 4 2 2 3 3 2" xfId="13556" xr:uid="{00000000-0005-0000-0000-00001A0E0000}"/>
    <cellStyle name="Normal 4 4 2 2 3 4" xfId="13557" xr:uid="{00000000-0005-0000-0000-00001B0E0000}"/>
    <cellStyle name="Normal 4 4 2 2 4" xfId="2200" xr:uid="{00000000-0005-0000-0000-00001C0E0000}"/>
    <cellStyle name="Normal 4 4 2 2 4 2" xfId="13558" xr:uid="{00000000-0005-0000-0000-00001D0E0000}"/>
    <cellStyle name="Normal 4 4 2 2 5" xfId="2201" xr:uid="{00000000-0005-0000-0000-00001E0E0000}"/>
    <cellStyle name="Normal 4 4 2 2 5 2" xfId="13559" xr:uid="{00000000-0005-0000-0000-00001F0E0000}"/>
    <cellStyle name="Normal 4 4 2 2 6" xfId="13560" xr:uid="{00000000-0005-0000-0000-0000200E0000}"/>
    <cellStyle name="Normal 4 4 2 3" xfId="2202" xr:uid="{00000000-0005-0000-0000-0000210E0000}"/>
    <cellStyle name="Normal 4 4 2 3 2" xfId="2203" xr:uid="{00000000-0005-0000-0000-0000220E0000}"/>
    <cellStyle name="Normal 4 4 2 3 2 2" xfId="13561" xr:uid="{00000000-0005-0000-0000-0000230E0000}"/>
    <cellStyle name="Normal 4 4 2 3 3" xfId="2204" xr:uid="{00000000-0005-0000-0000-0000240E0000}"/>
    <cellStyle name="Normal 4 4 2 3 3 2" xfId="13562" xr:uid="{00000000-0005-0000-0000-0000250E0000}"/>
    <cellStyle name="Normal 4 4 2 3 4" xfId="13563" xr:uid="{00000000-0005-0000-0000-0000260E0000}"/>
    <cellStyle name="Normal 4 4 2 4" xfId="2205" xr:uid="{00000000-0005-0000-0000-0000270E0000}"/>
    <cellStyle name="Normal 4 4 2 4 2" xfId="2206" xr:uid="{00000000-0005-0000-0000-0000280E0000}"/>
    <cellStyle name="Normal 4 4 2 4 2 2" xfId="13564" xr:uid="{00000000-0005-0000-0000-0000290E0000}"/>
    <cellStyle name="Normal 4 4 2 4 3" xfId="2207" xr:uid="{00000000-0005-0000-0000-00002A0E0000}"/>
    <cellStyle name="Normal 4 4 2 4 3 2" xfId="13565" xr:uid="{00000000-0005-0000-0000-00002B0E0000}"/>
    <cellStyle name="Normal 4 4 2 4 4" xfId="13566" xr:uid="{00000000-0005-0000-0000-00002C0E0000}"/>
    <cellStyle name="Normal 4 4 2 5" xfId="2208" xr:uid="{00000000-0005-0000-0000-00002D0E0000}"/>
    <cellStyle name="Normal 4 4 2 5 2" xfId="13567" xr:uid="{00000000-0005-0000-0000-00002E0E0000}"/>
    <cellStyle name="Normal 4 4 2 6" xfId="2209" xr:uid="{00000000-0005-0000-0000-00002F0E0000}"/>
    <cellStyle name="Normal 4 4 2 6 2" xfId="13568" xr:uid="{00000000-0005-0000-0000-0000300E0000}"/>
    <cellStyle name="Normal 4 4 2 7" xfId="12651" xr:uid="{00000000-0005-0000-0000-0000310E0000}"/>
    <cellStyle name="Normal 4 4 3" xfId="196" xr:uid="{00000000-0005-0000-0000-0000320E0000}"/>
    <cellStyle name="Normal 4 4 3 2" xfId="2210" xr:uid="{00000000-0005-0000-0000-0000330E0000}"/>
    <cellStyle name="Normal 4 4 3 2 2" xfId="2211" xr:uid="{00000000-0005-0000-0000-0000340E0000}"/>
    <cellStyle name="Normal 4 4 3 2 2 2" xfId="13569" xr:uid="{00000000-0005-0000-0000-0000350E0000}"/>
    <cellStyle name="Normal 4 4 3 2 3" xfId="2212" xr:uid="{00000000-0005-0000-0000-0000360E0000}"/>
    <cellStyle name="Normal 4 4 3 2 3 2" xfId="13570" xr:uid="{00000000-0005-0000-0000-0000370E0000}"/>
    <cellStyle name="Normal 4 4 3 2 4" xfId="13571" xr:uid="{00000000-0005-0000-0000-0000380E0000}"/>
    <cellStyle name="Normal 4 4 3 3" xfId="2213" xr:uid="{00000000-0005-0000-0000-0000390E0000}"/>
    <cellStyle name="Normal 4 4 3 3 2" xfId="2214" xr:uid="{00000000-0005-0000-0000-00003A0E0000}"/>
    <cellStyle name="Normal 4 4 3 3 2 2" xfId="13572" xr:uid="{00000000-0005-0000-0000-00003B0E0000}"/>
    <cellStyle name="Normal 4 4 3 3 3" xfId="2215" xr:uid="{00000000-0005-0000-0000-00003C0E0000}"/>
    <cellStyle name="Normal 4 4 3 3 3 2" xfId="13573" xr:uid="{00000000-0005-0000-0000-00003D0E0000}"/>
    <cellStyle name="Normal 4 4 3 3 4" xfId="13574" xr:uid="{00000000-0005-0000-0000-00003E0E0000}"/>
    <cellStyle name="Normal 4 4 3 4" xfId="2216" xr:uid="{00000000-0005-0000-0000-00003F0E0000}"/>
    <cellStyle name="Normal 4 4 3 4 2" xfId="13575" xr:uid="{00000000-0005-0000-0000-0000400E0000}"/>
    <cellStyle name="Normal 4 4 3 5" xfId="2217" xr:uid="{00000000-0005-0000-0000-0000410E0000}"/>
    <cellStyle name="Normal 4 4 3 5 2" xfId="13576" xr:uid="{00000000-0005-0000-0000-0000420E0000}"/>
    <cellStyle name="Normal 4 4 3 6" xfId="13577" xr:uid="{00000000-0005-0000-0000-0000430E0000}"/>
    <cellStyle name="Normal 4 4 4" xfId="197" xr:uid="{00000000-0005-0000-0000-0000440E0000}"/>
    <cellStyle name="Normal 4 4 4 2" xfId="2218" xr:uid="{00000000-0005-0000-0000-0000450E0000}"/>
    <cellStyle name="Normal 4 4 4 2 2" xfId="13578" xr:uid="{00000000-0005-0000-0000-0000460E0000}"/>
    <cellStyle name="Normal 4 4 4 3" xfId="2219" xr:uid="{00000000-0005-0000-0000-0000470E0000}"/>
    <cellStyle name="Normal 4 4 4 3 2" xfId="13579" xr:uid="{00000000-0005-0000-0000-0000480E0000}"/>
    <cellStyle name="Normal 4 4 4 4" xfId="13580" xr:uid="{00000000-0005-0000-0000-0000490E0000}"/>
    <cellStyle name="Normal 4 4 5" xfId="198" xr:uid="{00000000-0005-0000-0000-00004A0E0000}"/>
    <cellStyle name="Normal 4 4 5 2" xfId="2220" xr:uid="{00000000-0005-0000-0000-00004B0E0000}"/>
    <cellStyle name="Normal 4 4 5 2 2" xfId="13581" xr:uid="{00000000-0005-0000-0000-00004C0E0000}"/>
    <cellStyle name="Normal 4 4 5 3" xfId="2221" xr:uid="{00000000-0005-0000-0000-00004D0E0000}"/>
    <cellStyle name="Normal 4 4 5 3 2" xfId="13582" xr:uid="{00000000-0005-0000-0000-00004E0E0000}"/>
    <cellStyle name="Normal 4 4 5 4" xfId="13583" xr:uid="{00000000-0005-0000-0000-00004F0E0000}"/>
    <cellStyle name="Normal 4 4 6" xfId="2222" xr:uid="{00000000-0005-0000-0000-0000500E0000}"/>
    <cellStyle name="Normal 4 4 6 2" xfId="13584" xr:uid="{00000000-0005-0000-0000-0000510E0000}"/>
    <cellStyle name="Normal 4 4 7" xfId="2223" xr:uid="{00000000-0005-0000-0000-0000520E0000}"/>
    <cellStyle name="Normal 4 4 7 2" xfId="13585" xr:uid="{00000000-0005-0000-0000-0000530E0000}"/>
    <cellStyle name="Normal 4 4 8" xfId="12310" xr:uid="{00000000-0005-0000-0000-0000540E0000}"/>
    <cellStyle name="Normal 4 5" xfId="199" xr:uid="{00000000-0005-0000-0000-0000550E0000}"/>
    <cellStyle name="Normal 4 5 10" xfId="2224" xr:uid="{00000000-0005-0000-0000-0000560E0000}"/>
    <cellStyle name="Normal 4 5 10 2" xfId="2225" xr:uid="{00000000-0005-0000-0000-0000570E0000}"/>
    <cellStyle name="Normal 4 5 10 2 2" xfId="2226" xr:uid="{00000000-0005-0000-0000-0000580E0000}"/>
    <cellStyle name="Normal 4 5 10 2 2 2" xfId="13586" xr:uid="{00000000-0005-0000-0000-0000590E0000}"/>
    <cellStyle name="Normal 4 5 10 2 3" xfId="2227" xr:uid="{00000000-0005-0000-0000-00005A0E0000}"/>
    <cellStyle name="Normal 4 5 10 2 3 2" xfId="13587" xr:uid="{00000000-0005-0000-0000-00005B0E0000}"/>
    <cellStyle name="Normal 4 5 10 2 4" xfId="13588" xr:uid="{00000000-0005-0000-0000-00005C0E0000}"/>
    <cellStyle name="Normal 4 5 10 3" xfId="2228" xr:uid="{00000000-0005-0000-0000-00005D0E0000}"/>
    <cellStyle name="Normal 4 5 10 3 2" xfId="2229" xr:uid="{00000000-0005-0000-0000-00005E0E0000}"/>
    <cellStyle name="Normal 4 5 10 3 2 2" xfId="13589" xr:uid="{00000000-0005-0000-0000-00005F0E0000}"/>
    <cellStyle name="Normal 4 5 10 3 3" xfId="2230" xr:uid="{00000000-0005-0000-0000-0000600E0000}"/>
    <cellStyle name="Normal 4 5 10 3 3 2" xfId="13590" xr:uid="{00000000-0005-0000-0000-0000610E0000}"/>
    <cellStyle name="Normal 4 5 10 3 4" xfId="13591" xr:uid="{00000000-0005-0000-0000-0000620E0000}"/>
    <cellStyle name="Normal 4 5 10 4" xfId="2231" xr:uid="{00000000-0005-0000-0000-0000630E0000}"/>
    <cellStyle name="Normal 4 5 10 4 2" xfId="13592" xr:uid="{00000000-0005-0000-0000-0000640E0000}"/>
    <cellStyle name="Normal 4 5 10 5" xfId="2232" xr:uid="{00000000-0005-0000-0000-0000650E0000}"/>
    <cellStyle name="Normal 4 5 10 5 2" xfId="13593" xr:uid="{00000000-0005-0000-0000-0000660E0000}"/>
    <cellStyle name="Normal 4 5 10 6" xfId="13594" xr:uid="{00000000-0005-0000-0000-0000670E0000}"/>
    <cellStyle name="Normal 4 5 11" xfId="2233" xr:uid="{00000000-0005-0000-0000-0000680E0000}"/>
    <cellStyle name="Normal 4 5 11 2" xfId="2234" xr:uid="{00000000-0005-0000-0000-0000690E0000}"/>
    <cellStyle name="Normal 4 5 11 2 2" xfId="2235" xr:uid="{00000000-0005-0000-0000-00006A0E0000}"/>
    <cellStyle name="Normal 4 5 11 2 2 2" xfId="13595" xr:uid="{00000000-0005-0000-0000-00006B0E0000}"/>
    <cellStyle name="Normal 4 5 11 2 3" xfId="2236" xr:uid="{00000000-0005-0000-0000-00006C0E0000}"/>
    <cellStyle name="Normal 4 5 11 2 3 2" xfId="13596" xr:uid="{00000000-0005-0000-0000-00006D0E0000}"/>
    <cellStyle name="Normal 4 5 11 2 4" xfId="13597" xr:uid="{00000000-0005-0000-0000-00006E0E0000}"/>
    <cellStyle name="Normal 4 5 11 3" xfId="2237" xr:uid="{00000000-0005-0000-0000-00006F0E0000}"/>
    <cellStyle name="Normal 4 5 11 3 2" xfId="2238" xr:uid="{00000000-0005-0000-0000-0000700E0000}"/>
    <cellStyle name="Normal 4 5 11 3 2 2" xfId="13598" xr:uid="{00000000-0005-0000-0000-0000710E0000}"/>
    <cellStyle name="Normal 4 5 11 3 3" xfId="2239" xr:uid="{00000000-0005-0000-0000-0000720E0000}"/>
    <cellStyle name="Normal 4 5 11 3 3 2" xfId="13599" xr:uid="{00000000-0005-0000-0000-0000730E0000}"/>
    <cellStyle name="Normal 4 5 11 3 4" xfId="13600" xr:uid="{00000000-0005-0000-0000-0000740E0000}"/>
    <cellStyle name="Normal 4 5 11 4" xfId="2240" xr:uid="{00000000-0005-0000-0000-0000750E0000}"/>
    <cellStyle name="Normal 4 5 11 4 2" xfId="13601" xr:uid="{00000000-0005-0000-0000-0000760E0000}"/>
    <cellStyle name="Normal 4 5 11 5" xfId="2241" xr:uid="{00000000-0005-0000-0000-0000770E0000}"/>
    <cellStyle name="Normal 4 5 11 5 2" xfId="13602" xr:uid="{00000000-0005-0000-0000-0000780E0000}"/>
    <cellStyle name="Normal 4 5 11 6" xfId="13603" xr:uid="{00000000-0005-0000-0000-0000790E0000}"/>
    <cellStyle name="Normal 4 5 12" xfId="2242" xr:uid="{00000000-0005-0000-0000-00007A0E0000}"/>
    <cellStyle name="Normal 4 5 12 2" xfId="2243" xr:uid="{00000000-0005-0000-0000-00007B0E0000}"/>
    <cellStyle name="Normal 4 5 12 2 2" xfId="13604" xr:uid="{00000000-0005-0000-0000-00007C0E0000}"/>
    <cellStyle name="Normal 4 5 12 3" xfId="2244" xr:uid="{00000000-0005-0000-0000-00007D0E0000}"/>
    <cellStyle name="Normal 4 5 12 3 2" xfId="13605" xr:uid="{00000000-0005-0000-0000-00007E0E0000}"/>
    <cellStyle name="Normal 4 5 12 4" xfId="13606" xr:uid="{00000000-0005-0000-0000-00007F0E0000}"/>
    <cellStyle name="Normal 4 5 13" xfId="2245" xr:uid="{00000000-0005-0000-0000-0000800E0000}"/>
    <cellStyle name="Normal 4 5 13 2" xfId="2246" xr:uid="{00000000-0005-0000-0000-0000810E0000}"/>
    <cellStyle name="Normal 4 5 13 2 2" xfId="13607" xr:uid="{00000000-0005-0000-0000-0000820E0000}"/>
    <cellStyle name="Normal 4 5 13 3" xfId="2247" xr:uid="{00000000-0005-0000-0000-0000830E0000}"/>
    <cellStyle name="Normal 4 5 13 3 2" xfId="13608" xr:uid="{00000000-0005-0000-0000-0000840E0000}"/>
    <cellStyle name="Normal 4 5 13 4" xfId="13609" xr:uid="{00000000-0005-0000-0000-0000850E0000}"/>
    <cellStyle name="Normal 4 5 14" xfId="2248" xr:uid="{00000000-0005-0000-0000-0000860E0000}"/>
    <cellStyle name="Normal 4 5 14 2" xfId="13610" xr:uid="{00000000-0005-0000-0000-0000870E0000}"/>
    <cellStyle name="Normal 4 5 15" xfId="2249" xr:uid="{00000000-0005-0000-0000-0000880E0000}"/>
    <cellStyle name="Normal 4 5 15 2" xfId="13611" xr:uid="{00000000-0005-0000-0000-0000890E0000}"/>
    <cellStyle name="Normal 4 5 16" xfId="12311" xr:uid="{00000000-0005-0000-0000-00008A0E0000}"/>
    <cellStyle name="Normal 4 5 2" xfId="200" xr:uid="{00000000-0005-0000-0000-00008B0E0000}"/>
    <cellStyle name="Normal 4 5 2 10" xfId="2250" xr:uid="{00000000-0005-0000-0000-00008C0E0000}"/>
    <cellStyle name="Normal 4 5 2 10 2" xfId="2251" xr:uid="{00000000-0005-0000-0000-00008D0E0000}"/>
    <cellStyle name="Normal 4 5 2 10 2 2" xfId="13612" xr:uid="{00000000-0005-0000-0000-00008E0E0000}"/>
    <cellStyle name="Normal 4 5 2 10 3" xfId="2252" xr:uid="{00000000-0005-0000-0000-00008F0E0000}"/>
    <cellStyle name="Normal 4 5 2 10 3 2" xfId="13613" xr:uid="{00000000-0005-0000-0000-0000900E0000}"/>
    <cellStyle name="Normal 4 5 2 10 4" xfId="13614" xr:uid="{00000000-0005-0000-0000-0000910E0000}"/>
    <cellStyle name="Normal 4 5 2 11" xfId="2253" xr:uid="{00000000-0005-0000-0000-0000920E0000}"/>
    <cellStyle name="Normal 4 5 2 11 2" xfId="13615" xr:uid="{00000000-0005-0000-0000-0000930E0000}"/>
    <cellStyle name="Normal 4 5 2 12" xfId="2254" xr:uid="{00000000-0005-0000-0000-0000940E0000}"/>
    <cellStyle name="Normal 4 5 2 12 2" xfId="13616" xr:uid="{00000000-0005-0000-0000-0000950E0000}"/>
    <cellStyle name="Normal 4 5 2 13" xfId="13617" xr:uid="{00000000-0005-0000-0000-0000960E0000}"/>
    <cellStyle name="Normal 4 5 2 2" xfId="2255" xr:uid="{00000000-0005-0000-0000-0000970E0000}"/>
    <cellStyle name="Normal 4 5 2 2 10" xfId="2256" xr:uid="{00000000-0005-0000-0000-0000980E0000}"/>
    <cellStyle name="Normal 4 5 2 2 10 2" xfId="13618" xr:uid="{00000000-0005-0000-0000-0000990E0000}"/>
    <cellStyle name="Normal 4 5 2 2 11" xfId="2257" xr:uid="{00000000-0005-0000-0000-00009A0E0000}"/>
    <cellStyle name="Normal 4 5 2 2 11 2" xfId="13619" xr:uid="{00000000-0005-0000-0000-00009B0E0000}"/>
    <cellStyle name="Normal 4 5 2 2 12" xfId="13620" xr:uid="{00000000-0005-0000-0000-00009C0E0000}"/>
    <cellStyle name="Normal 4 5 2 2 2" xfId="2258" xr:uid="{00000000-0005-0000-0000-00009D0E0000}"/>
    <cellStyle name="Normal 4 5 2 2 2 10" xfId="2259" xr:uid="{00000000-0005-0000-0000-00009E0E0000}"/>
    <cellStyle name="Normal 4 5 2 2 2 10 2" xfId="13621" xr:uid="{00000000-0005-0000-0000-00009F0E0000}"/>
    <cellStyle name="Normal 4 5 2 2 2 11" xfId="13622" xr:uid="{00000000-0005-0000-0000-0000A00E0000}"/>
    <cellStyle name="Normal 4 5 2 2 2 2" xfId="2260" xr:uid="{00000000-0005-0000-0000-0000A10E0000}"/>
    <cellStyle name="Normal 4 5 2 2 2 2 10" xfId="13623" xr:uid="{00000000-0005-0000-0000-0000A20E0000}"/>
    <cellStyle name="Normal 4 5 2 2 2 2 2" xfId="2261" xr:uid="{00000000-0005-0000-0000-0000A30E0000}"/>
    <cellStyle name="Normal 4 5 2 2 2 2 2 2" xfId="2262" xr:uid="{00000000-0005-0000-0000-0000A40E0000}"/>
    <cellStyle name="Normal 4 5 2 2 2 2 2 2 2" xfId="2263" xr:uid="{00000000-0005-0000-0000-0000A50E0000}"/>
    <cellStyle name="Normal 4 5 2 2 2 2 2 2 2 2" xfId="2264" xr:uid="{00000000-0005-0000-0000-0000A60E0000}"/>
    <cellStyle name="Normal 4 5 2 2 2 2 2 2 2 2 2" xfId="13624" xr:uid="{00000000-0005-0000-0000-0000A70E0000}"/>
    <cellStyle name="Normal 4 5 2 2 2 2 2 2 2 3" xfId="2265" xr:uid="{00000000-0005-0000-0000-0000A80E0000}"/>
    <cellStyle name="Normal 4 5 2 2 2 2 2 2 2 3 2" xfId="13625" xr:uid="{00000000-0005-0000-0000-0000A90E0000}"/>
    <cellStyle name="Normal 4 5 2 2 2 2 2 2 2 4" xfId="13626" xr:uid="{00000000-0005-0000-0000-0000AA0E0000}"/>
    <cellStyle name="Normal 4 5 2 2 2 2 2 2 3" xfId="2266" xr:uid="{00000000-0005-0000-0000-0000AB0E0000}"/>
    <cellStyle name="Normal 4 5 2 2 2 2 2 2 3 2" xfId="2267" xr:uid="{00000000-0005-0000-0000-0000AC0E0000}"/>
    <cellStyle name="Normal 4 5 2 2 2 2 2 2 3 2 2" xfId="13627" xr:uid="{00000000-0005-0000-0000-0000AD0E0000}"/>
    <cellStyle name="Normal 4 5 2 2 2 2 2 2 3 3" xfId="2268" xr:uid="{00000000-0005-0000-0000-0000AE0E0000}"/>
    <cellStyle name="Normal 4 5 2 2 2 2 2 2 3 3 2" xfId="13628" xr:uid="{00000000-0005-0000-0000-0000AF0E0000}"/>
    <cellStyle name="Normal 4 5 2 2 2 2 2 2 3 4" xfId="13629" xr:uid="{00000000-0005-0000-0000-0000B00E0000}"/>
    <cellStyle name="Normal 4 5 2 2 2 2 2 2 4" xfId="2269" xr:uid="{00000000-0005-0000-0000-0000B10E0000}"/>
    <cellStyle name="Normal 4 5 2 2 2 2 2 2 4 2" xfId="13630" xr:uid="{00000000-0005-0000-0000-0000B20E0000}"/>
    <cellStyle name="Normal 4 5 2 2 2 2 2 2 5" xfId="2270" xr:uid="{00000000-0005-0000-0000-0000B30E0000}"/>
    <cellStyle name="Normal 4 5 2 2 2 2 2 2 5 2" xfId="13631" xr:uid="{00000000-0005-0000-0000-0000B40E0000}"/>
    <cellStyle name="Normal 4 5 2 2 2 2 2 2 6" xfId="13632" xr:uid="{00000000-0005-0000-0000-0000B50E0000}"/>
    <cellStyle name="Normal 4 5 2 2 2 2 2 3" xfId="2271" xr:uid="{00000000-0005-0000-0000-0000B60E0000}"/>
    <cellStyle name="Normal 4 5 2 2 2 2 2 3 2" xfId="2272" xr:uid="{00000000-0005-0000-0000-0000B70E0000}"/>
    <cellStyle name="Normal 4 5 2 2 2 2 2 3 2 2" xfId="2273" xr:uid="{00000000-0005-0000-0000-0000B80E0000}"/>
    <cellStyle name="Normal 4 5 2 2 2 2 2 3 2 2 2" xfId="13633" xr:uid="{00000000-0005-0000-0000-0000B90E0000}"/>
    <cellStyle name="Normal 4 5 2 2 2 2 2 3 2 3" xfId="2274" xr:uid="{00000000-0005-0000-0000-0000BA0E0000}"/>
    <cellStyle name="Normal 4 5 2 2 2 2 2 3 2 3 2" xfId="13634" xr:uid="{00000000-0005-0000-0000-0000BB0E0000}"/>
    <cellStyle name="Normal 4 5 2 2 2 2 2 3 2 4" xfId="13635" xr:uid="{00000000-0005-0000-0000-0000BC0E0000}"/>
    <cellStyle name="Normal 4 5 2 2 2 2 2 3 3" xfId="2275" xr:uid="{00000000-0005-0000-0000-0000BD0E0000}"/>
    <cellStyle name="Normal 4 5 2 2 2 2 2 3 3 2" xfId="2276" xr:uid="{00000000-0005-0000-0000-0000BE0E0000}"/>
    <cellStyle name="Normal 4 5 2 2 2 2 2 3 3 2 2" xfId="13636" xr:uid="{00000000-0005-0000-0000-0000BF0E0000}"/>
    <cellStyle name="Normal 4 5 2 2 2 2 2 3 3 3" xfId="2277" xr:uid="{00000000-0005-0000-0000-0000C00E0000}"/>
    <cellStyle name="Normal 4 5 2 2 2 2 2 3 3 3 2" xfId="13637" xr:uid="{00000000-0005-0000-0000-0000C10E0000}"/>
    <cellStyle name="Normal 4 5 2 2 2 2 2 3 3 4" xfId="13638" xr:uid="{00000000-0005-0000-0000-0000C20E0000}"/>
    <cellStyle name="Normal 4 5 2 2 2 2 2 3 4" xfId="2278" xr:uid="{00000000-0005-0000-0000-0000C30E0000}"/>
    <cellStyle name="Normal 4 5 2 2 2 2 2 3 4 2" xfId="13639" xr:uid="{00000000-0005-0000-0000-0000C40E0000}"/>
    <cellStyle name="Normal 4 5 2 2 2 2 2 3 5" xfId="2279" xr:uid="{00000000-0005-0000-0000-0000C50E0000}"/>
    <cellStyle name="Normal 4 5 2 2 2 2 2 3 5 2" xfId="13640" xr:uid="{00000000-0005-0000-0000-0000C60E0000}"/>
    <cellStyle name="Normal 4 5 2 2 2 2 2 3 6" xfId="13641" xr:uid="{00000000-0005-0000-0000-0000C70E0000}"/>
    <cellStyle name="Normal 4 5 2 2 2 2 2 4" xfId="2280" xr:uid="{00000000-0005-0000-0000-0000C80E0000}"/>
    <cellStyle name="Normal 4 5 2 2 2 2 2 4 2" xfId="2281" xr:uid="{00000000-0005-0000-0000-0000C90E0000}"/>
    <cellStyle name="Normal 4 5 2 2 2 2 2 4 2 2" xfId="13642" xr:uid="{00000000-0005-0000-0000-0000CA0E0000}"/>
    <cellStyle name="Normal 4 5 2 2 2 2 2 4 3" xfId="2282" xr:uid="{00000000-0005-0000-0000-0000CB0E0000}"/>
    <cellStyle name="Normal 4 5 2 2 2 2 2 4 3 2" xfId="13643" xr:uid="{00000000-0005-0000-0000-0000CC0E0000}"/>
    <cellStyle name="Normal 4 5 2 2 2 2 2 4 4" xfId="13644" xr:uid="{00000000-0005-0000-0000-0000CD0E0000}"/>
    <cellStyle name="Normal 4 5 2 2 2 2 2 5" xfId="2283" xr:uid="{00000000-0005-0000-0000-0000CE0E0000}"/>
    <cellStyle name="Normal 4 5 2 2 2 2 2 5 2" xfId="2284" xr:uid="{00000000-0005-0000-0000-0000CF0E0000}"/>
    <cellStyle name="Normal 4 5 2 2 2 2 2 5 2 2" xfId="13645" xr:uid="{00000000-0005-0000-0000-0000D00E0000}"/>
    <cellStyle name="Normal 4 5 2 2 2 2 2 5 3" xfId="2285" xr:uid="{00000000-0005-0000-0000-0000D10E0000}"/>
    <cellStyle name="Normal 4 5 2 2 2 2 2 5 3 2" xfId="13646" xr:uid="{00000000-0005-0000-0000-0000D20E0000}"/>
    <cellStyle name="Normal 4 5 2 2 2 2 2 5 4" xfId="13647" xr:uid="{00000000-0005-0000-0000-0000D30E0000}"/>
    <cellStyle name="Normal 4 5 2 2 2 2 2 6" xfId="2286" xr:uid="{00000000-0005-0000-0000-0000D40E0000}"/>
    <cellStyle name="Normal 4 5 2 2 2 2 2 6 2" xfId="13648" xr:uid="{00000000-0005-0000-0000-0000D50E0000}"/>
    <cellStyle name="Normal 4 5 2 2 2 2 2 7" xfId="2287" xr:uid="{00000000-0005-0000-0000-0000D60E0000}"/>
    <cellStyle name="Normal 4 5 2 2 2 2 2 7 2" xfId="13649" xr:uid="{00000000-0005-0000-0000-0000D70E0000}"/>
    <cellStyle name="Normal 4 5 2 2 2 2 2 8" xfId="13650" xr:uid="{00000000-0005-0000-0000-0000D80E0000}"/>
    <cellStyle name="Normal 4 5 2 2 2 2 3" xfId="2288" xr:uid="{00000000-0005-0000-0000-0000D90E0000}"/>
    <cellStyle name="Normal 4 5 2 2 2 2 3 2" xfId="2289" xr:uid="{00000000-0005-0000-0000-0000DA0E0000}"/>
    <cellStyle name="Normal 4 5 2 2 2 2 3 2 2" xfId="2290" xr:uid="{00000000-0005-0000-0000-0000DB0E0000}"/>
    <cellStyle name="Normal 4 5 2 2 2 2 3 2 2 2" xfId="2291" xr:uid="{00000000-0005-0000-0000-0000DC0E0000}"/>
    <cellStyle name="Normal 4 5 2 2 2 2 3 2 2 2 2" xfId="13651" xr:uid="{00000000-0005-0000-0000-0000DD0E0000}"/>
    <cellStyle name="Normal 4 5 2 2 2 2 3 2 2 3" xfId="2292" xr:uid="{00000000-0005-0000-0000-0000DE0E0000}"/>
    <cellStyle name="Normal 4 5 2 2 2 2 3 2 2 3 2" xfId="13652" xr:uid="{00000000-0005-0000-0000-0000DF0E0000}"/>
    <cellStyle name="Normal 4 5 2 2 2 2 3 2 2 4" xfId="13653" xr:uid="{00000000-0005-0000-0000-0000E00E0000}"/>
    <cellStyle name="Normal 4 5 2 2 2 2 3 2 3" xfId="2293" xr:uid="{00000000-0005-0000-0000-0000E10E0000}"/>
    <cellStyle name="Normal 4 5 2 2 2 2 3 2 3 2" xfId="2294" xr:uid="{00000000-0005-0000-0000-0000E20E0000}"/>
    <cellStyle name="Normal 4 5 2 2 2 2 3 2 3 2 2" xfId="13654" xr:uid="{00000000-0005-0000-0000-0000E30E0000}"/>
    <cellStyle name="Normal 4 5 2 2 2 2 3 2 3 3" xfId="2295" xr:uid="{00000000-0005-0000-0000-0000E40E0000}"/>
    <cellStyle name="Normal 4 5 2 2 2 2 3 2 3 3 2" xfId="13655" xr:uid="{00000000-0005-0000-0000-0000E50E0000}"/>
    <cellStyle name="Normal 4 5 2 2 2 2 3 2 3 4" xfId="13656" xr:uid="{00000000-0005-0000-0000-0000E60E0000}"/>
    <cellStyle name="Normal 4 5 2 2 2 2 3 2 4" xfId="2296" xr:uid="{00000000-0005-0000-0000-0000E70E0000}"/>
    <cellStyle name="Normal 4 5 2 2 2 2 3 2 4 2" xfId="13657" xr:uid="{00000000-0005-0000-0000-0000E80E0000}"/>
    <cellStyle name="Normal 4 5 2 2 2 2 3 2 5" xfId="2297" xr:uid="{00000000-0005-0000-0000-0000E90E0000}"/>
    <cellStyle name="Normal 4 5 2 2 2 2 3 2 5 2" xfId="13658" xr:uid="{00000000-0005-0000-0000-0000EA0E0000}"/>
    <cellStyle name="Normal 4 5 2 2 2 2 3 2 6" xfId="13659" xr:uid="{00000000-0005-0000-0000-0000EB0E0000}"/>
    <cellStyle name="Normal 4 5 2 2 2 2 3 3" xfId="2298" xr:uid="{00000000-0005-0000-0000-0000EC0E0000}"/>
    <cellStyle name="Normal 4 5 2 2 2 2 3 3 2" xfId="2299" xr:uid="{00000000-0005-0000-0000-0000ED0E0000}"/>
    <cellStyle name="Normal 4 5 2 2 2 2 3 3 2 2" xfId="13660" xr:uid="{00000000-0005-0000-0000-0000EE0E0000}"/>
    <cellStyle name="Normal 4 5 2 2 2 2 3 3 3" xfId="2300" xr:uid="{00000000-0005-0000-0000-0000EF0E0000}"/>
    <cellStyle name="Normal 4 5 2 2 2 2 3 3 3 2" xfId="13661" xr:uid="{00000000-0005-0000-0000-0000F00E0000}"/>
    <cellStyle name="Normal 4 5 2 2 2 2 3 3 4" xfId="13662" xr:uid="{00000000-0005-0000-0000-0000F10E0000}"/>
    <cellStyle name="Normal 4 5 2 2 2 2 3 4" xfId="2301" xr:uid="{00000000-0005-0000-0000-0000F20E0000}"/>
    <cellStyle name="Normal 4 5 2 2 2 2 3 4 2" xfId="2302" xr:uid="{00000000-0005-0000-0000-0000F30E0000}"/>
    <cellStyle name="Normal 4 5 2 2 2 2 3 4 2 2" xfId="13663" xr:uid="{00000000-0005-0000-0000-0000F40E0000}"/>
    <cellStyle name="Normal 4 5 2 2 2 2 3 4 3" xfId="2303" xr:uid="{00000000-0005-0000-0000-0000F50E0000}"/>
    <cellStyle name="Normal 4 5 2 2 2 2 3 4 3 2" xfId="13664" xr:uid="{00000000-0005-0000-0000-0000F60E0000}"/>
    <cellStyle name="Normal 4 5 2 2 2 2 3 4 4" xfId="13665" xr:uid="{00000000-0005-0000-0000-0000F70E0000}"/>
    <cellStyle name="Normal 4 5 2 2 2 2 3 5" xfId="2304" xr:uid="{00000000-0005-0000-0000-0000F80E0000}"/>
    <cellStyle name="Normal 4 5 2 2 2 2 3 5 2" xfId="13666" xr:uid="{00000000-0005-0000-0000-0000F90E0000}"/>
    <cellStyle name="Normal 4 5 2 2 2 2 3 6" xfId="2305" xr:uid="{00000000-0005-0000-0000-0000FA0E0000}"/>
    <cellStyle name="Normal 4 5 2 2 2 2 3 6 2" xfId="13667" xr:uid="{00000000-0005-0000-0000-0000FB0E0000}"/>
    <cellStyle name="Normal 4 5 2 2 2 2 3 7" xfId="13668" xr:uid="{00000000-0005-0000-0000-0000FC0E0000}"/>
    <cellStyle name="Normal 4 5 2 2 2 2 4" xfId="2306" xr:uid="{00000000-0005-0000-0000-0000FD0E0000}"/>
    <cellStyle name="Normal 4 5 2 2 2 2 4 2" xfId="2307" xr:uid="{00000000-0005-0000-0000-0000FE0E0000}"/>
    <cellStyle name="Normal 4 5 2 2 2 2 4 2 2" xfId="2308" xr:uid="{00000000-0005-0000-0000-0000FF0E0000}"/>
    <cellStyle name="Normal 4 5 2 2 2 2 4 2 2 2" xfId="13669" xr:uid="{00000000-0005-0000-0000-0000000F0000}"/>
    <cellStyle name="Normal 4 5 2 2 2 2 4 2 3" xfId="2309" xr:uid="{00000000-0005-0000-0000-0000010F0000}"/>
    <cellStyle name="Normal 4 5 2 2 2 2 4 2 3 2" xfId="13670" xr:uid="{00000000-0005-0000-0000-0000020F0000}"/>
    <cellStyle name="Normal 4 5 2 2 2 2 4 2 4" xfId="13671" xr:uid="{00000000-0005-0000-0000-0000030F0000}"/>
    <cellStyle name="Normal 4 5 2 2 2 2 4 3" xfId="2310" xr:uid="{00000000-0005-0000-0000-0000040F0000}"/>
    <cellStyle name="Normal 4 5 2 2 2 2 4 3 2" xfId="2311" xr:uid="{00000000-0005-0000-0000-0000050F0000}"/>
    <cellStyle name="Normal 4 5 2 2 2 2 4 3 2 2" xfId="13672" xr:uid="{00000000-0005-0000-0000-0000060F0000}"/>
    <cellStyle name="Normal 4 5 2 2 2 2 4 3 3" xfId="2312" xr:uid="{00000000-0005-0000-0000-0000070F0000}"/>
    <cellStyle name="Normal 4 5 2 2 2 2 4 3 3 2" xfId="13673" xr:uid="{00000000-0005-0000-0000-0000080F0000}"/>
    <cellStyle name="Normal 4 5 2 2 2 2 4 3 4" xfId="13674" xr:uid="{00000000-0005-0000-0000-0000090F0000}"/>
    <cellStyle name="Normal 4 5 2 2 2 2 4 4" xfId="2313" xr:uid="{00000000-0005-0000-0000-00000A0F0000}"/>
    <cellStyle name="Normal 4 5 2 2 2 2 4 4 2" xfId="13675" xr:uid="{00000000-0005-0000-0000-00000B0F0000}"/>
    <cellStyle name="Normal 4 5 2 2 2 2 4 5" xfId="2314" xr:uid="{00000000-0005-0000-0000-00000C0F0000}"/>
    <cellStyle name="Normal 4 5 2 2 2 2 4 5 2" xfId="13676" xr:uid="{00000000-0005-0000-0000-00000D0F0000}"/>
    <cellStyle name="Normal 4 5 2 2 2 2 4 6" xfId="13677" xr:uid="{00000000-0005-0000-0000-00000E0F0000}"/>
    <cellStyle name="Normal 4 5 2 2 2 2 5" xfId="2315" xr:uid="{00000000-0005-0000-0000-00000F0F0000}"/>
    <cellStyle name="Normal 4 5 2 2 2 2 5 2" xfId="2316" xr:uid="{00000000-0005-0000-0000-0000100F0000}"/>
    <cellStyle name="Normal 4 5 2 2 2 2 5 2 2" xfId="2317" xr:uid="{00000000-0005-0000-0000-0000110F0000}"/>
    <cellStyle name="Normal 4 5 2 2 2 2 5 2 2 2" xfId="13678" xr:uid="{00000000-0005-0000-0000-0000120F0000}"/>
    <cellStyle name="Normal 4 5 2 2 2 2 5 2 3" xfId="2318" xr:uid="{00000000-0005-0000-0000-0000130F0000}"/>
    <cellStyle name="Normal 4 5 2 2 2 2 5 2 3 2" xfId="13679" xr:uid="{00000000-0005-0000-0000-0000140F0000}"/>
    <cellStyle name="Normal 4 5 2 2 2 2 5 2 4" xfId="13680" xr:uid="{00000000-0005-0000-0000-0000150F0000}"/>
    <cellStyle name="Normal 4 5 2 2 2 2 5 3" xfId="2319" xr:uid="{00000000-0005-0000-0000-0000160F0000}"/>
    <cellStyle name="Normal 4 5 2 2 2 2 5 3 2" xfId="2320" xr:uid="{00000000-0005-0000-0000-0000170F0000}"/>
    <cellStyle name="Normal 4 5 2 2 2 2 5 3 2 2" xfId="13681" xr:uid="{00000000-0005-0000-0000-0000180F0000}"/>
    <cellStyle name="Normal 4 5 2 2 2 2 5 3 3" xfId="2321" xr:uid="{00000000-0005-0000-0000-0000190F0000}"/>
    <cellStyle name="Normal 4 5 2 2 2 2 5 3 3 2" xfId="13682" xr:uid="{00000000-0005-0000-0000-00001A0F0000}"/>
    <cellStyle name="Normal 4 5 2 2 2 2 5 3 4" xfId="13683" xr:uid="{00000000-0005-0000-0000-00001B0F0000}"/>
    <cellStyle name="Normal 4 5 2 2 2 2 5 4" xfId="2322" xr:uid="{00000000-0005-0000-0000-00001C0F0000}"/>
    <cellStyle name="Normal 4 5 2 2 2 2 5 4 2" xfId="13684" xr:uid="{00000000-0005-0000-0000-00001D0F0000}"/>
    <cellStyle name="Normal 4 5 2 2 2 2 5 5" xfId="2323" xr:uid="{00000000-0005-0000-0000-00001E0F0000}"/>
    <cellStyle name="Normal 4 5 2 2 2 2 5 5 2" xfId="13685" xr:uid="{00000000-0005-0000-0000-00001F0F0000}"/>
    <cellStyle name="Normal 4 5 2 2 2 2 5 6" xfId="13686" xr:uid="{00000000-0005-0000-0000-0000200F0000}"/>
    <cellStyle name="Normal 4 5 2 2 2 2 6" xfId="2324" xr:uid="{00000000-0005-0000-0000-0000210F0000}"/>
    <cellStyle name="Normal 4 5 2 2 2 2 6 2" xfId="2325" xr:uid="{00000000-0005-0000-0000-0000220F0000}"/>
    <cellStyle name="Normal 4 5 2 2 2 2 6 2 2" xfId="13687" xr:uid="{00000000-0005-0000-0000-0000230F0000}"/>
    <cellStyle name="Normal 4 5 2 2 2 2 6 3" xfId="2326" xr:uid="{00000000-0005-0000-0000-0000240F0000}"/>
    <cellStyle name="Normal 4 5 2 2 2 2 6 3 2" xfId="13688" xr:uid="{00000000-0005-0000-0000-0000250F0000}"/>
    <cellStyle name="Normal 4 5 2 2 2 2 6 4" xfId="13689" xr:uid="{00000000-0005-0000-0000-0000260F0000}"/>
    <cellStyle name="Normal 4 5 2 2 2 2 7" xfId="2327" xr:uid="{00000000-0005-0000-0000-0000270F0000}"/>
    <cellStyle name="Normal 4 5 2 2 2 2 7 2" xfId="2328" xr:uid="{00000000-0005-0000-0000-0000280F0000}"/>
    <cellStyle name="Normal 4 5 2 2 2 2 7 2 2" xfId="13690" xr:uid="{00000000-0005-0000-0000-0000290F0000}"/>
    <cellStyle name="Normal 4 5 2 2 2 2 7 3" xfId="2329" xr:uid="{00000000-0005-0000-0000-00002A0F0000}"/>
    <cellStyle name="Normal 4 5 2 2 2 2 7 3 2" xfId="13691" xr:uid="{00000000-0005-0000-0000-00002B0F0000}"/>
    <cellStyle name="Normal 4 5 2 2 2 2 7 4" xfId="13692" xr:uid="{00000000-0005-0000-0000-00002C0F0000}"/>
    <cellStyle name="Normal 4 5 2 2 2 2 8" xfId="2330" xr:uid="{00000000-0005-0000-0000-00002D0F0000}"/>
    <cellStyle name="Normal 4 5 2 2 2 2 8 2" xfId="13693" xr:uid="{00000000-0005-0000-0000-00002E0F0000}"/>
    <cellStyle name="Normal 4 5 2 2 2 2 9" xfId="2331" xr:uid="{00000000-0005-0000-0000-00002F0F0000}"/>
    <cellStyle name="Normal 4 5 2 2 2 2 9 2" xfId="13694" xr:uid="{00000000-0005-0000-0000-0000300F0000}"/>
    <cellStyle name="Normal 4 5 2 2 2 3" xfId="2332" xr:uid="{00000000-0005-0000-0000-0000310F0000}"/>
    <cellStyle name="Normal 4 5 2 2 2 3 2" xfId="2333" xr:uid="{00000000-0005-0000-0000-0000320F0000}"/>
    <cellStyle name="Normal 4 5 2 2 2 3 2 2" xfId="2334" xr:uid="{00000000-0005-0000-0000-0000330F0000}"/>
    <cellStyle name="Normal 4 5 2 2 2 3 2 2 2" xfId="2335" xr:uid="{00000000-0005-0000-0000-0000340F0000}"/>
    <cellStyle name="Normal 4 5 2 2 2 3 2 2 2 2" xfId="13695" xr:uid="{00000000-0005-0000-0000-0000350F0000}"/>
    <cellStyle name="Normal 4 5 2 2 2 3 2 2 3" xfId="2336" xr:uid="{00000000-0005-0000-0000-0000360F0000}"/>
    <cellStyle name="Normal 4 5 2 2 2 3 2 2 3 2" xfId="13696" xr:uid="{00000000-0005-0000-0000-0000370F0000}"/>
    <cellStyle name="Normal 4 5 2 2 2 3 2 2 4" xfId="13697" xr:uid="{00000000-0005-0000-0000-0000380F0000}"/>
    <cellStyle name="Normal 4 5 2 2 2 3 2 3" xfId="2337" xr:uid="{00000000-0005-0000-0000-0000390F0000}"/>
    <cellStyle name="Normal 4 5 2 2 2 3 2 3 2" xfId="2338" xr:uid="{00000000-0005-0000-0000-00003A0F0000}"/>
    <cellStyle name="Normal 4 5 2 2 2 3 2 3 2 2" xfId="13698" xr:uid="{00000000-0005-0000-0000-00003B0F0000}"/>
    <cellStyle name="Normal 4 5 2 2 2 3 2 3 3" xfId="2339" xr:uid="{00000000-0005-0000-0000-00003C0F0000}"/>
    <cellStyle name="Normal 4 5 2 2 2 3 2 3 3 2" xfId="13699" xr:uid="{00000000-0005-0000-0000-00003D0F0000}"/>
    <cellStyle name="Normal 4 5 2 2 2 3 2 3 4" xfId="13700" xr:uid="{00000000-0005-0000-0000-00003E0F0000}"/>
    <cellStyle name="Normal 4 5 2 2 2 3 2 4" xfId="2340" xr:uid="{00000000-0005-0000-0000-00003F0F0000}"/>
    <cellStyle name="Normal 4 5 2 2 2 3 2 4 2" xfId="13701" xr:uid="{00000000-0005-0000-0000-0000400F0000}"/>
    <cellStyle name="Normal 4 5 2 2 2 3 2 5" xfId="2341" xr:uid="{00000000-0005-0000-0000-0000410F0000}"/>
    <cellStyle name="Normal 4 5 2 2 2 3 2 5 2" xfId="13702" xr:uid="{00000000-0005-0000-0000-0000420F0000}"/>
    <cellStyle name="Normal 4 5 2 2 2 3 2 6" xfId="13703" xr:uid="{00000000-0005-0000-0000-0000430F0000}"/>
    <cellStyle name="Normal 4 5 2 2 2 3 3" xfId="2342" xr:uid="{00000000-0005-0000-0000-0000440F0000}"/>
    <cellStyle name="Normal 4 5 2 2 2 3 3 2" xfId="2343" xr:uid="{00000000-0005-0000-0000-0000450F0000}"/>
    <cellStyle name="Normal 4 5 2 2 2 3 3 2 2" xfId="2344" xr:uid="{00000000-0005-0000-0000-0000460F0000}"/>
    <cellStyle name="Normal 4 5 2 2 2 3 3 2 2 2" xfId="13704" xr:uid="{00000000-0005-0000-0000-0000470F0000}"/>
    <cellStyle name="Normal 4 5 2 2 2 3 3 2 3" xfId="2345" xr:uid="{00000000-0005-0000-0000-0000480F0000}"/>
    <cellStyle name="Normal 4 5 2 2 2 3 3 2 3 2" xfId="13705" xr:uid="{00000000-0005-0000-0000-0000490F0000}"/>
    <cellStyle name="Normal 4 5 2 2 2 3 3 2 4" xfId="13706" xr:uid="{00000000-0005-0000-0000-00004A0F0000}"/>
    <cellStyle name="Normal 4 5 2 2 2 3 3 3" xfId="2346" xr:uid="{00000000-0005-0000-0000-00004B0F0000}"/>
    <cellStyle name="Normal 4 5 2 2 2 3 3 3 2" xfId="2347" xr:uid="{00000000-0005-0000-0000-00004C0F0000}"/>
    <cellStyle name="Normal 4 5 2 2 2 3 3 3 2 2" xfId="13707" xr:uid="{00000000-0005-0000-0000-00004D0F0000}"/>
    <cellStyle name="Normal 4 5 2 2 2 3 3 3 3" xfId="2348" xr:uid="{00000000-0005-0000-0000-00004E0F0000}"/>
    <cellStyle name="Normal 4 5 2 2 2 3 3 3 3 2" xfId="13708" xr:uid="{00000000-0005-0000-0000-00004F0F0000}"/>
    <cellStyle name="Normal 4 5 2 2 2 3 3 3 4" xfId="13709" xr:uid="{00000000-0005-0000-0000-0000500F0000}"/>
    <cellStyle name="Normal 4 5 2 2 2 3 3 4" xfId="2349" xr:uid="{00000000-0005-0000-0000-0000510F0000}"/>
    <cellStyle name="Normal 4 5 2 2 2 3 3 4 2" xfId="13710" xr:uid="{00000000-0005-0000-0000-0000520F0000}"/>
    <cellStyle name="Normal 4 5 2 2 2 3 3 5" xfId="2350" xr:uid="{00000000-0005-0000-0000-0000530F0000}"/>
    <cellStyle name="Normal 4 5 2 2 2 3 3 5 2" xfId="13711" xr:uid="{00000000-0005-0000-0000-0000540F0000}"/>
    <cellStyle name="Normal 4 5 2 2 2 3 3 6" xfId="13712" xr:uid="{00000000-0005-0000-0000-0000550F0000}"/>
    <cellStyle name="Normal 4 5 2 2 2 3 4" xfId="2351" xr:uid="{00000000-0005-0000-0000-0000560F0000}"/>
    <cellStyle name="Normal 4 5 2 2 2 3 4 2" xfId="2352" xr:uid="{00000000-0005-0000-0000-0000570F0000}"/>
    <cellStyle name="Normal 4 5 2 2 2 3 4 2 2" xfId="13713" xr:uid="{00000000-0005-0000-0000-0000580F0000}"/>
    <cellStyle name="Normal 4 5 2 2 2 3 4 3" xfId="2353" xr:uid="{00000000-0005-0000-0000-0000590F0000}"/>
    <cellStyle name="Normal 4 5 2 2 2 3 4 3 2" xfId="13714" xr:uid="{00000000-0005-0000-0000-00005A0F0000}"/>
    <cellStyle name="Normal 4 5 2 2 2 3 4 4" xfId="13715" xr:uid="{00000000-0005-0000-0000-00005B0F0000}"/>
    <cellStyle name="Normal 4 5 2 2 2 3 5" xfId="2354" xr:uid="{00000000-0005-0000-0000-00005C0F0000}"/>
    <cellStyle name="Normal 4 5 2 2 2 3 5 2" xfId="2355" xr:uid="{00000000-0005-0000-0000-00005D0F0000}"/>
    <cellStyle name="Normal 4 5 2 2 2 3 5 2 2" xfId="13716" xr:uid="{00000000-0005-0000-0000-00005E0F0000}"/>
    <cellStyle name="Normal 4 5 2 2 2 3 5 3" xfId="2356" xr:uid="{00000000-0005-0000-0000-00005F0F0000}"/>
    <cellStyle name="Normal 4 5 2 2 2 3 5 3 2" xfId="13717" xr:uid="{00000000-0005-0000-0000-0000600F0000}"/>
    <cellStyle name="Normal 4 5 2 2 2 3 5 4" xfId="13718" xr:uid="{00000000-0005-0000-0000-0000610F0000}"/>
    <cellStyle name="Normal 4 5 2 2 2 3 6" xfId="2357" xr:uid="{00000000-0005-0000-0000-0000620F0000}"/>
    <cellStyle name="Normal 4 5 2 2 2 3 6 2" xfId="13719" xr:uid="{00000000-0005-0000-0000-0000630F0000}"/>
    <cellStyle name="Normal 4 5 2 2 2 3 7" xfId="2358" xr:uid="{00000000-0005-0000-0000-0000640F0000}"/>
    <cellStyle name="Normal 4 5 2 2 2 3 7 2" xfId="13720" xr:uid="{00000000-0005-0000-0000-0000650F0000}"/>
    <cellStyle name="Normal 4 5 2 2 2 3 8" xfId="13721" xr:uid="{00000000-0005-0000-0000-0000660F0000}"/>
    <cellStyle name="Normal 4 5 2 2 2 4" xfId="2359" xr:uid="{00000000-0005-0000-0000-0000670F0000}"/>
    <cellStyle name="Normal 4 5 2 2 2 4 2" xfId="2360" xr:uid="{00000000-0005-0000-0000-0000680F0000}"/>
    <cellStyle name="Normal 4 5 2 2 2 4 2 2" xfId="2361" xr:uid="{00000000-0005-0000-0000-0000690F0000}"/>
    <cellStyle name="Normal 4 5 2 2 2 4 2 2 2" xfId="2362" xr:uid="{00000000-0005-0000-0000-00006A0F0000}"/>
    <cellStyle name="Normal 4 5 2 2 2 4 2 2 2 2" xfId="13722" xr:uid="{00000000-0005-0000-0000-00006B0F0000}"/>
    <cellStyle name="Normal 4 5 2 2 2 4 2 2 3" xfId="2363" xr:uid="{00000000-0005-0000-0000-00006C0F0000}"/>
    <cellStyle name="Normal 4 5 2 2 2 4 2 2 3 2" xfId="13723" xr:uid="{00000000-0005-0000-0000-00006D0F0000}"/>
    <cellStyle name="Normal 4 5 2 2 2 4 2 2 4" xfId="13724" xr:uid="{00000000-0005-0000-0000-00006E0F0000}"/>
    <cellStyle name="Normal 4 5 2 2 2 4 2 3" xfId="2364" xr:uid="{00000000-0005-0000-0000-00006F0F0000}"/>
    <cellStyle name="Normal 4 5 2 2 2 4 2 3 2" xfId="2365" xr:uid="{00000000-0005-0000-0000-0000700F0000}"/>
    <cellStyle name="Normal 4 5 2 2 2 4 2 3 2 2" xfId="13725" xr:uid="{00000000-0005-0000-0000-0000710F0000}"/>
    <cellStyle name="Normal 4 5 2 2 2 4 2 3 3" xfId="2366" xr:uid="{00000000-0005-0000-0000-0000720F0000}"/>
    <cellStyle name="Normal 4 5 2 2 2 4 2 3 3 2" xfId="13726" xr:uid="{00000000-0005-0000-0000-0000730F0000}"/>
    <cellStyle name="Normal 4 5 2 2 2 4 2 3 4" xfId="13727" xr:uid="{00000000-0005-0000-0000-0000740F0000}"/>
    <cellStyle name="Normal 4 5 2 2 2 4 2 4" xfId="2367" xr:uid="{00000000-0005-0000-0000-0000750F0000}"/>
    <cellStyle name="Normal 4 5 2 2 2 4 2 4 2" xfId="13728" xr:uid="{00000000-0005-0000-0000-0000760F0000}"/>
    <cellStyle name="Normal 4 5 2 2 2 4 2 5" xfId="2368" xr:uid="{00000000-0005-0000-0000-0000770F0000}"/>
    <cellStyle name="Normal 4 5 2 2 2 4 2 5 2" xfId="13729" xr:uid="{00000000-0005-0000-0000-0000780F0000}"/>
    <cellStyle name="Normal 4 5 2 2 2 4 2 6" xfId="13730" xr:uid="{00000000-0005-0000-0000-0000790F0000}"/>
    <cellStyle name="Normal 4 5 2 2 2 4 3" xfId="2369" xr:uid="{00000000-0005-0000-0000-00007A0F0000}"/>
    <cellStyle name="Normal 4 5 2 2 2 4 3 2" xfId="2370" xr:uid="{00000000-0005-0000-0000-00007B0F0000}"/>
    <cellStyle name="Normal 4 5 2 2 2 4 3 2 2" xfId="13731" xr:uid="{00000000-0005-0000-0000-00007C0F0000}"/>
    <cellStyle name="Normal 4 5 2 2 2 4 3 3" xfId="2371" xr:uid="{00000000-0005-0000-0000-00007D0F0000}"/>
    <cellStyle name="Normal 4 5 2 2 2 4 3 3 2" xfId="13732" xr:uid="{00000000-0005-0000-0000-00007E0F0000}"/>
    <cellStyle name="Normal 4 5 2 2 2 4 3 4" xfId="13733" xr:uid="{00000000-0005-0000-0000-00007F0F0000}"/>
    <cellStyle name="Normal 4 5 2 2 2 4 4" xfId="2372" xr:uid="{00000000-0005-0000-0000-0000800F0000}"/>
    <cellStyle name="Normal 4 5 2 2 2 4 4 2" xfId="2373" xr:uid="{00000000-0005-0000-0000-0000810F0000}"/>
    <cellStyle name="Normal 4 5 2 2 2 4 4 2 2" xfId="13734" xr:uid="{00000000-0005-0000-0000-0000820F0000}"/>
    <cellStyle name="Normal 4 5 2 2 2 4 4 3" xfId="2374" xr:uid="{00000000-0005-0000-0000-0000830F0000}"/>
    <cellStyle name="Normal 4 5 2 2 2 4 4 3 2" xfId="13735" xr:uid="{00000000-0005-0000-0000-0000840F0000}"/>
    <cellStyle name="Normal 4 5 2 2 2 4 4 4" xfId="13736" xr:uid="{00000000-0005-0000-0000-0000850F0000}"/>
    <cellStyle name="Normal 4 5 2 2 2 4 5" xfId="2375" xr:uid="{00000000-0005-0000-0000-0000860F0000}"/>
    <cellStyle name="Normal 4 5 2 2 2 4 5 2" xfId="13737" xr:uid="{00000000-0005-0000-0000-0000870F0000}"/>
    <cellStyle name="Normal 4 5 2 2 2 4 6" xfId="2376" xr:uid="{00000000-0005-0000-0000-0000880F0000}"/>
    <cellStyle name="Normal 4 5 2 2 2 4 6 2" xfId="13738" xr:uid="{00000000-0005-0000-0000-0000890F0000}"/>
    <cellStyle name="Normal 4 5 2 2 2 4 7" xfId="13739" xr:uid="{00000000-0005-0000-0000-00008A0F0000}"/>
    <cellStyle name="Normal 4 5 2 2 2 5" xfId="2377" xr:uid="{00000000-0005-0000-0000-00008B0F0000}"/>
    <cellStyle name="Normal 4 5 2 2 2 5 2" xfId="2378" xr:uid="{00000000-0005-0000-0000-00008C0F0000}"/>
    <cellStyle name="Normal 4 5 2 2 2 5 2 2" xfId="2379" xr:uid="{00000000-0005-0000-0000-00008D0F0000}"/>
    <cellStyle name="Normal 4 5 2 2 2 5 2 2 2" xfId="13740" xr:uid="{00000000-0005-0000-0000-00008E0F0000}"/>
    <cellStyle name="Normal 4 5 2 2 2 5 2 3" xfId="2380" xr:uid="{00000000-0005-0000-0000-00008F0F0000}"/>
    <cellStyle name="Normal 4 5 2 2 2 5 2 3 2" xfId="13741" xr:uid="{00000000-0005-0000-0000-0000900F0000}"/>
    <cellStyle name="Normal 4 5 2 2 2 5 2 4" xfId="13742" xr:uid="{00000000-0005-0000-0000-0000910F0000}"/>
    <cellStyle name="Normal 4 5 2 2 2 5 3" xfId="2381" xr:uid="{00000000-0005-0000-0000-0000920F0000}"/>
    <cellStyle name="Normal 4 5 2 2 2 5 3 2" xfId="2382" xr:uid="{00000000-0005-0000-0000-0000930F0000}"/>
    <cellStyle name="Normal 4 5 2 2 2 5 3 2 2" xfId="13743" xr:uid="{00000000-0005-0000-0000-0000940F0000}"/>
    <cellStyle name="Normal 4 5 2 2 2 5 3 3" xfId="2383" xr:uid="{00000000-0005-0000-0000-0000950F0000}"/>
    <cellStyle name="Normal 4 5 2 2 2 5 3 3 2" xfId="13744" xr:uid="{00000000-0005-0000-0000-0000960F0000}"/>
    <cellStyle name="Normal 4 5 2 2 2 5 3 4" xfId="13745" xr:uid="{00000000-0005-0000-0000-0000970F0000}"/>
    <cellStyle name="Normal 4 5 2 2 2 5 4" xfId="2384" xr:uid="{00000000-0005-0000-0000-0000980F0000}"/>
    <cellStyle name="Normal 4 5 2 2 2 5 4 2" xfId="13746" xr:uid="{00000000-0005-0000-0000-0000990F0000}"/>
    <cellStyle name="Normal 4 5 2 2 2 5 5" xfId="2385" xr:uid="{00000000-0005-0000-0000-00009A0F0000}"/>
    <cellStyle name="Normal 4 5 2 2 2 5 5 2" xfId="13747" xr:uid="{00000000-0005-0000-0000-00009B0F0000}"/>
    <cellStyle name="Normal 4 5 2 2 2 5 6" xfId="13748" xr:uid="{00000000-0005-0000-0000-00009C0F0000}"/>
    <cellStyle name="Normal 4 5 2 2 2 6" xfId="2386" xr:uid="{00000000-0005-0000-0000-00009D0F0000}"/>
    <cellStyle name="Normal 4 5 2 2 2 6 2" xfId="2387" xr:uid="{00000000-0005-0000-0000-00009E0F0000}"/>
    <cellStyle name="Normal 4 5 2 2 2 6 2 2" xfId="2388" xr:uid="{00000000-0005-0000-0000-00009F0F0000}"/>
    <cellStyle name="Normal 4 5 2 2 2 6 2 2 2" xfId="13749" xr:uid="{00000000-0005-0000-0000-0000A00F0000}"/>
    <cellStyle name="Normal 4 5 2 2 2 6 2 3" xfId="2389" xr:uid="{00000000-0005-0000-0000-0000A10F0000}"/>
    <cellStyle name="Normal 4 5 2 2 2 6 2 3 2" xfId="13750" xr:uid="{00000000-0005-0000-0000-0000A20F0000}"/>
    <cellStyle name="Normal 4 5 2 2 2 6 2 4" xfId="13751" xr:uid="{00000000-0005-0000-0000-0000A30F0000}"/>
    <cellStyle name="Normal 4 5 2 2 2 6 3" xfId="2390" xr:uid="{00000000-0005-0000-0000-0000A40F0000}"/>
    <cellStyle name="Normal 4 5 2 2 2 6 3 2" xfId="2391" xr:uid="{00000000-0005-0000-0000-0000A50F0000}"/>
    <cellStyle name="Normal 4 5 2 2 2 6 3 2 2" xfId="13752" xr:uid="{00000000-0005-0000-0000-0000A60F0000}"/>
    <cellStyle name="Normal 4 5 2 2 2 6 3 3" xfId="2392" xr:uid="{00000000-0005-0000-0000-0000A70F0000}"/>
    <cellStyle name="Normal 4 5 2 2 2 6 3 3 2" xfId="13753" xr:uid="{00000000-0005-0000-0000-0000A80F0000}"/>
    <cellStyle name="Normal 4 5 2 2 2 6 3 4" xfId="13754" xr:uid="{00000000-0005-0000-0000-0000A90F0000}"/>
    <cellStyle name="Normal 4 5 2 2 2 6 4" xfId="2393" xr:uid="{00000000-0005-0000-0000-0000AA0F0000}"/>
    <cellStyle name="Normal 4 5 2 2 2 6 4 2" xfId="13755" xr:uid="{00000000-0005-0000-0000-0000AB0F0000}"/>
    <cellStyle name="Normal 4 5 2 2 2 6 5" xfId="2394" xr:uid="{00000000-0005-0000-0000-0000AC0F0000}"/>
    <cellStyle name="Normal 4 5 2 2 2 6 5 2" xfId="13756" xr:uid="{00000000-0005-0000-0000-0000AD0F0000}"/>
    <cellStyle name="Normal 4 5 2 2 2 6 6" xfId="13757" xr:uid="{00000000-0005-0000-0000-0000AE0F0000}"/>
    <cellStyle name="Normal 4 5 2 2 2 7" xfId="2395" xr:uid="{00000000-0005-0000-0000-0000AF0F0000}"/>
    <cellStyle name="Normal 4 5 2 2 2 7 2" xfId="2396" xr:uid="{00000000-0005-0000-0000-0000B00F0000}"/>
    <cellStyle name="Normal 4 5 2 2 2 7 2 2" xfId="13758" xr:uid="{00000000-0005-0000-0000-0000B10F0000}"/>
    <cellStyle name="Normal 4 5 2 2 2 7 3" xfId="2397" xr:uid="{00000000-0005-0000-0000-0000B20F0000}"/>
    <cellStyle name="Normal 4 5 2 2 2 7 3 2" xfId="13759" xr:uid="{00000000-0005-0000-0000-0000B30F0000}"/>
    <cellStyle name="Normal 4 5 2 2 2 7 4" xfId="13760" xr:uid="{00000000-0005-0000-0000-0000B40F0000}"/>
    <cellStyle name="Normal 4 5 2 2 2 8" xfId="2398" xr:uid="{00000000-0005-0000-0000-0000B50F0000}"/>
    <cellStyle name="Normal 4 5 2 2 2 8 2" xfId="2399" xr:uid="{00000000-0005-0000-0000-0000B60F0000}"/>
    <cellStyle name="Normal 4 5 2 2 2 8 2 2" xfId="13761" xr:uid="{00000000-0005-0000-0000-0000B70F0000}"/>
    <cellStyle name="Normal 4 5 2 2 2 8 3" xfId="2400" xr:uid="{00000000-0005-0000-0000-0000B80F0000}"/>
    <cellStyle name="Normal 4 5 2 2 2 8 3 2" xfId="13762" xr:uid="{00000000-0005-0000-0000-0000B90F0000}"/>
    <cellStyle name="Normal 4 5 2 2 2 8 4" xfId="13763" xr:uid="{00000000-0005-0000-0000-0000BA0F0000}"/>
    <cellStyle name="Normal 4 5 2 2 2 9" xfId="2401" xr:uid="{00000000-0005-0000-0000-0000BB0F0000}"/>
    <cellStyle name="Normal 4 5 2 2 2 9 2" xfId="13764" xr:uid="{00000000-0005-0000-0000-0000BC0F0000}"/>
    <cellStyle name="Normal 4 5 2 2 3" xfId="2402" xr:uid="{00000000-0005-0000-0000-0000BD0F0000}"/>
    <cellStyle name="Normal 4 5 2 2 3 10" xfId="13765" xr:uid="{00000000-0005-0000-0000-0000BE0F0000}"/>
    <cellStyle name="Normal 4 5 2 2 3 2" xfId="2403" xr:uid="{00000000-0005-0000-0000-0000BF0F0000}"/>
    <cellStyle name="Normal 4 5 2 2 3 2 2" xfId="2404" xr:uid="{00000000-0005-0000-0000-0000C00F0000}"/>
    <cellStyle name="Normal 4 5 2 2 3 2 2 2" xfId="2405" xr:uid="{00000000-0005-0000-0000-0000C10F0000}"/>
    <cellStyle name="Normal 4 5 2 2 3 2 2 2 2" xfId="2406" xr:uid="{00000000-0005-0000-0000-0000C20F0000}"/>
    <cellStyle name="Normal 4 5 2 2 3 2 2 2 2 2" xfId="13766" xr:uid="{00000000-0005-0000-0000-0000C30F0000}"/>
    <cellStyle name="Normal 4 5 2 2 3 2 2 2 3" xfId="2407" xr:uid="{00000000-0005-0000-0000-0000C40F0000}"/>
    <cellStyle name="Normal 4 5 2 2 3 2 2 2 3 2" xfId="13767" xr:uid="{00000000-0005-0000-0000-0000C50F0000}"/>
    <cellStyle name="Normal 4 5 2 2 3 2 2 2 4" xfId="13768" xr:uid="{00000000-0005-0000-0000-0000C60F0000}"/>
    <cellStyle name="Normal 4 5 2 2 3 2 2 3" xfId="2408" xr:uid="{00000000-0005-0000-0000-0000C70F0000}"/>
    <cellStyle name="Normal 4 5 2 2 3 2 2 3 2" xfId="2409" xr:uid="{00000000-0005-0000-0000-0000C80F0000}"/>
    <cellStyle name="Normal 4 5 2 2 3 2 2 3 2 2" xfId="13769" xr:uid="{00000000-0005-0000-0000-0000C90F0000}"/>
    <cellStyle name="Normal 4 5 2 2 3 2 2 3 3" xfId="2410" xr:uid="{00000000-0005-0000-0000-0000CA0F0000}"/>
    <cellStyle name="Normal 4 5 2 2 3 2 2 3 3 2" xfId="13770" xr:uid="{00000000-0005-0000-0000-0000CB0F0000}"/>
    <cellStyle name="Normal 4 5 2 2 3 2 2 3 4" xfId="13771" xr:uid="{00000000-0005-0000-0000-0000CC0F0000}"/>
    <cellStyle name="Normal 4 5 2 2 3 2 2 4" xfId="2411" xr:uid="{00000000-0005-0000-0000-0000CD0F0000}"/>
    <cellStyle name="Normal 4 5 2 2 3 2 2 4 2" xfId="13772" xr:uid="{00000000-0005-0000-0000-0000CE0F0000}"/>
    <cellStyle name="Normal 4 5 2 2 3 2 2 5" xfId="2412" xr:uid="{00000000-0005-0000-0000-0000CF0F0000}"/>
    <cellStyle name="Normal 4 5 2 2 3 2 2 5 2" xfId="13773" xr:uid="{00000000-0005-0000-0000-0000D00F0000}"/>
    <cellStyle name="Normal 4 5 2 2 3 2 2 6" xfId="13774" xr:uid="{00000000-0005-0000-0000-0000D10F0000}"/>
    <cellStyle name="Normal 4 5 2 2 3 2 3" xfId="2413" xr:uid="{00000000-0005-0000-0000-0000D20F0000}"/>
    <cellStyle name="Normal 4 5 2 2 3 2 3 2" xfId="2414" xr:uid="{00000000-0005-0000-0000-0000D30F0000}"/>
    <cellStyle name="Normal 4 5 2 2 3 2 3 2 2" xfId="2415" xr:uid="{00000000-0005-0000-0000-0000D40F0000}"/>
    <cellStyle name="Normal 4 5 2 2 3 2 3 2 2 2" xfId="13775" xr:uid="{00000000-0005-0000-0000-0000D50F0000}"/>
    <cellStyle name="Normal 4 5 2 2 3 2 3 2 3" xfId="2416" xr:uid="{00000000-0005-0000-0000-0000D60F0000}"/>
    <cellStyle name="Normal 4 5 2 2 3 2 3 2 3 2" xfId="13776" xr:uid="{00000000-0005-0000-0000-0000D70F0000}"/>
    <cellStyle name="Normal 4 5 2 2 3 2 3 2 4" xfId="13777" xr:uid="{00000000-0005-0000-0000-0000D80F0000}"/>
    <cellStyle name="Normal 4 5 2 2 3 2 3 3" xfId="2417" xr:uid="{00000000-0005-0000-0000-0000D90F0000}"/>
    <cellStyle name="Normal 4 5 2 2 3 2 3 3 2" xfId="2418" xr:uid="{00000000-0005-0000-0000-0000DA0F0000}"/>
    <cellStyle name="Normal 4 5 2 2 3 2 3 3 2 2" xfId="13778" xr:uid="{00000000-0005-0000-0000-0000DB0F0000}"/>
    <cellStyle name="Normal 4 5 2 2 3 2 3 3 3" xfId="2419" xr:uid="{00000000-0005-0000-0000-0000DC0F0000}"/>
    <cellStyle name="Normal 4 5 2 2 3 2 3 3 3 2" xfId="13779" xr:uid="{00000000-0005-0000-0000-0000DD0F0000}"/>
    <cellStyle name="Normal 4 5 2 2 3 2 3 3 4" xfId="13780" xr:uid="{00000000-0005-0000-0000-0000DE0F0000}"/>
    <cellStyle name="Normal 4 5 2 2 3 2 3 4" xfId="2420" xr:uid="{00000000-0005-0000-0000-0000DF0F0000}"/>
    <cellStyle name="Normal 4 5 2 2 3 2 3 4 2" xfId="13781" xr:uid="{00000000-0005-0000-0000-0000E00F0000}"/>
    <cellStyle name="Normal 4 5 2 2 3 2 3 5" xfId="2421" xr:uid="{00000000-0005-0000-0000-0000E10F0000}"/>
    <cellStyle name="Normal 4 5 2 2 3 2 3 5 2" xfId="13782" xr:uid="{00000000-0005-0000-0000-0000E20F0000}"/>
    <cellStyle name="Normal 4 5 2 2 3 2 3 6" xfId="13783" xr:uid="{00000000-0005-0000-0000-0000E30F0000}"/>
    <cellStyle name="Normal 4 5 2 2 3 2 4" xfId="2422" xr:uid="{00000000-0005-0000-0000-0000E40F0000}"/>
    <cellStyle name="Normal 4 5 2 2 3 2 4 2" xfId="2423" xr:uid="{00000000-0005-0000-0000-0000E50F0000}"/>
    <cellStyle name="Normal 4 5 2 2 3 2 4 2 2" xfId="13784" xr:uid="{00000000-0005-0000-0000-0000E60F0000}"/>
    <cellStyle name="Normal 4 5 2 2 3 2 4 3" xfId="2424" xr:uid="{00000000-0005-0000-0000-0000E70F0000}"/>
    <cellStyle name="Normal 4 5 2 2 3 2 4 3 2" xfId="13785" xr:uid="{00000000-0005-0000-0000-0000E80F0000}"/>
    <cellStyle name="Normal 4 5 2 2 3 2 4 4" xfId="13786" xr:uid="{00000000-0005-0000-0000-0000E90F0000}"/>
    <cellStyle name="Normal 4 5 2 2 3 2 5" xfId="2425" xr:uid="{00000000-0005-0000-0000-0000EA0F0000}"/>
    <cellStyle name="Normal 4 5 2 2 3 2 5 2" xfId="2426" xr:uid="{00000000-0005-0000-0000-0000EB0F0000}"/>
    <cellStyle name="Normal 4 5 2 2 3 2 5 2 2" xfId="13787" xr:uid="{00000000-0005-0000-0000-0000EC0F0000}"/>
    <cellStyle name="Normal 4 5 2 2 3 2 5 3" xfId="2427" xr:uid="{00000000-0005-0000-0000-0000ED0F0000}"/>
    <cellStyle name="Normal 4 5 2 2 3 2 5 3 2" xfId="13788" xr:uid="{00000000-0005-0000-0000-0000EE0F0000}"/>
    <cellStyle name="Normal 4 5 2 2 3 2 5 4" xfId="13789" xr:uid="{00000000-0005-0000-0000-0000EF0F0000}"/>
    <cellStyle name="Normal 4 5 2 2 3 2 6" xfId="2428" xr:uid="{00000000-0005-0000-0000-0000F00F0000}"/>
    <cellStyle name="Normal 4 5 2 2 3 2 6 2" xfId="13790" xr:uid="{00000000-0005-0000-0000-0000F10F0000}"/>
    <cellStyle name="Normal 4 5 2 2 3 2 7" xfId="2429" xr:uid="{00000000-0005-0000-0000-0000F20F0000}"/>
    <cellStyle name="Normal 4 5 2 2 3 2 7 2" xfId="13791" xr:uid="{00000000-0005-0000-0000-0000F30F0000}"/>
    <cellStyle name="Normal 4 5 2 2 3 2 8" xfId="13792" xr:uid="{00000000-0005-0000-0000-0000F40F0000}"/>
    <cellStyle name="Normal 4 5 2 2 3 3" xfId="2430" xr:uid="{00000000-0005-0000-0000-0000F50F0000}"/>
    <cellStyle name="Normal 4 5 2 2 3 3 2" xfId="2431" xr:uid="{00000000-0005-0000-0000-0000F60F0000}"/>
    <cellStyle name="Normal 4 5 2 2 3 3 2 2" xfId="2432" xr:uid="{00000000-0005-0000-0000-0000F70F0000}"/>
    <cellStyle name="Normal 4 5 2 2 3 3 2 2 2" xfId="2433" xr:uid="{00000000-0005-0000-0000-0000F80F0000}"/>
    <cellStyle name="Normal 4 5 2 2 3 3 2 2 2 2" xfId="13793" xr:uid="{00000000-0005-0000-0000-0000F90F0000}"/>
    <cellStyle name="Normal 4 5 2 2 3 3 2 2 3" xfId="2434" xr:uid="{00000000-0005-0000-0000-0000FA0F0000}"/>
    <cellStyle name="Normal 4 5 2 2 3 3 2 2 3 2" xfId="13794" xr:uid="{00000000-0005-0000-0000-0000FB0F0000}"/>
    <cellStyle name="Normal 4 5 2 2 3 3 2 2 4" xfId="13795" xr:uid="{00000000-0005-0000-0000-0000FC0F0000}"/>
    <cellStyle name="Normal 4 5 2 2 3 3 2 3" xfId="2435" xr:uid="{00000000-0005-0000-0000-0000FD0F0000}"/>
    <cellStyle name="Normal 4 5 2 2 3 3 2 3 2" xfId="2436" xr:uid="{00000000-0005-0000-0000-0000FE0F0000}"/>
    <cellStyle name="Normal 4 5 2 2 3 3 2 3 2 2" xfId="13796" xr:uid="{00000000-0005-0000-0000-0000FF0F0000}"/>
    <cellStyle name="Normal 4 5 2 2 3 3 2 3 3" xfId="2437" xr:uid="{00000000-0005-0000-0000-000000100000}"/>
    <cellStyle name="Normal 4 5 2 2 3 3 2 3 3 2" xfId="13797" xr:uid="{00000000-0005-0000-0000-000001100000}"/>
    <cellStyle name="Normal 4 5 2 2 3 3 2 3 4" xfId="13798" xr:uid="{00000000-0005-0000-0000-000002100000}"/>
    <cellStyle name="Normal 4 5 2 2 3 3 2 4" xfId="2438" xr:uid="{00000000-0005-0000-0000-000003100000}"/>
    <cellStyle name="Normal 4 5 2 2 3 3 2 4 2" xfId="13799" xr:uid="{00000000-0005-0000-0000-000004100000}"/>
    <cellStyle name="Normal 4 5 2 2 3 3 2 5" xfId="2439" xr:uid="{00000000-0005-0000-0000-000005100000}"/>
    <cellStyle name="Normal 4 5 2 2 3 3 2 5 2" xfId="13800" xr:uid="{00000000-0005-0000-0000-000006100000}"/>
    <cellStyle name="Normal 4 5 2 2 3 3 2 6" xfId="13801" xr:uid="{00000000-0005-0000-0000-000007100000}"/>
    <cellStyle name="Normal 4 5 2 2 3 3 3" xfId="2440" xr:uid="{00000000-0005-0000-0000-000008100000}"/>
    <cellStyle name="Normal 4 5 2 2 3 3 3 2" xfId="2441" xr:uid="{00000000-0005-0000-0000-000009100000}"/>
    <cellStyle name="Normal 4 5 2 2 3 3 3 2 2" xfId="13802" xr:uid="{00000000-0005-0000-0000-00000A100000}"/>
    <cellStyle name="Normal 4 5 2 2 3 3 3 3" xfId="2442" xr:uid="{00000000-0005-0000-0000-00000B100000}"/>
    <cellStyle name="Normal 4 5 2 2 3 3 3 3 2" xfId="13803" xr:uid="{00000000-0005-0000-0000-00000C100000}"/>
    <cellStyle name="Normal 4 5 2 2 3 3 3 4" xfId="13804" xr:uid="{00000000-0005-0000-0000-00000D100000}"/>
    <cellStyle name="Normal 4 5 2 2 3 3 4" xfId="2443" xr:uid="{00000000-0005-0000-0000-00000E100000}"/>
    <cellStyle name="Normal 4 5 2 2 3 3 4 2" xfId="2444" xr:uid="{00000000-0005-0000-0000-00000F100000}"/>
    <cellStyle name="Normal 4 5 2 2 3 3 4 2 2" xfId="13805" xr:uid="{00000000-0005-0000-0000-000010100000}"/>
    <cellStyle name="Normal 4 5 2 2 3 3 4 3" xfId="2445" xr:uid="{00000000-0005-0000-0000-000011100000}"/>
    <cellStyle name="Normal 4 5 2 2 3 3 4 3 2" xfId="13806" xr:uid="{00000000-0005-0000-0000-000012100000}"/>
    <cellStyle name="Normal 4 5 2 2 3 3 4 4" xfId="13807" xr:uid="{00000000-0005-0000-0000-000013100000}"/>
    <cellStyle name="Normal 4 5 2 2 3 3 5" xfId="2446" xr:uid="{00000000-0005-0000-0000-000014100000}"/>
    <cellStyle name="Normal 4 5 2 2 3 3 5 2" xfId="13808" xr:uid="{00000000-0005-0000-0000-000015100000}"/>
    <cellStyle name="Normal 4 5 2 2 3 3 6" xfId="2447" xr:uid="{00000000-0005-0000-0000-000016100000}"/>
    <cellStyle name="Normal 4 5 2 2 3 3 6 2" xfId="13809" xr:uid="{00000000-0005-0000-0000-000017100000}"/>
    <cellStyle name="Normal 4 5 2 2 3 3 7" xfId="13810" xr:uid="{00000000-0005-0000-0000-000018100000}"/>
    <cellStyle name="Normal 4 5 2 2 3 4" xfId="2448" xr:uid="{00000000-0005-0000-0000-000019100000}"/>
    <cellStyle name="Normal 4 5 2 2 3 4 2" xfId="2449" xr:uid="{00000000-0005-0000-0000-00001A100000}"/>
    <cellStyle name="Normal 4 5 2 2 3 4 2 2" xfId="2450" xr:uid="{00000000-0005-0000-0000-00001B100000}"/>
    <cellStyle name="Normal 4 5 2 2 3 4 2 2 2" xfId="13811" xr:uid="{00000000-0005-0000-0000-00001C100000}"/>
    <cellStyle name="Normal 4 5 2 2 3 4 2 3" xfId="2451" xr:uid="{00000000-0005-0000-0000-00001D100000}"/>
    <cellStyle name="Normal 4 5 2 2 3 4 2 3 2" xfId="13812" xr:uid="{00000000-0005-0000-0000-00001E100000}"/>
    <cellStyle name="Normal 4 5 2 2 3 4 2 4" xfId="13813" xr:uid="{00000000-0005-0000-0000-00001F100000}"/>
    <cellStyle name="Normal 4 5 2 2 3 4 3" xfId="2452" xr:uid="{00000000-0005-0000-0000-000020100000}"/>
    <cellStyle name="Normal 4 5 2 2 3 4 3 2" xfId="2453" xr:uid="{00000000-0005-0000-0000-000021100000}"/>
    <cellStyle name="Normal 4 5 2 2 3 4 3 2 2" xfId="13814" xr:uid="{00000000-0005-0000-0000-000022100000}"/>
    <cellStyle name="Normal 4 5 2 2 3 4 3 3" xfId="2454" xr:uid="{00000000-0005-0000-0000-000023100000}"/>
    <cellStyle name="Normal 4 5 2 2 3 4 3 3 2" xfId="13815" xr:uid="{00000000-0005-0000-0000-000024100000}"/>
    <cellStyle name="Normal 4 5 2 2 3 4 3 4" xfId="13816" xr:uid="{00000000-0005-0000-0000-000025100000}"/>
    <cellStyle name="Normal 4 5 2 2 3 4 4" xfId="2455" xr:uid="{00000000-0005-0000-0000-000026100000}"/>
    <cellStyle name="Normal 4 5 2 2 3 4 4 2" xfId="13817" xr:uid="{00000000-0005-0000-0000-000027100000}"/>
    <cellStyle name="Normal 4 5 2 2 3 4 5" xfId="2456" xr:uid="{00000000-0005-0000-0000-000028100000}"/>
    <cellStyle name="Normal 4 5 2 2 3 4 5 2" xfId="13818" xr:uid="{00000000-0005-0000-0000-000029100000}"/>
    <cellStyle name="Normal 4 5 2 2 3 4 6" xfId="13819" xr:uid="{00000000-0005-0000-0000-00002A100000}"/>
    <cellStyle name="Normal 4 5 2 2 3 5" xfId="2457" xr:uid="{00000000-0005-0000-0000-00002B100000}"/>
    <cellStyle name="Normal 4 5 2 2 3 5 2" xfId="2458" xr:uid="{00000000-0005-0000-0000-00002C100000}"/>
    <cellStyle name="Normal 4 5 2 2 3 5 2 2" xfId="2459" xr:uid="{00000000-0005-0000-0000-00002D100000}"/>
    <cellStyle name="Normal 4 5 2 2 3 5 2 2 2" xfId="13820" xr:uid="{00000000-0005-0000-0000-00002E100000}"/>
    <cellStyle name="Normal 4 5 2 2 3 5 2 3" xfId="2460" xr:uid="{00000000-0005-0000-0000-00002F100000}"/>
    <cellStyle name="Normal 4 5 2 2 3 5 2 3 2" xfId="13821" xr:uid="{00000000-0005-0000-0000-000030100000}"/>
    <cellStyle name="Normal 4 5 2 2 3 5 2 4" xfId="13822" xr:uid="{00000000-0005-0000-0000-000031100000}"/>
    <cellStyle name="Normal 4 5 2 2 3 5 3" xfId="2461" xr:uid="{00000000-0005-0000-0000-000032100000}"/>
    <cellStyle name="Normal 4 5 2 2 3 5 3 2" xfId="2462" xr:uid="{00000000-0005-0000-0000-000033100000}"/>
    <cellStyle name="Normal 4 5 2 2 3 5 3 2 2" xfId="13823" xr:uid="{00000000-0005-0000-0000-000034100000}"/>
    <cellStyle name="Normal 4 5 2 2 3 5 3 3" xfId="2463" xr:uid="{00000000-0005-0000-0000-000035100000}"/>
    <cellStyle name="Normal 4 5 2 2 3 5 3 3 2" xfId="13824" xr:uid="{00000000-0005-0000-0000-000036100000}"/>
    <cellStyle name="Normal 4 5 2 2 3 5 3 4" xfId="13825" xr:uid="{00000000-0005-0000-0000-000037100000}"/>
    <cellStyle name="Normal 4 5 2 2 3 5 4" xfId="2464" xr:uid="{00000000-0005-0000-0000-000038100000}"/>
    <cellStyle name="Normal 4 5 2 2 3 5 4 2" xfId="13826" xr:uid="{00000000-0005-0000-0000-000039100000}"/>
    <cellStyle name="Normal 4 5 2 2 3 5 5" xfId="2465" xr:uid="{00000000-0005-0000-0000-00003A100000}"/>
    <cellStyle name="Normal 4 5 2 2 3 5 5 2" xfId="13827" xr:uid="{00000000-0005-0000-0000-00003B100000}"/>
    <cellStyle name="Normal 4 5 2 2 3 5 6" xfId="13828" xr:uid="{00000000-0005-0000-0000-00003C100000}"/>
    <cellStyle name="Normal 4 5 2 2 3 6" xfId="2466" xr:uid="{00000000-0005-0000-0000-00003D100000}"/>
    <cellStyle name="Normal 4 5 2 2 3 6 2" xfId="2467" xr:uid="{00000000-0005-0000-0000-00003E100000}"/>
    <cellStyle name="Normal 4 5 2 2 3 6 2 2" xfId="13829" xr:uid="{00000000-0005-0000-0000-00003F100000}"/>
    <cellStyle name="Normal 4 5 2 2 3 6 3" xfId="2468" xr:uid="{00000000-0005-0000-0000-000040100000}"/>
    <cellStyle name="Normal 4 5 2 2 3 6 3 2" xfId="13830" xr:uid="{00000000-0005-0000-0000-000041100000}"/>
    <cellStyle name="Normal 4 5 2 2 3 6 4" xfId="13831" xr:uid="{00000000-0005-0000-0000-000042100000}"/>
    <cellStyle name="Normal 4 5 2 2 3 7" xfId="2469" xr:uid="{00000000-0005-0000-0000-000043100000}"/>
    <cellStyle name="Normal 4 5 2 2 3 7 2" xfId="2470" xr:uid="{00000000-0005-0000-0000-000044100000}"/>
    <cellStyle name="Normal 4 5 2 2 3 7 2 2" xfId="13832" xr:uid="{00000000-0005-0000-0000-000045100000}"/>
    <cellStyle name="Normal 4 5 2 2 3 7 3" xfId="2471" xr:uid="{00000000-0005-0000-0000-000046100000}"/>
    <cellStyle name="Normal 4 5 2 2 3 7 3 2" xfId="13833" xr:uid="{00000000-0005-0000-0000-000047100000}"/>
    <cellStyle name="Normal 4 5 2 2 3 7 4" xfId="13834" xr:uid="{00000000-0005-0000-0000-000048100000}"/>
    <cellStyle name="Normal 4 5 2 2 3 8" xfId="2472" xr:uid="{00000000-0005-0000-0000-000049100000}"/>
    <cellStyle name="Normal 4 5 2 2 3 8 2" xfId="13835" xr:uid="{00000000-0005-0000-0000-00004A100000}"/>
    <cellStyle name="Normal 4 5 2 2 3 9" xfId="2473" xr:uid="{00000000-0005-0000-0000-00004B100000}"/>
    <cellStyle name="Normal 4 5 2 2 3 9 2" xfId="13836" xr:uid="{00000000-0005-0000-0000-00004C100000}"/>
    <cellStyle name="Normal 4 5 2 2 4" xfId="2474" xr:uid="{00000000-0005-0000-0000-00004D100000}"/>
    <cellStyle name="Normal 4 5 2 2 4 2" xfId="2475" xr:uid="{00000000-0005-0000-0000-00004E100000}"/>
    <cellStyle name="Normal 4 5 2 2 4 2 2" xfId="2476" xr:uid="{00000000-0005-0000-0000-00004F100000}"/>
    <cellStyle name="Normal 4 5 2 2 4 2 2 2" xfId="2477" xr:uid="{00000000-0005-0000-0000-000050100000}"/>
    <cellStyle name="Normal 4 5 2 2 4 2 2 2 2" xfId="13837" xr:uid="{00000000-0005-0000-0000-000051100000}"/>
    <cellStyle name="Normal 4 5 2 2 4 2 2 3" xfId="2478" xr:uid="{00000000-0005-0000-0000-000052100000}"/>
    <cellStyle name="Normal 4 5 2 2 4 2 2 3 2" xfId="13838" xr:uid="{00000000-0005-0000-0000-000053100000}"/>
    <cellStyle name="Normal 4 5 2 2 4 2 2 4" xfId="13839" xr:uid="{00000000-0005-0000-0000-000054100000}"/>
    <cellStyle name="Normal 4 5 2 2 4 2 3" xfId="2479" xr:uid="{00000000-0005-0000-0000-000055100000}"/>
    <cellStyle name="Normal 4 5 2 2 4 2 3 2" xfId="2480" xr:uid="{00000000-0005-0000-0000-000056100000}"/>
    <cellStyle name="Normal 4 5 2 2 4 2 3 2 2" xfId="13840" xr:uid="{00000000-0005-0000-0000-000057100000}"/>
    <cellStyle name="Normal 4 5 2 2 4 2 3 3" xfId="2481" xr:uid="{00000000-0005-0000-0000-000058100000}"/>
    <cellStyle name="Normal 4 5 2 2 4 2 3 3 2" xfId="13841" xr:uid="{00000000-0005-0000-0000-000059100000}"/>
    <cellStyle name="Normal 4 5 2 2 4 2 3 4" xfId="13842" xr:uid="{00000000-0005-0000-0000-00005A100000}"/>
    <cellStyle name="Normal 4 5 2 2 4 2 4" xfId="2482" xr:uid="{00000000-0005-0000-0000-00005B100000}"/>
    <cellStyle name="Normal 4 5 2 2 4 2 4 2" xfId="13843" xr:uid="{00000000-0005-0000-0000-00005C100000}"/>
    <cellStyle name="Normal 4 5 2 2 4 2 5" xfId="2483" xr:uid="{00000000-0005-0000-0000-00005D100000}"/>
    <cellStyle name="Normal 4 5 2 2 4 2 5 2" xfId="13844" xr:uid="{00000000-0005-0000-0000-00005E100000}"/>
    <cellStyle name="Normal 4 5 2 2 4 2 6" xfId="13845" xr:uid="{00000000-0005-0000-0000-00005F100000}"/>
    <cellStyle name="Normal 4 5 2 2 4 3" xfId="2484" xr:uid="{00000000-0005-0000-0000-000060100000}"/>
    <cellStyle name="Normal 4 5 2 2 4 3 2" xfId="2485" xr:uid="{00000000-0005-0000-0000-000061100000}"/>
    <cellStyle name="Normal 4 5 2 2 4 3 2 2" xfId="2486" xr:uid="{00000000-0005-0000-0000-000062100000}"/>
    <cellStyle name="Normal 4 5 2 2 4 3 2 2 2" xfId="13846" xr:uid="{00000000-0005-0000-0000-000063100000}"/>
    <cellStyle name="Normal 4 5 2 2 4 3 2 3" xfId="2487" xr:uid="{00000000-0005-0000-0000-000064100000}"/>
    <cellStyle name="Normal 4 5 2 2 4 3 2 3 2" xfId="13847" xr:uid="{00000000-0005-0000-0000-000065100000}"/>
    <cellStyle name="Normal 4 5 2 2 4 3 2 4" xfId="13848" xr:uid="{00000000-0005-0000-0000-000066100000}"/>
    <cellStyle name="Normal 4 5 2 2 4 3 3" xfId="2488" xr:uid="{00000000-0005-0000-0000-000067100000}"/>
    <cellStyle name="Normal 4 5 2 2 4 3 3 2" xfId="2489" xr:uid="{00000000-0005-0000-0000-000068100000}"/>
    <cellStyle name="Normal 4 5 2 2 4 3 3 2 2" xfId="13849" xr:uid="{00000000-0005-0000-0000-000069100000}"/>
    <cellStyle name="Normal 4 5 2 2 4 3 3 3" xfId="2490" xr:uid="{00000000-0005-0000-0000-00006A100000}"/>
    <cellStyle name="Normal 4 5 2 2 4 3 3 3 2" xfId="13850" xr:uid="{00000000-0005-0000-0000-00006B100000}"/>
    <cellStyle name="Normal 4 5 2 2 4 3 3 4" xfId="13851" xr:uid="{00000000-0005-0000-0000-00006C100000}"/>
    <cellStyle name="Normal 4 5 2 2 4 3 4" xfId="2491" xr:uid="{00000000-0005-0000-0000-00006D100000}"/>
    <cellStyle name="Normal 4 5 2 2 4 3 4 2" xfId="13852" xr:uid="{00000000-0005-0000-0000-00006E100000}"/>
    <cellStyle name="Normal 4 5 2 2 4 3 5" xfId="2492" xr:uid="{00000000-0005-0000-0000-00006F100000}"/>
    <cellStyle name="Normal 4 5 2 2 4 3 5 2" xfId="13853" xr:uid="{00000000-0005-0000-0000-000070100000}"/>
    <cellStyle name="Normal 4 5 2 2 4 3 6" xfId="13854" xr:uid="{00000000-0005-0000-0000-000071100000}"/>
    <cellStyle name="Normal 4 5 2 2 4 4" xfId="2493" xr:uid="{00000000-0005-0000-0000-000072100000}"/>
    <cellStyle name="Normal 4 5 2 2 4 4 2" xfId="2494" xr:uid="{00000000-0005-0000-0000-000073100000}"/>
    <cellStyle name="Normal 4 5 2 2 4 4 2 2" xfId="13855" xr:uid="{00000000-0005-0000-0000-000074100000}"/>
    <cellStyle name="Normal 4 5 2 2 4 4 3" xfId="2495" xr:uid="{00000000-0005-0000-0000-000075100000}"/>
    <cellStyle name="Normal 4 5 2 2 4 4 3 2" xfId="13856" xr:uid="{00000000-0005-0000-0000-000076100000}"/>
    <cellStyle name="Normal 4 5 2 2 4 4 4" xfId="13857" xr:uid="{00000000-0005-0000-0000-000077100000}"/>
    <cellStyle name="Normal 4 5 2 2 4 5" xfId="2496" xr:uid="{00000000-0005-0000-0000-000078100000}"/>
    <cellStyle name="Normal 4 5 2 2 4 5 2" xfId="2497" xr:uid="{00000000-0005-0000-0000-000079100000}"/>
    <cellStyle name="Normal 4 5 2 2 4 5 2 2" xfId="13858" xr:uid="{00000000-0005-0000-0000-00007A100000}"/>
    <cellStyle name="Normal 4 5 2 2 4 5 3" xfId="2498" xr:uid="{00000000-0005-0000-0000-00007B100000}"/>
    <cellStyle name="Normal 4 5 2 2 4 5 3 2" xfId="13859" xr:uid="{00000000-0005-0000-0000-00007C100000}"/>
    <cellStyle name="Normal 4 5 2 2 4 5 4" xfId="13860" xr:uid="{00000000-0005-0000-0000-00007D100000}"/>
    <cellStyle name="Normal 4 5 2 2 4 6" xfId="2499" xr:uid="{00000000-0005-0000-0000-00007E100000}"/>
    <cellStyle name="Normal 4 5 2 2 4 6 2" xfId="13861" xr:uid="{00000000-0005-0000-0000-00007F100000}"/>
    <cellStyle name="Normal 4 5 2 2 4 7" xfId="2500" xr:uid="{00000000-0005-0000-0000-000080100000}"/>
    <cellStyle name="Normal 4 5 2 2 4 7 2" xfId="13862" xr:uid="{00000000-0005-0000-0000-000081100000}"/>
    <cellStyle name="Normal 4 5 2 2 4 8" xfId="13863" xr:uid="{00000000-0005-0000-0000-000082100000}"/>
    <cellStyle name="Normal 4 5 2 2 5" xfId="2501" xr:uid="{00000000-0005-0000-0000-000083100000}"/>
    <cellStyle name="Normal 4 5 2 2 5 2" xfId="2502" xr:uid="{00000000-0005-0000-0000-000084100000}"/>
    <cellStyle name="Normal 4 5 2 2 5 2 2" xfId="2503" xr:uid="{00000000-0005-0000-0000-000085100000}"/>
    <cellStyle name="Normal 4 5 2 2 5 2 2 2" xfId="2504" xr:uid="{00000000-0005-0000-0000-000086100000}"/>
    <cellStyle name="Normal 4 5 2 2 5 2 2 2 2" xfId="13864" xr:uid="{00000000-0005-0000-0000-000087100000}"/>
    <cellStyle name="Normal 4 5 2 2 5 2 2 3" xfId="2505" xr:uid="{00000000-0005-0000-0000-000088100000}"/>
    <cellStyle name="Normal 4 5 2 2 5 2 2 3 2" xfId="13865" xr:uid="{00000000-0005-0000-0000-000089100000}"/>
    <cellStyle name="Normal 4 5 2 2 5 2 2 4" xfId="13866" xr:uid="{00000000-0005-0000-0000-00008A100000}"/>
    <cellStyle name="Normal 4 5 2 2 5 2 3" xfId="2506" xr:uid="{00000000-0005-0000-0000-00008B100000}"/>
    <cellStyle name="Normal 4 5 2 2 5 2 3 2" xfId="2507" xr:uid="{00000000-0005-0000-0000-00008C100000}"/>
    <cellStyle name="Normal 4 5 2 2 5 2 3 2 2" xfId="13867" xr:uid="{00000000-0005-0000-0000-00008D100000}"/>
    <cellStyle name="Normal 4 5 2 2 5 2 3 3" xfId="2508" xr:uid="{00000000-0005-0000-0000-00008E100000}"/>
    <cellStyle name="Normal 4 5 2 2 5 2 3 3 2" xfId="13868" xr:uid="{00000000-0005-0000-0000-00008F100000}"/>
    <cellStyle name="Normal 4 5 2 2 5 2 3 4" xfId="13869" xr:uid="{00000000-0005-0000-0000-000090100000}"/>
    <cellStyle name="Normal 4 5 2 2 5 2 4" xfId="2509" xr:uid="{00000000-0005-0000-0000-000091100000}"/>
    <cellStyle name="Normal 4 5 2 2 5 2 4 2" xfId="13870" xr:uid="{00000000-0005-0000-0000-000092100000}"/>
    <cellStyle name="Normal 4 5 2 2 5 2 5" xfId="2510" xr:uid="{00000000-0005-0000-0000-000093100000}"/>
    <cellStyle name="Normal 4 5 2 2 5 2 5 2" xfId="13871" xr:uid="{00000000-0005-0000-0000-000094100000}"/>
    <cellStyle name="Normal 4 5 2 2 5 2 6" xfId="13872" xr:uid="{00000000-0005-0000-0000-000095100000}"/>
    <cellStyle name="Normal 4 5 2 2 5 3" xfId="2511" xr:uid="{00000000-0005-0000-0000-000096100000}"/>
    <cellStyle name="Normal 4 5 2 2 5 3 2" xfId="2512" xr:uid="{00000000-0005-0000-0000-000097100000}"/>
    <cellStyle name="Normal 4 5 2 2 5 3 2 2" xfId="13873" xr:uid="{00000000-0005-0000-0000-000098100000}"/>
    <cellStyle name="Normal 4 5 2 2 5 3 3" xfId="2513" xr:uid="{00000000-0005-0000-0000-000099100000}"/>
    <cellStyle name="Normal 4 5 2 2 5 3 3 2" xfId="13874" xr:uid="{00000000-0005-0000-0000-00009A100000}"/>
    <cellStyle name="Normal 4 5 2 2 5 3 4" xfId="13875" xr:uid="{00000000-0005-0000-0000-00009B100000}"/>
    <cellStyle name="Normal 4 5 2 2 5 4" xfId="2514" xr:uid="{00000000-0005-0000-0000-00009C100000}"/>
    <cellStyle name="Normal 4 5 2 2 5 4 2" xfId="2515" xr:uid="{00000000-0005-0000-0000-00009D100000}"/>
    <cellStyle name="Normal 4 5 2 2 5 4 2 2" xfId="13876" xr:uid="{00000000-0005-0000-0000-00009E100000}"/>
    <cellStyle name="Normal 4 5 2 2 5 4 3" xfId="2516" xr:uid="{00000000-0005-0000-0000-00009F100000}"/>
    <cellStyle name="Normal 4 5 2 2 5 4 3 2" xfId="13877" xr:uid="{00000000-0005-0000-0000-0000A0100000}"/>
    <cellStyle name="Normal 4 5 2 2 5 4 4" xfId="13878" xr:uid="{00000000-0005-0000-0000-0000A1100000}"/>
    <cellStyle name="Normal 4 5 2 2 5 5" xfId="2517" xr:uid="{00000000-0005-0000-0000-0000A2100000}"/>
    <cellStyle name="Normal 4 5 2 2 5 5 2" xfId="13879" xr:uid="{00000000-0005-0000-0000-0000A3100000}"/>
    <cellStyle name="Normal 4 5 2 2 5 6" xfId="2518" xr:uid="{00000000-0005-0000-0000-0000A4100000}"/>
    <cellStyle name="Normal 4 5 2 2 5 6 2" xfId="13880" xr:uid="{00000000-0005-0000-0000-0000A5100000}"/>
    <cellStyle name="Normal 4 5 2 2 5 7" xfId="13881" xr:uid="{00000000-0005-0000-0000-0000A6100000}"/>
    <cellStyle name="Normal 4 5 2 2 6" xfId="2519" xr:uid="{00000000-0005-0000-0000-0000A7100000}"/>
    <cellStyle name="Normal 4 5 2 2 6 2" xfId="2520" xr:uid="{00000000-0005-0000-0000-0000A8100000}"/>
    <cellStyle name="Normal 4 5 2 2 6 2 2" xfId="2521" xr:uid="{00000000-0005-0000-0000-0000A9100000}"/>
    <cellStyle name="Normal 4 5 2 2 6 2 2 2" xfId="13882" xr:uid="{00000000-0005-0000-0000-0000AA100000}"/>
    <cellStyle name="Normal 4 5 2 2 6 2 3" xfId="2522" xr:uid="{00000000-0005-0000-0000-0000AB100000}"/>
    <cellStyle name="Normal 4 5 2 2 6 2 3 2" xfId="13883" xr:uid="{00000000-0005-0000-0000-0000AC100000}"/>
    <cellStyle name="Normal 4 5 2 2 6 2 4" xfId="13884" xr:uid="{00000000-0005-0000-0000-0000AD100000}"/>
    <cellStyle name="Normal 4 5 2 2 6 3" xfId="2523" xr:uid="{00000000-0005-0000-0000-0000AE100000}"/>
    <cellStyle name="Normal 4 5 2 2 6 3 2" xfId="2524" xr:uid="{00000000-0005-0000-0000-0000AF100000}"/>
    <cellStyle name="Normal 4 5 2 2 6 3 2 2" xfId="13885" xr:uid="{00000000-0005-0000-0000-0000B0100000}"/>
    <cellStyle name="Normal 4 5 2 2 6 3 3" xfId="2525" xr:uid="{00000000-0005-0000-0000-0000B1100000}"/>
    <cellStyle name="Normal 4 5 2 2 6 3 3 2" xfId="13886" xr:uid="{00000000-0005-0000-0000-0000B2100000}"/>
    <cellStyle name="Normal 4 5 2 2 6 3 4" xfId="13887" xr:uid="{00000000-0005-0000-0000-0000B3100000}"/>
    <cellStyle name="Normal 4 5 2 2 6 4" xfId="2526" xr:uid="{00000000-0005-0000-0000-0000B4100000}"/>
    <cellStyle name="Normal 4 5 2 2 6 4 2" xfId="13888" xr:uid="{00000000-0005-0000-0000-0000B5100000}"/>
    <cellStyle name="Normal 4 5 2 2 6 5" xfId="2527" xr:uid="{00000000-0005-0000-0000-0000B6100000}"/>
    <cellStyle name="Normal 4 5 2 2 6 5 2" xfId="13889" xr:uid="{00000000-0005-0000-0000-0000B7100000}"/>
    <cellStyle name="Normal 4 5 2 2 6 6" xfId="13890" xr:uid="{00000000-0005-0000-0000-0000B8100000}"/>
    <cellStyle name="Normal 4 5 2 2 7" xfId="2528" xr:uid="{00000000-0005-0000-0000-0000B9100000}"/>
    <cellStyle name="Normal 4 5 2 2 7 2" xfId="2529" xr:uid="{00000000-0005-0000-0000-0000BA100000}"/>
    <cellStyle name="Normal 4 5 2 2 7 2 2" xfId="2530" xr:uid="{00000000-0005-0000-0000-0000BB100000}"/>
    <cellStyle name="Normal 4 5 2 2 7 2 2 2" xfId="13891" xr:uid="{00000000-0005-0000-0000-0000BC100000}"/>
    <cellStyle name="Normal 4 5 2 2 7 2 3" xfId="2531" xr:uid="{00000000-0005-0000-0000-0000BD100000}"/>
    <cellStyle name="Normal 4 5 2 2 7 2 3 2" xfId="13892" xr:uid="{00000000-0005-0000-0000-0000BE100000}"/>
    <cellStyle name="Normal 4 5 2 2 7 2 4" xfId="13893" xr:uid="{00000000-0005-0000-0000-0000BF100000}"/>
    <cellStyle name="Normal 4 5 2 2 7 3" xfId="2532" xr:uid="{00000000-0005-0000-0000-0000C0100000}"/>
    <cellStyle name="Normal 4 5 2 2 7 3 2" xfId="2533" xr:uid="{00000000-0005-0000-0000-0000C1100000}"/>
    <cellStyle name="Normal 4 5 2 2 7 3 2 2" xfId="13894" xr:uid="{00000000-0005-0000-0000-0000C2100000}"/>
    <cellStyle name="Normal 4 5 2 2 7 3 3" xfId="2534" xr:uid="{00000000-0005-0000-0000-0000C3100000}"/>
    <cellStyle name="Normal 4 5 2 2 7 3 3 2" xfId="13895" xr:uid="{00000000-0005-0000-0000-0000C4100000}"/>
    <cellStyle name="Normal 4 5 2 2 7 3 4" xfId="13896" xr:uid="{00000000-0005-0000-0000-0000C5100000}"/>
    <cellStyle name="Normal 4 5 2 2 7 4" xfId="2535" xr:uid="{00000000-0005-0000-0000-0000C6100000}"/>
    <cellStyle name="Normal 4 5 2 2 7 4 2" xfId="13897" xr:uid="{00000000-0005-0000-0000-0000C7100000}"/>
    <cellStyle name="Normal 4 5 2 2 7 5" xfId="2536" xr:uid="{00000000-0005-0000-0000-0000C8100000}"/>
    <cellStyle name="Normal 4 5 2 2 7 5 2" xfId="13898" xr:uid="{00000000-0005-0000-0000-0000C9100000}"/>
    <cellStyle name="Normal 4 5 2 2 7 6" xfId="13899" xr:uid="{00000000-0005-0000-0000-0000CA100000}"/>
    <cellStyle name="Normal 4 5 2 2 8" xfId="2537" xr:uid="{00000000-0005-0000-0000-0000CB100000}"/>
    <cellStyle name="Normal 4 5 2 2 8 2" xfId="2538" xr:uid="{00000000-0005-0000-0000-0000CC100000}"/>
    <cellStyle name="Normal 4 5 2 2 8 2 2" xfId="13900" xr:uid="{00000000-0005-0000-0000-0000CD100000}"/>
    <cellStyle name="Normal 4 5 2 2 8 3" xfId="2539" xr:uid="{00000000-0005-0000-0000-0000CE100000}"/>
    <cellStyle name="Normal 4 5 2 2 8 3 2" xfId="13901" xr:uid="{00000000-0005-0000-0000-0000CF100000}"/>
    <cellStyle name="Normal 4 5 2 2 8 4" xfId="13902" xr:uid="{00000000-0005-0000-0000-0000D0100000}"/>
    <cellStyle name="Normal 4 5 2 2 9" xfId="2540" xr:uid="{00000000-0005-0000-0000-0000D1100000}"/>
    <cellStyle name="Normal 4 5 2 2 9 2" xfId="2541" xr:uid="{00000000-0005-0000-0000-0000D2100000}"/>
    <cellStyle name="Normal 4 5 2 2 9 2 2" xfId="13903" xr:uid="{00000000-0005-0000-0000-0000D3100000}"/>
    <cellStyle name="Normal 4 5 2 2 9 3" xfId="2542" xr:uid="{00000000-0005-0000-0000-0000D4100000}"/>
    <cellStyle name="Normal 4 5 2 2 9 3 2" xfId="13904" xr:uid="{00000000-0005-0000-0000-0000D5100000}"/>
    <cellStyle name="Normal 4 5 2 2 9 4" xfId="13905" xr:uid="{00000000-0005-0000-0000-0000D6100000}"/>
    <cellStyle name="Normal 4 5 2 3" xfId="2543" xr:uid="{00000000-0005-0000-0000-0000D7100000}"/>
    <cellStyle name="Normal 4 5 2 3 10" xfId="2544" xr:uid="{00000000-0005-0000-0000-0000D8100000}"/>
    <cellStyle name="Normal 4 5 2 3 10 2" xfId="13906" xr:uid="{00000000-0005-0000-0000-0000D9100000}"/>
    <cellStyle name="Normal 4 5 2 3 11" xfId="13907" xr:uid="{00000000-0005-0000-0000-0000DA100000}"/>
    <cellStyle name="Normal 4 5 2 3 2" xfId="2545" xr:uid="{00000000-0005-0000-0000-0000DB100000}"/>
    <cellStyle name="Normal 4 5 2 3 2 10" xfId="13908" xr:uid="{00000000-0005-0000-0000-0000DC100000}"/>
    <cellStyle name="Normal 4 5 2 3 2 2" xfId="2546" xr:uid="{00000000-0005-0000-0000-0000DD100000}"/>
    <cellStyle name="Normal 4 5 2 3 2 2 2" xfId="2547" xr:uid="{00000000-0005-0000-0000-0000DE100000}"/>
    <cellStyle name="Normal 4 5 2 3 2 2 2 2" xfId="2548" xr:uid="{00000000-0005-0000-0000-0000DF100000}"/>
    <cellStyle name="Normal 4 5 2 3 2 2 2 2 2" xfId="2549" xr:uid="{00000000-0005-0000-0000-0000E0100000}"/>
    <cellStyle name="Normal 4 5 2 3 2 2 2 2 2 2" xfId="13909" xr:uid="{00000000-0005-0000-0000-0000E1100000}"/>
    <cellStyle name="Normal 4 5 2 3 2 2 2 2 3" xfId="2550" xr:uid="{00000000-0005-0000-0000-0000E2100000}"/>
    <cellStyle name="Normal 4 5 2 3 2 2 2 2 3 2" xfId="13910" xr:uid="{00000000-0005-0000-0000-0000E3100000}"/>
    <cellStyle name="Normal 4 5 2 3 2 2 2 2 4" xfId="13911" xr:uid="{00000000-0005-0000-0000-0000E4100000}"/>
    <cellStyle name="Normal 4 5 2 3 2 2 2 3" xfId="2551" xr:uid="{00000000-0005-0000-0000-0000E5100000}"/>
    <cellStyle name="Normal 4 5 2 3 2 2 2 3 2" xfId="2552" xr:uid="{00000000-0005-0000-0000-0000E6100000}"/>
    <cellStyle name="Normal 4 5 2 3 2 2 2 3 2 2" xfId="13912" xr:uid="{00000000-0005-0000-0000-0000E7100000}"/>
    <cellStyle name="Normal 4 5 2 3 2 2 2 3 3" xfId="2553" xr:uid="{00000000-0005-0000-0000-0000E8100000}"/>
    <cellStyle name="Normal 4 5 2 3 2 2 2 3 3 2" xfId="13913" xr:uid="{00000000-0005-0000-0000-0000E9100000}"/>
    <cellStyle name="Normal 4 5 2 3 2 2 2 3 4" xfId="13914" xr:uid="{00000000-0005-0000-0000-0000EA100000}"/>
    <cellStyle name="Normal 4 5 2 3 2 2 2 4" xfId="2554" xr:uid="{00000000-0005-0000-0000-0000EB100000}"/>
    <cellStyle name="Normal 4 5 2 3 2 2 2 4 2" xfId="13915" xr:uid="{00000000-0005-0000-0000-0000EC100000}"/>
    <cellStyle name="Normal 4 5 2 3 2 2 2 5" xfId="2555" xr:uid="{00000000-0005-0000-0000-0000ED100000}"/>
    <cellStyle name="Normal 4 5 2 3 2 2 2 5 2" xfId="13916" xr:uid="{00000000-0005-0000-0000-0000EE100000}"/>
    <cellStyle name="Normal 4 5 2 3 2 2 2 6" xfId="13917" xr:uid="{00000000-0005-0000-0000-0000EF100000}"/>
    <cellStyle name="Normal 4 5 2 3 2 2 3" xfId="2556" xr:uid="{00000000-0005-0000-0000-0000F0100000}"/>
    <cellStyle name="Normal 4 5 2 3 2 2 3 2" xfId="2557" xr:uid="{00000000-0005-0000-0000-0000F1100000}"/>
    <cellStyle name="Normal 4 5 2 3 2 2 3 2 2" xfId="2558" xr:uid="{00000000-0005-0000-0000-0000F2100000}"/>
    <cellStyle name="Normal 4 5 2 3 2 2 3 2 2 2" xfId="13918" xr:uid="{00000000-0005-0000-0000-0000F3100000}"/>
    <cellStyle name="Normal 4 5 2 3 2 2 3 2 3" xfId="2559" xr:uid="{00000000-0005-0000-0000-0000F4100000}"/>
    <cellStyle name="Normal 4 5 2 3 2 2 3 2 3 2" xfId="13919" xr:uid="{00000000-0005-0000-0000-0000F5100000}"/>
    <cellStyle name="Normal 4 5 2 3 2 2 3 2 4" xfId="13920" xr:uid="{00000000-0005-0000-0000-0000F6100000}"/>
    <cellStyle name="Normal 4 5 2 3 2 2 3 3" xfId="2560" xr:uid="{00000000-0005-0000-0000-0000F7100000}"/>
    <cellStyle name="Normal 4 5 2 3 2 2 3 3 2" xfId="2561" xr:uid="{00000000-0005-0000-0000-0000F8100000}"/>
    <cellStyle name="Normal 4 5 2 3 2 2 3 3 2 2" xfId="13921" xr:uid="{00000000-0005-0000-0000-0000F9100000}"/>
    <cellStyle name="Normal 4 5 2 3 2 2 3 3 3" xfId="2562" xr:uid="{00000000-0005-0000-0000-0000FA100000}"/>
    <cellStyle name="Normal 4 5 2 3 2 2 3 3 3 2" xfId="13922" xr:uid="{00000000-0005-0000-0000-0000FB100000}"/>
    <cellStyle name="Normal 4 5 2 3 2 2 3 3 4" xfId="13923" xr:uid="{00000000-0005-0000-0000-0000FC100000}"/>
    <cellStyle name="Normal 4 5 2 3 2 2 3 4" xfId="2563" xr:uid="{00000000-0005-0000-0000-0000FD100000}"/>
    <cellStyle name="Normal 4 5 2 3 2 2 3 4 2" xfId="13924" xr:uid="{00000000-0005-0000-0000-0000FE100000}"/>
    <cellStyle name="Normal 4 5 2 3 2 2 3 5" xfId="2564" xr:uid="{00000000-0005-0000-0000-0000FF100000}"/>
    <cellStyle name="Normal 4 5 2 3 2 2 3 5 2" xfId="13925" xr:uid="{00000000-0005-0000-0000-000000110000}"/>
    <cellStyle name="Normal 4 5 2 3 2 2 3 6" xfId="13926" xr:uid="{00000000-0005-0000-0000-000001110000}"/>
    <cellStyle name="Normal 4 5 2 3 2 2 4" xfId="2565" xr:uid="{00000000-0005-0000-0000-000002110000}"/>
    <cellStyle name="Normal 4 5 2 3 2 2 4 2" xfId="2566" xr:uid="{00000000-0005-0000-0000-000003110000}"/>
    <cellStyle name="Normal 4 5 2 3 2 2 4 2 2" xfId="13927" xr:uid="{00000000-0005-0000-0000-000004110000}"/>
    <cellStyle name="Normal 4 5 2 3 2 2 4 3" xfId="2567" xr:uid="{00000000-0005-0000-0000-000005110000}"/>
    <cellStyle name="Normal 4 5 2 3 2 2 4 3 2" xfId="13928" xr:uid="{00000000-0005-0000-0000-000006110000}"/>
    <cellStyle name="Normal 4 5 2 3 2 2 4 4" xfId="13929" xr:uid="{00000000-0005-0000-0000-000007110000}"/>
    <cellStyle name="Normal 4 5 2 3 2 2 5" xfId="2568" xr:uid="{00000000-0005-0000-0000-000008110000}"/>
    <cellStyle name="Normal 4 5 2 3 2 2 5 2" xfId="2569" xr:uid="{00000000-0005-0000-0000-000009110000}"/>
    <cellStyle name="Normal 4 5 2 3 2 2 5 2 2" xfId="13930" xr:uid="{00000000-0005-0000-0000-00000A110000}"/>
    <cellStyle name="Normal 4 5 2 3 2 2 5 3" xfId="2570" xr:uid="{00000000-0005-0000-0000-00000B110000}"/>
    <cellStyle name="Normal 4 5 2 3 2 2 5 3 2" xfId="13931" xr:uid="{00000000-0005-0000-0000-00000C110000}"/>
    <cellStyle name="Normal 4 5 2 3 2 2 5 4" xfId="13932" xr:uid="{00000000-0005-0000-0000-00000D110000}"/>
    <cellStyle name="Normal 4 5 2 3 2 2 6" xfId="2571" xr:uid="{00000000-0005-0000-0000-00000E110000}"/>
    <cellStyle name="Normal 4 5 2 3 2 2 6 2" xfId="13933" xr:uid="{00000000-0005-0000-0000-00000F110000}"/>
    <cellStyle name="Normal 4 5 2 3 2 2 7" xfId="2572" xr:uid="{00000000-0005-0000-0000-000010110000}"/>
    <cellStyle name="Normal 4 5 2 3 2 2 7 2" xfId="13934" xr:uid="{00000000-0005-0000-0000-000011110000}"/>
    <cellStyle name="Normal 4 5 2 3 2 2 8" xfId="13935" xr:uid="{00000000-0005-0000-0000-000012110000}"/>
    <cellStyle name="Normal 4 5 2 3 2 3" xfId="2573" xr:uid="{00000000-0005-0000-0000-000013110000}"/>
    <cellStyle name="Normal 4 5 2 3 2 3 2" xfId="2574" xr:uid="{00000000-0005-0000-0000-000014110000}"/>
    <cellStyle name="Normal 4 5 2 3 2 3 2 2" xfId="2575" xr:uid="{00000000-0005-0000-0000-000015110000}"/>
    <cellStyle name="Normal 4 5 2 3 2 3 2 2 2" xfId="2576" xr:uid="{00000000-0005-0000-0000-000016110000}"/>
    <cellStyle name="Normal 4 5 2 3 2 3 2 2 2 2" xfId="13936" xr:uid="{00000000-0005-0000-0000-000017110000}"/>
    <cellStyle name="Normal 4 5 2 3 2 3 2 2 3" xfId="2577" xr:uid="{00000000-0005-0000-0000-000018110000}"/>
    <cellStyle name="Normal 4 5 2 3 2 3 2 2 3 2" xfId="13937" xr:uid="{00000000-0005-0000-0000-000019110000}"/>
    <cellStyle name="Normal 4 5 2 3 2 3 2 2 4" xfId="13938" xr:uid="{00000000-0005-0000-0000-00001A110000}"/>
    <cellStyle name="Normal 4 5 2 3 2 3 2 3" xfId="2578" xr:uid="{00000000-0005-0000-0000-00001B110000}"/>
    <cellStyle name="Normal 4 5 2 3 2 3 2 3 2" xfId="2579" xr:uid="{00000000-0005-0000-0000-00001C110000}"/>
    <cellStyle name="Normal 4 5 2 3 2 3 2 3 2 2" xfId="13939" xr:uid="{00000000-0005-0000-0000-00001D110000}"/>
    <cellStyle name="Normal 4 5 2 3 2 3 2 3 3" xfId="2580" xr:uid="{00000000-0005-0000-0000-00001E110000}"/>
    <cellStyle name="Normal 4 5 2 3 2 3 2 3 3 2" xfId="13940" xr:uid="{00000000-0005-0000-0000-00001F110000}"/>
    <cellStyle name="Normal 4 5 2 3 2 3 2 3 4" xfId="13941" xr:uid="{00000000-0005-0000-0000-000020110000}"/>
    <cellStyle name="Normal 4 5 2 3 2 3 2 4" xfId="2581" xr:uid="{00000000-0005-0000-0000-000021110000}"/>
    <cellStyle name="Normal 4 5 2 3 2 3 2 4 2" xfId="13942" xr:uid="{00000000-0005-0000-0000-000022110000}"/>
    <cellStyle name="Normal 4 5 2 3 2 3 2 5" xfId="2582" xr:uid="{00000000-0005-0000-0000-000023110000}"/>
    <cellStyle name="Normal 4 5 2 3 2 3 2 5 2" xfId="13943" xr:uid="{00000000-0005-0000-0000-000024110000}"/>
    <cellStyle name="Normal 4 5 2 3 2 3 2 6" xfId="13944" xr:uid="{00000000-0005-0000-0000-000025110000}"/>
    <cellStyle name="Normal 4 5 2 3 2 3 3" xfId="2583" xr:uid="{00000000-0005-0000-0000-000026110000}"/>
    <cellStyle name="Normal 4 5 2 3 2 3 3 2" xfId="2584" xr:uid="{00000000-0005-0000-0000-000027110000}"/>
    <cellStyle name="Normal 4 5 2 3 2 3 3 2 2" xfId="13945" xr:uid="{00000000-0005-0000-0000-000028110000}"/>
    <cellStyle name="Normal 4 5 2 3 2 3 3 3" xfId="2585" xr:uid="{00000000-0005-0000-0000-000029110000}"/>
    <cellStyle name="Normal 4 5 2 3 2 3 3 3 2" xfId="13946" xr:uid="{00000000-0005-0000-0000-00002A110000}"/>
    <cellStyle name="Normal 4 5 2 3 2 3 3 4" xfId="13947" xr:uid="{00000000-0005-0000-0000-00002B110000}"/>
    <cellStyle name="Normal 4 5 2 3 2 3 4" xfId="2586" xr:uid="{00000000-0005-0000-0000-00002C110000}"/>
    <cellStyle name="Normal 4 5 2 3 2 3 4 2" xfId="2587" xr:uid="{00000000-0005-0000-0000-00002D110000}"/>
    <cellStyle name="Normal 4 5 2 3 2 3 4 2 2" xfId="13948" xr:uid="{00000000-0005-0000-0000-00002E110000}"/>
    <cellStyle name="Normal 4 5 2 3 2 3 4 3" xfId="2588" xr:uid="{00000000-0005-0000-0000-00002F110000}"/>
    <cellStyle name="Normal 4 5 2 3 2 3 4 3 2" xfId="13949" xr:uid="{00000000-0005-0000-0000-000030110000}"/>
    <cellStyle name="Normal 4 5 2 3 2 3 4 4" xfId="13950" xr:uid="{00000000-0005-0000-0000-000031110000}"/>
    <cellStyle name="Normal 4 5 2 3 2 3 5" xfId="2589" xr:uid="{00000000-0005-0000-0000-000032110000}"/>
    <cellStyle name="Normal 4 5 2 3 2 3 5 2" xfId="13951" xr:uid="{00000000-0005-0000-0000-000033110000}"/>
    <cellStyle name="Normal 4 5 2 3 2 3 6" xfId="2590" xr:uid="{00000000-0005-0000-0000-000034110000}"/>
    <cellStyle name="Normal 4 5 2 3 2 3 6 2" xfId="13952" xr:uid="{00000000-0005-0000-0000-000035110000}"/>
    <cellStyle name="Normal 4 5 2 3 2 3 7" xfId="13953" xr:uid="{00000000-0005-0000-0000-000036110000}"/>
    <cellStyle name="Normal 4 5 2 3 2 4" xfId="2591" xr:uid="{00000000-0005-0000-0000-000037110000}"/>
    <cellStyle name="Normal 4 5 2 3 2 4 2" xfId="2592" xr:uid="{00000000-0005-0000-0000-000038110000}"/>
    <cellStyle name="Normal 4 5 2 3 2 4 2 2" xfId="2593" xr:uid="{00000000-0005-0000-0000-000039110000}"/>
    <cellStyle name="Normal 4 5 2 3 2 4 2 2 2" xfId="13954" xr:uid="{00000000-0005-0000-0000-00003A110000}"/>
    <cellStyle name="Normal 4 5 2 3 2 4 2 3" xfId="2594" xr:uid="{00000000-0005-0000-0000-00003B110000}"/>
    <cellStyle name="Normal 4 5 2 3 2 4 2 3 2" xfId="13955" xr:uid="{00000000-0005-0000-0000-00003C110000}"/>
    <cellStyle name="Normal 4 5 2 3 2 4 2 4" xfId="13956" xr:uid="{00000000-0005-0000-0000-00003D110000}"/>
    <cellStyle name="Normal 4 5 2 3 2 4 3" xfId="2595" xr:uid="{00000000-0005-0000-0000-00003E110000}"/>
    <cellStyle name="Normal 4 5 2 3 2 4 3 2" xfId="2596" xr:uid="{00000000-0005-0000-0000-00003F110000}"/>
    <cellStyle name="Normal 4 5 2 3 2 4 3 2 2" xfId="13957" xr:uid="{00000000-0005-0000-0000-000040110000}"/>
    <cellStyle name="Normal 4 5 2 3 2 4 3 3" xfId="2597" xr:uid="{00000000-0005-0000-0000-000041110000}"/>
    <cellStyle name="Normal 4 5 2 3 2 4 3 3 2" xfId="13958" xr:uid="{00000000-0005-0000-0000-000042110000}"/>
    <cellStyle name="Normal 4 5 2 3 2 4 3 4" xfId="13959" xr:uid="{00000000-0005-0000-0000-000043110000}"/>
    <cellStyle name="Normal 4 5 2 3 2 4 4" xfId="2598" xr:uid="{00000000-0005-0000-0000-000044110000}"/>
    <cellStyle name="Normal 4 5 2 3 2 4 4 2" xfId="13960" xr:uid="{00000000-0005-0000-0000-000045110000}"/>
    <cellStyle name="Normal 4 5 2 3 2 4 5" xfId="2599" xr:uid="{00000000-0005-0000-0000-000046110000}"/>
    <cellStyle name="Normal 4 5 2 3 2 4 5 2" xfId="13961" xr:uid="{00000000-0005-0000-0000-000047110000}"/>
    <cellStyle name="Normal 4 5 2 3 2 4 6" xfId="13962" xr:uid="{00000000-0005-0000-0000-000048110000}"/>
    <cellStyle name="Normal 4 5 2 3 2 5" xfId="2600" xr:uid="{00000000-0005-0000-0000-000049110000}"/>
    <cellStyle name="Normal 4 5 2 3 2 5 2" xfId="2601" xr:uid="{00000000-0005-0000-0000-00004A110000}"/>
    <cellStyle name="Normal 4 5 2 3 2 5 2 2" xfId="2602" xr:uid="{00000000-0005-0000-0000-00004B110000}"/>
    <cellStyle name="Normal 4 5 2 3 2 5 2 2 2" xfId="13963" xr:uid="{00000000-0005-0000-0000-00004C110000}"/>
    <cellStyle name="Normal 4 5 2 3 2 5 2 3" xfId="2603" xr:uid="{00000000-0005-0000-0000-00004D110000}"/>
    <cellStyle name="Normal 4 5 2 3 2 5 2 3 2" xfId="13964" xr:uid="{00000000-0005-0000-0000-00004E110000}"/>
    <cellStyle name="Normal 4 5 2 3 2 5 2 4" xfId="13965" xr:uid="{00000000-0005-0000-0000-00004F110000}"/>
    <cellStyle name="Normal 4 5 2 3 2 5 3" xfId="2604" xr:uid="{00000000-0005-0000-0000-000050110000}"/>
    <cellStyle name="Normal 4 5 2 3 2 5 3 2" xfId="2605" xr:uid="{00000000-0005-0000-0000-000051110000}"/>
    <cellStyle name="Normal 4 5 2 3 2 5 3 2 2" xfId="13966" xr:uid="{00000000-0005-0000-0000-000052110000}"/>
    <cellStyle name="Normal 4 5 2 3 2 5 3 3" xfId="2606" xr:uid="{00000000-0005-0000-0000-000053110000}"/>
    <cellStyle name="Normal 4 5 2 3 2 5 3 3 2" xfId="13967" xr:uid="{00000000-0005-0000-0000-000054110000}"/>
    <cellStyle name="Normal 4 5 2 3 2 5 3 4" xfId="13968" xr:uid="{00000000-0005-0000-0000-000055110000}"/>
    <cellStyle name="Normal 4 5 2 3 2 5 4" xfId="2607" xr:uid="{00000000-0005-0000-0000-000056110000}"/>
    <cellStyle name="Normal 4 5 2 3 2 5 4 2" xfId="13969" xr:uid="{00000000-0005-0000-0000-000057110000}"/>
    <cellStyle name="Normal 4 5 2 3 2 5 5" xfId="2608" xr:uid="{00000000-0005-0000-0000-000058110000}"/>
    <cellStyle name="Normal 4 5 2 3 2 5 5 2" xfId="13970" xr:uid="{00000000-0005-0000-0000-000059110000}"/>
    <cellStyle name="Normal 4 5 2 3 2 5 6" xfId="13971" xr:uid="{00000000-0005-0000-0000-00005A110000}"/>
    <cellStyle name="Normal 4 5 2 3 2 6" xfId="2609" xr:uid="{00000000-0005-0000-0000-00005B110000}"/>
    <cellStyle name="Normal 4 5 2 3 2 6 2" xfId="2610" xr:uid="{00000000-0005-0000-0000-00005C110000}"/>
    <cellStyle name="Normal 4 5 2 3 2 6 2 2" xfId="13972" xr:uid="{00000000-0005-0000-0000-00005D110000}"/>
    <cellStyle name="Normal 4 5 2 3 2 6 3" xfId="2611" xr:uid="{00000000-0005-0000-0000-00005E110000}"/>
    <cellStyle name="Normal 4 5 2 3 2 6 3 2" xfId="13973" xr:uid="{00000000-0005-0000-0000-00005F110000}"/>
    <cellStyle name="Normal 4 5 2 3 2 6 4" xfId="13974" xr:uid="{00000000-0005-0000-0000-000060110000}"/>
    <cellStyle name="Normal 4 5 2 3 2 7" xfId="2612" xr:uid="{00000000-0005-0000-0000-000061110000}"/>
    <cellStyle name="Normal 4 5 2 3 2 7 2" xfId="2613" xr:uid="{00000000-0005-0000-0000-000062110000}"/>
    <cellStyle name="Normal 4 5 2 3 2 7 2 2" xfId="13975" xr:uid="{00000000-0005-0000-0000-000063110000}"/>
    <cellStyle name="Normal 4 5 2 3 2 7 3" xfId="2614" xr:uid="{00000000-0005-0000-0000-000064110000}"/>
    <cellStyle name="Normal 4 5 2 3 2 7 3 2" xfId="13976" xr:uid="{00000000-0005-0000-0000-000065110000}"/>
    <cellStyle name="Normal 4 5 2 3 2 7 4" xfId="13977" xr:uid="{00000000-0005-0000-0000-000066110000}"/>
    <cellStyle name="Normal 4 5 2 3 2 8" xfId="2615" xr:uid="{00000000-0005-0000-0000-000067110000}"/>
    <cellStyle name="Normal 4 5 2 3 2 8 2" xfId="13978" xr:uid="{00000000-0005-0000-0000-000068110000}"/>
    <cellStyle name="Normal 4 5 2 3 2 9" xfId="2616" xr:uid="{00000000-0005-0000-0000-000069110000}"/>
    <cellStyle name="Normal 4 5 2 3 2 9 2" xfId="13979" xr:uid="{00000000-0005-0000-0000-00006A110000}"/>
    <cellStyle name="Normal 4 5 2 3 3" xfId="2617" xr:uid="{00000000-0005-0000-0000-00006B110000}"/>
    <cellStyle name="Normal 4 5 2 3 3 2" xfId="2618" xr:uid="{00000000-0005-0000-0000-00006C110000}"/>
    <cellStyle name="Normal 4 5 2 3 3 2 2" xfId="2619" xr:uid="{00000000-0005-0000-0000-00006D110000}"/>
    <cellStyle name="Normal 4 5 2 3 3 2 2 2" xfId="2620" xr:uid="{00000000-0005-0000-0000-00006E110000}"/>
    <cellStyle name="Normal 4 5 2 3 3 2 2 2 2" xfId="13980" xr:uid="{00000000-0005-0000-0000-00006F110000}"/>
    <cellStyle name="Normal 4 5 2 3 3 2 2 3" xfId="2621" xr:uid="{00000000-0005-0000-0000-000070110000}"/>
    <cellStyle name="Normal 4 5 2 3 3 2 2 3 2" xfId="13981" xr:uid="{00000000-0005-0000-0000-000071110000}"/>
    <cellStyle name="Normal 4 5 2 3 3 2 2 4" xfId="13982" xr:uid="{00000000-0005-0000-0000-000072110000}"/>
    <cellStyle name="Normal 4 5 2 3 3 2 3" xfId="2622" xr:uid="{00000000-0005-0000-0000-000073110000}"/>
    <cellStyle name="Normal 4 5 2 3 3 2 3 2" xfId="2623" xr:uid="{00000000-0005-0000-0000-000074110000}"/>
    <cellStyle name="Normal 4 5 2 3 3 2 3 2 2" xfId="13983" xr:uid="{00000000-0005-0000-0000-000075110000}"/>
    <cellStyle name="Normal 4 5 2 3 3 2 3 3" xfId="2624" xr:uid="{00000000-0005-0000-0000-000076110000}"/>
    <cellStyle name="Normal 4 5 2 3 3 2 3 3 2" xfId="13984" xr:uid="{00000000-0005-0000-0000-000077110000}"/>
    <cellStyle name="Normal 4 5 2 3 3 2 3 4" xfId="13985" xr:uid="{00000000-0005-0000-0000-000078110000}"/>
    <cellStyle name="Normal 4 5 2 3 3 2 4" xfId="2625" xr:uid="{00000000-0005-0000-0000-000079110000}"/>
    <cellStyle name="Normal 4 5 2 3 3 2 4 2" xfId="13986" xr:uid="{00000000-0005-0000-0000-00007A110000}"/>
    <cellStyle name="Normal 4 5 2 3 3 2 5" xfId="2626" xr:uid="{00000000-0005-0000-0000-00007B110000}"/>
    <cellStyle name="Normal 4 5 2 3 3 2 5 2" xfId="13987" xr:uid="{00000000-0005-0000-0000-00007C110000}"/>
    <cellStyle name="Normal 4 5 2 3 3 2 6" xfId="13988" xr:uid="{00000000-0005-0000-0000-00007D110000}"/>
    <cellStyle name="Normal 4 5 2 3 3 3" xfId="2627" xr:uid="{00000000-0005-0000-0000-00007E110000}"/>
    <cellStyle name="Normal 4 5 2 3 3 3 2" xfId="2628" xr:uid="{00000000-0005-0000-0000-00007F110000}"/>
    <cellStyle name="Normal 4 5 2 3 3 3 2 2" xfId="2629" xr:uid="{00000000-0005-0000-0000-000080110000}"/>
    <cellStyle name="Normal 4 5 2 3 3 3 2 2 2" xfId="13989" xr:uid="{00000000-0005-0000-0000-000081110000}"/>
    <cellStyle name="Normal 4 5 2 3 3 3 2 3" xfId="2630" xr:uid="{00000000-0005-0000-0000-000082110000}"/>
    <cellStyle name="Normal 4 5 2 3 3 3 2 3 2" xfId="13990" xr:uid="{00000000-0005-0000-0000-000083110000}"/>
    <cellStyle name="Normal 4 5 2 3 3 3 2 4" xfId="13991" xr:uid="{00000000-0005-0000-0000-000084110000}"/>
    <cellStyle name="Normal 4 5 2 3 3 3 3" xfId="2631" xr:uid="{00000000-0005-0000-0000-000085110000}"/>
    <cellStyle name="Normal 4 5 2 3 3 3 3 2" xfId="2632" xr:uid="{00000000-0005-0000-0000-000086110000}"/>
    <cellStyle name="Normal 4 5 2 3 3 3 3 2 2" xfId="13992" xr:uid="{00000000-0005-0000-0000-000087110000}"/>
    <cellStyle name="Normal 4 5 2 3 3 3 3 3" xfId="2633" xr:uid="{00000000-0005-0000-0000-000088110000}"/>
    <cellStyle name="Normal 4 5 2 3 3 3 3 3 2" xfId="13993" xr:uid="{00000000-0005-0000-0000-000089110000}"/>
    <cellStyle name="Normal 4 5 2 3 3 3 3 4" xfId="13994" xr:uid="{00000000-0005-0000-0000-00008A110000}"/>
    <cellStyle name="Normal 4 5 2 3 3 3 4" xfId="2634" xr:uid="{00000000-0005-0000-0000-00008B110000}"/>
    <cellStyle name="Normal 4 5 2 3 3 3 4 2" xfId="13995" xr:uid="{00000000-0005-0000-0000-00008C110000}"/>
    <cellStyle name="Normal 4 5 2 3 3 3 5" xfId="2635" xr:uid="{00000000-0005-0000-0000-00008D110000}"/>
    <cellStyle name="Normal 4 5 2 3 3 3 5 2" xfId="13996" xr:uid="{00000000-0005-0000-0000-00008E110000}"/>
    <cellStyle name="Normal 4 5 2 3 3 3 6" xfId="13997" xr:uid="{00000000-0005-0000-0000-00008F110000}"/>
    <cellStyle name="Normal 4 5 2 3 3 4" xfId="2636" xr:uid="{00000000-0005-0000-0000-000090110000}"/>
    <cellStyle name="Normal 4 5 2 3 3 4 2" xfId="2637" xr:uid="{00000000-0005-0000-0000-000091110000}"/>
    <cellStyle name="Normal 4 5 2 3 3 4 2 2" xfId="13998" xr:uid="{00000000-0005-0000-0000-000092110000}"/>
    <cellStyle name="Normal 4 5 2 3 3 4 3" xfId="2638" xr:uid="{00000000-0005-0000-0000-000093110000}"/>
    <cellStyle name="Normal 4 5 2 3 3 4 3 2" xfId="13999" xr:uid="{00000000-0005-0000-0000-000094110000}"/>
    <cellStyle name="Normal 4 5 2 3 3 4 4" xfId="14000" xr:uid="{00000000-0005-0000-0000-000095110000}"/>
    <cellStyle name="Normal 4 5 2 3 3 5" xfId="2639" xr:uid="{00000000-0005-0000-0000-000096110000}"/>
    <cellStyle name="Normal 4 5 2 3 3 5 2" xfId="2640" xr:uid="{00000000-0005-0000-0000-000097110000}"/>
    <cellStyle name="Normal 4 5 2 3 3 5 2 2" xfId="14001" xr:uid="{00000000-0005-0000-0000-000098110000}"/>
    <cellStyle name="Normal 4 5 2 3 3 5 3" xfId="2641" xr:uid="{00000000-0005-0000-0000-000099110000}"/>
    <cellStyle name="Normal 4 5 2 3 3 5 3 2" xfId="14002" xr:uid="{00000000-0005-0000-0000-00009A110000}"/>
    <cellStyle name="Normal 4 5 2 3 3 5 4" xfId="14003" xr:uid="{00000000-0005-0000-0000-00009B110000}"/>
    <cellStyle name="Normal 4 5 2 3 3 6" xfId="2642" xr:uid="{00000000-0005-0000-0000-00009C110000}"/>
    <cellStyle name="Normal 4 5 2 3 3 6 2" xfId="14004" xr:uid="{00000000-0005-0000-0000-00009D110000}"/>
    <cellStyle name="Normal 4 5 2 3 3 7" xfId="2643" xr:uid="{00000000-0005-0000-0000-00009E110000}"/>
    <cellStyle name="Normal 4 5 2 3 3 7 2" xfId="14005" xr:uid="{00000000-0005-0000-0000-00009F110000}"/>
    <cellStyle name="Normal 4 5 2 3 3 8" xfId="14006" xr:uid="{00000000-0005-0000-0000-0000A0110000}"/>
    <cellStyle name="Normal 4 5 2 3 4" xfId="2644" xr:uid="{00000000-0005-0000-0000-0000A1110000}"/>
    <cellStyle name="Normal 4 5 2 3 4 2" xfId="2645" xr:uid="{00000000-0005-0000-0000-0000A2110000}"/>
    <cellStyle name="Normal 4 5 2 3 4 2 2" xfId="2646" xr:uid="{00000000-0005-0000-0000-0000A3110000}"/>
    <cellStyle name="Normal 4 5 2 3 4 2 2 2" xfId="2647" xr:uid="{00000000-0005-0000-0000-0000A4110000}"/>
    <cellStyle name="Normal 4 5 2 3 4 2 2 2 2" xfId="14007" xr:uid="{00000000-0005-0000-0000-0000A5110000}"/>
    <cellStyle name="Normal 4 5 2 3 4 2 2 3" xfId="2648" xr:uid="{00000000-0005-0000-0000-0000A6110000}"/>
    <cellStyle name="Normal 4 5 2 3 4 2 2 3 2" xfId="14008" xr:uid="{00000000-0005-0000-0000-0000A7110000}"/>
    <cellStyle name="Normal 4 5 2 3 4 2 2 4" xfId="14009" xr:uid="{00000000-0005-0000-0000-0000A8110000}"/>
    <cellStyle name="Normal 4 5 2 3 4 2 3" xfId="2649" xr:uid="{00000000-0005-0000-0000-0000A9110000}"/>
    <cellStyle name="Normal 4 5 2 3 4 2 3 2" xfId="2650" xr:uid="{00000000-0005-0000-0000-0000AA110000}"/>
    <cellStyle name="Normal 4 5 2 3 4 2 3 2 2" xfId="14010" xr:uid="{00000000-0005-0000-0000-0000AB110000}"/>
    <cellStyle name="Normal 4 5 2 3 4 2 3 3" xfId="2651" xr:uid="{00000000-0005-0000-0000-0000AC110000}"/>
    <cellStyle name="Normal 4 5 2 3 4 2 3 3 2" xfId="14011" xr:uid="{00000000-0005-0000-0000-0000AD110000}"/>
    <cellStyle name="Normal 4 5 2 3 4 2 3 4" xfId="14012" xr:uid="{00000000-0005-0000-0000-0000AE110000}"/>
    <cellStyle name="Normal 4 5 2 3 4 2 4" xfId="2652" xr:uid="{00000000-0005-0000-0000-0000AF110000}"/>
    <cellStyle name="Normal 4 5 2 3 4 2 4 2" xfId="14013" xr:uid="{00000000-0005-0000-0000-0000B0110000}"/>
    <cellStyle name="Normal 4 5 2 3 4 2 5" xfId="2653" xr:uid="{00000000-0005-0000-0000-0000B1110000}"/>
    <cellStyle name="Normal 4 5 2 3 4 2 5 2" xfId="14014" xr:uid="{00000000-0005-0000-0000-0000B2110000}"/>
    <cellStyle name="Normal 4 5 2 3 4 2 6" xfId="14015" xr:uid="{00000000-0005-0000-0000-0000B3110000}"/>
    <cellStyle name="Normal 4 5 2 3 4 3" xfId="2654" xr:uid="{00000000-0005-0000-0000-0000B4110000}"/>
    <cellStyle name="Normal 4 5 2 3 4 3 2" xfId="2655" xr:uid="{00000000-0005-0000-0000-0000B5110000}"/>
    <cellStyle name="Normal 4 5 2 3 4 3 2 2" xfId="14016" xr:uid="{00000000-0005-0000-0000-0000B6110000}"/>
    <cellStyle name="Normal 4 5 2 3 4 3 3" xfId="2656" xr:uid="{00000000-0005-0000-0000-0000B7110000}"/>
    <cellStyle name="Normal 4 5 2 3 4 3 3 2" xfId="14017" xr:uid="{00000000-0005-0000-0000-0000B8110000}"/>
    <cellStyle name="Normal 4 5 2 3 4 3 4" xfId="14018" xr:uid="{00000000-0005-0000-0000-0000B9110000}"/>
    <cellStyle name="Normal 4 5 2 3 4 4" xfId="2657" xr:uid="{00000000-0005-0000-0000-0000BA110000}"/>
    <cellStyle name="Normal 4 5 2 3 4 4 2" xfId="2658" xr:uid="{00000000-0005-0000-0000-0000BB110000}"/>
    <cellStyle name="Normal 4 5 2 3 4 4 2 2" xfId="14019" xr:uid="{00000000-0005-0000-0000-0000BC110000}"/>
    <cellStyle name="Normal 4 5 2 3 4 4 3" xfId="2659" xr:uid="{00000000-0005-0000-0000-0000BD110000}"/>
    <cellStyle name="Normal 4 5 2 3 4 4 3 2" xfId="14020" xr:uid="{00000000-0005-0000-0000-0000BE110000}"/>
    <cellStyle name="Normal 4 5 2 3 4 4 4" xfId="14021" xr:uid="{00000000-0005-0000-0000-0000BF110000}"/>
    <cellStyle name="Normal 4 5 2 3 4 5" xfId="2660" xr:uid="{00000000-0005-0000-0000-0000C0110000}"/>
    <cellStyle name="Normal 4 5 2 3 4 5 2" xfId="14022" xr:uid="{00000000-0005-0000-0000-0000C1110000}"/>
    <cellStyle name="Normal 4 5 2 3 4 6" xfId="2661" xr:uid="{00000000-0005-0000-0000-0000C2110000}"/>
    <cellStyle name="Normal 4 5 2 3 4 6 2" xfId="14023" xr:uid="{00000000-0005-0000-0000-0000C3110000}"/>
    <cellStyle name="Normal 4 5 2 3 4 7" xfId="14024" xr:uid="{00000000-0005-0000-0000-0000C4110000}"/>
    <cellStyle name="Normal 4 5 2 3 5" xfId="2662" xr:uid="{00000000-0005-0000-0000-0000C5110000}"/>
    <cellStyle name="Normal 4 5 2 3 5 2" xfId="2663" xr:uid="{00000000-0005-0000-0000-0000C6110000}"/>
    <cellStyle name="Normal 4 5 2 3 5 2 2" xfId="2664" xr:uid="{00000000-0005-0000-0000-0000C7110000}"/>
    <cellStyle name="Normal 4 5 2 3 5 2 2 2" xfId="14025" xr:uid="{00000000-0005-0000-0000-0000C8110000}"/>
    <cellStyle name="Normal 4 5 2 3 5 2 3" xfId="2665" xr:uid="{00000000-0005-0000-0000-0000C9110000}"/>
    <cellStyle name="Normal 4 5 2 3 5 2 3 2" xfId="14026" xr:uid="{00000000-0005-0000-0000-0000CA110000}"/>
    <cellStyle name="Normal 4 5 2 3 5 2 4" xfId="14027" xr:uid="{00000000-0005-0000-0000-0000CB110000}"/>
    <cellStyle name="Normal 4 5 2 3 5 3" xfId="2666" xr:uid="{00000000-0005-0000-0000-0000CC110000}"/>
    <cellStyle name="Normal 4 5 2 3 5 3 2" xfId="2667" xr:uid="{00000000-0005-0000-0000-0000CD110000}"/>
    <cellStyle name="Normal 4 5 2 3 5 3 2 2" xfId="14028" xr:uid="{00000000-0005-0000-0000-0000CE110000}"/>
    <cellStyle name="Normal 4 5 2 3 5 3 3" xfId="2668" xr:uid="{00000000-0005-0000-0000-0000CF110000}"/>
    <cellStyle name="Normal 4 5 2 3 5 3 3 2" xfId="14029" xr:uid="{00000000-0005-0000-0000-0000D0110000}"/>
    <cellStyle name="Normal 4 5 2 3 5 3 4" xfId="14030" xr:uid="{00000000-0005-0000-0000-0000D1110000}"/>
    <cellStyle name="Normal 4 5 2 3 5 4" xfId="2669" xr:uid="{00000000-0005-0000-0000-0000D2110000}"/>
    <cellStyle name="Normal 4 5 2 3 5 4 2" xfId="14031" xr:uid="{00000000-0005-0000-0000-0000D3110000}"/>
    <cellStyle name="Normal 4 5 2 3 5 5" xfId="2670" xr:uid="{00000000-0005-0000-0000-0000D4110000}"/>
    <cellStyle name="Normal 4 5 2 3 5 5 2" xfId="14032" xr:uid="{00000000-0005-0000-0000-0000D5110000}"/>
    <cellStyle name="Normal 4 5 2 3 5 6" xfId="14033" xr:uid="{00000000-0005-0000-0000-0000D6110000}"/>
    <cellStyle name="Normal 4 5 2 3 6" xfId="2671" xr:uid="{00000000-0005-0000-0000-0000D7110000}"/>
    <cellStyle name="Normal 4 5 2 3 6 2" xfId="2672" xr:uid="{00000000-0005-0000-0000-0000D8110000}"/>
    <cellStyle name="Normal 4 5 2 3 6 2 2" xfId="2673" xr:uid="{00000000-0005-0000-0000-0000D9110000}"/>
    <cellStyle name="Normal 4 5 2 3 6 2 2 2" xfId="14034" xr:uid="{00000000-0005-0000-0000-0000DA110000}"/>
    <cellStyle name="Normal 4 5 2 3 6 2 3" xfId="2674" xr:uid="{00000000-0005-0000-0000-0000DB110000}"/>
    <cellStyle name="Normal 4 5 2 3 6 2 3 2" xfId="14035" xr:uid="{00000000-0005-0000-0000-0000DC110000}"/>
    <cellStyle name="Normal 4 5 2 3 6 2 4" xfId="14036" xr:uid="{00000000-0005-0000-0000-0000DD110000}"/>
    <cellStyle name="Normal 4 5 2 3 6 3" xfId="2675" xr:uid="{00000000-0005-0000-0000-0000DE110000}"/>
    <cellStyle name="Normal 4 5 2 3 6 3 2" xfId="2676" xr:uid="{00000000-0005-0000-0000-0000DF110000}"/>
    <cellStyle name="Normal 4 5 2 3 6 3 2 2" xfId="14037" xr:uid="{00000000-0005-0000-0000-0000E0110000}"/>
    <cellStyle name="Normal 4 5 2 3 6 3 3" xfId="2677" xr:uid="{00000000-0005-0000-0000-0000E1110000}"/>
    <cellStyle name="Normal 4 5 2 3 6 3 3 2" xfId="14038" xr:uid="{00000000-0005-0000-0000-0000E2110000}"/>
    <cellStyle name="Normal 4 5 2 3 6 3 4" xfId="14039" xr:uid="{00000000-0005-0000-0000-0000E3110000}"/>
    <cellStyle name="Normal 4 5 2 3 6 4" xfId="2678" xr:uid="{00000000-0005-0000-0000-0000E4110000}"/>
    <cellStyle name="Normal 4 5 2 3 6 4 2" xfId="14040" xr:uid="{00000000-0005-0000-0000-0000E5110000}"/>
    <cellStyle name="Normal 4 5 2 3 6 5" xfId="2679" xr:uid="{00000000-0005-0000-0000-0000E6110000}"/>
    <cellStyle name="Normal 4 5 2 3 6 5 2" xfId="14041" xr:uid="{00000000-0005-0000-0000-0000E7110000}"/>
    <cellStyle name="Normal 4 5 2 3 6 6" xfId="14042" xr:uid="{00000000-0005-0000-0000-0000E8110000}"/>
    <cellStyle name="Normal 4 5 2 3 7" xfId="2680" xr:uid="{00000000-0005-0000-0000-0000E9110000}"/>
    <cellStyle name="Normal 4 5 2 3 7 2" xfId="2681" xr:uid="{00000000-0005-0000-0000-0000EA110000}"/>
    <cellStyle name="Normal 4 5 2 3 7 2 2" xfId="14043" xr:uid="{00000000-0005-0000-0000-0000EB110000}"/>
    <cellStyle name="Normal 4 5 2 3 7 3" xfId="2682" xr:uid="{00000000-0005-0000-0000-0000EC110000}"/>
    <cellStyle name="Normal 4 5 2 3 7 3 2" xfId="14044" xr:uid="{00000000-0005-0000-0000-0000ED110000}"/>
    <cellStyle name="Normal 4 5 2 3 7 4" xfId="14045" xr:uid="{00000000-0005-0000-0000-0000EE110000}"/>
    <cellStyle name="Normal 4 5 2 3 8" xfId="2683" xr:uid="{00000000-0005-0000-0000-0000EF110000}"/>
    <cellStyle name="Normal 4 5 2 3 8 2" xfId="2684" xr:uid="{00000000-0005-0000-0000-0000F0110000}"/>
    <cellStyle name="Normal 4 5 2 3 8 2 2" xfId="14046" xr:uid="{00000000-0005-0000-0000-0000F1110000}"/>
    <cellStyle name="Normal 4 5 2 3 8 3" xfId="2685" xr:uid="{00000000-0005-0000-0000-0000F2110000}"/>
    <cellStyle name="Normal 4 5 2 3 8 3 2" xfId="14047" xr:uid="{00000000-0005-0000-0000-0000F3110000}"/>
    <cellStyle name="Normal 4 5 2 3 8 4" xfId="14048" xr:uid="{00000000-0005-0000-0000-0000F4110000}"/>
    <cellStyle name="Normal 4 5 2 3 9" xfId="2686" xr:uid="{00000000-0005-0000-0000-0000F5110000}"/>
    <cellStyle name="Normal 4 5 2 3 9 2" xfId="14049" xr:uid="{00000000-0005-0000-0000-0000F6110000}"/>
    <cellStyle name="Normal 4 5 2 4" xfId="2687" xr:uid="{00000000-0005-0000-0000-0000F7110000}"/>
    <cellStyle name="Normal 4 5 2 4 10" xfId="14050" xr:uid="{00000000-0005-0000-0000-0000F8110000}"/>
    <cellStyle name="Normal 4 5 2 4 2" xfId="2688" xr:uid="{00000000-0005-0000-0000-0000F9110000}"/>
    <cellStyle name="Normal 4 5 2 4 2 2" xfId="2689" xr:uid="{00000000-0005-0000-0000-0000FA110000}"/>
    <cellStyle name="Normal 4 5 2 4 2 2 2" xfId="2690" xr:uid="{00000000-0005-0000-0000-0000FB110000}"/>
    <cellStyle name="Normal 4 5 2 4 2 2 2 2" xfId="2691" xr:uid="{00000000-0005-0000-0000-0000FC110000}"/>
    <cellStyle name="Normal 4 5 2 4 2 2 2 2 2" xfId="14051" xr:uid="{00000000-0005-0000-0000-0000FD110000}"/>
    <cellStyle name="Normal 4 5 2 4 2 2 2 3" xfId="2692" xr:uid="{00000000-0005-0000-0000-0000FE110000}"/>
    <cellStyle name="Normal 4 5 2 4 2 2 2 3 2" xfId="14052" xr:uid="{00000000-0005-0000-0000-0000FF110000}"/>
    <cellStyle name="Normal 4 5 2 4 2 2 2 4" xfId="14053" xr:uid="{00000000-0005-0000-0000-000000120000}"/>
    <cellStyle name="Normal 4 5 2 4 2 2 3" xfId="2693" xr:uid="{00000000-0005-0000-0000-000001120000}"/>
    <cellStyle name="Normal 4 5 2 4 2 2 3 2" xfId="2694" xr:uid="{00000000-0005-0000-0000-000002120000}"/>
    <cellStyle name="Normal 4 5 2 4 2 2 3 2 2" xfId="14054" xr:uid="{00000000-0005-0000-0000-000003120000}"/>
    <cellStyle name="Normal 4 5 2 4 2 2 3 3" xfId="2695" xr:uid="{00000000-0005-0000-0000-000004120000}"/>
    <cellStyle name="Normal 4 5 2 4 2 2 3 3 2" xfId="14055" xr:uid="{00000000-0005-0000-0000-000005120000}"/>
    <cellStyle name="Normal 4 5 2 4 2 2 3 4" xfId="14056" xr:uid="{00000000-0005-0000-0000-000006120000}"/>
    <cellStyle name="Normal 4 5 2 4 2 2 4" xfId="2696" xr:uid="{00000000-0005-0000-0000-000007120000}"/>
    <cellStyle name="Normal 4 5 2 4 2 2 4 2" xfId="14057" xr:uid="{00000000-0005-0000-0000-000008120000}"/>
    <cellStyle name="Normal 4 5 2 4 2 2 5" xfId="2697" xr:uid="{00000000-0005-0000-0000-000009120000}"/>
    <cellStyle name="Normal 4 5 2 4 2 2 5 2" xfId="14058" xr:uid="{00000000-0005-0000-0000-00000A120000}"/>
    <cellStyle name="Normal 4 5 2 4 2 2 6" xfId="14059" xr:uid="{00000000-0005-0000-0000-00000B120000}"/>
    <cellStyle name="Normal 4 5 2 4 2 3" xfId="2698" xr:uid="{00000000-0005-0000-0000-00000C120000}"/>
    <cellStyle name="Normal 4 5 2 4 2 3 2" xfId="2699" xr:uid="{00000000-0005-0000-0000-00000D120000}"/>
    <cellStyle name="Normal 4 5 2 4 2 3 2 2" xfId="2700" xr:uid="{00000000-0005-0000-0000-00000E120000}"/>
    <cellStyle name="Normal 4 5 2 4 2 3 2 2 2" xfId="14060" xr:uid="{00000000-0005-0000-0000-00000F120000}"/>
    <cellStyle name="Normal 4 5 2 4 2 3 2 3" xfId="2701" xr:uid="{00000000-0005-0000-0000-000010120000}"/>
    <cellStyle name="Normal 4 5 2 4 2 3 2 3 2" xfId="14061" xr:uid="{00000000-0005-0000-0000-000011120000}"/>
    <cellStyle name="Normal 4 5 2 4 2 3 2 4" xfId="14062" xr:uid="{00000000-0005-0000-0000-000012120000}"/>
    <cellStyle name="Normal 4 5 2 4 2 3 3" xfId="2702" xr:uid="{00000000-0005-0000-0000-000013120000}"/>
    <cellStyle name="Normal 4 5 2 4 2 3 3 2" xfId="2703" xr:uid="{00000000-0005-0000-0000-000014120000}"/>
    <cellStyle name="Normal 4 5 2 4 2 3 3 2 2" xfId="14063" xr:uid="{00000000-0005-0000-0000-000015120000}"/>
    <cellStyle name="Normal 4 5 2 4 2 3 3 3" xfId="2704" xr:uid="{00000000-0005-0000-0000-000016120000}"/>
    <cellStyle name="Normal 4 5 2 4 2 3 3 3 2" xfId="14064" xr:uid="{00000000-0005-0000-0000-000017120000}"/>
    <cellStyle name="Normal 4 5 2 4 2 3 3 4" xfId="14065" xr:uid="{00000000-0005-0000-0000-000018120000}"/>
    <cellStyle name="Normal 4 5 2 4 2 3 4" xfId="2705" xr:uid="{00000000-0005-0000-0000-000019120000}"/>
    <cellStyle name="Normal 4 5 2 4 2 3 4 2" xfId="14066" xr:uid="{00000000-0005-0000-0000-00001A120000}"/>
    <cellStyle name="Normal 4 5 2 4 2 3 5" xfId="2706" xr:uid="{00000000-0005-0000-0000-00001B120000}"/>
    <cellStyle name="Normal 4 5 2 4 2 3 5 2" xfId="14067" xr:uid="{00000000-0005-0000-0000-00001C120000}"/>
    <cellStyle name="Normal 4 5 2 4 2 3 6" xfId="14068" xr:uid="{00000000-0005-0000-0000-00001D120000}"/>
    <cellStyle name="Normal 4 5 2 4 2 4" xfId="2707" xr:uid="{00000000-0005-0000-0000-00001E120000}"/>
    <cellStyle name="Normal 4 5 2 4 2 4 2" xfId="2708" xr:uid="{00000000-0005-0000-0000-00001F120000}"/>
    <cellStyle name="Normal 4 5 2 4 2 4 2 2" xfId="14069" xr:uid="{00000000-0005-0000-0000-000020120000}"/>
    <cellStyle name="Normal 4 5 2 4 2 4 3" xfId="2709" xr:uid="{00000000-0005-0000-0000-000021120000}"/>
    <cellStyle name="Normal 4 5 2 4 2 4 3 2" xfId="14070" xr:uid="{00000000-0005-0000-0000-000022120000}"/>
    <cellStyle name="Normal 4 5 2 4 2 4 4" xfId="14071" xr:uid="{00000000-0005-0000-0000-000023120000}"/>
    <cellStyle name="Normal 4 5 2 4 2 5" xfId="2710" xr:uid="{00000000-0005-0000-0000-000024120000}"/>
    <cellStyle name="Normal 4 5 2 4 2 5 2" xfId="2711" xr:uid="{00000000-0005-0000-0000-000025120000}"/>
    <cellStyle name="Normal 4 5 2 4 2 5 2 2" xfId="14072" xr:uid="{00000000-0005-0000-0000-000026120000}"/>
    <cellStyle name="Normal 4 5 2 4 2 5 3" xfId="2712" xr:uid="{00000000-0005-0000-0000-000027120000}"/>
    <cellStyle name="Normal 4 5 2 4 2 5 3 2" xfId="14073" xr:uid="{00000000-0005-0000-0000-000028120000}"/>
    <cellStyle name="Normal 4 5 2 4 2 5 4" xfId="14074" xr:uid="{00000000-0005-0000-0000-000029120000}"/>
    <cellStyle name="Normal 4 5 2 4 2 6" xfId="2713" xr:uid="{00000000-0005-0000-0000-00002A120000}"/>
    <cellStyle name="Normal 4 5 2 4 2 6 2" xfId="14075" xr:uid="{00000000-0005-0000-0000-00002B120000}"/>
    <cellStyle name="Normal 4 5 2 4 2 7" xfId="2714" xr:uid="{00000000-0005-0000-0000-00002C120000}"/>
    <cellStyle name="Normal 4 5 2 4 2 7 2" xfId="14076" xr:uid="{00000000-0005-0000-0000-00002D120000}"/>
    <cellStyle name="Normal 4 5 2 4 2 8" xfId="14077" xr:uid="{00000000-0005-0000-0000-00002E120000}"/>
    <cellStyle name="Normal 4 5 2 4 3" xfId="2715" xr:uid="{00000000-0005-0000-0000-00002F120000}"/>
    <cellStyle name="Normal 4 5 2 4 3 2" xfId="2716" xr:uid="{00000000-0005-0000-0000-000030120000}"/>
    <cellStyle name="Normal 4 5 2 4 3 2 2" xfId="2717" xr:uid="{00000000-0005-0000-0000-000031120000}"/>
    <cellStyle name="Normal 4 5 2 4 3 2 2 2" xfId="2718" xr:uid="{00000000-0005-0000-0000-000032120000}"/>
    <cellStyle name="Normal 4 5 2 4 3 2 2 2 2" xfId="14078" xr:uid="{00000000-0005-0000-0000-000033120000}"/>
    <cellStyle name="Normal 4 5 2 4 3 2 2 3" xfId="2719" xr:uid="{00000000-0005-0000-0000-000034120000}"/>
    <cellStyle name="Normal 4 5 2 4 3 2 2 3 2" xfId="14079" xr:uid="{00000000-0005-0000-0000-000035120000}"/>
    <cellStyle name="Normal 4 5 2 4 3 2 2 4" xfId="14080" xr:uid="{00000000-0005-0000-0000-000036120000}"/>
    <cellStyle name="Normal 4 5 2 4 3 2 3" xfId="2720" xr:uid="{00000000-0005-0000-0000-000037120000}"/>
    <cellStyle name="Normal 4 5 2 4 3 2 3 2" xfId="2721" xr:uid="{00000000-0005-0000-0000-000038120000}"/>
    <cellStyle name="Normal 4 5 2 4 3 2 3 2 2" xfId="14081" xr:uid="{00000000-0005-0000-0000-000039120000}"/>
    <cellStyle name="Normal 4 5 2 4 3 2 3 3" xfId="2722" xr:uid="{00000000-0005-0000-0000-00003A120000}"/>
    <cellStyle name="Normal 4 5 2 4 3 2 3 3 2" xfId="14082" xr:uid="{00000000-0005-0000-0000-00003B120000}"/>
    <cellStyle name="Normal 4 5 2 4 3 2 3 4" xfId="14083" xr:uid="{00000000-0005-0000-0000-00003C120000}"/>
    <cellStyle name="Normal 4 5 2 4 3 2 4" xfId="2723" xr:uid="{00000000-0005-0000-0000-00003D120000}"/>
    <cellStyle name="Normal 4 5 2 4 3 2 4 2" xfId="14084" xr:uid="{00000000-0005-0000-0000-00003E120000}"/>
    <cellStyle name="Normal 4 5 2 4 3 2 5" xfId="2724" xr:uid="{00000000-0005-0000-0000-00003F120000}"/>
    <cellStyle name="Normal 4 5 2 4 3 2 5 2" xfId="14085" xr:uid="{00000000-0005-0000-0000-000040120000}"/>
    <cellStyle name="Normal 4 5 2 4 3 2 6" xfId="14086" xr:uid="{00000000-0005-0000-0000-000041120000}"/>
    <cellStyle name="Normal 4 5 2 4 3 3" xfId="2725" xr:uid="{00000000-0005-0000-0000-000042120000}"/>
    <cellStyle name="Normal 4 5 2 4 3 3 2" xfId="2726" xr:uid="{00000000-0005-0000-0000-000043120000}"/>
    <cellStyle name="Normal 4 5 2 4 3 3 2 2" xfId="14087" xr:uid="{00000000-0005-0000-0000-000044120000}"/>
    <cellStyle name="Normal 4 5 2 4 3 3 3" xfId="2727" xr:uid="{00000000-0005-0000-0000-000045120000}"/>
    <cellStyle name="Normal 4 5 2 4 3 3 3 2" xfId="14088" xr:uid="{00000000-0005-0000-0000-000046120000}"/>
    <cellStyle name="Normal 4 5 2 4 3 3 4" xfId="14089" xr:uid="{00000000-0005-0000-0000-000047120000}"/>
    <cellStyle name="Normal 4 5 2 4 3 4" xfId="2728" xr:uid="{00000000-0005-0000-0000-000048120000}"/>
    <cellStyle name="Normal 4 5 2 4 3 4 2" xfId="2729" xr:uid="{00000000-0005-0000-0000-000049120000}"/>
    <cellStyle name="Normal 4 5 2 4 3 4 2 2" xfId="14090" xr:uid="{00000000-0005-0000-0000-00004A120000}"/>
    <cellStyle name="Normal 4 5 2 4 3 4 3" xfId="2730" xr:uid="{00000000-0005-0000-0000-00004B120000}"/>
    <cellStyle name="Normal 4 5 2 4 3 4 3 2" xfId="14091" xr:uid="{00000000-0005-0000-0000-00004C120000}"/>
    <cellStyle name="Normal 4 5 2 4 3 4 4" xfId="14092" xr:uid="{00000000-0005-0000-0000-00004D120000}"/>
    <cellStyle name="Normal 4 5 2 4 3 5" xfId="2731" xr:uid="{00000000-0005-0000-0000-00004E120000}"/>
    <cellStyle name="Normal 4 5 2 4 3 5 2" xfId="14093" xr:uid="{00000000-0005-0000-0000-00004F120000}"/>
    <cellStyle name="Normal 4 5 2 4 3 6" xfId="2732" xr:uid="{00000000-0005-0000-0000-000050120000}"/>
    <cellStyle name="Normal 4 5 2 4 3 6 2" xfId="14094" xr:uid="{00000000-0005-0000-0000-000051120000}"/>
    <cellStyle name="Normal 4 5 2 4 3 7" xfId="14095" xr:uid="{00000000-0005-0000-0000-000052120000}"/>
    <cellStyle name="Normal 4 5 2 4 4" xfId="2733" xr:uid="{00000000-0005-0000-0000-000053120000}"/>
    <cellStyle name="Normal 4 5 2 4 4 2" xfId="2734" xr:uid="{00000000-0005-0000-0000-000054120000}"/>
    <cellStyle name="Normal 4 5 2 4 4 2 2" xfId="2735" xr:uid="{00000000-0005-0000-0000-000055120000}"/>
    <cellStyle name="Normal 4 5 2 4 4 2 2 2" xfId="14096" xr:uid="{00000000-0005-0000-0000-000056120000}"/>
    <cellStyle name="Normal 4 5 2 4 4 2 3" xfId="2736" xr:uid="{00000000-0005-0000-0000-000057120000}"/>
    <cellStyle name="Normal 4 5 2 4 4 2 3 2" xfId="14097" xr:uid="{00000000-0005-0000-0000-000058120000}"/>
    <cellStyle name="Normal 4 5 2 4 4 2 4" xfId="14098" xr:uid="{00000000-0005-0000-0000-000059120000}"/>
    <cellStyle name="Normal 4 5 2 4 4 3" xfId="2737" xr:uid="{00000000-0005-0000-0000-00005A120000}"/>
    <cellStyle name="Normal 4 5 2 4 4 3 2" xfId="2738" xr:uid="{00000000-0005-0000-0000-00005B120000}"/>
    <cellStyle name="Normal 4 5 2 4 4 3 2 2" xfId="14099" xr:uid="{00000000-0005-0000-0000-00005C120000}"/>
    <cellStyle name="Normal 4 5 2 4 4 3 3" xfId="2739" xr:uid="{00000000-0005-0000-0000-00005D120000}"/>
    <cellStyle name="Normal 4 5 2 4 4 3 3 2" xfId="14100" xr:uid="{00000000-0005-0000-0000-00005E120000}"/>
    <cellStyle name="Normal 4 5 2 4 4 3 4" xfId="14101" xr:uid="{00000000-0005-0000-0000-00005F120000}"/>
    <cellStyle name="Normal 4 5 2 4 4 4" xfId="2740" xr:uid="{00000000-0005-0000-0000-000060120000}"/>
    <cellStyle name="Normal 4 5 2 4 4 4 2" xfId="14102" xr:uid="{00000000-0005-0000-0000-000061120000}"/>
    <cellStyle name="Normal 4 5 2 4 4 5" xfId="2741" xr:uid="{00000000-0005-0000-0000-000062120000}"/>
    <cellStyle name="Normal 4 5 2 4 4 5 2" xfId="14103" xr:uid="{00000000-0005-0000-0000-000063120000}"/>
    <cellStyle name="Normal 4 5 2 4 4 6" xfId="14104" xr:uid="{00000000-0005-0000-0000-000064120000}"/>
    <cellStyle name="Normal 4 5 2 4 5" xfId="2742" xr:uid="{00000000-0005-0000-0000-000065120000}"/>
    <cellStyle name="Normal 4 5 2 4 5 2" xfId="2743" xr:uid="{00000000-0005-0000-0000-000066120000}"/>
    <cellStyle name="Normal 4 5 2 4 5 2 2" xfId="2744" xr:uid="{00000000-0005-0000-0000-000067120000}"/>
    <cellStyle name="Normal 4 5 2 4 5 2 2 2" xfId="14105" xr:uid="{00000000-0005-0000-0000-000068120000}"/>
    <cellStyle name="Normal 4 5 2 4 5 2 3" xfId="2745" xr:uid="{00000000-0005-0000-0000-000069120000}"/>
    <cellStyle name="Normal 4 5 2 4 5 2 3 2" xfId="14106" xr:uid="{00000000-0005-0000-0000-00006A120000}"/>
    <cellStyle name="Normal 4 5 2 4 5 2 4" xfId="14107" xr:uid="{00000000-0005-0000-0000-00006B120000}"/>
    <cellStyle name="Normal 4 5 2 4 5 3" xfId="2746" xr:uid="{00000000-0005-0000-0000-00006C120000}"/>
    <cellStyle name="Normal 4 5 2 4 5 3 2" xfId="2747" xr:uid="{00000000-0005-0000-0000-00006D120000}"/>
    <cellStyle name="Normal 4 5 2 4 5 3 2 2" xfId="14108" xr:uid="{00000000-0005-0000-0000-00006E120000}"/>
    <cellStyle name="Normal 4 5 2 4 5 3 3" xfId="2748" xr:uid="{00000000-0005-0000-0000-00006F120000}"/>
    <cellStyle name="Normal 4 5 2 4 5 3 3 2" xfId="14109" xr:uid="{00000000-0005-0000-0000-000070120000}"/>
    <cellStyle name="Normal 4 5 2 4 5 3 4" xfId="14110" xr:uid="{00000000-0005-0000-0000-000071120000}"/>
    <cellStyle name="Normal 4 5 2 4 5 4" xfId="2749" xr:uid="{00000000-0005-0000-0000-000072120000}"/>
    <cellStyle name="Normal 4 5 2 4 5 4 2" xfId="14111" xr:uid="{00000000-0005-0000-0000-000073120000}"/>
    <cellStyle name="Normal 4 5 2 4 5 5" xfId="2750" xr:uid="{00000000-0005-0000-0000-000074120000}"/>
    <cellStyle name="Normal 4 5 2 4 5 5 2" xfId="14112" xr:uid="{00000000-0005-0000-0000-000075120000}"/>
    <cellStyle name="Normal 4 5 2 4 5 6" xfId="14113" xr:uid="{00000000-0005-0000-0000-000076120000}"/>
    <cellStyle name="Normal 4 5 2 4 6" xfId="2751" xr:uid="{00000000-0005-0000-0000-000077120000}"/>
    <cellStyle name="Normal 4 5 2 4 6 2" xfId="2752" xr:uid="{00000000-0005-0000-0000-000078120000}"/>
    <cellStyle name="Normal 4 5 2 4 6 2 2" xfId="14114" xr:uid="{00000000-0005-0000-0000-000079120000}"/>
    <cellStyle name="Normal 4 5 2 4 6 3" xfId="2753" xr:uid="{00000000-0005-0000-0000-00007A120000}"/>
    <cellStyle name="Normal 4 5 2 4 6 3 2" xfId="14115" xr:uid="{00000000-0005-0000-0000-00007B120000}"/>
    <cellStyle name="Normal 4 5 2 4 6 4" xfId="14116" xr:uid="{00000000-0005-0000-0000-00007C120000}"/>
    <cellStyle name="Normal 4 5 2 4 7" xfId="2754" xr:uid="{00000000-0005-0000-0000-00007D120000}"/>
    <cellStyle name="Normal 4 5 2 4 7 2" xfId="2755" xr:uid="{00000000-0005-0000-0000-00007E120000}"/>
    <cellStyle name="Normal 4 5 2 4 7 2 2" xfId="14117" xr:uid="{00000000-0005-0000-0000-00007F120000}"/>
    <cellStyle name="Normal 4 5 2 4 7 3" xfId="2756" xr:uid="{00000000-0005-0000-0000-000080120000}"/>
    <cellStyle name="Normal 4 5 2 4 7 3 2" xfId="14118" xr:uid="{00000000-0005-0000-0000-000081120000}"/>
    <cellStyle name="Normal 4 5 2 4 7 4" xfId="14119" xr:uid="{00000000-0005-0000-0000-000082120000}"/>
    <cellStyle name="Normal 4 5 2 4 8" xfId="2757" xr:uid="{00000000-0005-0000-0000-000083120000}"/>
    <cellStyle name="Normal 4 5 2 4 8 2" xfId="14120" xr:uid="{00000000-0005-0000-0000-000084120000}"/>
    <cellStyle name="Normal 4 5 2 4 9" xfId="2758" xr:uid="{00000000-0005-0000-0000-000085120000}"/>
    <cellStyle name="Normal 4 5 2 4 9 2" xfId="14121" xr:uid="{00000000-0005-0000-0000-000086120000}"/>
    <cellStyle name="Normal 4 5 2 5" xfId="2759" xr:uid="{00000000-0005-0000-0000-000087120000}"/>
    <cellStyle name="Normal 4 5 2 5 2" xfId="2760" xr:uid="{00000000-0005-0000-0000-000088120000}"/>
    <cellStyle name="Normal 4 5 2 5 2 2" xfId="2761" xr:uid="{00000000-0005-0000-0000-000089120000}"/>
    <cellStyle name="Normal 4 5 2 5 2 2 2" xfId="2762" xr:uid="{00000000-0005-0000-0000-00008A120000}"/>
    <cellStyle name="Normal 4 5 2 5 2 2 2 2" xfId="14122" xr:uid="{00000000-0005-0000-0000-00008B120000}"/>
    <cellStyle name="Normal 4 5 2 5 2 2 3" xfId="2763" xr:uid="{00000000-0005-0000-0000-00008C120000}"/>
    <cellStyle name="Normal 4 5 2 5 2 2 3 2" xfId="14123" xr:uid="{00000000-0005-0000-0000-00008D120000}"/>
    <cellStyle name="Normal 4 5 2 5 2 2 4" xfId="14124" xr:uid="{00000000-0005-0000-0000-00008E120000}"/>
    <cellStyle name="Normal 4 5 2 5 2 3" xfId="2764" xr:uid="{00000000-0005-0000-0000-00008F120000}"/>
    <cellStyle name="Normal 4 5 2 5 2 3 2" xfId="2765" xr:uid="{00000000-0005-0000-0000-000090120000}"/>
    <cellStyle name="Normal 4 5 2 5 2 3 2 2" xfId="14125" xr:uid="{00000000-0005-0000-0000-000091120000}"/>
    <cellStyle name="Normal 4 5 2 5 2 3 3" xfId="2766" xr:uid="{00000000-0005-0000-0000-000092120000}"/>
    <cellStyle name="Normal 4 5 2 5 2 3 3 2" xfId="14126" xr:uid="{00000000-0005-0000-0000-000093120000}"/>
    <cellStyle name="Normal 4 5 2 5 2 3 4" xfId="14127" xr:uid="{00000000-0005-0000-0000-000094120000}"/>
    <cellStyle name="Normal 4 5 2 5 2 4" xfId="2767" xr:uid="{00000000-0005-0000-0000-000095120000}"/>
    <cellStyle name="Normal 4 5 2 5 2 4 2" xfId="14128" xr:uid="{00000000-0005-0000-0000-000096120000}"/>
    <cellStyle name="Normal 4 5 2 5 2 5" xfId="2768" xr:uid="{00000000-0005-0000-0000-000097120000}"/>
    <cellStyle name="Normal 4 5 2 5 2 5 2" xfId="14129" xr:uid="{00000000-0005-0000-0000-000098120000}"/>
    <cellStyle name="Normal 4 5 2 5 2 6" xfId="14130" xr:uid="{00000000-0005-0000-0000-000099120000}"/>
    <cellStyle name="Normal 4 5 2 5 3" xfId="2769" xr:uid="{00000000-0005-0000-0000-00009A120000}"/>
    <cellStyle name="Normal 4 5 2 5 3 2" xfId="2770" xr:uid="{00000000-0005-0000-0000-00009B120000}"/>
    <cellStyle name="Normal 4 5 2 5 3 2 2" xfId="2771" xr:uid="{00000000-0005-0000-0000-00009C120000}"/>
    <cellStyle name="Normal 4 5 2 5 3 2 2 2" xfId="14131" xr:uid="{00000000-0005-0000-0000-00009D120000}"/>
    <cellStyle name="Normal 4 5 2 5 3 2 3" xfId="2772" xr:uid="{00000000-0005-0000-0000-00009E120000}"/>
    <cellStyle name="Normal 4 5 2 5 3 2 3 2" xfId="14132" xr:uid="{00000000-0005-0000-0000-00009F120000}"/>
    <cellStyle name="Normal 4 5 2 5 3 2 4" xfId="14133" xr:uid="{00000000-0005-0000-0000-0000A0120000}"/>
    <cellStyle name="Normal 4 5 2 5 3 3" xfId="2773" xr:uid="{00000000-0005-0000-0000-0000A1120000}"/>
    <cellStyle name="Normal 4 5 2 5 3 3 2" xfId="2774" xr:uid="{00000000-0005-0000-0000-0000A2120000}"/>
    <cellStyle name="Normal 4 5 2 5 3 3 2 2" xfId="14134" xr:uid="{00000000-0005-0000-0000-0000A3120000}"/>
    <cellStyle name="Normal 4 5 2 5 3 3 3" xfId="2775" xr:uid="{00000000-0005-0000-0000-0000A4120000}"/>
    <cellStyle name="Normal 4 5 2 5 3 3 3 2" xfId="14135" xr:uid="{00000000-0005-0000-0000-0000A5120000}"/>
    <cellStyle name="Normal 4 5 2 5 3 3 4" xfId="14136" xr:uid="{00000000-0005-0000-0000-0000A6120000}"/>
    <cellStyle name="Normal 4 5 2 5 3 4" xfId="2776" xr:uid="{00000000-0005-0000-0000-0000A7120000}"/>
    <cellStyle name="Normal 4 5 2 5 3 4 2" xfId="14137" xr:uid="{00000000-0005-0000-0000-0000A8120000}"/>
    <cellStyle name="Normal 4 5 2 5 3 5" xfId="2777" xr:uid="{00000000-0005-0000-0000-0000A9120000}"/>
    <cellStyle name="Normal 4 5 2 5 3 5 2" xfId="14138" xr:uid="{00000000-0005-0000-0000-0000AA120000}"/>
    <cellStyle name="Normal 4 5 2 5 3 6" xfId="14139" xr:uid="{00000000-0005-0000-0000-0000AB120000}"/>
    <cellStyle name="Normal 4 5 2 5 4" xfId="2778" xr:uid="{00000000-0005-0000-0000-0000AC120000}"/>
    <cellStyle name="Normal 4 5 2 5 4 2" xfId="2779" xr:uid="{00000000-0005-0000-0000-0000AD120000}"/>
    <cellStyle name="Normal 4 5 2 5 4 2 2" xfId="14140" xr:uid="{00000000-0005-0000-0000-0000AE120000}"/>
    <cellStyle name="Normal 4 5 2 5 4 3" xfId="2780" xr:uid="{00000000-0005-0000-0000-0000AF120000}"/>
    <cellStyle name="Normal 4 5 2 5 4 3 2" xfId="14141" xr:uid="{00000000-0005-0000-0000-0000B0120000}"/>
    <cellStyle name="Normal 4 5 2 5 4 4" xfId="14142" xr:uid="{00000000-0005-0000-0000-0000B1120000}"/>
    <cellStyle name="Normal 4 5 2 5 5" xfId="2781" xr:uid="{00000000-0005-0000-0000-0000B2120000}"/>
    <cellStyle name="Normal 4 5 2 5 5 2" xfId="2782" xr:uid="{00000000-0005-0000-0000-0000B3120000}"/>
    <cellStyle name="Normal 4 5 2 5 5 2 2" xfId="14143" xr:uid="{00000000-0005-0000-0000-0000B4120000}"/>
    <cellStyle name="Normal 4 5 2 5 5 3" xfId="2783" xr:uid="{00000000-0005-0000-0000-0000B5120000}"/>
    <cellStyle name="Normal 4 5 2 5 5 3 2" xfId="14144" xr:uid="{00000000-0005-0000-0000-0000B6120000}"/>
    <cellStyle name="Normal 4 5 2 5 5 4" xfId="14145" xr:uid="{00000000-0005-0000-0000-0000B7120000}"/>
    <cellStyle name="Normal 4 5 2 5 6" xfId="2784" xr:uid="{00000000-0005-0000-0000-0000B8120000}"/>
    <cellStyle name="Normal 4 5 2 5 6 2" xfId="14146" xr:uid="{00000000-0005-0000-0000-0000B9120000}"/>
    <cellStyle name="Normal 4 5 2 5 7" xfId="2785" xr:uid="{00000000-0005-0000-0000-0000BA120000}"/>
    <cellStyle name="Normal 4 5 2 5 7 2" xfId="14147" xr:uid="{00000000-0005-0000-0000-0000BB120000}"/>
    <cellStyle name="Normal 4 5 2 5 8" xfId="14148" xr:uid="{00000000-0005-0000-0000-0000BC120000}"/>
    <cellStyle name="Normal 4 5 2 6" xfId="2786" xr:uid="{00000000-0005-0000-0000-0000BD120000}"/>
    <cellStyle name="Normal 4 5 2 6 2" xfId="2787" xr:uid="{00000000-0005-0000-0000-0000BE120000}"/>
    <cellStyle name="Normal 4 5 2 6 2 2" xfId="2788" xr:uid="{00000000-0005-0000-0000-0000BF120000}"/>
    <cellStyle name="Normal 4 5 2 6 2 2 2" xfId="2789" xr:uid="{00000000-0005-0000-0000-0000C0120000}"/>
    <cellStyle name="Normal 4 5 2 6 2 2 2 2" xfId="14149" xr:uid="{00000000-0005-0000-0000-0000C1120000}"/>
    <cellStyle name="Normal 4 5 2 6 2 2 3" xfId="2790" xr:uid="{00000000-0005-0000-0000-0000C2120000}"/>
    <cellStyle name="Normal 4 5 2 6 2 2 3 2" xfId="14150" xr:uid="{00000000-0005-0000-0000-0000C3120000}"/>
    <cellStyle name="Normal 4 5 2 6 2 2 4" xfId="14151" xr:uid="{00000000-0005-0000-0000-0000C4120000}"/>
    <cellStyle name="Normal 4 5 2 6 2 3" xfId="2791" xr:uid="{00000000-0005-0000-0000-0000C5120000}"/>
    <cellStyle name="Normal 4 5 2 6 2 3 2" xfId="2792" xr:uid="{00000000-0005-0000-0000-0000C6120000}"/>
    <cellStyle name="Normal 4 5 2 6 2 3 2 2" xfId="14152" xr:uid="{00000000-0005-0000-0000-0000C7120000}"/>
    <cellStyle name="Normal 4 5 2 6 2 3 3" xfId="2793" xr:uid="{00000000-0005-0000-0000-0000C8120000}"/>
    <cellStyle name="Normal 4 5 2 6 2 3 3 2" xfId="14153" xr:uid="{00000000-0005-0000-0000-0000C9120000}"/>
    <cellStyle name="Normal 4 5 2 6 2 3 4" xfId="14154" xr:uid="{00000000-0005-0000-0000-0000CA120000}"/>
    <cellStyle name="Normal 4 5 2 6 2 4" xfId="2794" xr:uid="{00000000-0005-0000-0000-0000CB120000}"/>
    <cellStyle name="Normal 4 5 2 6 2 4 2" xfId="14155" xr:uid="{00000000-0005-0000-0000-0000CC120000}"/>
    <cellStyle name="Normal 4 5 2 6 2 5" xfId="2795" xr:uid="{00000000-0005-0000-0000-0000CD120000}"/>
    <cellStyle name="Normal 4 5 2 6 2 5 2" xfId="14156" xr:uid="{00000000-0005-0000-0000-0000CE120000}"/>
    <cellStyle name="Normal 4 5 2 6 2 6" xfId="14157" xr:uid="{00000000-0005-0000-0000-0000CF120000}"/>
    <cellStyle name="Normal 4 5 2 6 3" xfId="2796" xr:uid="{00000000-0005-0000-0000-0000D0120000}"/>
    <cellStyle name="Normal 4 5 2 6 3 2" xfId="2797" xr:uid="{00000000-0005-0000-0000-0000D1120000}"/>
    <cellStyle name="Normal 4 5 2 6 3 2 2" xfId="14158" xr:uid="{00000000-0005-0000-0000-0000D2120000}"/>
    <cellStyle name="Normal 4 5 2 6 3 3" xfId="2798" xr:uid="{00000000-0005-0000-0000-0000D3120000}"/>
    <cellStyle name="Normal 4 5 2 6 3 3 2" xfId="14159" xr:uid="{00000000-0005-0000-0000-0000D4120000}"/>
    <cellStyle name="Normal 4 5 2 6 3 4" xfId="14160" xr:uid="{00000000-0005-0000-0000-0000D5120000}"/>
    <cellStyle name="Normal 4 5 2 6 4" xfId="2799" xr:uid="{00000000-0005-0000-0000-0000D6120000}"/>
    <cellStyle name="Normal 4 5 2 6 4 2" xfId="2800" xr:uid="{00000000-0005-0000-0000-0000D7120000}"/>
    <cellStyle name="Normal 4 5 2 6 4 2 2" xfId="14161" xr:uid="{00000000-0005-0000-0000-0000D8120000}"/>
    <cellStyle name="Normal 4 5 2 6 4 3" xfId="2801" xr:uid="{00000000-0005-0000-0000-0000D9120000}"/>
    <cellStyle name="Normal 4 5 2 6 4 3 2" xfId="14162" xr:uid="{00000000-0005-0000-0000-0000DA120000}"/>
    <cellStyle name="Normal 4 5 2 6 4 4" xfId="14163" xr:uid="{00000000-0005-0000-0000-0000DB120000}"/>
    <cellStyle name="Normal 4 5 2 6 5" xfId="2802" xr:uid="{00000000-0005-0000-0000-0000DC120000}"/>
    <cellStyle name="Normal 4 5 2 6 5 2" xfId="14164" xr:uid="{00000000-0005-0000-0000-0000DD120000}"/>
    <cellStyle name="Normal 4 5 2 6 6" xfId="2803" xr:uid="{00000000-0005-0000-0000-0000DE120000}"/>
    <cellStyle name="Normal 4 5 2 6 6 2" xfId="14165" xr:uid="{00000000-0005-0000-0000-0000DF120000}"/>
    <cellStyle name="Normal 4 5 2 6 7" xfId="14166" xr:uid="{00000000-0005-0000-0000-0000E0120000}"/>
    <cellStyle name="Normal 4 5 2 7" xfId="2804" xr:uid="{00000000-0005-0000-0000-0000E1120000}"/>
    <cellStyle name="Normal 4 5 2 7 2" xfId="2805" xr:uid="{00000000-0005-0000-0000-0000E2120000}"/>
    <cellStyle name="Normal 4 5 2 7 2 2" xfId="2806" xr:uid="{00000000-0005-0000-0000-0000E3120000}"/>
    <cellStyle name="Normal 4 5 2 7 2 2 2" xfId="14167" xr:uid="{00000000-0005-0000-0000-0000E4120000}"/>
    <cellStyle name="Normal 4 5 2 7 2 3" xfId="2807" xr:uid="{00000000-0005-0000-0000-0000E5120000}"/>
    <cellStyle name="Normal 4 5 2 7 2 3 2" xfId="14168" xr:uid="{00000000-0005-0000-0000-0000E6120000}"/>
    <cellStyle name="Normal 4 5 2 7 2 4" xfId="14169" xr:uid="{00000000-0005-0000-0000-0000E7120000}"/>
    <cellStyle name="Normal 4 5 2 7 3" xfId="2808" xr:uid="{00000000-0005-0000-0000-0000E8120000}"/>
    <cellStyle name="Normal 4 5 2 7 3 2" xfId="2809" xr:uid="{00000000-0005-0000-0000-0000E9120000}"/>
    <cellStyle name="Normal 4 5 2 7 3 2 2" xfId="14170" xr:uid="{00000000-0005-0000-0000-0000EA120000}"/>
    <cellStyle name="Normal 4 5 2 7 3 3" xfId="2810" xr:uid="{00000000-0005-0000-0000-0000EB120000}"/>
    <cellStyle name="Normal 4 5 2 7 3 3 2" xfId="14171" xr:uid="{00000000-0005-0000-0000-0000EC120000}"/>
    <cellStyle name="Normal 4 5 2 7 3 4" xfId="14172" xr:uid="{00000000-0005-0000-0000-0000ED120000}"/>
    <cellStyle name="Normal 4 5 2 7 4" xfId="2811" xr:uid="{00000000-0005-0000-0000-0000EE120000}"/>
    <cellStyle name="Normal 4 5 2 7 4 2" xfId="14173" xr:uid="{00000000-0005-0000-0000-0000EF120000}"/>
    <cellStyle name="Normal 4 5 2 7 5" xfId="2812" xr:uid="{00000000-0005-0000-0000-0000F0120000}"/>
    <cellStyle name="Normal 4 5 2 7 5 2" xfId="14174" xr:uid="{00000000-0005-0000-0000-0000F1120000}"/>
    <cellStyle name="Normal 4 5 2 7 6" xfId="14175" xr:uid="{00000000-0005-0000-0000-0000F2120000}"/>
    <cellStyle name="Normal 4 5 2 8" xfId="2813" xr:uid="{00000000-0005-0000-0000-0000F3120000}"/>
    <cellStyle name="Normal 4 5 2 8 2" xfId="2814" xr:uid="{00000000-0005-0000-0000-0000F4120000}"/>
    <cellStyle name="Normal 4 5 2 8 2 2" xfId="2815" xr:uid="{00000000-0005-0000-0000-0000F5120000}"/>
    <cellStyle name="Normal 4 5 2 8 2 2 2" xfId="14176" xr:uid="{00000000-0005-0000-0000-0000F6120000}"/>
    <cellStyle name="Normal 4 5 2 8 2 3" xfId="2816" xr:uid="{00000000-0005-0000-0000-0000F7120000}"/>
    <cellStyle name="Normal 4 5 2 8 2 3 2" xfId="14177" xr:uid="{00000000-0005-0000-0000-0000F8120000}"/>
    <cellStyle name="Normal 4 5 2 8 2 4" xfId="14178" xr:uid="{00000000-0005-0000-0000-0000F9120000}"/>
    <cellStyle name="Normal 4 5 2 8 3" xfId="2817" xr:uid="{00000000-0005-0000-0000-0000FA120000}"/>
    <cellStyle name="Normal 4 5 2 8 3 2" xfId="2818" xr:uid="{00000000-0005-0000-0000-0000FB120000}"/>
    <cellStyle name="Normal 4 5 2 8 3 2 2" xfId="14179" xr:uid="{00000000-0005-0000-0000-0000FC120000}"/>
    <cellStyle name="Normal 4 5 2 8 3 3" xfId="2819" xr:uid="{00000000-0005-0000-0000-0000FD120000}"/>
    <cellStyle name="Normal 4 5 2 8 3 3 2" xfId="14180" xr:uid="{00000000-0005-0000-0000-0000FE120000}"/>
    <cellStyle name="Normal 4 5 2 8 3 4" xfId="14181" xr:uid="{00000000-0005-0000-0000-0000FF120000}"/>
    <cellStyle name="Normal 4 5 2 8 4" xfId="2820" xr:uid="{00000000-0005-0000-0000-000000130000}"/>
    <cellStyle name="Normal 4 5 2 8 4 2" xfId="14182" xr:uid="{00000000-0005-0000-0000-000001130000}"/>
    <cellStyle name="Normal 4 5 2 8 5" xfId="2821" xr:uid="{00000000-0005-0000-0000-000002130000}"/>
    <cellStyle name="Normal 4 5 2 8 5 2" xfId="14183" xr:uid="{00000000-0005-0000-0000-000003130000}"/>
    <cellStyle name="Normal 4 5 2 8 6" xfId="14184" xr:uid="{00000000-0005-0000-0000-000004130000}"/>
    <cellStyle name="Normal 4 5 2 9" xfId="2822" xr:uid="{00000000-0005-0000-0000-000005130000}"/>
    <cellStyle name="Normal 4 5 2 9 2" xfId="2823" xr:uid="{00000000-0005-0000-0000-000006130000}"/>
    <cellStyle name="Normal 4 5 2 9 2 2" xfId="14185" xr:uid="{00000000-0005-0000-0000-000007130000}"/>
    <cellStyle name="Normal 4 5 2 9 3" xfId="2824" xr:uid="{00000000-0005-0000-0000-000008130000}"/>
    <cellStyle name="Normal 4 5 2 9 3 2" xfId="14186" xr:uid="{00000000-0005-0000-0000-000009130000}"/>
    <cellStyle name="Normal 4 5 2 9 4" xfId="14187" xr:uid="{00000000-0005-0000-0000-00000A130000}"/>
    <cellStyle name="Normal 4 5 3" xfId="201" xr:uid="{00000000-0005-0000-0000-00000B130000}"/>
    <cellStyle name="Normal 4 5 3 10" xfId="2825" xr:uid="{00000000-0005-0000-0000-00000C130000}"/>
    <cellStyle name="Normal 4 5 3 10 2" xfId="2826" xr:uid="{00000000-0005-0000-0000-00000D130000}"/>
    <cellStyle name="Normal 4 5 3 10 2 2" xfId="14188" xr:uid="{00000000-0005-0000-0000-00000E130000}"/>
    <cellStyle name="Normal 4 5 3 10 3" xfId="2827" xr:uid="{00000000-0005-0000-0000-00000F130000}"/>
    <cellStyle name="Normal 4 5 3 10 3 2" xfId="14189" xr:uid="{00000000-0005-0000-0000-000010130000}"/>
    <cellStyle name="Normal 4 5 3 10 4" xfId="14190" xr:uid="{00000000-0005-0000-0000-000011130000}"/>
    <cellStyle name="Normal 4 5 3 11" xfId="2828" xr:uid="{00000000-0005-0000-0000-000012130000}"/>
    <cellStyle name="Normal 4 5 3 11 2" xfId="14191" xr:uid="{00000000-0005-0000-0000-000013130000}"/>
    <cellStyle name="Normal 4 5 3 12" xfId="2829" xr:uid="{00000000-0005-0000-0000-000014130000}"/>
    <cellStyle name="Normal 4 5 3 12 2" xfId="14192" xr:uid="{00000000-0005-0000-0000-000015130000}"/>
    <cellStyle name="Normal 4 5 3 13" xfId="14193" xr:uid="{00000000-0005-0000-0000-000016130000}"/>
    <cellStyle name="Normal 4 5 3 2" xfId="2830" xr:uid="{00000000-0005-0000-0000-000017130000}"/>
    <cellStyle name="Normal 4 5 3 2 10" xfId="2831" xr:uid="{00000000-0005-0000-0000-000018130000}"/>
    <cellStyle name="Normal 4 5 3 2 10 2" xfId="14194" xr:uid="{00000000-0005-0000-0000-000019130000}"/>
    <cellStyle name="Normal 4 5 3 2 11" xfId="2832" xr:uid="{00000000-0005-0000-0000-00001A130000}"/>
    <cellStyle name="Normal 4 5 3 2 11 2" xfId="14195" xr:uid="{00000000-0005-0000-0000-00001B130000}"/>
    <cellStyle name="Normal 4 5 3 2 12" xfId="14196" xr:uid="{00000000-0005-0000-0000-00001C130000}"/>
    <cellStyle name="Normal 4 5 3 2 2" xfId="2833" xr:uid="{00000000-0005-0000-0000-00001D130000}"/>
    <cellStyle name="Normal 4 5 3 2 2 10" xfId="2834" xr:uid="{00000000-0005-0000-0000-00001E130000}"/>
    <cellStyle name="Normal 4 5 3 2 2 10 2" xfId="14197" xr:uid="{00000000-0005-0000-0000-00001F130000}"/>
    <cellStyle name="Normal 4 5 3 2 2 11" xfId="14198" xr:uid="{00000000-0005-0000-0000-000020130000}"/>
    <cellStyle name="Normal 4 5 3 2 2 2" xfId="2835" xr:uid="{00000000-0005-0000-0000-000021130000}"/>
    <cellStyle name="Normal 4 5 3 2 2 2 10" xfId="14199" xr:uid="{00000000-0005-0000-0000-000022130000}"/>
    <cellStyle name="Normal 4 5 3 2 2 2 2" xfId="2836" xr:uid="{00000000-0005-0000-0000-000023130000}"/>
    <cellStyle name="Normal 4 5 3 2 2 2 2 2" xfId="2837" xr:uid="{00000000-0005-0000-0000-000024130000}"/>
    <cellStyle name="Normal 4 5 3 2 2 2 2 2 2" xfId="2838" xr:uid="{00000000-0005-0000-0000-000025130000}"/>
    <cellStyle name="Normal 4 5 3 2 2 2 2 2 2 2" xfId="2839" xr:uid="{00000000-0005-0000-0000-000026130000}"/>
    <cellStyle name="Normal 4 5 3 2 2 2 2 2 2 2 2" xfId="14200" xr:uid="{00000000-0005-0000-0000-000027130000}"/>
    <cellStyle name="Normal 4 5 3 2 2 2 2 2 2 3" xfId="2840" xr:uid="{00000000-0005-0000-0000-000028130000}"/>
    <cellStyle name="Normal 4 5 3 2 2 2 2 2 2 3 2" xfId="14201" xr:uid="{00000000-0005-0000-0000-000029130000}"/>
    <cellStyle name="Normal 4 5 3 2 2 2 2 2 2 4" xfId="14202" xr:uid="{00000000-0005-0000-0000-00002A130000}"/>
    <cellStyle name="Normal 4 5 3 2 2 2 2 2 3" xfId="2841" xr:uid="{00000000-0005-0000-0000-00002B130000}"/>
    <cellStyle name="Normal 4 5 3 2 2 2 2 2 3 2" xfId="2842" xr:uid="{00000000-0005-0000-0000-00002C130000}"/>
    <cellStyle name="Normal 4 5 3 2 2 2 2 2 3 2 2" xfId="14203" xr:uid="{00000000-0005-0000-0000-00002D130000}"/>
    <cellStyle name="Normal 4 5 3 2 2 2 2 2 3 3" xfId="2843" xr:uid="{00000000-0005-0000-0000-00002E130000}"/>
    <cellStyle name="Normal 4 5 3 2 2 2 2 2 3 3 2" xfId="14204" xr:uid="{00000000-0005-0000-0000-00002F130000}"/>
    <cellStyle name="Normal 4 5 3 2 2 2 2 2 3 4" xfId="14205" xr:uid="{00000000-0005-0000-0000-000030130000}"/>
    <cellStyle name="Normal 4 5 3 2 2 2 2 2 4" xfId="2844" xr:uid="{00000000-0005-0000-0000-000031130000}"/>
    <cellStyle name="Normal 4 5 3 2 2 2 2 2 4 2" xfId="14206" xr:uid="{00000000-0005-0000-0000-000032130000}"/>
    <cellStyle name="Normal 4 5 3 2 2 2 2 2 5" xfId="2845" xr:uid="{00000000-0005-0000-0000-000033130000}"/>
    <cellStyle name="Normal 4 5 3 2 2 2 2 2 5 2" xfId="14207" xr:uid="{00000000-0005-0000-0000-000034130000}"/>
    <cellStyle name="Normal 4 5 3 2 2 2 2 2 6" xfId="14208" xr:uid="{00000000-0005-0000-0000-000035130000}"/>
    <cellStyle name="Normal 4 5 3 2 2 2 2 3" xfId="2846" xr:uid="{00000000-0005-0000-0000-000036130000}"/>
    <cellStyle name="Normal 4 5 3 2 2 2 2 3 2" xfId="2847" xr:uid="{00000000-0005-0000-0000-000037130000}"/>
    <cellStyle name="Normal 4 5 3 2 2 2 2 3 2 2" xfId="2848" xr:uid="{00000000-0005-0000-0000-000038130000}"/>
    <cellStyle name="Normal 4 5 3 2 2 2 2 3 2 2 2" xfId="14209" xr:uid="{00000000-0005-0000-0000-000039130000}"/>
    <cellStyle name="Normal 4 5 3 2 2 2 2 3 2 3" xfId="2849" xr:uid="{00000000-0005-0000-0000-00003A130000}"/>
    <cellStyle name="Normal 4 5 3 2 2 2 2 3 2 3 2" xfId="14210" xr:uid="{00000000-0005-0000-0000-00003B130000}"/>
    <cellStyle name="Normal 4 5 3 2 2 2 2 3 2 4" xfId="14211" xr:uid="{00000000-0005-0000-0000-00003C130000}"/>
    <cellStyle name="Normal 4 5 3 2 2 2 2 3 3" xfId="2850" xr:uid="{00000000-0005-0000-0000-00003D130000}"/>
    <cellStyle name="Normal 4 5 3 2 2 2 2 3 3 2" xfId="2851" xr:uid="{00000000-0005-0000-0000-00003E130000}"/>
    <cellStyle name="Normal 4 5 3 2 2 2 2 3 3 2 2" xfId="14212" xr:uid="{00000000-0005-0000-0000-00003F130000}"/>
    <cellStyle name="Normal 4 5 3 2 2 2 2 3 3 3" xfId="2852" xr:uid="{00000000-0005-0000-0000-000040130000}"/>
    <cellStyle name="Normal 4 5 3 2 2 2 2 3 3 3 2" xfId="14213" xr:uid="{00000000-0005-0000-0000-000041130000}"/>
    <cellStyle name="Normal 4 5 3 2 2 2 2 3 3 4" xfId="14214" xr:uid="{00000000-0005-0000-0000-000042130000}"/>
    <cellStyle name="Normal 4 5 3 2 2 2 2 3 4" xfId="2853" xr:uid="{00000000-0005-0000-0000-000043130000}"/>
    <cellStyle name="Normal 4 5 3 2 2 2 2 3 4 2" xfId="14215" xr:uid="{00000000-0005-0000-0000-000044130000}"/>
    <cellStyle name="Normal 4 5 3 2 2 2 2 3 5" xfId="2854" xr:uid="{00000000-0005-0000-0000-000045130000}"/>
    <cellStyle name="Normal 4 5 3 2 2 2 2 3 5 2" xfId="14216" xr:uid="{00000000-0005-0000-0000-000046130000}"/>
    <cellStyle name="Normal 4 5 3 2 2 2 2 3 6" xfId="14217" xr:uid="{00000000-0005-0000-0000-000047130000}"/>
    <cellStyle name="Normal 4 5 3 2 2 2 2 4" xfId="2855" xr:uid="{00000000-0005-0000-0000-000048130000}"/>
    <cellStyle name="Normal 4 5 3 2 2 2 2 4 2" xfId="2856" xr:uid="{00000000-0005-0000-0000-000049130000}"/>
    <cellStyle name="Normal 4 5 3 2 2 2 2 4 2 2" xfId="14218" xr:uid="{00000000-0005-0000-0000-00004A130000}"/>
    <cellStyle name="Normal 4 5 3 2 2 2 2 4 3" xfId="2857" xr:uid="{00000000-0005-0000-0000-00004B130000}"/>
    <cellStyle name="Normal 4 5 3 2 2 2 2 4 3 2" xfId="14219" xr:uid="{00000000-0005-0000-0000-00004C130000}"/>
    <cellStyle name="Normal 4 5 3 2 2 2 2 4 4" xfId="14220" xr:uid="{00000000-0005-0000-0000-00004D130000}"/>
    <cellStyle name="Normal 4 5 3 2 2 2 2 5" xfId="2858" xr:uid="{00000000-0005-0000-0000-00004E130000}"/>
    <cellStyle name="Normal 4 5 3 2 2 2 2 5 2" xfId="2859" xr:uid="{00000000-0005-0000-0000-00004F130000}"/>
    <cellStyle name="Normal 4 5 3 2 2 2 2 5 2 2" xfId="14221" xr:uid="{00000000-0005-0000-0000-000050130000}"/>
    <cellStyle name="Normal 4 5 3 2 2 2 2 5 3" xfId="2860" xr:uid="{00000000-0005-0000-0000-000051130000}"/>
    <cellStyle name="Normal 4 5 3 2 2 2 2 5 3 2" xfId="14222" xr:uid="{00000000-0005-0000-0000-000052130000}"/>
    <cellStyle name="Normal 4 5 3 2 2 2 2 5 4" xfId="14223" xr:uid="{00000000-0005-0000-0000-000053130000}"/>
    <cellStyle name="Normal 4 5 3 2 2 2 2 6" xfId="2861" xr:uid="{00000000-0005-0000-0000-000054130000}"/>
    <cellStyle name="Normal 4 5 3 2 2 2 2 6 2" xfId="14224" xr:uid="{00000000-0005-0000-0000-000055130000}"/>
    <cellStyle name="Normal 4 5 3 2 2 2 2 7" xfId="2862" xr:uid="{00000000-0005-0000-0000-000056130000}"/>
    <cellStyle name="Normal 4 5 3 2 2 2 2 7 2" xfId="14225" xr:uid="{00000000-0005-0000-0000-000057130000}"/>
    <cellStyle name="Normal 4 5 3 2 2 2 2 8" xfId="14226" xr:uid="{00000000-0005-0000-0000-000058130000}"/>
    <cellStyle name="Normal 4 5 3 2 2 2 3" xfId="2863" xr:uid="{00000000-0005-0000-0000-000059130000}"/>
    <cellStyle name="Normal 4 5 3 2 2 2 3 2" xfId="2864" xr:uid="{00000000-0005-0000-0000-00005A130000}"/>
    <cellStyle name="Normal 4 5 3 2 2 2 3 2 2" xfId="2865" xr:uid="{00000000-0005-0000-0000-00005B130000}"/>
    <cellStyle name="Normal 4 5 3 2 2 2 3 2 2 2" xfId="2866" xr:uid="{00000000-0005-0000-0000-00005C130000}"/>
    <cellStyle name="Normal 4 5 3 2 2 2 3 2 2 2 2" xfId="14227" xr:uid="{00000000-0005-0000-0000-00005D130000}"/>
    <cellStyle name="Normal 4 5 3 2 2 2 3 2 2 3" xfId="2867" xr:uid="{00000000-0005-0000-0000-00005E130000}"/>
    <cellStyle name="Normal 4 5 3 2 2 2 3 2 2 3 2" xfId="14228" xr:uid="{00000000-0005-0000-0000-00005F130000}"/>
    <cellStyle name="Normal 4 5 3 2 2 2 3 2 2 4" xfId="14229" xr:uid="{00000000-0005-0000-0000-000060130000}"/>
    <cellStyle name="Normal 4 5 3 2 2 2 3 2 3" xfId="2868" xr:uid="{00000000-0005-0000-0000-000061130000}"/>
    <cellStyle name="Normal 4 5 3 2 2 2 3 2 3 2" xfId="2869" xr:uid="{00000000-0005-0000-0000-000062130000}"/>
    <cellStyle name="Normal 4 5 3 2 2 2 3 2 3 2 2" xfId="14230" xr:uid="{00000000-0005-0000-0000-000063130000}"/>
    <cellStyle name="Normal 4 5 3 2 2 2 3 2 3 3" xfId="2870" xr:uid="{00000000-0005-0000-0000-000064130000}"/>
    <cellStyle name="Normal 4 5 3 2 2 2 3 2 3 3 2" xfId="14231" xr:uid="{00000000-0005-0000-0000-000065130000}"/>
    <cellStyle name="Normal 4 5 3 2 2 2 3 2 3 4" xfId="14232" xr:uid="{00000000-0005-0000-0000-000066130000}"/>
    <cellStyle name="Normal 4 5 3 2 2 2 3 2 4" xfId="2871" xr:uid="{00000000-0005-0000-0000-000067130000}"/>
    <cellStyle name="Normal 4 5 3 2 2 2 3 2 4 2" xfId="14233" xr:uid="{00000000-0005-0000-0000-000068130000}"/>
    <cellStyle name="Normal 4 5 3 2 2 2 3 2 5" xfId="2872" xr:uid="{00000000-0005-0000-0000-000069130000}"/>
    <cellStyle name="Normal 4 5 3 2 2 2 3 2 5 2" xfId="14234" xr:uid="{00000000-0005-0000-0000-00006A130000}"/>
    <cellStyle name="Normal 4 5 3 2 2 2 3 2 6" xfId="14235" xr:uid="{00000000-0005-0000-0000-00006B130000}"/>
    <cellStyle name="Normal 4 5 3 2 2 2 3 3" xfId="2873" xr:uid="{00000000-0005-0000-0000-00006C130000}"/>
    <cellStyle name="Normal 4 5 3 2 2 2 3 3 2" xfId="2874" xr:uid="{00000000-0005-0000-0000-00006D130000}"/>
    <cellStyle name="Normal 4 5 3 2 2 2 3 3 2 2" xfId="14236" xr:uid="{00000000-0005-0000-0000-00006E130000}"/>
    <cellStyle name="Normal 4 5 3 2 2 2 3 3 3" xfId="2875" xr:uid="{00000000-0005-0000-0000-00006F130000}"/>
    <cellStyle name="Normal 4 5 3 2 2 2 3 3 3 2" xfId="14237" xr:uid="{00000000-0005-0000-0000-000070130000}"/>
    <cellStyle name="Normal 4 5 3 2 2 2 3 3 4" xfId="14238" xr:uid="{00000000-0005-0000-0000-000071130000}"/>
    <cellStyle name="Normal 4 5 3 2 2 2 3 4" xfId="2876" xr:uid="{00000000-0005-0000-0000-000072130000}"/>
    <cellStyle name="Normal 4 5 3 2 2 2 3 4 2" xfId="2877" xr:uid="{00000000-0005-0000-0000-000073130000}"/>
    <cellStyle name="Normal 4 5 3 2 2 2 3 4 2 2" xfId="14239" xr:uid="{00000000-0005-0000-0000-000074130000}"/>
    <cellStyle name="Normal 4 5 3 2 2 2 3 4 3" xfId="2878" xr:uid="{00000000-0005-0000-0000-000075130000}"/>
    <cellStyle name="Normal 4 5 3 2 2 2 3 4 3 2" xfId="14240" xr:uid="{00000000-0005-0000-0000-000076130000}"/>
    <cellStyle name="Normal 4 5 3 2 2 2 3 4 4" xfId="14241" xr:uid="{00000000-0005-0000-0000-000077130000}"/>
    <cellStyle name="Normal 4 5 3 2 2 2 3 5" xfId="2879" xr:uid="{00000000-0005-0000-0000-000078130000}"/>
    <cellStyle name="Normal 4 5 3 2 2 2 3 5 2" xfId="14242" xr:uid="{00000000-0005-0000-0000-000079130000}"/>
    <cellStyle name="Normal 4 5 3 2 2 2 3 6" xfId="2880" xr:uid="{00000000-0005-0000-0000-00007A130000}"/>
    <cellStyle name="Normal 4 5 3 2 2 2 3 6 2" xfId="14243" xr:uid="{00000000-0005-0000-0000-00007B130000}"/>
    <cellStyle name="Normal 4 5 3 2 2 2 3 7" xfId="14244" xr:uid="{00000000-0005-0000-0000-00007C130000}"/>
    <cellStyle name="Normal 4 5 3 2 2 2 4" xfId="2881" xr:uid="{00000000-0005-0000-0000-00007D130000}"/>
    <cellStyle name="Normal 4 5 3 2 2 2 4 2" xfId="2882" xr:uid="{00000000-0005-0000-0000-00007E130000}"/>
    <cellStyle name="Normal 4 5 3 2 2 2 4 2 2" xfId="2883" xr:uid="{00000000-0005-0000-0000-00007F130000}"/>
    <cellStyle name="Normal 4 5 3 2 2 2 4 2 2 2" xfId="14245" xr:uid="{00000000-0005-0000-0000-000080130000}"/>
    <cellStyle name="Normal 4 5 3 2 2 2 4 2 3" xfId="2884" xr:uid="{00000000-0005-0000-0000-000081130000}"/>
    <cellStyle name="Normal 4 5 3 2 2 2 4 2 3 2" xfId="14246" xr:uid="{00000000-0005-0000-0000-000082130000}"/>
    <cellStyle name="Normal 4 5 3 2 2 2 4 2 4" xfId="14247" xr:uid="{00000000-0005-0000-0000-000083130000}"/>
    <cellStyle name="Normal 4 5 3 2 2 2 4 3" xfId="2885" xr:uid="{00000000-0005-0000-0000-000084130000}"/>
    <cellStyle name="Normal 4 5 3 2 2 2 4 3 2" xfId="2886" xr:uid="{00000000-0005-0000-0000-000085130000}"/>
    <cellStyle name="Normal 4 5 3 2 2 2 4 3 2 2" xfId="14248" xr:uid="{00000000-0005-0000-0000-000086130000}"/>
    <cellStyle name="Normal 4 5 3 2 2 2 4 3 3" xfId="2887" xr:uid="{00000000-0005-0000-0000-000087130000}"/>
    <cellStyle name="Normal 4 5 3 2 2 2 4 3 3 2" xfId="14249" xr:uid="{00000000-0005-0000-0000-000088130000}"/>
    <cellStyle name="Normal 4 5 3 2 2 2 4 3 4" xfId="14250" xr:uid="{00000000-0005-0000-0000-000089130000}"/>
    <cellStyle name="Normal 4 5 3 2 2 2 4 4" xfId="2888" xr:uid="{00000000-0005-0000-0000-00008A130000}"/>
    <cellStyle name="Normal 4 5 3 2 2 2 4 4 2" xfId="14251" xr:uid="{00000000-0005-0000-0000-00008B130000}"/>
    <cellStyle name="Normal 4 5 3 2 2 2 4 5" xfId="2889" xr:uid="{00000000-0005-0000-0000-00008C130000}"/>
    <cellStyle name="Normal 4 5 3 2 2 2 4 5 2" xfId="14252" xr:uid="{00000000-0005-0000-0000-00008D130000}"/>
    <cellStyle name="Normal 4 5 3 2 2 2 4 6" xfId="14253" xr:uid="{00000000-0005-0000-0000-00008E130000}"/>
    <cellStyle name="Normal 4 5 3 2 2 2 5" xfId="2890" xr:uid="{00000000-0005-0000-0000-00008F130000}"/>
    <cellStyle name="Normal 4 5 3 2 2 2 5 2" xfId="2891" xr:uid="{00000000-0005-0000-0000-000090130000}"/>
    <cellStyle name="Normal 4 5 3 2 2 2 5 2 2" xfId="2892" xr:uid="{00000000-0005-0000-0000-000091130000}"/>
    <cellStyle name="Normal 4 5 3 2 2 2 5 2 2 2" xfId="14254" xr:uid="{00000000-0005-0000-0000-000092130000}"/>
    <cellStyle name="Normal 4 5 3 2 2 2 5 2 3" xfId="2893" xr:uid="{00000000-0005-0000-0000-000093130000}"/>
    <cellStyle name="Normal 4 5 3 2 2 2 5 2 3 2" xfId="14255" xr:uid="{00000000-0005-0000-0000-000094130000}"/>
    <cellStyle name="Normal 4 5 3 2 2 2 5 2 4" xfId="14256" xr:uid="{00000000-0005-0000-0000-000095130000}"/>
    <cellStyle name="Normal 4 5 3 2 2 2 5 3" xfId="2894" xr:uid="{00000000-0005-0000-0000-000096130000}"/>
    <cellStyle name="Normal 4 5 3 2 2 2 5 3 2" xfId="2895" xr:uid="{00000000-0005-0000-0000-000097130000}"/>
    <cellStyle name="Normal 4 5 3 2 2 2 5 3 2 2" xfId="14257" xr:uid="{00000000-0005-0000-0000-000098130000}"/>
    <cellStyle name="Normal 4 5 3 2 2 2 5 3 3" xfId="2896" xr:uid="{00000000-0005-0000-0000-000099130000}"/>
    <cellStyle name="Normal 4 5 3 2 2 2 5 3 3 2" xfId="14258" xr:uid="{00000000-0005-0000-0000-00009A130000}"/>
    <cellStyle name="Normal 4 5 3 2 2 2 5 3 4" xfId="14259" xr:uid="{00000000-0005-0000-0000-00009B130000}"/>
    <cellStyle name="Normal 4 5 3 2 2 2 5 4" xfId="2897" xr:uid="{00000000-0005-0000-0000-00009C130000}"/>
    <cellStyle name="Normal 4 5 3 2 2 2 5 4 2" xfId="14260" xr:uid="{00000000-0005-0000-0000-00009D130000}"/>
    <cellStyle name="Normal 4 5 3 2 2 2 5 5" xfId="2898" xr:uid="{00000000-0005-0000-0000-00009E130000}"/>
    <cellStyle name="Normal 4 5 3 2 2 2 5 5 2" xfId="14261" xr:uid="{00000000-0005-0000-0000-00009F130000}"/>
    <cellStyle name="Normal 4 5 3 2 2 2 5 6" xfId="14262" xr:uid="{00000000-0005-0000-0000-0000A0130000}"/>
    <cellStyle name="Normal 4 5 3 2 2 2 6" xfId="2899" xr:uid="{00000000-0005-0000-0000-0000A1130000}"/>
    <cellStyle name="Normal 4 5 3 2 2 2 6 2" xfId="2900" xr:uid="{00000000-0005-0000-0000-0000A2130000}"/>
    <cellStyle name="Normal 4 5 3 2 2 2 6 2 2" xfId="14263" xr:uid="{00000000-0005-0000-0000-0000A3130000}"/>
    <cellStyle name="Normal 4 5 3 2 2 2 6 3" xfId="2901" xr:uid="{00000000-0005-0000-0000-0000A4130000}"/>
    <cellStyle name="Normal 4 5 3 2 2 2 6 3 2" xfId="14264" xr:uid="{00000000-0005-0000-0000-0000A5130000}"/>
    <cellStyle name="Normal 4 5 3 2 2 2 6 4" xfId="14265" xr:uid="{00000000-0005-0000-0000-0000A6130000}"/>
    <cellStyle name="Normal 4 5 3 2 2 2 7" xfId="2902" xr:uid="{00000000-0005-0000-0000-0000A7130000}"/>
    <cellStyle name="Normal 4 5 3 2 2 2 7 2" xfId="2903" xr:uid="{00000000-0005-0000-0000-0000A8130000}"/>
    <cellStyle name="Normal 4 5 3 2 2 2 7 2 2" xfId="14266" xr:uid="{00000000-0005-0000-0000-0000A9130000}"/>
    <cellStyle name="Normal 4 5 3 2 2 2 7 3" xfId="2904" xr:uid="{00000000-0005-0000-0000-0000AA130000}"/>
    <cellStyle name="Normal 4 5 3 2 2 2 7 3 2" xfId="14267" xr:uid="{00000000-0005-0000-0000-0000AB130000}"/>
    <cellStyle name="Normal 4 5 3 2 2 2 7 4" xfId="14268" xr:uid="{00000000-0005-0000-0000-0000AC130000}"/>
    <cellStyle name="Normal 4 5 3 2 2 2 8" xfId="2905" xr:uid="{00000000-0005-0000-0000-0000AD130000}"/>
    <cellStyle name="Normal 4 5 3 2 2 2 8 2" xfId="14269" xr:uid="{00000000-0005-0000-0000-0000AE130000}"/>
    <cellStyle name="Normal 4 5 3 2 2 2 9" xfId="2906" xr:uid="{00000000-0005-0000-0000-0000AF130000}"/>
    <cellStyle name="Normal 4 5 3 2 2 2 9 2" xfId="14270" xr:uid="{00000000-0005-0000-0000-0000B0130000}"/>
    <cellStyle name="Normal 4 5 3 2 2 3" xfId="2907" xr:uid="{00000000-0005-0000-0000-0000B1130000}"/>
    <cellStyle name="Normal 4 5 3 2 2 3 2" xfId="2908" xr:uid="{00000000-0005-0000-0000-0000B2130000}"/>
    <cellStyle name="Normal 4 5 3 2 2 3 2 2" xfId="2909" xr:uid="{00000000-0005-0000-0000-0000B3130000}"/>
    <cellStyle name="Normal 4 5 3 2 2 3 2 2 2" xfId="2910" xr:uid="{00000000-0005-0000-0000-0000B4130000}"/>
    <cellStyle name="Normal 4 5 3 2 2 3 2 2 2 2" xfId="14271" xr:uid="{00000000-0005-0000-0000-0000B5130000}"/>
    <cellStyle name="Normal 4 5 3 2 2 3 2 2 3" xfId="2911" xr:uid="{00000000-0005-0000-0000-0000B6130000}"/>
    <cellStyle name="Normal 4 5 3 2 2 3 2 2 3 2" xfId="14272" xr:uid="{00000000-0005-0000-0000-0000B7130000}"/>
    <cellStyle name="Normal 4 5 3 2 2 3 2 2 4" xfId="14273" xr:uid="{00000000-0005-0000-0000-0000B8130000}"/>
    <cellStyle name="Normal 4 5 3 2 2 3 2 3" xfId="2912" xr:uid="{00000000-0005-0000-0000-0000B9130000}"/>
    <cellStyle name="Normal 4 5 3 2 2 3 2 3 2" xfId="2913" xr:uid="{00000000-0005-0000-0000-0000BA130000}"/>
    <cellStyle name="Normal 4 5 3 2 2 3 2 3 2 2" xfId="14274" xr:uid="{00000000-0005-0000-0000-0000BB130000}"/>
    <cellStyle name="Normal 4 5 3 2 2 3 2 3 3" xfId="2914" xr:uid="{00000000-0005-0000-0000-0000BC130000}"/>
    <cellStyle name="Normal 4 5 3 2 2 3 2 3 3 2" xfId="14275" xr:uid="{00000000-0005-0000-0000-0000BD130000}"/>
    <cellStyle name="Normal 4 5 3 2 2 3 2 3 4" xfId="14276" xr:uid="{00000000-0005-0000-0000-0000BE130000}"/>
    <cellStyle name="Normal 4 5 3 2 2 3 2 4" xfId="2915" xr:uid="{00000000-0005-0000-0000-0000BF130000}"/>
    <cellStyle name="Normal 4 5 3 2 2 3 2 4 2" xfId="14277" xr:uid="{00000000-0005-0000-0000-0000C0130000}"/>
    <cellStyle name="Normal 4 5 3 2 2 3 2 5" xfId="2916" xr:uid="{00000000-0005-0000-0000-0000C1130000}"/>
    <cellStyle name="Normal 4 5 3 2 2 3 2 5 2" xfId="14278" xr:uid="{00000000-0005-0000-0000-0000C2130000}"/>
    <cellStyle name="Normal 4 5 3 2 2 3 2 6" xfId="14279" xr:uid="{00000000-0005-0000-0000-0000C3130000}"/>
    <cellStyle name="Normal 4 5 3 2 2 3 3" xfId="2917" xr:uid="{00000000-0005-0000-0000-0000C4130000}"/>
    <cellStyle name="Normal 4 5 3 2 2 3 3 2" xfId="2918" xr:uid="{00000000-0005-0000-0000-0000C5130000}"/>
    <cellStyle name="Normal 4 5 3 2 2 3 3 2 2" xfId="2919" xr:uid="{00000000-0005-0000-0000-0000C6130000}"/>
    <cellStyle name="Normal 4 5 3 2 2 3 3 2 2 2" xfId="14280" xr:uid="{00000000-0005-0000-0000-0000C7130000}"/>
    <cellStyle name="Normal 4 5 3 2 2 3 3 2 3" xfId="2920" xr:uid="{00000000-0005-0000-0000-0000C8130000}"/>
    <cellStyle name="Normal 4 5 3 2 2 3 3 2 3 2" xfId="14281" xr:uid="{00000000-0005-0000-0000-0000C9130000}"/>
    <cellStyle name="Normal 4 5 3 2 2 3 3 2 4" xfId="14282" xr:uid="{00000000-0005-0000-0000-0000CA130000}"/>
    <cellStyle name="Normal 4 5 3 2 2 3 3 3" xfId="2921" xr:uid="{00000000-0005-0000-0000-0000CB130000}"/>
    <cellStyle name="Normal 4 5 3 2 2 3 3 3 2" xfId="2922" xr:uid="{00000000-0005-0000-0000-0000CC130000}"/>
    <cellStyle name="Normal 4 5 3 2 2 3 3 3 2 2" xfId="14283" xr:uid="{00000000-0005-0000-0000-0000CD130000}"/>
    <cellStyle name="Normal 4 5 3 2 2 3 3 3 3" xfId="2923" xr:uid="{00000000-0005-0000-0000-0000CE130000}"/>
    <cellStyle name="Normal 4 5 3 2 2 3 3 3 3 2" xfId="14284" xr:uid="{00000000-0005-0000-0000-0000CF130000}"/>
    <cellStyle name="Normal 4 5 3 2 2 3 3 3 4" xfId="14285" xr:uid="{00000000-0005-0000-0000-0000D0130000}"/>
    <cellStyle name="Normal 4 5 3 2 2 3 3 4" xfId="2924" xr:uid="{00000000-0005-0000-0000-0000D1130000}"/>
    <cellStyle name="Normal 4 5 3 2 2 3 3 4 2" xfId="14286" xr:uid="{00000000-0005-0000-0000-0000D2130000}"/>
    <cellStyle name="Normal 4 5 3 2 2 3 3 5" xfId="2925" xr:uid="{00000000-0005-0000-0000-0000D3130000}"/>
    <cellStyle name="Normal 4 5 3 2 2 3 3 5 2" xfId="14287" xr:uid="{00000000-0005-0000-0000-0000D4130000}"/>
    <cellStyle name="Normal 4 5 3 2 2 3 3 6" xfId="14288" xr:uid="{00000000-0005-0000-0000-0000D5130000}"/>
    <cellStyle name="Normal 4 5 3 2 2 3 4" xfId="2926" xr:uid="{00000000-0005-0000-0000-0000D6130000}"/>
    <cellStyle name="Normal 4 5 3 2 2 3 4 2" xfId="2927" xr:uid="{00000000-0005-0000-0000-0000D7130000}"/>
    <cellStyle name="Normal 4 5 3 2 2 3 4 2 2" xfId="14289" xr:uid="{00000000-0005-0000-0000-0000D8130000}"/>
    <cellStyle name="Normal 4 5 3 2 2 3 4 3" xfId="2928" xr:uid="{00000000-0005-0000-0000-0000D9130000}"/>
    <cellStyle name="Normal 4 5 3 2 2 3 4 3 2" xfId="14290" xr:uid="{00000000-0005-0000-0000-0000DA130000}"/>
    <cellStyle name="Normal 4 5 3 2 2 3 4 4" xfId="14291" xr:uid="{00000000-0005-0000-0000-0000DB130000}"/>
    <cellStyle name="Normal 4 5 3 2 2 3 5" xfId="2929" xr:uid="{00000000-0005-0000-0000-0000DC130000}"/>
    <cellStyle name="Normal 4 5 3 2 2 3 5 2" xfId="2930" xr:uid="{00000000-0005-0000-0000-0000DD130000}"/>
    <cellStyle name="Normal 4 5 3 2 2 3 5 2 2" xfId="14292" xr:uid="{00000000-0005-0000-0000-0000DE130000}"/>
    <cellStyle name="Normal 4 5 3 2 2 3 5 3" xfId="2931" xr:uid="{00000000-0005-0000-0000-0000DF130000}"/>
    <cellStyle name="Normal 4 5 3 2 2 3 5 3 2" xfId="14293" xr:uid="{00000000-0005-0000-0000-0000E0130000}"/>
    <cellStyle name="Normal 4 5 3 2 2 3 5 4" xfId="14294" xr:uid="{00000000-0005-0000-0000-0000E1130000}"/>
    <cellStyle name="Normal 4 5 3 2 2 3 6" xfId="2932" xr:uid="{00000000-0005-0000-0000-0000E2130000}"/>
    <cellStyle name="Normal 4 5 3 2 2 3 6 2" xfId="14295" xr:uid="{00000000-0005-0000-0000-0000E3130000}"/>
    <cellStyle name="Normal 4 5 3 2 2 3 7" xfId="2933" xr:uid="{00000000-0005-0000-0000-0000E4130000}"/>
    <cellStyle name="Normal 4 5 3 2 2 3 7 2" xfId="14296" xr:uid="{00000000-0005-0000-0000-0000E5130000}"/>
    <cellStyle name="Normal 4 5 3 2 2 3 8" xfId="14297" xr:uid="{00000000-0005-0000-0000-0000E6130000}"/>
    <cellStyle name="Normal 4 5 3 2 2 4" xfId="2934" xr:uid="{00000000-0005-0000-0000-0000E7130000}"/>
    <cellStyle name="Normal 4 5 3 2 2 4 2" xfId="2935" xr:uid="{00000000-0005-0000-0000-0000E8130000}"/>
    <cellStyle name="Normal 4 5 3 2 2 4 2 2" xfId="2936" xr:uid="{00000000-0005-0000-0000-0000E9130000}"/>
    <cellStyle name="Normal 4 5 3 2 2 4 2 2 2" xfId="2937" xr:uid="{00000000-0005-0000-0000-0000EA130000}"/>
    <cellStyle name="Normal 4 5 3 2 2 4 2 2 2 2" xfId="14298" xr:uid="{00000000-0005-0000-0000-0000EB130000}"/>
    <cellStyle name="Normal 4 5 3 2 2 4 2 2 3" xfId="2938" xr:uid="{00000000-0005-0000-0000-0000EC130000}"/>
    <cellStyle name="Normal 4 5 3 2 2 4 2 2 3 2" xfId="14299" xr:uid="{00000000-0005-0000-0000-0000ED130000}"/>
    <cellStyle name="Normal 4 5 3 2 2 4 2 2 4" xfId="14300" xr:uid="{00000000-0005-0000-0000-0000EE130000}"/>
    <cellStyle name="Normal 4 5 3 2 2 4 2 3" xfId="2939" xr:uid="{00000000-0005-0000-0000-0000EF130000}"/>
    <cellStyle name="Normal 4 5 3 2 2 4 2 3 2" xfId="2940" xr:uid="{00000000-0005-0000-0000-0000F0130000}"/>
    <cellStyle name="Normal 4 5 3 2 2 4 2 3 2 2" xfId="14301" xr:uid="{00000000-0005-0000-0000-0000F1130000}"/>
    <cellStyle name="Normal 4 5 3 2 2 4 2 3 3" xfId="2941" xr:uid="{00000000-0005-0000-0000-0000F2130000}"/>
    <cellStyle name="Normal 4 5 3 2 2 4 2 3 3 2" xfId="14302" xr:uid="{00000000-0005-0000-0000-0000F3130000}"/>
    <cellStyle name="Normal 4 5 3 2 2 4 2 3 4" xfId="14303" xr:uid="{00000000-0005-0000-0000-0000F4130000}"/>
    <cellStyle name="Normal 4 5 3 2 2 4 2 4" xfId="2942" xr:uid="{00000000-0005-0000-0000-0000F5130000}"/>
    <cellStyle name="Normal 4 5 3 2 2 4 2 4 2" xfId="14304" xr:uid="{00000000-0005-0000-0000-0000F6130000}"/>
    <cellStyle name="Normal 4 5 3 2 2 4 2 5" xfId="2943" xr:uid="{00000000-0005-0000-0000-0000F7130000}"/>
    <cellStyle name="Normal 4 5 3 2 2 4 2 5 2" xfId="14305" xr:uid="{00000000-0005-0000-0000-0000F8130000}"/>
    <cellStyle name="Normal 4 5 3 2 2 4 2 6" xfId="14306" xr:uid="{00000000-0005-0000-0000-0000F9130000}"/>
    <cellStyle name="Normal 4 5 3 2 2 4 3" xfId="2944" xr:uid="{00000000-0005-0000-0000-0000FA130000}"/>
    <cellStyle name="Normal 4 5 3 2 2 4 3 2" xfId="2945" xr:uid="{00000000-0005-0000-0000-0000FB130000}"/>
    <cellStyle name="Normal 4 5 3 2 2 4 3 2 2" xfId="14307" xr:uid="{00000000-0005-0000-0000-0000FC130000}"/>
    <cellStyle name="Normal 4 5 3 2 2 4 3 3" xfId="2946" xr:uid="{00000000-0005-0000-0000-0000FD130000}"/>
    <cellStyle name="Normal 4 5 3 2 2 4 3 3 2" xfId="14308" xr:uid="{00000000-0005-0000-0000-0000FE130000}"/>
    <cellStyle name="Normal 4 5 3 2 2 4 3 4" xfId="14309" xr:uid="{00000000-0005-0000-0000-0000FF130000}"/>
    <cellStyle name="Normal 4 5 3 2 2 4 4" xfId="2947" xr:uid="{00000000-0005-0000-0000-000000140000}"/>
    <cellStyle name="Normal 4 5 3 2 2 4 4 2" xfId="2948" xr:uid="{00000000-0005-0000-0000-000001140000}"/>
    <cellStyle name="Normal 4 5 3 2 2 4 4 2 2" xfId="14310" xr:uid="{00000000-0005-0000-0000-000002140000}"/>
    <cellStyle name="Normal 4 5 3 2 2 4 4 3" xfId="2949" xr:uid="{00000000-0005-0000-0000-000003140000}"/>
    <cellStyle name="Normal 4 5 3 2 2 4 4 3 2" xfId="14311" xr:uid="{00000000-0005-0000-0000-000004140000}"/>
    <cellStyle name="Normal 4 5 3 2 2 4 4 4" xfId="14312" xr:uid="{00000000-0005-0000-0000-000005140000}"/>
    <cellStyle name="Normal 4 5 3 2 2 4 5" xfId="2950" xr:uid="{00000000-0005-0000-0000-000006140000}"/>
    <cellStyle name="Normal 4 5 3 2 2 4 5 2" xfId="14313" xr:uid="{00000000-0005-0000-0000-000007140000}"/>
    <cellStyle name="Normal 4 5 3 2 2 4 6" xfId="2951" xr:uid="{00000000-0005-0000-0000-000008140000}"/>
    <cellStyle name="Normal 4 5 3 2 2 4 6 2" xfId="14314" xr:uid="{00000000-0005-0000-0000-000009140000}"/>
    <cellStyle name="Normal 4 5 3 2 2 4 7" xfId="14315" xr:uid="{00000000-0005-0000-0000-00000A140000}"/>
    <cellStyle name="Normal 4 5 3 2 2 5" xfId="2952" xr:uid="{00000000-0005-0000-0000-00000B140000}"/>
    <cellStyle name="Normal 4 5 3 2 2 5 2" xfId="2953" xr:uid="{00000000-0005-0000-0000-00000C140000}"/>
    <cellStyle name="Normal 4 5 3 2 2 5 2 2" xfId="2954" xr:uid="{00000000-0005-0000-0000-00000D140000}"/>
    <cellStyle name="Normal 4 5 3 2 2 5 2 2 2" xfId="14316" xr:uid="{00000000-0005-0000-0000-00000E140000}"/>
    <cellStyle name="Normal 4 5 3 2 2 5 2 3" xfId="2955" xr:uid="{00000000-0005-0000-0000-00000F140000}"/>
    <cellStyle name="Normal 4 5 3 2 2 5 2 3 2" xfId="14317" xr:uid="{00000000-0005-0000-0000-000010140000}"/>
    <cellStyle name="Normal 4 5 3 2 2 5 2 4" xfId="14318" xr:uid="{00000000-0005-0000-0000-000011140000}"/>
    <cellStyle name="Normal 4 5 3 2 2 5 3" xfId="2956" xr:uid="{00000000-0005-0000-0000-000012140000}"/>
    <cellStyle name="Normal 4 5 3 2 2 5 3 2" xfId="2957" xr:uid="{00000000-0005-0000-0000-000013140000}"/>
    <cellStyle name="Normal 4 5 3 2 2 5 3 2 2" xfId="14319" xr:uid="{00000000-0005-0000-0000-000014140000}"/>
    <cellStyle name="Normal 4 5 3 2 2 5 3 3" xfId="2958" xr:uid="{00000000-0005-0000-0000-000015140000}"/>
    <cellStyle name="Normal 4 5 3 2 2 5 3 3 2" xfId="14320" xr:uid="{00000000-0005-0000-0000-000016140000}"/>
    <cellStyle name="Normal 4 5 3 2 2 5 3 4" xfId="14321" xr:uid="{00000000-0005-0000-0000-000017140000}"/>
    <cellStyle name="Normal 4 5 3 2 2 5 4" xfId="2959" xr:uid="{00000000-0005-0000-0000-000018140000}"/>
    <cellStyle name="Normal 4 5 3 2 2 5 4 2" xfId="14322" xr:uid="{00000000-0005-0000-0000-000019140000}"/>
    <cellStyle name="Normal 4 5 3 2 2 5 5" xfId="2960" xr:uid="{00000000-0005-0000-0000-00001A140000}"/>
    <cellStyle name="Normal 4 5 3 2 2 5 5 2" xfId="14323" xr:uid="{00000000-0005-0000-0000-00001B140000}"/>
    <cellStyle name="Normal 4 5 3 2 2 5 6" xfId="14324" xr:uid="{00000000-0005-0000-0000-00001C140000}"/>
    <cellStyle name="Normal 4 5 3 2 2 6" xfId="2961" xr:uid="{00000000-0005-0000-0000-00001D140000}"/>
    <cellStyle name="Normal 4 5 3 2 2 6 2" xfId="2962" xr:uid="{00000000-0005-0000-0000-00001E140000}"/>
    <cellStyle name="Normal 4 5 3 2 2 6 2 2" xfId="2963" xr:uid="{00000000-0005-0000-0000-00001F140000}"/>
    <cellStyle name="Normal 4 5 3 2 2 6 2 2 2" xfId="14325" xr:uid="{00000000-0005-0000-0000-000020140000}"/>
    <cellStyle name="Normal 4 5 3 2 2 6 2 3" xfId="2964" xr:uid="{00000000-0005-0000-0000-000021140000}"/>
    <cellStyle name="Normal 4 5 3 2 2 6 2 3 2" xfId="14326" xr:uid="{00000000-0005-0000-0000-000022140000}"/>
    <cellStyle name="Normal 4 5 3 2 2 6 2 4" xfId="14327" xr:uid="{00000000-0005-0000-0000-000023140000}"/>
    <cellStyle name="Normal 4 5 3 2 2 6 3" xfId="2965" xr:uid="{00000000-0005-0000-0000-000024140000}"/>
    <cellStyle name="Normal 4 5 3 2 2 6 3 2" xfId="2966" xr:uid="{00000000-0005-0000-0000-000025140000}"/>
    <cellStyle name="Normal 4 5 3 2 2 6 3 2 2" xfId="14328" xr:uid="{00000000-0005-0000-0000-000026140000}"/>
    <cellStyle name="Normal 4 5 3 2 2 6 3 3" xfId="2967" xr:uid="{00000000-0005-0000-0000-000027140000}"/>
    <cellStyle name="Normal 4 5 3 2 2 6 3 3 2" xfId="14329" xr:uid="{00000000-0005-0000-0000-000028140000}"/>
    <cellStyle name="Normal 4 5 3 2 2 6 3 4" xfId="14330" xr:uid="{00000000-0005-0000-0000-000029140000}"/>
    <cellStyle name="Normal 4 5 3 2 2 6 4" xfId="2968" xr:uid="{00000000-0005-0000-0000-00002A140000}"/>
    <cellStyle name="Normal 4 5 3 2 2 6 4 2" xfId="14331" xr:uid="{00000000-0005-0000-0000-00002B140000}"/>
    <cellStyle name="Normal 4 5 3 2 2 6 5" xfId="2969" xr:uid="{00000000-0005-0000-0000-00002C140000}"/>
    <cellStyle name="Normal 4 5 3 2 2 6 5 2" xfId="14332" xr:uid="{00000000-0005-0000-0000-00002D140000}"/>
    <cellStyle name="Normal 4 5 3 2 2 6 6" xfId="14333" xr:uid="{00000000-0005-0000-0000-00002E140000}"/>
    <cellStyle name="Normal 4 5 3 2 2 7" xfId="2970" xr:uid="{00000000-0005-0000-0000-00002F140000}"/>
    <cellStyle name="Normal 4 5 3 2 2 7 2" xfId="2971" xr:uid="{00000000-0005-0000-0000-000030140000}"/>
    <cellStyle name="Normal 4 5 3 2 2 7 2 2" xfId="14334" xr:uid="{00000000-0005-0000-0000-000031140000}"/>
    <cellStyle name="Normal 4 5 3 2 2 7 3" xfId="2972" xr:uid="{00000000-0005-0000-0000-000032140000}"/>
    <cellStyle name="Normal 4 5 3 2 2 7 3 2" xfId="14335" xr:uid="{00000000-0005-0000-0000-000033140000}"/>
    <cellStyle name="Normal 4 5 3 2 2 7 4" xfId="14336" xr:uid="{00000000-0005-0000-0000-000034140000}"/>
    <cellStyle name="Normal 4 5 3 2 2 8" xfId="2973" xr:uid="{00000000-0005-0000-0000-000035140000}"/>
    <cellStyle name="Normal 4 5 3 2 2 8 2" xfId="2974" xr:uid="{00000000-0005-0000-0000-000036140000}"/>
    <cellStyle name="Normal 4 5 3 2 2 8 2 2" xfId="14337" xr:uid="{00000000-0005-0000-0000-000037140000}"/>
    <cellStyle name="Normal 4 5 3 2 2 8 3" xfId="2975" xr:uid="{00000000-0005-0000-0000-000038140000}"/>
    <cellStyle name="Normal 4 5 3 2 2 8 3 2" xfId="14338" xr:uid="{00000000-0005-0000-0000-000039140000}"/>
    <cellStyle name="Normal 4 5 3 2 2 8 4" xfId="14339" xr:uid="{00000000-0005-0000-0000-00003A140000}"/>
    <cellStyle name="Normal 4 5 3 2 2 9" xfId="2976" xr:uid="{00000000-0005-0000-0000-00003B140000}"/>
    <cellStyle name="Normal 4 5 3 2 2 9 2" xfId="14340" xr:uid="{00000000-0005-0000-0000-00003C140000}"/>
    <cellStyle name="Normal 4 5 3 2 3" xfId="2977" xr:uid="{00000000-0005-0000-0000-00003D140000}"/>
    <cellStyle name="Normal 4 5 3 2 3 10" xfId="14341" xr:uid="{00000000-0005-0000-0000-00003E140000}"/>
    <cellStyle name="Normal 4 5 3 2 3 2" xfId="2978" xr:uid="{00000000-0005-0000-0000-00003F140000}"/>
    <cellStyle name="Normal 4 5 3 2 3 2 2" xfId="2979" xr:uid="{00000000-0005-0000-0000-000040140000}"/>
    <cellStyle name="Normal 4 5 3 2 3 2 2 2" xfId="2980" xr:uid="{00000000-0005-0000-0000-000041140000}"/>
    <cellStyle name="Normal 4 5 3 2 3 2 2 2 2" xfId="2981" xr:uid="{00000000-0005-0000-0000-000042140000}"/>
    <cellStyle name="Normal 4 5 3 2 3 2 2 2 2 2" xfId="14342" xr:uid="{00000000-0005-0000-0000-000043140000}"/>
    <cellStyle name="Normal 4 5 3 2 3 2 2 2 3" xfId="2982" xr:uid="{00000000-0005-0000-0000-000044140000}"/>
    <cellStyle name="Normal 4 5 3 2 3 2 2 2 3 2" xfId="14343" xr:uid="{00000000-0005-0000-0000-000045140000}"/>
    <cellStyle name="Normal 4 5 3 2 3 2 2 2 4" xfId="14344" xr:uid="{00000000-0005-0000-0000-000046140000}"/>
    <cellStyle name="Normal 4 5 3 2 3 2 2 3" xfId="2983" xr:uid="{00000000-0005-0000-0000-000047140000}"/>
    <cellStyle name="Normal 4 5 3 2 3 2 2 3 2" xfId="2984" xr:uid="{00000000-0005-0000-0000-000048140000}"/>
    <cellStyle name="Normal 4 5 3 2 3 2 2 3 2 2" xfId="14345" xr:uid="{00000000-0005-0000-0000-000049140000}"/>
    <cellStyle name="Normal 4 5 3 2 3 2 2 3 3" xfId="2985" xr:uid="{00000000-0005-0000-0000-00004A140000}"/>
    <cellStyle name="Normal 4 5 3 2 3 2 2 3 3 2" xfId="14346" xr:uid="{00000000-0005-0000-0000-00004B140000}"/>
    <cellStyle name="Normal 4 5 3 2 3 2 2 3 4" xfId="14347" xr:uid="{00000000-0005-0000-0000-00004C140000}"/>
    <cellStyle name="Normal 4 5 3 2 3 2 2 4" xfId="2986" xr:uid="{00000000-0005-0000-0000-00004D140000}"/>
    <cellStyle name="Normal 4 5 3 2 3 2 2 4 2" xfId="14348" xr:uid="{00000000-0005-0000-0000-00004E140000}"/>
    <cellStyle name="Normal 4 5 3 2 3 2 2 5" xfId="2987" xr:uid="{00000000-0005-0000-0000-00004F140000}"/>
    <cellStyle name="Normal 4 5 3 2 3 2 2 5 2" xfId="14349" xr:uid="{00000000-0005-0000-0000-000050140000}"/>
    <cellStyle name="Normal 4 5 3 2 3 2 2 6" xfId="14350" xr:uid="{00000000-0005-0000-0000-000051140000}"/>
    <cellStyle name="Normal 4 5 3 2 3 2 3" xfId="2988" xr:uid="{00000000-0005-0000-0000-000052140000}"/>
    <cellStyle name="Normal 4 5 3 2 3 2 3 2" xfId="2989" xr:uid="{00000000-0005-0000-0000-000053140000}"/>
    <cellStyle name="Normal 4 5 3 2 3 2 3 2 2" xfId="2990" xr:uid="{00000000-0005-0000-0000-000054140000}"/>
    <cellStyle name="Normal 4 5 3 2 3 2 3 2 2 2" xfId="14351" xr:uid="{00000000-0005-0000-0000-000055140000}"/>
    <cellStyle name="Normal 4 5 3 2 3 2 3 2 3" xfId="2991" xr:uid="{00000000-0005-0000-0000-000056140000}"/>
    <cellStyle name="Normal 4 5 3 2 3 2 3 2 3 2" xfId="14352" xr:uid="{00000000-0005-0000-0000-000057140000}"/>
    <cellStyle name="Normal 4 5 3 2 3 2 3 2 4" xfId="14353" xr:uid="{00000000-0005-0000-0000-000058140000}"/>
    <cellStyle name="Normal 4 5 3 2 3 2 3 3" xfId="2992" xr:uid="{00000000-0005-0000-0000-000059140000}"/>
    <cellStyle name="Normal 4 5 3 2 3 2 3 3 2" xfId="2993" xr:uid="{00000000-0005-0000-0000-00005A140000}"/>
    <cellStyle name="Normal 4 5 3 2 3 2 3 3 2 2" xfId="14354" xr:uid="{00000000-0005-0000-0000-00005B140000}"/>
    <cellStyle name="Normal 4 5 3 2 3 2 3 3 3" xfId="2994" xr:uid="{00000000-0005-0000-0000-00005C140000}"/>
    <cellStyle name="Normal 4 5 3 2 3 2 3 3 3 2" xfId="14355" xr:uid="{00000000-0005-0000-0000-00005D140000}"/>
    <cellStyle name="Normal 4 5 3 2 3 2 3 3 4" xfId="14356" xr:uid="{00000000-0005-0000-0000-00005E140000}"/>
    <cellStyle name="Normal 4 5 3 2 3 2 3 4" xfId="2995" xr:uid="{00000000-0005-0000-0000-00005F140000}"/>
    <cellStyle name="Normal 4 5 3 2 3 2 3 4 2" xfId="14357" xr:uid="{00000000-0005-0000-0000-000060140000}"/>
    <cellStyle name="Normal 4 5 3 2 3 2 3 5" xfId="2996" xr:uid="{00000000-0005-0000-0000-000061140000}"/>
    <cellStyle name="Normal 4 5 3 2 3 2 3 5 2" xfId="14358" xr:uid="{00000000-0005-0000-0000-000062140000}"/>
    <cellStyle name="Normal 4 5 3 2 3 2 3 6" xfId="14359" xr:uid="{00000000-0005-0000-0000-000063140000}"/>
    <cellStyle name="Normal 4 5 3 2 3 2 4" xfId="2997" xr:uid="{00000000-0005-0000-0000-000064140000}"/>
    <cellStyle name="Normal 4 5 3 2 3 2 4 2" xfId="2998" xr:uid="{00000000-0005-0000-0000-000065140000}"/>
    <cellStyle name="Normal 4 5 3 2 3 2 4 2 2" xfId="14360" xr:uid="{00000000-0005-0000-0000-000066140000}"/>
    <cellStyle name="Normal 4 5 3 2 3 2 4 3" xfId="2999" xr:uid="{00000000-0005-0000-0000-000067140000}"/>
    <cellStyle name="Normal 4 5 3 2 3 2 4 3 2" xfId="14361" xr:uid="{00000000-0005-0000-0000-000068140000}"/>
    <cellStyle name="Normal 4 5 3 2 3 2 4 4" xfId="14362" xr:uid="{00000000-0005-0000-0000-000069140000}"/>
    <cellStyle name="Normal 4 5 3 2 3 2 5" xfId="3000" xr:uid="{00000000-0005-0000-0000-00006A140000}"/>
    <cellStyle name="Normal 4 5 3 2 3 2 5 2" xfId="3001" xr:uid="{00000000-0005-0000-0000-00006B140000}"/>
    <cellStyle name="Normal 4 5 3 2 3 2 5 2 2" xfId="14363" xr:uid="{00000000-0005-0000-0000-00006C140000}"/>
    <cellStyle name="Normal 4 5 3 2 3 2 5 3" xfId="3002" xr:uid="{00000000-0005-0000-0000-00006D140000}"/>
    <cellStyle name="Normal 4 5 3 2 3 2 5 3 2" xfId="14364" xr:uid="{00000000-0005-0000-0000-00006E140000}"/>
    <cellStyle name="Normal 4 5 3 2 3 2 5 4" xfId="14365" xr:uid="{00000000-0005-0000-0000-00006F140000}"/>
    <cellStyle name="Normal 4 5 3 2 3 2 6" xfId="3003" xr:uid="{00000000-0005-0000-0000-000070140000}"/>
    <cellStyle name="Normal 4 5 3 2 3 2 6 2" xfId="14366" xr:uid="{00000000-0005-0000-0000-000071140000}"/>
    <cellStyle name="Normal 4 5 3 2 3 2 7" xfId="3004" xr:uid="{00000000-0005-0000-0000-000072140000}"/>
    <cellStyle name="Normal 4 5 3 2 3 2 7 2" xfId="14367" xr:uid="{00000000-0005-0000-0000-000073140000}"/>
    <cellStyle name="Normal 4 5 3 2 3 2 8" xfId="14368" xr:uid="{00000000-0005-0000-0000-000074140000}"/>
    <cellStyle name="Normal 4 5 3 2 3 3" xfId="3005" xr:uid="{00000000-0005-0000-0000-000075140000}"/>
    <cellStyle name="Normal 4 5 3 2 3 3 2" xfId="3006" xr:uid="{00000000-0005-0000-0000-000076140000}"/>
    <cellStyle name="Normal 4 5 3 2 3 3 2 2" xfId="3007" xr:uid="{00000000-0005-0000-0000-000077140000}"/>
    <cellStyle name="Normal 4 5 3 2 3 3 2 2 2" xfId="3008" xr:uid="{00000000-0005-0000-0000-000078140000}"/>
    <cellStyle name="Normal 4 5 3 2 3 3 2 2 2 2" xfId="14369" xr:uid="{00000000-0005-0000-0000-000079140000}"/>
    <cellStyle name="Normal 4 5 3 2 3 3 2 2 3" xfId="3009" xr:uid="{00000000-0005-0000-0000-00007A140000}"/>
    <cellStyle name="Normal 4 5 3 2 3 3 2 2 3 2" xfId="14370" xr:uid="{00000000-0005-0000-0000-00007B140000}"/>
    <cellStyle name="Normal 4 5 3 2 3 3 2 2 4" xfId="14371" xr:uid="{00000000-0005-0000-0000-00007C140000}"/>
    <cellStyle name="Normal 4 5 3 2 3 3 2 3" xfId="3010" xr:uid="{00000000-0005-0000-0000-00007D140000}"/>
    <cellStyle name="Normal 4 5 3 2 3 3 2 3 2" xfId="3011" xr:uid="{00000000-0005-0000-0000-00007E140000}"/>
    <cellStyle name="Normal 4 5 3 2 3 3 2 3 2 2" xfId="14372" xr:uid="{00000000-0005-0000-0000-00007F140000}"/>
    <cellStyle name="Normal 4 5 3 2 3 3 2 3 3" xfId="3012" xr:uid="{00000000-0005-0000-0000-000080140000}"/>
    <cellStyle name="Normal 4 5 3 2 3 3 2 3 3 2" xfId="14373" xr:uid="{00000000-0005-0000-0000-000081140000}"/>
    <cellStyle name="Normal 4 5 3 2 3 3 2 3 4" xfId="14374" xr:uid="{00000000-0005-0000-0000-000082140000}"/>
    <cellStyle name="Normal 4 5 3 2 3 3 2 4" xfId="3013" xr:uid="{00000000-0005-0000-0000-000083140000}"/>
    <cellStyle name="Normal 4 5 3 2 3 3 2 4 2" xfId="14375" xr:uid="{00000000-0005-0000-0000-000084140000}"/>
    <cellStyle name="Normal 4 5 3 2 3 3 2 5" xfId="3014" xr:uid="{00000000-0005-0000-0000-000085140000}"/>
    <cellStyle name="Normal 4 5 3 2 3 3 2 5 2" xfId="14376" xr:uid="{00000000-0005-0000-0000-000086140000}"/>
    <cellStyle name="Normal 4 5 3 2 3 3 2 6" xfId="14377" xr:uid="{00000000-0005-0000-0000-000087140000}"/>
    <cellStyle name="Normal 4 5 3 2 3 3 3" xfId="3015" xr:uid="{00000000-0005-0000-0000-000088140000}"/>
    <cellStyle name="Normal 4 5 3 2 3 3 3 2" xfId="3016" xr:uid="{00000000-0005-0000-0000-000089140000}"/>
    <cellStyle name="Normal 4 5 3 2 3 3 3 2 2" xfId="14378" xr:uid="{00000000-0005-0000-0000-00008A140000}"/>
    <cellStyle name="Normal 4 5 3 2 3 3 3 3" xfId="3017" xr:uid="{00000000-0005-0000-0000-00008B140000}"/>
    <cellStyle name="Normal 4 5 3 2 3 3 3 3 2" xfId="14379" xr:uid="{00000000-0005-0000-0000-00008C140000}"/>
    <cellStyle name="Normal 4 5 3 2 3 3 3 4" xfId="14380" xr:uid="{00000000-0005-0000-0000-00008D140000}"/>
    <cellStyle name="Normal 4 5 3 2 3 3 4" xfId="3018" xr:uid="{00000000-0005-0000-0000-00008E140000}"/>
    <cellStyle name="Normal 4 5 3 2 3 3 4 2" xfId="3019" xr:uid="{00000000-0005-0000-0000-00008F140000}"/>
    <cellStyle name="Normal 4 5 3 2 3 3 4 2 2" xfId="14381" xr:uid="{00000000-0005-0000-0000-000090140000}"/>
    <cellStyle name="Normal 4 5 3 2 3 3 4 3" xfId="3020" xr:uid="{00000000-0005-0000-0000-000091140000}"/>
    <cellStyle name="Normal 4 5 3 2 3 3 4 3 2" xfId="14382" xr:uid="{00000000-0005-0000-0000-000092140000}"/>
    <cellStyle name="Normal 4 5 3 2 3 3 4 4" xfId="14383" xr:uid="{00000000-0005-0000-0000-000093140000}"/>
    <cellStyle name="Normal 4 5 3 2 3 3 5" xfId="3021" xr:uid="{00000000-0005-0000-0000-000094140000}"/>
    <cellStyle name="Normal 4 5 3 2 3 3 5 2" xfId="14384" xr:uid="{00000000-0005-0000-0000-000095140000}"/>
    <cellStyle name="Normal 4 5 3 2 3 3 6" xfId="3022" xr:uid="{00000000-0005-0000-0000-000096140000}"/>
    <cellStyle name="Normal 4 5 3 2 3 3 6 2" xfId="14385" xr:uid="{00000000-0005-0000-0000-000097140000}"/>
    <cellStyle name="Normal 4 5 3 2 3 3 7" xfId="14386" xr:uid="{00000000-0005-0000-0000-000098140000}"/>
    <cellStyle name="Normal 4 5 3 2 3 4" xfId="3023" xr:uid="{00000000-0005-0000-0000-000099140000}"/>
    <cellStyle name="Normal 4 5 3 2 3 4 2" xfId="3024" xr:uid="{00000000-0005-0000-0000-00009A140000}"/>
    <cellStyle name="Normal 4 5 3 2 3 4 2 2" xfId="3025" xr:uid="{00000000-0005-0000-0000-00009B140000}"/>
    <cellStyle name="Normal 4 5 3 2 3 4 2 2 2" xfId="14387" xr:uid="{00000000-0005-0000-0000-00009C140000}"/>
    <cellStyle name="Normal 4 5 3 2 3 4 2 3" xfId="3026" xr:uid="{00000000-0005-0000-0000-00009D140000}"/>
    <cellStyle name="Normal 4 5 3 2 3 4 2 3 2" xfId="14388" xr:uid="{00000000-0005-0000-0000-00009E140000}"/>
    <cellStyle name="Normal 4 5 3 2 3 4 2 4" xfId="14389" xr:uid="{00000000-0005-0000-0000-00009F140000}"/>
    <cellStyle name="Normal 4 5 3 2 3 4 3" xfId="3027" xr:uid="{00000000-0005-0000-0000-0000A0140000}"/>
    <cellStyle name="Normal 4 5 3 2 3 4 3 2" xfId="3028" xr:uid="{00000000-0005-0000-0000-0000A1140000}"/>
    <cellStyle name="Normal 4 5 3 2 3 4 3 2 2" xfId="14390" xr:uid="{00000000-0005-0000-0000-0000A2140000}"/>
    <cellStyle name="Normal 4 5 3 2 3 4 3 3" xfId="3029" xr:uid="{00000000-0005-0000-0000-0000A3140000}"/>
    <cellStyle name="Normal 4 5 3 2 3 4 3 3 2" xfId="14391" xr:uid="{00000000-0005-0000-0000-0000A4140000}"/>
    <cellStyle name="Normal 4 5 3 2 3 4 3 4" xfId="14392" xr:uid="{00000000-0005-0000-0000-0000A5140000}"/>
    <cellStyle name="Normal 4 5 3 2 3 4 4" xfId="3030" xr:uid="{00000000-0005-0000-0000-0000A6140000}"/>
    <cellStyle name="Normal 4 5 3 2 3 4 4 2" xfId="14393" xr:uid="{00000000-0005-0000-0000-0000A7140000}"/>
    <cellStyle name="Normal 4 5 3 2 3 4 5" xfId="3031" xr:uid="{00000000-0005-0000-0000-0000A8140000}"/>
    <cellStyle name="Normal 4 5 3 2 3 4 5 2" xfId="14394" xr:uid="{00000000-0005-0000-0000-0000A9140000}"/>
    <cellStyle name="Normal 4 5 3 2 3 4 6" xfId="14395" xr:uid="{00000000-0005-0000-0000-0000AA140000}"/>
    <cellStyle name="Normal 4 5 3 2 3 5" xfId="3032" xr:uid="{00000000-0005-0000-0000-0000AB140000}"/>
    <cellStyle name="Normal 4 5 3 2 3 5 2" xfId="3033" xr:uid="{00000000-0005-0000-0000-0000AC140000}"/>
    <cellStyle name="Normal 4 5 3 2 3 5 2 2" xfId="3034" xr:uid="{00000000-0005-0000-0000-0000AD140000}"/>
    <cellStyle name="Normal 4 5 3 2 3 5 2 2 2" xfId="14396" xr:uid="{00000000-0005-0000-0000-0000AE140000}"/>
    <cellStyle name="Normal 4 5 3 2 3 5 2 3" xfId="3035" xr:uid="{00000000-0005-0000-0000-0000AF140000}"/>
    <cellStyle name="Normal 4 5 3 2 3 5 2 3 2" xfId="14397" xr:uid="{00000000-0005-0000-0000-0000B0140000}"/>
    <cellStyle name="Normal 4 5 3 2 3 5 2 4" xfId="14398" xr:uid="{00000000-0005-0000-0000-0000B1140000}"/>
    <cellStyle name="Normal 4 5 3 2 3 5 3" xfId="3036" xr:uid="{00000000-0005-0000-0000-0000B2140000}"/>
    <cellStyle name="Normal 4 5 3 2 3 5 3 2" xfId="3037" xr:uid="{00000000-0005-0000-0000-0000B3140000}"/>
    <cellStyle name="Normal 4 5 3 2 3 5 3 2 2" xfId="14399" xr:uid="{00000000-0005-0000-0000-0000B4140000}"/>
    <cellStyle name="Normal 4 5 3 2 3 5 3 3" xfId="3038" xr:uid="{00000000-0005-0000-0000-0000B5140000}"/>
    <cellStyle name="Normal 4 5 3 2 3 5 3 3 2" xfId="14400" xr:uid="{00000000-0005-0000-0000-0000B6140000}"/>
    <cellStyle name="Normal 4 5 3 2 3 5 3 4" xfId="14401" xr:uid="{00000000-0005-0000-0000-0000B7140000}"/>
    <cellStyle name="Normal 4 5 3 2 3 5 4" xfId="3039" xr:uid="{00000000-0005-0000-0000-0000B8140000}"/>
    <cellStyle name="Normal 4 5 3 2 3 5 4 2" xfId="14402" xr:uid="{00000000-0005-0000-0000-0000B9140000}"/>
    <cellStyle name="Normal 4 5 3 2 3 5 5" xfId="3040" xr:uid="{00000000-0005-0000-0000-0000BA140000}"/>
    <cellStyle name="Normal 4 5 3 2 3 5 5 2" xfId="14403" xr:uid="{00000000-0005-0000-0000-0000BB140000}"/>
    <cellStyle name="Normal 4 5 3 2 3 5 6" xfId="14404" xr:uid="{00000000-0005-0000-0000-0000BC140000}"/>
    <cellStyle name="Normal 4 5 3 2 3 6" xfId="3041" xr:uid="{00000000-0005-0000-0000-0000BD140000}"/>
    <cellStyle name="Normal 4 5 3 2 3 6 2" xfId="3042" xr:uid="{00000000-0005-0000-0000-0000BE140000}"/>
    <cellStyle name="Normal 4 5 3 2 3 6 2 2" xfId="14405" xr:uid="{00000000-0005-0000-0000-0000BF140000}"/>
    <cellStyle name="Normal 4 5 3 2 3 6 3" xfId="3043" xr:uid="{00000000-0005-0000-0000-0000C0140000}"/>
    <cellStyle name="Normal 4 5 3 2 3 6 3 2" xfId="14406" xr:uid="{00000000-0005-0000-0000-0000C1140000}"/>
    <cellStyle name="Normal 4 5 3 2 3 6 4" xfId="14407" xr:uid="{00000000-0005-0000-0000-0000C2140000}"/>
    <cellStyle name="Normal 4 5 3 2 3 7" xfId="3044" xr:uid="{00000000-0005-0000-0000-0000C3140000}"/>
    <cellStyle name="Normal 4 5 3 2 3 7 2" xfId="3045" xr:uid="{00000000-0005-0000-0000-0000C4140000}"/>
    <cellStyle name="Normal 4 5 3 2 3 7 2 2" xfId="14408" xr:uid="{00000000-0005-0000-0000-0000C5140000}"/>
    <cellStyle name="Normal 4 5 3 2 3 7 3" xfId="3046" xr:uid="{00000000-0005-0000-0000-0000C6140000}"/>
    <cellStyle name="Normal 4 5 3 2 3 7 3 2" xfId="14409" xr:uid="{00000000-0005-0000-0000-0000C7140000}"/>
    <cellStyle name="Normal 4 5 3 2 3 7 4" xfId="14410" xr:uid="{00000000-0005-0000-0000-0000C8140000}"/>
    <cellStyle name="Normal 4 5 3 2 3 8" xfId="3047" xr:uid="{00000000-0005-0000-0000-0000C9140000}"/>
    <cellStyle name="Normal 4 5 3 2 3 8 2" xfId="14411" xr:uid="{00000000-0005-0000-0000-0000CA140000}"/>
    <cellStyle name="Normal 4 5 3 2 3 9" xfId="3048" xr:uid="{00000000-0005-0000-0000-0000CB140000}"/>
    <cellStyle name="Normal 4 5 3 2 3 9 2" xfId="14412" xr:uid="{00000000-0005-0000-0000-0000CC140000}"/>
    <cellStyle name="Normal 4 5 3 2 4" xfId="3049" xr:uid="{00000000-0005-0000-0000-0000CD140000}"/>
    <cellStyle name="Normal 4 5 3 2 4 2" xfId="3050" xr:uid="{00000000-0005-0000-0000-0000CE140000}"/>
    <cellStyle name="Normal 4 5 3 2 4 2 2" xfId="3051" xr:uid="{00000000-0005-0000-0000-0000CF140000}"/>
    <cellStyle name="Normal 4 5 3 2 4 2 2 2" xfId="3052" xr:uid="{00000000-0005-0000-0000-0000D0140000}"/>
    <cellStyle name="Normal 4 5 3 2 4 2 2 2 2" xfId="14413" xr:uid="{00000000-0005-0000-0000-0000D1140000}"/>
    <cellStyle name="Normal 4 5 3 2 4 2 2 3" xfId="3053" xr:uid="{00000000-0005-0000-0000-0000D2140000}"/>
    <cellStyle name="Normal 4 5 3 2 4 2 2 3 2" xfId="14414" xr:uid="{00000000-0005-0000-0000-0000D3140000}"/>
    <cellStyle name="Normal 4 5 3 2 4 2 2 4" xfId="14415" xr:uid="{00000000-0005-0000-0000-0000D4140000}"/>
    <cellStyle name="Normal 4 5 3 2 4 2 3" xfId="3054" xr:uid="{00000000-0005-0000-0000-0000D5140000}"/>
    <cellStyle name="Normal 4 5 3 2 4 2 3 2" xfId="3055" xr:uid="{00000000-0005-0000-0000-0000D6140000}"/>
    <cellStyle name="Normal 4 5 3 2 4 2 3 2 2" xfId="14416" xr:uid="{00000000-0005-0000-0000-0000D7140000}"/>
    <cellStyle name="Normal 4 5 3 2 4 2 3 3" xfId="3056" xr:uid="{00000000-0005-0000-0000-0000D8140000}"/>
    <cellStyle name="Normal 4 5 3 2 4 2 3 3 2" xfId="14417" xr:uid="{00000000-0005-0000-0000-0000D9140000}"/>
    <cellStyle name="Normal 4 5 3 2 4 2 3 4" xfId="14418" xr:uid="{00000000-0005-0000-0000-0000DA140000}"/>
    <cellStyle name="Normal 4 5 3 2 4 2 4" xfId="3057" xr:uid="{00000000-0005-0000-0000-0000DB140000}"/>
    <cellStyle name="Normal 4 5 3 2 4 2 4 2" xfId="14419" xr:uid="{00000000-0005-0000-0000-0000DC140000}"/>
    <cellStyle name="Normal 4 5 3 2 4 2 5" xfId="3058" xr:uid="{00000000-0005-0000-0000-0000DD140000}"/>
    <cellStyle name="Normal 4 5 3 2 4 2 5 2" xfId="14420" xr:uid="{00000000-0005-0000-0000-0000DE140000}"/>
    <cellStyle name="Normal 4 5 3 2 4 2 6" xfId="14421" xr:uid="{00000000-0005-0000-0000-0000DF140000}"/>
    <cellStyle name="Normal 4 5 3 2 4 3" xfId="3059" xr:uid="{00000000-0005-0000-0000-0000E0140000}"/>
    <cellStyle name="Normal 4 5 3 2 4 3 2" xfId="3060" xr:uid="{00000000-0005-0000-0000-0000E1140000}"/>
    <cellStyle name="Normal 4 5 3 2 4 3 2 2" xfId="3061" xr:uid="{00000000-0005-0000-0000-0000E2140000}"/>
    <cellStyle name="Normal 4 5 3 2 4 3 2 2 2" xfId="14422" xr:uid="{00000000-0005-0000-0000-0000E3140000}"/>
    <cellStyle name="Normal 4 5 3 2 4 3 2 3" xfId="3062" xr:uid="{00000000-0005-0000-0000-0000E4140000}"/>
    <cellStyle name="Normal 4 5 3 2 4 3 2 3 2" xfId="14423" xr:uid="{00000000-0005-0000-0000-0000E5140000}"/>
    <cellStyle name="Normal 4 5 3 2 4 3 2 4" xfId="14424" xr:uid="{00000000-0005-0000-0000-0000E6140000}"/>
    <cellStyle name="Normal 4 5 3 2 4 3 3" xfId="3063" xr:uid="{00000000-0005-0000-0000-0000E7140000}"/>
    <cellStyle name="Normal 4 5 3 2 4 3 3 2" xfId="3064" xr:uid="{00000000-0005-0000-0000-0000E8140000}"/>
    <cellStyle name="Normal 4 5 3 2 4 3 3 2 2" xfId="14425" xr:uid="{00000000-0005-0000-0000-0000E9140000}"/>
    <cellStyle name="Normal 4 5 3 2 4 3 3 3" xfId="3065" xr:uid="{00000000-0005-0000-0000-0000EA140000}"/>
    <cellStyle name="Normal 4 5 3 2 4 3 3 3 2" xfId="14426" xr:uid="{00000000-0005-0000-0000-0000EB140000}"/>
    <cellStyle name="Normal 4 5 3 2 4 3 3 4" xfId="14427" xr:uid="{00000000-0005-0000-0000-0000EC140000}"/>
    <cellStyle name="Normal 4 5 3 2 4 3 4" xfId="3066" xr:uid="{00000000-0005-0000-0000-0000ED140000}"/>
    <cellStyle name="Normal 4 5 3 2 4 3 4 2" xfId="14428" xr:uid="{00000000-0005-0000-0000-0000EE140000}"/>
    <cellStyle name="Normal 4 5 3 2 4 3 5" xfId="3067" xr:uid="{00000000-0005-0000-0000-0000EF140000}"/>
    <cellStyle name="Normal 4 5 3 2 4 3 5 2" xfId="14429" xr:uid="{00000000-0005-0000-0000-0000F0140000}"/>
    <cellStyle name="Normal 4 5 3 2 4 3 6" xfId="14430" xr:uid="{00000000-0005-0000-0000-0000F1140000}"/>
    <cellStyle name="Normal 4 5 3 2 4 4" xfId="3068" xr:uid="{00000000-0005-0000-0000-0000F2140000}"/>
    <cellStyle name="Normal 4 5 3 2 4 4 2" xfId="3069" xr:uid="{00000000-0005-0000-0000-0000F3140000}"/>
    <cellStyle name="Normal 4 5 3 2 4 4 2 2" xfId="14431" xr:uid="{00000000-0005-0000-0000-0000F4140000}"/>
    <cellStyle name="Normal 4 5 3 2 4 4 3" xfId="3070" xr:uid="{00000000-0005-0000-0000-0000F5140000}"/>
    <cellStyle name="Normal 4 5 3 2 4 4 3 2" xfId="14432" xr:uid="{00000000-0005-0000-0000-0000F6140000}"/>
    <cellStyle name="Normal 4 5 3 2 4 4 4" xfId="14433" xr:uid="{00000000-0005-0000-0000-0000F7140000}"/>
    <cellStyle name="Normal 4 5 3 2 4 5" xfId="3071" xr:uid="{00000000-0005-0000-0000-0000F8140000}"/>
    <cellStyle name="Normal 4 5 3 2 4 5 2" xfId="3072" xr:uid="{00000000-0005-0000-0000-0000F9140000}"/>
    <cellStyle name="Normal 4 5 3 2 4 5 2 2" xfId="14434" xr:uid="{00000000-0005-0000-0000-0000FA140000}"/>
    <cellStyle name="Normal 4 5 3 2 4 5 3" xfId="3073" xr:uid="{00000000-0005-0000-0000-0000FB140000}"/>
    <cellStyle name="Normal 4 5 3 2 4 5 3 2" xfId="14435" xr:uid="{00000000-0005-0000-0000-0000FC140000}"/>
    <cellStyle name="Normal 4 5 3 2 4 5 4" xfId="14436" xr:uid="{00000000-0005-0000-0000-0000FD140000}"/>
    <cellStyle name="Normal 4 5 3 2 4 6" xfId="3074" xr:uid="{00000000-0005-0000-0000-0000FE140000}"/>
    <cellStyle name="Normal 4 5 3 2 4 6 2" xfId="14437" xr:uid="{00000000-0005-0000-0000-0000FF140000}"/>
    <cellStyle name="Normal 4 5 3 2 4 7" xfId="3075" xr:uid="{00000000-0005-0000-0000-000000150000}"/>
    <cellStyle name="Normal 4 5 3 2 4 7 2" xfId="14438" xr:uid="{00000000-0005-0000-0000-000001150000}"/>
    <cellStyle name="Normal 4 5 3 2 4 8" xfId="14439" xr:uid="{00000000-0005-0000-0000-000002150000}"/>
    <cellStyle name="Normal 4 5 3 2 5" xfId="3076" xr:uid="{00000000-0005-0000-0000-000003150000}"/>
    <cellStyle name="Normal 4 5 3 2 5 2" xfId="3077" xr:uid="{00000000-0005-0000-0000-000004150000}"/>
    <cellStyle name="Normal 4 5 3 2 5 2 2" xfId="3078" xr:uid="{00000000-0005-0000-0000-000005150000}"/>
    <cellStyle name="Normal 4 5 3 2 5 2 2 2" xfId="3079" xr:uid="{00000000-0005-0000-0000-000006150000}"/>
    <cellStyle name="Normal 4 5 3 2 5 2 2 2 2" xfId="14440" xr:uid="{00000000-0005-0000-0000-000007150000}"/>
    <cellStyle name="Normal 4 5 3 2 5 2 2 3" xfId="3080" xr:uid="{00000000-0005-0000-0000-000008150000}"/>
    <cellStyle name="Normal 4 5 3 2 5 2 2 3 2" xfId="14441" xr:uid="{00000000-0005-0000-0000-000009150000}"/>
    <cellStyle name="Normal 4 5 3 2 5 2 2 4" xfId="14442" xr:uid="{00000000-0005-0000-0000-00000A150000}"/>
    <cellStyle name="Normal 4 5 3 2 5 2 3" xfId="3081" xr:uid="{00000000-0005-0000-0000-00000B150000}"/>
    <cellStyle name="Normal 4 5 3 2 5 2 3 2" xfId="3082" xr:uid="{00000000-0005-0000-0000-00000C150000}"/>
    <cellStyle name="Normal 4 5 3 2 5 2 3 2 2" xfId="14443" xr:uid="{00000000-0005-0000-0000-00000D150000}"/>
    <cellStyle name="Normal 4 5 3 2 5 2 3 3" xfId="3083" xr:uid="{00000000-0005-0000-0000-00000E150000}"/>
    <cellStyle name="Normal 4 5 3 2 5 2 3 3 2" xfId="14444" xr:uid="{00000000-0005-0000-0000-00000F150000}"/>
    <cellStyle name="Normal 4 5 3 2 5 2 3 4" xfId="14445" xr:uid="{00000000-0005-0000-0000-000010150000}"/>
    <cellStyle name="Normal 4 5 3 2 5 2 4" xfId="3084" xr:uid="{00000000-0005-0000-0000-000011150000}"/>
    <cellStyle name="Normal 4 5 3 2 5 2 4 2" xfId="14446" xr:uid="{00000000-0005-0000-0000-000012150000}"/>
    <cellStyle name="Normal 4 5 3 2 5 2 5" xfId="3085" xr:uid="{00000000-0005-0000-0000-000013150000}"/>
    <cellStyle name="Normal 4 5 3 2 5 2 5 2" xfId="14447" xr:uid="{00000000-0005-0000-0000-000014150000}"/>
    <cellStyle name="Normal 4 5 3 2 5 2 6" xfId="14448" xr:uid="{00000000-0005-0000-0000-000015150000}"/>
    <cellStyle name="Normal 4 5 3 2 5 3" xfId="3086" xr:uid="{00000000-0005-0000-0000-000016150000}"/>
    <cellStyle name="Normal 4 5 3 2 5 3 2" xfId="3087" xr:uid="{00000000-0005-0000-0000-000017150000}"/>
    <cellStyle name="Normal 4 5 3 2 5 3 2 2" xfId="14449" xr:uid="{00000000-0005-0000-0000-000018150000}"/>
    <cellStyle name="Normal 4 5 3 2 5 3 3" xfId="3088" xr:uid="{00000000-0005-0000-0000-000019150000}"/>
    <cellStyle name="Normal 4 5 3 2 5 3 3 2" xfId="14450" xr:uid="{00000000-0005-0000-0000-00001A150000}"/>
    <cellStyle name="Normal 4 5 3 2 5 3 4" xfId="14451" xr:uid="{00000000-0005-0000-0000-00001B150000}"/>
    <cellStyle name="Normal 4 5 3 2 5 4" xfId="3089" xr:uid="{00000000-0005-0000-0000-00001C150000}"/>
    <cellStyle name="Normal 4 5 3 2 5 4 2" xfId="3090" xr:uid="{00000000-0005-0000-0000-00001D150000}"/>
    <cellStyle name="Normal 4 5 3 2 5 4 2 2" xfId="14452" xr:uid="{00000000-0005-0000-0000-00001E150000}"/>
    <cellStyle name="Normal 4 5 3 2 5 4 3" xfId="3091" xr:uid="{00000000-0005-0000-0000-00001F150000}"/>
    <cellStyle name="Normal 4 5 3 2 5 4 3 2" xfId="14453" xr:uid="{00000000-0005-0000-0000-000020150000}"/>
    <cellStyle name="Normal 4 5 3 2 5 4 4" xfId="14454" xr:uid="{00000000-0005-0000-0000-000021150000}"/>
    <cellStyle name="Normal 4 5 3 2 5 5" xfId="3092" xr:uid="{00000000-0005-0000-0000-000022150000}"/>
    <cellStyle name="Normal 4 5 3 2 5 5 2" xfId="14455" xr:uid="{00000000-0005-0000-0000-000023150000}"/>
    <cellStyle name="Normal 4 5 3 2 5 6" xfId="3093" xr:uid="{00000000-0005-0000-0000-000024150000}"/>
    <cellStyle name="Normal 4 5 3 2 5 6 2" xfId="14456" xr:uid="{00000000-0005-0000-0000-000025150000}"/>
    <cellStyle name="Normal 4 5 3 2 5 7" xfId="14457" xr:uid="{00000000-0005-0000-0000-000026150000}"/>
    <cellStyle name="Normal 4 5 3 2 6" xfId="3094" xr:uid="{00000000-0005-0000-0000-000027150000}"/>
    <cellStyle name="Normal 4 5 3 2 6 2" xfId="3095" xr:uid="{00000000-0005-0000-0000-000028150000}"/>
    <cellStyle name="Normal 4 5 3 2 6 2 2" xfId="3096" xr:uid="{00000000-0005-0000-0000-000029150000}"/>
    <cellStyle name="Normal 4 5 3 2 6 2 2 2" xfId="14458" xr:uid="{00000000-0005-0000-0000-00002A150000}"/>
    <cellStyle name="Normal 4 5 3 2 6 2 3" xfId="3097" xr:uid="{00000000-0005-0000-0000-00002B150000}"/>
    <cellStyle name="Normal 4 5 3 2 6 2 3 2" xfId="14459" xr:uid="{00000000-0005-0000-0000-00002C150000}"/>
    <cellStyle name="Normal 4 5 3 2 6 2 4" xfId="14460" xr:uid="{00000000-0005-0000-0000-00002D150000}"/>
    <cellStyle name="Normal 4 5 3 2 6 3" xfId="3098" xr:uid="{00000000-0005-0000-0000-00002E150000}"/>
    <cellStyle name="Normal 4 5 3 2 6 3 2" xfId="3099" xr:uid="{00000000-0005-0000-0000-00002F150000}"/>
    <cellStyle name="Normal 4 5 3 2 6 3 2 2" xfId="14461" xr:uid="{00000000-0005-0000-0000-000030150000}"/>
    <cellStyle name="Normal 4 5 3 2 6 3 3" xfId="3100" xr:uid="{00000000-0005-0000-0000-000031150000}"/>
    <cellStyle name="Normal 4 5 3 2 6 3 3 2" xfId="14462" xr:uid="{00000000-0005-0000-0000-000032150000}"/>
    <cellStyle name="Normal 4 5 3 2 6 3 4" xfId="14463" xr:uid="{00000000-0005-0000-0000-000033150000}"/>
    <cellStyle name="Normal 4 5 3 2 6 4" xfId="3101" xr:uid="{00000000-0005-0000-0000-000034150000}"/>
    <cellStyle name="Normal 4 5 3 2 6 4 2" xfId="14464" xr:uid="{00000000-0005-0000-0000-000035150000}"/>
    <cellStyle name="Normal 4 5 3 2 6 5" xfId="3102" xr:uid="{00000000-0005-0000-0000-000036150000}"/>
    <cellStyle name="Normal 4 5 3 2 6 5 2" xfId="14465" xr:uid="{00000000-0005-0000-0000-000037150000}"/>
    <cellStyle name="Normal 4 5 3 2 6 6" xfId="14466" xr:uid="{00000000-0005-0000-0000-000038150000}"/>
    <cellStyle name="Normal 4 5 3 2 7" xfId="3103" xr:uid="{00000000-0005-0000-0000-000039150000}"/>
    <cellStyle name="Normal 4 5 3 2 7 2" xfId="3104" xr:uid="{00000000-0005-0000-0000-00003A150000}"/>
    <cellStyle name="Normal 4 5 3 2 7 2 2" xfId="3105" xr:uid="{00000000-0005-0000-0000-00003B150000}"/>
    <cellStyle name="Normal 4 5 3 2 7 2 2 2" xfId="14467" xr:uid="{00000000-0005-0000-0000-00003C150000}"/>
    <cellStyle name="Normal 4 5 3 2 7 2 3" xfId="3106" xr:uid="{00000000-0005-0000-0000-00003D150000}"/>
    <cellStyle name="Normal 4 5 3 2 7 2 3 2" xfId="14468" xr:uid="{00000000-0005-0000-0000-00003E150000}"/>
    <cellStyle name="Normal 4 5 3 2 7 2 4" xfId="14469" xr:uid="{00000000-0005-0000-0000-00003F150000}"/>
    <cellStyle name="Normal 4 5 3 2 7 3" xfId="3107" xr:uid="{00000000-0005-0000-0000-000040150000}"/>
    <cellStyle name="Normal 4 5 3 2 7 3 2" xfId="3108" xr:uid="{00000000-0005-0000-0000-000041150000}"/>
    <cellStyle name="Normal 4 5 3 2 7 3 2 2" xfId="14470" xr:uid="{00000000-0005-0000-0000-000042150000}"/>
    <cellStyle name="Normal 4 5 3 2 7 3 3" xfId="3109" xr:uid="{00000000-0005-0000-0000-000043150000}"/>
    <cellStyle name="Normal 4 5 3 2 7 3 3 2" xfId="14471" xr:uid="{00000000-0005-0000-0000-000044150000}"/>
    <cellStyle name="Normal 4 5 3 2 7 3 4" xfId="14472" xr:uid="{00000000-0005-0000-0000-000045150000}"/>
    <cellStyle name="Normal 4 5 3 2 7 4" xfId="3110" xr:uid="{00000000-0005-0000-0000-000046150000}"/>
    <cellStyle name="Normal 4 5 3 2 7 4 2" xfId="14473" xr:uid="{00000000-0005-0000-0000-000047150000}"/>
    <cellStyle name="Normal 4 5 3 2 7 5" xfId="3111" xr:uid="{00000000-0005-0000-0000-000048150000}"/>
    <cellStyle name="Normal 4 5 3 2 7 5 2" xfId="14474" xr:uid="{00000000-0005-0000-0000-000049150000}"/>
    <cellStyle name="Normal 4 5 3 2 7 6" xfId="14475" xr:uid="{00000000-0005-0000-0000-00004A150000}"/>
    <cellStyle name="Normal 4 5 3 2 8" xfId="3112" xr:uid="{00000000-0005-0000-0000-00004B150000}"/>
    <cellStyle name="Normal 4 5 3 2 8 2" xfId="3113" xr:uid="{00000000-0005-0000-0000-00004C150000}"/>
    <cellStyle name="Normal 4 5 3 2 8 2 2" xfId="14476" xr:uid="{00000000-0005-0000-0000-00004D150000}"/>
    <cellStyle name="Normal 4 5 3 2 8 3" xfId="3114" xr:uid="{00000000-0005-0000-0000-00004E150000}"/>
    <cellStyle name="Normal 4 5 3 2 8 3 2" xfId="14477" xr:uid="{00000000-0005-0000-0000-00004F150000}"/>
    <cellStyle name="Normal 4 5 3 2 8 4" xfId="14478" xr:uid="{00000000-0005-0000-0000-000050150000}"/>
    <cellStyle name="Normal 4 5 3 2 9" xfId="3115" xr:uid="{00000000-0005-0000-0000-000051150000}"/>
    <cellStyle name="Normal 4 5 3 2 9 2" xfId="3116" xr:uid="{00000000-0005-0000-0000-000052150000}"/>
    <cellStyle name="Normal 4 5 3 2 9 2 2" xfId="14479" xr:uid="{00000000-0005-0000-0000-000053150000}"/>
    <cellStyle name="Normal 4 5 3 2 9 3" xfId="3117" xr:uid="{00000000-0005-0000-0000-000054150000}"/>
    <cellStyle name="Normal 4 5 3 2 9 3 2" xfId="14480" xr:uid="{00000000-0005-0000-0000-000055150000}"/>
    <cellStyle name="Normal 4 5 3 2 9 4" xfId="14481" xr:uid="{00000000-0005-0000-0000-000056150000}"/>
    <cellStyle name="Normal 4 5 3 3" xfId="3118" xr:uid="{00000000-0005-0000-0000-000057150000}"/>
    <cellStyle name="Normal 4 5 3 3 10" xfId="3119" xr:uid="{00000000-0005-0000-0000-000058150000}"/>
    <cellStyle name="Normal 4 5 3 3 10 2" xfId="14482" xr:uid="{00000000-0005-0000-0000-000059150000}"/>
    <cellStyle name="Normal 4 5 3 3 11" xfId="14483" xr:uid="{00000000-0005-0000-0000-00005A150000}"/>
    <cellStyle name="Normal 4 5 3 3 2" xfId="3120" xr:uid="{00000000-0005-0000-0000-00005B150000}"/>
    <cellStyle name="Normal 4 5 3 3 2 10" xfId="14484" xr:uid="{00000000-0005-0000-0000-00005C150000}"/>
    <cellStyle name="Normal 4 5 3 3 2 2" xfId="3121" xr:uid="{00000000-0005-0000-0000-00005D150000}"/>
    <cellStyle name="Normal 4 5 3 3 2 2 2" xfId="3122" xr:uid="{00000000-0005-0000-0000-00005E150000}"/>
    <cellStyle name="Normal 4 5 3 3 2 2 2 2" xfId="3123" xr:uid="{00000000-0005-0000-0000-00005F150000}"/>
    <cellStyle name="Normal 4 5 3 3 2 2 2 2 2" xfId="3124" xr:uid="{00000000-0005-0000-0000-000060150000}"/>
    <cellStyle name="Normal 4 5 3 3 2 2 2 2 2 2" xfId="14485" xr:uid="{00000000-0005-0000-0000-000061150000}"/>
    <cellStyle name="Normal 4 5 3 3 2 2 2 2 3" xfId="3125" xr:uid="{00000000-0005-0000-0000-000062150000}"/>
    <cellStyle name="Normal 4 5 3 3 2 2 2 2 3 2" xfId="14486" xr:uid="{00000000-0005-0000-0000-000063150000}"/>
    <cellStyle name="Normal 4 5 3 3 2 2 2 2 4" xfId="14487" xr:uid="{00000000-0005-0000-0000-000064150000}"/>
    <cellStyle name="Normal 4 5 3 3 2 2 2 3" xfId="3126" xr:uid="{00000000-0005-0000-0000-000065150000}"/>
    <cellStyle name="Normal 4 5 3 3 2 2 2 3 2" xfId="3127" xr:uid="{00000000-0005-0000-0000-000066150000}"/>
    <cellStyle name="Normal 4 5 3 3 2 2 2 3 2 2" xfId="14488" xr:uid="{00000000-0005-0000-0000-000067150000}"/>
    <cellStyle name="Normal 4 5 3 3 2 2 2 3 3" xfId="3128" xr:uid="{00000000-0005-0000-0000-000068150000}"/>
    <cellStyle name="Normal 4 5 3 3 2 2 2 3 3 2" xfId="14489" xr:uid="{00000000-0005-0000-0000-000069150000}"/>
    <cellStyle name="Normal 4 5 3 3 2 2 2 3 4" xfId="14490" xr:uid="{00000000-0005-0000-0000-00006A150000}"/>
    <cellStyle name="Normal 4 5 3 3 2 2 2 4" xfId="3129" xr:uid="{00000000-0005-0000-0000-00006B150000}"/>
    <cellStyle name="Normal 4 5 3 3 2 2 2 4 2" xfId="14491" xr:uid="{00000000-0005-0000-0000-00006C150000}"/>
    <cellStyle name="Normal 4 5 3 3 2 2 2 5" xfId="3130" xr:uid="{00000000-0005-0000-0000-00006D150000}"/>
    <cellStyle name="Normal 4 5 3 3 2 2 2 5 2" xfId="14492" xr:uid="{00000000-0005-0000-0000-00006E150000}"/>
    <cellStyle name="Normal 4 5 3 3 2 2 2 6" xfId="14493" xr:uid="{00000000-0005-0000-0000-00006F150000}"/>
    <cellStyle name="Normal 4 5 3 3 2 2 3" xfId="3131" xr:uid="{00000000-0005-0000-0000-000070150000}"/>
    <cellStyle name="Normal 4 5 3 3 2 2 3 2" xfId="3132" xr:uid="{00000000-0005-0000-0000-000071150000}"/>
    <cellStyle name="Normal 4 5 3 3 2 2 3 2 2" xfId="3133" xr:uid="{00000000-0005-0000-0000-000072150000}"/>
    <cellStyle name="Normal 4 5 3 3 2 2 3 2 2 2" xfId="14494" xr:uid="{00000000-0005-0000-0000-000073150000}"/>
    <cellStyle name="Normal 4 5 3 3 2 2 3 2 3" xfId="3134" xr:uid="{00000000-0005-0000-0000-000074150000}"/>
    <cellStyle name="Normal 4 5 3 3 2 2 3 2 3 2" xfId="14495" xr:uid="{00000000-0005-0000-0000-000075150000}"/>
    <cellStyle name="Normal 4 5 3 3 2 2 3 2 4" xfId="14496" xr:uid="{00000000-0005-0000-0000-000076150000}"/>
    <cellStyle name="Normal 4 5 3 3 2 2 3 3" xfId="3135" xr:uid="{00000000-0005-0000-0000-000077150000}"/>
    <cellStyle name="Normal 4 5 3 3 2 2 3 3 2" xfId="3136" xr:uid="{00000000-0005-0000-0000-000078150000}"/>
    <cellStyle name="Normal 4 5 3 3 2 2 3 3 2 2" xfId="14497" xr:uid="{00000000-0005-0000-0000-000079150000}"/>
    <cellStyle name="Normal 4 5 3 3 2 2 3 3 3" xfId="3137" xr:uid="{00000000-0005-0000-0000-00007A150000}"/>
    <cellStyle name="Normal 4 5 3 3 2 2 3 3 3 2" xfId="14498" xr:uid="{00000000-0005-0000-0000-00007B150000}"/>
    <cellStyle name="Normal 4 5 3 3 2 2 3 3 4" xfId="14499" xr:uid="{00000000-0005-0000-0000-00007C150000}"/>
    <cellStyle name="Normal 4 5 3 3 2 2 3 4" xfId="3138" xr:uid="{00000000-0005-0000-0000-00007D150000}"/>
    <cellStyle name="Normal 4 5 3 3 2 2 3 4 2" xfId="14500" xr:uid="{00000000-0005-0000-0000-00007E150000}"/>
    <cellStyle name="Normal 4 5 3 3 2 2 3 5" xfId="3139" xr:uid="{00000000-0005-0000-0000-00007F150000}"/>
    <cellStyle name="Normal 4 5 3 3 2 2 3 5 2" xfId="14501" xr:uid="{00000000-0005-0000-0000-000080150000}"/>
    <cellStyle name="Normal 4 5 3 3 2 2 3 6" xfId="14502" xr:uid="{00000000-0005-0000-0000-000081150000}"/>
    <cellStyle name="Normal 4 5 3 3 2 2 4" xfId="3140" xr:uid="{00000000-0005-0000-0000-000082150000}"/>
    <cellStyle name="Normal 4 5 3 3 2 2 4 2" xfId="3141" xr:uid="{00000000-0005-0000-0000-000083150000}"/>
    <cellStyle name="Normal 4 5 3 3 2 2 4 2 2" xfId="14503" xr:uid="{00000000-0005-0000-0000-000084150000}"/>
    <cellStyle name="Normal 4 5 3 3 2 2 4 3" xfId="3142" xr:uid="{00000000-0005-0000-0000-000085150000}"/>
    <cellStyle name="Normal 4 5 3 3 2 2 4 3 2" xfId="14504" xr:uid="{00000000-0005-0000-0000-000086150000}"/>
    <cellStyle name="Normal 4 5 3 3 2 2 4 4" xfId="14505" xr:uid="{00000000-0005-0000-0000-000087150000}"/>
    <cellStyle name="Normal 4 5 3 3 2 2 5" xfId="3143" xr:uid="{00000000-0005-0000-0000-000088150000}"/>
    <cellStyle name="Normal 4 5 3 3 2 2 5 2" xfId="3144" xr:uid="{00000000-0005-0000-0000-000089150000}"/>
    <cellStyle name="Normal 4 5 3 3 2 2 5 2 2" xfId="14506" xr:uid="{00000000-0005-0000-0000-00008A150000}"/>
    <cellStyle name="Normal 4 5 3 3 2 2 5 3" xfId="3145" xr:uid="{00000000-0005-0000-0000-00008B150000}"/>
    <cellStyle name="Normal 4 5 3 3 2 2 5 3 2" xfId="14507" xr:uid="{00000000-0005-0000-0000-00008C150000}"/>
    <cellStyle name="Normal 4 5 3 3 2 2 5 4" xfId="14508" xr:uid="{00000000-0005-0000-0000-00008D150000}"/>
    <cellStyle name="Normal 4 5 3 3 2 2 6" xfId="3146" xr:uid="{00000000-0005-0000-0000-00008E150000}"/>
    <cellStyle name="Normal 4 5 3 3 2 2 6 2" xfId="14509" xr:uid="{00000000-0005-0000-0000-00008F150000}"/>
    <cellStyle name="Normal 4 5 3 3 2 2 7" xfId="3147" xr:uid="{00000000-0005-0000-0000-000090150000}"/>
    <cellStyle name="Normal 4 5 3 3 2 2 7 2" xfId="14510" xr:uid="{00000000-0005-0000-0000-000091150000}"/>
    <cellStyle name="Normal 4 5 3 3 2 2 8" xfId="14511" xr:uid="{00000000-0005-0000-0000-000092150000}"/>
    <cellStyle name="Normal 4 5 3 3 2 3" xfId="3148" xr:uid="{00000000-0005-0000-0000-000093150000}"/>
    <cellStyle name="Normal 4 5 3 3 2 3 2" xfId="3149" xr:uid="{00000000-0005-0000-0000-000094150000}"/>
    <cellStyle name="Normal 4 5 3 3 2 3 2 2" xfId="3150" xr:uid="{00000000-0005-0000-0000-000095150000}"/>
    <cellStyle name="Normal 4 5 3 3 2 3 2 2 2" xfId="3151" xr:uid="{00000000-0005-0000-0000-000096150000}"/>
    <cellStyle name="Normal 4 5 3 3 2 3 2 2 2 2" xfId="14512" xr:uid="{00000000-0005-0000-0000-000097150000}"/>
    <cellStyle name="Normal 4 5 3 3 2 3 2 2 3" xfId="3152" xr:uid="{00000000-0005-0000-0000-000098150000}"/>
    <cellStyle name="Normal 4 5 3 3 2 3 2 2 3 2" xfId="14513" xr:uid="{00000000-0005-0000-0000-000099150000}"/>
    <cellStyle name="Normal 4 5 3 3 2 3 2 2 4" xfId="14514" xr:uid="{00000000-0005-0000-0000-00009A150000}"/>
    <cellStyle name="Normal 4 5 3 3 2 3 2 3" xfId="3153" xr:uid="{00000000-0005-0000-0000-00009B150000}"/>
    <cellStyle name="Normal 4 5 3 3 2 3 2 3 2" xfId="3154" xr:uid="{00000000-0005-0000-0000-00009C150000}"/>
    <cellStyle name="Normal 4 5 3 3 2 3 2 3 2 2" xfId="14515" xr:uid="{00000000-0005-0000-0000-00009D150000}"/>
    <cellStyle name="Normal 4 5 3 3 2 3 2 3 3" xfId="3155" xr:uid="{00000000-0005-0000-0000-00009E150000}"/>
    <cellStyle name="Normal 4 5 3 3 2 3 2 3 3 2" xfId="14516" xr:uid="{00000000-0005-0000-0000-00009F150000}"/>
    <cellStyle name="Normal 4 5 3 3 2 3 2 3 4" xfId="14517" xr:uid="{00000000-0005-0000-0000-0000A0150000}"/>
    <cellStyle name="Normal 4 5 3 3 2 3 2 4" xfId="3156" xr:uid="{00000000-0005-0000-0000-0000A1150000}"/>
    <cellStyle name="Normal 4 5 3 3 2 3 2 4 2" xfId="14518" xr:uid="{00000000-0005-0000-0000-0000A2150000}"/>
    <cellStyle name="Normal 4 5 3 3 2 3 2 5" xfId="3157" xr:uid="{00000000-0005-0000-0000-0000A3150000}"/>
    <cellStyle name="Normal 4 5 3 3 2 3 2 5 2" xfId="14519" xr:uid="{00000000-0005-0000-0000-0000A4150000}"/>
    <cellStyle name="Normal 4 5 3 3 2 3 2 6" xfId="14520" xr:uid="{00000000-0005-0000-0000-0000A5150000}"/>
    <cellStyle name="Normal 4 5 3 3 2 3 3" xfId="3158" xr:uid="{00000000-0005-0000-0000-0000A6150000}"/>
    <cellStyle name="Normal 4 5 3 3 2 3 3 2" xfId="3159" xr:uid="{00000000-0005-0000-0000-0000A7150000}"/>
    <cellStyle name="Normal 4 5 3 3 2 3 3 2 2" xfId="14521" xr:uid="{00000000-0005-0000-0000-0000A8150000}"/>
    <cellStyle name="Normal 4 5 3 3 2 3 3 3" xfId="3160" xr:uid="{00000000-0005-0000-0000-0000A9150000}"/>
    <cellStyle name="Normal 4 5 3 3 2 3 3 3 2" xfId="14522" xr:uid="{00000000-0005-0000-0000-0000AA150000}"/>
    <cellStyle name="Normal 4 5 3 3 2 3 3 4" xfId="14523" xr:uid="{00000000-0005-0000-0000-0000AB150000}"/>
    <cellStyle name="Normal 4 5 3 3 2 3 4" xfId="3161" xr:uid="{00000000-0005-0000-0000-0000AC150000}"/>
    <cellStyle name="Normal 4 5 3 3 2 3 4 2" xfId="3162" xr:uid="{00000000-0005-0000-0000-0000AD150000}"/>
    <cellStyle name="Normal 4 5 3 3 2 3 4 2 2" xfId="14524" xr:uid="{00000000-0005-0000-0000-0000AE150000}"/>
    <cellStyle name="Normal 4 5 3 3 2 3 4 3" xfId="3163" xr:uid="{00000000-0005-0000-0000-0000AF150000}"/>
    <cellStyle name="Normal 4 5 3 3 2 3 4 3 2" xfId="14525" xr:uid="{00000000-0005-0000-0000-0000B0150000}"/>
    <cellStyle name="Normal 4 5 3 3 2 3 4 4" xfId="14526" xr:uid="{00000000-0005-0000-0000-0000B1150000}"/>
    <cellStyle name="Normal 4 5 3 3 2 3 5" xfId="3164" xr:uid="{00000000-0005-0000-0000-0000B2150000}"/>
    <cellStyle name="Normal 4 5 3 3 2 3 5 2" xfId="14527" xr:uid="{00000000-0005-0000-0000-0000B3150000}"/>
    <cellStyle name="Normal 4 5 3 3 2 3 6" xfId="3165" xr:uid="{00000000-0005-0000-0000-0000B4150000}"/>
    <cellStyle name="Normal 4 5 3 3 2 3 6 2" xfId="14528" xr:uid="{00000000-0005-0000-0000-0000B5150000}"/>
    <cellStyle name="Normal 4 5 3 3 2 3 7" xfId="14529" xr:uid="{00000000-0005-0000-0000-0000B6150000}"/>
    <cellStyle name="Normal 4 5 3 3 2 4" xfId="3166" xr:uid="{00000000-0005-0000-0000-0000B7150000}"/>
    <cellStyle name="Normal 4 5 3 3 2 4 2" xfId="3167" xr:uid="{00000000-0005-0000-0000-0000B8150000}"/>
    <cellStyle name="Normal 4 5 3 3 2 4 2 2" xfId="3168" xr:uid="{00000000-0005-0000-0000-0000B9150000}"/>
    <cellStyle name="Normal 4 5 3 3 2 4 2 2 2" xfId="14530" xr:uid="{00000000-0005-0000-0000-0000BA150000}"/>
    <cellStyle name="Normal 4 5 3 3 2 4 2 3" xfId="3169" xr:uid="{00000000-0005-0000-0000-0000BB150000}"/>
    <cellStyle name="Normal 4 5 3 3 2 4 2 3 2" xfId="14531" xr:uid="{00000000-0005-0000-0000-0000BC150000}"/>
    <cellStyle name="Normal 4 5 3 3 2 4 2 4" xfId="14532" xr:uid="{00000000-0005-0000-0000-0000BD150000}"/>
    <cellStyle name="Normal 4 5 3 3 2 4 3" xfId="3170" xr:uid="{00000000-0005-0000-0000-0000BE150000}"/>
    <cellStyle name="Normal 4 5 3 3 2 4 3 2" xfId="3171" xr:uid="{00000000-0005-0000-0000-0000BF150000}"/>
    <cellStyle name="Normal 4 5 3 3 2 4 3 2 2" xfId="14533" xr:uid="{00000000-0005-0000-0000-0000C0150000}"/>
    <cellStyle name="Normal 4 5 3 3 2 4 3 3" xfId="3172" xr:uid="{00000000-0005-0000-0000-0000C1150000}"/>
    <cellStyle name="Normal 4 5 3 3 2 4 3 3 2" xfId="14534" xr:uid="{00000000-0005-0000-0000-0000C2150000}"/>
    <cellStyle name="Normal 4 5 3 3 2 4 3 4" xfId="14535" xr:uid="{00000000-0005-0000-0000-0000C3150000}"/>
    <cellStyle name="Normal 4 5 3 3 2 4 4" xfId="3173" xr:uid="{00000000-0005-0000-0000-0000C4150000}"/>
    <cellStyle name="Normal 4 5 3 3 2 4 4 2" xfId="14536" xr:uid="{00000000-0005-0000-0000-0000C5150000}"/>
    <cellStyle name="Normal 4 5 3 3 2 4 5" xfId="3174" xr:uid="{00000000-0005-0000-0000-0000C6150000}"/>
    <cellStyle name="Normal 4 5 3 3 2 4 5 2" xfId="14537" xr:uid="{00000000-0005-0000-0000-0000C7150000}"/>
    <cellStyle name="Normal 4 5 3 3 2 4 6" xfId="14538" xr:uid="{00000000-0005-0000-0000-0000C8150000}"/>
    <cellStyle name="Normal 4 5 3 3 2 5" xfId="3175" xr:uid="{00000000-0005-0000-0000-0000C9150000}"/>
    <cellStyle name="Normal 4 5 3 3 2 5 2" xfId="3176" xr:uid="{00000000-0005-0000-0000-0000CA150000}"/>
    <cellStyle name="Normal 4 5 3 3 2 5 2 2" xfId="3177" xr:uid="{00000000-0005-0000-0000-0000CB150000}"/>
    <cellStyle name="Normal 4 5 3 3 2 5 2 2 2" xfId="14539" xr:uid="{00000000-0005-0000-0000-0000CC150000}"/>
    <cellStyle name="Normal 4 5 3 3 2 5 2 3" xfId="3178" xr:uid="{00000000-0005-0000-0000-0000CD150000}"/>
    <cellStyle name="Normal 4 5 3 3 2 5 2 3 2" xfId="14540" xr:uid="{00000000-0005-0000-0000-0000CE150000}"/>
    <cellStyle name="Normal 4 5 3 3 2 5 2 4" xfId="14541" xr:uid="{00000000-0005-0000-0000-0000CF150000}"/>
    <cellStyle name="Normal 4 5 3 3 2 5 3" xfId="3179" xr:uid="{00000000-0005-0000-0000-0000D0150000}"/>
    <cellStyle name="Normal 4 5 3 3 2 5 3 2" xfId="3180" xr:uid="{00000000-0005-0000-0000-0000D1150000}"/>
    <cellStyle name="Normal 4 5 3 3 2 5 3 2 2" xfId="14542" xr:uid="{00000000-0005-0000-0000-0000D2150000}"/>
    <cellStyle name="Normal 4 5 3 3 2 5 3 3" xfId="3181" xr:uid="{00000000-0005-0000-0000-0000D3150000}"/>
    <cellStyle name="Normal 4 5 3 3 2 5 3 3 2" xfId="14543" xr:uid="{00000000-0005-0000-0000-0000D4150000}"/>
    <cellStyle name="Normal 4 5 3 3 2 5 3 4" xfId="14544" xr:uid="{00000000-0005-0000-0000-0000D5150000}"/>
    <cellStyle name="Normal 4 5 3 3 2 5 4" xfId="3182" xr:uid="{00000000-0005-0000-0000-0000D6150000}"/>
    <cellStyle name="Normal 4 5 3 3 2 5 4 2" xfId="14545" xr:uid="{00000000-0005-0000-0000-0000D7150000}"/>
    <cellStyle name="Normal 4 5 3 3 2 5 5" xfId="3183" xr:uid="{00000000-0005-0000-0000-0000D8150000}"/>
    <cellStyle name="Normal 4 5 3 3 2 5 5 2" xfId="14546" xr:uid="{00000000-0005-0000-0000-0000D9150000}"/>
    <cellStyle name="Normal 4 5 3 3 2 5 6" xfId="14547" xr:uid="{00000000-0005-0000-0000-0000DA150000}"/>
    <cellStyle name="Normal 4 5 3 3 2 6" xfId="3184" xr:uid="{00000000-0005-0000-0000-0000DB150000}"/>
    <cellStyle name="Normal 4 5 3 3 2 6 2" xfId="3185" xr:uid="{00000000-0005-0000-0000-0000DC150000}"/>
    <cellStyle name="Normal 4 5 3 3 2 6 2 2" xfId="14548" xr:uid="{00000000-0005-0000-0000-0000DD150000}"/>
    <cellStyle name="Normal 4 5 3 3 2 6 3" xfId="3186" xr:uid="{00000000-0005-0000-0000-0000DE150000}"/>
    <cellStyle name="Normal 4 5 3 3 2 6 3 2" xfId="14549" xr:uid="{00000000-0005-0000-0000-0000DF150000}"/>
    <cellStyle name="Normal 4 5 3 3 2 6 4" xfId="14550" xr:uid="{00000000-0005-0000-0000-0000E0150000}"/>
    <cellStyle name="Normal 4 5 3 3 2 7" xfId="3187" xr:uid="{00000000-0005-0000-0000-0000E1150000}"/>
    <cellStyle name="Normal 4 5 3 3 2 7 2" xfId="3188" xr:uid="{00000000-0005-0000-0000-0000E2150000}"/>
    <cellStyle name="Normal 4 5 3 3 2 7 2 2" xfId="14551" xr:uid="{00000000-0005-0000-0000-0000E3150000}"/>
    <cellStyle name="Normal 4 5 3 3 2 7 3" xfId="3189" xr:uid="{00000000-0005-0000-0000-0000E4150000}"/>
    <cellStyle name="Normal 4 5 3 3 2 7 3 2" xfId="14552" xr:uid="{00000000-0005-0000-0000-0000E5150000}"/>
    <cellStyle name="Normal 4 5 3 3 2 7 4" xfId="14553" xr:uid="{00000000-0005-0000-0000-0000E6150000}"/>
    <cellStyle name="Normal 4 5 3 3 2 8" xfId="3190" xr:uid="{00000000-0005-0000-0000-0000E7150000}"/>
    <cellStyle name="Normal 4 5 3 3 2 8 2" xfId="14554" xr:uid="{00000000-0005-0000-0000-0000E8150000}"/>
    <cellStyle name="Normal 4 5 3 3 2 9" xfId="3191" xr:uid="{00000000-0005-0000-0000-0000E9150000}"/>
    <cellStyle name="Normal 4 5 3 3 2 9 2" xfId="14555" xr:uid="{00000000-0005-0000-0000-0000EA150000}"/>
    <cellStyle name="Normal 4 5 3 3 3" xfId="3192" xr:uid="{00000000-0005-0000-0000-0000EB150000}"/>
    <cellStyle name="Normal 4 5 3 3 3 2" xfId="3193" xr:uid="{00000000-0005-0000-0000-0000EC150000}"/>
    <cellStyle name="Normal 4 5 3 3 3 2 2" xfId="3194" xr:uid="{00000000-0005-0000-0000-0000ED150000}"/>
    <cellStyle name="Normal 4 5 3 3 3 2 2 2" xfId="3195" xr:uid="{00000000-0005-0000-0000-0000EE150000}"/>
    <cellStyle name="Normal 4 5 3 3 3 2 2 2 2" xfId="14556" xr:uid="{00000000-0005-0000-0000-0000EF150000}"/>
    <cellStyle name="Normal 4 5 3 3 3 2 2 3" xfId="3196" xr:uid="{00000000-0005-0000-0000-0000F0150000}"/>
    <cellStyle name="Normal 4 5 3 3 3 2 2 3 2" xfId="14557" xr:uid="{00000000-0005-0000-0000-0000F1150000}"/>
    <cellStyle name="Normal 4 5 3 3 3 2 2 4" xfId="14558" xr:uid="{00000000-0005-0000-0000-0000F2150000}"/>
    <cellStyle name="Normal 4 5 3 3 3 2 3" xfId="3197" xr:uid="{00000000-0005-0000-0000-0000F3150000}"/>
    <cellStyle name="Normal 4 5 3 3 3 2 3 2" xfId="3198" xr:uid="{00000000-0005-0000-0000-0000F4150000}"/>
    <cellStyle name="Normal 4 5 3 3 3 2 3 2 2" xfId="14559" xr:uid="{00000000-0005-0000-0000-0000F5150000}"/>
    <cellStyle name="Normal 4 5 3 3 3 2 3 3" xfId="3199" xr:uid="{00000000-0005-0000-0000-0000F6150000}"/>
    <cellStyle name="Normal 4 5 3 3 3 2 3 3 2" xfId="14560" xr:uid="{00000000-0005-0000-0000-0000F7150000}"/>
    <cellStyle name="Normal 4 5 3 3 3 2 3 4" xfId="14561" xr:uid="{00000000-0005-0000-0000-0000F8150000}"/>
    <cellStyle name="Normal 4 5 3 3 3 2 4" xfId="3200" xr:uid="{00000000-0005-0000-0000-0000F9150000}"/>
    <cellStyle name="Normal 4 5 3 3 3 2 4 2" xfId="14562" xr:uid="{00000000-0005-0000-0000-0000FA150000}"/>
    <cellStyle name="Normal 4 5 3 3 3 2 5" xfId="3201" xr:uid="{00000000-0005-0000-0000-0000FB150000}"/>
    <cellStyle name="Normal 4 5 3 3 3 2 5 2" xfId="14563" xr:uid="{00000000-0005-0000-0000-0000FC150000}"/>
    <cellStyle name="Normal 4 5 3 3 3 2 6" xfId="14564" xr:uid="{00000000-0005-0000-0000-0000FD150000}"/>
    <cellStyle name="Normal 4 5 3 3 3 3" xfId="3202" xr:uid="{00000000-0005-0000-0000-0000FE150000}"/>
    <cellStyle name="Normal 4 5 3 3 3 3 2" xfId="3203" xr:uid="{00000000-0005-0000-0000-0000FF150000}"/>
    <cellStyle name="Normal 4 5 3 3 3 3 2 2" xfId="3204" xr:uid="{00000000-0005-0000-0000-000000160000}"/>
    <cellStyle name="Normal 4 5 3 3 3 3 2 2 2" xfId="14565" xr:uid="{00000000-0005-0000-0000-000001160000}"/>
    <cellStyle name="Normal 4 5 3 3 3 3 2 3" xfId="3205" xr:uid="{00000000-0005-0000-0000-000002160000}"/>
    <cellStyle name="Normal 4 5 3 3 3 3 2 3 2" xfId="14566" xr:uid="{00000000-0005-0000-0000-000003160000}"/>
    <cellStyle name="Normal 4 5 3 3 3 3 2 4" xfId="14567" xr:uid="{00000000-0005-0000-0000-000004160000}"/>
    <cellStyle name="Normal 4 5 3 3 3 3 3" xfId="3206" xr:uid="{00000000-0005-0000-0000-000005160000}"/>
    <cellStyle name="Normal 4 5 3 3 3 3 3 2" xfId="3207" xr:uid="{00000000-0005-0000-0000-000006160000}"/>
    <cellStyle name="Normal 4 5 3 3 3 3 3 2 2" xfId="14568" xr:uid="{00000000-0005-0000-0000-000007160000}"/>
    <cellStyle name="Normal 4 5 3 3 3 3 3 3" xfId="3208" xr:uid="{00000000-0005-0000-0000-000008160000}"/>
    <cellStyle name="Normal 4 5 3 3 3 3 3 3 2" xfId="14569" xr:uid="{00000000-0005-0000-0000-000009160000}"/>
    <cellStyle name="Normal 4 5 3 3 3 3 3 4" xfId="14570" xr:uid="{00000000-0005-0000-0000-00000A160000}"/>
    <cellStyle name="Normal 4 5 3 3 3 3 4" xfId="3209" xr:uid="{00000000-0005-0000-0000-00000B160000}"/>
    <cellStyle name="Normal 4 5 3 3 3 3 4 2" xfId="14571" xr:uid="{00000000-0005-0000-0000-00000C160000}"/>
    <cellStyle name="Normal 4 5 3 3 3 3 5" xfId="3210" xr:uid="{00000000-0005-0000-0000-00000D160000}"/>
    <cellStyle name="Normal 4 5 3 3 3 3 5 2" xfId="14572" xr:uid="{00000000-0005-0000-0000-00000E160000}"/>
    <cellStyle name="Normal 4 5 3 3 3 3 6" xfId="14573" xr:uid="{00000000-0005-0000-0000-00000F160000}"/>
    <cellStyle name="Normal 4 5 3 3 3 4" xfId="3211" xr:uid="{00000000-0005-0000-0000-000010160000}"/>
    <cellStyle name="Normal 4 5 3 3 3 4 2" xfId="3212" xr:uid="{00000000-0005-0000-0000-000011160000}"/>
    <cellStyle name="Normal 4 5 3 3 3 4 2 2" xfId="14574" xr:uid="{00000000-0005-0000-0000-000012160000}"/>
    <cellStyle name="Normal 4 5 3 3 3 4 3" xfId="3213" xr:uid="{00000000-0005-0000-0000-000013160000}"/>
    <cellStyle name="Normal 4 5 3 3 3 4 3 2" xfId="14575" xr:uid="{00000000-0005-0000-0000-000014160000}"/>
    <cellStyle name="Normal 4 5 3 3 3 4 4" xfId="14576" xr:uid="{00000000-0005-0000-0000-000015160000}"/>
    <cellStyle name="Normal 4 5 3 3 3 5" xfId="3214" xr:uid="{00000000-0005-0000-0000-000016160000}"/>
    <cellStyle name="Normal 4 5 3 3 3 5 2" xfId="3215" xr:uid="{00000000-0005-0000-0000-000017160000}"/>
    <cellStyle name="Normal 4 5 3 3 3 5 2 2" xfId="14577" xr:uid="{00000000-0005-0000-0000-000018160000}"/>
    <cellStyle name="Normal 4 5 3 3 3 5 3" xfId="3216" xr:uid="{00000000-0005-0000-0000-000019160000}"/>
    <cellStyle name="Normal 4 5 3 3 3 5 3 2" xfId="14578" xr:uid="{00000000-0005-0000-0000-00001A160000}"/>
    <cellStyle name="Normal 4 5 3 3 3 5 4" xfId="14579" xr:uid="{00000000-0005-0000-0000-00001B160000}"/>
    <cellStyle name="Normal 4 5 3 3 3 6" xfId="3217" xr:uid="{00000000-0005-0000-0000-00001C160000}"/>
    <cellStyle name="Normal 4 5 3 3 3 6 2" xfId="14580" xr:uid="{00000000-0005-0000-0000-00001D160000}"/>
    <cellStyle name="Normal 4 5 3 3 3 7" xfId="3218" xr:uid="{00000000-0005-0000-0000-00001E160000}"/>
    <cellStyle name="Normal 4 5 3 3 3 7 2" xfId="14581" xr:uid="{00000000-0005-0000-0000-00001F160000}"/>
    <cellStyle name="Normal 4 5 3 3 3 8" xfId="14582" xr:uid="{00000000-0005-0000-0000-000020160000}"/>
    <cellStyle name="Normal 4 5 3 3 4" xfId="3219" xr:uid="{00000000-0005-0000-0000-000021160000}"/>
    <cellStyle name="Normal 4 5 3 3 4 2" xfId="3220" xr:uid="{00000000-0005-0000-0000-000022160000}"/>
    <cellStyle name="Normal 4 5 3 3 4 2 2" xfId="3221" xr:uid="{00000000-0005-0000-0000-000023160000}"/>
    <cellStyle name="Normal 4 5 3 3 4 2 2 2" xfId="3222" xr:uid="{00000000-0005-0000-0000-000024160000}"/>
    <cellStyle name="Normal 4 5 3 3 4 2 2 2 2" xfId="14583" xr:uid="{00000000-0005-0000-0000-000025160000}"/>
    <cellStyle name="Normal 4 5 3 3 4 2 2 3" xfId="3223" xr:uid="{00000000-0005-0000-0000-000026160000}"/>
    <cellStyle name="Normal 4 5 3 3 4 2 2 3 2" xfId="14584" xr:uid="{00000000-0005-0000-0000-000027160000}"/>
    <cellStyle name="Normal 4 5 3 3 4 2 2 4" xfId="14585" xr:uid="{00000000-0005-0000-0000-000028160000}"/>
    <cellStyle name="Normal 4 5 3 3 4 2 3" xfId="3224" xr:uid="{00000000-0005-0000-0000-000029160000}"/>
    <cellStyle name="Normal 4 5 3 3 4 2 3 2" xfId="3225" xr:uid="{00000000-0005-0000-0000-00002A160000}"/>
    <cellStyle name="Normal 4 5 3 3 4 2 3 2 2" xfId="14586" xr:uid="{00000000-0005-0000-0000-00002B160000}"/>
    <cellStyle name="Normal 4 5 3 3 4 2 3 3" xfId="3226" xr:uid="{00000000-0005-0000-0000-00002C160000}"/>
    <cellStyle name="Normal 4 5 3 3 4 2 3 3 2" xfId="14587" xr:uid="{00000000-0005-0000-0000-00002D160000}"/>
    <cellStyle name="Normal 4 5 3 3 4 2 3 4" xfId="14588" xr:uid="{00000000-0005-0000-0000-00002E160000}"/>
    <cellStyle name="Normal 4 5 3 3 4 2 4" xfId="3227" xr:uid="{00000000-0005-0000-0000-00002F160000}"/>
    <cellStyle name="Normal 4 5 3 3 4 2 4 2" xfId="14589" xr:uid="{00000000-0005-0000-0000-000030160000}"/>
    <cellStyle name="Normal 4 5 3 3 4 2 5" xfId="3228" xr:uid="{00000000-0005-0000-0000-000031160000}"/>
    <cellStyle name="Normal 4 5 3 3 4 2 5 2" xfId="14590" xr:uid="{00000000-0005-0000-0000-000032160000}"/>
    <cellStyle name="Normal 4 5 3 3 4 2 6" xfId="14591" xr:uid="{00000000-0005-0000-0000-000033160000}"/>
    <cellStyle name="Normal 4 5 3 3 4 3" xfId="3229" xr:uid="{00000000-0005-0000-0000-000034160000}"/>
    <cellStyle name="Normal 4 5 3 3 4 3 2" xfId="3230" xr:uid="{00000000-0005-0000-0000-000035160000}"/>
    <cellStyle name="Normal 4 5 3 3 4 3 2 2" xfId="14592" xr:uid="{00000000-0005-0000-0000-000036160000}"/>
    <cellStyle name="Normal 4 5 3 3 4 3 3" xfId="3231" xr:uid="{00000000-0005-0000-0000-000037160000}"/>
    <cellStyle name="Normal 4 5 3 3 4 3 3 2" xfId="14593" xr:uid="{00000000-0005-0000-0000-000038160000}"/>
    <cellStyle name="Normal 4 5 3 3 4 3 4" xfId="14594" xr:uid="{00000000-0005-0000-0000-000039160000}"/>
    <cellStyle name="Normal 4 5 3 3 4 4" xfId="3232" xr:uid="{00000000-0005-0000-0000-00003A160000}"/>
    <cellStyle name="Normal 4 5 3 3 4 4 2" xfId="3233" xr:uid="{00000000-0005-0000-0000-00003B160000}"/>
    <cellStyle name="Normal 4 5 3 3 4 4 2 2" xfId="14595" xr:uid="{00000000-0005-0000-0000-00003C160000}"/>
    <cellStyle name="Normal 4 5 3 3 4 4 3" xfId="3234" xr:uid="{00000000-0005-0000-0000-00003D160000}"/>
    <cellStyle name="Normal 4 5 3 3 4 4 3 2" xfId="14596" xr:uid="{00000000-0005-0000-0000-00003E160000}"/>
    <cellStyle name="Normal 4 5 3 3 4 4 4" xfId="14597" xr:uid="{00000000-0005-0000-0000-00003F160000}"/>
    <cellStyle name="Normal 4 5 3 3 4 5" xfId="3235" xr:uid="{00000000-0005-0000-0000-000040160000}"/>
    <cellStyle name="Normal 4 5 3 3 4 5 2" xfId="14598" xr:uid="{00000000-0005-0000-0000-000041160000}"/>
    <cellStyle name="Normal 4 5 3 3 4 6" xfId="3236" xr:uid="{00000000-0005-0000-0000-000042160000}"/>
    <cellStyle name="Normal 4 5 3 3 4 6 2" xfId="14599" xr:uid="{00000000-0005-0000-0000-000043160000}"/>
    <cellStyle name="Normal 4 5 3 3 4 7" xfId="14600" xr:uid="{00000000-0005-0000-0000-000044160000}"/>
    <cellStyle name="Normal 4 5 3 3 5" xfId="3237" xr:uid="{00000000-0005-0000-0000-000045160000}"/>
    <cellStyle name="Normal 4 5 3 3 5 2" xfId="3238" xr:uid="{00000000-0005-0000-0000-000046160000}"/>
    <cellStyle name="Normal 4 5 3 3 5 2 2" xfId="3239" xr:uid="{00000000-0005-0000-0000-000047160000}"/>
    <cellStyle name="Normal 4 5 3 3 5 2 2 2" xfId="14601" xr:uid="{00000000-0005-0000-0000-000048160000}"/>
    <cellStyle name="Normal 4 5 3 3 5 2 3" xfId="3240" xr:uid="{00000000-0005-0000-0000-000049160000}"/>
    <cellStyle name="Normal 4 5 3 3 5 2 3 2" xfId="14602" xr:uid="{00000000-0005-0000-0000-00004A160000}"/>
    <cellStyle name="Normal 4 5 3 3 5 2 4" xfId="14603" xr:uid="{00000000-0005-0000-0000-00004B160000}"/>
    <cellStyle name="Normal 4 5 3 3 5 3" xfId="3241" xr:uid="{00000000-0005-0000-0000-00004C160000}"/>
    <cellStyle name="Normal 4 5 3 3 5 3 2" xfId="3242" xr:uid="{00000000-0005-0000-0000-00004D160000}"/>
    <cellStyle name="Normal 4 5 3 3 5 3 2 2" xfId="14604" xr:uid="{00000000-0005-0000-0000-00004E160000}"/>
    <cellStyle name="Normal 4 5 3 3 5 3 3" xfId="3243" xr:uid="{00000000-0005-0000-0000-00004F160000}"/>
    <cellStyle name="Normal 4 5 3 3 5 3 3 2" xfId="14605" xr:uid="{00000000-0005-0000-0000-000050160000}"/>
    <cellStyle name="Normal 4 5 3 3 5 3 4" xfId="14606" xr:uid="{00000000-0005-0000-0000-000051160000}"/>
    <cellStyle name="Normal 4 5 3 3 5 4" xfId="3244" xr:uid="{00000000-0005-0000-0000-000052160000}"/>
    <cellStyle name="Normal 4 5 3 3 5 4 2" xfId="14607" xr:uid="{00000000-0005-0000-0000-000053160000}"/>
    <cellStyle name="Normal 4 5 3 3 5 5" xfId="3245" xr:uid="{00000000-0005-0000-0000-000054160000}"/>
    <cellStyle name="Normal 4 5 3 3 5 5 2" xfId="14608" xr:uid="{00000000-0005-0000-0000-000055160000}"/>
    <cellStyle name="Normal 4 5 3 3 5 6" xfId="14609" xr:uid="{00000000-0005-0000-0000-000056160000}"/>
    <cellStyle name="Normal 4 5 3 3 6" xfId="3246" xr:uid="{00000000-0005-0000-0000-000057160000}"/>
    <cellStyle name="Normal 4 5 3 3 6 2" xfId="3247" xr:uid="{00000000-0005-0000-0000-000058160000}"/>
    <cellStyle name="Normal 4 5 3 3 6 2 2" xfId="3248" xr:uid="{00000000-0005-0000-0000-000059160000}"/>
    <cellStyle name="Normal 4 5 3 3 6 2 2 2" xfId="14610" xr:uid="{00000000-0005-0000-0000-00005A160000}"/>
    <cellStyle name="Normal 4 5 3 3 6 2 3" xfId="3249" xr:uid="{00000000-0005-0000-0000-00005B160000}"/>
    <cellStyle name="Normal 4 5 3 3 6 2 3 2" xfId="14611" xr:uid="{00000000-0005-0000-0000-00005C160000}"/>
    <cellStyle name="Normal 4 5 3 3 6 2 4" xfId="14612" xr:uid="{00000000-0005-0000-0000-00005D160000}"/>
    <cellStyle name="Normal 4 5 3 3 6 3" xfId="3250" xr:uid="{00000000-0005-0000-0000-00005E160000}"/>
    <cellStyle name="Normal 4 5 3 3 6 3 2" xfId="3251" xr:uid="{00000000-0005-0000-0000-00005F160000}"/>
    <cellStyle name="Normal 4 5 3 3 6 3 2 2" xfId="14613" xr:uid="{00000000-0005-0000-0000-000060160000}"/>
    <cellStyle name="Normal 4 5 3 3 6 3 3" xfId="3252" xr:uid="{00000000-0005-0000-0000-000061160000}"/>
    <cellStyle name="Normal 4 5 3 3 6 3 3 2" xfId="14614" xr:uid="{00000000-0005-0000-0000-000062160000}"/>
    <cellStyle name="Normal 4 5 3 3 6 3 4" xfId="14615" xr:uid="{00000000-0005-0000-0000-000063160000}"/>
    <cellStyle name="Normal 4 5 3 3 6 4" xfId="3253" xr:uid="{00000000-0005-0000-0000-000064160000}"/>
    <cellStyle name="Normal 4 5 3 3 6 4 2" xfId="14616" xr:uid="{00000000-0005-0000-0000-000065160000}"/>
    <cellStyle name="Normal 4 5 3 3 6 5" xfId="3254" xr:uid="{00000000-0005-0000-0000-000066160000}"/>
    <cellStyle name="Normal 4 5 3 3 6 5 2" xfId="14617" xr:uid="{00000000-0005-0000-0000-000067160000}"/>
    <cellStyle name="Normal 4 5 3 3 6 6" xfId="14618" xr:uid="{00000000-0005-0000-0000-000068160000}"/>
    <cellStyle name="Normal 4 5 3 3 7" xfId="3255" xr:uid="{00000000-0005-0000-0000-000069160000}"/>
    <cellStyle name="Normal 4 5 3 3 7 2" xfId="3256" xr:uid="{00000000-0005-0000-0000-00006A160000}"/>
    <cellStyle name="Normal 4 5 3 3 7 2 2" xfId="14619" xr:uid="{00000000-0005-0000-0000-00006B160000}"/>
    <cellStyle name="Normal 4 5 3 3 7 3" xfId="3257" xr:uid="{00000000-0005-0000-0000-00006C160000}"/>
    <cellStyle name="Normal 4 5 3 3 7 3 2" xfId="14620" xr:uid="{00000000-0005-0000-0000-00006D160000}"/>
    <cellStyle name="Normal 4 5 3 3 7 4" xfId="14621" xr:uid="{00000000-0005-0000-0000-00006E160000}"/>
    <cellStyle name="Normal 4 5 3 3 8" xfId="3258" xr:uid="{00000000-0005-0000-0000-00006F160000}"/>
    <cellStyle name="Normal 4 5 3 3 8 2" xfId="3259" xr:uid="{00000000-0005-0000-0000-000070160000}"/>
    <cellStyle name="Normal 4 5 3 3 8 2 2" xfId="14622" xr:uid="{00000000-0005-0000-0000-000071160000}"/>
    <cellStyle name="Normal 4 5 3 3 8 3" xfId="3260" xr:uid="{00000000-0005-0000-0000-000072160000}"/>
    <cellStyle name="Normal 4 5 3 3 8 3 2" xfId="14623" xr:uid="{00000000-0005-0000-0000-000073160000}"/>
    <cellStyle name="Normal 4 5 3 3 8 4" xfId="14624" xr:uid="{00000000-0005-0000-0000-000074160000}"/>
    <cellStyle name="Normal 4 5 3 3 9" xfId="3261" xr:uid="{00000000-0005-0000-0000-000075160000}"/>
    <cellStyle name="Normal 4 5 3 3 9 2" xfId="14625" xr:uid="{00000000-0005-0000-0000-000076160000}"/>
    <cellStyle name="Normal 4 5 3 4" xfId="3262" xr:uid="{00000000-0005-0000-0000-000077160000}"/>
    <cellStyle name="Normal 4 5 3 4 10" xfId="14626" xr:uid="{00000000-0005-0000-0000-000078160000}"/>
    <cellStyle name="Normal 4 5 3 4 2" xfId="3263" xr:uid="{00000000-0005-0000-0000-000079160000}"/>
    <cellStyle name="Normal 4 5 3 4 2 2" xfId="3264" xr:uid="{00000000-0005-0000-0000-00007A160000}"/>
    <cellStyle name="Normal 4 5 3 4 2 2 2" xfId="3265" xr:uid="{00000000-0005-0000-0000-00007B160000}"/>
    <cellStyle name="Normal 4 5 3 4 2 2 2 2" xfId="3266" xr:uid="{00000000-0005-0000-0000-00007C160000}"/>
    <cellStyle name="Normal 4 5 3 4 2 2 2 2 2" xfId="14627" xr:uid="{00000000-0005-0000-0000-00007D160000}"/>
    <cellStyle name="Normal 4 5 3 4 2 2 2 3" xfId="3267" xr:uid="{00000000-0005-0000-0000-00007E160000}"/>
    <cellStyle name="Normal 4 5 3 4 2 2 2 3 2" xfId="14628" xr:uid="{00000000-0005-0000-0000-00007F160000}"/>
    <cellStyle name="Normal 4 5 3 4 2 2 2 4" xfId="14629" xr:uid="{00000000-0005-0000-0000-000080160000}"/>
    <cellStyle name="Normal 4 5 3 4 2 2 3" xfId="3268" xr:uid="{00000000-0005-0000-0000-000081160000}"/>
    <cellStyle name="Normal 4 5 3 4 2 2 3 2" xfId="3269" xr:uid="{00000000-0005-0000-0000-000082160000}"/>
    <cellStyle name="Normal 4 5 3 4 2 2 3 2 2" xfId="14630" xr:uid="{00000000-0005-0000-0000-000083160000}"/>
    <cellStyle name="Normal 4 5 3 4 2 2 3 3" xfId="3270" xr:uid="{00000000-0005-0000-0000-000084160000}"/>
    <cellStyle name="Normal 4 5 3 4 2 2 3 3 2" xfId="14631" xr:uid="{00000000-0005-0000-0000-000085160000}"/>
    <cellStyle name="Normal 4 5 3 4 2 2 3 4" xfId="14632" xr:uid="{00000000-0005-0000-0000-000086160000}"/>
    <cellStyle name="Normal 4 5 3 4 2 2 4" xfId="3271" xr:uid="{00000000-0005-0000-0000-000087160000}"/>
    <cellStyle name="Normal 4 5 3 4 2 2 4 2" xfId="14633" xr:uid="{00000000-0005-0000-0000-000088160000}"/>
    <cellStyle name="Normal 4 5 3 4 2 2 5" xfId="3272" xr:uid="{00000000-0005-0000-0000-000089160000}"/>
    <cellStyle name="Normal 4 5 3 4 2 2 5 2" xfId="14634" xr:uid="{00000000-0005-0000-0000-00008A160000}"/>
    <cellStyle name="Normal 4 5 3 4 2 2 6" xfId="14635" xr:uid="{00000000-0005-0000-0000-00008B160000}"/>
    <cellStyle name="Normal 4 5 3 4 2 3" xfId="3273" xr:uid="{00000000-0005-0000-0000-00008C160000}"/>
    <cellStyle name="Normal 4 5 3 4 2 3 2" xfId="3274" xr:uid="{00000000-0005-0000-0000-00008D160000}"/>
    <cellStyle name="Normal 4 5 3 4 2 3 2 2" xfId="3275" xr:uid="{00000000-0005-0000-0000-00008E160000}"/>
    <cellStyle name="Normal 4 5 3 4 2 3 2 2 2" xfId="14636" xr:uid="{00000000-0005-0000-0000-00008F160000}"/>
    <cellStyle name="Normal 4 5 3 4 2 3 2 3" xfId="3276" xr:uid="{00000000-0005-0000-0000-000090160000}"/>
    <cellStyle name="Normal 4 5 3 4 2 3 2 3 2" xfId="14637" xr:uid="{00000000-0005-0000-0000-000091160000}"/>
    <cellStyle name="Normal 4 5 3 4 2 3 2 4" xfId="14638" xr:uid="{00000000-0005-0000-0000-000092160000}"/>
    <cellStyle name="Normal 4 5 3 4 2 3 3" xfId="3277" xr:uid="{00000000-0005-0000-0000-000093160000}"/>
    <cellStyle name="Normal 4 5 3 4 2 3 3 2" xfId="3278" xr:uid="{00000000-0005-0000-0000-000094160000}"/>
    <cellStyle name="Normal 4 5 3 4 2 3 3 2 2" xfId="14639" xr:uid="{00000000-0005-0000-0000-000095160000}"/>
    <cellStyle name="Normal 4 5 3 4 2 3 3 3" xfId="3279" xr:uid="{00000000-0005-0000-0000-000096160000}"/>
    <cellStyle name="Normal 4 5 3 4 2 3 3 3 2" xfId="14640" xr:uid="{00000000-0005-0000-0000-000097160000}"/>
    <cellStyle name="Normal 4 5 3 4 2 3 3 4" xfId="14641" xr:uid="{00000000-0005-0000-0000-000098160000}"/>
    <cellStyle name="Normal 4 5 3 4 2 3 4" xfId="3280" xr:uid="{00000000-0005-0000-0000-000099160000}"/>
    <cellStyle name="Normal 4 5 3 4 2 3 4 2" xfId="14642" xr:uid="{00000000-0005-0000-0000-00009A160000}"/>
    <cellStyle name="Normal 4 5 3 4 2 3 5" xfId="3281" xr:uid="{00000000-0005-0000-0000-00009B160000}"/>
    <cellStyle name="Normal 4 5 3 4 2 3 5 2" xfId="14643" xr:uid="{00000000-0005-0000-0000-00009C160000}"/>
    <cellStyle name="Normal 4 5 3 4 2 3 6" xfId="14644" xr:uid="{00000000-0005-0000-0000-00009D160000}"/>
    <cellStyle name="Normal 4 5 3 4 2 4" xfId="3282" xr:uid="{00000000-0005-0000-0000-00009E160000}"/>
    <cellStyle name="Normal 4 5 3 4 2 4 2" xfId="3283" xr:uid="{00000000-0005-0000-0000-00009F160000}"/>
    <cellStyle name="Normal 4 5 3 4 2 4 2 2" xfId="14645" xr:uid="{00000000-0005-0000-0000-0000A0160000}"/>
    <cellStyle name="Normal 4 5 3 4 2 4 3" xfId="3284" xr:uid="{00000000-0005-0000-0000-0000A1160000}"/>
    <cellStyle name="Normal 4 5 3 4 2 4 3 2" xfId="14646" xr:uid="{00000000-0005-0000-0000-0000A2160000}"/>
    <cellStyle name="Normal 4 5 3 4 2 4 4" xfId="14647" xr:uid="{00000000-0005-0000-0000-0000A3160000}"/>
    <cellStyle name="Normal 4 5 3 4 2 5" xfId="3285" xr:uid="{00000000-0005-0000-0000-0000A4160000}"/>
    <cellStyle name="Normal 4 5 3 4 2 5 2" xfId="3286" xr:uid="{00000000-0005-0000-0000-0000A5160000}"/>
    <cellStyle name="Normal 4 5 3 4 2 5 2 2" xfId="14648" xr:uid="{00000000-0005-0000-0000-0000A6160000}"/>
    <cellStyle name="Normal 4 5 3 4 2 5 3" xfId="3287" xr:uid="{00000000-0005-0000-0000-0000A7160000}"/>
    <cellStyle name="Normal 4 5 3 4 2 5 3 2" xfId="14649" xr:uid="{00000000-0005-0000-0000-0000A8160000}"/>
    <cellStyle name="Normal 4 5 3 4 2 5 4" xfId="14650" xr:uid="{00000000-0005-0000-0000-0000A9160000}"/>
    <cellStyle name="Normal 4 5 3 4 2 6" xfId="3288" xr:uid="{00000000-0005-0000-0000-0000AA160000}"/>
    <cellStyle name="Normal 4 5 3 4 2 6 2" xfId="14651" xr:uid="{00000000-0005-0000-0000-0000AB160000}"/>
    <cellStyle name="Normal 4 5 3 4 2 7" xfId="3289" xr:uid="{00000000-0005-0000-0000-0000AC160000}"/>
    <cellStyle name="Normal 4 5 3 4 2 7 2" xfId="14652" xr:uid="{00000000-0005-0000-0000-0000AD160000}"/>
    <cellStyle name="Normal 4 5 3 4 2 8" xfId="14653" xr:uid="{00000000-0005-0000-0000-0000AE160000}"/>
    <cellStyle name="Normal 4 5 3 4 3" xfId="3290" xr:uid="{00000000-0005-0000-0000-0000AF160000}"/>
    <cellStyle name="Normal 4 5 3 4 3 2" xfId="3291" xr:uid="{00000000-0005-0000-0000-0000B0160000}"/>
    <cellStyle name="Normal 4 5 3 4 3 2 2" xfId="3292" xr:uid="{00000000-0005-0000-0000-0000B1160000}"/>
    <cellStyle name="Normal 4 5 3 4 3 2 2 2" xfId="3293" xr:uid="{00000000-0005-0000-0000-0000B2160000}"/>
    <cellStyle name="Normal 4 5 3 4 3 2 2 2 2" xfId="14654" xr:uid="{00000000-0005-0000-0000-0000B3160000}"/>
    <cellStyle name="Normal 4 5 3 4 3 2 2 3" xfId="3294" xr:uid="{00000000-0005-0000-0000-0000B4160000}"/>
    <cellStyle name="Normal 4 5 3 4 3 2 2 3 2" xfId="14655" xr:uid="{00000000-0005-0000-0000-0000B5160000}"/>
    <cellStyle name="Normal 4 5 3 4 3 2 2 4" xfId="14656" xr:uid="{00000000-0005-0000-0000-0000B6160000}"/>
    <cellStyle name="Normal 4 5 3 4 3 2 3" xfId="3295" xr:uid="{00000000-0005-0000-0000-0000B7160000}"/>
    <cellStyle name="Normal 4 5 3 4 3 2 3 2" xfId="3296" xr:uid="{00000000-0005-0000-0000-0000B8160000}"/>
    <cellStyle name="Normal 4 5 3 4 3 2 3 2 2" xfId="14657" xr:uid="{00000000-0005-0000-0000-0000B9160000}"/>
    <cellStyle name="Normal 4 5 3 4 3 2 3 3" xfId="3297" xr:uid="{00000000-0005-0000-0000-0000BA160000}"/>
    <cellStyle name="Normal 4 5 3 4 3 2 3 3 2" xfId="14658" xr:uid="{00000000-0005-0000-0000-0000BB160000}"/>
    <cellStyle name="Normal 4 5 3 4 3 2 3 4" xfId="14659" xr:uid="{00000000-0005-0000-0000-0000BC160000}"/>
    <cellStyle name="Normal 4 5 3 4 3 2 4" xfId="3298" xr:uid="{00000000-0005-0000-0000-0000BD160000}"/>
    <cellStyle name="Normal 4 5 3 4 3 2 4 2" xfId="14660" xr:uid="{00000000-0005-0000-0000-0000BE160000}"/>
    <cellStyle name="Normal 4 5 3 4 3 2 5" xfId="3299" xr:uid="{00000000-0005-0000-0000-0000BF160000}"/>
    <cellStyle name="Normal 4 5 3 4 3 2 5 2" xfId="14661" xr:uid="{00000000-0005-0000-0000-0000C0160000}"/>
    <cellStyle name="Normal 4 5 3 4 3 2 6" xfId="14662" xr:uid="{00000000-0005-0000-0000-0000C1160000}"/>
    <cellStyle name="Normal 4 5 3 4 3 3" xfId="3300" xr:uid="{00000000-0005-0000-0000-0000C2160000}"/>
    <cellStyle name="Normal 4 5 3 4 3 3 2" xfId="3301" xr:uid="{00000000-0005-0000-0000-0000C3160000}"/>
    <cellStyle name="Normal 4 5 3 4 3 3 2 2" xfId="14663" xr:uid="{00000000-0005-0000-0000-0000C4160000}"/>
    <cellStyle name="Normal 4 5 3 4 3 3 3" xfId="3302" xr:uid="{00000000-0005-0000-0000-0000C5160000}"/>
    <cellStyle name="Normal 4 5 3 4 3 3 3 2" xfId="14664" xr:uid="{00000000-0005-0000-0000-0000C6160000}"/>
    <cellStyle name="Normal 4 5 3 4 3 3 4" xfId="14665" xr:uid="{00000000-0005-0000-0000-0000C7160000}"/>
    <cellStyle name="Normal 4 5 3 4 3 4" xfId="3303" xr:uid="{00000000-0005-0000-0000-0000C8160000}"/>
    <cellStyle name="Normal 4 5 3 4 3 4 2" xfId="3304" xr:uid="{00000000-0005-0000-0000-0000C9160000}"/>
    <cellStyle name="Normal 4 5 3 4 3 4 2 2" xfId="14666" xr:uid="{00000000-0005-0000-0000-0000CA160000}"/>
    <cellStyle name="Normal 4 5 3 4 3 4 3" xfId="3305" xr:uid="{00000000-0005-0000-0000-0000CB160000}"/>
    <cellStyle name="Normal 4 5 3 4 3 4 3 2" xfId="14667" xr:uid="{00000000-0005-0000-0000-0000CC160000}"/>
    <cellStyle name="Normal 4 5 3 4 3 4 4" xfId="14668" xr:uid="{00000000-0005-0000-0000-0000CD160000}"/>
    <cellStyle name="Normal 4 5 3 4 3 5" xfId="3306" xr:uid="{00000000-0005-0000-0000-0000CE160000}"/>
    <cellStyle name="Normal 4 5 3 4 3 5 2" xfId="14669" xr:uid="{00000000-0005-0000-0000-0000CF160000}"/>
    <cellStyle name="Normal 4 5 3 4 3 6" xfId="3307" xr:uid="{00000000-0005-0000-0000-0000D0160000}"/>
    <cellStyle name="Normal 4 5 3 4 3 6 2" xfId="14670" xr:uid="{00000000-0005-0000-0000-0000D1160000}"/>
    <cellStyle name="Normal 4 5 3 4 3 7" xfId="14671" xr:uid="{00000000-0005-0000-0000-0000D2160000}"/>
    <cellStyle name="Normal 4 5 3 4 4" xfId="3308" xr:uid="{00000000-0005-0000-0000-0000D3160000}"/>
    <cellStyle name="Normal 4 5 3 4 4 2" xfId="3309" xr:uid="{00000000-0005-0000-0000-0000D4160000}"/>
    <cellStyle name="Normal 4 5 3 4 4 2 2" xfId="3310" xr:uid="{00000000-0005-0000-0000-0000D5160000}"/>
    <cellStyle name="Normal 4 5 3 4 4 2 2 2" xfId="14672" xr:uid="{00000000-0005-0000-0000-0000D6160000}"/>
    <cellStyle name="Normal 4 5 3 4 4 2 3" xfId="3311" xr:uid="{00000000-0005-0000-0000-0000D7160000}"/>
    <cellStyle name="Normal 4 5 3 4 4 2 3 2" xfId="14673" xr:uid="{00000000-0005-0000-0000-0000D8160000}"/>
    <cellStyle name="Normal 4 5 3 4 4 2 4" xfId="14674" xr:uid="{00000000-0005-0000-0000-0000D9160000}"/>
    <cellStyle name="Normal 4 5 3 4 4 3" xfId="3312" xr:uid="{00000000-0005-0000-0000-0000DA160000}"/>
    <cellStyle name="Normal 4 5 3 4 4 3 2" xfId="3313" xr:uid="{00000000-0005-0000-0000-0000DB160000}"/>
    <cellStyle name="Normal 4 5 3 4 4 3 2 2" xfId="14675" xr:uid="{00000000-0005-0000-0000-0000DC160000}"/>
    <cellStyle name="Normal 4 5 3 4 4 3 3" xfId="3314" xr:uid="{00000000-0005-0000-0000-0000DD160000}"/>
    <cellStyle name="Normal 4 5 3 4 4 3 3 2" xfId="14676" xr:uid="{00000000-0005-0000-0000-0000DE160000}"/>
    <cellStyle name="Normal 4 5 3 4 4 3 4" xfId="14677" xr:uid="{00000000-0005-0000-0000-0000DF160000}"/>
    <cellStyle name="Normal 4 5 3 4 4 4" xfId="3315" xr:uid="{00000000-0005-0000-0000-0000E0160000}"/>
    <cellStyle name="Normal 4 5 3 4 4 4 2" xfId="14678" xr:uid="{00000000-0005-0000-0000-0000E1160000}"/>
    <cellStyle name="Normal 4 5 3 4 4 5" xfId="3316" xr:uid="{00000000-0005-0000-0000-0000E2160000}"/>
    <cellStyle name="Normal 4 5 3 4 4 5 2" xfId="14679" xr:uid="{00000000-0005-0000-0000-0000E3160000}"/>
    <cellStyle name="Normal 4 5 3 4 4 6" xfId="14680" xr:uid="{00000000-0005-0000-0000-0000E4160000}"/>
    <cellStyle name="Normal 4 5 3 4 5" xfId="3317" xr:uid="{00000000-0005-0000-0000-0000E5160000}"/>
    <cellStyle name="Normal 4 5 3 4 5 2" xfId="3318" xr:uid="{00000000-0005-0000-0000-0000E6160000}"/>
    <cellStyle name="Normal 4 5 3 4 5 2 2" xfId="3319" xr:uid="{00000000-0005-0000-0000-0000E7160000}"/>
    <cellStyle name="Normal 4 5 3 4 5 2 2 2" xfId="14681" xr:uid="{00000000-0005-0000-0000-0000E8160000}"/>
    <cellStyle name="Normal 4 5 3 4 5 2 3" xfId="3320" xr:uid="{00000000-0005-0000-0000-0000E9160000}"/>
    <cellStyle name="Normal 4 5 3 4 5 2 3 2" xfId="14682" xr:uid="{00000000-0005-0000-0000-0000EA160000}"/>
    <cellStyle name="Normal 4 5 3 4 5 2 4" xfId="14683" xr:uid="{00000000-0005-0000-0000-0000EB160000}"/>
    <cellStyle name="Normal 4 5 3 4 5 3" xfId="3321" xr:uid="{00000000-0005-0000-0000-0000EC160000}"/>
    <cellStyle name="Normal 4 5 3 4 5 3 2" xfId="3322" xr:uid="{00000000-0005-0000-0000-0000ED160000}"/>
    <cellStyle name="Normal 4 5 3 4 5 3 2 2" xfId="14684" xr:uid="{00000000-0005-0000-0000-0000EE160000}"/>
    <cellStyle name="Normal 4 5 3 4 5 3 3" xfId="3323" xr:uid="{00000000-0005-0000-0000-0000EF160000}"/>
    <cellStyle name="Normal 4 5 3 4 5 3 3 2" xfId="14685" xr:uid="{00000000-0005-0000-0000-0000F0160000}"/>
    <cellStyle name="Normal 4 5 3 4 5 3 4" xfId="14686" xr:uid="{00000000-0005-0000-0000-0000F1160000}"/>
    <cellStyle name="Normal 4 5 3 4 5 4" xfId="3324" xr:uid="{00000000-0005-0000-0000-0000F2160000}"/>
    <cellStyle name="Normal 4 5 3 4 5 4 2" xfId="14687" xr:uid="{00000000-0005-0000-0000-0000F3160000}"/>
    <cellStyle name="Normal 4 5 3 4 5 5" xfId="3325" xr:uid="{00000000-0005-0000-0000-0000F4160000}"/>
    <cellStyle name="Normal 4 5 3 4 5 5 2" xfId="14688" xr:uid="{00000000-0005-0000-0000-0000F5160000}"/>
    <cellStyle name="Normal 4 5 3 4 5 6" xfId="14689" xr:uid="{00000000-0005-0000-0000-0000F6160000}"/>
    <cellStyle name="Normal 4 5 3 4 6" xfId="3326" xr:uid="{00000000-0005-0000-0000-0000F7160000}"/>
    <cellStyle name="Normal 4 5 3 4 6 2" xfId="3327" xr:uid="{00000000-0005-0000-0000-0000F8160000}"/>
    <cellStyle name="Normal 4 5 3 4 6 2 2" xfId="14690" xr:uid="{00000000-0005-0000-0000-0000F9160000}"/>
    <cellStyle name="Normal 4 5 3 4 6 3" xfId="3328" xr:uid="{00000000-0005-0000-0000-0000FA160000}"/>
    <cellStyle name="Normal 4 5 3 4 6 3 2" xfId="14691" xr:uid="{00000000-0005-0000-0000-0000FB160000}"/>
    <cellStyle name="Normal 4 5 3 4 6 4" xfId="14692" xr:uid="{00000000-0005-0000-0000-0000FC160000}"/>
    <cellStyle name="Normal 4 5 3 4 7" xfId="3329" xr:uid="{00000000-0005-0000-0000-0000FD160000}"/>
    <cellStyle name="Normal 4 5 3 4 7 2" xfId="3330" xr:uid="{00000000-0005-0000-0000-0000FE160000}"/>
    <cellStyle name="Normal 4 5 3 4 7 2 2" xfId="14693" xr:uid="{00000000-0005-0000-0000-0000FF160000}"/>
    <cellStyle name="Normal 4 5 3 4 7 3" xfId="3331" xr:uid="{00000000-0005-0000-0000-000000170000}"/>
    <cellStyle name="Normal 4 5 3 4 7 3 2" xfId="14694" xr:uid="{00000000-0005-0000-0000-000001170000}"/>
    <cellStyle name="Normal 4 5 3 4 7 4" xfId="14695" xr:uid="{00000000-0005-0000-0000-000002170000}"/>
    <cellStyle name="Normal 4 5 3 4 8" xfId="3332" xr:uid="{00000000-0005-0000-0000-000003170000}"/>
    <cellStyle name="Normal 4 5 3 4 8 2" xfId="14696" xr:uid="{00000000-0005-0000-0000-000004170000}"/>
    <cellStyle name="Normal 4 5 3 4 9" xfId="3333" xr:uid="{00000000-0005-0000-0000-000005170000}"/>
    <cellStyle name="Normal 4 5 3 4 9 2" xfId="14697" xr:uid="{00000000-0005-0000-0000-000006170000}"/>
    <cellStyle name="Normal 4 5 3 5" xfId="3334" xr:uid="{00000000-0005-0000-0000-000007170000}"/>
    <cellStyle name="Normal 4 5 3 5 2" xfId="3335" xr:uid="{00000000-0005-0000-0000-000008170000}"/>
    <cellStyle name="Normal 4 5 3 5 2 2" xfId="3336" xr:uid="{00000000-0005-0000-0000-000009170000}"/>
    <cellStyle name="Normal 4 5 3 5 2 2 2" xfId="3337" xr:uid="{00000000-0005-0000-0000-00000A170000}"/>
    <cellStyle name="Normal 4 5 3 5 2 2 2 2" xfId="14698" xr:uid="{00000000-0005-0000-0000-00000B170000}"/>
    <cellStyle name="Normal 4 5 3 5 2 2 3" xfId="3338" xr:uid="{00000000-0005-0000-0000-00000C170000}"/>
    <cellStyle name="Normal 4 5 3 5 2 2 3 2" xfId="14699" xr:uid="{00000000-0005-0000-0000-00000D170000}"/>
    <cellStyle name="Normal 4 5 3 5 2 2 4" xfId="14700" xr:uid="{00000000-0005-0000-0000-00000E170000}"/>
    <cellStyle name="Normal 4 5 3 5 2 3" xfId="3339" xr:uid="{00000000-0005-0000-0000-00000F170000}"/>
    <cellStyle name="Normal 4 5 3 5 2 3 2" xfId="3340" xr:uid="{00000000-0005-0000-0000-000010170000}"/>
    <cellStyle name="Normal 4 5 3 5 2 3 2 2" xfId="14701" xr:uid="{00000000-0005-0000-0000-000011170000}"/>
    <cellStyle name="Normal 4 5 3 5 2 3 3" xfId="3341" xr:uid="{00000000-0005-0000-0000-000012170000}"/>
    <cellStyle name="Normal 4 5 3 5 2 3 3 2" xfId="14702" xr:uid="{00000000-0005-0000-0000-000013170000}"/>
    <cellStyle name="Normal 4 5 3 5 2 3 4" xfId="14703" xr:uid="{00000000-0005-0000-0000-000014170000}"/>
    <cellStyle name="Normal 4 5 3 5 2 4" xfId="3342" xr:uid="{00000000-0005-0000-0000-000015170000}"/>
    <cellStyle name="Normal 4 5 3 5 2 4 2" xfId="14704" xr:uid="{00000000-0005-0000-0000-000016170000}"/>
    <cellStyle name="Normal 4 5 3 5 2 5" xfId="3343" xr:uid="{00000000-0005-0000-0000-000017170000}"/>
    <cellStyle name="Normal 4 5 3 5 2 5 2" xfId="14705" xr:uid="{00000000-0005-0000-0000-000018170000}"/>
    <cellStyle name="Normal 4 5 3 5 2 6" xfId="14706" xr:uid="{00000000-0005-0000-0000-000019170000}"/>
    <cellStyle name="Normal 4 5 3 5 3" xfId="3344" xr:uid="{00000000-0005-0000-0000-00001A170000}"/>
    <cellStyle name="Normal 4 5 3 5 3 2" xfId="3345" xr:uid="{00000000-0005-0000-0000-00001B170000}"/>
    <cellStyle name="Normal 4 5 3 5 3 2 2" xfId="3346" xr:uid="{00000000-0005-0000-0000-00001C170000}"/>
    <cellStyle name="Normal 4 5 3 5 3 2 2 2" xfId="14707" xr:uid="{00000000-0005-0000-0000-00001D170000}"/>
    <cellStyle name="Normal 4 5 3 5 3 2 3" xfId="3347" xr:uid="{00000000-0005-0000-0000-00001E170000}"/>
    <cellStyle name="Normal 4 5 3 5 3 2 3 2" xfId="14708" xr:uid="{00000000-0005-0000-0000-00001F170000}"/>
    <cellStyle name="Normal 4 5 3 5 3 2 4" xfId="14709" xr:uid="{00000000-0005-0000-0000-000020170000}"/>
    <cellStyle name="Normal 4 5 3 5 3 3" xfId="3348" xr:uid="{00000000-0005-0000-0000-000021170000}"/>
    <cellStyle name="Normal 4 5 3 5 3 3 2" xfId="3349" xr:uid="{00000000-0005-0000-0000-000022170000}"/>
    <cellStyle name="Normal 4 5 3 5 3 3 2 2" xfId="14710" xr:uid="{00000000-0005-0000-0000-000023170000}"/>
    <cellStyle name="Normal 4 5 3 5 3 3 3" xfId="3350" xr:uid="{00000000-0005-0000-0000-000024170000}"/>
    <cellStyle name="Normal 4 5 3 5 3 3 3 2" xfId="14711" xr:uid="{00000000-0005-0000-0000-000025170000}"/>
    <cellStyle name="Normal 4 5 3 5 3 3 4" xfId="14712" xr:uid="{00000000-0005-0000-0000-000026170000}"/>
    <cellStyle name="Normal 4 5 3 5 3 4" xfId="3351" xr:uid="{00000000-0005-0000-0000-000027170000}"/>
    <cellStyle name="Normal 4 5 3 5 3 4 2" xfId="14713" xr:uid="{00000000-0005-0000-0000-000028170000}"/>
    <cellStyle name="Normal 4 5 3 5 3 5" xfId="3352" xr:uid="{00000000-0005-0000-0000-000029170000}"/>
    <cellStyle name="Normal 4 5 3 5 3 5 2" xfId="14714" xr:uid="{00000000-0005-0000-0000-00002A170000}"/>
    <cellStyle name="Normal 4 5 3 5 3 6" xfId="14715" xr:uid="{00000000-0005-0000-0000-00002B170000}"/>
    <cellStyle name="Normal 4 5 3 5 4" xfId="3353" xr:uid="{00000000-0005-0000-0000-00002C170000}"/>
    <cellStyle name="Normal 4 5 3 5 4 2" xfId="3354" xr:uid="{00000000-0005-0000-0000-00002D170000}"/>
    <cellStyle name="Normal 4 5 3 5 4 2 2" xfId="14716" xr:uid="{00000000-0005-0000-0000-00002E170000}"/>
    <cellStyle name="Normal 4 5 3 5 4 3" xfId="3355" xr:uid="{00000000-0005-0000-0000-00002F170000}"/>
    <cellStyle name="Normal 4 5 3 5 4 3 2" xfId="14717" xr:uid="{00000000-0005-0000-0000-000030170000}"/>
    <cellStyle name="Normal 4 5 3 5 4 4" xfId="14718" xr:uid="{00000000-0005-0000-0000-000031170000}"/>
    <cellStyle name="Normal 4 5 3 5 5" xfId="3356" xr:uid="{00000000-0005-0000-0000-000032170000}"/>
    <cellStyle name="Normal 4 5 3 5 5 2" xfId="3357" xr:uid="{00000000-0005-0000-0000-000033170000}"/>
    <cellStyle name="Normal 4 5 3 5 5 2 2" xfId="14719" xr:uid="{00000000-0005-0000-0000-000034170000}"/>
    <cellStyle name="Normal 4 5 3 5 5 3" xfId="3358" xr:uid="{00000000-0005-0000-0000-000035170000}"/>
    <cellStyle name="Normal 4 5 3 5 5 3 2" xfId="14720" xr:uid="{00000000-0005-0000-0000-000036170000}"/>
    <cellStyle name="Normal 4 5 3 5 5 4" xfId="14721" xr:uid="{00000000-0005-0000-0000-000037170000}"/>
    <cellStyle name="Normal 4 5 3 5 6" xfId="3359" xr:uid="{00000000-0005-0000-0000-000038170000}"/>
    <cellStyle name="Normal 4 5 3 5 6 2" xfId="14722" xr:uid="{00000000-0005-0000-0000-000039170000}"/>
    <cellStyle name="Normal 4 5 3 5 7" xfId="3360" xr:uid="{00000000-0005-0000-0000-00003A170000}"/>
    <cellStyle name="Normal 4 5 3 5 7 2" xfId="14723" xr:uid="{00000000-0005-0000-0000-00003B170000}"/>
    <cellStyle name="Normal 4 5 3 5 8" xfId="14724" xr:uid="{00000000-0005-0000-0000-00003C170000}"/>
    <cellStyle name="Normal 4 5 3 6" xfId="3361" xr:uid="{00000000-0005-0000-0000-00003D170000}"/>
    <cellStyle name="Normal 4 5 3 6 2" xfId="3362" xr:uid="{00000000-0005-0000-0000-00003E170000}"/>
    <cellStyle name="Normal 4 5 3 6 2 2" xfId="3363" xr:uid="{00000000-0005-0000-0000-00003F170000}"/>
    <cellStyle name="Normal 4 5 3 6 2 2 2" xfId="3364" xr:uid="{00000000-0005-0000-0000-000040170000}"/>
    <cellStyle name="Normal 4 5 3 6 2 2 2 2" xfId="14725" xr:uid="{00000000-0005-0000-0000-000041170000}"/>
    <cellStyle name="Normal 4 5 3 6 2 2 3" xfId="3365" xr:uid="{00000000-0005-0000-0000-000042170000}"/>
    <cellStyle name="Normal 4 5 3 6 2 2 3 2" xfId="14726" xr:uid="{00000000-0005-0000-0000-000043170000}"/>
    <cellStyle name="Normal 4 5 3 6 2 2 4" xfId="14727" xr:uid="{00000000-0005-0000-0000-000044170000}"/>
    <cellStyle name="Normal 4 5 3 6 2 3" xfId="3366" xr:uid="{00000000-0005-0000-0000-000045170000}"/>
    <cellStyle name="Normal 4 5 3 6 2 3 2" xfId="3367" xr:uid="{00000000-0005-0000-0000-000046170000}"/>
    <cellStyle name="Normal 4 5 3 6 2 3 2 2" xfId="14728" xr:uid="{00000000-0005-0000-0000-000047170000}"/>
    <cellStyle name="Normal 4 5 3 6 2 3 3" xfId="3368" xr:uid="{00000000-0005-0000-0000-000048170000}"/>
    <cellStyle name="Normal 4 5 3 6 2 3 3 2" xfId="14729" xr:uid="{00000000-0005-0000-0000-000049170000}"/>
    <cellStyle name="Normal 4 5 3 6 2 3 4" xfId="14730" xr:uid="{00000000-0005-0000-0000-00004A170000}"/>
    <cellStyle name="Normal 4 5 3 6 2 4" xfId="3369" xr:uid="{00000000-0005-0000-0000-00004B170000}"/>
    <cellStyle name="Normal 4 5 3 6 2 4 2" xfId="14731" xr:uid="{00000000-0005-0000-0000-00004C170000}"/>
    <cellStyle name="Normal 4 5 3 6 2 5" xfId="3370" xr:uid="{00000000-0005-0000-0000-00004D170000}"/>
    <cellStyle name="Normal 4 5 3 6 2 5 2" xfId="14732" xr:uid="{00000000-0005-0000-0000-00004E170000}"/>
    <cellStyle name="Normal 4 5 3 6 2 6" xfId="14733" xr:uid="{00000000-0005-0000-0000-00004F170000}"/>
    <cellStyle name="Normal 4 5 3 6 3" xfId="3371" xr:uid="{00000000-0005-0000-0000-000050170000}"/>
    <cellStyle name="Normal 4 5 3 6 3 2" xfId="3372" xr:uid="{00000000-0005-0000-0000-000051170000}"/>
    <cellStyle name="Normal 4 5 3 6 3 2 2" xfId="14734" xr:uid="{00000000-0005-0000-0000-000052170000}"/>
    <cellStyle name="Normal 4 5 3 6 3 3" xfId="3373" xr:uid="{00000000-0005-0000-0000-000053170000}"/>
    <cellStyle name="Normal 4 5 3 6 3 3 2" xfId="14735" xr:uid="{00000000-0005-0000-0000-000054170000}"/>
    <cellStyle name="Normal 4 5 3 6 3 4" xfId="14736" xr:uid="{00000000-0005-0000-0000-000055170000}"/>
    <cellStyle name="Normal 4 5 3 6 4" xfId="3374" xr:uid="{00000000-0005-0000-0000-000056170000}"/>
    <cellStyle name="Normal 4 5 3 6 4 2" xfId="3375" xr:uid="{00000000-0005-0000-0000-000057170000}"/>
    <cellStyle name="Normal 4 5 3 6 4 2 2" xfId="14737" xr:uid="{00000000-0005-0000-0000-000058170000}"/>
    <cellStyle name="Normal 4 5 3 6 4 3" xfId="3376" xr:uid="{00000000-0005-0000-0000-000059170000}"/>
    <cellStyle name="Normal 4 5 3 6 4 3 2" xfId="14738" xr:uid="{00000000-0005-0000-0000-00005A170000}"/>
    <cellStyle name="Normal 4 5 3 6 4 4" xfId="14739" xr:uid="{00000000-0005-0000-0000-00005B170000}"/>
    <cellStyle name="Normal 4 5 3 6 5" xfId="3377" xr:uid="{00000000-0005-0000-0000-00005C170000}"/>
    <cellStyle name="Normal 4 5 3 6 5 2" xfId="14740" xr:uid="{00000000-0005-0000-0000-00005D170000}"/>
    <cellStyle name="Normal 4 5 3 6 6" xfId="3378" xr:uid="{00000000-0005-0000-0000-00005E170000}"/>
    <cellStyle name="Normal 4 5 3 6 6 2" xfId="14741" xr:uid="{00000000-0005-0000-0000-00005F170000}"/>
    <cellStyle name="Normal 4 5 3 6 7" xfId="14742" xr:uid="{00000000-0005-0000-0000-000060170000}"/>
    <cellStyle name="Normal 4 5 3 7" xfId="3379" xr:uid="{00000000-0005-0000-0000-000061170000}"/>
    <cellStyle name="Normal 4 5 3 7 2" xfId="3380" xr:uid="{00000000-0005-0000-0000-000062170000}"/>
    <cellStyle name="Normal 4 5 3 7 2 2" xfId="3381" xr:uid="{00000000-0005-0000-0000-000063170000}"/>
    <cellStyle name="Normal 4 5 3 7 2 2 2" xfId="14743" xr:uid="{00000000-0005-0000-0000-000064170000}"/>
    <cellStyle name="Normal 4 5 3 7 2 3" xfId="3382" xr:uid="{00000000-0005-0000-0000-000065170000}"/>
    <cellStyle name="Normal 4 5 3 7 2 3 2" xfId="14744" xr:uid="{00000000-0005-0000-0000-000066170000}"/>
    <cellStyle name="Normal 4 5 3 7 2 4" xfId="14745" xr:uid="{00000000-0005-0000-0000-000067170000}"/>
    <cellStyle name="Normal 4 5 3 7 3" xfId="3383" xr:uid="{00000000-0005-0000-0000-000068170000}"/>
    <cellStyle name="Normal 4 5 3 7 3 2" xfId="3384" xr:uid="{00000000-0005-0000-0000-000069170000}"/>
    <cellStyle name="Normal 4 5 3 7 3 2 2" xfId="14746" xr:uid="{00000000-0005-0000-0000-00006A170000}"/>
    <cellStyle name="Normal 4 5 3 7 3 3" xfId="3385" xr:uid="{00000000-0005-0000-0000-00006B170000}"/>
    <cellStyle name="Normal 4 5 3 7 3 3 2" xfId="14747" xr:uid="{00000000-0005-0000-0000-00006C170000}"/>
    <cellStyle name="Normal 4 5 3 7 3 4" xfId="14748" xr:uid="{00000000-0005-0000-0000-00006D170000}"/>
    <cellStyle name="Normal 4 5 3 7 4" xfId="3386" xr:uid="{00000000-0005-0000-0000-00006E170000}"/>
    <cellStyle name="Normal 4 5 3 7 4 2" xfId="14749" xr:uid="{00000000-0005-0000-0000-00006F170000}"/>
    <cellStyle name="Normal 4 5 3 7 5" xfId="3387" xr:uid="{00000000-0005-0000-0000-000070170000}"/>
    <cellStyle name="Normal 4 5 3 7 5 2" xfId="14750" xr:uid="{00000000-0005-0000-0000-000071170000}"/>
    <cellStyle name="Normal 4 5 3 7 6" xfId="14751" xr:uid="{00000000-0005-0000-0000-000072170000}"/>
    <cellStyle name="Normal 4 5 3 8" xfId="3388" xr:uid="{00000000-0005-0000-0000-000073170000}"/>
    <cellStyle name="Normal 4 5 3 8 2" xfId="3389" xr:uid="{00000000-0005-0000-0000-000074170000}"/>
    <cellStyle name="Normal 4 5 3 8 2 2" xfId="3390" xr:uid="{00000000-0005-0000-0000-000075170000}"/>
    <cellStyle name="Normal 4 5 3 8 2 2 2" xfId="14752" xr:uid="{00000000-0005-0000-0000-000076170000}"/>
    <cellStyle name="Normal 4 5 3 8 2 3" xfId="3391" xr:uid="{00000000-0005-0000-0000-000077170000}"/>
    <cellStyle name="Normal 4 5 3 8 2 3 2" xfId="14753" xr:uid="{00000000-0005-0000-0000-000078170000}"/>
    <cellStyle name="Normal 4 5 3 8 2 4" xfId="14754" xr:uid="{00000000-0005-0000-0000-000079170000}"/>
    <cellStyle name="Normal 4 5 3 8 3" xfId="3392" xr:uid="{00000000-0005-0000-0000-00007A170000}"/>
    <cellStyle name="Normal 4 5 3 8 3 2" xfId="3393" xr:uid="{00000000-0005-0000-0000-00007B170000}"/>
    <cellStyle name="Normal 4 5 3 8 3 2 2" xfId="14755" xr:uid="{00000000-0005-0000-0000-00007C170000}"/>
    <cellStyle name="Normal 4 5 3 8 3 3" xfId="3394" xr:uid="{00000000-0005-0000-0000-00007D170000}"/>
    <cellStyle name="Normal 4 5 3 8 3 3 2" xfId="14756" xr:uid="{00000000-0005-0000-0000-00007E170000}"/>
    <cellStyle name="Normal 4 5 3 8 3 4" xfId="14757" xr:uid="{00000000-0005-0000-0000-00007F170000}"/>
    <cellStyle name="Normal 4 5 3 8 4" xfId="3395" xr:uid="{00000000-0005-0000-0000-000080170000}"/>
    <cellStyle name="Normal 4 5 3 8 4 2" xfId="14758" xr:uid="{00000000-0005-0000-0000-000081170000}"/>
    <cellStyle name="Normal 4 5 3 8 5" xfId="3396" xr:uid="{00000000-0005-0000-0000-000082170000}"/>
    <cellStyle name="Normal 4 5 3 8 5 2" xfId="14759" xr:uid="{00000000-0005-0000-0000-000083170000}"/>
    <cellStyle name="Normal 4 5 3 8 6" xfId="14760" xr:uid="{00000000-0005-0000-0000-000084170000}"/>
    <cellStyle name="Normal 4 5 3 9" xfId="3397" xr:uid="{00000000-0005-0000-0000-000085170000}"/>
    <cellStyle name="Normal 4 5 3 9 2" xfId="3398" xr:uid="{00000000-0005-0000-0000-000086170000}"/>
    <cellStyle name="Normal 4 5 3 9 2 2" xfId="14761" xr:uid="{00000000-0005-0000-0000-000087170000}"/>
    <cellStyle name="Normal 4 5 3 9 3" xfId="3399" xr:uid="{00000000-0005-0000-0000-000088170000}"/>
    <cellStyle name="Normal 4 5 3 9 3 2" xfId="14762" xr:uid="{00000000-0005-0000-0000-000089170000}"/>
    <cellStyle name="Normal 4 5 3 9 4" xfId="14763" xr:uid="{00000000-0005-0000-0000-00008A170000}"/>
    <cellStyle name="Normal 4 5 4" xfId="202" xr:uid="{00000000-0005-0000-0000-00008B170000}"/>
    <cellStyle name="Normal 4 5 4 10" xfId="3400" xr:uid="{00000000-0005-0000-0000-00008C170000}"/>
    <cellStyle name="Normal 4 5 4 10 2" xfId="14764" xr:uid="{00000000-0005-0000-0000-00008D170000}"/>
    <cellStyle name="Normal 4 5 4 11" xfId="3401" xr:uid="{00000000-0005-0000-0000-00008E170000}"/>
    <cellStyle name="Normal 4 5 4 11 2" xfId="14765" xr:uid="{00000000-0005-0000-0000-00008F170000}"/>
    <cellStyle name="Normal 4 5 4 12" xfId="14766" xr:uid="{00000000-0005-0000-0000-000090170000}"/>
    <cellStyle name="Normal 4 5 4 2" xfId="3402" xr:uid="{00000000-0005-0000-0000-000091170000}"/>
    <cellStyle name="Normal 4 5 4 2 10" xfId="3403" xr:uid="{00000000-0005-0000-0000-000092170000}"/>
    <cellStyle name="Normal 4 5 4 2 10 2" xfId="14767" xr:uid="{00000000-0005-0000-0000-000093170000}"/>
    <cellStyle name="Normal 4 5 4 2 11" xfId="14768" xr:uid="{00000000-0005-0000-0000-000094170000}"/>
    <cellStyle name="Normal 4 5 4 2 2" xfId="3404" xr:uid="{00000000-0005-0000-0000-000095170000}"/>
    <cellStyle name="Normal 4 5 4 2 2 10" xfId="14769" xr:uid="{00000000-0005-0000-0000-000096170000}"/>
    <cellStyle name="Normal 4 5 4 2 2 2" xfId="3405" xr:uid="{00000000-0005-0000-0000-000097170000}"/>
    <cellStyle name="Normal 4 5 4 2 2 2 2" xfId="3406" xr:uid="{00000000-0005-0000-0000-000098170000}"/>
    <cellStyle name="Normal 4 5 4 2 2 2 2 2" xfId="3407" xr:uid="{00000000-0005-0000-0000-000099170000}"/>
    <cellStyle name="Normal 4 5 4 2 2 2 2 2 2" xfId="3408" xr:uid="{00000000-0005-0000-0000-00009A170000}"/>
    <cellStyle name="Normal 4 5 4 2 2 2 2 2 2 2" xfId="14770" xr:uid="{00000000-0005-0000-0000-00009B170000}"/>
    <cellStyle name="Normal 4 5 4 2 2 2 2 2 3" xfId="3409" xr:uid="{00000000-0005-0000-0000-00009C170000}"/>
    <cellStyle name="Normal 4 5 4 2 2 2 2 2 3 2" xfId="14771" xr:uid="{00000000-0005-0000-0000-00009D170000}"/>
    <cellStyle name="Normal 4 5 4 2 2 2 2 2 4" xfId="14772" xr:uid="{00000000-0005-0000-0000-00009E170000}"/>
    <cellStyle name="Normal 4 5 4 2 2 2 2 3" xfId="3410" xr:uid="{00000000-0005-0000-0000-00009F170000}"/>
    <cellStyle name="Normal 4 5 4 2 2 2 2 3 2" xfId="3411" xr:uid="{00000000-0005-0000-0000-0000A0170000}"/>
    <cellStyle name="Normal 4 5 4 2 2 2 2 3 2 2" xfId="14773" xr:uid="{00000000-0005-0000-0000-0000A1170000}"/>
    <cellStyle name="Normal 4 5 4 2 2 2 2 3 3" xfId="3412" xr:uid="{00000000-0005-0000-0000-0000A2170000}"/>
    <cellStyle name="Normal 4 5 4 2 2 2 2 3 3 2" xfId="14774" xr:uid="{00000000-0005-0000-0000-0000A3170000}"/>
    <cellStyle name="Normal 4 5 4 2 2 2 2 3 4" xfId="14775" xr:uid="{00000000-0005-0000-0000-0000A4170000}"/>
    <cellStyle name="Normal 4 5 4 2 2 2 2 4" xfId="3413" xr:uid="{00000000-0005-0000-0000-0000A5170000}"/>
    <cellStyle name="Normal 4 5 4 2 2 2 2 4 2" xfId="14776" xr:uid="{00000000-0005-0000-0000-0000A6170000}"/>
    <cellStyle name="Normal 4 5 4 2 2 2 2 5" xfId="3414" xr:uid="{00000000-0005-0000-0000-0000A7170000}"/>
    <cellStyle name="Normal 4 5 4 2 2 2 2 5 2" xfId="14777" xr:uid="{00000000-0005-0000-0000-0000A8170000}"/>
    <cellStyle name="Normal 4 5 4 2 2 2 2 6" xfId="14778" xr:uid="{00000000-0005-0000-0000-0000A9170000}"/>
    <cellStyle name="Normal 4 5 4 2 2 2 3" xfId="3415" xr:uid="{00000000-0005-0000-0000-0000AA170000}"/>
    <cellStyle name="Normal 4 5 4 2 2 2 3 2" xfId="3416" xr:uid="{00000000-0005-0000-0000-0000AB170000}"/>
    <cellStyle name="Normal 4 5 4 2 2 2 3 2 2" xfId="3417" xr:uid="{00000000-0005-0000-0000-0000AC170000}"/>
    <cellStyle name="Normal 4 5 4 2 2 2 3 2 2 2" xfId="14779" xr:uid="{00000000-0005-0000-0000-0000AD170000}"/>
    <cellStyle name="Normal 4 5 4 2 2 2 3 2 3" xfId="3418" xr:uid="{00000000-0005-0000-0000-0000AE170000}"/>
    <cellStyle name="Normal 4 5 4 2 2 2 3 2 3 2" xfId="14780" xr:uid="{00000000-0005-0000-0000-0000AF170000}"/>
    <cellStyle name="Normal 4 5 4 2 2 2 3 2 4" xfId="14781" xr:uid="{00000000-0005-0000-0000-0000B0170000}"/>
    <cellStyle name="Normal 4 5 4 2 2 2 3 3" xfId="3419" xr:uid="{00000000-0005-0000-0000-0000B1170000}"/>
    <cellStyle name="Normal 4 5 4 2 2 2 3 3 2" xfId="3420" xr:uid="{00000000-0005-0000-0000-0000B2170000}"/>
    <cellStyle name="Normal 4 5 4 2 2 2 3 3 2 2" xfId="14782" xr:uid="{00000000-0005-0000-0000-0000B3170000}"/>
    <cellStyle name="Normal 4 5 4 2 2 2 3 3 3" xfId="3421" xr:uid="{00000000-0005-0000-0000-0000B4170000}"/>
    <cellStyle name="Normal 4 5 4 2 2 2 3 3 3 2" xfId="14783" xr:uid="{00000000-0005-0000-0000-0000B5170000}"/>
    <cellStyle name="Normal 4 5 4 2 2 2 3 3 4" xfId="14784" xr:uid="{00000000-0005-0000-0000-0000B6170000}"/>
    <cellStyle name="Normal 4 5 4 2 2 2 3 4" xfId="3422" xr:uid="{00000000-0005-0000-0000-0000B7170000}"/>
    <cellStyle name="Normal 4 5 4 2 2 2 3 4 2" xfId="14785" xr:uid="{00000000-0005-0000-0000-0000B8170000}"/>
    <cellStyle name="Normal 4 5 4 2 2 2 3 5" xfId="3423" xr:uid="{00000000-0005-0000-0000-0000B9170000}"/>
    <cellStyle name="Normal 4 5 4 2 2 2 3 5 2" xfId="14786" xr:uid="{00000000-0005-0000-0000-0000BA170000}"/>
    <cellStyle name="Normal 4 5 4 2 2 2 3 6" xfId="14787" xr:uid="{00000000-0005-0000-0000-0000BB170000}"/>
    <cellStyle name="Normal 4 5 4 2 2 2 4" xfId="3424" xr:uid="{00000000-0005-0000-0000-0000BC170000}"/>
    <cellStyle name="Normal 4 5 4 2 2 2 4 2" xfId="3425" xr:uid="{00000000-0005-0000-0000-0000BD170000}"/>
    <cellStyle name="Normal 4 5 4 2 2 2 4 2 2" xfId="14788" xr:uid="{00000000-0005-0000-0000-0000BE170000}"/>
    <cellStyle name="Normal 4 5 4 2 2 2 4 3" xfId="3426" xr:uid="{00000000-0005-0000-0000-0000BF170000}"/>
    <cellStyle name="Normal 4 5 4 2 2 2 4 3 2" xfId="14789" xr:uid="{00000000-0005-0000-0000-0000C0170000}"/>
    <cellStyle name="Normal 4 5 4 2 2 2 4 4" xfId="14790" xr:uid="{00000000-0005-0000-0000-0000C1170000}"/>
    <cellStyle name="Normal 4 5 4 2 2 2 5" xfId="3427" xr:uid="{00000000-0005-0000-0000-0000C2170000}"/>
    <cellStyle name="Normal 4 5 4 2 2 2 5 2" xfId="3428" xr:uid="{00000000-0005-0000-0000-0000C3170000}"/>
    <cellStyle name="Normal 4 5 4 2 2 2 5 2 2" xfId="14791" xr:uid="{00000000-0005-0000-0000-0000C4170000}"/>
    <cellStyle name="Normal 4 5 4 2 2 2 5 3" xfId="3429" xr:uid="{00000000-0005-0000-0000-0000C5170000}"/>
    <cellStyle name="Normal 4 5 4 2 2 2 5 3 2" xfId="14792" xr:uid="{00000000-0005-0000-0000-0000C6170000}"/>
    <cellStyle name="Normal 4 5 4 2 2 2 5 4" xfId="14793" xr:uid="{00000000-0005-0000-0000-0000C7170000}"/>
    <cellStyle name="Normal 4 5 4 2 2 2 6" xfId="3430" xr:uid="{00000000-0005-0000-0000-0000C8170000}"/>
    <cellStyle name="Normal 4 5 4 2 2 2 6 2" xfId="14794" xr:uid="{00000000-0005-0000-0000-0000C9170000}"/>
    <cellStyle name="Normal 4 5 4 2 2 2 7" xfId="3431" xr:uid="{00000000-0005-0000-0000-0000CA170000}"/>
    <cellStyle name="Normal 4 5 4 2 2 2 7 2" xfId="14795" xr:uid="{00000000-0005-0000-0000-0000CB170000}"/>
    <cellStyle name="Normal 4 5 4 2 2 2 8" xfId="14796" xr:uid="{00000000-0005-0000-0000-0000CC170000}"/>
    <cellStyle name="Normal 4 5 4 2 2 3" xfId="3432" xr:uid="{00000000-0005-0000-0000-0000CD170000}"/>
    <cellStyle name="Normal 4 5 4 2 2 3 2" xfId="3433" xr:uid="{00000000-0005-0000-0000-0000CE170000}"/>
    <cellStyle name="Normal 4 5 4 2 2 3 2 2" xfId="3434" xr:uid="{00000000-0005-0000-0000-0000CF170000}"/>
    <cellStyle name="Normal 4 5 4 2 2 3 2 2 2" xfId="3435" xr:uid="{00000000-0005-0000-0000-0000D0170000}"/>
    <cellStyle name="Normal 4 5 4 2 2 3 2 2 2 2" xfId="14797" xr:uid="{00000000-0005-0000-0000-0000D1170000}"/>
    <cellStyle name="Normal 4 5 4 2 2 3 2 2 3" xfId="3436" xr:uid="{00000000-0005-0000-0000-0000D2170000}"/>
    <cellStyle name="Normal 4 5 4 2 2 3 2 2 3 2" xfId="14798" xr:uid="{00000000-0005-0000-0000-0000D3170000}"/>
    <cellStyle name="Normal 4 5 4 2 2 3 2 2 4" xfId="14799" xr:uid="{00000000-0005-0000-0000-0000D4170000}"/>
    <cellStyle name="Normal 4 5 4 2 2 3 2 3" xfId="3437" xr:uid="{00000000-0005-0000-0000-0000D5170000}"/>
    <cellStyle name="Normal 4 5 4 2 2 3 2 3 2" xfId="3438" xr:uid="{00000000-0005-0000-0000-0000D6170000}"/>
    <cellStyle name="Normal 4 5 4 2 2 3 2 3 2 2" xfId="14800" xr:uid="{00000000-0005-0000-0000-0000D7170000}"/>
    <cellStyle name="Normal 4 5 4 2 2 3 2 3 3" xfId="3439" xr:uid="{00000000-0005-0000-0000-0000D8170000}"/>
    <cellStyle name="Normal 4 5 4 2 2 3 2 3 3 2" xfId="14801" xr:uid="{00000000-0005-0000-0000-0000D9170000}"/>
    <cellStyle name="Normal 4 5 4 2 2 3 2 3 4" xfId="14802" xr:uid="{00000000-0005-0000-0000-0000DA170000}"/>
    <cellStyle name="Normal 4 5 4 2 2 3 2 4" xfId="3440" xr:uid="{00000000-0005-0000-0000-0000DB170000}"/>
    <cellStyle name="Normal 4 5 4 2 2 3 2 4 2" xfId="14803" xr:uid="{00000000-0005-0000-0000-0000DC170000}"/>
    <cellStyle name="Normal 4 5 4 2 2 3 2 5" xfId="3441" xr:uid="{00000000-0005-0000-0000-0000DD170000}"/>
    <cellStyle name="Normal 4 5 4 2 2 3 2 5 2" xfId="14804" xr:uid="{00000000-0005-0000-0000-0000DE170000}"/>
    <cellStyle name="Normal 4 5 4 2 2 3 2 6" xfId="14805" xr:uid="{00000000-0005-0000-0000-0000DF170000}"/>
    <cellStyle name="Normal 4 5 4 2 2 3 3" xfId="3442" xr:uid="{00000000-0005-0000-0000-0000E0170000}"/>
    <cellStyle name="Normal 4 5 4 2 2 3 3 2" xfId="3443" xr:uid="{00000000-0005-0000-0000-0000E1170000}"/>
    <cellStyle name="Normal 4 5 4 2 2 3 3 2 2" xfId="14806" xr:uid="{00000000-0005-0000-0000-0000E2170000}"/>
    <cellStyle name="Normal 4 5 4 2 2 3 3 3" xfId="3444" xr:uid="{00000000-0005-0000-0000-0000E3170000}"/>
    <cellStyle name="Normal 4 5 4 2 2 3 3 3 2" xfId="14807" xr:uid="{00000000-0005-0000-0000-0000E4170000}"/>
    <cellStyle name="Normal 4 5 4 2 2 3 3 4" xfId="14808" xr:uid="{00000000-0005-0000-0000-0000E5170000}"/>
    <cellStyle name="Normal 4 5 4 2 2 3 4" xfId="3445" xr:uid="{00000000-0005-0000-0000-0000E6170000}"/>
    <cellStyle name="Normal 4 5 4 2 2 3 4 2" xfId="3446" xr:uid="{00000000-0005-0000-0000-0000E7170000}"/>
    <cellStyle name="Normal 4 5 4 2 2 3 4 2 2" xfId="14809" xr:uid="{00000000-0005-0000-0000-0000E8170000}"/>
    <cellStyle name="Normal 4 5 4 2 2 3 4 3" xfId="3447" xr:uid="{00000000-0005-0000-0000-0000E9170000}"/>
    <cellStyle name="Normal 4 5 4 2 2 3 4 3 2" xfId="14810" xr:uid="{00000000-0005-0000-0000-0000EA170000}"/>
    <cellStyle name="Normal 4 5 4 2 2 3 4 4" xfId="14811" xr:uid="{00000000-0005-0000-0000-0000EB170000}"/>
    <cellStyle name="Normal 4 5 4 2 2 3 5" xfId="3448" xr:uid="{00000000-0005-0000-0000-0000EC170000}"/>
    <cellStyle name="Normal 4 5 4 2 2 3 5 2" xfId="14812" xr:uid="{00000000-0005-0000-0000-0000ED170000}"/>
    <cellStyle name="Normal 4 5 4 2 2 3 6" xfId="3449" xr:uid="{00000000-0005-0000-0000-0000EE170000}"/>
    <cellStyle name="Normal 4 5 4 2 2 3 6 2" xfId="14813" xr:uid="{00000000-0005-0000-0000-0000EF170000}"/>
    <cellStyle name="Normal 4 5 4 2 2 3 7" xfId="14814" xr:uid="{00000000-0005-0000-0000-0000F0170000}"/>
    <cellStyle name="Normal 4 5 4 2 2 4" xfId="3450" xr:uid="{00000000-0005-0000-0000-0000F1170000}"/>
    <cellStyle name="Normal 4 5 4 2 2 4 2" xfId="3451" xr:uid="{00000000-0005-0000-0000-0000F2170000}"/>
    <cellStyle name="Normal 4 5 4 2 2 4 2 2" xfId="3452" xr:uid="{00000000-0005-0000-0000-0000F3170000}"/>
    <cellStyle name="Normal 4 5 4 2 2 4 2 2 2" xfId="14815" xr:uid="{00000000-0005-0000-0000-0000F4170000}"/>
    <cellStyle name="Normal 4 5 4 2 2 4 2 3" xfId="3453" xr:uid="{00000000-0005-0000-0000-0000F5170000}"/>
    <cellStyle name="Normal 4 5 4 2 2 4 2 3 2" xfId="14816" xr:uid="{00000000-0005-0000-0000-0000F6170000}"/>
    <cellStyle name="Normal 4 5 4 2 2 4 2 4" xfId="14817" xr:uid="{00000000-0005-0000-0000-0000F7170000}"/>
    <cellStyle name="Normal 4 5 4 2 2 4 3" xfId="3454" xr:uid="{00000000-0005-0000-0000-0000F8170000}"/>
    <cellStyle name="Normal 4 5 4 2 2 4 3 2" xfId="3455" xr:uid="{00000000-0005-0000-0000-0000F9170000}"/>
    <cellStyle name="Normal 4 5 4 2 2 4 3 2 2" xfId="14818" xr:uid="{00000000-0005-0000-0000-0000FA170000}"/>
    <cellStyle name="Normal 4 5 4 2 2 4 3 3" xfId="3456" xr:uid="{00000000-0005-0000-0000-0000FB170000}"/>
    <cellStyle name="Normal 4 5 4 2 2 4 3 3 2" xfId="14819" xr:uid="{00000000-0005-0000-0000-0000FC170000}"/>
    <cellStyle name="Normal 4 5 4 2 2 4 3 4" xfId="14820" xr:uid="{00000000-0005-0000-0000-0000FD170000}"/>
    <cellStyle name="Normal 4 5 4 2 2 4 4" xfId="3457" xr:uid="{00000000-0005-0000-0000-0000FE170000}"/>
    <cellStyle name="Normal 4 5 4 2 2 4 4 2" xfId="14821" xr:uid="{00000000-0005-0000-0000-0000FF170000}"/>
    <cellStyle name="Normal 4 5 4 2 2 4 5" xfId="3458" xr:uid="{00000000-0005-0000-0000-000000180000}"/>
    <cellStyle name="Normal 4 5 4 2 2 4 5 2" xfId="14822" xr:uid="{00000000-0005-0000-0000-000001180000}"/>
    <cellStyle name="Normal 4 5 4 2 2 4 6" xfId="14823" xr:uid="{00000000-0005-0000-0000-000002180000}"/>
    <cellStyle name="Normal 4 5 4 2 2 5" xfId="3459" xr:uid="{00000000-0005-0000-0000-000003180000}"/>
    <cellStyle name="Normal 4 5 4 2 2 5 2" xfId="3460" xr:uid="{00000000-0005-0000-0000-000004180000}"/>
    <cellStyle name="Normal 4 5 4 2 2 5 2 2" xfId="3461" xr:uid="{00000000-0005-0000-0000-000005180000}"/>
    <cellStyle name="Normal 4 5 4 2 2 5 2 2 2" xfId="14824" xr:uid="{00000000-0005-0000-0000-000006180000}"/>
    <cellStyle name="Normal 4 5 4 2 2 5 2 3" xfId="3462" xr:uid="{00000000-0005-0000-0000-000007180000}"/>
    <cellStyle name="Normal 4 5 4 2 2 5 2 3 2" xfId="14825" xr:uid="{00000000-0005-0000-0000-000008180000}"/>
    <cellStyle name="Normal 4 5 4 2 2 5 2 4" xfId="14826" xr:uid="{00000000-0005-0000-0000-000009180000}"/>
    <cellStyle name="Normal 4 5 4 2 2 5 3" xfId="3463" xr:uid="{00000000-0005-0000-0000-00000A180000}"/>
    <cellStyle name="Normal 4 5 4 2 2 5 3 2" xfId="3464" xr:uid="{00000000-0005-0000-0000-00000B180000}"/>
    <cellStyle name="Normal 4 5 4 2 2 5 3 2 2" xfId="14827" xr:uid="{00000000-0005-0000-0000-00000C180000}"/>
    <cellStyle name="Normal 4 5 4 2 2 5 3 3" xfId="3465" xr:uid="{00000000-0005-0000-0000-00000D180000}"/>
    <cellStyle name="Normal 4 5 4 2 2 5 3 3 2" xfId="14828" xr:uid="{00000000-0005-0000-0000-00000E180000}"/>
    <cellStyle name="Normal 4 5 4 2 2 5 3 4" xfId="14829" xr:uid="{00000000-0005-0000-0000-00000F180000}"/>
    <cellStyle name="Normal 4 5 4 2 2 5 4" xfId="3466" xr:uid="{00000000-0005-0000-0000-000010180000}"/>
    <cellStyle name="Normal 4 5 4 2 2 5 4 2" xfId="14830" xr:uid="{00000000-0005-0000-0000-000011180000}"/>
    <cellStyle name="Normal 4 5 4 2 2 5 5" xfId="3467" xr:uid="{00000000-0005-0000-0000-000012180000}"/>
    <cellStyle name="Normal 4 5 4 2 2 5 5 2" xfId="14831" xr:uid="{00000000-0005-0000-0000-000013180000}"/>
    <cellStyle name="Normal 4 5 4 2 2 5 6" xfId="14832" xr:uid="{00000000-0005-0000-0000-000014180000}"/>
    <cellStyle name="Normal 4 5 4 2 2 6" xfId="3468" xr:uid="{00000000-0005-0000-0000-000015180000}"/>
    <cellStyle name="Normal 4 5 4 2 2 6 2" xfId="3469" xr:uid="{00000000-0005-0000-0000-000016180000}"/>
    <cellStyle name="Normal 4 5 4 2 2 6 2 2" xfId="14833" xr:uid="{00000000-0005-0000-0000-000017180000}"/>
    <cellStyle name="Normal 4 5 4 2 2 6 3" xfId="3470" xr:uid="{00000000-0005-0000-0000-000018180000}"/>
    <cellStyle name="Normal 4 5 4 2 2 6 3 2" xfId="14834" xr:uid="{00000000-0005-0000-0000-000019180000}"/>
    <cellStyle name="Normal 4 5 4 2 2 6 4" xfId="14835" xr:uid="{00000000-0005-0000-0000-00001A180000}"/>
    <cellStyle name="Normal 4 5 4 2 2 7" xfId="3471" xr:uid="{00000000-0005-0000-0000-00001B180000}"/>
    <cellStyle name="Normal 4 5 4 2 2 7 2" xfId="3472" xr:uid="{00000000-0005-0000-0000-00001C180000}"/>
    <cellStyle name="Normal 4 5 4 2 2 7 2 2" xfId="14836" xr:uid="{00000000-0005-0000-0000-00001D180000}"/>
    <cellStyle name="Normal 4 5 4 2 2 7 3" xfId="3473" xr:uid="{00000000-0005-0000-0000-00001E180000}"/>
    <cellStyle name="Normal 4 5 4 2 2 7 3 2" xfId="14837" xr:uid="{00000000-0005-0000-0000-00001F180000}"/>
    <cellStyle name="Normal 4 5 4 2 2 7 4" xfId="14838" xr:uid="{00000000-0005-0000-0000-000020180000}"/>
    <cellStyle name="Normal 4 5 4 2 2 8" xfId="3474" xr:uid="{00000000-0005-0000-0000-000021180000}"/>
    <cellStyle name="Normal 4 5 4 2 2 8 2" xfId="14839" xr:uid="{00000000-0005-0000-0000-000022180000}"/>
    <cellStyle name="Normal 4 5 4 2 2 9" xfId="3475" xr:uid="{00000000-0005-0000-0000-000023180000}"/>
    <cellStyle name="Normal 4 5 4 2 2 9 2" xfId="14840" xr:uid="{00000000-0005-0000-0000-000024180000}"/>
    <cellStyle name="Normal 4 5 4 2 3" xfId="3476" xr:uid="{00000000-0005-0000-0000-000025180000}"/>
    <cellStyle name="Normal 4 5 4 2 3 2" xfId="3477" xr:uid="{00000000-0005-0000-0000-000026180000}"/>
    <cellStyle name="Normal 4 5 4 2 3 2 2" xfId="3478" xr:uid="{00000000-0005-0000-0000-000027180000}"/>
    <cellStyle name="Normal 4 5 4 2 3 2 2 2" xfId="3479" xr:uid="{00000000-0005-0000-0000-000028180000}"/>
    <cellStyle name="Normal 4 5 4 2 3 2 2 2 2" xfId="14841" xr:uid="{00000000-0005-0000-0000-000029180000}"/>
    <cellStyle name="Normal 4 5 4 2 3 2 2 3" xfId="3480" xr:uid="{00000000-0005-0000-0000-00002A180000}"/>
    <cellStyle name="Normal 4 5 4 2 3 2 2 3 2" xfId="14842" xr:uid="{00000000-0005-0000-0000-00002B180000}"/>
    <cellStyle name="Normal 4 5 4 2 3 2 2 4" xfId="14843" xr:uid="{00000000-0005-0000-0000-00002C180000}"/>
    <cellStyle name="Normal 4 5 4 2 3 2 3" xfId="3481" xr:uid="{00000000-0005-0000-0000-00002D180000}"/>
    <cellStyle name="Normal 4 5 4 2 3 2 3 2" xfId="3482" xr:uid="{00000000-0005-0000-0000-00002E180000}"/>
    <cellStyle name="Normal 4 5 4 2 3 2 3 2 2" xfId="14844" xr:uid="{00000000-0005-0000-0000-00002F180000}"/>
    <cellStyle name="Normal 4 5 4 2 3 2 3 3" xfId="3483" xr:uid="{00000000-0005-0000-0000-000030180000}"/>
    <cellStyle name="Normal 4 5 4 2 3 2 3 3 2" xfId="14845" xr:uid="{00000000-0005-0000-0000-000031180000}"/>
    <cellStyle name="Normal 4 5 4 2 3 2 3 4" xfId="14846" xr:uid="{00000000-0005-0000-0000-000032180000}"/>
    <cellStyle name="Normal 4 5 4 2 3 2 4" xfId="3484" xr:uid="{00000000-0005-0000-0000-000033180000}"/>
    <cellStyle name="Normal 4 5 4 2 3 2 4 2" xfId="14847" xr:uid="{00000000-0005-0000-0000-000034180000}"/>
    <cellStyle name="Normal 4 5 4 2 3 2 5" xfId="3485" xr:uid="{00000000-0005-0000-0000-000035180000}"/>
    <cellStyle name="Normal 4 5 4 2 3 2 5 2" xfId="14848" xr:uid="{00000000-0005-0000-0000-000036180000}"/>
    <cellStyle name="Normal 4 5 4 2 3 2 6" xfId="14849" xr:uid="{00000000-0005-0000-0000-000037180000}"/>
    <cellStyle name="Normal 4 5 4 2 3 3" xfId="3486" xr:uid="{00000000-0005-0000-0000-000038180000}"/>
    <cellStyle name="Normal 4 5 4 2 3 3 2" xfId="3487" xr:uid="{00000000-0005-0000-0000-000039180000}"/>
    <cellStyle name="Normal 4 5 4 2 3 3 2 2" xfId="3488" xr:uid="{00000000-0005-0000-0000-00003A180000}"/>
    <cellStyle name="Normal 4 5 4 2 3 3 2 2 2" xfId="14850" xr:uid="{00000000-0005-0000-0000-00003B180000}"/>
    <cellStyle name="Normal 4 5 4 2 3 3 2 3" xfId="3489" xr:uid="{00000000-0005-0000-0000-00003C180000}"/>
    <cellStyle name="Normal 4 5 4 2 3 3 2 3 2" xfId="14851" xr:uid="{00000000-0005-0000-0000-00003D180000}"/>
    <cellStyle name="Normal 4 5 4 2 3 3 2 4" xfId="14852" xr:uid="{00000000-0005-0000-0000-00003E180000}"/>
    <cellStyle name="Normal 4 5 4 2 3 3 3" xfId="3490" xr:uid="{00000000-0005-0000-0000-00003F180000}"/>
    <cellStyle name="Normal 4 5 4 2 3 3 3 2" xfId="3491" xr:uid="{00000000-0005-0000-0000-000040180000}"/>
    <cellStyle name="Normal 4 5 4 2 3 3 3 2 2" xfId="14853" xr:uid="{00000000-0005-0000-0000-000041180000}"/>
    <cellStyle name="Normal 4 5 4 2 3 3 3 3" xfId="3492" xr:uid="{00000000-0005-0000-0000-000042180000}"/>
    <cellStyle name="Normal 4 5 4 2 3 3 3 3 2" xfId="14854" xr:uid="{00000000-0005-0000-0000-000043180000}"/>
    <cellStyle name="Normal 4 5 4 2 3 3 3 4" xfId="14855" xr:uid="{00000000-0005-0000-0000-000044180000}"/>
    <cellStyle name="Normal 4 5 4 2 3 3 4" xfId="3493" xr:uid="{00000000-0005-0000-0000-000045180000}"/>
    <cellStyle name="Normal 4 5 4 2 3 3 4 2" xfId="14856" xr:uid="{00000000-0005-0000-0000-000046180000}"/>
    <cellStyle name="Normal 4 5 4 2 3 3 5" xfId="3494" xr:uid="{00000000-0005-0000-0000-000047180000}"/>
    <cellStyle name="Normal 4 5 4 2 3 3 5 2" xfId="14857" xr:uid="{00000000-0005-0000-0000-000048180000}"/>
    <cellStyle name="Normal 4 5 4 2 3 3 6" xfId="14858" xr:uid="{00000000-0005-0000-0000-000049180000}"/>
    <cellStyle name="Normal 4 5 4 2 3 4" xfId="3495" xr:uid="{00000000-0005-0000-0000-00004A180000}"/>
    <cellStyle name="Normal 4 5 4 2 3 4 2" xfId="3496" xr:uid="{00000000-0005-0000-0000-00004B180000}"/>
    <cellStyle name="Normal 4 5 4 2 3 4 2 2" xfId="14859" xr:uid="{00000000-0005-0000-0000-00004C180000}"/>
    <cellStyle name="Normal 4 5 4 2 3 4 3" xfId="3497" xr:uid="{00000000-0005-0000-0000-00004D180000}"/>
    <cellStyle name="Normal 4 5 4 2 3 4 3 2" xfId="14860" xr:uid="{00000000-0005-0000-0000-00004E180000}"/>
    <cellStyle name="Normal 4 5 4 2 3 4 4" xfId="14861" xr:uid="{00000000-0005-0000-0000-00004F180000}"/>
    <cellStyle name="Normal 4 5 4 2 3 5" xfId="3498" xr:uid="{00000000-0005-0000-0000-000050180000}"/>
    <cellStyle name="Normal 4 5 4 2 3 5 2" xfId="3499" xr:uid="{00000000-0005-0000-0000-000051180000}"/>
    <cellStyle name="Normal 4 5 4 2 3 5 2 2" xfId="14862" xr:uid="{00000000-0005-0000-0000-000052180000}"/>
    <cellStyle name="Normal 4 5 4 2 3 5 3" xfId="3500" xr:uid="{00000000-0005-0000-0000-000053180000}"/>
    <cellStyle name="Normal 4 5 4 2 3 5 3 2" xfId="14863" xr:uid="{00000000-0005-0000-0000-000054180000}"/>
    <cellStyle name="Normal 4 5 4 2 3 5 4" xfId="14864" xr:uid="{00000000-0005-0000-0000-000055180000}"/>
    <cellStyle name="Normal 4 5 4 2 3 6" xfId="3501" xr:uid="{00000000-0005-0000-0000-000056180000}"/>
    <cellStyle name="Normal 4 5 4 2 3 6 2" xfId="14865" xr:uid="{00000000-0005-0000-0000-000057180000}"/>
    <cellStyle name="Normal 4 5 4 2 3 7" xfId="3502" xr:uid="{00000000-0005-0000-0000-000058180000}"/>
    <cellStyle name="Normal 4 5 4 2 3 7 2" xfId="14866" xr:uid="{00000000-0005-0000-0000-000059180000}"/>
    <cellStyle name="Normal 4 5 4 2 3 8" xfId="14867" xr:uid="{00000000-0005-0000-0000-00005A180000}"/>
    <cellStyle name="Normal 4 5 4 2 4" xfId="3503" xr:uid="{00000000-0005-0000-0000-00005B180000}"/>
    <cellStyle name="Normal 4 5 4 2 4 2" xfId="3504" xr:uid="{00000000-0005-0000-0000-00005C180000}"/>
    <cellStyle name="Normal 4 5 4 2 4 2 2" xfId="3505" xr:uid="{00000000-0005-0000-0000-00005D180000}"/>
    <cellStyle name="Normal 4 5 4 2 4 2 2 2" xfId="3506" xr:uid="{00000000-0005-0000-0000-00005E180000}"/>
    <cellStyle name="Normal 4 5 4 2 4 2 2 2 2" xfId="14868" xr:uid="{00000000-0005-0000-0000-00005F180000}"/>
    <cellStyle name="Normal 4 5 4 2 4 2 2 3" xfId="3507" xr:uid="{00000000-0005-0000-0000-000060180000}"/>
    <cellStyle name="Normal 4 5 4 2 4 2 2 3 2" xfId="14869" xr:uid="{00000000-0005-0000-0000-000061180000}"/>
    <cellStyle name="Normal 4 5 4 2 4 2 2 4" xfId="14870" xr:uid="{00000000-0005-0000-0000-000062180000}"/>
    <cellStyle name="Normal 4 5 4 2 4 2 3" xfId="3508" xr:uid="{00000000-0005-0000-0000-000063180000}"/>
    <cellStyle name="Normal 4 5 4 2 4 2 3 2" xfId="3509" xr:uid="{00000000-0005-0000-0000-000064180000}"/>
    <cellStyle name="Normal 4 5 4 2 4 2 3 2 2" xfId="14871" xr:uid="{00000000-0005-0000-0000-000065180000}"/>
    <cellStyle name="Normal 4 5 4 2 4 2 3 3" xfId="3510" xr:uid="{00000000-0005-0000-0000-000066180000}"/>
    <cellStyle name="Normal 4 5 4 2 4 2 3 3 2" xfId="14872" xr:uid="{00000000-0005-0000-0000-000067180000}"/>
    <cellStyle name="Normal 4 5 4 2 4 2 3 4" xfId="14873" xr:uid="{00000000-0005-0000-0000-000068180000}"/>
    <cellStyle name="Normal 4 5 4 2 4 2 4" xfId="3511" xr:uid="{00000000-0005-0000-0000-000069180000}"/>
    <cellStyle name="Normal 4 5 4 2 4 2 4 2" xfId="14874" xr:uid="{00000000-0005-0000-0000-00006A180000}"/>
    <cellStyle name="Normal 4 5 4 2 4 2 5" xfId="3512" xr:uid="{00000000-0005-0000-0000-00006B180000}"/>
    <cellStyle name="Normal 4 5 4 2 4 2 5 2" xfId="14875" xr:uid="{00000000-0005-0000-0000-00006C180000}"/>
    <cellStyle name="Normal 4 5 4 2 4 2 6" xfId="14876" xr:uid="{00000000-0005-0000-0000-00006D180000}"/>
    <cellStyle name="Normal 4 5 4 2 4 3" xfId="3513" xr:uid="{00000000-0005-0000-0000-00006E180000}"/>
    <cellStyle name="Normal 4 5 4 2 4 3 2" xfId="3514" xr:uid="{00000000-0005-0000-0000-00006F180000}"/>
    <cellStyle name="Normal 4 5 4 2 4 3 2 2" xfId="14877" xr:uid="{00000000-0005-0000-0000-000070180000}"/>
    <cellStyle name="Normal 4 5 4 2 4 3 3" xfId="3515" xr:uid="{00000000-0005-0000-0000-000071180000}"/>
    <cellStyle name="Normal 4 5 4 2 4 3 3 2" xfId="14878" xr:uid="{00000000-0005-0000-0000-000072180000}"/>
    <cellStyle name="Normal 4 5 4 2 4 3 4" xfId="14879" xr:uid="{00000000-0005-0000-0000-000073180000}"/>
    <cellStyle name="Normal 4 5 4 2 4 4" xfId="3516" xr:uid="{00000000-0005-0000-0000-000074180000}"/>
    <cellStyle name="Normal 4 5 4 2 4 4 2" xfId="3517" xr:uid="{00000000-0005-0000-0000-000075180000}"/>
    <cellStyle name="Normal 4 5 4 2 4 4 2 2" xfId="14880" xr:uid="{00000000-0005-0000-0000-000076180000}"/>
    <cellStyle name="Normal 4 5 4 2 4 4 3" xfId="3518" xr:uid="{00000000-0005-0000-0000-000077180000}"/>
    <cellStyle name="Normal 4 5 4 2 4 4 3 2" xfId="14881" xr:uid="{00000000-0005-0000-0000-000078180000}"/>
    <cellStyle name="Normal 4 5 4 2 4 4 4" xfId="14882" xr:uid="{00000000-0005-0000-0000-000079180000}"/>
    <cellStyle name="Normal 4 5 4 2 4 5" xfId="3519" xr:uid="{00000000-0005-0000-0000-00007A180000}"/>
    <cellStyle name="Normal 4 5 4 2 4 5 2" xfId="14883" xr:uid="{00000000-0005-0000-0000-00007B180000}"/>
    <cellStyle name="Normal 4 5 4 2 4 6" xfId="3520" xr:uid="{00000000-0005-0000-0000-00007C180000}"/>
    <cellStyle name="Normal 4 5 4 2 4 6 2" xfId="14884" xr:uid="{00000000-0005-0000-0000-00007D180000}"/>
    <cellStyle name="Normal 4 5 4 2 4 7" xfId="14885" xr:uid="{00000000-0005-0000-0000-00007E180000}"/>
    <cellStyle name="Normal 4 5 4 2 5" xfId="3521" xr:uid="{00000000-0005-0000-0000-00007F180000}"/>
    <cellStyle name="Normal 4 5 4 2 5 2" xfId="3522" xr:uid="{00000000-0005-0000-0000-000080180000}"/>
    <cellStyle name="Normal 4 5 4 2 5 2 2" xfId="3523" xr:uid="{00000000-0005-0000-0000-000081180000}"/>
    <cellStyle name="Normal 4 5 4 2 5 2 2 2" xfId="14886" xr:uid="{00000000-0005-0000-0000-000082180000}"/>
    <cellStyle name="Normal 4 5 4 2 5 2 3" xfId="3524" xr:uid="{00000000-0005-0000-0000-000083180000}"/>
    <cellStyle name="Normal 4 5 4 2 5 2 3 2" xfId="14887" xr:uid="{00000000-0005-0000-0000-000084180000}"/>
    <cellStyle name="Normal 4 5 4 2 5 2 4" xfId="14888" xr:uid="{00000000-0005-0000-0000-000085180000}"/>
    <cellStyle name="Normal 4 5 4 2 5 3" xfId="3525" xr:uid="{00000000-0005-0000-0000-000086180000}"/>
    <cellStyle name="Normal 4 5 4 2 5 3 2" xfId="3526" xr:uid="{00000000-0005-0000-0000-000087180000}"/>
    <cellStyle name="Normal 4 5 4 2 5 3 2 2" xfId="14889" xr:uid="{00000000-0005-0000-0000-000088180000}"/>
    <cellStyle name="Normal 4 5 4 2 5 3 3" xfId="3527" xr:uid="{00000000-0005-0000-0000-000089180000}"/>
    <cellStyle name="Normal 4 5 4 2 5 3 3 2" xfId="14890" xr:uid="{00000000-0005-0000-0000-00008A180000}"/>
    <cellStyle name="Normal 4 5 4 2 5 3 4" xfId="14891" xr:uid="{00000000-0005-0000-0000-00008B180000}"/>
    <cellStyle name="Normal 4 5 4 2 5 4" xfId="3528" xr:uid="{00000000-0005-0000-0000-00008C180000}"/>
    <cellStyle name="Normal 4 5 4 2 5 4 2" xfId="14892" xr:uid="{00000000-0005-0000-0000-00008D180000}"/>
    <cellStyle name="Normal 4 5 4 2 5 5" xfId="3529" xr:uid="{00000000-0005-0000-0000-00008E180000}"/>
    <cellStyle name="Normal 4 5 4 2 5 5 2" xfId="14893" xr:uid="{00000000-0005-0000-0000-00008F180000}"/>
    <cellStyle name="Normal 4 5 4 2 5 6" xfId="14894" xr:uid="{00000000-0005-0000-0000-000090180000}"/>
    <cellStyle name="Normal 4 5 4 2 6" xfId="3530" xr:uid="{00000000-0005-0000-0000-000091180000}"/>
    <cellStyle name="Normal 4 5 4 2 6 2" xfId="3531" xr:uid="{00000000-0005-0000-0000-000092180000}"/>
    <cellStyle name="Normal 4 5 4 2 6 2 2" xfId="3532" xr:uid="{00000000-0005-0000-0000-000093180000}"/>
    <cellStyle name="Normal 4 5 4 2 6 2 2 2" xfId="14895" xr:uid="{00000000-0005-0000-0000-000094180000}"/>
    <cellStyle name="Normal 4 5 4 2 6 2 3" xfId="3533" xr:uid="{00000000-0005-0000-0000-000095180000}"/>
    <cellStyle name="Normal 4 5 4 2 6 2 3 2" xfId="14896" xr:uid="{00000000-0005-0000-0000-000096180000}"/>
    <cellStyle name="Normal 4 5 4 2 6 2 4" xfId="14897" xr:uid="{00000000-0005-0000-0000-000097180000}"/>
    <cellStyle name="Normal 4 5 4 2 6 3" xfId="3534" xr:uid="{00000000-0005-0000-0000-000098180000}"/>
    <cellStyle name="Normal 4 5 4 2 6 3 2" xfId="3535" xr:uid="{00000000-0005-0000-0000-000099180000}"/>
    <cellStyle name="Normal 4 5 4 2 6 3 2 2" xfId="14898" xr:uid="{00000000-0005-0000-0000-00009A180000}"/>
    <cellStyle name="Normal 4 5 4 2 6 3 3" xfId="3536" xr:uid="{00000000-0005-0000-0000-00009B180000}"/>
    <cellStyle name="Normal 4 5 4 2 6 3 3 2" xfId="14899" xr:uid="{00000000-0005-0000-0000-00009C180000}"/>
    <cellStyle name="Normal 4 5 4 2 6 3 4" xfId="14900" xr:uid="{00000000-0005-0000-0000-00009D180000}"/>
    <cellStyle name="Normal 4 5 4 2 6 4" xfId="3537" xr:uid="{00000000-0005-0000-0000-00009E180000}"/>
    <cellStyle name="Normal 4 5 4 2 6 4 2" xfId="14901" xr:uid="{00000000-0005-0000-0000-00009F180000}"/>
    <cellStyle name="Normal 4 5 4 2 6 5" xfId="3538" xr:uid="{00000000-0005-0000-0000-0000A0180000}"/>
    <cellStyle name="Normal 4 5 4 2 6 5 2" xfId="14902" xr:uid="{00000000-0005-0000-0000-0000A1180000}"/>
    <cellStyle name="Normal 4 5 4 2 6 6" xfId="14903" xr:uid="{00000000-0005-0000-0000-0000A2180000}"/>
    <cellStyle name="Normal 4 5 4 2 7" xfId="3539" xr:uid="{00000000-0005-0000-0000-0000A3180000}"/>
    <cellStyle name="Normal 4 5 4 2 7 2" xfId="3540" xr:uid="{00000000-0005-0000-0000-0000A4180000}"/>
    <cellStyle name="Normal 4 5 4 2 7 2 2" xfId="14904" xr:uid="{00000000-0005-0000-0000-0000A5180000}"/>
    <cellStyle name="Normal 4 5 4 2 7 3" xfId="3541" xr:uid="{00000000-0005-0000-0000-0000A6180000}"/>
    <cellStyle name="Normal 4 5 4 2 7 3 2" xfId="14905" xr:uid="{00000000-0005-0000-0000-0000A7180000}"/>
    <cellStyle name="Normal 4 5 4 2 7 4" xfId="14906" xr:uid="{00000000-0005-0000-0000-0000A8180000}"/>
    <cellStyle name="Normal 4 5 4 2 8" xfId="3542" xr:uid="{00000000-0005-0000-0000-0000A9180000}"/>
    <cellStyle name="Normal 4 5 4 2 8 2" xfId="3543" xr:uid="{00000000-0005-0000-0000-0000AA180000}"/>
    <cellStyle name="Normal 4 5 4 2 8 2 2" xfId="14907" xr:uid="{00000000-0005-0000-0000-0000AB180000}"/>
    <cellStyle name="Normal 4 5 4 2 8 3" xfId="3544" xr:uid="{00000000-0005-0000-0000-0000AC180000}"/>
    <cellStyle name="Normal 4 5 4 2 8 3 2" xfId="14908" xr:uid="{00000000-0005-0000-0000-0000AD180000}"/>
    <cellStyle name="Normal 4 5 4 2 8 4" xfId="14909" xr:uid="{00000000-0005-0000-0000-0000AE180000}"/>
    <cellStyle name="Normal 4 5 4 2 9" xfId="3545" xr:uid="{00000000-0005-0000-0000-0000AF180000}"/>
    <cellStyle name="Normal 4 5 4 2 9 2" xfId="14910" xr:uid="{00000000-0005-0000-0000-0000B0180000}"/>
    <cellStyle name="Normal 4 5 4 3" xfId="3546" xr:uid="{00000000-0005-0000-0000-0000B1180000}"/>
    <cellStyle name="Normal 4 5 4 3 10" xfId="14911" xr:uid="{00000000-0005-0000-0000-0000B2180000}"/>
    <cellStyle name="Normal 4 5 4 3 2" xfId="3547" xr:uid="{00000000-0005-0000-0000-0000B3180000}"/>
    <cellStyle name="Normal 4 5 4 3 2 2" xfId="3548" xr:uid="{00000000-0005-0000-0000-0000B4180000}"/>
    <cellStyle name="Normal 4 5 4 3 2 2 2" xfId="3549" xr:uid="{00000000-0005-0000-0000-0000B5180000}"/>
    <cellStyle name="Normal 4 5 4 3 2 2 2 2" xfId="3550" xr:uid="{00000000-0005-0000-0000-0000B6180000}"/>
    <cellStyle name="Normal 4 5 4 3 2 2 2 2 2" xfId="14912" xr:uid="{00000000-0005-0000-0000-0000B7180000}"/>
    <cellStyle name="Normal 4 5 4 3 2 2 2 3" xfId="3551" xr:uid="{00000000-0005-0000-0000-0000B8180000}"/>
    <cellStyle name="Normal 4 5 4 3 2 2 2 3 2" xfId="14913" xr:uid="{00000000-0005-0000-0000-0000B9180000}"/>
    <cellStyle name="Normal 4 5 4 3 2 2 2 4" xfId="14914" xr:uid="{00000000-0005-0000-0000-0000BA180000}"/>
    <cellStyle name="Normal 4 5 4 3 2 2 3" xfId="3552" xr:uid="{00000000-0005-0000-0000-0000BB180000}"/>
    <cellStyle name="Normal 4 5 4 3 2 2 3 2" xfId="3553" xr:uid="{00000000-0005-0000-0000-0000BC180000}"/>
    <cellStyle name="Normal 4 5 4 3 2 2 3 2 2" xfId="14915" xr:uid="{00000000-0005-0000-0000-0000BD180000}"/>
    <cellStyle name="Normal 4 5 4 3 2 2 3 3" xfId="3554" xr:uid="{00000000-0005-0000-0000-0000BE180000}"/>
    <cellStyle name="Normal 4 5 4 3 2 2 3 3 2" xfId="14916" xr:uid="{00000000-0005-0000-0000-0000BF180000}"/>
    <cellStyle name="Normal 4 5 4 3 2 2 3 4" xfId="14917" xr:uid="{00000000-0005-0000-0000-0000C0180000}"/>
    <cellStyle name="Normal 4 5 4 3 2 2 4" xfId="3555" xr:uid="{00000000-0005-0000-0000-0000C1180000}"/>
    <cellStyle name="Normal 4 5 4 3 2 2 4 2" xfId="14918" xr:uid="{00000000-0005-0000-0000-0000C2180000}"/>
    <cellStyle name="Normal 4 5 4 3 2 2 5" xfId="3556" xr:uid="{00000000-0005-0000-0000-0000C3180000}"/>
    <cellStyle name="Normal 4 5 4 3 2 2 5 2" xfId="14919" xr:uid="{00000000-0005-0000-0000-0000C4180000}"/>
    <cellStyle name="Normal 4 5 4 3 2 2 6" xfId="14920" xr:uid="{00000000-0005-0000-0000-0000C5180000}"/>
    <cellStyle name="Normal 4 5 4 3 2 3" xfId="3557" xr:uid="{00000000-0005-0000-0000-0000C6180000}"/>
    <cellStyle name="Normal 4 5 4 3 2 3 2" xfId="3558" xr:uid="{00000000-0005-0000-0000-0000C7180000}"/>
    <cellStyle name="Normal 4 5 4 3 2 3 2 2" xfId="3559" xr:uid="{00000000-0005-0000-0000-0000C8180000}"/>
    <cellStyle name="Normal 4 5 4 3 2 3 2 2 2" xfId="14921" xr:uid="{00000000-0005-0000-0000-0000C9180000}"/>
    <cellStyle name="Normal 4 5 4 3 2 3 2 3" xfId="3560" xr:uid="{00000000-0005-0000-0000-0000CA180000}"/>
    <cellStyle name="Normal 4 5 4 3 2 3 2 3 2" xfId="14922" xr:uid="{00000000-0005-0000-0000-0000CB180000}"/>
    <cellStyle name="Normal 4 5 4 3 2 3 2 4" xfId="14923" xr:uid="{00000000-0005-0000-0000-0000CC180000}"/>
    <cellStyle name="Normal 4 5 4 3 2 3 3" xfId="3561" xr:uid="{00000000-0005-0000-0000-0000CD180000}"/>
    <cellStyle name="Normal 4 5 4 3 2 3 3 2" xfId="3562" xr:uid="{00000000-0005-0000-0000-0000CE180000}"/>
    <cellStyle name="Normal 4 5 4 3 2 3 3 2 2" xfId="14924" xr:uid="{00000000-0005-0000-0000-0000CF180000}"/>
    <cellStyle name="Normal 4 5 4 3 2 3 3 3" xfId="3563" xr:uid="{00000000-0005-0000-0000-0000D0180000}"/>
    <cellStyle name="Normal 4 5 4 3 2 3 3 3 2" xfId="14925" xr:uid="{00000000-0005-0000-0000-0000D1180000}"/>
    <cellStyle name="Normal 4 5 4 3 2 3 3 4" xfId="14926" xr:uid="{00000000-0005-0000-0000-0000D2180000}"/>
    <cellStyle name="Normal 4 5 4 3 2 3 4" xfId="3564" xr:uid="{00000000-0005-0000-0000-0000D3180000}"/>
    <cellStyle name="Normal 4 5 4 3 2 3 4 2" xfId="14927" xr:uid="{00000000-0005-0000-0000-0000D4180000}"/>
    <cellStyle name="Normal 4 5 4 3 2 3 5" xfId="3565" xr:uid="{00000000-0005-0000-0000-0000D5180000}"/>
    <cellStyle name="Normal 4 5 4 3 2 3 5 2" xfId="14928" xr:uid="{00000000-0005-0000-0000-0000D6180000}"/>
    <cellStyle name="Normal 4 5 4 3 2 3 6" xfId="14929" xr:uid="{00000000-0005-0000-0000-0000D7180000}"/>
    <cellStyle name="Normal 4 5 4 3 2 4" xfId="3566" xr:uid="{00000000-0005-0000-0000-0000D8180000}"/>
    <cellStyle name="Normal 4 5 4 3 2 4 2" xfId="3567" xr:uid="{00000000-0005-0000-0000-0000D9180000}"/>
    <cellStyle name="Normal 4 5 4 3 2 4 2 2" xfId="14930" xr:uid="{00000000-0005-0000-0000-0000DA180000}"/>
    <cellStyle name="Normal 4 5 4 3 2 4 3" xfId="3568" xr:uid="{00000000-0005-0000-0000-0000DB180000}"/>
    <cellStyle name="Normal 4 5 4 3 2 4 3 2" xfId="14931" xr:uid="{00000000-0005-0000-0000-0000DC180000}"/>
    <cellStyle name="Normal 4 5 4 3 2 4 4" xfId="14932" xr:uid="{00000000-0005-0000-0000-0000DD180000}"/>
    <cellStyle name="Normal 4 5 4 3 2 5" xfId="3569" xr:uid="{00000000-0005-0000-0000-0000DE180000}"/>
    <cellStyle name="Normal 4 5 4 3 2 5 2" xfId="3570" xr:uid="{00000000-0005-0000-0000-0000DF180000}"/>
    <cellStyle name="Normal 4 5 4 3 2 5 2 2" xfId="14933" xr:uid="{00000000-0005-0000-0000-0000E0180000}"/>
    <cellStyle name="Normal 4 5 4 3 2 5 3" xfId="3571" xr:uid="{00000000-0005-0000-0000-0000E1180000}"/>
    <cellStyle name="Normal 4 5 4 3 2 5 3 2" xfId="14934" xr:uid="{00000000-0005-0000-0000-0000E2180000}"/>
    <cellStyle name="Normal 4 5 4 3 2 5 4" xfId="14935" xr:uid="{00000000-0005-0000-0000-0000E3180000}"/>
    <cellStyle name="Normal 4 5 4 3 2 6" xfId="3572" xr:uid="{00000000-0005-0000-0000-0000E4180000}"/>
    <cellStyle name="Normal 4 5 4 3 2 6 2" xfId="14936" xr:uid="{00000000-0005-0000-0000-0000E5180000}"/>
    <cellStyle name="Normal 4 5 4 3 2 7" xfId="3573" xr:uid="{00000000-0005-0000-0000-0000E6180000}"/>
    <cellStyle name="Normal 4 5 4 3 2 7 2" xfId="14937" xr:uid="{00000000-0005-0000-0000-0000E7180000}"/>
    <cellStyle name="Normal 4 5 4 3 2 8" xfId="14938" xr:uid="{00000000-0005-0000-0000-0000E8180000}"/>
    <cellStyle name="Normal 4 5 4 3 3" xfId="3574" xr:uid="{00000000-0005-0000-0000-0000E9180000}"/>
    <cellStyle name="Normal 4 5 4 3 3 2" xfId="3575" xr:uid="{00000000-0005-0000-0000-0000EA180000}"/>
    <cellStyle name="Normal 4 5 4 3 3 2 2" xfId="3576" xr:uid="{00000000-0005-0000-0000-0000EB180000}"/>
    <cellStyle name="Normal 4 5 4 3 3 2 2 2" xfId="3577" xr:uid="{00000000-0005-0000-0000-0000EC180000}"/>
    <cellStyle name="Normal 4 5 4 3 3 2 2 2 2" xfId="14939" xr:uid="{00000000-0005-0000-0000-0000ED180000}"/>
    <cellStyle name="Normal 4 5 4 3 3 2 2 3" xfId="3578" xr:uid="{00000000-0005-0000-0000-0000EE180000}"/>
    <cellStyle name="Normal 4 5 4 3 3 2 2 3 2" xfId="14940" xr:uid="{00000000-0005-0000-0000-0000EF180000}"/>
    <cellStyle name="Normal 4 5 4 3 3 2 2 4" xfId="14941" xr:uid="{00000000-0005-0000-0000-0000F0180000}"/>
    <cellStyle name="Normal 4 5 4 3 3 2 3" xfId="3579" xr:uid="{00000000-0005-0000-0000-0000F1180000}"/>
    <cellStyle name="Normal 4 5 4 3 3 2 3 2" xfId="3580" xr:uid="{00000000-0005-0000-0000-0000F2180000}"/>
    <cellStyle name="Normal 4 5 4 3 3 2 3 2 2" xfId="14942" xr:uid="{00000000-0005-0000-0000-0000F3180000}"/>
    <cellStyle name="Normal 4 5 4 3 3 2 3 3" xfId="3581" xr:uid="{00000000-0005-0000-0000-0000F4180000}"/>
    <cellStyle name="Normal 4 5 4 3 3 2 3 3 2" xfId="14943" xr:uid="{00000000-0005-0000-0000-0000F5180000}"/>
    <cellStyle name="Normal 4 5 4 3 3 2 3 4" xfId="14944" xr:uid="{00000000-0005-0000-0000-0000F6180000}"/>
    <cellStyle name="Normal 4 5 4 3 3 2 4" xfId="3582" xr:uid="{00000000-0005-0000-0000-0000F7180000}"/>
    <cellStyle name="Normal 4 5 4 3 3 2 4 2" xfId="14945" xr:uid="{00000000-0005-0000-0000-0000F8180000}"/>
    <cellStyle name="Normal 4 5 4 3 3 2 5" xfId="3583" xr:uid="{00000000-0005-0000-0000-0000F9180000}"/>
    <cellStyle name="Normal 4 5 4 3 3 2 5 2" xfId="14946" xr:uid="{00000000-0005-0000-0000-0000FA180000}"/>
    <cellStyle name="Normal 4 5 4 3 3 2 6" xfId="14947" xr:uid="{00000000-0005-0000-0000-0000FB180000}"/>
    <cellStyle name="Normal 4 5 4 3 3 3" xfId="3584" xr:uid="{00000000-0005-0000-0000-0000FC180000}"/>
    <cellStyle name="Normal 4 5 4 3 3 3 2" xfId="3585" xr:uid="{00000000-0005-0000-0000-0000FD180000}"/>
    <cellStyle name="Normal 4 5 4 3 3 3 2 2" xfId="14948" xr:uid="{00000000-0005-0000-0000-0000FE180000}"/>
    <cellStyle name="Normal 4 5 4 3 3 3 3" xfId="3586" xr:uid="{00000000-0005-0000-0000-0000FF180000}"/>
    <cellStyle name="Normal 4 5 4 3 3 3 3 2" xfId="14949" xr:uid="{00000000-0005-0000-0000-000000190000}"/>
    <cellStyle name="Normal 4 5 4 3 3 3 4" xfId="14950" xr:uid="{00000000-0005-0000-0000-000001190000}"/>
    <cellStyle name="Normal 4 5 4 3 3 4" xfId="3587" xr:uid="{00000000-0005-0000-0000-000002190000}"/>
    <cellStyle name="Normal 4 5 4 3 3 4 2" xfId="3588" xr:uid="{00000000-0005-0000-0000-000003190000}"/>
    <cellStyle name="Normal 4 5 4 3 3 4 2 2" xfId="14951" xr:uid="{00000000-0005-0000-0000-000004190000}"/>
    <cellStyle name="Normal 4 5 4 3 3 4 3" xfId="3589" xr:uid="{00000000-0005-0000-0000-000005190000}"/>
    <cellStyle name="Normal 4 5 4 3 3 4 3 2" xfId="14952" xr:uid="{00000000-0005-0000-0000-000006190000}"/>
    <cellStyle name="Normal 4 5 4 3 3 4 4" xfId="14953" xr:uid="{00000000-0005-0000-0000-000007190000}"/>
    <cellStyle name="Normal 4 5 4 3 3 5" xfId="3590" xr:uid="{00000000-0005-0000-0000-000008190000}"/>
    <cellStyle name="Normal 4 5 4 3 3 5 2" xfId="14954" xr:uid="{00000000-0005-0000-0000-000009190000}"/>
    <cellStyle name="Normal 4 5 4 3 3 6" xfId="3591" xr:uid="{00000000-0005-0000-0000-00000A190000}"/>
    <cellStyle name="Normal 4 5 4 3 3 6 2" xfId="14955" xr:uid="{00000000-0005-0000-0000-00000B190000}"/>
    <cellStyle name="Normal 4 5 4 3 3 7" xfId="14956" xr:uid="{00000000-0005-0000-0000-00000C190000}"/>
    <cellStyle name="Normal 4 5 4 3 4" xfId="3592" xr:uid="{00000000-0005-0000-0000-00000D190000}"/>
    <cellStyle name="Normal 4 5 4 3 4 2" xfId="3593" xr:uid="{00000000-0005-0000-0000-00000E190000}"/>
    <cellStyle name="Normal 4 5 4 3 4 2 2" xfId="3594" xr:uid="{00000000-0005-0000-0000-00000F190000}"/>
    <cellStyle name="Normal 4 5 4 3 4 2 2 2" xfId="14957" xr:uid="{00000000-0005-0000-0000-000010190000}"/>
    <cellStyle name="Normal 4 5 4 3 4 2 3" xfId="3595" xr:uid="{00000000-0005-0000-0000-000011190000}"/>
    <cellStyle name="Normal 4 5 4 3 4 2 3 2" xfId="14958" xr:uid="{00000000-0005-0000-0000-000012190000}"/>
    <cellStyle name="Normal 4 5 4 3 4 2 4" xfId="14959" xr:uid="{00000000-0005-0000-0000-000013190000}"/>
    <cellStyle name="Normal 4 5 4 3 4 3" xfId="3596" xr:uid="{00000000-0005-0000-0000-000014190000}"/>
    <cellStyle name="Normal 4 5 4 3 4 3 2" xfId="3597" xr:uid="{00000000-0005-0000-0000-000015190000}"/>
    <cellStyle name="Normal 4 5 4 3 4 3 2 2" xfId="14960" xr:uid="{00000000-0005-0000-0000-000016190000}"/>
    <cellStyle name="Normal 4 5 4 3 4 3 3" xfId="3598" xr:uid="{00000000-0005-0000-0000-000017190000}"/>
    <cellStyle name="Normal 4 5 4 3 4 3 3 2" xfId="14961" xr:uid="{00000000-0005-0000-0000-000018190000}"/>
    <cellStyle name="Normal 4 5 4 3 4 3 4" xfId="14962" xr:uid="{00000000-0005-0000-0000-000019190000}"/>
    <cellStyle name="Normal 4 5 4 3 4 4" xfId="3599" xr:uid="{00000000-0005-0000-0000-00001A190000}"/>
    <cellStyle name="Normal 4 5 4 3 4 4 2" xfId="14963" xr:uid="{00000000-0005-0000-0000-00001B190000}"/>
    <cellStyle name="Normal 4 5 4 3 4 5" xfId="3600" xr:uid="{00000000-0005-0000-0000-00001C190000}"/>
    <cellStyle name="Normal 4 5 4 3 4 5 2" xfId="14964" xr:uid="{00000000-0005-0000-0000-00001D190000}"/>
    <cellStyle name="Normal 4 5 4 3 4 6" xfId="14965" xr:uid="{00000000-0005-0000-0000-00001E190000}"/>
    <cellStyle name="Normal 4 5 4 3 5" xfId="3601" xr:uid="{00000000-0005-0000-0000-00001F190000}"/>
    <cellStyle name="Normal 4 5 4 3 5 2" xfId="3602" xr:uid="{00000000-0005-0000-0000-000020190000}"/>
    <cellStyle name="Normal 4 5 4 3 5 2 2" xfId="3603" xr:uid="{00000000-0005-0000-0000-000021190000}"/>
    <cellStyle name="Normal 4 5 4 3 5 2 2 2" xfId="14966" xr:uid="{00000000-0005-0000-0000-000022190000}"/>
    <cellStyle name="Normal 4 5 4 3 5 2 3" xfId="3604" xr:uid="{00000000-0005-0000-0000-000023190000}"/>
    <cellStyle name="Normal 4 5 4 3 5 2 3 2" xfId="14967" xr:uid="{00000000-0005-0000-0000-000024190000}"/>
    <cellStyle name="Normal 4 5 4 3 5 2 4" xfId="14968" xr:uid="{00000000-0005-0000-0000-000025190000}"/>
    <cellStyle name="Normal 4 5 4 3 5 3" xfId="3605" xr:uid="{00000000-0005-0000-0000-000026190000}"/>
    <cellStyle name="Normal 4 5 4 3 5 3 2" xfId="3606" xr:uid="{00000000-0005-0000-0000-000027190000}"/>
    <cellStyle name="Normal 4 5 4 3 5 3 2 2" xfId="14969" xr:uid="{00000000-0005-0000-0000-000028190000}"/>
    <cellStyle name="Normal 4 5 4 3 5 3 3" xfId="3607" xr:uid="{00000000-0005-0000-0000-000029190000}"/>
    <cellStyle name="Normal 4 5 4 3 5 3 3 2" xfId="14970" xr:uid="{00000000-0005-0000-0000-00002A190000}"/>
    <cellStyle name="Normal 4 5 4 3 5 3 4" xfId="14971" xr:uid="{00000000-0005-0000-0000-00002B190000}"/>
    <cellStyle name="Normal 4 5 4 3 5 4" xfId="3608" xr:uid="{00000000-0005-0000-0000-00002C190000}"/>
    <cellStyle name="Normal 4 5 4 3 5 4 2" xfId="14972" xr:uid="{00000000-0005-0000-0000-00002D190000}"/>
    <cellStyle name="Normal 4 5 4 3 5 5" xfId="3609" xr:uid="{00000000-0005-0000-0000-00002E190000}"/>
    <cellStyle name="Normal 4 5 4 3 5 5 2" xfId="14973" xr:uid="{00000000-0005-0000-0000-00002F190000}"/>
    <cellStyle name="Normal 4 5 4 3 5 6" xfId="14974" xr:uid="{00000000-0005-0000-0000-000030190000}"/>
    <cellStyle name="Normal 4 5 4 3 6" xfId="3610" xr:uid="{00000000-0005-0000-0000-000031190000}"/>
    <cellStyle name="Normal 4 5 4 3 6 2" xfId="3611" xr:uid="{00000000-0005-0000-0000-000032190000}"/>
    <cellStyle name="Normal 4 5 4 3 6 2 2" xfId="14975" xr:uid="{00000000-0005-0000-0000-000033190000}"/>
    <cellStyle name="Normal 4 5 4 3 6 3" xfId="3612" xr:uid="{00000000-0005-0000-0000-000034190000}"/>
    <cellStyle name="Normal 4 5 4 3 6 3 2" xfId="14976" xr:uid="{00000000-0005-0000-0000-000035190000}"/>
    <cellStyle name="Normal 4 5 4 3 6 4" xfId="14977" xr:uid="{00000000-0005-0000-0000-000036190000}"/>
    <cellStyle name="Normal 4 5 4 3 7" xfId="3613" xr:uid="{00000000-0005-0000-0000-000037190000}"/>
    <cellStyle name="Normal 4 5 4 3 7 2" xfId="3614" xr:uid="{00000000-0005-0000-0000-000038190000}"/>
    <cellStyle name="Normal 4 5 4 3 7 2 2" xfId="14978" xr:uid="{00000000-0005-0000-0000-000039190000}"/>
    <cellStyle name="Normal 4 5 4 3 7 3" xfId="3615" xr:uid="{00000000-0005-0000-0000-00003A190000}"/>
    <cellStyle name="Normal 4 5 4 3 7 3 2" xfId="14979" xr:uid="{00000000-0005-0000-0000-00003B190000}"/>
    <cellStyle name="Normal 4 5 4 3 7 4" xfId="14980" xr:uid="{00000000-0005-0000-0000-00003C190000}"/>
    <cellStyle name="Normal 4 5 4 3 8" xfId="3616" xr:uid="{00000000-0005-0000-0000-00003D190000}"/>
    <cellStyle name="Normal 4 5 4 3 8 2" xfId="14981" xr:uid="{00000000-0005-0000-0000-00003E190000}"/>
    <cellStyle name="Normal 4 5 4 3 9" xfId="3617" xr:uid="{00000000-0005-0000-0000-00003F190000}"/>
    <cellStyle name="Normal 4 5 4 3 9 2" xfId="14982" xr:uid="{00000000-0005-0000-0000-000040190000}"/>
    <cellStyle name="Normal 4 5 4 4" xfId="3618" xr:uid="{00000000-0005-0000-0000-000041190000}"/>
    <cellStyle name="Normal 4 5 4 4 2" xfId="3619" xr:uid="{00000000-0005-0000-0000-000042190000}"/>
    <cellStyle name="Normal 4 5 4 4 2 2" xfId="3620" xr:uid="{00000000-0005-0000-0000-000043190000}"/>
    <cellStyle name="Normal 4 5 4 4 2 2 2" xfId="3621" xr:uid="{00000000-0005-0000-0000-000044190000}"/>
    <cellStyle name="Normal 4 5 4 4 2 2 2 2" xfId="14983" xr:uid="{00000000-0005-0000-0000-000045190000}"/>
    <cellStyle name="Normal 4 5 4 4 2 2 3" xfId="3622" xr:uid="{00000000-0005-0000-0000-000046190000}"/>
    <cellStyle name="Normal 4 5 4 4 2 2 3 2" xfId="14984" xr:uid="{00000000-0005-0000-0000-000047190000}"/>
    <cellStyle name="Normal 4 5 4 4 2 2 4" xfId="14985" xr:uid="{00000000-0005-0000-0000-000048190000}"/>
    <cellStyle name="Normal 4 5 4 4 2 3" xfId="3623" xr:uid="{00000000-0005-0000-0000-000049190000}"/>
    <cellStyle name="Normal 4 5 4 4 2 3 2" xfId="3624" xr:uid="{00000000-0005-0000-0000-00004A190000}"/>
    <cellStyle name="Normal 4 5 4 4 2 3 2 2" xfId="14986" xr:uid="{00000000-0005-0000-0000-00004B190000}"/>
    <cellStyle name="Normal 4 5 4 4 2 3 3" xfId="3625" xr:uid="{00000000-0005-0000-0000-00004C190000}"/>
    <cellStyle name="Normal 4 5 4 4 2 3 3 2" xfId="14987" xr:uid="{00000000-0005-0000-0000-00004D190000}"/>
    <cellStyle name="Normal 4 5 4 4 2 3 4" xfId="14988" xr:uid="{00000000-0005-0000-0000-00004E190000}"/>
    <cellStyle name="Normal 4 5 4 4 2 4" xfId="3626" xr:uid="{00000000-0005-0000-0000-00004F190000}"/>
    <cellStyle name="Normal 4 5 4 4 2 4 2" xfId="14989" xr:uid="{00000000-0005-0000-0000-000050190000}"/>
    <cellStyle name="Normal 4 5 4 4 2 5" xfId="3627" xr:uid="{00000000-0005-0000-0000-000051190000}"/>
    <cellStyle name="Normal 4 5 4 4 2 5 2" xfId="14990" xr:uid="{00000000-0005-0000-0000-000052190000}"/>
    <cellStyle name="Normal 4 5 4 4 2 6" xfId="14991" xr:uid="{00000000-0005-0000-0000-000053190000}"/>
    <cellStyle name="Normal 4 5 4 4 3" xfId="3628" xr:uid="{00000000-0005-0000-0000-000054190000}"/>
    <cellStyle name="Normal 4 5 4 4 3 2" xfId="3629" xr:uid="{00000000-0005-0000-0000-000055190000}"/>
    <cellStyle name="Normal 4 5 4 4 3 2 2" xfId="3630" xr:uid="{00000000-0005-0000-0000-000056190000}"/>
    <cellStyle name="Normal 4 5 4 4 3 2 2 2" xfId="14992" xr:uid="{00000000-0005-0000-0000-000057190000}"/>
    <cellStyle name="Normal 4 5 4 4 3 2 3" xfId="3631" xr:uid="{00000000-0005-0000-0000-000058190000}"/>
    <cellStyle name="Normal 4 5 4 4 3 2 3 2" xfId="14993" xr:uid="{00000000-0005-0000-0000-000059190000}"/>
    <cellStyle name="Normal 4 5 4 4 3 2 4" xfId="14994" xr:uid="{00000000-0005-0000-0000-00005A190000}"/>
    <cellStyle name="Normal 4 5 4 4 3 3" xfId="3632" xr:uid="{00000000-0005-0000-0000-00005B190000}"/>
    <cellStyle name="Normal 4 5 4 4 3 3 2" xfId="3633" xr:uid="{00000000-0005-0000-0000-00005C190000}"/>
    <cellStyle name="Normal 4 5 4 4 3 3 2 2" xfId="14995" xr:uid="{00000000-0005-0000-0000-00005D190000}"/>
    <cellStyle name="Normal 4 5 4 4 3 3 3" xfId="3634" xr:uid="{00000000-0005-0000-0000-00005E190000}"/>
    <cellStyle name="Normal 4 5 4 4 3 3 3 2" xfId="14996" xr:uid="{00000000-0005-0000-0000-00005F190000}"/>
    <cellStyle name="Normal 4 5 4 4 3 3 4" xfId="14997" xr:uid="{00000000-0005-0000-0000-000060190000}"/>
    <cellStyle name="Normal 4 5 4 4 3 4" xfId="3635" xr:uid="{00000000-0005-0000-0000-000061190000}"/>
    <cellStyle name="Normal 4 5 4 4 3 4 2" xfId="14998" xr:uid="{00000000-0005-0000-0000-000062190000}"/>
    <cellStyle name="Normal 4 5 4 4 3 5" xfId="3636" xr:uid="{00000000-0005-0000-0000-000063190000}"/>
    <cellStyle name="Normal 4 5 4 4 3 5 2" xfId="14999" xr:uid="{00000000-0005-0000-0000-000064190000}"/>
    <cellStyle name="Normal 4 5 4 4 3 6" xfId="15000" xr:uid="{00000000-0005-0000-0000-000065190000}"/>
    <cellStyle name="Normal 4 5 4 4 4" xfId="3637" xr:uid="{00000000-0005-0000-0000-000066190000}"/>
    <cellStyle name="Normal 4 5 4 4 4 2" xfId="3638" xr:uid="{00000000-0005-0000-0000-000067190000}"/>
    <cellStyle name="Normal 4 5 4 4 4 2 2" xfId="15001" xr:uid="{00000000-0005-0000-0000-000068190000}"/>
    <cellStyle name="Normal 4 5 4 4 4 3" xfId="3639" xr:uid="{00000000-0005-0000-0000-000069190000}"/>
    <cellStyle name="Normal 4 5 4 4 4 3 2" xfId="15002" xr:uid="{00000000-0005-0000-0000-00006A190000}"/>
    <cellStyle name="Normal 4 5 4 4 4 4" xfId="15003" xr:uid="{00000000-0005-0000-0000-00006B190000}"/>
    <cellStyle name="Normal 4 5 4 4 5" xfId="3640" xr:uid="{00000000-0005-0000-0000-00006C190000}"/>
    <cellStyle name="Normal 4 5 4 4 5 2" xfId="3641" xr:uid="{00000000-0005-0000-0000-00006D190000}"/>
    <cellStyle name="Normal 4 5 4 4 5 2 2" xfId="15004" xr:uid="{00000000-0005-0000-0000-00006E190000}"/>
    <cellStyle name="Normal 4 5 4 4 5 3" xfId="3642" xr:uid="{00000000-0005-0000-0000-00006F190000}"/>
    <cellStyle name="Normal 4 5 4 4 5 3 2" xfId="15005" xr:uid="{00000000-0005-0000-0000-000070190000}"/>
    <cellStyle name="Normal 4 5 4 4 5 4" xfId="15006" xr:uid="{00000000-0005-0000-0000-000071190000}"/>
    <cellStyle name="Normal 4 5 4 4 6" xfId="3643" xr:uid="{00000000-0005-0000-0000-000072190000}"/>
    <cellStyle name="Normal 4 5 4 4 6 2" xfId="15007" xr:uid="{00000000-0005-0000-0000-000073190000}"/>
    <cellStyle name="Normal 4 5 4 4 7" xfId="3644" xr:uid="{00000000-0005-0000-0000-000074190000}"/>
    <cellStyle name="Normal 4 5 4 4 7 2" xfId="15008" xr:uid="{00000000-0005-0000-0000-000075190000}"/>
    <cellStyle name="Normal 4 5 4 4 8" xfId="15009" xr:uid="{00000000-0005-0000-0000-000076190000}"/>
    <cellStyle name="Normal 4 5 4 5" xfId="3645" xr:uid="{00000000-0005-0000-0000-000077190000}"/>
    <cellStyle name="Normal 4 5 4 5 2" xfId="3646" xr:uid="{00000000-0005-0000-0000-000078190000}"/>
    <cellStyle name="Normal 4 5 4 5 2 2" xfId="3647" xr:uid="{00000000-0005-0000-0000-000079190000}"/>
    <cellStyle name="Normal 4 5 4 5 2 2 2" xfId="3648" xr:uid="{00000000-0005-0000-0000-00007A190000}"/>
    <cellStyle name="Normal 4 5 4 5 2 2 2 2" xfId="15010" xr:uid="{00000000-0005-0000-0000-00007B190000}"/>
    <cellStyle name="Normal 4 5 4 5 2 2 3" xfId="3649" xr:uid="{00000000-0005-0000-0000-00007C190000}"/>
    <cellStyle name="Normal 4 5 4 5 2 2 3 2" xfId="15011" xr:uid="{00000000-0005-0000-0000-00007D190000}"/>
    <cellStyle name="Normal 4 5 4 5 2 2 4" xfId="15012" xr:uid="{00000000-0005-0000-0000-00007E190000}"/>
    <cellStyle name="Normal 4 5 4 5 2 3" xfId="3650" xr:uid="{00000000-0005-0000-0000-00007F190000}"/>
    <cellStyle name="Normal 4 5 4 5 2 3 2" xfId="3651" xr:uid="{00000000-0005-0000-0000-000080190000}"/>
    <cellStyle name="Normal 4 5 4 5 2 3 2 2" xfId="15013" xr:uid="{00000000-0005-0000-0000-000081190000}"/>
    <cellStyle name="Normal 4 5 4 5 2 3 3" xfId="3652" xr:uid="{00000000-0005-0000-0000-000082190000}"/>
    <cellStyle name="Normal 4 5 4 5 2 3 3 2" xfId="15014" xr:uid="{00000000-0005-0000-0000-000083190000}"/>
    <cellStyle name="Normal 4 5 4 5 2 3 4" xfId="15015" xr:uid="{00000000-0005-0000-0000-000084190000}"/>
    <cellStyle name="Normal 4 5 4 5 2 4" xfId="3653" xr:uid="{00000000-0005-0000-0000-000085190000}"/>
    <cellStyle name="Normal 4 5 4 5 2 4 2" xfId="15016" xr:uid="{00000000-0005-0000-0000-000086190000}"/>
    <cellStyle name="Normal 4 5 4 5 2 5" xfId="3654" xr:uid="{00000000-0005-0000-0000-000087190000}"/>
    <cellStyle name="Normal 4 5 4 5 2 5 2" xfId="15017" xr:uid="{00000000-0005-0000-0000-000088190000}"/>
    <cellStyle name="Normal 4 5 4 5 2 6" xfId="15018" xr:uid="{00000000-0005-0000-0000-000089190000}"/>
    <cellStyle name="Normal 4 5 4 5 3" xfId="3655" xr:uid="{00000000-0005-0000-0000-00008A190000}"/>
    <cellStyle name="Normal 4 5 4 5 3 2" xfId="3656" xr:uid="{00000000-0005-0000-0000-00008B190000}"/>
    <cellStyle name="Normal 4 5 4 5 3 2 2" xfId="15019" xr:uid="{00000000-0005-0000-0000-00008C190000}"/>
    <cellStyle name="Normal 4 5 4 5 3 3" xfId="3657" xr:uid="{00000000-0005-0000-0000-00008D190000}"/>
    <cellStyle name="Normal 4 5 4 5 3 3 2" xfId="15020" xr:uid="{00000000-0005-0000-0000-00008E190000}"/>
    <cellStyle name="Normal 4 5 4 5 3 4" xfId="15021" xr:uid="{00000000-0005-0000-0000-00008F190000}"/>
    <cellStyle name="Normal 4 5 4 5 4" xfId="3658" xr:uid="{00000000-0005-0000-0000-000090190000}"/>
    <cellStyle name="Normal 4 5 4 5 4 2" xfId="3659" xr:uid="{00000000-0005-0000-0000-000091190000}"/>
    <cellStyle name="Normal 4 5 4 5 4 2 2" xfId="15022" xr:uid="{00000000-0005-0000-0000-000092190000}"/>
    <cellStyle name="Normal 4 5 4 5 4 3" xfId="3660" xr:uid="{00000000-0005-0000-0000-000093190000}"/>
    <cellStyle name="Normal 4 5 4 5 4 3 2" xfId="15023" xr:uid="{00000000-0005-0000-0000-000094190000}"/>
    <cellStyle name="Normal 4 5 4 5 4 4" xfId="15024" xr:uid="{00000000-0005-0000-0000-000095190000}"/>
    <cellStyle name="Normal 4 5 4 5 5" xfId="3661" xr:uid="{00000000-0005-0000-0000-000096190000}"/>
    <cellStyle name="Normal 4 5 4 5 5 2" xfId="15025" xr:uid="{00000000-0005-0000-0000-000097190000}"/>
    <cellStyle name="Normal 4 5 4 5 6" xfId="3662" xr:uid="{00000000-0005-0000-0000-000098190000}"/>
    <cellStyle name="Normal 4 5 4 5 6 2" xfId="15026" xr:uid="{00000000-0005-0000-0000-000099190000}"/>
    <cellStyle name="Normal 4 5 4 5 7" xfId="15027" xr:uid="{00000000-0005-0000-0000-00009A190000}"/>
    <cellStyle name="Normal 4 5 4 6" xfId="3663" xr:uid="{00000000-0005-0000-0000-00009B190000}"/>
    <cellStyle name="Normal 4 5 4 6 2" xfId="3664" xr:uid="{00000000-0005-0000-0000-00009C190000}"/>
    <cellStyle name="Normal 4 5 4 6 2 2" xfId="3665" xr:uid="{00000000-0005-0000-0000-00009D190000}"/>
    <cellStyle name="Normal 4 5 4 6 2 2 2" xfId="15028" xr:uid="{00000000-0005-0000-0000-00009E190000}"/>
    <cellStyle name="Normal 4 5 4 6 2 3" xfId="3666" xr:uid="{00000000-0005-0000-0000-00009F190000}"/>
    <cellStyle name="Normal 4 5 4 6 2 3 2" xfId="15029" xr:uid="{00000000-0005-0000-0000-0000A0190000}"/>
    <cellStyle name="Normal 4 5 4 6 2 4" xfId="15030" xr:uid="{00000000-0005-0000-0000-0000A1190000}"/>
    <cellStyle name="Normal 4 5 4 6 3" xfId="3667" xr:uid="{00000000-0005-0000-0000-0000A2190000}"/>
    <cellStyle name="Normal 4 5 4 6 3 2" xfId="3668" xr:uid="{00000000-0005-0000-0000-0000A3190000}"/>
    <cellStyle name="Normal 4 5 4 6 3 2 2" xfId="15031" xr:uid="{00000000-0005-0000-0000-0000A4190000}"/>
    <cellStyle name="Normal 4 5 4 6 3 3" xfId="3669" xr:uid="{00000000-0005-0000-0000-0000A5190000}"/>
    <cellStyle name="Normal 4 5 4 6 3 3 2" xfId="15032" xr:uid="{00000000-0005-0000-0000-0000A6190000}"/>
    <cellStyle name="Normal 4 5 4 6 3 4" xfId="15033" xr:uid="{00000000-0005-0000-0000-0000A7190000}"/>
    <cellStyle name="Normal 4 5 4 6 4" xfId="3670" xr:uid="{00000000-0005-0000-0000-0000A8190000}"/>
    <cellStyle name="Normal 4 5 4 6 4 2" xfId="15034" xr:uid="{00000000-0005-0000-0000-0000A9190000}"/>
    <cellStyle name="Normal 4 5 4 6 5" xfId="3671" xr:uid="{00000000-0005-0000-0000-0000AA190000}"/>
    <cellStyle name="Normal 4 5 4 6 5 2" xfId="15035" xr:uid="{00000000-0005-0000-0000-0000AB190000}"/>
    <cellStyle name="Normal 4 5 4 6 6" xfId="15036" xr:uid="{00000000-0005-0000-0000-0000AC190000}"/>
    <cellStyle name="Normal 4 5 4 7" xfId="3672" xr:uid="{00000000-0005-0000-0000-0000AD190000}"/>
    <cellStyle name="Normal 4 5 4 7 2" xfId="3673" xr:uid="{00000000-0005-0000-0000-0000AE190000}"/>
    <cellStyle name="Normal 4 5 4 7 2 2" xfId="3674" xr:uid="{00000000-0005-0000-0000-0000AF190000}"/>
    <cellStyle name="Normal 4 5 4 7 2 2 2" xfId="15037" xr:uid="{00000000-0005-0000-0000-0000B0190000}"/>
    <cellStyle name="Normal 4 5 4 7 2 3" xfId="3675" xr:uid="{00000000-0005-0000-0000-0000B1190000}"/>
    <cellStyle name="Normal 4 5 4 7 2 3 2" xfId="15038" xr:uid="{00000000-0005-0000-0000-0000B2190000}"/>
    <cellStyle name="Normal 4 5 4 7 2 4" xfId="15039" xr:uid="{00000000-0005-0000-0000-0000B3190000}"/>
    <cellStyle name="Normal 4 5 4 7 3" xfId="3676" xr:uid="{00000000-0005-0000-0000-0000B4190000}"/>
    <cellStyle name="Normal 4 5 4 7 3 2" xfId="3677" xr:uid="{00000000-0005-0000-0000-0000B5190000}"/>
    <cellStyle name="Normal 4 5 4 7 3 2 2" xfId="15040" xr:uid="{00000000-0005-0000-0000-0000B6190000}"/>
    <cellStyle name="Normal 4 5 4 7 3 3" xfId="3678" xr:uid="{00000000-0005-0000-0000-0000B7190000}"/>
    <cellStyle name="Normal 4 5 4 7 3 3 2" xfId="15041" xr:uid="{00000000-0005-0000-0000-0000B8190000}"/>
    <cellStyle name="Normal 4 5 4 7 3 4" xfId="15042" xr:uid="{00000000-0005-0000-0000-0000B9190000}"/>
    <cellStyle name="Normal 4 5 4 7 4" xfId="3679" xr:uid="{00000000-0005-0000-0000-0000BA190000}"/>
    <cellStyle name="Normal 4 5 4 7 4 2" xfId="15043" xr:uid="{00000000-0005-0000-0000-0000BB190000}"/>
    <cellStyle name="Normal 4 5 4 7 5" xfId="3680" xr:uid="{00000000-0005-0000-0000-0000BC190000}"/>
    <cellStyle name="Normal 4 5 4 7 5 2" xfId="15044" xr:uid="{00000000-0005-0000-0000-0000BD190000}"/>
    <cellStyle name="Normal 4 5 4 7 6" xfId="15045" xr:uid="{00000000-0005-0000-0000-0000BE190000}"/>
    <cellStyle name="Normal 4 5 4 8" xfId="3681" xr:uid="{00000000-0005-0000-0000-0000BF190000}"/>
    <cellStyle name="Normal 4 5 4 8 2" xfId="3682" xr:uid="{00000000-0005-0000-0000-0000C0190000}"/>
    <cellStyle name="Normal 4 5 4 8 2 2" xfId="15046" xr:uid="{00000000-0005-0000-0000-0000C1190000}"/>
    <cellStyle name="Normal 4 5 4 8 3" xfId="3683" xr:uid="{00000000-0005-0000-0000-0000C2190000}"/>
    <cellStyle name="Normal 4 5 4 8 3 2" xfId="15047" xr:uid="{00000000-0005-0000-0000-0000C3190000}"/>
    <cellStyle name="Normal 4 5 4 8 4" xfId="15048" xr:uid="{00000000-0005-0000-0000-0000C4190000}"/>
    <cellStyle name="Normal 4 5 4 9" xfId="3684" xr:uid="{00000000-0005-0000-0000-0000C5190000}"/>
    <cellStyle name="Normal 4 5 4 9 2" xfId="3685" xr:uid="{00000000-0005-0000-0000-0000C6190000}"/>
    <cellStyle name="Normal 4 5 4 9 2 2" xfId="15049" xr:uid="{00000000-0005-0000-0000-0000C7190000}"/>
    <cellStyle name="Normal 4 5 4 9 3" xfId="3686" xr:uid="{00000000-0005-0000-0000-0000C8190000}"/>
    <cellStyle name="Normal 4 5 4 9 3 2" xfId="15050" xr:uid="{00000000-0005-0000-0000-0000C9190000}"/>
    <cellStyle name="Normal 4 5 4 9 4" xfId="15051" xr:uid="{00000000-0005-0000-0000-0000CA190000}"/>
    <cellStyle name="Normal 4 5 5" xfId="3687" xr:uid="{00000000-0005-0000-0000-0000CB190000}"/>
    <cellStyle name="Normal 4 5 5 10" xfId="3688" xr:uid="{00000000-0005-0000-0000-0000CC190000}"/>
    <cellStyle name="Normal 4 5 5 10 2" xfId="15052" xr:uid="{00000000-0005-0000-0000-0000CD190000}"/>
    <cellStyle name="Normal 4 5 5 11" xfId="3689" xr:uid="{00000000-0005-0000-0000-0000CE190000}"/>
    <cellStyle name="Normal 4 5 5 11 2" xfId="15053" xr:uid="{00000000-0005-0000-0000-0000CF190000}"/>
    <cellStyle name="Normal 4 5 5 12" xfId="15054" xr:uid="{00000000-0005-0000-0000-0000D0190000}"/>
    <cellStyle name="Normal 4 5 5 2" xfId="3690" xr:uid="{00000000-0005-0000-0000-0000D1190000}"/>
    <cellStyle name="Normal 4 5 5 2 10" xfId="3691" xr:uid="{00000000-0005-0000-0000-0000D2190000}"/>
    <cellStyle name="Normal 4 5 5 2 10 2" xfId="15055" xr:uid="{00000000-0005-0000-0000-0000D3190000}"/>
    <cellStyle name="Normal 4 5 5 2 11" xfId="15056" xr:uid="{00000000-0005-0000-0000-0000D4190000}"/>
    <cellStyle name="Normal 4 5 5 2 2" xfId="3692" xr:uid="{00000000-0005-0000-0000-0000D5190000}"/>
    <cellStyle name="Normal 4 5 5 2 2 10" xfId="15057" xr:uid="{00000000-0005-0000-0000-0000D6190000}"/>
    <cellStyle name="Normal 4 5 5 2 2 2" xfId="3693" xr:uid="{00000000-0005-0000-0000-0000D7190000}"/>
    <cellStyle name="Normal 4 5 5 2 2 2 2" xfId="3694" xr:uid="{00000000-0005-0000-0000-0000D8190000}"/>
    <cellStyle name="Normal 4 5 5 2 2 2 2 2" xfId="3695" xr:uid="{00000000-0005-0000-0000-0000D9190000}"/>
    <cellStyle name="Normal 4 5 5 2 2 2 2 2 2" xfId="3696" xr:uid="{00000000-0005-0000-0000-0000DA190000}"/>
    <cellStyle name="Normal 4 5 5 2 2 2 2 2 2 2" xfId="15058" xr:uid="{00000000-0005-0000-0000-0000DB190000}"/>
    <cellStyle name="Normal 4 5 5 2 2 2 2 2 3" xfId="3697" xr:uid="{00000000-0005-0000-0000-0000DC190000}"/>
    <cellStyle name="Normal 4 5 5 2 2 2 2 2 3 2" xfId="15059" xr:uid="{00000000-0005-0000-0000-0000DD190000}"/>
    <cellStyle name="Normal 4 5 5 2 2 2 2 2 4" xfId="15060" xr:uid="{00000000-0005-0000-0000-0000DE190000}"/>
    <cellStyle name="Normal 4 5 5 2 2 2 2 3" xfId="3698" xr:uid="{00000000-0005-0000-0000-0000DF190000}"/>
    <cellStyle name="Normal 4 5 5 2 2 2 2 3 2" xfId="3699" xr:uid="{00000000-0005-0000-0000-0000E0190000}"/>
    <cellStyle name="Normal 4 5 5 2 2 2 2 3 2 2" xfId="15061" xr:uid="{00000000-0005-0000-0000-0000E1190000}"/>
    <cellStyle name="Normal 4 5 5 2 2 2 2 3 3" xfId="3700" xr:uid="{00000000-0005-0000-0000-0000E2190000}"/>
    <cellStyle name="Normal 4 5 5 2 2 2 2 3 3 2" xfId="15062" xr:uid="{00000000-0005-0000-0000-0000E3190000}"/>
    <cellStyle name="Normal 4 5 5 2 2 2 2 3 4" xfId="15063" xr:uid="{00000000-0005-0000-0000-0000E4190000}"/>
    <cellStyle name="Normal 4 5 5 2 2 2 2 4" xfId="3701" xr:uid="{00000000-0005-0000-0000-0000E5190000}"/>
    <cellStyle name="Normal 4 5 5 2 2 2 2 4 2" xfId="15064" xr:uid="{00000000-0005-0000-0000-0000E6190000}"/>
    <cellStyle name="Normal 4 5 5 2 2 2 2 5" xfId="3702" xr:uid="{00000000-0005-0000-0000-0000E7190000}"/>
    <cellStyle name="Normal 4 5 5 2 2 2 2 5 2" xfId="15065" xr:uid="{00000000-0005-0000-0000-0000E8190000}"/>
    <cellStyle name="Normal 4 5 5 2 2 2 2 6" xfId="15066" xr:uid="{00000000-0005-0000-0000-0000E9190000}"/>
    <cellStyle name="Normal 4 5 5 2 2 2 3" xfId="3703" xr:uid="{00000000-0005-0000-0000-0000EA190000}"/>
    <cellStyle name="Normal 4 5 5 2 2 2 3 2" xfId="3704" xr:uid="{00000000-0005-0000-0000-0000EB190000}"/>
    <cellStyle name="Normal 4 5 5 2 2 2 3 2 2" xfId="3705" xr:uid="{00000000-0005-0000-0000-0000EC190000}"/>
    <cellStyle name="Normal 4 5 5 2 2 2 3 2 2 2" xfId="15067" xr:uid="{00000000-0005-0000-0000-0000ED190000}"/>
    <cellStyle name="Normal 4 5 5 2 2 2 3 2 3" xfId="3706" xr:uid="{00000000-0005-0000-0000-0000EE190000}"/>
    <cellStyle name="Normal 4 5 5 2 2 2 3 2 3 2" xfId="15068" xr:uid="{00000000-0005-0000-0000-0000EF190000}"/>
    <cellStyle name="Normal 4 5 5 2 2 2 3 2 4" xfId="15069" xr:uid="{00000000-0005-0000-0000-0000F0190000}"/>
    <cellStyle name="Normal 4 5 5 2 2 2 3 3" xfId="3707" xr:uid="{00000000-0005-0000-0000-0000F1190000}"/>
    <cellStyle name="Normal 4 5 5 2 2 2 3 3 2" xfId="3708" xr:uid="{00000000-0005-0000-0000-0000F2190000}"/>
    <cellStyle name="Normal 4 5 5 2 2 2 3 3 2 2" xfId="15070" xr:uid="{00000000-0005-0000-0000-0000F3190000}"/>
    <cellStyle name="Normal 4 5 5 2 2 2 3 3 3" xfId="3709" xr:uid="{00000000-0005-0000-0000-0000F4190000}"/>
    <cellStyle name="Normal 4 5 5 2 2 2 3 3 3 2" xfId="15071" xr:uid="{00000000-0005-0000-0000-0000F5190000}"/>
    <cellStyle name="Normal 4 5 5 2 2 2 3 3 4" xfId="15072" xr:uid="{00000000-0005-0000-0000-0000F6190000}"/>
    <cellStyle name="Normal 4 5 5 2 2 2 3 4" xfId="3710" xr:uid="{00000000-0005-0000-0000-0000F7190000}"/>
    <cellStyle name="Normal 4 5 5 2 2 2 3 4 2" xfId="15073" xr:uid="{00000000-0005-0000-0000-0000F8190000}"/>
    <cellStyle name="Normal 4 5 5 2 2 2 3 5" xfId="3711" xr:uid="{00000000-0005-0000-0000-0000F9190000}"/>
    <cellStyle name="Normal 4 5 5 2 2 2 3 5 2" xfId="15074" xr:uid="{00000000-0005-0000-0000-0000FA190000}"/>
    <cellStyle name="Normal 4 5 5 2 2 2 3 6" xfId="15075" xr:uid="{00000000-0005-0000-0000-0000FB190000}"/>
    <cellStyle name="Normal 4 5 5 2 2 2 4" xfId="3712" xr:uid="{00000000-0005-0000-0000-0000FC190000}"/>
    <cellStyle name="Normal 4 5 5 2 2 2 4 2" xfId="3713" xr:uid="{00000000-0005-0000-0000-0000FD190000}"/>
    <cellStyle name="Normal 4 5 5 2 2 2 4 2 2" xfId="15076" xr:uid="{00000000-0005-0000-0000-0000FE190000}"/>
    <cellStyle name="Normal 4 5 5 2 2 2 4 3" xfId="3714" xr:uid="{00000000-0005-0000-0000-0000FF190000}"/>
    <cellStyle name="Normal 4 5 5 2 2 2 4 3 2" xfId="15077" xr:uid="{00000000-0005-0000-0000-0000001A0000}"/>
    <cellStyle name="Normal 4 5 5 2 2 2 4 4" xfId="15078" xr:uid="{00000000-0005-0000-0000-0000011A0000}"/>
    <cellStyle name="Normal 4 5 5 2 2 2 5" xfId="3715" xr:uid="{00000000-0005-0000-0000-0000021A0000}"/>
    <cellStyle name="Normal 4 5 5 2 2 2 5 2" xfId="3716" xr:uid="{00000000-0005-0000-0000-0000031A0000}"/>
    <cellStyle name="Normal 4 5 5 2 2 2 5 2 2" xfId="15079" xr:uid="{00000000-0005-0000-0000-0000041A0000}"/>
    <cellStyle name="Normal 4 5 5 2 2 2 5 3" xfId="3717" xr:uid="{00000000-0005-0000-0000-0000051A0000}"/>
    <cellStyle name="Normal 4 5 5 2 2 2 5 3 2" xfId="15080" xr:uid="{00000000-0005-0000-0000-0000061A0000}"/>
    <cellStyle name="Normal 4 5 5 2 2 2 5 4" xfId="15081" xr:uid="{00000000-0005-0000-0000-0000071A0000}"/>
    <cellStyle name="Normal 4 5 5 2 2 2 6" xfId="3718" xr:uid="{00000000-0005-0000-0000-0000081A0000}"/>
    <cellStyle name="Normal 4 5 5 2 2 2 6 2" xfId="15082" xr:uid="{00000000-0005-0000-0000-0000091A0000}"/>
    <cellStyle name="Normal 4 5 5 2 2 2 7" xfId="3719" xr:uid="{00000000-0005-0000-0000-00000A1A0000}"/>
    <cellStyle name="Normal 4 5 5 2 2 2 7 2" xfId="15083" xr:uid="{00000000-0005-0000-0000-00000B1A0000}"/>
    <cellStyle name="Normal 4 5 5 2 2 2 8" xfId="15084" xr:uid="{00000000-0005-0000-0000-00000C1A0000}"/>
    <cellStyle name="Normal 4 5 5 2 2 3" xfId="3720" xr:uid="{00000000-0005-0000-0000-00000D1A0000}"/>
    <cellStyle name="Normal 4 5 5 2 2 3 2" xfId="3721" xr:uid="{00000000-0005-0000-0000-00000E1A0000}"/>
    <cellStyle name="Normal 4 5 5 2 2 3 2 2" xfId="3722" xr:uid="{00000000-0005-0000-0000-00000F1A0000}"/>
    <cellStyle name="Normal 4 5 5 2 2 3 2 2 2" xfId="3723" xr:uid="{00000000-0005-0000-0000-0000101A0000}"/>
    <cellStyle name="Normal 4 5 5 2 2 3 2 2 2 2" xfId="15085" xr:uid="{00000000-0005-0000-0000-0000111A0000}"/>
    <cellStyle name="Normal 4 5 5 2 2 3 2 2 3" xfId="3724" xr:uid="{00000000-0005-0000-0000-0000121A0000}"/>
    <cellStyle name="Normal 4 5 5 2 2 3 2 2 3 2" xfId="15086" xr:uid="{00000000-0005-0000-0000-0000131A0000}"/>
    <cellStyle name="Normal 4 5 5 2 2 3 2 2 4" xfId="15087" xr:uid="{00000000-0005-0000-0000-0000141A0000}"/>
    <cellStyle name="Normal 4 5 5 2 2 3 2 3" xfId="3725" xr:uid="{00000000-0005-0000-0000-0000151A0000}"/>
    <cellStyle name="Normal 4 5 5 2 2 3 2 3 2" xfId="3726" xr:uid="{00000000-0005-0000-0000-0000161A0000}"/>
    <cellStyle name="Normal 4 5 5 2 2 3 2 3 2 2" xfId="15088" xr:uid="{00000000-0005-0000-0000-0000171A0000}"/>
    <cellStyle name="Normal 4 5 5 2 2 3 2 3 3" xfId="3727" xr:uid="{00000000-0005-0000-0000-0000181A0000}"/>
    <cellStyle name="Normal 4 5 5 2 2 3 2 3 3 2" xfId="15089" xr:uid="{00000000-0005-0000-0000-0000191A0000}"/>
    <cellStyle name="Normal 4 5 5 2 2 3 2 3 4" xfId="15090" xr:uid="{00000000-0005-0000-0000-00001A1A0000}"/>
    <cellStyle name="Normal 4 5 5 2 2 3 2 4" xfId="3728" xr:uid="{00000000-0005-0000-0000-00001B1A0000}"/>
    <cellStyle name="Normal 4 5 5 2 2 3 2 4 2" xfId="15091" xr:uid="{00000000-0005-0000-0000-00001C1A0000}"/>
    <cellStyle name="Normal 4 5 5 2 2 3 2 5" xfId="3729" xr:uid="{00000000-0005-0000-0000-00001D1A0000}"/>
    <cellStyle name="Normal 4 5 5 2 2 3 2 5 2" xfId="15092" xr:uid="{00000000-0005-0000-0000-00001E1A0000}"/>
    <cellStyle name="Normal 4 5 5 2 2 3 2 6" xfId="15093" xr:uid="{00000000-0005-0000-0000-00001F1A0000}"/>
    <cellStyle name="Normal 4 5 5 2 2 3 3" xfId="3730" xr:uid="{00000000-0005-0000-0000-0000201A0000}"/>
    <cellStyle name="Normal 4 5 5 2 2 3 3 2" xfId="3731" xr:uid="{00000000-0005-0000-0000-0000211A0000}"/>
    <cellStyle name="Normal 4 5 5 2 2 3 3 2 2" xfId="15094" xr:uid="{00000000-0005-0000-0000-0000221A0000}"/>
    <cellStyle name="Normal 4 5 5 2 2 3 3 3" xfId="3732" xr:uid="{00000000-0005-0000-0000-0000231A0000}"/>
    <cellStyle name="Normal 4 5 5 2 2 3 3 3 2" xfId="15095" xr:uid="{00000000-0005-0000-0000-0000241A0000}"/>
    <cellStyle name="Normal 4 5 5 2 2 3 3 4" xfId="15096" xr:uid="{00000000-0005-0000-0000-0000251A0000}"/>
    <cellStyle name="Normal 4 5 5 2 2 3 4" xfId="3733" xr:uid="{00000000-0005-0000-0000-0000261A0000}"/>
    <cellStyle name="Normal 4 5 5 2 2 3 4 2" xfId="3734" xr:uid="{00000000-0005-0000-0000-0000271A0000}"/>
    <cellStyle name="Normal 4 5 5 2 2 3 4 2 2" xfId="15097" xr:uid="{00000000-0005-0000-0000-0000281A0000}"/>
    <cellStyle name="Normal 4 5 5 2 2 3 4 3" xfId="3735" xr:uid="{00000000-0005-0000-0000-0000291A0000}"/>
    <cellStyle name="Normal 4 5 5 2 2 3 4 3 2" xfId="15098" xr:uid="{00000000-0005-0000-0000-00002A1A0000}"/>
    <cellStyle name="Normal 4 5 5 2 2 3 4 4" xfId="15099" xr:uid="{00000000-0005-0000-0000-00002B1A0000}"/>
    <cellStyle name="Normal 4 5 5 2 2 3 5" xfId="3736" xr:uid="{00000000-0005-0000-0000-00002C1A0000}"/>
    <cellStyle name="Normal 4 5 5 2 2 3 5 2" xfId="15100" xr:uid="{00000000-0005-0000-0000-00002D1A0000}"/>
    <cellStyle name="Normal 4 5 5 2 2 3 6" xfId="3737" xr:uid="{00000000-0005-0000-0000-00002E1A0000}"/>
    <cellStyle name="Normal 4 5 5 2 2 3 6 2" xfId="15101" xr:uid="{00000000-0005-0000-0000-00002F1A0000}"/>
    <cellStyle name="Normal 4 5 5 2 2 3 7" xfId="15102" xr:uid="{00000000-0005-0000-0000-0000301A0000}"/>
    <cellStyle name="Normal 4 5 5 2 2 4" xfId="3738" xr:uid="{00000000-0005-0000-0000-0000311A0000}"/>
    <cellStyle name="Normal 4 5 5 2 2 4 2" xfId="3739" xr:uid="{00000000-0005-0000-0000-0000321A0000}"/>
    <cellStyle name="Normal 4 5 5 2 2 4 2 2" xfId="3740" xr:uid="{00000000-0005-0000-0000-0000331A0000}"/>
    <cellStyle name="Normal 4 5 5 2 2 4 2 2 2" xfId="15103" xr:uid="{00000000-0005-0000-0000-0000341A0000}"/>
    <cellStyle name="Normal 4 5 5 2 2 4 2 3" xfId="3741" xr:uid="{00000000-0005-0000-0000-0000351A0000}"/>
    <cellStyle name="Normal 4 5 5 2 2 4 2 3 2" xfId="15104" xr:uid="{00000000-0005-0000-0000-0000361A0000}"/>
    <cellStyle name="Normal 4 5 5 2 2 4 2 4" xfId="15105" xr:uid="{00000000-0005-0000-0000-0000371A0000}"/>
    <cellStyle name="Normal 4 5 5 2 2 4 3" xfId="3742" xr:uid="{00000000-0005-0000-0000-0000381A0000}"/>
    <cellStyle name="Normal 4 5 5 2 2 4 3 2" xfId="3743" xr:uid="{00000000-0005-0000-0000-0000391A0000}"/>
    <cellStyle name="Normal 4 5 5 2 2 4 3 2 2" xfId="15106" xr:uid="{00000000-0005-0000-0000-00003A1A0000}"/>
    <cellStyle name="Normal 4 5 5 2 2 4 3 3" xfId="3744" xr:uid="{00000000-0005-0000-0000-00003B1A0000}"/>
    <cellStyle name="Normal 4 5 5 2 2 4 3 3 2" xfId="15107" xr:uid="{00000000-0005-0000-0000-00003C1A0000}"/>
    <cellStyle name="Normal 4 5 5 2 2 4 3 4" xfId="15108" xr:uid="{00000000-0005-0000-0000-00003D1A0000}"/>
    <cellStyle name="Normal 4 5 5 2 2 4 4" xfId="3745" xr:uid="{00000000-0005-0000-0000-00003E1A0000}"/>
    <cellStyle name="Normal 4 5 5 2 2 4 4 2" xfId="15109" xr:uid="{00000000-0005-0000-0000-00003F1A0000}"/>
    <cellStyle name="Normal 4 5 5 2 2 4 5" xfId="3746" xr:uid="{00000000-0005-0000-0000-0000401A0000}"/>
    <cellStyle name="Normal 4 5 5 2 2 4 5 2" xfId="15110" xr:uid="{00000000-0005-0000-0000-0000411A0000}"/>
    <cellStyle name="Normal 4 5 5 2 2 4 6" xfId="15111" xr:uid="{00000000-0005-0000-0000-0000421A0000}"/>
    <cellStyle name="Normal 4 5 5 2 2 5" xfId="3747" xr:uid="{00000000-0005-0000-0000-0000431A0000}"/>
    <cellStyle name="Normal 4 5 5 2 2 5 2" xfId="3748" xr:uid="{00000000-0005-0000-0000-0000441A0000}"/>
    <cellStyle name="Normal 4 5 5 2 2 5 2 2" xfId="3749" xr:uid="{00000000-0005-0000-0000-0000451A0000}"/>
    <cellStyle name="Normal 4 5 5 2 2 5 2 2 2" xfId="15112" xr:uid="{00000000-0005-0000-0000-0000461A0000}"/>
    <cellStyle name="Normal 4 5 5 2 2 5 2 3" xfId="3750" xr:uid="{00000000-0005-0000-0000-0000471A0000}"/>
    <cellStyle name="Normal 4 5 5 2 2 5 2 3 2" xfId="15113" xr:uid="{00000000-0005-0000-0000-0000481A0000}"/>
    <cellStyle name="Normal 4 5 5 2 2 5 2 4" xfId="15114" xr:uid="{00000000-0005-0000-0000-0000491A0000}"/>
    <cellStyle name="Normal 4 5 5 2 2 5 3" xfId="3751" xr:uid="{00000000-0005-0000-0000-00004A1A0000}"/>
    <cellStyle name="Normal 4 5 5 2 2 5 3 2" xfId="3752" xr:uid="{00000000-0005-0000-0000-00004B1A0000}"/>
    <cellStyle name="Normal 4 5 5 2 2 5 3 2 2" xfId="15115" xr:uid="{00000000-0005-0000-0000-00004C1A0000}"/>
    <cellStyle name="Normal 4 5 5 2 2 5 3 3" xfId="3753" xr:uid="{00000000-0005-0000-0000-00004D1A0000}"/>
    <cellStyle name="Normal 4 5 5 2 2 5 3 3 2" xfId="15116" xr:uid="{00000000-0005-0000-0000-00004E1A0000}"/>
    <cellStyle name="Normal 4 5 5 2 2 5 3 4" xfId="15117" xr:uid="{00000000-0005-0000-0000-00004F1A0000}"/>
    <cellStyle name="Normal 4 5 5 2 2 5 4" xfId="3754" xr:uid="{00000000-0005-0000-0000-0000501A0000}"/>
    <cellStyle name="Normal 4 5 5 2 2 5 4 2" xfId="15118" xr:uid="{00000000-0005-0000-0000-0000511A0000}"/>
    <cellStyle name="Normal 4 5 5 2 2 5 5" xfId="3755" xr:uid="{00000000-0005-0000-0000-0000521A0000}"/>
    <cellStyle name="Normal 4 5 5 2 2 5 5 2" xfId="15119" xr:uid="{00000000-0005-0000-0000-0000531A0000}"/>
    <cellStyle name="Normal 4 5 5 2 2 5 6" xfId="15120" xr:uid="{00000000-0005-0000-0000-0000541A0000}"/>
    <cellStyle name="Normal 4 5 5 2 2 6" xfId="3756" xr:uid="{00000000-0005-0000-0000-0000551A0000}"/>
    <cellStyle name="Normal 4 5 5 2 2 6 2" xfId="3757" xr:uid="{00000000-0005-0000-0000-0000561A0000}"/>
    <cellStyle name="Normal 4 5 5 2 2 6 2 2" xfId="15121" xr:uid="{00000000-0005-0000-0000-0000571A0000}"/>
    <cellStyle name="Normal 4 5 5 2 2 6 3" xfId="3758" xr:uid="{00000000-0005-0000-0000-0000581A0000}"/>
    <cellStyle name="Normal 4 5 5 2 2 6 3 2" xfId="15122" xr:uid="{00000000-0005-0000-0000-0000591A0000}"/>
    <cellStyle name="Normal 4 5 5 2 2 6 4" xfId="15123" xr:uid="{00000000-0005-0000-0000-00005A1A0000}"/>
    <cellStyle name="Normal 4 5 5 2 2 7" xfId="3759" xr:uid="{00000000-0005-0000-0000-00005B1A0000}"/>
    <cellStyle name="Normal 4 5 5 2 2 7 2" xfId="3760" xr:uid="{00000000-0005-0000-0000-00005C1A0000}"/>
    <cellStyle name="Normal 4 5 5 2 2 7 2 2" xfId="15124" xr:uid="{00000000-0005-0000-0000-00005D1A0000}"/>
    <cellStyle name="Normal 4 5 5 2 2 7 3" xfId="3761" xr:uid="{00000000-0005-0000-0000-00005E1A0000}"/>
    <cellStyle name="Normal 4 5 5 2 2 7 3 2" xfId="15125" xr:uid="{00000000-0005-0000-0000-00005F1A0000}"/>
    <cellStyle name="Normal 4 5 5 2 2 7 4" xfId="15126" xr:uid="{00000000-0005-0000-0000-0000601A0000}"/>
    <cellStyle name="Normal 4 5 5 2 2 8" xfId="3762" xr:uid="{00000000-0005-0000-0000-0000611A0000}"/>
    <cellStyle name="Normal 4 5 5 2 2 8 2" xfId="15127" xr:uid="{00000000-0005-0000-0000-0000621A0000}"/>
    <cellStyle name="Normal 4 5 5 2 2 9" xfId="3763" xr:uid="{00000000-0005-0000-0000-0000631A0000}"/>
    <cellStyle name="Normal 4 5 5 2 2 9 2" xfId="15128" xr:uid="{00000000-0005-0000-0000-0000641A0000}"/>
    <cellStyle name="Normal 4 5 5 2 3" xfId="3764" xr:uid="{00000000-0005-0000-0000-0000651A0000}"/>
    <cellStyle name="Normal 4 5 5 2 3 2" xfId="3765" xr:uid="{00000000-0005-0000-0000-0000661A0000}"/>
    <cellStyle name="Normal 4 5 5 2 3 2 2" xfId="3766" xr:uid="{00000000-0005-0000-0000-0000671A0000}"/>
    <cellStyle name="Normal 4 5 5 2 3 2 2 2" xfId="3767" xr:uid="{00000000-0005-0000-0000-0000681A0000}"/>
    <cellStyle name="Normal 4 5 5 2 3 2 2 2 2" xfId="15129" xr:uid="{00000000-0005-0000-0000-0000691A0000}"/>
    <cellStyle name="Normal 4 5 5 2 3 2 2 3" xfId="3768" xr:uid="{00000000-0005-0000-0000-00006A1A0000}"/>
    <cellStyle name="Normal 4 5 5 2 3 2 2 3 2" xfId="15130" xr:uid="{00000000-0005-0000-0000-00006B1A0000}"/>
    <cellStyle name="Normal 4 5 5 2 3 2 2 4" xfId="15131" xr:uid="{00000000-0005-0000-0000-00006C1A0000}"/>
    <cellStyle name="Normal 4 5 5 2 3 2 3" xfId="3769" xr:uid="{00000000-0005-0000-0000-00006D1A0000}"/>
    <cellStyle name="Normal 4 5 5 2 3 2 3 2" xfId="3770" xr:uid="{00000000-0005-0000-0000-00006E1A0000}"/>
    <cellStyle name="Normal 4 5 5 2 3 2 3 2 2" xfId="15132" xr:uid="{00000000-0005-0000-0000-00006F1A0000}"/>
    <cellStyle name="Normal 4 5 5 2 3 2 3 3" xfId="3771" xr:uid="{00000000-0005-0000-0000-0000701A0000}"/>
    <cellStyle name="Normal 4 5 5 2 3 2 3 3 2" xfId="15133" xr:uid="{00000000-0005-0000-0000-0000711A0000}"/>
    <cellStyle name="Normal 4 5 5 2 3 2 3 4" xfId="15134" xr:uid="{00000000-0005-0000-0000-0000721A0000}"/>
    <cellStyle name="Normal 4 5 5 2 3 2 4" xfId="3772" xr:uid="{00000000-0005-0000-0000-0000731A0000}"/>
    <cellStyle name="Normal 4 5 5 2 3 2 4 2" xfId="15135" xr:uid="{00000000-0005-0000-0000-0000741A0000}"/>
    <cellStyle name="Normal 4 5 5 2 3 2 5" xfId="3773" xr:uid="{00000000-0005-0000-0000-0000751A0000}"/>
    <cellStyle name="Normal 4 5 5 2 3 2 5 2" xfId="15136" xr:uid="{00000000-0005-0000-0000-0000761A0000}"/>
    <cellStyle name="Normal 4 5 5 2 3 2 6" xfId="15137" xr:uid="{00000000-0005-0000-0000-0000771A0000}"/>
    <cellStyle name="Normal 4 5 5 2 3 3" xfId="3774" xr:uid="{00000000-0005-0000-0000-0000781A0000}"/>
    <cellStyle name="Normal 4 5 5 2 3 3 2" xfId="3775" xr:uid="{00000000-0005-0000-0000-0000791A0000}"/>
    <cellStyle name="Normal 4 5 5 2 3 3 2 2" xfId="3776" xr:uid="{00000000-0005-0000-0000-00007A1A0000}"/>
    <cellStyle name="Normal 4 5 5 2 3 3 2 2 2" xfId="15138" xr:uid="{00000000-0005-0000-0000-00007B1A0000}"/>
    <cellStyle name="Normal 4 5 5 2 3 3 2 3" xfId="3777" xr:uid="{00000000-0005-0000-0000-00007C1A0000}"/>
    <cellStyle name="Normal 4 5 5 2 3 3 2 3 2" xfId="15139" xr:uid="{00000000-0005-0000-0000-00007D1A0000}"/>
    <cellStyle name="Normal 4 5 5 2 3 3 2 4" xfId="15140" xr:uid="{00000000-0005-0000-0000-00007E1A0000}"/>
    <cellStyle name="Normal 4 5 5 2 3 3 3" xfId="3778" xr:uid="{00000000-0005-0000-0000-00007F1A0000}"/>
    <cellStyle name="Normal 4 5 5 2 3 3 3 2" xfId="3779" xr:uid="{00000000-0005-0000-0000-0000801A0000}"/>
    <cellStyle name="Normal 4 5 5 2 3 3 3 2 2" xfId="15141" xr:uid="{00000000-0005-0000-0000-0000811A0000}"/>
    <cellStyle name="Normal 4 5 5 2 3 3 3 3" xfId="3780" xr:uid="{00000000-0005-0000-0000-0000821A0000}"/>
    <cellStyle name="Normal 4 5 5 2 3 3 3 3 2" xfId="15142" xr:uid="{00000000-0005-0000-0000-0000831A0000}"/>
    <cellStyle name="Normal 4 5 5 2 3 3 3 4" xfId="15143" xr:uid="{00000000-0005-0000-0000-0000841A0000}"/>
    <cellStyle name="Normal 4 5 5 2 3 3 4" xfId="3781" xr:uid="{00000000-0005-0000-0000-0000851A0000}"/>
    <cellStyle name="Normal 4 5 5 2 3 3 4 2" xfId="15144" xr:uid="{00000000-0005-0000-0000-0000861A0000}"/>
    <cellStyle name="Normal 4 5 5 2 3 3 5" xfId="3782" xr:uid="{00000000-0005-0000-0000-0000871A0000}"/>
    <cellStyle name="Normal 4 5 5 2 3 3 5 2" xfId="15145" xr:uid="{00000000-0005-0000-0000-0000881A0000}"/>
    <cellStyle name="Normal 4 5 5 2 3 3 6" xfId="15146" xr:uid="{00000000-0005-0000-0000-0000891A0000}"/>
    <cellStyle name="Normal 4 5 5 2 3 4" xfId="3783" xr:uid="{00000000-0005-0000-0000-00008A1A0000}"/>
    <cellStyle name="Normal 4 5 5 2 3 4 2" xfId="3784" xr:uid="{00000000-0005-0000-0000-00008B1A0000}"/>
    <cellStyle name="Normal 4 5 5 2 3 4 2 2" xfId="15147" xr:uid="{00000000-0005-0000-0000-00008C1A0000}"/>
    <cellStyle name="Normal 4 5 5 2 3 4 3" xfId="3785" xr:uid="{00000000-0005-0000-0000-00008D1A0000}"/>
    <cellStyle name="Normal 4 5 5 2 3 4 3 2" xfId="15148" xr:uid="{00000000-0005-0000-0000-00008E1A0000}"/>
    <cellStyle name="Normal 4 5 5 2 3 4 4" xfId="15149" xr:uid="{00000000-0005-0000-0000-00008F1A0000}"/>
    <cellStyle name="Normal 4 5 5 2 3 5" xfId="3786" xr:uid="{00000000-0005-0000-0000-0000901A0000}"/>
    <cellStyle name="Normal 4 5 5 2 3 5 2" xfId="3787" xr:uid="{00000000-0005-0000-0000-0000911A0000}"/>
    <cellStyle name="Normal 4 5 5 2 3 5 2 2" xfId="15150" xr:uid="{00000000-0005-0000-0000-0000921A0000}"/>
    <cellStyle name="Normal 4 5 5 2 3 5 3" xfId="3788" xr:uid="{00000000-0005-0000-0000-0000931A0000}"/>
    <cellStyle name="Normal 4 5 5 2 3 5 3 2" xfId="15151" xr:uid="{00000000-0005-0000-0000-0000941A0000}"/>
    <cellStyle name="Normal 4 5 5 2 3 5 4" xfId="15152" xr:uid="{00000000-0005-0000-0000-0000951A0000}"/>
    <cellStyle name="Normal 4 5 5 2 3 6" xfId="3789" xr:uid="{00000000-0005-0000-0000-0000961A0000}"/>
    <cellStyle name="Normal 4 5 5 2 3 6 2" xfId="15153" xr:uid="{00000000-0005-0000-0000-0000971A0000}"/>
    <cellStyle name="Normal 4 5 5 2 3 7" xfId="3790" xr:uid="{00000000-0005-0000-0000-0000981A0000}"/>
    <cellStyle name="Normal 4 5 5 2 3 7 2" xfId="15154" xr:uid="{00000000-0005-0000-0000-0000991A0000}"/>
    <cellStyle name="Normal 4 5 5 2 3 8" xfId="15155" xr:uid="{00000000-0005-0000-0000-00009A1A0000}"/>
    <cellStyle name="Normal 4 5 5 2 4" xfId="3791" xr:uid="{00000000-0005-0000-0000-00009B1A0000}"/>
    <cellStyle name="Normal 4 5 5 2 4 2" xfId="3792" xr:uid="{00000000-0005-0000-0000-00009C1A0000}"/>
    <cellStyle name="Normal 4 5 5 2 4 2 2" xfId="3793" xr:uid="{00000000-0005-0000-0000-00009D1A0000}"/>
    <cellStyle name="Normal 4 5 5 2 4 2 2 2" xfId="3794" xr:uid="{00000000-0005-0000-0000-00009E1A0000}"/>
    <cellStyle name="Normal 4 5 5 2 4 2 2 2 2" xfId="15156" xr:uid="{00000000-0005-0000-0000-00009F1A0000}"/>
    <cellStyle name="Normal 4 5 5 2 4 2 2 3" xfId="3795" xr:uid="{00000000-0005-0000-0000-0000A01A0000}"/>
    <cellStyle name="Normal 4 5 5 2 4 2 2 3 2" xfId="15157" xr:uid="{00000000-0005-0000-0000-0000A11A0000}"/>
    <cellStyle name="Normal 4 5 5 2 4 2 2 4" xfId="15158" xr:uid="{00000000-0005-0000-0000-0000A21A0000}"/>
    <cellStyle name="Normal 4 5 5 2 4 2 3" xfId="3796" xr:uid="{00000000-0005-0000-0000-0000A31A0000}"/>
    <cellStyle name="Normal 4 5 5 2 4 2 3 2" xfId="3797" xr:uid="{00000000-0005-0000-0000-0000A41A0000}"/>
    <cellStyle name="Normal 4 5 5 2 4 2 3 2 2" xfId="15159" xr:uid="{00000000-0005-0000-0000-0000A51A0000}"/>
    <cellStyle name="Normal 4 5 5 2 4 2 3 3" xfId="3798" xr:uid="{00000000-0005-0000-0000-0000A61A0000}"/>
    <cellStyle name="Normal 4 5 5 2 4 2 3 3 2" xfId="15160" xr:uid="{00000000-0005-0000-0000-0000A71A0000}"/>
    <cellStyle name="Normal 4 5 5 2 4 2 3 4" xfId="15161" xr:uid="{00000000-0005-0000-0000-0000A81A0000}"/>
    <cellStyle name="Normal 4 5 5 2 4 2 4" xfId="3799" xr:uid="{00000000-0005-0000-0000-0000A91A0000}"/>
    <cellStyle name="Normal 4 5 5 2 4 2 4 2" xfId="15162" xr:uid="{00000000-0005-0000-0000-0000AA1A0000}"/>
    <cellStyle name="Normal 4 5 5 2 4 2 5" xfId="3800" xr:uid="{00000000-0005-0000-0000-0000AB1A0000}"/>
    <cellStyle name="Normal 4 5 5 2 4 2 5 2" xfId="15163" xr:uid="{00000000-0005-0000-0000-0000AC1A0000}"/>
    <cellStyle name="Normal 4 5 5 2 4 2 6" xfId="15164" xr:uid="{00000000-0005-0000-0000-0000AD1A0000}"/>
    <cellStyle name="Normal 4 5 5 2 4 3" xfId="3801" xr:uid="{00000000-0005-0000-0000-0000AE1A0000}"/>
    <cellStyle name="Normal 4 5 5 2 4 3 2" xfId="3802" xr:uid="{00000000-0005-0000-0000-0000AF1A0000}"/>
    <cellStyle name="Normal 4 5 5 2 4 3 2 2" xfId="15165" xr:uid="{00000000-0005-0000-0000-0000B01A0000}"/>
    <cellStyle name="Normal 4 5 5 2 4 3 3" xfId="3803" xr:uid="{00000000-0005-0000-0000-0000B11A0000}"/>
    <cellStyle name="Normal 4 5 5 2 4 3 3 2" xfId="15166" xr:uid="{00000000-0005-0000-0000-0000B21A0000}"/>
    <cellStyle name="Normal 4 5 5 2 4 3 4" xfId="15167" xr:uid="{00000000-0005-0000-0000-0000B31A0000}"/>
    <cellStyle name="Normal 4 5 5 2 4 4" xfId="3804" xr:uid="{00000000-0005-0000-0000-0000B41A0000}"/>
    <cellStyle name="Normal 4 5 5 2 4 4 2" xfId="3805" xr:uid="{00000000-0005-0000-0000-0000B51A0000}"/>
    <cellStyle name="Normal 4 5 5 2 4 4 2 2" xfId="15168" xr:uid="{00000000-0005-0000-0000-0000B61A0000}"/>
    <cellStyle name="Normal 4 5 5 2 4 4 3" xfId="3806" xr:uid="{00000000-0005-0000-0000-0000B71A0000}"/>
    <cellStyle name="Normal 4 5 5 2 4 4 3 2" xfId="15169" xr:uid="{00000000-0005-0000-0000-0000B81A0000}"/>
    <cellStyle name="Normal 4 5 5 2 4 4 4" xfId="15170" xr:uid="{00000000-0005-0000-0000-0000B91A0000}"/>
    <cellStyle name="Normal 4 5 5 2 4 5" xfId="3807" xr:uid="{00000000-0005-0000-0000-0000BA1A0000}"/>
    <cellStyle name="Normal 4 5 5 2 4 5 2" xfId="15171" xr:uid="{00000000-0005-0000-0000-0000BB1A0000}"/>
    <cellStyle name="Normal 4 5 5 2 4 6" xfId="3808" xr:uid="{00000000-0005-0000-0000-0000BC1A0000}"/>
    <cellStyle name="Normal 4 5 5 2 4 6 2" xfId="15172" xr:uid="{00000000-0005-0000-0000-0000BD1A0000}"/>
    <cellStyle name="Normal 4 5 5 2 4 7" xfId="15173" xr:uid="{00000000-0005-0000-0000-0000BE1A0000}"/>
    <cellStyle name="Normal 4 5 5 2 5" xfId="3809" xr:uid="{00000000-0005-0000-0000-0000BF1A0000}"/>
    <cellStyle name="Normal 4 5 5 2 5 2" xfId="3810" xr:uid="{00000000-0005-0000-0000-0000C01A0000}"/>
    <cellStyle name="Normal 4 5 5 2 5 2 2" xfId="3811" xr:uid="{00000000-0005-0000-0000-0000C11A0000}"/>
    <cellStyle name="Normal 4 5 5 2 5 2 2 2" xfId="15174" xr:uid="{00000000-0005-0000-0000-0000C21A0000}"/>
    <cellStyle name="Normal 4 5 5 2 5 2 3" xfId="3812" xr:uid="{00000000-0005-0000-0000-0000C31A0000}"/>
    <cellStyle name="Normal 4 5 5 2 5 2 3 2" xfId="15175" xr:uid="{00000000-0005-0000-0000-0000C41A0000}"/>
    <cellStyle name="Normal 4 5 5 2 5 2 4" xfId="15176" xr:uid="{00000000-0005-0000-0000-0000C51A0000}"/>
    <cellStyle name="Normal 4 5 5 2 5 3" xfId="3813" xr:uid="{00000000-0005-0000-0000-0000C61A0000}"/>
    <cellStyle name="Normal 4 5 5 2 5 3 2" xfId="3814" xr:uid="{00000000-0005-0000-0000-0000C71A0000}"/>
    <cellStyle name="Normal 4 5 5 2 5 3 2 2" xfId="15177" xr:uid="{00000000-0005-0000-0000-0000C81A0000}"/>
    <cellStyle name="Normal 4 5 5 2 5 3 3" xfId="3815" xr:uid="{00000000-0005-0000-0000-0000C91A0000}"/>
    <cellStyle name="Normal 4 5 5 2 5 3 3 2" xfId="15178" xr:uid="{00000000-0005-0000-0000-0000CA1A0000}"/>
    <cellStyle name="Normal 4 5 5 2 5 3 4" xfId="15179" xr:uid="{00000000-0005-0000-0000-0000CB1A0000}"/>
    <cellStyle name="Normal 4 5 5 2 5 4" xfId="3816" xr:uid="{00000000-0005-0000-0000-0000CC1A0000}"/>
    <cellStyle name="Normal 4 5 5 2 5 4 2" xfId="15180" xr:uid="{00000000-0005-0000-0000-0000CD1A0000}"/>
    <cellStyle name="Normal 4 5 5 2 5 5" xfId="3817" xr:uid="{00000000-0005-0000-0000-0000CE1A0000}"/>
    <cellStyle name="Normal 4 5 5 2 5 5 2" xfId="15181" xr:uid="{00000000-0005-0000-0000-0000CF1A0000}"/>
    <cellStyle name="Normal 4 5 5 2 5 6" xfId="15182" xr:uid="{00000000-0005-0000-0000-0000D01A0000}"/>
    <cellStyle name="Normal 4 5 5 2 6" xfId="3818" xr:uid="{00000000-0005-0000-0000-0000D11A0000}"/>
    <cellStyle name="Normal 4 5 5 2 6 2" xfId="3819" xr:uid="{00000000-0005-0000-0000-0000D21A0000}"/>
    <cellStyle name="Normal 4 5 5 2 6 2 2" xfId="3820" xr:uid="{00000000-0005-0000-0000-0000D31A0000}"/>
    <cellStyle name="Normal 4 5 5 2 6 2 2 2" xfId="15183" xr:uid="{00000000-0005-0000-0000-0000D41A0000}"/>
    <cellStyle name="Normal 4 5 5 2 6 2 3" xfId="3821" xr:uid="{00000000-0005-0000-0000-0000D51A0000}"/>
    <cellStyle name="Normal 4 5 5 2 6 2 3 2" xfId="15184" xr:uid="{00000000-0005-0000-0000-0000D61A0000}"/>
    <cellStyle name="Normal 4 5 5 2 6 2 4" xfId="15185" xr:uid="{00000000-0005-0000-0000-0000D71A0000}"/>
    <cellStyle name="Normal 4 5 5 2 6 3" xfId="3822" xr:uid="{00000000-0005-0000-0000-0000D81A0000}"/>
    <cellStyle name="Normal 4 5 5 2 6 3 2" xfId="3823" xr:uid="{00000000-0005-0000-0000-0000D91A0000}"/>
    <cellStyle name="Normal 4 5 5 2 6 3 2 2" xfId="15186" xr:uid="{00000000-0005-0000-0000-0000DA1A0000}"/>
    <cellStyle name="Normal 4 5 5 2 6 3 3" xfId="3824" xr:uid="{00000000-0005-0000-0000-0000DB1A0000}"/>
    <cellStyle name="Normal 4 5 5 2 6 3 3 2" xfId="15187" xr:uid="{00000000-0005-0000-0000-0000DC1A0000}"/>
    <cellStyle name="Normal 4 5 5 2 6 3 4" xfId="15188" xr:uid="{00000000-0005-0000-0000-0000DD1A0000}"/>
    <cellStyle name="Normal 4 5 5 2 6 4" xfId="3825" xr:uid="{00000000-0005-0000-0000-0000DE1A0000}"/>
    <cellStyle name="Normal 4 5 5 2 6 4 2" xfId="15189" xr:uid="{00000000-0005-0000-0000-0000DF1A0000}"/>
    <cellStyle name="Normal 4 5 5 2 6 5" xfId="3826" xr:uid="{00000000-0005-0000-0000-0000E01A0000}"/>
    <cellStyle name="Normal 4 5 5 2 6 5 2" xfId="15190" xr:uid="{00000000-0005-0000-0000-0000E11A0000}"/>
    <cellStyle name="Normal 4 5 5 2 6 6" xfId="15191" xr:uid="{00000000-0005-0000-0000-0000E21A0000}"/>
    <cellStyle name="Normal 4 5 5 2 7" xfId="3827" xr:uid="{00000000-0005-0000-0000-0000E31A0000}"/>
    <cellStyle name="Normal 4 5 5 2 7 2" xfId="3828" xr:uid="{00000000-0005-0000-0000-0000E41A0000}"/>
    <cellStyle name="Normal 4 5 5 2 7 2 2" xfId="15192" xr:uid="{00000000-0005-0000-0000-0000E51A0000}"/>
    <cellStyle name="Normal 4 5 5 2 7 3" xfId="3829" xr:uid="{00000000-0005-0000-0000-0000E61A0000}"/>
    <cellStyle name="Normal 4 5 5 2 7 3 2" xfId="15193" xr:uid="{00000000-0005-0000-0000-0000E71A0000}"/>
    <cellStyle name="Normal 4 5 5 2 7 4" xfId="15194" xr:uid="{00000000-0005-0000-0000-0000E81A0000}"/>
    <cellStyle name="Normal 4 5 5 2 8" xfId="3830" xr:uid="{00000000-0005-0000-0000-0000E91A0000}"/>
    <cellStyle name="Normal 4 5 5 2 8 2" xfId="3831" xr:uid="{00000000-0005-0000-0000-0000EA1A0000}"/>
    <cellStyle name="Normal 4 5 5 2 8 2 2" xfId="15195" xr:uid="{00000000-0005-0000-0000-0000EB1A0000}"/>
    <cellStyle name="Normal 4 5 5 2 8 3" xfId="3832" xr:uid="{00000000-0005-0000-0000-0000EC1A0000}"/>
    <cellStyle name="Normal 4 5 5 2 8 3 2" xfId="15196" xr:uid="{00000000-0005-0000-0000-0000ED1A0000}"/>
    <cellStyle name="Normal 4 5 5 2 8 4" xfId="15197" xr:uid="{00000000-0005-0000-0000-0000EE1A0000}"/>
    <cellStyle name="Normal 4 5 5 2 9" xfId="3833" xr:uid="{00000000-0005-0000-0000-0000EF1A0000}"/>
    <cellStyle name="Normal 4 5 5 2 9 2" xfId="15198" xr:uid="{00000000-0005-0000-0000-0000F01A0000}"/>
    <cellStyle name="Normal 4 5 5 3" xfId="3834" xr:uid="{00000000-0005-0000-0000-0000F11A0000}"/>
    <cellStyle name="Normal 4 5 5 3 10" xfId="15199" xr:uid="{00000000-0005-0000-0000-0000F21A0000}"/>
    <cellStyle name="Normal 4 5 5 3 2" xfId="3835" xr:uid="{00000000-0005-0000-0000-0000F31A0000}"/>
    <cellStyle name="Normal 4 5 5 3 2 2" xfId="3836" xr:uid="{00000000-0005-0000-0000-0000F41A0000}"/>
    <cellStyle name="Normal 4 5 5 3 2 2 2" xfId="3837" xr:uid="{00000000-0005-0000-0000-0000F51A0000}"/>
    <cellStyle name="Normal 4 5 5 3 2 2 2 2" xfId="3838" xr:uid="{00000000-0005-0000-0000-0000F61A0000}"/>
    <cellStyle name="Normal 4 5 5 3 2 2 2 2 2" xfId="15200" xr:uid="{00000000-0005-0000-0000-0000F71A0000}"/>
    <cellStyle name="Normal 4 5 5 3 2 2 2 3" xfId="3839" xr:uid="{00000000-0005-0000-0000-0000F81A0000}"/>
    <cellStyle name="Normal 4 5 5 3 2 2 2 3 2" xfId="15201" xr:uid="{00000000-0005-0000-0000-0000F91A0000}"/>
    <cellStyle name="Normal 4 5 5 3 2 2 2 4" xfId="15202" xr:uid="{00000000-0005-0000-0000-0000FA1A0000}"/>
    <cellStyle name="Normal 4 5 5 3 2 2 3" xfId="3840" xr:uid="{00000000-0005-0000-0000-0000FB1A0000}"/>
    <cellStyle name="Normal 4 5 5 3 2 2 3 2" xfId="3841" xr:uid="{00000000-0005-0000-0000-0000FC1A0000}"/>
    <cellStyle name="Normal 4 5 5 3 2 2 3 2 2" xfId="15203" xr:uid="{00000000-0005-0000-0000-0000FD1A0000}"/>
    <cellStyle name="Normal 4 5 5 3 2 2 3 3" xfId="3842" xr:uid="{00000000-0005-0000-0000-0000FE1A0000}"/>
    <cellStyle name="Normal 4 5 5 3 2 2 3 3 2" xfId="15204" xr:uid="{00000000-0005-0000-0000-0000FF1A0000}"/>
    <cellStyle name="Normal 4 5 5 3 2 2 3 4" xfId="15205" xr:uid="{00000000-0005-0000-0000-0000001B0000}"/>
    <cellStyle name="Normal 4 5 5 3 2 2 4" xfId="3843" xr:uid="{00000000-0005-0000-0000-0000011B0000}"/>
    <cellStyle name="Normal 4 5 5 3 2 2 4 2" xfId="15206" xr:uid="{00000000-0005-0000-0000-0000021B0000}"/>
    <cellStyle name="Normal 4 5 5 3 2 2 5" xfId="3844" xr:uid="{00000000-0005-0000-0000-0000031B0000}"/>
    <cellStyle name="Normal 4 5 5 3 2 2 5 2" xfId="15207" xr:uid="{00000000-0005-0000-0000-0000041B0000}"/>
    <cellStyle name="Normal 4 5 5 3 2 2 6" xfId="15208" xr:uid="{00000000-0005-0000-0000-0000051B0000}"/>
    <cellStyle name="Normal 4 5 5 3 2 3" xfId="3845" xr:uid="{00000000-0005-0000-0000-0000061B0000}"/>
    <cellStyle name="Normal 4 5 5 3 2 3 2" xfId="3846" xr:uid="{00000000-0005-0000-0000-0000071B0000}"/>
    <cellStyle name="Normal 4 5 5 3 2 3 2 2" xfId="3847" xr:uid="{00000000-0005-0000-0000-0000081B0000}"/>
    <cellStyle name="Normal 4 5 5 3 2 3 2 2 2" xfId="15209" xr:uid="{00000000-0005-0000-0000-0000091B0000}"/>
    <cellStyle name="Normal 4 5 5 3 2 3 2 3" xfId="3848" xr:uid="{00000000-0005-0000-0000-00000A1B0000}"/>
    <cellStyle name="Normal 4 5 5 3 2 3 2 3 2" xfId="15210" xr:uid="{00000000-0005-0000-0000-00000B1B0000}"/>
    <cellStyle name="Normal 4 5 5 3 2 3 2 4" xfId="15211" xr:uid="{00000000-0005-0000-0000-00000C1B0000}"/>
    <cellStyle name="Normal 4 5 5 3 2 3 3" xfId="3849" xr:uid="{00000000-0005-0000-0000-00000D1B0000}"/>
    <cellStyle name="Normal 4 5 5 3 2 3 3 2" xfId="3850" xr:uid="{00000000-0005-0000-0000-00000E1B0000}"/>
    <cellStyle name="Normal 4 5 5 3 2 3 3 2 2" xfId="15212" xr:uid="{00000000-0005-0000-0000-00000F1B0000}"/>
    <cellStyle name="Normal 4 5 5 3 2 3 3 3" xfId="3851" xr:uid="{00000000-0005-0000-0000-0000101B0000}"/>
    <cellStyle name="Normal 4 5 5 3 2 3 3 3 2" xfId="15213" xr:uid="{00000000-0005-0000-0000-0000111B0000}"/>
    <cellStyle name="Normal 4 5 5 3 2 3 3 4" xfId="15214" xr:uid="{00000000-0005-0000-0000-0000121B0000}"/>
    <cellStyle name="Normal 4 5 5 3 2 3 4" xfId="3852" xr:uid="{00000000-0005-0000-0000-0000131B0000}"/>
    <cellStyle name="Normal 4 5 5 3 2 3 4 2" xfId="15215" xr:uid="{00000000-0005-0000-0000-0000141B0000}"/>
    <cellStyle name="Normal 4 5 5 3 2 3 5" xfId="3853" xr:uid="{00000000-0005-0000-0000-0000151B0000}"/>
    <cellStyle name="Normal 4 5 5 3 2 3 5 2" xfId="15216" xr:uid="{00000000-0005-0000-0000-0000161B0000}"/>
    <cellStyle name="Normal 4 5 5 3 2 3 6" xfId="15217" xr:uid="{00000000-0005-0000-0000-0000171B0000}"/>
    <cellStyle name="Normal 4 5 5 3 2 4" xfId="3854" xr:uid="{00000000-0005-0000-0000-0000181B0000}"/>
    <cellStyle name="Normal 4 5 5 3 2 4 2" xfId="3855" xr:uid="{00000000-0005-0000-0000-0000191B0000}"/>
    <cellStyle name="Normal 4 5 5 3 2 4 2 2" xfId="15218" xr:uid="{00000000-0005-0000-0000-00001A1B0000}"/>
    <cellStyle name="Normal 4 5 5 3 2 4 3" xfId="3856" xr:uid="{00000000-0005-0000-0000-00001B1B0000}"/>
    <cellStyle name="Normal 4 5 5 3 2 4 3 2" xfId="15219" xr:uid="{00000000-0005-0000-0000-00001C1B0000}"/>
    <cellStyle name="Normal 4 5 5 3 2 4 4" xfId="15220" xr:uid="{00000000-0005-0000-0000-00001D1B0000}"/>
    <cellStyle name="Normal 4 5 5 3 2 5" xfId="3857" xr:uid="{00000000-0005-0000-0000-00001E1B0000}"/>
    <cellStyle name="Normal 4 5 5 3 2 5 2" xfId="3858" xr:uid="{00000000-0005-0000-0000-00001F1B0000}"/>
    <cellStyle name="Normal 4 5 5 3 2 5 2 2" xfId="15221" xr:uid="{00000000-0005-0000-0000-0000201B0000}"/>
    <cellStyle name="Normal 4 5 5 3 2 5 3" xfId="3859" xr:uid="{00000000-0005-0000-0000-0000211B0000}"/>
    <cellStyle name="Normal 4 5 5 3 2 5 3 2" xfId="15222" xr:uid="{00000000-0005-0000-0000-0000221B0000}"/>
    <cellStyle name="Normal 4 5 5 3 2 5 4" xfId="15223" xr:uid="{00000000-0005-0000-0000-0000231B0000}"/>
    <cellStyle name="Normal 4 5 5 3 2 6" xfId="3860" xr:uid="{00000000-0005-0000-0000-0000241B0000}"/>
    <cellStyle name="Normal 4 5 5 3 2 6 2" xfId="15224" xr:uid="{00000000-0005-0000-0000-0000251B0000}"/>
    <cellStyle name="Normal 4 5 5 3 2 7" xfId="3861" xr:uid="{00000000-0005-0000-0000-0000261B0000}"/>
    <cellStyle name="Normal 4 5 5 3 2 7 2" xfId="15225" xr:uid="{00000000-0005-0000-0000-0000271B0000}"/>
    <cellStyle name="Normal 4 5 5 3 2 8" xfId="15226" xr:uid="{00000000-0005-0000-0000-0000281B0000}"/>
    <cellStyle name="Normal 4 5 5 3 3" xfId="3862" xr:uid="{00000000-0005-0000-0000-0000291B0000}"/>
    <cellStyle name="Normal 4 5 5 3 3 2" xfId="3863" xr:uid="{00000000-0005-0000-0000-00002A1B0000}"/>
    <cellStyle name="Normal 4 5 5 3 3 2 2" xfId="3864" xr:uid="{00000000-0005-0000-0000-00002B1B0000}"/>
    <cellStyle name="Normal 4 5 5 3 3 2 2 2" xfId="3865" xr:uid="{00000000-0005-0000-0000-00002C1B0000}"/>
    <cellStyle name="Normal 4 5 5 3 3 2 2 2 2" xfId="15227" xr:uid="{00000000-0005-0000-0000-00002D1B0000}"/>
    <cellStyle name="Normal 4 5 5 3 3 2 2 3" xfId="3866" xr:uid="{00000000-0005-0000-0000-00002E1B0000}"/>
    <cellStyle name="Normal 4 5 5 3 3 2 2 3 2" xfId="15228" xr:uid="{00000000-0005-0000-0000-00002F1B0000}"/>
    <cellStyle name="Normal 4 5 5 3 3 2 2 4" xfId="15229" xr:uid="{00000000-0005-0000-0000-0000301B0000}"/>
    <cellStyle name="Normal 4 5 5 3 3 2 3" xfId="3867" xr:uid="{00000000-0005-0000-0000-0000311B0000}"/>
    <cellStyle name="Normal 4 5 5 3 3 2 3 2" xfId="3868" xr:uid="{00000000-0005-0000-0000-0000321B0000}"/>
    <cellStyle name="Normal 4 5 5 3 3 2 3 2 2" xfId="15230" xr:uid="{00000000-0005-0000-0000-0000331B0000}"/>
    <cellStyle name="Normal 4 5 5 3 3 2 3 3" xfId="3869" xr:uid="{00000000-0005-0000-0000-0000341B0000}"/>
    <cellStyle name="Normal 4 5 5 3 3 2 3 3 2" xfId="15231" xr:uid="{00000000-0005-0000-0000-0000351B0000}"/>
    <cellStyle name="Normal 4 5 5 3 3 2 3 4" xfId="15232" xr:uid="{00000000-0005-0000-0000-0000361B0000}"/>
    <cellStyle name="Normal 4 5 5 3 3 2 4" xfId="3870" xr:uid="{00000000-0005-0000-0000-0000371B0000}"/>
    <cellStyle name="Normal 4 5 5 3 3 2 4 2" xfId="15233" xr:uid="{00000000-0005-0000-0000-0000381B0000}"/>
    <cellStyle name="Normal 4 5 5 3 3 2 5" xfId="3871" xr:uid="{00000000-0005-0000-0000-0000391B0000}"/>
    <cellStyle name="Normal 4 5 5 3 3 2 5 2" xfId="15234" xr:uid="{00000000-0005-0000-0000-00003A1B0000}"/>
    <cellStyle name="Normal 4 5 5 3 3 2 6" xfId="15235" xr:uid="{00000000-0005-0000-0000-00003B1B0000}"/>
    <cellStyle name="Normal 4 5 5 3 3 3" xfId="3872" xr:uid="{00000000-0005-0000-0000-00003C1B0000}"/>
    <cellStyle name="Normal 4 5 5 3 3 3 2" xfId="3873" xr:uid="{00000000-0005-0000-0000-00003D1B0000}"/>
    <cellStyle name="Normal 4 5 5 3 3 3 2 2" xfId="15236" xr:uid="{00000000-0005-0000-0000-00003E1B0000}"/>
    <cellStyle name="Normal 4 5 5 3 3 3 3" xfId="3874" xr:uid="{00000000-0005-0000-0000-00003F1B0000}"/>
    <cellStyle name="Normal 4 5 5 3 3 3 3 2" xfId="15237" xr:uid="{00000000-0005-0000-0000-0000401B0000}"/>
    <cellStyle name="Normal 4 5 5 3 3 3 4" xfId="15238" xr:uid="{00000000-0005-0000-0000-0000411B0000}"/>
    <cellStyle name="Normal 4 5 5 3 3 4" xfId="3875" xr:uid="{00000000-0005-0000-0000-0000421B0000}"/>
    <cellStyle name="Normal 4 5 5 3 3 4 2" xfId="3876" xr:uid="{00000000-0005-0000-0000-0000431B0000}"/>
    <cellStyle name="Normal 4 5 5 3 3 4 2 2" xfId="15239" xr:uid="{00000000-0005-0000-0000-0000441B0000}"/>
    <cellStyle name="Normal 4 5 5 3 3 4 3" xfId="3877" xr:uid="{00000000-0005-0000-0000-0000451B0000}"/>
    <cellStyle name="Normal 4 5 5 3 3 4 3 2" xfId="15240" xr:uid="{00000000-0005-0000-0000-0000461B0000}"/>
    <cellStyle name="Normal 4 5 5 3 3 4 4" xfId="15241" xr:uid="{00000000-0005-0000-0000-0000471B0000}"/>
    <cellStyle name="Normal 4 5 5 3 3 5" xfId="3878" xr:uid="{00000000-0005-0000-0000-0000481B0000}"/>
    <cellStyle name="Normal 4 5 5 3 3 5 2" xfId="15242" xr:uid="{00000000-0005-0000-0000-0000491B0000}"/>
    <cellStyle name="Normal 4 5 5 3 3 6" xfId="3879" xr:uid="{00000000-0005-0000-0000-00004A1B0000}"/>
    <cellStyle name="Normal 4 5 5 3 3 6 2" xfId="15243" xr:uid="{00000000-0005-0000-0000-00004B1B0000}"/>
    <cellStyle name="Normal 4 5 5 3 3 7" xfId="15244" xr:uid="{00000000-0005-0000-0000-00004C1B0000}"/>
    <cellStyle name="Normal 4 5 5 3 4" xfId="3880" xr:uid="{00000000-0005-0000-0000-00004D1B0000}"/>
    <cellStyle name="Normal 4 5 5 3 4 2" xfId="3881" xr:uid="{00000000-0005-0000-0000-00004E1B0000}"/>
    <cellStyle name="Normal 4 5 5 3 4 2 2" xfId="3882" xr:uid="{00000000-0005-0000-0000-00004F1B0000}"/>
    <cellStyle name="Normal 4 5 5 3 4 2 2 2" xfId="15245" xr:uid="{00000000-0005-0000-0000-0000501B0000}"/>
    <cellStyle name="Normal 4 5 5 3 4 2 3" xfId="3883" xr:uid="{00000000-0005-0000-0000-0000511B0000}"/>
    <cellStyle name="Normal 4 5 5 3 4 2 3 2" xfId="15246" xr:uid="{00000000-0005-0000-0000-0000521B0000}"/>
    <cellStyle name="Normal 4 5 5 3 4 2 4" xfId="15247" xr:uid="{00000000-0005-0000-0000-0000531B0000}"/>
    <cellStyle name="Normal 4 5 5 3 4 3" xfId="3884" xr:uid="{00000000-0005-0000-0000-0000541B0000}"/>
    <cellStyle name="Normal 4 5 5 3 4 3 2" xfId="3885" xr:uid="{00000000-0005-0000-0000-0000551B0000}"/>
    <cellStyle name="Normal 4 5 5 3 4 3 2 2" xfId="15248" xr:uid="{00000000-0005-0000-0000-0000561B0000}"/>
    <cellStyle name="Normal 4 5 5 3 4 3 3" xfId="3886" xr:uid="{00000000-0005-0000-0000-0000571B0000}"/>
    <cellStyle name="Normal 4 5 5 3 4 3 3 2" xfId="15249" xr:uid="{00000000-0005-0000-0000-0000581B0000}"/>
    <cellStyle name="Normal 4 5 5 3 4 3 4" xfId="15250" xr:uid="{00000000-0005-0000-0000-0000591B0000}"/>
    <cellStyle name="Normal 4 5 5 3 4 4" xfId="3887" xr:uid="{00000000-0005-0000-0000-00005A1B0000}"/>
    <cellStyle name="Normal 4 5 5 3 4 4 2" xfId="15251" xr:uid="{00000000-0005-0000-0000-00005B1B0000}"/>
    <cellStyle name="Normal 4 5 5 3 4 5" xfId="3888" xr:uid="{00000000-0005-0000-0000-00005C1B0000}"/>
    <cellStyle name="Normal 4 5 5 3 4 5 2" xfId="15252" xr:uid="{00000000-0005-0000-0000-00005D1B0000}"/>
    <cellStyle name="Normal 4 5 5 3 4 6" xfId="15253" xr:uid="{00000000-0005-0000-0000-00005E1B0000}"/>
    <cellStyle name="Normal 4 5 5 3 5" xfId="3889" xr:uid="{00000000-0005-0000-0000-00005F1B0000}"/>
    <cellStyle name="Normal 4 5 5 3 5 2" xfId="3890" xr:uid="{00000000-0005-0000-0000-0000601B0000}"/>
    <cellStyle name="Normal 4 5 5 3 5 2 2" xfId="3891" xr:uid="{00000000-0005-0000-0000-0000611B0000}"/>
    <cellStyle name="Normal 4 5 5 3 5 2 2 2" xfId="15254" xr:uid="{00000000-0005-0000-0000-0000621B0000}"/>
    <cellStyle name="Normal 4 5 5 3 5 2 3" xfId="3892" xr:uid="{00000000-0005-0000-0000-0000631B0000}"/>
    <cellStyle name="Normal 4 5 5 3 5 2 3 2" xfId="15255" xr:uid="{00000000-0005-0000-0000-0000641B0000}"/>
    <cellStyle name="Normal 4 5 5 3 5 2 4" xfId="15256" xr:uid="{00000000-0005-0000-0000-0000651B0000}"/>
    <cellStyle name="Normal 4 5 5 3 5 3" xfId="3893" xr:uid="{00000000-0005-0000-0000-0000661B0000}"/>
    <cellStyle name="Normal 4 5 5 3 5 3 2" xfId="3894" xr:uid="{00000000-0005-0000-0000-0000671B0000}"/>
    <cellStyle name="Normal 4 5 5 3 5 3 2 2" xfId="15257" xr:uid="{00000000-0005-0000-0000-0000681B0000}"/>
    <cellStyle name="Normal 4 5 5 3 5 3 3" xfId="3895" xr:uid="{00000000-0005-0000-0000-0000691B0000}"/>
    <cellStyle name="Normal 4 5 5 3 5 3 3 2" xfId="15258" xr:uid="{00000000-0005-0000-0000-00006A1B0000}"/>
    <cellStyle name="Normal 4 5 5 3 5 3 4" xfId="15259" xr:uid="{00000000-0005-0000-0000-00006B1B0000}"/>
    <cellStyle name="Normal 4 5 5 3 5 4" xfId="3896" xr:uid="{00000000-0005-0000-0000-00006C1B0000}"/>
    <cellStyle name="Normal 4 5 5 3 5 4 2" xfId="15260" xr:uid="{00000000-0005-0000-0000-00006D1B0000}"/>
    <cellStyle name="Normal 4 5 5 3 5 5" xfId="3897" xr:uid="{00000000-0005-0000-0000-00006E1B0000}"/>
    <cellStyle name="Normal 4 5 5 3 5 5 2" xfId="15261" xr:uid="{00000000-0005-0000-0000-00006F1B0000}"/>
    <cellStyle name="Normal 4 5 5 3 5 6" xfId="15262" xr:uid="{00000000-0005-0000-0000-0000701B0000}"/>
    <cellStyle name="Normal 4 5 5 3 6" xfId="3898" xr:uid="{00000000-0005-0000-0000-0000711B0000}"/>
    <cellStyle name="Normal 4 5 5 3 6 2" xfId="3899" xr:uid="{00000000-0005-0000-0000-0000721B0000}"/>
    <cellStyle name="Normal 4 5 5 3 6 2 2" xfId="15263" xr:uid="{00000000-0005-0000-0000-0000731B0000}"/>
    <cellStyle name="Normal 4 5 5 3 6 3" xfId="3900" xr:uid="{00000000-0005-0000-0000-0000741B0000}"/>
    <cellStyle name="Normal 4 5 5 3 6 3 2" xfId="15264" xr:uid="{00000000-0005-0000-0000-0000751B0000}"/>
    <cellStyle name="Normal 4 5 5 3 6 4" xfId="15265" xr:uid="{00000000-0005-0000-0000-0000761B0000}"/>
    <cellStyle name="Normal 4 5 5 3 7" xfId="3901" xr:uid="{00000000-0005-0000-0000-0000771B0000}"/>
    <cellStyle name="Normal 4 5 5 3 7 2" xfId="3902" xr:uid="{00000000-0005-0000-0000-0000781B0000}"/>
    <cellStyle name="Normal 4 5 5 3 7 2 2" xfId="15266" xr:uid="{00000000-0005-0000-0000-0000791B0000}"/>
    <cellStyle name="Normal 4 5 5 3 7 3" xfId="3903" xr:uid="{00000000-0005-0000-0000-00007A1B0000}"/>
    <cellStyle name="Normal 4 5 5 3 7 3 2" xfId="15267" xr:uid="{00000000-0005-0000-0000-00007B1B0000}"/>
    <cellStyle name="Normal 4 5 5 3 7 4" xfId="15268" xr:uid="{00000000-0005-0000-0000-00007C1B0000}"/>
    <cellStyle name="Normal 4 5 5 3 8" xfId="3904" xr:uid="{00000000-0005-0000-0000-00007D1B0000}"/>
    <cellStyle name="Normal 4 5 5 3 8 2" xfId="15269" xr:uid="{00000000-0005-0000-0000-00007E1B0000}"/>
    <cellStyle name="Normal 4 5 5 3 9" xfId="3905" xr:uid="{00000000-0005-0000-0000-00007F1B0000}"/>
    <cellStyle name="Normal 4 5 5 3 9 2" xfId="15270" xr:uid="{00000000-0005-0000-0000-0000801B0000}"/>
    <cellStyle name="Normal 4 5 5 4" xfId="3906" xr:uid="{00000000-0005-0000-0000-0000811B0000}"/>
    <cellStyle name="Normal 4 5 5 4 2" xfId="3907" xr:uid="{00000000-0005-0000-0000-0000821B0000}"/>
    <cellStyle name="Normal 4 5 5 4 2 2" xfId="3908" xr:uid="{00000000-0005-0000-0000-0000831B0000}"/>
    <cellStyle name="Normal 4 5 5 4 2 2 2" xfId="3909" xr:uid="{00000000-0005-0000-0000-0000841B0000}"/>
    <cellStyle name="Normal 4 5 5 4 2 2 2 2" xfId="15271" xr:uid="{00000000-0005-0000-0000-0000851B0000}"/>
    <cellStyle name="Normal 4 5 5 4 2 2 3" xfId="3910" xr:uid="{00000000-0005-0000-0000-0000861B0000}"/>
    <cellStyle name="Normal 4 5 5 4 2 2 3 2" xfId="15272" xr:uid="{00000000-0005-0000-0000-0000871B0000}"/>
    <cellStyle name="Normal 4 5 5 4 2 2 4" xfId="15273" xr:uid="{00000000-0005-0000-0000-0000881B0000}"/>
    <cellStyle name="Normal 4 5 5 4 2 3" xfId="3911" xr:uid="{00000000-0005-0000-0000-0000891B0000}"/>
    <cellStyle name="Normal 4 5 5 4 2 3 2" xfId="3912" xr:uid="{00000000-0005-0000-0000-00008A1B0000}"/>
    <cellStyle name="Normal 4 5 5 4 2 3 2 2" xfId="15274" xr:uid="{00000000-0005-0000-0000-00008B1B0000}"/>
    <cellStyle name="Normal 4 5 5 4 2 3 3" xfId="3913" xr:uid="{00000000-0005-0000-0000-00008C1B0000}"/>
    <cellStyle name="Normal 4 5 5 4 2 3 3 2" xfId="15275" xr:uid="{00000000-0005-0000-0000-00008D1B0000}"/>
    <cellStyle name="Normal 4 5 5 4 2 3 4" xfId="15276" xr:uid="{00000000-0005-0000-0000-00008E1B0000}"/>
    <cellStyle name="Normal 4 5 5 4 2 4" xfId="3914" xr:uid="{00000000-0005-0000-0000-00008F1B0000}"/>
    <cellStyle name="Normal 4 5 5 4 2 4 2" xfId="15277" xr:uid="{00000000-0005-0000-0000-0000901B0000}"/>
    <cellStyle name="Normal 4 5 5 4 2 5" xfId="3915" xr:uid="{00000000-0005-0000-0000-0000911B0000}"/>
    <cellStyle name="Normal 4 5 5 4 2 5 2" xfId="15278" xr:uid="{00000000-0005-0000-0000-0000921B0000}"/>
    <cellStyle name="Normal 4 5 5 4 2 6" xfId="15279" xr:uid="{00000000-0005-0000-0000-0000931B0000}"/>
    <cellStyle name="Normal 4 5 5 4 3" xfId="3916" xr:uid="{00000000-0005-0000-0000-0000941B0000}"/>
    <cellStyle name="Normal 4 5 5 4 3 2" xfId="3917" xr:uid="{00000000-0005-0000-0000-0000951B0000}"/>
    <cellStyle name="Normal 4 5 5 4 3 2 2" xfId="3918" xr:uid="{00000000-0005-0000-0000-0000961B0000}"/>
    <cellStyle name="Normal 4 5 5 4 3 2 2 2" xfId="15280" xr:uid="{00000000-0005-0000-0000-0000971B0000}"/>
    <cellStyle name="Normal 4 5 5 4 3 2 3" xfId="3919" xr:uid="{00000000-0005-0000-0000-0000981B0000}"/>
    <cellStyle name="Normal 4 5 5 4 3 2 3 2" xfId="15281" xr:uid="{00000000-0005-0000-0000-0000991B0000}"/>
    <cellStyle name="Normal 4 5 5 4 3 2 4" xfId="15282" xr:uid="{00000000-0005-0000-0000-00009A1B0000}"/>
    <cellStyle name="Normal 4 5 5 4 3 3" xfId="3920" xr:uid="{00000000-0005-0000-0000-00009B1B0000}"/>
    <cellStyle name="Normal 4 5 5 4 3 3 2" xfId="3921" xr:uid="{00000000-0005-0000-0000-00009C1B0000}"/>
    <cellStyle name="Normal 4 5 5 4 3 3 2 2" xfId="15283" xr:uid="{00000000-0005-0000-0000-00009D1B0000}"/>
    <cellStyle name="Normal 4 5 5 4 3 3 3" xfId="3922" xr:uid="{00000000-0005-0000-0000-00009E1B0000}"/>
    <cellStyle name="Normal 4 5 5 4 3 3 3 2" xfId="15284" xr:uid="{00000000-0005-0000-0000-00009F1B0000}"/>
    <cellStyle name="Normal 4 5 5 4 3 3 4" xfId="15285" xr:uid="{00000000-0005-0000-0000-0000A01B0000}"/>
    <cellStyle name="Normal 4 5 5 4 3 4" xfId="3923" xr:uid="{00000000-0005-0000-0000-0000A11B0000}"/>
    <cellStyle name="Normal 4 5 5 4 3 4 2" xfId="15286" xr:uid="{00000000-0005-0000-0000-0000A21B0000}"/>
    <cellStyle name="Normal 4 5 5 4 3 5" xfId="3924" xr:uid="{00000000-0005-0000-0000-0000A31B0000}"/>
    <cellStyle name="Normal 4 5 5 4 3 5 2" xfId="15287" xr:uid="{00000000-0005-0000-0000-0000A41B0000}"/>
    <cellStyle name="Normal 4 5 5 4 3 6" xfId="15288" xr:uid="{00000000-0005-0000-0000-0000A51B0000}"/>
    <cellStyle name="Normal 4 5 5 4 4" xfId="3925" xr:uid="{00000000-0005-0000-0000-0000A61B0000}"/>
    <cellStyle name="Normal 4 5 5 4 4 2" xfId="3926" xr:uid="{00000000-0005-0000-0000-0000A71B0000}"/>
    <cellStyle name="Normal 4 5 5 4 4 2 2" xfId="15289" xr:uid="{00000000-0005-0000-0000-0000A81B0000}"/>
    <cellStyle name="Normal 4 5 5 4 4 3" xfId="3927" xr:uid="{00000000-0005-0000-0000-0000A91B0000}"/>
    <cellStyle name="Normal 4 5 5 4 4 3 2" xfId="15290" xr:uid="{00000000-0005-0000-0000-0000AA1B0000}"/>
    <cellStyle name="Normal 4 5 5 4 4 4" xfId="15291" xr:uid="{00000000-0005-0000-0000-0000AB1B0000}"/>
    <cellStyle name="Normal 4 5 5 4 5" xfId="3928" xr:uid="{00000000-0005-0000-0000-0000AC1B0000}"/>
    <cellStyle name="Normal 4 5 5 4 5 2" xfId="3929" xr:uid="{00000000-0005-0000-0000-0000AD1B0000}"/>
    <cellStyle name="Normal 4 5 5 4 5 2 2" xfId="15292" xr:uid="{00000000-0005-0000-0000-0000AE1B0000}"/>
    <cellStyle name="Normal 4 5 5 4 5 3" xfId="3930" xr:uid="{00000000-0005-0000-0000-0000AF1B0000}"/>
    <cellStyle name="Normal 4 5 5 4 5 3 2" xfId="15293" xr:uid="{00000000-0005-0000-0000-0000B01B0000}"/>
    <cellStyle name="Normal 4 5 5 4 5 4" xfId="15294" xr:uid="{00000000-0005-0000-0000-0000B11B0000}"/>
    <cellStyle name="Normal 4 5 5 4 6" xfId="3931" xr:uid="{00000000-0005-0000-0000-0000B21B0000}"/>
    <cellStyle name="Normal 4 5 5 4 6 2" xfId="15295" xr:uid="{00000000-0005-0000-0000-0000B31B0000}"/>
    <cellStyle name="Normal 4 5 5 4 7" xfId="3932" xr:uid="{00000000-0005-0000-0000-0000B41B0000}"/>
    <cellStyle name="Normal 4 5 5 4 7 2" xfId="15296" xr:uid="{00000000-0005-0000-0000-0000B51B0000}"/>
    <cellStyle name="Normal 4 5 5 4 8" xfId="15297" xr:uid="{00000000-0005-0000-0000-0000B61B0000}"/>
    <cellStyle name="Normal 4 5 5 5" xfId="3933" xr:uid="{00000000-0005-0000-0000-0000B71B0000}"/>
    <cellStyle name="Normal 4 5 5 5 2" xfId="3934" xr:uid="{00000000-0005-0000-0000-0000B81B0000}"/>
    <cellStyle name="Normal 4 5 5 5 2 2" xfId="3935" xr:uid="{00000000-0005-0000-0000-0000B91B0000}"/>
    <cellStyle name="Normal 4 5 5 5 2 2 2" xfId="3936" xr:uid="{00000000-0005-0000-0000-0000BA1B0000}"/>
    <cellStyle name="Normal 4 5 5 5 2 2 2 2" xfId="15298" xr:uid="{00000000-0005-0000-0000-0000BB1B0000}"/>
    <cellStyle name="Normal 4 5 5 5 2 2 3" xfId="3937" xr:uid="{00000000-0005-0000-0000-0000BC1B0000}"/>
    <cellStyle name="Normal 4 5 5 5 2 2 3 2" xfId="15299" xr:uid="{00000000-0005-0000-0000-0000BD1B0000}"/>
    <cellStyle name="Normal 4 5 5 5 2 2 4" xfId="15300" xr:uid="{00000000-0005-0000-0000-0000BE1B0000}"/>
    <cellStyle name="Normal 4 5 5 5 2 3" xfId="3938" xr:uid="{00000000-0005-0000-0000-0000BF1B0000}"/>
    <cellStyle name="Normal 4 5 5 5 2 3 2" xfId="3939" xr:uid="{00000000-0005-0000-0000-0000C01B0000}"/>
    <cellStyle name="Normal 4 5 5 5 2 3 2 2" xfId="15301" xr:uid="{00000000-0005-0000-0000-0000C11B0000}"/>
    <cellStyle name="Normal 4 5 5 5 2 3 3" xfId="3940" xr:uid="{00000000-0005-0000-0000-0000C21B0000}"/>
    <cellStyle name="Normal 4 5 5 5 2 3 3 2" xfId="15302" xr:uid="{00000000-0005-0000-0000-0000C31B0000}"/>
    <cellStyle name="Normal 4 5 5 5 2 3 4" xfId="15303" xr:uid="{00000000-0005-0000-0000-0000C41B0000}"/>
    <cellStyle name="Normal 4 5 5 5 2 4" xfId="3941" xr:uid="{00000000-0005-0000-0000-0000C51B0000}"/>
    <cellStyle name="Normal 4 5 5 5 2 4 2" xfId="15304" xr:uid="{00000000-0005-0000-0000-0000C61B0000}"/>
    <cellStyle name="Normal 4 5 5 5 2 5" xfId="3942" xr:uid="{00000000-0005-0000-0000-0000C71B0000}"/>
    <cellStyle name="Normal 4 5 5 5 2 5 2" xfId="15305" xr:uid="{00000000-0005-0000-0000-0000C81B0000}"/>
    <cellStyle name="Normal 4 5 5 5 2 6" xfId="15306" xr:uid="{00000000-0005-0000-0000-0000C91B0000}"/>
    <cellStyle name="Normal 4 5 5 5 3" xfId="3943" xr:uid="{00000000-0005-0000-0000-0000CA1B0000}"/>
    <cellStyle name="Normal 4 5 5 5 3 2" xfId="3944" xr:uid="{00000000-0005-0000-0000-0000CB1B0000}"/>
    <cellStyle name="Normal 4 5 5 5 3 2 2" xfId="15307" xr:uid="{00000000-0005-0000-0000-0000CC1B0000}"/>
    <cellStyle name="Normal 4 5 5 5 3 3" xfId="3945" xr:uid="{00000000-0005-0000-0000-0000CD1B0000}"/>
    <cellStyle name="Normal 4 5 5 5 3 3 2" xfId="15308" xr:uid="{00000000-0005-0000-0000-0000CE1B0000}"/>
    <cellStyle name="Normal 4 5 5 5 3 4" xfId="15309" xr:uid="{00000000-0005-0000-0000-0000CF1B0000}"/>
    <cellStyle name="Normal 4 5 5 5 4" xfId="3946" xr:uid="{00000000-0005-0000-0000-0000D01B0000}"/>
    <cellStyle name="Normal 4 5 5 5 4 2" xfId="3947" xr:uid="{00000000-0005-0000-0000-0000D11B0000}"/>
    <cellStyle name="Normal 4 5 5 5 4 2 2" xfId="15310" xr:uid="{00000000-0005-0000-0000-0000D21B0000}"/>
    <cellStyle name="Normal 4 5 5 5 4 3" xfId="3948" xr:uid="{00000000-0005-0000-0000-0000D31B0000}"/>
    <cellStyle name="Normal 4 5 5 5 4 3 2" xfId="15311" xr:uid="{00000000-0005-0000-0000-0000D41B0000}"/>
    <cellStyle name="Normal 4 5 5 5 4 4" xfId="15312" xr:uid="{00000000-0005-0000-0000-0000D51B0000}"/>
    <cellStyle name="Normal 4 5 5 5 5" xfId="3949" xr:uid="{00000000-0005-0000-0000-0000D61B0000}"/>
    <cellStyle name="Normal 4 5 5 5 5 2" xfId="15313" xr:uid="{00000000-0005-0000-0000-0000D71B0000}"/>
    <cellStyle name="Normal 4 5 5 5 6" xfId="3950" xr:uid="{00000000-0005-0000-0000-0000D81B0000}"/>
    <cellStyle name="Normal 4 5 5 5 6 2" xfId="15314" xr:uid="{00000000-0005-0000-0000-0000D91B0000}"/>
    <cellStyle name="Normal 4 5 5 5 7" xfId="15315" xr:uid="{00000000-0005-0000-0000-0000DA1B0000}"/>
    <cellStyle name="Normal 4 5 5 6" xfId="3951" xr:uid="{00000000-0005-0000-0000-0000DB1B0000}"/>
    <cellStyle name="Normal 4 5 5 6 2" xfId="3952" xr:uid="{00000000-0005-0000-0000-0000DC1B0000}"/>
    <cellStyle name="Normal 4 5 5 6 2 2" xfId="3953" xr:uid="{00000000-0005-0000-0000-0000DD1B0000}"/>
    <cellStyle name="Normal 4 5 5 6 2 2 2" xfId="15316" xr:uid="{00000000-0005-0000-0000-0000DE1B0000}"/>
    <cellStyle name="Normal 4 5 5 6 2 3" xfId="3954" xr:uid="{00000000-0005-0000-0000-0000DF1B0000}"/>
    <cellStyle name="Normal 4 5 5 6 2 3 2" xfId="15317" xr:uid="{00000000-0005-0000-0000-0000E01B0000}"/>
    <cellStyle name="Normal 4 5 5 6 2 4" xfId="15318" xr:uid="{00000000-0005-0000-0000-0000E11B0000}"/>
    <cellStyle name="Normal 4 5 5 6 3" xfId="3955" xr:uid="{00000000-0005-0000-0000-0000E21B0000}"/>
    <cellStyle name="Normal 4 5 5 6 3 2" xfId="3956" xr:uid="{00000000-0005-0000-0000-0000E31B0000}"/>
    <cellStyle name="Normal 4 5 5 6 3 2 2" xfId="15319" xr:uid="{00000000-0005-0000-0000-0000E41B0000}"/>
    <cellStyle name="Normal 4 5 5 6 3 3" xfId="3957" xr:uid="{00000000-0005-0000-0000-0000E51B0000}"/>
    <cellStyle name="Normal 4 5 5 6 3 3 2" xfId="15320" xr:uid="{00000000-0005-0000-0000-0000E61B0000}"/>
    <cellStyle name="Normal 4 5 5 6 3 4" xfId="15321" xr:uid="{00000000-0005-0000-0000-0000E71B0000}"/>
    <cellStyle name="Normal 4 5 5 6 4" xfId="3958" xr:uid="{00000000-0005-0000-0000-0000E81B0000}"/>
    <cellStyle name="Normal 4 5 5 6 4 2" xfId="15322" xr:uid="{00000000-0005-0000-0000-0000E91B0000}"/>
    <cellStyle name="Normal 4 5 5 6 5" xfId="3959" xr:uid="{00000000-0005-0000-0000-0000EA1B0000}"/>
    <cellStyle name="Normal 4 5 5 6 5 2" xfId="15323" xr:uid="{00000000-0005-0000-0000-0000EB1B0000}"/>
    <cellStyle name="Normal 4 5 5 6 6" xfId="15324" xr:uid="{00000000-0005-0000-0000-0000EC1B0000}"/>
    <cellStyle name="Normal 4 5 5 7" xfId="3960" xr:uid="{00000000-0005-0000-0000-0000ED1B0000}"/>
    <cellStyle name="Normal 4 5 5 7 2" xfId="3961" xr:uid="{00000000-0005-0000-0000-0000EE1B0000}"/>
    <cellStyle name="Normal 4 5 5 7 2 2" xfId="3962" xr:uid="{00000000-0005-0000-0000-0000EF1B0000}"/>
    <cellStyle name="Normal 4 5 5 7 2 2 2" xfId="15325" xr:uid="{00000000-0005-0000-0000-0000F01B0000}"/>
    <cellStyle name="Normal 4 5 5 7 2 3" xfId="3963" xr:uid="{00000000-0005-0000-0000-0000F11B0000}"/>
    <cellStyle name="Normal 4 5 5 7 2 3 2" xfId="15326" xr:uid="{00000000-0005-0000-0000-0000F21B0000}"/>
    <cellStyle name="Normal 4 5 5 7 2 4" xfId="15327" xr:uid="{00000000-0005-0000-0000-0000F31B0000}"/>
    <cellStyle name="Normal 4 5 5 7 3" xfId="3964" xr:uid="{00000000-0005-0000-0000-0000F41B0000}"/>
    <cellStyle name="Normal 4 5 5 7 3 2" xfId="3965" xr:uid="{00000000-0005-0000-0000-0000F51B0000}"/>
    <cellStyle name="Normal 4 5 5 7 3 2 2" xfId="15328" xr:uid="{00000000-0005-0000-0000-0000F61B0000}"/>
    <cellStyle name="Normal 4 5 5 7 3 3" xfId="3966" xr:uid="{00000000-0005-0000-0000-0000F71B0000}"/>
    <cellStyle name="Normal 4 5 5 7 3 3 2" xfId="15329" xr:uid="{00000000-0005-0000-0000-0000F81B0000}"/>
    <cellStyle name="Normal 4 5 5 7 3 4" xfId="15330" xr:uid="{00000000-0005-0000-0000-0000F91B0000}"/>
    <cellStyle name="Normal 4 5 5 7 4" xfId="3967" xr:uid="{00000000-0005-0000-0000-0000FA1B0000}"/>
    <cellStyle name="Normal 4 5 5 7 4 2" xfId="15331" xr:uid="{00000000-0005-0000-0000-0000FB1B0000}"/>
    <cellStyle name="Normal 4 5 5 7 5" xfId="3968" xr:uid="{00000000-0005-0000-0000-0000FC1B0000}"/>
    <cellStyle name="Normal 4 5 5 7 5 2" xfId="15332" xr:uid="{00000000-0005-0000-0000-0000FD1B0000}"/>
    <cellStyle name="Normal 4 5 5 7 6" xfId="15333" xr:uid="{00000000-0005-0000-0000-0000FE1B0000}"/>
    <cellStyle name="Normal 4 5 5 8" xfId="3969" xr:uid="{00000000-0005-0000-0000-0000FF1B0000}"/>
    <cellStyle name="Normal 4 5 5 8 2" xfId="3970" xr:uid="{00000000-0005-0000-0000-0000001C0000}"/>
    <cellStyle name="Normal 4 5 5 8 2 2" xfId="15334" xr:uid="{00000000-0005-0000-0000-0000011C0000}"/>
    <cellStyle name="Normal 4 5 5 8 3" xfId="3971" xr:uid="{00000000-0005-0000-0000-0000021C0000}"/>
    <cellStyle name="Normal 4 5 5 8 3 2" xfId="15335" xr:uid="{00000000-0005-0000-0000-0000031C0000}"/>
    <cellStyle name="Normal 4 5 5 8 4" xfId="15336" xr:uid="{00000000-0005-0000-0000-0000041C0000}"/>
    <cellStyle name="Normal 4 5 5 9" xfId="3972" xr:uid="{00000000-0005-0000-0000-0000051C0000}"/>
    <cellStyle name="Normal 4 5 5 9 2" xfId="3973" xr:uid="{00000000-0005-0000-0000-0000061C0000}"/>
    <cellStyle name="Normal 4 5 5 9 2 2" xfId="15337" xr:uid="{00000000-0005-0000-0000-0000071C0000}"/>
    <cellStyle name="Normal 4 5 5 9 3" xfId="3974" xr:uid="{00000000-0005-0000-0000-0000081C0000}"/>
    <cellStyle name="Normal 4 5 5 9 3 2" xfId="15338" xr:uid="{00000000-0005-0000-0000-0000091C0000}"/>
    <cellStyle name="Normal 4 5 5 9 4" xfId="15339" xr:uid="{00000000-0005-0000-0000-00000A1C0000}"/>
    <cellStyle name="Normal 4 5 6" xfId="3975" xr:uid="{00000000-0005-0000-0000-00000B1C0000}"/>
    <cellStyle name="Normal 4 5 6 10" xfId="3976" xr:uid="{00000000-0005-0000-0000-00000C1C0000}"/>
    <cellStyle name="Normal 4 5 6 10 2" xfId="15340" xr:uid="{00000000-0005-0000-0000-00000D1C0000}"/>
    <cellStyle name="Normal 4 5 6 11" xfId="15341" xr:uid="{00000000-0005-0000-0000-00000E1C0000}"/>
    <cellStyle name="Normal 4 5 6 2" xfId="3977" xr:uid="{00000000-0005-0000-0000-00000F1C0000}"/>
    <cellStyle name="Normal 4 5 6 2 10" xfId="15342" xr:uid="{00000000-0005-0000-0000-0000101C0000}"/>
    <cellStyle name="Normal 4 5 6 2 2" xfId="3978" xr:uid="{00000000-0005-0000-0000-0000111C0000}"/>
    <cellStyle name="Normal 4 5 6 2 2 2" xfId="3979" xr:uid="{00000000-0005-0000-0000-0000121C0000}"/>
    <cellStyle name="Normal 4 5 6 2 2 2 2" xfId="3980" xr:uid="{00000000-0005-0000-0000-0000131C0000}"/>
    <cellStyle name="Normal 4 5 6 2 2 2 2 2" xfId="3981" xr:uid="{00000000-0005-0000-0000-0000141C0000}"/>
    <cellStyle name="Normal 4 5 6 2 2 2 2 2 2" xfId="15343" xr:uid="{00000000-0005-0000-0000-0000151C0000}"/>
    <cellStyle name="Normal 4 5 6 2 2 2 2 3" xfId="3982" xr:uid="{00000000-0005-0000-0000-0000161C0000}"/>
    <cellStyle name="Normal 4 5 6 2 2 2 2 3 2" xfId="15344" xr:uid="{00000000-0005-0000-0000-0000171C0000}"/>
    <cellStyle name="Normal 4 5 6 2 2 2 2 4" xfId="15345" xr:uid="{00000000-0005-0000-0000-0000181C0000}"/>
    <cellStyle name="Normal 4 5 6 2 2 2 3" xfId="3983" xr:uid="{00000000-0005-0000-0000-0000191C0000}"/>
    <cellStyle name="Normal 4 5 6 2 2 2 3 2" xfId="3984" xr:uid="{00000000-0005-0000-0000-00001A1C0000}"/>
    <cellStyle name="Normal 4 5 6 2 2 2 3 2 2" xfId="15346" xr:uid="{00000000-0005-0000-0000-00001B1C0000}"/>
    <cellStyle name="Normal 4 5 6 2 2 2 3 3" xfId="3985" xr:uid="{00000000-0005-0000-0000-00001C1C0000}"/>
    <cellStyle name="Normal 4 5 6 2 2 2 3 3 2" xfId="15347" xr:uid="{00000000-0005-0000-0000-00001D1C0000}"/>
    <cellStyle name="Normal 4 5 6 2 2 2 3 4" xfId="15348" xr:uid="{00000000-0005-0000-0000-00001E1C0000}"/>
    <cellStyle name="Normal 4 5 6 2 2 2 4" xfId="3986" xr:uid="{00000000-0005-0000-0000-00001F1C0000}"/>
    <cellStyle name="Normal 4 5 6 2 2 2 4 2" xfId="15349" xr:uid="{00000000-0005-0000-0000-0000201C0000}"/>
    <cellStyle name="Normal 4 5 6 2 2 2 5" xfId="3987" xr:uid="{00000000-0005-0000-0000-0000211C0000}"/>
    <cellStyle name="Normal 4 5 6 2 2 2 5 2" xfId="15350" xr:uid="{00000000-0005-0000-0000-0000221C0000}"/>
    <cellStyle name="Normal 4 5 6 2 2 2 6" xfId="15351" xr:uid="{00000000-0005-0000-0000-0000231C0000}"/>
    <cellStyle name="Normal 4 5 6 2 2 3" xfId="3988" xr:uid="{00000000-0005-0000-0000-0000241C0000}"/>
    <cellStyle name="Normal 4 5 6 2 2 3 2" xfId="3989" xr:uid="{00000000-0005-0000-0000-0000251C0000}"/>
    <cellStyle name="Normal 4 5 6 2 2 3 2 2" xfId="3990" xr:uid="{00000000-0005-0000-0000-0000261C0000}"/>
    <cellStyle name="Normal 4 5 6 2 2 3 2 2 2" xfId="15352" xr:uid="{00000000-0005-0000-0000-0000271C0000}"/>
    <cellStyle name="Normal 4 5 6 2 2 3 2 3" xfId="3991" xr:uid="{00000000-0005-0000-0000-0000281C0000}"/>
    <cellStyle name="Normal 4 5 6 2 2 3 2 3 2" xfId="15353" xr:uid="{00000000-0005-0000-0000-0000291C0000}"/>
    <cellStyle name="Normal 4 5 6 2 2 3 2 4" xfId="15354" xr:uid="{00000000-0005-0000-0000-00002A1C0000}"/>
    <cellStyle name="Normal 4 5 6 2 2 3 3" xfId="3992" xr:uid="{00000000-0005-0000-0000-00002B1C0000}"/>
    <cellStyle name="Normal 4 5 6 2 2 3 3 2" xfId="3993" xr:uid="{00000000-0005-0000-0000-00002C1C0000}"/>
    <cellStyle name="Normal 4 5 6 2 2 3 3 2 2" xfId="15355" xr:uid="{00000000-0005-0000-0000-00002D1C0000}"/>
    <cellStyle name="Normal 4 5 6 2 2 3 3 3" xfId="3994" xr:uid="{00000000-0005-0000-0000-00002E1C0000}"/>
    <cellStyle name="Normal 4 5 6 2 2 3 3 3 2" xfId="15356" xr:uid="{00000000-0005-0000-0000-00002F1C0000}"/>
    <cellStyle name="Normal 4 5 6 2 2 3 3 4" xfId="15357" xr:uid="{00000000-0005-0000-0000-0000301C0000}"/>
    <cellStyle name="Normal 4 5 6 2 2 3 4" xfId="3995" xr:uid="{00000000-0005-0000-0000-0000311C0000}"/>
    <cellStyle name="Normal 4 5 6 2 2 3 4 2" xfId="15358" xr:uid="{00000000-0005-0000-0000-0000321C0000}"/>
    <cellStyle name="Normal 4 5 6 2 2 3 5" xfId="3996" xr:uid="{00000000-0005-0000-0000-0000331C0000}"/>
    <cellStyle name="Normal 4 5 6 2 2 3 5 2" xfId="15359" xr:uid="{00000000-0005-0000-0000-0000341C0000}"/>
    <cellStyle name="Normal 4 5 6 2 2 3 6" xfId="15360" xr:uid="{00000000-0005-0000-0000-0000351C0000}"/>
    <cellStyle name="Normal 4 5 6 2 2 4" xfId="3997" xr:uid="{00000000-0005-0000-0000-0000361C0000}"/>
    <cellStyle name="Normal 4 5 6 2 2 4 2" xfId="3998" xr:uid="{00000000-0005-0000-0000-0000371C0000}"/>
    <cellStyle name="Normal 4 5 6 2 2 4 2 2" xfId="15361" xr:uid="{00000000-0005-0000-0000-0000381C0000}"/>
    <cellStyle name="Normal 4 5 6 2 2 4 3" xfId="3999" xr:uid="{00000000-0005-0000-0000-0000391C0000}"/>
    <cellStyle name="Normal 4 5 6 2 2 4 3 2" xfId="15362" xr:uid="{00000000-0005-0000-0000-00003A1C0000}"/>
    <cellStyle name="Normal 4 5 6 2 2 4 4" xfId="15363" xr:uid="{00000000-0005-0000-0000-00003B1C0000}"/>
    <cellStyle name="Normal 4 5 6 2 2 5" xfId="4000" xr:uid="{00000000-0005-0000-0000-00003C1C0000}"/>
    <cellStyle name="Normal 4 5 6 2 2 5 2" xfId="4001" xr:uid="{00000000-0005-0000-0000-00003D1C0000}"/>
    <cellStyle name="Normal 4 5 6 2 2 5 2 2" xfId="15364" xr:uid="{00000000-0005-0000-0000-00003E1C0000}"/>
    <cellStyle name="Normal 4 5 6 2 2 5 3" xfId="4002" xr:uid="{00000000-0005-0000-0000-00003F1C0000}"/>
    <cellStyle name="Normal 4 5 6 2 2 5 3 2" xfId="15365" xr:uid="{00000000-0005-0000-0000-0000401C0000}"/>
    <cellStyle name="Normal 4 5 6 2 2 5 4" xfId="15366" xr:uid="{00000000-0005-0000-0000-0000411C0000}"/>
    <cellStyle name="Normal 4 5 6 2 2 6" xfId="4003" xr:uid="{00000000-0005-0000-0000-0000421C0000}"/>
    <cellStyle name="Normal 4 5 6 2 2 6 2" xfId="15367" xr:uid="{00000000-0005-0000-0000-0000431C0000}"/>
    <cellStyle name="Normal 4 5 6 2 2 7" xfId="4004" xr:uid="{00000000-0005-0000-0000-0000441C0000}"/>
    <cellStyle name="Normal 4 5 6 2 2 7 2" xfId="15368" xr:uid="{00000000-0005-0000-0000-0000451C0000}"/>
    <cellStyle name="Normal 4 5 6 2 2 8" xfId="15369" xr:uid="{00000000-0005-0000-0000-0000461C0000}"/>
    <cellStyle name="Normal 4 5 6 2 3" xfId="4005" xr:uid="{00000000-0005-0000-0000-0000471C0000}"/>
    <cellStyle name="Normal 4 5 6 2 3 2" xfId="4006" xr:uid="{00000000-0005-0000-0000-0000481C0000}"/>
    <cellStyle name="Normal 4 5 6 2 3 2 2" xfId="4007" xr:uid="{00000000-0005-0000-0000-0000491C0000}"/>
    <cellStyle name="Normal 4 5 6 2 3 2 2 2" xfId="4008" xr:uid="{00000000-0005-0000-0000-00004A1C0000}"/>
    <cellStyle name="Normal 4 5 6 2 3 2 2 2 2" xfId="15370" xr:uid="{00000000-0005-0000-0000-00004B1C0000}"/>
    <cellStyle name="Normal 4 5 6 2 3 2 2 3" xfId="4009" xr:uid="{00000000-0005-0000-0000-00004C1C0000}"/>
    <cellStyle name="Normal 4 5 6 2 3 2 2 3 2" xfId="15371" xr:uid="{00000000-0005-0000-0000-00004D1C0000}"/>
    <cellStyle name="Normal 4 5 6 2 3 2 2 4" xfId="15372" xr:uid="{00000000-0005-0000-0000-00004E1C0000}"/>
    <cellStyle name="Normal 4 5 6 2 3 2 3" xfId="4010" xr:uid="{00000000-0005-0000-0000-00004F1C0000}"/>
    <cellStyle name="Normal 4 5 6 2 3 2 3 2" xfId="4011" xr:uid="{00000000-0005-0000-0000-0000501C0000}"/>
    <cellStyle name="Normal 4 5 6 2 3 2 3 2 2" xfId="15373" xr:uid="{00000000-0005-0000-0000-0000511C0000}"/>
    <cellStyle name="Normal 4 5 6 2 3 2 3 3" xfId="4012" xr:uid="{00000000-0005-0000-0000-0000521C0000}"/>
    <cellStyle name="Normal 4 5 6 2 3 2 3 3 2" xfId="15374" xr:uid="{00000000-0005-0000-0000-0000531C0000}"/>
    <cellStyle name="Normal 4 5 6 2 3 2 3 4" xfId="15375" xr:uid="{00000000-0005-0000-0000-0000541C0000}"/>
    <cellStyle name="Normal 4 5 6 2 3 2 4" xfId="4013" xr:uid="{00000000-0005-0000-0000-0000551C0000}"/>
    <cellStyle name="Normal 4 5 6 2 3 2 4 2" xfId="15376" xr:uid="{00000000-0005-0000-0000-0000561C0000}"/>
    <cellStyle name="Normal 4 5 6 2 3 2 5" xfId="4014" xr:uid="{00000000-0005-0000-0000-0000571C0000}"/>
    <cellStyle name="Normal 4 5 6 2 3 2 5 2" xfId="15377" xr:uid="{00000000-0005-0000-0000-0000581C0000}"/>
    <cellStyle name="Normal 4 5 6 2 3 2 6" xfId="15378" xr:uid="{00000000-0005-0000-0000-0000591C0000}"/>
    <cellStyle name="Normal 4 5 6 2 3 3" xfId="4015" xr:uid="{00000000-0005-0000-0000-00005A1C0000}"/>
    <cellStyle name="Normal 4 5 6 2 3 3 2" xfId="4016" xr:uid="{00000000-0005-0000-0000-00005B1C0000}"/>
    <cellStyle name="Normal 4 5 6 2 3 3 2 2" xfId="15379" xr:uid="{00000000-0005-0000-0000-00005C1C0000}"/>
    <cellStyle name="Normal 4 5 6 2 3 3 3" xfId="4017" xr:uid="{00000000-0005-0000-0000-00005D1C0000}"/>
    <cellStyle name="Normal 4 5 6 2 3 3 3 2" xfId="15380" xr:uid="{00000000-0005-0000-0000-00005E1C0000}"/>
    <cellStyle name="Normal 4 5 6 2 3 3 4" xfId="15381" xr:uid="{00000000-0005-0000-0000-00005F1C0000}"/>
    <cellStyle name="Normal 4 5 6 2 3 4" xfId="4018" xr:uid="{00000000-0005-0000-0000-0000601C0000}"/>
    <cellStyle name="Normal 4 5 6 2 3 4 2" xfId="4019" xr:uid="{00000000-0005-0000-0000-0000611C0000}"/>
    <cellStyle name="Normal 4 5 6 2 3 4 2 2" xfId="15382" xr:uid="{00000000-0005-0000-0000-0000621C0000}"/>
    <cellStyle name="Normal 4 5 6 2 3 4 3" xfId="4020" xr:uid="{00000000-0005-0000-0000-0000631C0000}"/>
    <cellStyle name="Normal 4 5 6 2 3 4 3 2" xfId="15383" xr:uid="{00000000-0005-0000-0000-0000641C0000}"/>
    <cellStyle name="Normal 4 5 6 2 3 4 4" xfId="15384" xr:uid="{00000000-0005-0000-0000-0000651C0000}"/>
    <cellStyle name="Normal 4 5 6 2 3 5" xfId="4021" xr:uid="{00000000-0005-0000-0000-0000661C0000}"/>
    <cellStyle name="Normal 4 5 6 2 3 5 2" xfId="15385" xr:uid="{00000000-0005-0000-0000-0000671C0000}"/>
    <cellStyle name="Normal 4 5 6 2 3 6" xfId="4022" xr:uid="{00000000-0005-0000-0000-0000681C0000}"/>
    <cellStyle name="Normal 4 5 6 2 3 6 2" xfId="15386" xr:uid="{00000000-0005-0000-0000-0000691C0000}"/>
    <cellStyle name="Normal 4 5 6 2 3 7" xfId="15387" xr:uid="{00000000-0005-0000-0000-00006A1C0000}"/>
    <cellStyle name="Normal 4 5 6 2 4" xfId="4023" xr:uid="{00000000-0005-0000-0000-00006B1C0000}"/>
    <cellStyle name="Normal 4 5 6 2 4 2" xfId="4024" xr:uid="{00000000-0005-0000-0000-00006C1C0000}"/>
    <cellStyle name="Normal 4 5 6 2 4 2 2" xfId="4025" xr:uid="{00000000-0005-0000-0000-00006D1C0000}"/>
    <cellStyle name="Normal 4 5 6 2 4 2 2 2" xfId="15388" xr:uid="{00000000-0005-0000-0000-00006E1C0000}"/>
    <cellStyle name="Normal 4 5 6 2 4 2 3" xfId="4026" xr:uid="{00000000-0005-0000-0000-00006F1C0000}"/>
    <cellStyle name="Normal 4 5 6 2 4 2 3 2" xfId="15389" xr:uid="{00000000-0005-0000-0000-0000701C0000}"/>
    <cellStyle name="Normal 4 5 6 2 4 2 4" xfId="15390" xr:uid="{00000000-0005-0000-0000-0000711C0000}"/>
    <cellStyle name="Normal 4 5 6 2 4 3" xfId="4027" xr:uid="{00000000-0005-0000-0000-0000721C0000}"/>
    <cellStyle name="Normal 4 5 6 2 4 3 2" xfId="4028" xr:uid="{00000000-0005-0000-0000-0000731C0000}"/>
    <cellStyle name="Normal 4 5 6 2 4 3 2 2" xfId="15391" xr:uid="{00000000-0005-0000-0000-0000741C0000}"/>
    <cellStyle name="Normal 4 5 6 2 4 3 3" xfId="4029" xr:uid="{00000000-0005-0000-0000-0000751C0000}"/>
    <cellStyle name="Normal 4 5 6 2 4 3 3 2" xfId="15392" xr:uid="{00000000-0005-0000-0000-0000761C0000}"/>
    <cellStyle name="Normal 4 5 6 2 4 3 4" xfId="15393" xr:uid="{00000000-0005-0000-0000-0000771C0000}"/>
    <cellStyle name="Normal 4 5 6 2 4 4" xfId="4030" xr:uid="{00000000-0005-0000-0000-0000781C0000}"/>
    <cellStyle name="Normal 4 5 6 2 4 4 2" xfId="15394" xr:uid="{00000000-0005-0000-0000-0000791C0000}"/>
    <cellStyle name="Normal 4 5 6 2 4 5" xfId="4031" xr:uid="{00000000-0005-0000-0000-00007A1C0000}"/>
    <cellStyle name="Normal 4 5 6 2 4 5 2" xfId="15395" xr:uid="{00000000-0005-0000-0000-00007B1C0000}"/>
    <cellStyle name="Normal 4 5 6 2 4 6" xfId="15396" xr:uid="{00000000-0005-0000-0000-00007C1C0000}"/>
    <cellStyle name="Normal 4 5 6 2 5" xfId="4032" xr:uid="{00000000-0005-0000-0000-00007D1C0000}"/>
    <cellStyle name="Normal 4 5 6 2 5 2" xfId="4033" xr:uid="{00000000-0005-0000-0000-00007E1C0000}"/>
    <cellStyle name="Normal 4 5 6 2 5 2 2" xfId="4034" xr:uid="{00000000-0005-0000-0000-00007F1C0000}"/>
    <cellStyle name="Normal 4 5 6 2 5 2 2 2" xfId="15397" xr:uid="{00000000-0005-0000-0000-0000801C0000}"/>
    <cellStyle name="Normal 4 5 6 2 5 2 3" xfId="4035" xr:uid="{00000000-0005-0000-0000-0000811C0000}"/>
    <cellStyle name="Normal 4 5 6 2 5 2 3 2" xfId="15398" xr:uid="{00000000-0005-0000-0000-0000821C0000}"/>
    <cellStyle name="Normal 4 5 6 2 5 2 4" xfId="15399" xr:uid="{00000000-0005-0000-0000-0000831C0000}"/>
    <cellStyle name="Normal 4 5 6 2 5 3" xfId="4036" xr:uid="{00000000-0005-0000-0000-0000841C0000}"/>
    <cellStyle name="Normal 4 5 6 2 5 3 2" xfId="4037" xr:uid="{00000000-0005-0000-0000-0000851C0000}"/>
    <cellStyle name="Normal 4 5 6 2 5 3 2 2" xfId="15400" xr:uid="{00000000-0005-0000-0000-0000861C0000}"/>
    <cellStyle name="Normal 4 5 6 2 5 3 3" xfId="4038" xr:uid="{00000000-0005-0000-0000-0000871C0000}"/>
    <cellStyle name="Normal 4 5 6 2 5 3 3 2" xfId="15401" xr:uid="{00000000-0005-0000-0000-0000881C0000}"/>
    <cellStyle name="Normal 4 5 6 2 5 3 4" xfId="15402" xr:uid="{00000000-0005-0000-0000-0000891C0000}"/>
    <cellStyle name="Normal 4 5 6 2 5 4" xfId="4039" xr:uid="{00000000-0005-0000-0000-00008A1C0000}"/>
    <cellStyle name="Normal 4 5 6 2 5 4 2" xfId="15403" xr:uid="{00000000-0005-0000-0000-00008B1C0000}"/>
    <cellStyle name="Normal 4 5 6 2 5 5" xfId="4040" xr:uid="{00000000-0005-0000-0000-00008C1C0000}"/>
    <cellStyle name="Normal 4 5 6 2 5 5 2" xfId="15404" xr:uid="{00000000-0005-0000-0000-00008D1C0000}"/>
    <cellStyle name="Normal 4 5 6 2 5 6" xfId="15405" xr:uid="{00000000-0005-0000-0000-00008E1C0000}"/>
    <cellStyle name="Normal 4 5 6 2 6" xfId="4041" xr:uid="{00000000-0005-0000-0000-00008F1C0000}"/>
    <cellStyle name="Normal 4 5 6 2 6 2" xfId="4042" xr:uid="{00000000-0005-0000-0000-0000901C0000}"/>
    <cellStyle name="Normal 4 5 6 2 6 2 2" xfId="15406" xr:uid="{00000000-0005-0000-0000-0000911C0000}"/>
    <cellStyle name="Normal 4 5 6 2 6 3" xfId="4043" xr:uid="{00000000-0005-0000-0000-0000921C0000}"/>
    <cellStyle name="Normal 4 5 6 2 6 3 2" xfId="15407" xr:uid="{00000000-0005-0000-0000-0000931C0000}"/>
    <cellStyle name="Normal 4 5 6 2 6 4" xfId="15408" xr:uid="{00000000-0005-0000-0000-0000941C0000}"/>
    <cellStyle name="Normal 4 5 6 2 7" xfId="4044" xr:uid="{00000000-0005-0000-0000-0000951C0000}"/>
    <cellStyle name="Normal 4 5 6 2 7 2" xfId="4045" xr:uid="{00000000-0005-0000-0000-0000961C0000}"/>
    <cellStyle name="Normal 4 5 6 2 7 2 2" xfId="15409" xr:uid="{00000000-0005-0000-0000-0000971C0000}"/>
    <cellStyle name="Normal 4 5 6 2 7 3" xfId="4046" xr:uid="{00000000-0005-0000-0000-0000981C0000}"/>
    <cellStyle name="Normal 4 5 6 2 7 3 2" xfId="15410" xr:uid="{00000000-0005-0000-0000-0000991C0000}"/>
    <cellStyle name="Normal 4 5 6 2 7 4" xfId="15411" xr:uid="{00000000-0005-0000-0000-00009A1C0000}"/>
    <cellStyle name="Normal 4 5 6 2 8" xfId="4047" xr:uid="{00000000-0005-0000-0000-00009B1C0000}"/>
    <cellStyle name="Normal 4 5 6 2 8 2" xfId="15412" xr:uid="{00000000-0005-0000-0000-00009C1C0000}"/>
    <cellStyle name="Normal 4 5 6 2 9" xfId="4048" xr:uid="{00000000-0005-0000-0000-00009D1C0000}"/>
    <cellStyle name="Normal 4 5 6 2 9 2" xfId="15413" xr:uid="{00000000-0005-0000-0000-00009E1C0000}"/>
    <cellStyle name="Normal 4 5 6 3" xfId="4049" xr:uid="{00000000-0005-0000-0000-00009F1C0000}"/>
    <cellStyle name="Normal 4 5 6 3 2" xfId="4050" xr:uid="{00000000-0005-0000-0000-0000A01C0000}"/>
    <cellStyle name="Normal 4 5 6 3 2 2" xfId="4051" xr:uid="{00000000-0005-0000-0000-0000A11C0000}"/>
    <cellStyle name="Normal 4 5 6 3 2 2 2" xfId="4052" xr:uid="{00000000-0005-0000-0000-0000A21C0000}"/>
    <cellStyle name="Normal 4 5 6 3 2 2 2 2" xfId="15414" xr:uid="{00000000-0005-0000-0000-0000A31C0000}"/>
    <cellStyle name="Normal 4 5 6 3 2 2 3" xfId="4053" xr:uid="{00000000-0005-0000-0000-0000A41C0000}"/>
    <cellStyle name="Normal 4 5 6 3 2 2 3 2" xfId="15415" xr:uid="{00000000-0005-0000-0000-0000A51C0000}"/>
    <cellStyle name="Normal 4 5 6 3 2 2 4" xfId="15416" xr:uid="{00000000-0005-0000-0000-0000A61C0000}"/>
    <cellStyle name="Normal 4 5 6 3 2 3" xfId="4054" xr:uid="{00000000-0005-0000-0000-0000A71C0000}"/>
    <cellStyle name="Normal 4 5 6 3 2 3 2" xfId="4055" xr:uid="{00000000-0005-0000-0000-0000A81C0000}"/>
    <cellStyle name="Normal 4 5 6 3 2 3 2 2" xfId="15417" xr:uid="{00000000-0005-0000-0000-0000A91C0000}"/>
    <cellStyle name="Normal 4 5 6 3 2 3 3" xfId="4056" xr:uid="{00000000-0005-0000-0000-0000AA1C0000}"/>
    <cellStyle name="Normal 4 5 6 3 2 3 3 2" xfId="15418" xr:uid="{00000000-0005-0000-0000-0000AB1C0000}"/>
    <cellStyle name="Normal 4 5 6 3 2 3 4" xfId="15419" xr:uid="{00000000-0005-0000-0000-0000AC1C0000}"/>
    <cellStyle name="Normal 4 5 6 3 2 4" xfId="4057" xr:uid="{00000000-0005-0000-0000-0000AD1C0000}"/>
    <cellStyle name="Normal 4 5 6 3 2 4 2" xfId="15420" xr:uid="{00000000-0005-0000-0000-0000AE1C0000}"/>
    <cellStyle name="Normal 4 5 6 3 2 5" xfId="4058" xr:uid="{00000000-0005-0000-0000-0000AF1C0000}"/>
    <cellStyle name="Normal 4 5 6 3 2 5 2" xfId="15421" xr:uid="{00000000-0005-0000-0000-0000B01C0000}"/>
    <cellStyle name="Normal 4 5 6 3 2 6" xfId="15422" xr:uid="{00000000-0005-0000-0000-0000B11C0000}"/>
    <cellStyle name="Normal 4 5 6 3 3" xfId="4059" xr:uid="{00000000-0005-0000-0000-0000B21C0000}"/>
    <cellStyle name="Normal 4 5 6 3 3 2" xfId="4060" xr:uid="{00000000-0005-0000-0000-0000B31C0000}"/>
    <cellStyle name="Normal 4 5 6 3 3 2 2" xfId="4061" xr:uid="{00000000-0005-0000-0000-0000B41C0000}"/>
    <cellStyle name="Normal 4 5 6 3 3 2 2 2" xfId="15423" xr:uid="{00000000-0005-0000-0000-0000B51C0000}"/>
    <cellStyle name="Normal 4 5 6 3 3 2 3" xfId="4062" xr:uid="{00000000-0005-0000-0000-0000B61C0000}"/>
    <cellStyle name="Normal 4 5 6 3 3 2 3 2" xfId="15424" xr:uid="{00000000-0005-0000-0000-0000B71C0000}"/>
    <cellStyle name="Normal 4 5 6 3 3 2 4" xfId="15425" xr:uid="{00000000-0005-0000-0000-0000B81C0000}"/>
    <cellStyle name="Normal 4 5 6 3 3 3" xfId="4063" xr:uid="{00000000-0005-0000-0000-0000B91C0000}"/>
    <cellStyle name="Normal 4 5 6 3 3 3 2" xfId="4064" xr:uid="{00000000-0005-0000-0000-0000BA1C0000}"/>
    <cellStyle name="Normal 4 5 6 3 3 3 2 2" xfId="15426" xr:uid="{00000000-0005-0000-0000-0000BB1C0000}"/>
    <cellStyle name="Normal 4 5 6 3 3 3 3" xfId="4065" xr:uid="{00000000-0005-0000-0000-0000BC1C0000}"/>
    <cellStyle name="Normal 4 5 6 3 3 3 3 2" xfId="15427" xr:uid="{00000000-0005-0000-0000-0000BD1C0000}"/>
    <cellStyle name="Normal 4 5 6 3 3 3 4" xfId="15428" xr:uid="{00000000-0005-0000-0000-0000BE1C0000}"/>
    <cellStyle name="Normal 4 5 6 3 3 4" xfId="4066" xr:uid="{00000000-0005-0000-0000-0000BF1C0000}"/>
    <cellStyle name="Normal 4 5 6 3 3 4 2" xfId="15429" xr:uid="{00000000-0005-0000-0000-0000C01C0000}"/>
    <cellStyle name="Normal 4 5 6 3 3 5" xfId="4067" xr:uid="{00000000-0005-0000-0000-0000C11C0000}"/>
    <cellStyle name="Normal 4 5 6 3 3 5 2" xfId="15430" xr:uid="{00000000-0005-0000-0000-0000C21C0000}"/>
    <cellStyle name="Normal 4 5 6 3 3 6" xfId="15431" xr:uid="{00000000-0005-0000-0000-0000C31C0000}"/>
    <cellStyle name="Normal 4 5 6 3 4" xfId="4068" xr:uid="{00000000-0005-0000-0000-0000C41C0000}"/>
    <cellStyle name="Normal 4 5 6 3 4 2" xfId="4069" xr:uid="{00000000-0005-0000-0000-0000C51C0000}"/>
    <cellStyle name="Normal 4 5 6 3 4 2 2" xfId="15432" xr:uid="{00000000-0005-0000-0000-0000C61C0000}"/>
    <cellStyle name="Normal 4 5 6 3 4 3" xfId="4070" xr:uid="{00000000-0005-0000-0000-0000C71C0000}"/>
    <cellStyle name="Normal 4 5 6 3 4 3 2" xfId="15433" xr:uid="{00000000-0005-0000-0000-0000C81C0000}"/>
    <cellStyle name="Normal 4 5 6 3 4 4" xfId="15434" xr:uid="{00000000-0005-0000-0000-0000C91C0000}"/>
    <cellStyle name="Normal 4 5 6 3 5" xfId="4071" xr:uid="{00000000-0005-0000-0000-0000CA1C0000}"/>
    <cellStyle name="Normal 4 5 6 3 5 2" xfId="4072" xr:uid="{00000000-0005-0000-0000-0000CB1C0000}"/>
    <cellStyle name="Normal 4 5 6 3 5 2 2" xfId="15435" xr:uid="{00000000-0005-0000-0000-0000CC1C0000}"/>
    <cellStyle name="Normal 4 5 6 3 5 3" xfId="4073" xr:uid="{00000000-0005-0000-0000-0000CD1C0000}"/>
    <cellStyle name="Normal 4 5 6 3 5 3 2" xfId="15436" xr:uid="{00000000-0005-0000-0000-0000CE1C0000}"/>
    <cellStyle name="Normal 4 5 6 3 5 4" xfId="15437" xr:uid="{00000000-0005-0000-0000-0000CF1C0000}"/>
    <cellStyle name="Normal 4 5 6 3 6" xfId="4074" xr:uid="{00000000-0005-0000-0000-0000D01C0000}"/>
    <cellStyle name="Normal 4 5 6 3 6 2" xfId="15438" xr:uid="{00000000-0005-0000-0000-0000D11C0000}"/>
    <cellStyle name="Normal 4 5 6 3 7" xfId="4075" xr:uid="{00000000-0005-0000-0000-0000D21C0000}"/>
    <cellStyle name="Normal 4 5 6 3 7 2" xfId="15439" xr:uid="{00000000-0005-0000-0000-0000D31C0000}"/>
    <cellStyle name="Normal 4 5 6 3 8" xfId="15440" xr:uid="{00000000-0005-0000-0000-0000D41C0000}"/>
    <cellStyle name="Normal 4 5 6 4" xfId="4076" xr:uid="{00000000-0005-0000-0000-0000D51C0000}"/>
    <cellStyle name="Normal 4 5 6 4 2" xfId="4077" xr:uid="{00000000-0005-0000-0000-0000D61C0000}"/>
    <cellStyle name="Normal 4 5 6 4 2 2" xfId="4078" xr:uid="{00000000-0005-0000-0000-0000D71C0000}"/>
    <cellStyle name="Normal 4 5 6 4 2 2 2" xfId="4079" xr:uid="{00000000-0005-0000-0000-0000D81C0000}"/>
    <cellStyle name="Normal 4 5 6 4 2 2 2 2" xfId="15441" xr:uid="{00000000-0005-0000-0000-0000D91C0000}"/>
    <cellStyle name="Normal 4 5 6 4 2 2 3" xfId="4080" xr:uid="{00000000-0005-0000-0000-0000DA1C0000}"/>
    <cellStyle name="Normal 4 5 6 4 2 2 3 2" xfId="15442" xr:uid="{00000000-0005-0000-0000-0000DB1C0000}"/>
    <cellStyle name="Normal 4 5 6 4 2 2 4" xfId="15443" xr:uid="{00000000-0005-0000-0000-0000DC1C0000}"/>
    <cellStyle name="Normal 4 5 6 4 2 3" xfId="4081" xr:uid="{00000000-0005-0000-0000-0000DD1C0000}"/>
    <cellStyle name="Normal 4 5 6 4 2 3 2" xfId="4082" xr:uid="{00000000-0005-0000-0000-0000DE1C0000}"/>
    <cellStyle name="Normal 4 5 6 4 2 3 2 2" xfId="15444" xr:uid="{00000000-0005-0000-0000-0000DF1C0000}"/>
    <cellStyle name="Normal 4 5 6 4 2 3 3" xfId="4083" xr:uid="{00000000-0005-0000-0000-0000E01C0000}"/>
    <cellStyle name="Normal 4 5 6 4 2 3 3 2" xfId="15445" xr:uid="{00000000-0005-0000-0000-0000E11C0000}"/>
    <cellStyle name="Normal 4 5 6 4 2 3 4" xfId="15446" xr:uid="{00000000-0005-0000-0000-0000E21C0000}"/>
    <cellStyle name="Normal 4 5 6 4 2 4" xfId="4084" xr:uid="{00000000-0005-0000-0000-0000E31C0000}"/>
    <cellStyle name="Normal 4 5 6 4 2 4 2" xfId="15447" xr:uid="{00000000-0005-0000-0000-0000E41C0000}"/>
    <cellStyle name="Normal 4 5 6 4 2 5" xfId="4085" xr:uid="{00000000-0005-0000-0000-0000E51C0000}"/>
    <cellStyle name="Normal 4 5 6 4 2 5 2" xfId="15448" xr:uid="{00000000-0005-0000-0000-0000E61C0000}"/>
    <cellStyle name="Normal 4 5 6 4 2 6" xfId="15449" xr:uid="{00000000-0005-0000-0000-0000E71C0000}"/>
    <cellStyle name="Normal 4 5 6 4 3" xfId="4086" xr:uid="{00000000-0005-0000-0000-0000E81C0000}"/>
    <cellStyle name="Normal 4 5 6 4 3 2" xfId="4087" xr:uid="{00000000-0005-0000-0000-0000E91C0000}"/>
    <cellStyle name="Normal 4 5 6 4 3 2 2" xfId="15450" xr:uid="{00000000-0005-0000-0000-0000EA1C0000}"/>
    <cellStyle name="Normal 4 5 6 4 3 3" xfId="4088" xr:uid="{00000000-0005-0000-0000-0000EB1C0000}"/>
    <cellStyle name="Normal 4 5 6 4 3 3 2" xfId="15451" xr:uid="{00000000-0005-0000-0000-0000EC1C0000}"/>
    <cellStyle name="Normal 4 5 6 4 3 4" xfId="15452" xr:uid="{00000000-0005-0000-0000-0000ED1C0000}"/>
    <cellStyle name="Normal 4 5 6 4 4" xfId="4089" xr:uid="{00000000-0005-0000-0000-0000EE1C0000}"/>
    <cellStyle name="Normal 4 5 6 4 4 2" xfId="4090" xr:uid="{00000000-0005-0000-0000-0000EF1C0000}"/>
    <cellStyle name="Normal 4 5 6 4 4 2 2" xfId="15453" xr:uid="{00000000-0005-0000-0000-0000F01C0000}"/>
    <cellStyle name="Normal 4 5 6 4 4 3" xfId="4091" xr:uid="{00000000-0005-0000-0000-0000F11C0000}"/>
    <cellStyle name="Normal 4 5 6 4 4 3 2" xfId="15454" xr:uid="{00000000-0005-0000-0000-0000F21C0000}"/>
    <cellStyle name="Normal 4 5 6 4 4 4" xfId="15455" xr:uid="{00000000-0005-0000-0000-0000F31C0000}"/>
    <cellStyle name="Normal 4 5 6 4 5" xfId="4092" xr:uid="{00000000-0005-0000-0000-0000F41C0000}"/>
    <cellStyle name="Normal 4 5 6 4 5 2" xfId="15456" xr:uid="{00000000-0005-0000-0000-0000F51C0000}"/>
    <cellStyle name="Normal 4 5 6 4 6" xfId="4093" xr:uid="{00000000-0005-0000-0000-0000F61C0000}"/>
    <cellStyle name="Normal 4 5 6 4 6 2" xfId="15457" xr:uid="{00000000-0005-0000-0000-0000F71C0000}"/>
    <cellStyle name="Normal 4 5 6 4 7" xfId="15458" xr:uid="{00000000-0005-0000-0000-0000F81C0000}"/>
    <cellStyle name="Normal 4 5 6 5" xfId="4094" xr:uid="{00000000-0005-0000-0000-0000F91C0000}"/>
    <cellStyle name="Normal 4 5 6 5 2" xfId="4095" xr:uid="{00000000-0005-0000-0000-0000FA1C0000}"/>
    <cellStyle name="Normal 4 5 6 5 2 2" xfId="4096" xr:uid="{00000000-0005-0000-0000-0000FB1C0000}"/>
    <cellStyle name="Normal 4 5 6 5 2 2 2" xfId="15459" xr:uid="{00000000-0005-0000-0000-0000FC1C0000}"/>
    <cellStyle name="Normal 4 5 6 5 2 3" xfId="4097" xr:uid="{00000000-0005-0000-0000-0000FD1C0000}"/>
    <cellStyle name="Normal 4 5 6 5 2 3 2" xfId="15460" xr:uid="{00000000-0005-0000-0000-0000FE1C0000}"/>
    <cellStyle name="Normal 4 5 6 5 2 4" xfId="15461" xr:uid="{00000000-0005-0000-0000-0000FF1C0000}"/>
    <cellStyle name="Normal 4 5 6 5 3" xfId="4098" xr:uid="{00000000-0005-0000-0000-0000001D0000}"/>
    <cellStyle name="Normal 4 5 6 5 3 2" xfId="4099" xr:uid="{00000000-0005-0000-0000-0000011D0000}"/>
    <cellStyle name="Normal 4 5 6 5 3 2 2" xfId="15462" xr:uid="{00000000-0005-0000-0000-0000021D0000}"/>
    <cellStyle name="Normal 4 5 6 5 3 3" xfId="4100" xr:uid="{00000000-0005-0000-0000-0000031D0000}"/>
    <cellStyle name="Normal 4 5 6 5 3 3 2" xfId="15463" xr:uid="{00000000-0005-0000-0000-0000041D0000}"/>
    <cellStyle name="Normal 4 5 6 5 3 4" xfId="15464" xr:uid="{00000000-0005-0000-0000-0000051D0000}"/>
    <cellStyle name="Normal 4 5 6 5 4" xfId="4101" xr:uid="{00000000-0005-0000-0000-0000061D0000}"/>
    <cellStyle name="Normal 4 5 6 5 4 2" xfId="15465" xr:uid="{00000000-0005-0000-0000-0000071D0000}"/>
    <cellStyle name="Normal 4 5 6 5 5" xfId="4102" xr:uid="{00000000-0005-0000-0000-0000081D0000}"/>
    <cellStyle name="Normal 4 5 6 5 5 2" xfId="15466" xr:uid="{00000000-0005-0000-0000-0000091D0000}"/>
    <cellStyle name="Normal 4 5 6 5 6" xfId="15467" xr:uid="{00000000-0005-0000-0000-00000A1D0000}"/>
    <cellStyle name="Normal 4 5 6 6" xfId="4103" xr:uid="{00000000-0005-0000-0000-00000B1D0000}"/>
    <cellStyle name="Normal 4 5 6 6 2" xfId="4104" xr:uid="{00000000-0005-0000-0000-00000C1D0000}"/>
    <cellStyle name="Normal 4 5 6 6 2 2" xfId="4105" xr:uid="{00000000-0005-0000-0000-00000D1D0000}"/>
    <cellStyle name="Normal 4 5 6 6 2 2 2" xfId="15468" xr:uid="{00000000-0005-0000-0000-00000E1D0000}"/>
    <cellStyle name="Normal 4 5 6 6 2 3" xfId="4106" xr:uid="{00000000-0005-0000-0000-00000F1D0000}"/>
    <cellStyle name="Normal 4 5 6 6 2 3 2" xfId="15469" xr:uid="{00000000-0005-0000-0000-0000101D0000}"/>
    <cellStyle name="Normal 4 5 6 6 2 4" xfId="15470" xr:uid="{00000000-0005-0000-0000-0000111D0000}"/>
    <cellStyle name="Normal 4 5 6 6 3" xfId="4107" xr:uid="{00000000-0005-0000-0000-0000121D0000}"/>
    <cellStyle name="Normal 4 5 6 6 3 2" xfId="4108" xr:uid="{00000000-0005-0000-0000-0000131D0000}"/>
    <cellStyle name="Normal 4 5 6 6 3 2 2" xfId="15471" xr:uid="{00000000-0005-0000-0000-0000141D0000}"/>
    <cellStyle name="Normal 4 5 6 6 3 3" xfId="4109" xr:uid="{00000000-0005-0000-0000-0000151D0000}"/>
    <cellStyle name="Normal 4 5 6 6 3 3 2" xfId="15472" xr:uid="{00000000-0005-0000-0000-0000161D0000}"/>
    <cellStyle name="Normal 4 5 6 6 3 4" xfId="15473" xr:uid="{00000000-0005-0000-0000-0000171D0000}"/>
    <cellStyle name="Normal 4 5 6 6 4" xfId="4110" xr:uid="{00000000-0005-0000-0000-0000181D0000}"/>
    <cellStyle name="Normal 4 5 6 6 4 2" xfId="15474" xr:uid="{00000000-0005-0000-0000-0000191D0000}"/>
    <cellStyle name="Normal 4 5 6 6 5" xfId="4111" xr:uid="{00000000-0005-0000-0000-00001A1D0000}"/>
    <cellStyle name="Normal 4 5 6 6 5 2" xfId="15475" xr:uid="{00000000-0005-0000-0000-00001B1D0000}"/>
    <cellStyle name="Normal 4 5 6 6 6" xfId="15476" xr:uid="{00000000-0005-0000-0000-00001C1D0000}"/>
    <cellStyle name="Normal 4 5 6 7" xfId="4112" xr:uid="{00000000-0005-0000-0000-00001D1D0000}"/>
    <cellStyle name="Normal 4 5 6 7 2" xfId="4113" xr:uid="{00000000-0005-0000-0000-00001E1D0000}"/>
    <cellStyle name="Normal 4 5 6 7 2 2" xfId="15477" xr:uid="{00000000-0005-0000-0000-00001F1D0000}"/>
    <cellStyle name="Normal 4 5 6 7 3" xfId="4114" xr:uid="{00000000-0005-0000-0000-0000201D0000}"/>
    <cellStyle name="Normal 4 5 6 7 3 2" xfId="15478" xr:uid="{00000000-0005-0000-0000-0000211D0000}"/>
    <cellStyle name="Normal 4 5 6 7 4" xfId="15479" xr:uid="{00000000-0005-0000-0000-0000221D0000}"/>
    <cellStyle name="Normal 4 5 6 8" xfId="4115" xr:uid="{00000000-0005-0000-0000-0000231D0000}"/>
    <cellStyle name="Normal 4 5 6 8 2" xfId="4116" xr:uid="{00000000-0005-0000-0000-0000241D0000}"/>
    <cellStyle name="Normal 4 5 6 8 2 2" xfId="15480" xr:uid="{00000000-0005-0000-0000-0000251D0000}"/>
    <cellStyle name="Normal 4 5 6 8 3" xfId="4117" xr:uid="{00000000-0005-0000-0000-0000261D0000}"/>
    <cellStyle name="Normal 4 5 6 8 3 2" xfId="15481" xr:uid="{00000000-0005-0000-0000-0000271D0000}"/>
    <cellStyle name="Normal 4 5 6 8 4" xfId="15482" xr:uid="{00000000-0005-0000-0000-0000281D0000}"/>
    <cellStyle name="Normal 4 5 6 9" xfId="4118" xr:uid="{00000000-0005-0000-0000-0000291D0000}"/>
    <cellStyle name="Normal 4 5 6 9 2" xfId="15483" xr:uid="{00000000-0005-0000-0000-00002A1D0000}"/>
    <cellStyle name="Normal 4 5 7" xfId="4119" xr:uid="{00000000-0005-0000-0000-00002B1D0000}"/>
    <cellStyle name="Normal 4 5 7 10" xfId="15484" xr:uid="{00000000-0005-0000-0000-00002C1D0000}"/>
    <cellStyle name="Normal 4 5 7 2" xfId="4120" xr:uid="{00000000-0005-0000-0000-00002D1D0000}"/>
    <cellStyle name="Normal 4 5 7 2 2" xfId="4121" xr:uid="{00000000-0005-0000-0000-00002E1D0000}"/>
    <cellStyle name="Normal 4 5 7 2 2 2" xfId="4122" xr:uid="{00000000-0005-0000-0000-00002F1D0000}"/>
    <cellStyle name="Normal 4 5 7 2 2 2 2" xfId="4123" xr:uid="{00000000-0005-0000-0000-0000301D0000}"/>
    <cellStyle name="Normal 4 5 7 2 2 2 2 2" xfId="15485" xr:uid="{00000000-0005-0000-0000-0000311D0000}"/>
    <cellStyle name="Normal 4 5 7 2 2 2 3" xfId="4124" xr:uid="{00000000-0005-0000-0000-0000321D0000}"/>
    <cellStyle name="Normal 4 5 7 2 2 2 3 2" xfId="15486" xr:uid="{00000000-0005-0000-0000-0000331D0000}"/>
    <cellStyle name="Normal 4 5 7 2 2 2 4" xfId="15487" xr:uid="{00000000-0005-0000-0000-0000341D0000}"/>
    <cellStyle name="Normal 4 5 7 2 2 3" xfId="4125" xr:uid="{00000000-0005-0000-0000-0000351D0000}"/>
    <cellStyle name="Normal 4 5 7 2 2 3 2" xfId="4126" xr:uid="{00000000-0005-0000-0000-0000361D0000}"/>
    <cellStyle name="Normal 4 5 7 2 2 3 2 2" xfId="15488" xr:uid="{00000000-0005-0000-0000-0000371D0000}"/>
    <cellStyle name="Normal 4 5 7 2 2 3 3" xfId="4127" xr:uid="{00000000-0005-0000-0000-0000381D0000}"/>
    <cellStyle name="Normal 4 5 7 2 2 3 3 2" xfId="15489" xr:uid="{00000000-0005-0000-0000-0000391D0000}"/>
    <cellStyle name="Normal 4 5 7 2 2 3 4" xfId="15490" xr:uid="{00000000-0005-0000-0000-00003A1D0000}"/>
    <cellStyle name="Normal 4 5 7 2 2 4" xfId="4128" xr:uid="{00000000-0005-0000-0000-00003B1D0000}"/>
    <cellStyle name="Normal 4 5 7 2 2 4 2" xfId="15491" xr:uid="{00000000-0005-0000-0000-00003C1D0000}"/>
    <cellStyle name="Normal 4 5 7 2 2 5" xfId="4129" xr:uid="{00000000-0005-0000-0000-00003D1D0000}"/>
    <cellStyle name="Normal 4 5 7 2 2 5 2" xfId="15492" xr:uid="{00000000-0005-0000-0000-00003E1D0000}"/>
    <cellStyle name="Normal 4 5 7 2 2 6" xfId="15493" xr:uid="{00000000-0005-0000-0000-00003F1D0000}"/>
    <cellStyle name="Normal 4 5 7 2 3" xfId="4130" xr:uid="{00000000-0005-0000-0000-0000401D0000}"/>
    <cellStyle name="Normal 4 5 7 2 3 2" xfId="4131" xr:uid="{00000000-0005-0000-0000-0000411D0000}"/>
    <cellStyle name="Normal 4 5 7 2 3 2 2" xfId="4132" xr:uid="{00000000-0005-0000-0000-0000421D0000}"/>
    <cellStyle name="Normal 4 5 7 2 3 2 2 2" xfId="15494" xr:uid="{00000000-0005-0000-0000-0000431D0000}"/>
    <cellStyle name="Normal 4 5 7 2 3 2 3" xfId="4133" xr:uid="{00000000-0005-0000-0000-0000441D0000}"/>
    <cellStyle name="Normal 4 5 7 2 3 2 3 2" xfId="15495" xr:uid="{00000000-0005-0000-0000-0000451D0000}"/>
    <cellStyle name="Normal 4 5 7 2 3 2 4" xfId="15496" xr:uid="{00000000-0005-0000-0000-0000461D0000}"/>
    <cellStyle name="Normal 4 5 7 2 3 3" xfId="4134" xr:uid="{00000000-0005-0000-0000-0000471D0000}"/>
    <cellStyle name="Normal 4 5 7 2 3 3 2" xfId="4135" xr:uid="{00000000-0005-0000-0000-0000481D0000}"/>
    <cellStyle name="Normal 4 5 7 2 3 3 2 2" xfId="15497" xr:uid="{00000000-0005-0000-0000-0000491D0000}"/>
    <cellStyle name="Normal 4 5 7 2 3 3 3" xfId="4136" xr:uid="{00000000-0005-0000-0000-00004A1D0000}"/>
    <cellStyle name="Normal 4 5 7 2 3 3 3 2" xfId="15498" xr:uid="{00000000-0005-0000-0000-00004B1D0000}"/>
    <cellStyle name="Normal 4 5 7 2 3 3 4" xfId="15499" xr:uid="{00000000-0005-0000-0000-00004C1D0000}"/>
    <cellStyle name="Normal 4 5 7 2 3 4" xfId="4137" xr:uid="{00000000-0005-0000-0000-00004D1D0000}"/>
    <cellStyle name="Normal 4 5 7 2 3 4 2" xfId="15500" xr:uid="{00000000-0005-0000-0000-00004E1D0000}"/>
    <cellStyle name="Normal 4 5 7 2 3 5" xfId="4138" xr:uid="{00000000-0005-0000-0000-00004F1D0000}"/>
    <cellStyle name="Normal 4 5 7 2 3 5 2" xfId="15501" xr:uid="{00000000-0005-0000-0000-0000501D0000}"/>
    <cellStyle name="Normal 4 5 7 2 3 6" xfId="15502" xr:uid="{00000000-0005-0000-0000-0000511D0000}"/>
    <cellStyle name="Normal 4 5 7 2 4" xfId="4139" xr:uid="{00000000-0005-0000-0000-0000521D0000}"/>
    <cellStyle name="Normal 4 5 7 2 4 2" xfId="4140" xr:uid="{00000000-0005-0000-0000-0000531D0000}"/>
    <cellStyle name="Normal 4 5 7 2 4 2 2" xfId="15503" xr:uid="{00000000-0005-0000-0000-0000541D0000}"/>
    <cellStyle name="Normal 4 5 7 2 4 3" xfId="4141" xr:uid="{00000000-0005-0000-0000-0000551D0000}"/>
    <cellStyle name="Normal 4 5 7 2 4 3 2" xfId="15504" xr:uid="{00000000-0005-0000-0000-0000561D0000}"/>
    <cellStyle name="Normal 4 5 7 2 4 4" xfId="15505" xr:uid="{00000000-0005-0000-0000-0000571D0000}"/>
    <cellStyle name="Normal 4 5 7 2 5" xfId="4142" xr:uid="{00000000-0005-0000-0000-0000581D0000}"/>
    <cellStyle name="Normal 4 5 7 2 5 2" xfId="4143" xr:uid="{00000000-0005-0000-0000-0000591D0000}"/>
    <cellStyle name="Normal 4 5 7 2 5 2 2" xfId="15506" xr:uid="{00000000-0005-0000-0000-00005A1D0000}"/>
    <cellStyle name="Normal 4 5 7 2 5 3" xfId="4144" xr:uid="{00000000-0005-0000-0000-00005B1D0000}"/>
    <cellStyle name="Normal 4 5 7 2 5 3 2" xfId="15507" xr:uid="{00000000-0005-0000-0000-00005C1D0000}"/>
    <cellStyle name="Normal 4 5 7 2 5 4" xfId="15508" xr:uid="{00000000-0005-0000-0000-00005D1D0000}"/>
    <cellStyle name="Normal 4 5 7 2 6" xfId="4145" xr:uid="{00000000-0005-0000-0000-00005E1D0000}"/>
    <cellStyle name="Normal 4 5 7 2 6 2" xfId="15509" xr:uid="{00000000-0005-0000-0000-00005F1D0000}"/>
    <cellStyle name="Normal 4 5 7 2 7" xfId="4146" xr:uid="{00000000-0005-0000-0000-0000601D0000}"/>
    <cellStyle name="Normal 4 5 7 2 7 2" xfId="15510" xr:uid="{00000000-0005-0000-0000-0000611D0000}"/>
    <cellStyle name="Normal 4 5 7 2 8" xfId="15511" xr:uid="{00000000-0005-0000-0000-0000621D0000}"/>
    <cellStyle name="Normal 4 5 7 3" xfId="4147" xr:uid="{00000000-0005-0000-0000-0000631D0000}"/>
    <cellStyle name="Normal 4 5 7 3 2" xfId="4148" xr:uid="{00000000-0005-0000-0000-0000641D0000}"/>
    <cellStyle name="Normal 4 5 7 3 2 2" xfId="4149" xr:uid="{00000000-0005-0000-0000-0000651D0000}"/>
    <cellStyle name="Normal 4 5 7 3 2 2 2" xfId="4150" xr:uid="{00000000-0005-0000-0000-0000661D0000}"/>
    <cellStyle name="Normal 4 5 7 3 2 2 2 2" xfId="15512" xr:uid="{00000000-0005-0000-0000-0000671D0000}"/>
    <cellStyle name="Normal 4 5 7 3 2 2 3" xfId="4151" xr:uid="{00000000-0005-0000-0000-0000681D0000}"/>
    <cellStyle name="Normal 4 5 7 3 2 2 3 2" xfId="15513" xr:uid="{00000000-0005-0000-0000-0000691D0000}"/>
    <cellStyle name="Normal 4 5 7 3 2 2 4" xfId="15514" xr:uid="{00000000-0005-0000-0000-00006A1D0000}"/>
    <cellStyle name="Normal 4 5 7 3 2 3" xfId="4152" xr:uid="{00000000-0005-0000-0000-00006B1D0000}"/>
    <cellStyle name="Normal 4 5 7 3 2 3 2" xfId="4153" xr:uid="{00000000-0005-0000-0000-00006C1D0000}"/>
    <cellStyle name="Normal 4 5 7 3 2 3 2 2" xfId="15515" xr:uid="{00000000-0005-0000-0000-00006D1D0000}"/>
    <cellStyle name="Normal 4 5 7 3 2 3 3" xfId="4154" xr:uid="{00000000-0005-0000-0000-00006E1D0000}"/>
    <cellStyle name="Normal 4 5 7 3 2 3 3 2" xfId="15516" xr:uid="{00000000-0005-0000-0000-00006F1D0000}"/>
    <cellStyle name="Normal 4 5 7 3 2 3 4" xfId="15517" xr:uid="{00000000-0005-0000-0000-0000701D0000}"/>
    <cellStyle name="Normal 4 5 7 3 2 4" xfId="4155" xr:uid="{00000000-0005-0000-0000-0000711D0000}"/>
    <cellStyle name="Normal 4 5 7 3 2 4 2" xfId="15518" xr:uid="{00000000-0005-0000-0000-0000721D0000}"/>
    <cellStyle name="Normal 4 5 7 3 2 5" xfId="4156" xr:uid="{00000000-0005-0000-0000-0000731D0000}"/>
    <cellStyle name="Normal 4 5 7 3 2 5 2" xfId="15519" xr:uid="{00000000-0005-0000-0000-0000741D0000}"/>
    <cellStyle name="Normal 4 5 7 3 2 6" xfId="15520" xr:uid="{00000000-0005-0000-0000-0000751D0000}"/>
    <cellStyle name="Normal 4 5 7 3 3" xfId="4157" xr:uid="{00000000-0005-0000-0000-0000761D0000}"/>
    <cellStyle name="Normal 4 5 7 3 3 2" xfId="4158" xr:uid="{00000000-0005-0000-0000-0000771D0000}"/>
    <cellStyle name="Normal 4 5 7 3 3 2 2" xfId="15521" xr:uid="{00000000-0005-0000-0000-0000781D0000}"/>
    <cellStyle name="Normal 4 5 7 3 3 3" xfId="4159" xr:uid="{00000000-0005-0000-0000-0000791D0000}"/>
    <cellStyle name="Normal 4 5 7 3 3 3 2" xfId="15522" xr:uid="{00000000-0005-0000-0000-00007A1D0000}"/>
    <cellStyle name="Normal 4 5 7 3 3 4" xfId="15523" xr:uid="{00000000-0005-0000-0000-00007B1D0000}"/>
    <cellStyle name="Normal 4 5 7 3 4" xfId="4160" xr:uid="{00000000-0005-0000-0000-00007C1D0000}"/>
    <cellStyle name="Normal 4 5 7 3 4 2" xfId="4161" xr:uid="{00000000-0005-0000-0000-00007D1D0000}"/>
    <cellStyle name="Normal 4 5 7 3 4 2 2" xfId="15524" xr:uid="{00000000-0005-0000-0000-00007E1D0000}"/>
    <cellStyle name="Normal 4 5 7 3 4 3" xfId="4162" xr:uid="{00000000-0005-0000-0000-00007F1D0000}"/>
    <cellStyle name="Normal 4 5 7 3 4 3 2" xfId="15525" xr:uid="{00000000-0005-0000-0000-0000801D0000}"/>
    <cellStyle name="Normal 4 5 7 3 4 4" xfId="15526" xr:uid="{00000000-0005-0000-0000-0000811D0000}"/>
    <cellStyle name="Normal 4 5 7 3 5" xfId="4163" xr:uid="{00000000-0005-0000-0000-0000821D0000}"/>
    <cellStyle name="Normal 4 5 7 3 5 2" xfId="15527" xr:uid="{00000000-0005-0000-0000-0000831D0000}"/>
    <cellStyle name="Normal 4 5 7 3 6" xfId="4164" xr:uid="{00000000-0005-0000-0000-0000841D0000}"/>
    <cellStyle name="Normal 4 5 7 3 6 2" xfId="15528" xr:uid="{00000000-0005-0000-0000-0000851D0000}"/>
    <cellStyle name="Normal 4 5 7 3 7" xfId="15529" xr:uid="{00000000-0005-0000-0000-0000861D0000}"/>
    <cellStyle name="Normal 4 5 7 4" xfId="4165" xr:uid="{00000000-0005-0000-0000-0000871D0000}"/>
    <cellStyle name="Normal 4 5 7 4 2" xfId="4166" xr:uid="{00000000-0005-0000-0000-0000881D0000}"/>
    <cellStyle name="Normal 4 5 7 4 2 2" xfId="4167" xr:uid="{00000000-0005-0000-0000-0000891D0000}"/>
    <cellStyle name="Normal 4 5 7 4 2 2 2" xfId="15530" xr:uid="{00000000-0005-0000-0000-00008A1D0000}"/>
    <cellStyle name="Normal 4 5 7 4 2 3" xfId="4168" xr:uid="{00000000-0005-0000-0000-00008B1D0000}"/>
    <cellStyle name="Normal 4 5 7 4 2 3 2" xfId="15531" xr:uid="{00000000-0005-0000-0000-00008C1D0000}"/>
    <cellStyle name="Normal 4 5 7 4 2 4" xfId="15532" xr:uid="{00000000-0005-0000-0000-00008D1D0000}"/>
    <cellStyle name="Normal 4 5 7 4 3" xfId="4169" xr:uid="{00000000-0005-0000-0000-00008E1D0000}"/>
    <cellStyle name="Normal 4 5 7 4 3 2" xfId="4170" xr:uid="{00000000-0005-0000-0000-00008F1D0000}"/>
    <cellStyle name="Normal 4 5 7 4 3 2 2" xfId="15533" xr:uid="{00000000-0005-0000-0000-0000901D0000}"/>
    <cellStyle name="Normal 4 5 7 4 3 3" xfId="4171" xr:uid="{00000000-0005-0000-0000-0000911D0000}"/>
    <cellStyle name="Normal 4 5 7 4 3 3 2" xfId="15534" xr:uid="{00000000-0005-0000-0000-0000921D0000}"/>
    <cellStyle name="Normal 4 5 7 4 3 4" xfId="15535" xr:uid="{00000000-0005-0000-0000-0000931D0000}"/>
    <cellStyle name="Normal 4 5 7 4 4" xfId="4172" xr:uid="{00000000-0005-0000-0000-0000941D0000}"/>
    <cellStyle name="Normal 4 5 7 4 4 2" xfId="15536" xr:uid="{00000000-0005-0000-0000-0000951D0000}"/>
    <cellStyle name="Normal 4 5 7 4 5" xfId="4173" xr:uid="{00000000-0005-0000-0000-0000961D0000}"/>
    <cellStyle name="Normal 4 5 7 4 5 2" xfId="15537" xr:uid="{00000000-0005-0000-0000-0000971D0000}"/>
    <cellStyle name="Normal 4 5 7 4 6" xfId="15538" xr:uid="{00000000-0005-0000-0000-0000981D0000}"/>
    <cellStyle name="Normal 4 5 7 5" xfId="4174" xr:uid="{00000000-0005-0000-0000-0000991D0000}"/>
    <cellStyle name="Normal 4 5 7 5 2" xfId="4175" xr:uid="{00000000-0005-0000-0000-00009A1D0000}"/>
    <cellStyle name="Normal 4 5 7 5 2 2" xfId="4176" xr:uid="{00000000-0005-0000-0000-00009B1D0000}"/>
    <cellStyle name="Normal 4 5 7 5 2 2 2" xfId="15539" xr:uid="{00000000-0005-0000-0000-00009C1D0000}"/>
    <cellStyle name="Normal 4 5 7 5 2 3" xfId="4177" xr:uid="{00000000-0005-0000-0000-00009D1D0000}"/>
    <cellStyle name="Normal 4 5 7 5 2 3 2" xfId="15540" xr:uid="{00000000-0005-0000-0000-00009E1D0000}"/>
    <cellStyle name="Normal 4 5 7 5 2 4" xfId="15541" xr:uid="{00000000-0005-0000-0000-00009F1D0000}"/>
    <cellStyle name="Normal 4 5 7 5 3" xfId="4178" xr:uid="{00000000-0005-0000-0000-0000A01D0000}"/>
    <cellStyle name="Normal 4 5 7 5 3 2" xfId="4179" xr:uid="{00000000-0005-0000-0000-0000A11D0000}"/>
    <cellStyle name="Normal 4 5 7 5 3 2 2" xfId="15542" xr:uid="{00000000-0005-0000-0000-0000A21D0000}"/>
    <cellStyle name="Normal 4 5 7 5 3 3" xfId="4180" xr:uid="{00000000-0005-0000-0000-0000A31D0000}"/>
    <cellStyle name="Normal 4 5 7 5 3 3 2" xfId="15543" xr:uid="{00000000-0005-0000-0000-0000A41D0000}"/>
    <cellStyle name="Normal 4 5 7 5 3 4" xfId="15544" xr:uid="{00000000-0005-0000-0000-0000A51D0000}"/>
    <cellStyle name="Normal 4 5 7 5 4" xfId="4181" xr:uid="{00000000-0005-0000-0000-0000A61D0000}"/>
    <cellStyle name="Normal 4 5 7 5 4 2" xfId="15545" xr:uid="{00000000-0005-0000-0000-0000A71D0000}"/>
    <cellStyle name="Normal 4 5 7 5 5" xfId="4182" xr:uid="{00000000-0005-0000-0000-0000A81D0000}"/>
    <cellStyle name="Normal 4 5 7 5 5 2" xfId="15546" xr:uid="{00000000-0005-0000-0000-0000A91D0000}"/>
    <cellStyle name="Normal 4 5 7 5 6" xfId="15547" xr:uid="{00000000-0005-0000-0000-0000AA1D0000}"/>
    <cellStyle name="Normal 4 5 7 6" xfId="4183" xr:uid="{00000000-0005-0000-0000-0000AB1D0000}"/>
    <cellStyle name="Normal 4 5 7 6 2" xfId="4184" xr:uid="{00000000-0005-0000-0000-0000AC1D0000}"/>
    <cellStyle name="Normal 4 5 7 6 2 2" xfId="15548" xr:uid="{00000000-0005-0000-0000-0000AD1D0000}"/>
    <cellStyle name="Normal 4 5 7 6 3" xfId="4185" xr:uid="{00000000-0005-0000-0000-0000AE1D0000}"/>
    <cellStyle name="Normal 4 5 7 6 3 2" xfId="15549" xr:uid="{00000000-0005-0000-0000-0000AF1D0000}"/>
    <cellStyle name="Normal 4 5 7 6 4" xfId="15550" xr:uid="{00000000-0005-0000-0000-0000B01D0000}"/>
    <cellStyle name="Normal 4 5 7 7" xfId="4186" xr:uid="{00000000-0005-0000-0000-0000B11D0000}"/>
    <cellStyle name="Normal 4 5 7 7 2" xfId="4187" xr:uid="{00000000-0005-0000-0000-0000B21D0000}"/>
    <cellStyle name="Normal 4 5 7 7 2 2" xfId="15551" xr:uid="{00000000-0005-0000-0000-0000B31D0000}"/>
    <cellStyle name="Normal 4 5 7 7 3" xfId="4188" xr:uid="{00000000-0005-0000-0000-0000B41D0000}"/>
    <cellStyle name="Normal 4 5 7 7 3 2" xfId="15552" xr:uid="{00000000-0005-0000-0000-0000B51D0000}"/>
    <cellStyle name="Normal 4 5 7 7 4" xfId="15553" xr:uid="{00000000-0005-0000-0000-0000B61D0000}"/>
    <cellStyle name="Normal 4 5 7 8" xfId="4189" xr:uid="{00000000-0005-0000-0000-0000B71D0000}"/>
    <cellStyle name="Normal 4 5 7 8 2" xfId="15554" xr:uid="{00000000-0005-0000-0000-0000B81D0000}"/>
    <cellStyle name="Normal 4 5 7 9" xfId="4190" xr:uid="{00000000-0005-0000-0000-0000B91D0000}"/>
    <cellStyle name="Normal 4 5 7 9 2" xfId="15555" xr:uid="{00000000-0005-0000-0000-0000BA1D0000}"/>
    <cellStyle name="Normal 4 5 8" xfId="4191" xr:uid="{00000000-0005-0000-0000-0000BB1D0000}"/>
    <cellStyle name="Normal 4 5 8 2" xfId="4192" xr:uid="{00000000-0005-0000-0000-0000BC1D0000}"/>
    <cellStyle name="Normal 4 5 8 2 2" xfId="4193" xr:uid="{00000000-0005-0000-0000-0000BD1D0000}"/>
    <cellStyle name="Normal 4 5 8 2 2 2" xfId="4194" xr:uid="{00000000-0005-0000-0000-0000BE1D0000}"/>
    <cellStyle name="Normal 4 5 8 2 2 2 2" xfId="15556" xr:uid="{00000000-0005-0000-0000-0000BF1D0000}"/>
    <cellStyle name="Normal 4 5 8 2 2 3" xfId="4195" xr:uid="{00000000-0005-0000-0000-0000C01D0000}"/>
    <cellStyle name="Normal 4 5 8 2 2 3 2" xfId="15557" xr:uid="{00000000-0005-0000-0000-0000C11D0000}"/>
    <cellStyle name="Normal 4 5 8 2 2 4" xfId="15558" xr:uid="{00000000-0005-0000-0000-0000C21D0000}"/>
    <cellStyle name="Normal 4 5 8 2 3" xfId="4196" xr:uid="{00000000-0005-0000-0000-0000C31D0000}"/>
    <cellStyle name="Normal 4 5 8 2 3 2" xfId="4197" xr:uid="{00000000-0005-0000-0000-0000C41D0000}"/>
    <cellStyle name="Normal 4 5 8 2 3 2 2" xfId="15559" xr:uid="{00000000-0005-0000-0000-0000C51D0000}"/>
    <cellStyle name="Normal 4 5 8 2 3 3" xfId="4198" xr:uid="{00000000-0005-0000-0000-0000C61D0000}"/>
    <cellStyle name="Normal 4 5 8 2 3 3 2" xfId="15560" xr:uid="{00000000-0005-0000-0000-0000C71D0000}"/>
    <cellStyle name="Normal 4 5 8 2 3 4" xfId="15561" xr:uid="{00000000-0005-0000-0000-0000C81D0000}"/>
    <cellStyle name="Normal 4 5 8 2 4" xfId="4199" xr:uid="{00000000-0005-0000-0000-0000C91D0000}"/>
    <cellStyle name="Normal 4 5 8 2 4 2" xfId="15562" xr:uid="{00000000-0005-0000-0000-0000CA1D0000}"/>
    <cellStyle name="Normal 4 5 8 2 5" xfId="4200" xr:uid="{00000000-0005-0000-0000-0000CB1D0000}"/>
    <cellStyle name="Normal 4 5 8 2 5 2" xfId="15563" xr:uid="{00000000-0005-0000-0000-0000CC1D0000}"/>
    <cellStyle name="Normal 4 5 8 2 6" xfId="15564" xr:uid="{00000000-0005-0000-0000-0000CD1D0000}"/>
    <cellStyle name="Normal 4 5 8 3" xfId="4201" xr:uid="{00000000-0005-0000-0000-0000CE1D0000}"/>
    <cellStyle name="Normal 4 5 8 3 2" xfId="4202" xr:uid="{00000000-0005-0000-0000-0000CF1D0000}"/>
    <cellStyle name="Normal 4 5 8 3 2 2" xfId="4203" xr:uid="{00000000-0005-0000-0000-0000D01D0000}"/>
    <cellStyle name="Normal 4 5 8 3 2 2 2" xfId="15565" xr:uid="{00000000-0005-0000-0000-0000D11D0000}"/>
    <cellStyle name="Normal 4 5 8 3 2 3" xfId="4204" xr:uid="{00000000-0005-0000-0000-0000D21D0000}"/>
    <cellStyle name="Normal 4 5 8 3 2 3 2" xfId="15566" xr:uid="{00000000-0005-0000-0000-0000D31D0000}"/>
    <cellStyle name="Normal 4 5 8 3 2 4" xfId="15567" xr:uid="{00000000-0005-0000-0000-0000D41D0000}"/>
    <cellStyle name="Normal 4 5 8 3 3" xfId="4205" xr:uid="{00000000-0005-0000-0000-0000D51D0000}"/>
    <cellStyle name="Normal 4 5 8 3 3 2" xfId="4206" xr:uid="{00000000-0005-0000-0000-0000D61D0000}"/>
    <cellStyle name="Normal 4 5 8 3 3 2 2" xfId="15568" xr:uid="{00000000-0005-0000-0000-0000D71D0000}"/>
    <cellStyle name="Normal 4 5 8 3 3 3" xfId="4207" xr:uid="{00000000-0005-0000-0000-0000D81D0000}"/>
    <cellStyle name="Normal 4 5 8 3 3 3 2" xfId="15569" xr:uid="{00000000-0005-0000-0000-0000D91D0000}"/>
    <cellStyle name="Normal 4 5 8 3 3 4" xfId="15570" xr:uid="{00000000-0005-0000-0000-0000DA1D0000}"/>
    <cellStyle name="Normal 4 5 8 3 4" xfId="4208" xr:uid="{00000000-0005-0000-0000-0000DB1D0000}"/>
    <cellStyle name="Normal 4 5 8 3 4 2" xfId="15571" xr:uid="{00000000-0005-0000-0000-0000DC1D0000}"/>
    <cellStyle name="Normal 4 5 8 3 5" xfId="4209" xr:uid="{00000000-0005-0000-0000-0000DD1D0000}"/>
    <cellStyle name="Normal 4 5 8 3 5 2" xfId="15572" xr:uid="{00000000-0005-0000-0000-0000DE1D0000}"/>
    <cellStyle name="Normal 4 5 8 3 6" xfId="15573" xr:uid="{00000000-0005-0000-0000-0000DF1D0000}"/>
    <cellStyle name="Normal 4 5 8 4" xfId="4210" xr:uid="{00000000-0005-0000-0000-0000E01D0000}"/>
    <cellStyle name="Normal 4 5 8 4 2" xfId="4211" xr:uid="{00000000-0005-0000-0000-0000E11D0000}"/>
    <cellStyle name="Normal 4 5 8 4 2 2" xfId="15574" xr:uid="{00000000-0005-0000-0000-0000E21D0000}"/>
    <cellStyle name="Normal 4 5 8 4 3" xfId="4212" xr:uid="{00000000-0005-0000-0000-0000E31D0000}"/>
    <cellStyle name="Normal 4 5 8 4 3 2" xfId="15575" xr:uid="{00000000-0005-0000-0000-0000E41D0000}"/>
    <cellStyle name="Normal 4 5 8 4 4" xfId="15576" xr:uid="{00000000-0005-0000-0000-0000E51D0000}"/>
    <cellStyle name="Normal 4 5 8 5" xfId="4213" xr:uid="{00000000-0005-0000-0000-0000E61D0000}"/>
    <cellStyle name="Normal 4 5 8 5 2" xfId="4214" xr:uid="{00000000-0005-0000-0000-0000E71D0000}"/>
    <cellStyle name="Normal 4 5 8 5 2 2" xfId="15577" xr:uid="{00000000-0005-0000-0000-0000E81D0000}"/>
    <cellStyle name="Normal 4 5 8 5 3" xfId="4215" xr:uid="{00000000-0005-0000-0000-0000E91D0000}"/>
    <cellStyle name="Normal 4 5 8 5 3 2" xfId="15578" xr:uid="{00000000-0005-0000-0000-0000EA1D0000}"/>
    <cellStyle name="Normal 4 5 8 5 4" xfId="15579" xr:uid="{00000000-0005-0000-0000-0000EB1D0000}"/>
    <cellStyle name="Normal 4 5 8 6" xfId="4216" xr:uid="{00000000-0005-0000-0000-0000EC1D0000}"/>
    <cellStyle name="Normal 4 5 8 6 2" xfId="15580" xr:uid="{00000000-0005-0000-0000-0000ED1D0000}"/>
    <cellStyle name="Normal 4 5 8 7" xfId="4217" xr:uid="{00000000-0005-0000-0000-0000EE1D0000}"/>
    <cellStyle name="Normal 4 5 8 7 2" xfId="15581" xr:uid="{00000000-0005-0000-0000-0000EF1D0000}"/>
    <cellStyle name="Normal 4 5 8 8" xfId="15582" xr:uid="{00000000-0005-0000-0000-0000F01D0000}"/>
    <cellStyle name="Normal 4 5 9" xfId="4218" xr:uid="{00000000-0005-0000-0000-0000F11D0000}"/>
    <cellStyle name="Normal 4 5 9 2" xfId="4219" xr:uid="{00000000-0005-0000-0000-0000F21D0000}"/>
    <cellStyle name="Normal 4 5 9 2 2" xfId="4220" xr:uid="{00000000-0005-0000-0000-0000F31D0000}"/>
    <cellStyle name="Normal 4 5 9 2 2 2" xfId="4221" xr:uid="{00000000-0005-0000-0000-0000F41D0000}"/>
    <cellStyle name="Normal 4 5 9 2 2 2 2" xfId="15583" xr:uid="{00000000-0005-0000-0000-0000F51D0000}"/>
    <cellStyle name="Normal 4 5 9 2 2 3" xfId="4222" xr:uid="{00000000-0005-0000-0000-0000F61D0000}"/>
    <cellStyle name="Normal 4 5 9 2 2 3 2" xfId="15584" xr:uid="{00000000-0005-0000-0000-0000F71D0000}"/>
    <cellStyle name="Normal 4 5 9 2 2 4" xfId="15585" xr:uid="{00000000-0005-0000-0000-0000F81D0000}"/>
    <cellStyle name="Normal 4 5 9 2 3" xfId="4223" xr:uid="{00000000-0005-0000-0000-0000F91D0000}"/>
    <cellStyle name="Normal 4 5 9 2 3 2" xfId="4224" xr:uid="{00000000-0005-0000-0000-0000FA1D0000}"/>
    <cellStyle name="Normal 4 5 9 2 3 2 2" xfId="15586" xr:uid="{00000000-0005-0000-0000-0000FB1D0000}"/>
    <cellStyle name="Normal 4 5 9 2 3 3" xfId="4225" xr:uid="{00000000-0005-0000-0000-0000FC1D0000}"/>
    <cellStyle name="Normal 4 5 9 2 3 3 2" xfId="15587" xr:uid="{00000000-0005-0000-0000-0000FD1D0000}"/>
    <cellStyle name="Normal 4 5 9 2 3 4" xfId="15588" xr:uid="{00000000-0005-0000-0000-0000FE1D0000}"/>
    <cellStyle name="Normal 4 5 9 2 4" xfId="4226" xr:uid="{00000000-0005-0000-0000-0000FF1D0000}"/>
    <cellStyle name="Normal 4 5 9 2 4 2" xfId="15589" xr:uid="{00000000-0005-0000-0000-0000001E0000}"/>
    <cellStyle name="Normal 4 5 9 2 5" xfId="4227" xr:uid="{00000000-0005-0000-0000-0000011E0000}"/>
    <cellStyle name="Normal 4 5 9 2 5 2" xfId="15590" xr:uid="{00000000-0005-0000-0000-0000021E0000}"/>
    <cellStyle name="Normal 4 5 9 2 6" xfId="15591" xr:uid="{00000000-0005-0000-0000-0000031E0000}"/>
    <cellStyle name="Normal 4 5 9 3" xfId="4228" xr:uid="{00000000-0005-0000-0000-0000041E0000}"/>
    <cellStyle name="Normal 4 5 9 3 2" xfId="4229" xr:uid="{00000000-0005-0000-0000-0000051E0000}"/>
    <cellStyle name="Normal 4 5 9 3 2 2" xfId="15592" xr:uid="{00000000-0005-0000-0000-0000061E0000}"/>
    <cellStyle name="Normal 4 5 9 3 3" xfId="4230" xr:uid="{00000000-0005-0000-0000-0000071E0000}"/>
    <cellStyle name="Normal 4 5 9 3 3 2" xfId="15593" xr:uid="{00000000-0005-0000-0000-0000081E0000}"/>
    <cellStyle name="Normal 4 5 9 3 4" xfId="15594" xr:uid="{00000000-0005-0000-0000-0000091E0000}"/>
    <cellStyle name="Normal 4 5 9 4" xfId="4231" xr:uid="{00000000-0005-0000-0000-00000A1E0000}"/>
    <cellStyle name="Normal 4 5 9 4 2" xfId="4232" xr:uid="{00000000-0005-0000-0000-00000B1E0000}"/>
    <cellStyle name="Normal 4 5 9 4 2 2" xfId="15595" xr:uid="{00000000-0005-0000-0000-00000C1E0000}"/>
    <cellStyle name="Normal 4 5 9 4 3" xfId="4233" xr:uid="{00000000-0005-0000-0000-00000D1E0000}"/>
    <cellStyle name="Normal 4 5 9 4 3 2" xfId="15596" xr:uid="{00000000-0005-0000-0000-00000E1E0000}"/>
    <cellStyle name="Normal 4 5 9 4 4" xfId="15597" xr:uid="{00000000-0005-0000-0000-00000F1E0000}"/>
    <cellStyle name="Normal 4 5 9 5" xfId="4234" xr:uid="{00000000-0005-0000-0000-0000101E0000}"/>
    <cellStyle name="Normal 4 5 9 5 2" xfId="15598" xr:uid="{00000000-0005-0000-0000-0000111E0000}"/>
    <cellStyle name="Normal 4 5 9 6" xfId="4235" xr:uid="{00000000-0005-0000-0000-0000121E0000}"/>
    <cellStyle name="Normal 4 5 9 6 2" xfId="15599" xr:uid="{00000000-0005-0000-0000-0000131E0000}"/>
    <cellStyle name="Normal 4 5 9 7" xfId="15600" xr:uid="{00000000-0005-0000-0000-0000141E0000}"/>
    <cellStyle name="Normal 4 6" xfId="203" xr:uid="{00000000-0005-0000-0000-0000151E0000}"/>
    <cellStyle name="Normal 4 6 2" xfId="4236" xr:uid="{00000000-0005-0000-0000-0000161E0000}"/>
    <cellStyle name="Normal 4 6 2 2" xfId="4237" xr:uid="{00000000-0005-0000-0000-0000171E0000}"/>
    <cellStyle name="Normal 4 6 2 2 2" xfId="15601" xr:uid="{00000000-0005-0000-0000-0000181E0000}"/>
    <cellStyle name="Normal 4 6 2 3" xfId="4238" xr:uid="{00000000-0005-0000-0000-0000191E0000}"/>
    <cellStyle name="Normal 4 6 2 3 2" xfId="15602" xr:uid="{00000000-0005-0000-0000-00001A1E0000}"/>
    <cellStyle name="Normal 4 6 2 4" xfId="15603" xr:uid="{00000000-0005-0000-0000-00001B1E0000}"/>
    <cellStyle name="Normal 4 6 3" xfId="4239" xr:uid="{00000000-0005-0000-0000-00001C1E0000}"/>
    <cellStyle name="Normal 4 6 3 2" xfId="4240" xr:uid="{00000000-0005-0000-0000-00001D1E0000}"/>
    <cellStyle name="Normal 4 6 3 2 2" xfId="15604" xr:uid="{00000000-0005-0000-0000-00001E1E0000}"/>
    <cellStyle name="Normal 4 6 3 3" xfId="4241" xr:uid="{00000000-0005-0000-0000-00001F1E0000}"/>
    <cellStyle name="Normal 4 6 3 3 2" xfId="15605" xr:uid="{00000000-0005-0000-0000-0000201E0000}"/>
    <cellStyle name="Normal 4 6 3 4" xfId="15606" xr:uid="{00000000-0005-0000-0000-0000211E0000}"/>
    <cellStyle name="Normal 4 6 4" xfId="4242" xr:uid="{00000000-0005-0000-0000-0000221E0000}"/>
    <cellStyle name="Normal 4 6 4 2" xfId="15607" xr:uid="{00000000-0005-0000-0000-0000231E0000}"/>
    <cellStyle name="Normal 4 6 5" xfId="4243" xr:uid="{00000000-0005-0000-0000-0000241E0000}"/>
    <cellStyle name="Normal 4 6 5 2" xfId="15608" xr:uid="{00000000-0005-0000-0000-0000251E0000}"/>
    <cellStyle name="Normal 4 6 6" xfId="12312" xr:uid="{00000000-0005-0000-0000-0000261E0000}"/>
    <cellStyle name="Normal 4 7" xfId="204" xr:uid="{00000000-0005-0000-0000-0000271E0000}"/>
    <cellStyle name="Normal 4 7 2" xfId="4244" xr:uid="{00000000-0005-0000-0000-0000281E0000}"/>
    <cellStyle name="Normal 4 7 2 2" xfId="4245" xr:uid="{00000000-0005-0000-0000-0000291E0000}"/>
    <cellStyle name="Normal 4 7 2 2 2" xfId="15609" xr:uid="{00000000-0005-0000-0000-00002A1E0000}"/>
    <cellStyle name="Normal 4 7 2 3" xfId="4246" xr:uid="{00000000-0005-0000-0000-00002B1E0000}"/>
    <cellStyle name="Normal 4 7 2 3 2" xfId="15610" xr:uid="{00000000-0005-0000-0000-00002C1E0000}"/>
    <cellStyle name="Normal 4 7 2 4" xfId="15611" xr:uid="{00000000-0005-0000-0000-00002D1E0000}"/>
    <cellStyle name="Normal 4 7 3" xfId="4247" xr:uid="{00000000-0005-0000-0000-00002E1E0000}"/>
    <cellStyle name="Normal 4 7 3 2" xfId="4248" xr:uid="{00000000-0005-0000-0000-00002F1E0000}"/>
    <cellStyle name="Normal 4 7 3 2 2" xfId="15612" xr:uid="{00000000-0005-0000-0000-0000301E0000}"/>
    <cellStyle name="Normal 4 7 3 3" xfId="4249" xr:uid="{00000000-0005-0000-0000-0000311E0000}"/>
    <cellStyle name="Normal 4 7 3 3 2" xfId="15613" xr:uid="{00000000-0005-0000-0000-0000321E0000}"/>
    <cellStyle name="Normal 4 7 3 4" xfId="15614" xr:uid="{00000000-0005-0000-0000-0000331E0000}"/>
    <cellStyle name="Normal 4 7 4" xfId="4250" xr:uid="{00000000-0005-0000-0000-0000341E0000}"/>
    <cellStyle name="Normal 4 7 4 2" xfId="15615" xr:uid="{00000000-0005-0000-0000-0000351E0000}"/>
    <cellStyle name="Normal 4 7 5" xfId="4251" xr:uid="{00000000-0005-0000-0000-0000361E0000}"/>
    <cellStyle name="Normal 4 7 5 2" xfId="15616" xr:uid="{00000000-0005-0000-0000-0000371E0000}"/>
    <cellStyle name="Normal 4 7 6" xfId="12313" xr:uid="{00000000-0005-0000-0000-0000381E0000}"/>
    <cellStyle name="Normal 4 8" xfId="205" xr:uid="{00000000-0005-0000-0000-0000391E0000}"/>
    <cellStyle name="Normal 4 8 2" xfId="4252" xr:uid="{00000000-0005-0000-0000-00003A1E0000}"/>
    <cellStyle name="Normal 4 8 2 2" xfId="4253" xr:uid="{00000000-0005-0000-0000-00003B1E0000}"/>
    <cellStyle name="Normal 4 8 2 2 2" xfId="15617" xr:uid="{00000000-0005-0000-0000-00003C1E0000}"/>
    <cellStyle name="Normal 4 8 2 3" xfId="4254" xr:uid="{00000000-0005-0000-0000-00003D1E0000}"/>
    <cellStyle name="Normal 4 8 2 3 2" xfId="15618" xr:uid="{00000000-0005-0000-0000-00003E1E0000}"/>
    <cellStyle name="Normal 4 8 2 4" xfId="15619" xr:uid="{00000000-0005-0000-0000-00003F1E0000}"/>
    <cellStyle name="Normal 4 8 3" xfId="4255" xr:uid="{00000000-0005-0000-0000-0000401E0000}"/>
    <cellStyle name="Normal 4 8 3 2" xfId="4256" xr:uid="{00000000-0005-0000-0000-0000411E0000}"/>
    <cellStyle name="Normal 4 8 3 2 2" xfId="15620" xr:uid="{00000000-0005-0000-0000-0000421E0000}"/>
    <cellStyle name="Normal 4 8 3 3" xfId="4257" xr:uid="{00000000-0005-0000-0000-0000431E0000}"/>
    <cellStyle name="Normal 4 8 3 3 2" xfId="15621" xr:uid="{00000000-0005-0000-0000-0000441E0000}"/>
    <cellStyle name="Normal 4 8 3 4" xfId="15622" xr:uid="{00000000-0005-0000-0000-0000451E0000}"/>
    <cellStyle name="Normal 4 8 4" xfId="4258" xr:uid="{00000000-0005-0000-0000-0000461E0000}"/>
    <cellStyle name="Normal 4 8 4 2" xfId="15623" xr:uid="{00000000-0005-0000-0000-0000471E0000}"/>
    <cellStyle name="Normal 4 8 5" xfId="4259" xr:uid="{00000000-0005-0000-0000-0000481E0000}"/>
    <cellStyle name="Normal 4 8 5 2" xfId="15624" xr:uid="{00000000-0005-0000-0000-0000491E0000}"/>
    <cellStyle name="Normal 4 8 6" xfId="12314" xr:uid="{00000000-0005-0000-0000-00004A1E0000}"/>
    <cellStyle name="Normal 4 9" xfId="206" xr:uid="{00000000-0005-0000-0000-00004B1E0000}"/>
    <cellStyle name="Normal 4 9 2" xfId="4260" xr:uid="{00000000-0005-0000-0000-00004C1E0000}"/>
    <cellStyle name="Normal 4 9 2 2" xfId="15625" xr:uid="{00000000-0005-0000-0000-00004D1E0000}"/>
    <cellStyle name="Normal 4 9 3" xfId="4261" xr:uid="{00000000-0005-0000-0000-00004E1E0000}"/>
    <cellStyle name="Normal 4 9 3 2" xfId="15626" xr:uid="{00000000-0005-0000-0000-00004F1E0000}"/>
    <cellStyle name="Normal 4 9 4" xfId="12315" xr:uid="{00000000-0005-0000-0000-0000501E0000}"/>
    <cellStyle name="Normal 40" xfId="4262" xr:uid="{00000000-0005-0000-0000-0000511E0000}"/>
    <cellStyle name="Normal 40 10" xfId="11062" xr:uid="{00000000-0005-0000-0000-0000521E0000}"/>
    <cellStyle name="Normal 40 11" xfId="11063" xr:uid="{00000000-0005-0000-0000-0000531E0000}"/>
    <cellStyle name="Normal 40 12" xfId="11064" xr:uid="{00000000-0005-0000-0000-0000541E0000}"/>
    <cellStyle name="Normal 40 13" xfId="11065" xr:uid="{00000000-0005-0000-0000-0000551E0000}"/>
    <cellStyle name="Normal 40 14" xfId="11066" xr:uid="{00000000-0005-0000-0000-0000561E0000}"/>
    <cellStyle name="Normal 40 15" xfId="11067" xr:uid="{00000000-0005-0000-0000-0000571E0000}"/>
    <cellStyle name="Normal 40 16" xfId="11068" xr:uid="{00000000-0005-0000-0000-0000581E0000}"/>
    <cellStyle name="Normal 40 17" xfId="11069" xr:uid="{00000000-0005-0000-0000-0000591E0000}"/>
    <cellStyle name="Normal 40 18" xfId="11070" xr:uid="{00000000-0005-0000-0000-00005A1E0000}"/>
    <cellStyle name="Normal 40 19" xfId="11071" xr:uid="{00000000-0005-0000-0000-00005B1E0000}"/>
    <cellStyle name="Normal 40 2" xfId="4263" xr:uid="{00000000-0005-0000-0000-00005C1E0000}"/>
    <cellStyle name="Normal 40 2 2" xfId="4264" xr:uid="{00000000-0005-0000-0000-00005D1E0000}"/>
    <cellStyle name="Normal 40 2 2 2" xfId="12317" xr:uid="{00000000-0005-0000-0000-00005E1E0000}"/>
    <cellStyle name="Normal 40 2 3" xfId="4265" xr:uid="{00000000-0005-0000-0000-00005F1E0000}"/>
    <cellStyle name="Normal 40 2 4" xfId="12316" xr:uid="{00000000-0005-0000-0000-0000601E0000}"/>
    <cellStyle name="Normal 40 20" xfId="11072" xr:uid="{00000000-0005-0000-0000-0000611E0000}"/>
    <cellStyle name="Normal 40 3" xfId="4266" xr:uid="{00000000-0005-0000-0000-0000621E0000}"/>
    <cellStyle name="Normal 40 3 2" xfId="4267" xr:uid="{00000000-0005-0000-0000-0000631E0000}"/>
    <cellStyle name="Normal 40 3 2 2" xfId="12319" xr:uid="{00000000-0005-0000-0000-0000641E0000}"/>
    <cellStyle name="Normal 40 3 3" xfId="4268" xr:uid="{00000000-0005-0000-0000-0000651E0000}"/>
    <cellStyle name="Normal 40 3 4" xfId="12318" xr:uid="{00000000-0005-0000-0000-0000661E0000}"/>
    <cellStyle name="Normal 40 4" xfId="4269" xr:uid="{00000000-0005-0000-0000-0000671E0000}"/>
    <cellStyle name="Normal 40 4 2" xfId="11073" xr:uid="{00000000-0005-0000-0000-0000681E0000}"/>
    <cellStyle name="Normal 40 5" xfId="4270" xr:uid="{00000000-0005-0000-0000-0000691E0000}"/>
    <cellStyle name="Normal 40 5 2" xfId="11074" xr:uid="{00000000-0005-0000-0000-00006A1E0000}"/>
    <cellStyle name="Normal 40 6" xfId="11075" xr:uid="{00000000-0005-0000-0000-00006B1E0000}"/>
    <cellStyle name="Normal 40 6 2" xfId="11076" xr:uid="{00000000-0005-0000-0000-00006C1E0000}"/>
    <cellStyle name="Normal 40 7" xfId="11077" xr:uid="{00000000-0005-0000-0000-00006D1E0000}"/>
    <cellStyle name="Normal 40 8" xfId="11078" xr:uid="{00000000-0005-0000-0000-00006E1E0000}"/>
    <cellStyle name="Normal 40 9" xfId="11079" xr:uid="{00000000-0005-0000-0000-00006F1E0000}"/>
    <cellStyle name="Normal 400" xfId="4271" xr:uid="{00000000-0005-0000-0000-0000701E0000}"/>
    <cellStyle name="Normal 401" xfId="4272" xr:uid="{00000000-0005-0000-0000-0000711E0000}"/>
    <cellStyle name="Normal 402" xfId="4273" xr:uid="{00000000-0005-0000-0000-0000721E0000}"/>
    <cellStyle name="Normal 403" xfId="4274" xr:uid="{00000000-0005-0000-0000-0000731E0000}"/>
    <cellStyle name="Normal 404" xfId="4275" xr:uid="{00000000-0005-0000-0000-0000741E0000}"/>
    <cellStyle name="Normal 405" xfId="4276" xr:uid="{00000000-0005-0000-0000-0000751E0000}"/>
    <cellStyle name="Normal 406" xfId="4277" xr:uid="{00000000-0005-0000-0000-0000761E0000}"/>
    <cellStyle name="Normal 407" xfId="4278" xr:uid="{00000000-0005-0000-0000-0000771E0000}"/>
    <cellStyle name="Normal 408" xfId="4279" xr:uid="{00000000-0005-0000-0000-0000781E0000}"/>
    <cellStyle name="Normal 409" xfId="4280" xr:uid="{00000000-0005-0000-0000-0000791E0000}"/>
    <cellStyle name="Normal 41" xfId="4281" xr:uid="{00000000-0005-0000-0000-00007A1E0000}"/>
    <cellStyle name="Normal 41 10" xfId="11080" xr:uid="{00000000-0005-0000-0000-00007B1E0000}"/>
    <cellStyle name="Normal 41 11" xfId="11081" xr:uid="{00000000-0005-0000-0000-00007C1E0000}"/>
    <cellStyle name="Normal 41 12" xfId="11082" xr:uid="{00000000-0005-0000-0000-00007D1E0000}"/>
    <cellStyle name="Normal 41 13" xfId="11083" xr:uid="{00000000-0005-0000-0000-00007E1E0000}"/>
    <cellStyle name="Normal 41 14" xfId="11084" xr:uid="{00000000-0005-0000-0000-00007F1E0000}"/>
    <cellStyle name="Normal 41 15" xfId="11085" xr:uid="{00000000-0005-0000-0000-0000801E0000}"/>
    <cellStyle name="Normal 41 16" xfId="11086" xr:uid="{00000000-0005-0000-0000-0000811E0000}"/>
    <cellStyle name="Normal 41 17" xfId="11087" xr:uid="{00000000-0005-0000-0000-0000821E0000}"/>
    <cellStyle name="Normal 41 18" xfId="11088" xr:uid="{00000000-0005-0000-0000-0000831E0000}"/>
    <cellStyle name="Normal 41 19" xfId="11089" xr:uid="{00000000-0005-0000-0000-0000841E0000}"/>
    <cellStyle name="Normal 41 2" xfId="4282" xr:uid="{00000000-0005-0000-0000-0000851E0000}"/>
    <cellStyle name="Normal 41 2 2" xfId="4283" xr:uid="{00000000-0005-0000-0000-0000861E0000}"/>
    <cellStyle name="Normal 41 2 2 2" xfId="12321" xr:uid="{00000000-0005-0000-0000-0000871E0000}"/>
    <cellStyle name="Normal 41 2 3" xfId="4284" xr:uid="{00000000-0005-0000-0000-0000881E0000}"/>
    <cellStyle name="Normal 41 2 4" xfId="12320" xr:uid="{00000000-0005-0000-0000-0000891E0000}"/>
    <cellStyle name="Normal 41 20" xfId="11090" xr:uid="{00000000-0005-0000-0000-00008A1E0000}"/>
    <cellStyle name="Normal 41 3" xfId="4285" xr:uid="{00000000-0005-0000-0000-00008B1E0000}"/>
    <cellStyle name="Normal 41 3 2" xfId="4286" xr:uid="{00000000-0005-0000-0000-00008C1E0000}"/>
    <cellStyle name="Normal 41 3 2 2" xfId="12323" xr:uid="{00000000-0005-0000-0000-00008D1E0000}"/>
    <cellStyle name="Normal 41 3 3" xfId="4287" xr:uid="{00000000-0005-0000-0000-00008E1E0000}"/>
    <cellStyle name="Normal 41 3 4" xfId="12322" xr:uid="{00000000-0005-0000-0000-00008F1E0000}"/>
    <cellStyle name="Normal 41 4" xfId="4288" xr:uid="{00000000-0005-0000-0000-0000901E0000}"/>
    <cellStyle name="Normal 41 4 2" xfId="11091" xr:uid="{00000000-0005-0000-0000-0000911E0000}"/>
    <cellStyle name="Normal 41 5" xfId="4289" xr:uid="{00000000-0005-0000-0000-0000921E0000}"/>
    <cellStyle name="Normal 41 5 2" xfId="11092" xr:uid="{00000000-0005-0000-0000-0000931E0000}"/>
    <cellStyle name="Normal 41 6" xfId="11093" xr:uid="{00000000-0005-0000-0000-0000941E0000}"/>
    <cellStyle name="Normal 41 6 2" xfId="11094" xr:uid="{00000000-0005-0000-0000-0000951E0000}"/>
    <cellStyle name="Normal 41 7" xfId="11095" xr:uid="{00000000-0005-0000-0000-0000961E0000}"/>
    <cellStyle name="Normal 41 8" xfId="11096" xr:uid="{00000000-0005-0000-0000-0000971E0000}"/>
    <cellStyle name="Normal 41 9" xfId="11097" xr:uid="{00000000-0005-0000-0000-0000981E0000}"/>
    <cellStyle name="Normal 410" xfId="4290" xr:uid="{00000000-0005-0000-0000-0000991E0000}"/>
    <cellStyle name="Normal 411" xfId="4291" xr:uid="{00000000-0005-0000-0000-00009A1E0000}"/>
    <cellStyle name="Normal 411 2" xfId="4292" xr:uid="{00000000-0005-0000-0000-00009B1E0000}"/>
    <cellStyle name="Normal 412" xfId="4293" xr:uid="{00000000-0005-0000-0000-00009C1E0000}"/>
    <cellStyle name="Normal 412 2" xfId="4294" xr:uid="{00000000-0005-0000-0000-00009D1E0000}"/>
    <cellStyle name="Normal 413" xfId="4295" xr:uid="{00000000-0005-0000-0000-00009E1E0000}"/>
    <cellStyle name="Normal 413 2" xfId="4296" xr:uid="{00000000-0005-0000-0000-00009F1E0000}"/>
    <cellStyle name="Normal 414" xfId="4297" xr:uid="{00000000-0005-0000-0000-0000A01E0000}"/>
    <cellStyle name="Normal 414 2" xfId="4298" xr:uid="{00000000-0005-0000-0000-0000A11E0000}"/>
    <cellStyle name="Normal 415" xfId="4299" xr:uid="{00000000-0005-0000-0000-0000A21E0000}"/>
    <cellStyle name="Normal 416" xfId="4300" xr:uid="{00000000-0005-0000-0000-0000A31E0000}"/>
    <cellStyle name="Normal 417" xfId="4301" xr:uid="{00000000-0005-0000-0000-0000A41E0000}"/>
    <cellStyle name="Normal 418" xfId="4302" xr:uid="{00000000-0005-0000-0000-0000A51E0000}"/>
    <cellStyle name="Normal 419" xfId="4303" xr:uid="{00000000-0005-0000-0000-0000A61E0000}"/>
    <cellStyle name="Normal 42" xfId="4304" xr:uid="{00000000-0005-0000-0000-0000A71E0000}"/>
    <cellStyle name="Normal 42 10" xfId="4305" xr:uid="{00000000-0005-0000-0000-0000A81E0000}"/>
    <cellStyle name="Normal 42 10 2" xfId="4306" xr:uid="{00000000-0005-0000-0000-0000A91E0000}"/>
    <cellStyle name="Normal 42 10 2 2" xfId="15627" xr:uid="{00000000-0005-0000-0000-0000AA1E0000}"/>
    <cellStyle name="Normal 42 10 3" xfId="4307" xr:uid="{00000000-0005-0000-0000-0000AB1E0000}"/>
    <cellStyle name="Normal 42 10 3 2" xfId="15628" xr:uid="{00000000-0005-0000-0000-0000AC1E0000}"/>
    <cellStyle name="Normal 42 10 4" xfId="12324" xr:uid="{00000000-0005-0000-0000-0000AD1E0000}"/>
    <cellStyle name="Normal 42 11" xfId="4308" xr:uid="{00000000-0005-0000-0000-0000AE1E0000}"/>
    <cellStyle name="Normal 42 11 2" xfId="12325" xr:uid="{00000000-0005-0000-0000-0000AF1E0000}"/>
    <cellStyle name="Normal 42 12" xfId="4309" xr:uid="{00000000-0005-0000-0000-0000B01E0000}"/>
    <cellStyle name="Normal 42 12 2" xfId="12326" xr:uid="{00000000-0005-0000-0000-0000B11E0000}"/>
    <cellStyle name="Normal 42 13" xfId="11098" xr:uid="{00000000-0005-0000-0000-0000B21E0000}"/>
    <cellStyle name="Normal 42 14" xfId="11099" xr:uid="{00000000-0005-0000-0000-0000B31E0000}"/>
    <cellStyle name="Normal 42 15" xfId="11100" xr:uid="{00000000-0005-0000-0000-0000B41E0000}"/>
    <cellStyle name="Normal 42 16" xfId="11101" xr:uid="{00000000-0005-0000-0000-0000B51E0000}"/>
    <cellStyle name="Normal 42 17" xfId="11102" xr:uid="{00000000-0005-0000-0000-0000B61E0000}"/>
    <cellStyle name="Normal 42 18" xfId="11103" xr:uid="{00000000-0005-0000-0000-0000B71E0000}"/>
    <cellStyle name="Normal 42 19" xfId="11104" xr:uid="{00000000-0005-0000-0000-0000B81E0000}"/>
    <cellStyle name="Normal 42 2" xfId="4310" xr:uid="{00000000-0005-0000-0000-0000B91E0000}"/>
    <cellStyle name="Normal 42 2 2" xfId="4311" xr:uid="{00000000-0005-0000-0000-0000BA1E0000}"/>
    <cellStyle name="Normal 42 2 2 2" xfId="4312" xr:uid="{00000000-0005-0000-0000-0000BB1E0000}"/>
    <cellStyle name="Normal 42 2 2 2 2" xfId="4313" xr:uid="{00000000-0005-0000-0000-0000BC1E0000}"/>
    <cellStyle name="Normal 42 2 2 2 2 2" xfId="4314" xr:uid="{00000000-0005-0000-0000-0000BD1E0000}"/>
    <cellStyle name="Normal 42 2 2 2 2 2 2" xfId="15629" xr:uid="{00000000-0005-0000-0000-0000BE1E0000}"/>
    <cellStyle name="Normal 42 2 2 2 2 3" xfId="4315" xr:uid="{00000000-0005-0000-0000-0000BF1E0000}"/>
    <cellStyle name="Normal 42 2 2 2 2 3 2" xfId="15630" xr:uid="{00000000-0005-0000-0000-0000C01E0000}"/>
    <cellStyle name="Normal 42 2 2 2 2 4" xfId="15631" xr:uid="{00000000-0005-0000-0000-0000C11E0000}"/>
    <cellStyle name="Normal 42 2 2 2 3" xfId="4316" xr:uid="{00000000-0005-0000-0000-0000C21E0000}"/>
    <cellStyle name="Normal 42 2 2 2 3 2" xfId="4317" xr:uid="{00000000-0005-0000-0000-0000C31E0000}"/>
    <cellStyle name="Normal 42 2 2 2 3 2 2" xfId="15632" xr:uid="{00000000-0005-0000-0000-0000C41E0000}"/>
    <cellStyle name="Normal 42 2 2 2 3 3" xfId="4318" xr:uid="{00000000-0005-0000-0000-0000C51E0000}"/>
    <cellStyle name="Normal 42 2 2 2 3 3 2" xfId="15633" xr:uid="{00000000-0005-0000-0000-0000C61E0000}"/>
    <cellStyle name="Normal 42 2 2 2 3 4" xfId="15634" xr:uid="{00000000-0005-0000-0000-0000C71E0000}"/>
    <cellStyle name="Normal 42 2 2 2 4" xfId="4319" xr:uid="{00000000-0005-0000-0000-0000C81E0000}"/>
    <cellStyle name="Normal 42 2 2 2 4 2" xfId="15635" xr:uid="{00000000-0005-0000-0000-0000C91E0000}"/>
    <cellStyle name="Normal 42 2 2 2 5" xfId="4320" xr:uid="{00000000-0005-0000-0000-0000CA1E0000}"/>
    <cellStyle name="Normal 42 2 2 2 5 2" xfId="15636" xr:uid="{00000000-0005-0000-0000-0000CB1E0000}"/>
    <cellStyle name="Normal 42 2 2 2 6" xfId="15637" xr:uid="{00000000-0005-0000-0000-0000CC1E0000}"/>
    <cellStyle name="Normal 42 2 2 3" xfId="4321" xr:uid="{00000000-0005-0000-0000-0000CD1E0000}"/>
    <cellStyle name="Normal 42 2 2 3 2" xfId="4322" xr:uid="{00000000-0005-0000-0000-0000CE1E0000}"/>
    <cellStyle name="Normal 42 2 2 3 2 2" xfId="4323" xr:uid="{00000000-0005-0000-0000-0000CF1E0000}"/>
    <cellStyle name="Normal 42 2 2 3 2 2 2" xfId="15638" xr:uid="{00000000-0005-0000-0000-0000D01E0000}"/>
    <cellStyle name="Normal 42 2 2 3 2 3" xfId="4324" xr:uid="{00000000-0005-0000-0000-0000D11E0000}"/>
    <cellStyle name="Normal 42 2 2 3 2 3 2" xfId="15639" xr:uid="{00000000-0005-0000-0000-0000D21E0000}"/>
    <cellStyle name="Normal 42 2 2 3 2 4" xfId="15640" xr:uid="{00000000-0005-0000-0000-0000D31E0000}"/>
    <cellStyle name="Normal 42 2 2 3 3" xfId="4325" xr:uid="{00000000-0005-0000-0000-0000D41E0000}"/>
    <cellStyle name="Normal 42 2 2 3 3 2" xfId="4326" xr:uid="{00000000-0005-0000-0000-0000D51E0000}"/>
    <cellStyle name="Normal 42 2 2 3 3 2 2" xfId="15641" xr:uid="{00000000-0005-0000-0000-0000D61E0000}"/>
    <cellStyle name="Normal 42 2 2 3 3 3" xfId="4327" xr:uid="{00000000-0005-0000-0000-0000D71E0000}"/>
    <cellStyle name="Normal 42 2 2 3 3 3 2" xfId="15642" xr:uid="{00000000-0005-0000-0000-0000D81E0000}"/>
    <cellStyle name="Normal 42 2 2 3 3 4" xfId="15643" xr:uid="{00000000-0005-0000-0000-0000D91E0000}"/>
    <cellStyle name="Normal 42 2 2 3 4" xfId="4328" xr:uid="{00000000-0005-0000-0000-0000DA1E0000}"/>
    <cellStyle name="Normal 42 2 2 3 4 2" xfId="15644" xr:uid="{00000000-0005-0000-0000-0000DB1E0000}"/>
    <cellStyle name="Normal 42 2 2 3 5" xfId="4329" xr:uid="{00000000-0005-0000-0000-0000DC1E0000}"/>
    <cellStyle name="Normal 42 2 2 3 5 2" xfId="15645" xr:uid="{00000000-0005-0000-0000-0000DD1E0000}"/>
    <cellStyle name="Normal 42 2 2 3 6" xfId="15646" xr:uid="{00000000-0005-0000-0000-0000DE1E0000}"/>
    <cellStyle name="Normal 42 2 2 4" xfId="4330" xr:uid="{00000000-0005-0000-0000-0000DF1E0000}"/>
    <cellStyle name="Normal 42 2 2 4 2" xfId="4331" xr:uid="{00000000-0005-0000-0000-0000E01E0000}"/>
    <cellStyle name="Normal 42 2 2 4 2 2" xfId="15647" xr:uid="{00000000-0005-0000-0000-0000E11E0000}"/>
    <cellStyle name="Normal 42 2 2 4 3" xfId="4332" xr:uid="{00000000-0005-0000-0000-0000E21E0000}"/>
    <cellStyle name="Normal 42 2 2 4 3 2" xfId="15648" xr:uid="{00000000-0005-0000-0000-0000E31E0000}"/>
    <cellStyle name="Normal 42 2 2 4 4" xfId="15649" xr:uid="{00000000-0005-0000-0000-0000E41E0000}"/>
    <cellStyle name="Normal 42 2 2 5" xfId="4333" xr:uid="{00000000-0005-0000-0000-0000E51E0000}"/>
    <cellStyle name="Normal 42 2 2 5 2" xfId="4334" xr:uid="{00000000-0005-0000-0000-0000E61E0000}"/>
    <cellStyle name="Normal 42 2 2 5 2 2" xfId="15650" xr:uid="{00000000-0005-0000-0000-0000E71E0000}"/>
    <cellStyle name="Normal 42 2 2 5 3" xfId="4335" xr:uid="{00000000-0005-0000-0000-0000E81E0000}"/>
    <cellStyle name="Normal 42 2 2 5 3 2" xfId="15651" xr:uid="{00000000-0005-0000-0000-0000E91E0000}"/>
    <cellStyle name="Normal 42 2 2 5 4" xfId="15652" xr:uid="{00000000-0005-0000-0000-0000EA1E0000}"/>
    <cellStyle name="Normal 42 2 2 6" xfId="4336" xr:uid="{00000000-0005-0000-0000-0000EB1E0000}"/>
    <cellStyle name="Normal 42 2 2 6 2" xfId="15653" xr:uid="{00000000-0005-0000-0000-0000EC1E0000}"/>
    <cellStyle name="Normal 42 2 2 7" xfId="4337" xr:uid="{00000000-0005-0000-0000-0000ED1E0000}"/>
    <cellStyle name="Normal 42 2 2 7 2" xfId="15654" xr:uid="{00000000-0005-0000-0000-0000EE1E0000}"/>
    <cellStyle name="Normal 42 2 2 8" xfId="12328" xr:uid="{00000000-0005-0000-0000-0000EF1E0000}"/>
    <cellStyle name="Normal 42 2 3" xfId="4338" xr:uid="{00000000-0005-0000-0000-0000F01E0000}"/>
    <cellStyle name="Normal 42 2 3 2" xfId="4339" xr:uid="{00000000-0005-0000-0000-0000F11E0000}"/>
    <cellStyle name="Normal 42 2 3 2 2" xfId="4340" xr:uid="{00000000-0005-0000-0000-0000F21E0000}"/>
    <cellStyle name="Normal 42 2 3 2 2 2" xfId="15655" xr:uid="{00000000-0005-0000-0000-0000F31E0000}"/>
    <cellStyle name="Normal 42 2 3 2 3" xfId="4341" xr:uid="{00000000-0005-0000-0000-0000F41E0000}"/>
    <cellStyle name="Normal 42 2 3 2 3 2" xfId="15656" xr:uid="{00000000-0005-0000-0000-0000F51E0000}"/>
    <cellStyle name="Normal 42 2 3 2 4" xfId="15657" xr:uid="{00000000-0005-0000-0000-0000F61E0000}"/>
    <cellStyle name="Normal 42 2 3 3" xfId="4342" xr:uid="{00000000-0005-0000-0000-0000F71E0000}"/>
    <cellStyle name="Normal 42 2 3 3 2" xfId="4343" xr:uid="{00000000-0005-0000-0000-0000F81E0000}"/>
    <cellStyle name="Normal 42 2 3 3 2 2" xfId="15658" xr:uid="{00000000-0005-0000-0000-0000F91E0000}"/>
    <cellStyle name="Normal 42 2 3 3 3" xfId="4344" xr:uid="{00000000-0005-0000-0000-0000FA1E0000}"/>
    <cellStyle name="Normal 42 2 3 3 3 2" xfId="15659" xr:uid="{00000000-0005-0000-0000-0000FB1E0000}"/>
    <cellStyle name="Normal 42 2 3 3 4" xfId="15660" xr:uid="{00000000-0005-0000-0000-0000FC1E0000}"/>
    <cellStyle name="Normal 42 2 3 4" xfId="4345" xr:uid="{00000000-0005-0000-0000-0000FD1E0000}"/>
    <cellStyle name="Normal 42 2 3 4 2" xfId="15661" xr:uid="{00000000-0005-0000-0000-0000FE1E0000}"/>
    <cellStyle name="Normal 42 2 3 5" xfId="4346" xr:uid="{00000000-0005-0000-0000-0000FF1E0000}"/>
    <cellStyle name="Normal 42 2 3 5 2" xfId="15662" xr:uid="{00000000-0005-0000-0000-0000001F0000}"/>
    <cellStyle name="Normal 42 2 3 6" xfId="15663" xr:uid="{00000000-0005-0000-0000-0000011F0000}"/>
    <cellStyle name="Normal 42 2 4" xfId="4347" xr:uid="{00000000-0005-0000-0000-0000021F0000}"/>
    <cellStyle name="Normal 42 2 4 2" xfId="4348" xr:uid="{00000000-0005-0000-0000-0000031F0000}"/>
    <cellStyle name="Normal 42 2 4 2 2" xfId="4349" xr:uid="{00000000-0005-0000-0000-0000041F0000}"/>
    <cellStyle name="Normal 42 2 4 2 2 2" xfId="15664" xr:uid="{00000000-0005-0000-0000-0000051F0000}"/>
    <cellStyle name="Normal 42 2 4 2 3" xfId="4350" xr:uid="{00000000-0005-0000-0000-0000061F0000}"/>
    <cellStyle name="Normal 42 2 4 2 3 2" xfId="15665" xr:uid="{00000000-0005-0000-0000-0000071F0000}"/>
    <cellStyle name="Normal 42 2 4 2 4" xfId="15666" xr:uid="{00000000-0005-0000-0000-0000081F0000}"/>
    <cellStyle name="Normal 42 2 4 3" xfId="4351" xr:uid="{00000000-0005-0000-0000-0000091F0000}"/>
    <cellStyle name="Normal 42 2 4 3 2" xfId="4352" xr:uid="{00000000-0005-0000-0000-00000A1F0000}"/>
    <cellStyle name="Normal 42 2 4 3 2 2" xfId="15667" xr:uid="{00000000-0005-0000-0000-00000B1F0000}"/>
    <cellStyle name="Normal 42 2 4 3 3" xfId="4353" xr:uid="{00000000-0005-0000-0000-00000C1F0000}"/>
    <cellStyle name="Normal 42 2 4 3 3 2" xfId="15668" xr:uid="{00000000-0005-0000-0000-00000D1F0000}"/>
    <cellStyle name="Normal 42 2 4 3 4" xfId="15669" xr:uid="{00000000-0005-0000-0000-00000E1F0000}"/>
    <cellStyle name="Normal 42 2 4 4" xfId="4354" xr:uid="{00000000-0005-0000-0000-00000F1F0000}"/>
    <cellStyle name="Normal 42 2 4 4 2" xfId="15670" xr:uid="{00000000-0005-0000-0000-0000101F0000}"/>
    <cellStyle name="Normal 42 2 4 5" xfId="4355" xr:uid="{00000000-0005-0000-0000-0000111F0000}"/>
    <cellStyle name="Normal 42 2 4 5 2" xfId="15671" xr:uid="{00000000-0005-0000-0000-0000121F0000}"/>
    <cellStyle name="Normal 42 2 4 6" xfId="15672" xr:uid="{00000000-0005-0000-0000-0000131F0000}"/>
    <cellStyle name="Normal 42 2 5" xfId="4356" xr:uid="{00000000-0005-0000-0000-0000141F0000}"/>
    <cellStyle name="Normal 42 2 5 2" xfId="4357" xr:uid="{00000000-0005-0000-0000-0000151F0000}"/>
    <cellStyle name="Normal 42 2 5 2 2" xfId="15673" xr:uid="{00000000-0005-0000-0000-0000161F0000}"/>
    <cellStyle name="Normal 42 2 5 3" xfId="4358" xr:uid="{00000000-0005-0000-0000-0000171F0000}"/>
    <cellStyle name="Normal 42 2 5 3 2" xfId="15674" xr:uid="{00000000-0005-0000-0000-0000181F0000}"/>
    <cellStyle name="Normal 42 2 5 4" xfId="15675" xr:uid="{00000000-0005-0000-0000-0000191F0000}"/>
    <cellStyle name="Normal 42 2 6" xfId="4359" xr:uid="{00000000-0005-0000-0000-00001A1F0000}"/>
    <cellStyle name="Normal 42 2 6 2" xfId="4360" xr:uid="{00000000-0005-0000-0000-00001B1F0000}"/>
    <cellStyle name="Normal 42 2 6 2 2" xfId="15676" xr:uid="{00000000-0005-0000-0000-00001C1F0000}"/>
    <cellStyle name="Normal 42 2 6 3" xfId="4361" xr:uid="{00000000-0005-0000-0000-00001D1F0000}"/>
    <cellStyle name="Normal 42 2 6 3 2" xfId="15677" xr:uid="{00000000-0005-0000-0000-00001E1F0000}"/>
    <cellStyle name="Normal 42 2 6 4" xfId="15678" xr:uid="{00000000-0005-0000-0000-00001F1F0000}"/>
    <cellStyle name="Normal 42 2 7" xfId="4362" xr:uid="{00000000-0005-0000-0000-0000201F0000}"/>
    <cellStyle name="Normal 42 2 7 2" xfId="15679" xr:uid="{00000000-0005-0000-0000-0000211F0000}"/>
    <cellStyle name="Normal 42 2 8" xfId="4363" xr:uid="{00000000-0005-0000-0000-0000221F0000}"/>
    <cellStyle name="Normal 42 2 8 2" xfId="15680" xr:uid="{00000000-0005-0000-0000-0000231F0000}"/>
    <cellStyle name="Normal 42 2 9" xfId="12327" xr:uid="{00000000-0005-0000-0000-0000241F0000}"/>
    <cellStyle name="Normal 42 20" xfId="11105" xr:uid="{00000000-0005-0000-0000-0000251F0000}"/>
    <cellStyle name="Normal 42 3" xfId="4364" xr:uid="{00000000-0005-0000-0000-0000261F0000}"/>
    <cellStyle name="Normal 42 3 2" xfId="4365" xr:uid="{00000000-0005-0000-0000-0000271F0000}"/>
    <cellStyle name="Normal 42 3 2 2" xfId="4366" xr:uid="{00000000-0005-0000-0000-0000281F0000}"/>
    <cellStyle name="Normal 42 3 2 2 2" xfId="4367" xr:uid="{00000000-0005-0000-0000-0000291F0000}"/>
    <cellStyle name="Normal 42 3 2 2 2 2" xfId="15681" xr:uid="{00000000-0005-0000-0000-00002A1F0000}"/>
    <cellStyle name="Normal 42 3 2 2 3" xfId="4368" xr:uid="{00000000-0005-0000-0000-00002B1F0000}"/>
    <cellStyle name="Normal 42 3 2 2 3 2" xfId="15682" xr:uid="{00000000-0005-0000-0000-00002C1F0000}"/>
    <cellStyle name="Normal 42 3 2 2 4" xfId="15683" xr:uid="{00000000-0005-0000-0000-00002D1F0000}"/>
    <cellStyle name="Normal 42 3 2 3" xfId="4369" xr:uid="{00000000-0005-0000-0000-00002E1F0000}"/>
    <cellStyle name="Normal 42 3 2 3 2" xfId="4370" xr:uid="{00000000-0005-0000-0000-00002F1F0000}"/>
    <cellStyle name="Normal 42 3 2 3 2 2" xfId="15684" xr:uid="{00000000-0005-0000-0000-0000301F0000}"/>
    <cellStyle name="Normal 42 3 2 3 3" xfId="4371" xr:uid="{00000000-0005-0000-0000-0000311F0000}"/>
    <cellStyle name="Normal 42 3 2 3 3 2" xfId="15685" xr:uid="{00000000-0005-0000-0000-0000321F0000}"/>
    <cellStyle name="Normal 42 3 2 3 4" xfId="15686" xr:uid="{00000000-0005-0000-0000-0000331F0000}"/>
    <cellStyle name="Normal 42 3 2 4" xfId="4372" xr:uid="{00000000-0005-0000-0000-0000341F0000}"/>
    <cellStyle name="Normal 42 3 2 4 2" xfId="15687" xr:uid="{00000000-0005-0000-0000-0000351F0000}"/>
    <cellStyle name="Normal 42 3 2 5" xfId="4373" xr:uid="{00000000-0005-0000-0000-0000361F0000}"/>
    <cellStyle name="Normal 42 3 2 5 2" xfId="15688" xr:uid="{00000000-0005-0000-0000-0000371F0000}"/>
    <cellStyle name="Normal 42 3 2 6" xfId="12330" xr:uid="{00000000-0005-0000-0000-0000381F0000}"/>
    <cellStyle name="Normal 42 3 3" xfId="4374" xr:uid="{00000000-0005-0000-0000-0000391F0000}"/>
    <cellStyle name="Normal 42 3 3 2" xfId="4375" xr:uid="{00000000-0005-0000-0000-00003A1F0000}"/>
    <cellStyle name="Normal 42 3 3 2 2" xfId="4376" xr:uid="{00000000-0005-0000-0000-00003B1F0000}"/>
    <cellStyle name="Normal 42 3 3 2 2 2" xfId="15689" xr:uid="{00000000-0005-0000-0000-00003C1F0000}"/>
    <cellStyle name="Normal 42 3 3 2 3" xfId="4377" xr:uid="{00000000-0005-0000-0000-00003D1F0000}"/>
    <cellStyle name="Normal 42 3 3 2 3 2" xfId="15690" xr:uid="{00000000-0005-0000-0000-00003E1F0000}"/>
    <cellStyle name="Normal 42 3 3 2 4" xfId="15691" xr:uid="{00000000-0005-0000-0000-00003F1F0000}"/>
    <cellStyle name="Normal 42 3 3 3" xfId="4378" xr:uid="{00000000-0005-0000-0000-0000401F0000}"/>
    <cellStyle name="Normal 42 3 3 3 2" xfId="4379" xr:uid="{00000000-0005-0000-0000-0000411F0000}"/>
    <cellStyle name="Normal 42 3 3 3 2 2" xfId="15692" xr:uid="{00000000-0005-0000-0000-0000421F0000}"/>
    <cellStyle name="Normal 42 3 3 3 3" xfId="4380" xr:uid="{00000000-0005-0000-0000-0000431F0000}"/>
    <cellStyle name="Normal 42 3 3 3 3 2" xfId="15693" xr:uid="{00000000-0005-0000-0000-0000441F0000}"/>
    <cellStyle name="Normal 42 3 3 3 4" xfId="15694" xr:uid="{00000000-0005-0000-0000-0000451F0000}"/>
    <cellStyle name="Normal 42 3 3 4" xfId="4381" xr:uid="{00000000-0005-0000-0000-0000461F0000}"/>
    <cellStyle name="Normal 42 3 3 4 2" xfId="15695" xr:uid="{00000000-0005-0000-0000-0000471F0000}"/>
    <cellStyle name="Normal 42 3 3 5" xfId="4382" xr:uid="{00000000-0005-0000-0000-0000481F0000}"/>
    <cellStyle name="Normal 42 3 3 5 2" xfId="15696" xr:uid="{00000000-0005-0000-0000-0000491F0000}"/>
    <cellStyle name="Normal 42 3 3 6" xfId="15697" xr:uid="{00000000-0005-0000-0000-00004A1F0000}"/>
    <cellStyle name="Normal 42 3 4" xfId="4383" xr:uid="{00000000-0005-0000-0000-00004B1F0000}"/>
    <cellStyle name="Normal 42 3 4 2" xfId="4384" xr:uid="{00000000-0005-0000-0000-00004C1F0000}"/>
    <cellStyle name="Normal 42 3 4 2 2" xfId="15698" xr:uid="{00000000-0005-0000-0000-00004D1F0000}"/>
    <cellStyle name="Normal 42 3 4 3" xfId="4385" xr:uid="{00000000-0005-0000-0000-00004E1F0000}"/>
    <cellStyle name="Normal 42 3 4 3 2" xfId="15699" xr:uid="{00000000-0005-0000-0000-00004F1F0000}"/>
    <cellStyle name="Normal 42 3 4 4" xfId="15700" xr:uid="{00000000-0005-0000-0000-0000501F0000}"/>
    <cellStyle name="Normal 42 3 5" xfId="4386" xr:uid="{00000000-0005-0000-0000-0000511F0000}"/>
    <cellStyle name="Normal 42 3 5 2" xfId="4387" xr:uid="{00000000-0005-0000-0000-0000521F0000}"/>
    <cellStyle name="Normal 42 3 5 2 2" xfId="15701" xr:uid="{00000000-0005-0000-0000-0000531F0000}"/>
    <cellStyle name="Normal 42 3 5 3" xfId="4388" xr:uid="{00000000-0005-0000-0000-0000541F0000}"/>
    <cellStyle name="Normal 42 3 5 3 2" xfId="15702" xr:uid="{00000000-0005-0000-0000-0000551F0000}"/>
    <cellStyle name="Normal 42 3 5 4" xfId="15703" xr:uid="{00000000-0005-0000-0000-0000561F0000}"/>
    <cellStyle name="Normal 42 3 6" xfId="4389" xr:uid="{00000000-0005-0000-0000-0000571F0000}"/>
    <cellStyle name="Normal 42 3 6 2" xfId="15704" xr:uid="{00000000-0005-0000-0000-0000581F0000}"/>
    <cellStyle name="Normal 42 3 7" xfId="4390" xr:uid="{00000000-0005-0000-0000-0000591F0000}"/>
    <cellStyle name="Normal 42 3 7 2" xfId="15705" xr:uid="{00000000-0005-0000-0000-00005A1F0000}"/>
    <cellStyle name="Normal 42 3 8" xfId="12329" xr:uid="{00000000-0005-0000-0000-00005B1F0000}"/>
    <cellStyle name="Normal 42 4" xfId="4391" xr:uid="{00000000-0005-0000-0000-00005C1F0000}"/>
    <cellStyle name="Normal 42 4 2" xfId="4392" xr:uid="{00000000-0005-0000-0000-00005D1F0000}"/>
    <cellStyle name="Normal 42 4 2 2" xfId="4393" xr:uid="{00000000-0005-0000-0000-00005E1F0000}"/>
    <cellStyle name="Normal 42 4 2 2 2" xfId="4394" xr:uid="{00000000-0005-0000-0000-00005F1F0000}"/>
    <cellStyle name="Normal 42 4 2 2 2 2" xfId="15706" xr:uid="{00000000-0005-0000-0000-0000601F0000}"/>
    <cellStyle name="Normal 42 4 2 2 3" xfId="4395" xr:uid="{00000000-0005-0000-0000-0000611F0000}"/>
    <cellStyle name="Normal 42 4 2 2 3 2" xfId="15707" xr:uid="{00000000-0005-0000-0000-0000621F0000}"/>
    <cellStyle name="Normal 42 4 2 2 4" xfId="15708" xr:uid="{00000000-0005-0000-0000-0000631F0000}"/>
    <cellStyle name="Normal 42 4 2 3" xfId="4396" xr:uid="{00000000-0005-0000-0000-0000641F0000}"/>
    <cellStyle name="Normal 42 4 2 3 2" xfId="4397" xr:uid="{00000000-0005-0000-0000-0000651F0000}"/>
    <cellStyle name="Normal 42 4 2 3 2 2" xfId="15709" xr:uid="{00000000-0005-0000-0000-0000661F0000}"/>
    <cellStyle name="Normal 42 4 2 3 3" xfId="4398" xr:uid="{00000000-0005-0000-0000-0000671F0000}"/>
    <cellStyle name="Normal 42 4 2 3 3 2" xfId="15710" xr:uid="{00000000-0005-0000-0000-0000681F0000}"/>
    <cellStyle name="Normal 42 4 2 3 4" xfId="15711" xr:uid="{00000000-0005-0000-0000-0000691F0000}"/>
    <cellStyle name="Normal 42 4 2 4" xfId="4399" xr:uid="{00000000-0005-0000-0000-00006A1F0000}"/>
    <cellStyle name="Normal 42 4 2 4 2" xfId="15712" xr:uid="{00000000-0005-0000-0000-00006B1F0000}"/>
    <cellStyle name="Normal 42 4 2 5" xfId="4400" xr:uid="{00000000-0005-0000-0000-00006C1F0000}"/>
    <cellStyle name="Normal 42 4 2 5 2" xfId="15713" xr:uid="{00000000-0005-0000-0000-00006D1F0000}"/>
    <cellStyle name="Normal 42 4 2 6" xfId="12332" xr:uid="{00000000-0005-0000-0000-00006E1F0000}"/>
    <cellStyle name="Normal 42 4 3" xfId="4401" xr:uid="{00000000-0005-0000-0000-00006F1F0000}"/>
    <cellStyle name="Normal 42 4 3 2" xfId="4402" xr:uid="{00000000-0005-0000-0000-0000701F0000}"/>
    <cellStyle name="Normal 42 4 3 2 2" xfId="4403" xr:uid="{00000000-0005-0000-0000-0000711F0000}"/>
    <cellStyle name="Normal 42 4 3 2 2 2" xfId="15714" xr:uid="{00000000-0005-0000-0000-0000721F0000}"/>
    <cellStyle name="Normal 42 4 3 2 3" xfId="4404" xr:uid="{00000000-0005-0000-0000-0000731F0000}"/>
    <cellStyle name="Normal 42 4 3 2 3 2" xfId="15715" xr:uid="{00000000-0005-0000-0000-0000741F0000}"/>
    <cellStyle name="Normal 42 4 3 2 4" xfId="15716" xr:uid="{00000000-0005-0000-0000-0000751F0000}"/>
    <cellStyle name="Normal 42 4 3 3" xfId="4405" xr:uid="{00000000-0005-0000-0000-0000761F0000}"/>
    <cellStyle name="Normal 42 4 3 3 2" xfId="4406" xr:uid="{00000000-0005-0000-0000-0000771F0000}"/>
    <cellStyle name="Normal 42 4 3 3 2 2" xfId="15717" xr:uid="{00000000-0005-0000-0000-0000781F0000}"/>
    <cellStyle name="Normal 42 4 3 3 3" xfId="4407" xr:uid="{00000000-0005-0000-0000-0000791F0000}"/>
    <cellStyle name="Normal 42 4 3 3 3 2" xfId="15718" xr:uid="{00000000-0005-0000-0000-00007A1F0000}"/>
    <cellStyle name="Normal 42 4 3 3 4" xfId="15719" xr:uid="{00000000-0005-0000-0000-00007B1F0000}"/>
    <cellStyle name="Normal 42 4 3 4" xfId="4408" xr:uid="{00000000-0005-0000-0000-00007C1F0000}"/>
    <cellStyle name="Normal 42 4 3 4 2" xfId="15720" xr:uid="{00000000-0005-0000-0000-00007D1F0000}"/>
    <cellStyle name="Normal 42 4 3 5" xfId="4409" xr:uid="{00000000-0005-0000-0000-00007E1F0000}"/>
    <cellStyle name="Normal 42 4 3 5 2" xfId="15721" xr:uid="{00000000-0005-0000-0000-00007F1F0000}"/>
    <cellStyle name="Normal 42 4 3 6" xfId="15722" xr:uid="{00000000-0005-0000-0000-0000801F0000}"/>
    <cellStyle name="Normal 42 4 4" xfId="4410" xr:uid="{00000000-0005-0000-0000-0000811F0000}"/>
    <cellStyle name="Normal 42 4 4 2" xfId="4411" xr:uid="{00000000-0005-0000-0000-0000821F0000}"/>
    <cellStyle name="Normal 42 4 4 2 2" xfId="15723" xr:uid="{00000000-0005-0000-0000-0000831F0000}"/>
    <cellStyle name="Normal 42 4 4 3" xfId="4412" xr:uid="{00000000-0005-0000-0000-0000841F0000}"/>
    <cellStyle name="Normal 42 4 4 3 2" xfId="15724" xr:uid="{00000000-0005-0000-0000-0000851F0000}"/>
    <cellStyle name="Normal 42 4 4 4" xfId="15725" xr:uid="{00000000-0005-0000-0000-0000861F0000}"/>
    <cellStyle name="Normal 42 4 5" xfId="4413" xr:uid="{00000000-0005-0000-0000-0000871F0000}"/>
    <cellStyle name="Normal 42 4 5 2" xfId="4414" xr:uid="{00000000-0005-0000-0000-0000881F0000}"/>
    <cellStyle name="Normal 42 4 5 2 2" xfId="15726" xr:uid="{00000000-0005-0000-0000-0000891F0000}"/>
    <cellStyle name="Normal 42 4 5 3" xfId="4415" xr:uid="{00000000-0005-0000-0000-00008A1F0000}"/>
    <cellStyle name="Normal 42 4 5 3 2" xfId="15727" xr:uid="{00000000-0005-0000-0000-00008B1F0000}"/>
    <cellStyle name="Normal 42 4 5 4" xfId="15728" xr:uid="{00000000-0005-0000-0000-00008C1F0000}"/>
    <cellStyle name="Normal 42 4 6" xfId="4416" xr:uid="{00000000-0005-0000-0000-00008D1F0000}"/>
    <cellStyle name="Normal 42 4 6 2" xfId="15729" xr:uid="{00000000-0005-0000-0000-00008E1F0000}"/>
    <cellStyle name="Normal 42 4 7" xfId="4417" xr:uid="{00000000-0005-0000-0000-00008F1F0000}"/>
    <cellStyle name="Normal 42 4 7 2" xfId="15730" xr:uid="{00000000-0005-0000-0000-0000901F0000}"/>
    <cellStyle name="Normal 42 4 8" xfId="12331" xr:uid="{00000000-0005-0000-0000-0000911F0000}"/>
    <cellStyle name="Normal 42 5" xfId="4418" xr:uid="{00000000-0005-0000-0000-0000921F0000}"/>
    <cellStyle name="Normal 42 5 2" xfId="11106" xr:uid="{00000000-0005-0000-0000-0000931F0000}"/>
    <cellStyle name="Normal 42 6" xfId="4419" xr:uid="{00000000-0005-0000-0000-0000941F0000}"/>
    <cellStyle name="Normal 42 6 2" xfId="4420" xr:uid="{00000000-0005-0000-0000-0000951F0000}"/>
    <cellStyle name="Normal 42 6 2 2" xfId="4421" xr:uid="{00000000-0005-0000-0000-0000961F0000}"/>
    <cellStyle name="Normal 42 6 2 2 2" xfId="15731" xr:uid="{00000000-0005-0000-0000-0000971F0000}"/>
    <cellStyle name="Normal 42 6 2 3" xfId="4422" xr:uid="{00000000-0005-0000-0000-0000981F0000}"/>
    <cellStyle name="Normal 42 6 2 3 2" xfId="15732" xr:uid="{00000000-0005-0000-0000-0000991F0000}"/>
    <cellStyle name="Normal 42 6 2 4" xfId="12334" xr:uid="{00000000-0005-0000-0000-00009A1F0000}"/>
    <cellStyle name="Normal 42 6 3" xfId="4423" xr:uid="{00000000-0005-0000-0000-00009B1F0000}"/>
    <cellStyle name="Normal 42 6 3 2" xfId="4424" xr:uid="{00000000-0005-0000-0000-00009C1F0000}"/>
    <cellStyle name="Normal 42 6 3 2 2" xfId="15733" xr:uid="{00000000-0005-0000-0000-00009D1F0000}"/>
    <cellStyle name="Normal 42 6 3 3" xfId="4425" xr:uid="{00000000-0005-0000-0000-00009E1F0000}"/>
    <cellStyle name="Normal 42 6 3 3 2" xfId="15734" xr:uid="{00000000-0005-0000-0000-00009F1F0000}"/>
    <cellStyle name="Normal 42 6 3 4" xfId="15735" xr:uid="{00000000-0005-0000-0000-0000A01F0000}"/>
    <cellStyle name="Normal 42 6 4" xfId="4426" xr:uid="{00000000-0005-0000-0000-0000A11F0000}"/>
    <cellStyle name="Normal 42 6 4 2" xfId="15736" xr:uid="{00000000-0005-0000-0000-0000A21F0000}"/>
    <cellStyle name="Normal 42 6 5" xfId="4427" xr:uid="{00000000-0005-0000-0000-0000A31F0000}"/>
    <cellStyle name="Normal 42 6 5 2" xfId="15737" xr:uid="{00000000-0005-0000-0000-0000A41F0000}"/>
    <cellStyle name="Normal 42 6 6" xfId="12333" xr:uid="{00000000-0005-0000-0000-0000A51F0000}"/>
    <cellStyle name="Normal 42 7" xfId="4428" xr:uid="{00000000-0005-0000-0000-0000A61F0000}"/>
    <cellStyle name="Normal 42 7 2" xfId="4429" xr:uid="{00000000-0005-0000-0000-0000A71F0000}"/>
    <cellStyle name="Normal 42 7 2 2" xfId="4430" xr:uid="{00000000-0005-0000-0000-0000A81F0000}"/>
    <cellStyle name="Normal 42 7 2 2 2" xfId="15738" xr:uid="{00000000-0005-0000-0000-0000A91F0000}"/>
    <cellStyle name="Normal 42 7 2 3" xfId="4431" xr:uid="{00000000-0005-0000-0000-0000AA1F0000}"/>
    <cellStyle name="Normal 42 7 2 3 2" xfId="15739" xr:uid="{00000000-0005-0000-0000-0000AB1F0000}"/>
    <cellStyle name="Normal 42 7 2 4" xfId="15740" xr:uid="{00000000-0005-0000-0000-0000AC1F0000}"/>
    <cellStyle name="Normal 42 7 3" xfId="4432" xr:uid="{00000000-0005-0000-0000-0000AD1F0000}"/>
    <cellStyle name="Normal 42 7 3 2" xfId="4433" xr:uid="{00000000-0005-0000-0000-0000AE1F0000}"/>
    <cellStyle name="Normal 42 7 3 2 2" xfId="15741" xr:uid="{00000000-0005-0000-0000-0000AF1F0000}"/>
    <cellStyle name="Normal 42 7 3 3" xfId="4434" xr:uid="{00000000-0005-0000-0000-0000B01F0000}"/>
    <cellStyle name="Normal 42 7 3 3 2" xfId="15742" xr:uid="{00000000-0005-0000-0000-0000B11F0000}"/>
    <cellStyle name="Normal 42 7 3 4" xfId="15743" xr:uid="{00000000-0005-0000-0000-0000B21F0000}"/>
    <cellStyle name="Normal 42 7 4" xfId="4435" xr:uid="{00000000-0005-0000-0000-0000B31F0000}"/>
    <cellStyle name="Normal 42 7 4 2" xfId="15744" xr:uid="{00000000-0005-0000-0000-0000B41F0000}"/>
    <cellStyle name="Normal 42 7 5" xfId="4436" xr:uid="{00000000-0005-0000-0000-0000B51F0000}"/>
    <cellStyle name="Normal 42 7 5 2" xfId="15745" xr:uid="{00000000-0005-0000-0000-0000B61F0000}"/>
    <cellStyle name="Normal 42 7 6" xfId="12335" xr:uid="{00000000-0005-0000-0000-0000B71F0000}"/>
    <cellStyle name="Normal 42 8" xfId="4437" xr:uid="{00000000-0005-0000-0000-0000B81F0000}"/>
    <cellStyle name="Normal 42 8 2" xfId="4438" xr:uid="{00000000-0005-0000-0000-0000B91F0000}"/>
    <cellStyle name="Normal 42 8 2 2" xfId="4439" xr:uid="{00000000-0005-0000-0000-0000BA1F0000}"/>
    <cellStyle name="Normal 42 8 2 2 2" xfId="15746" xr:uid="{00000000-0005-0000-0000-0000BB1F0000}"/>
    <cellStyle name="Normal 42 8 2 3" xfId="4440" xr:uid="{00000000-0005-0000-0000-0000BC1F0000}"/>
    <cellStyle name="Normal 42 8 2 3 2" xfId="15747" xr:uid="{00000000-0005-0000-0000-0000BD1F0000}"/>
    <cellStyle name="Normal 42 8 2 4" xfId="15748" xr:uid="{00000000-0005-0000-0000-0000BE1F0000}"/>
    <cellStyle name="Normal 42 8 3" xfId="4441" xr:uid="{00000000-0005-0000-0000-0000BF1F0000}"/>
    <cellStyle name="Normal 42 8 3 2" xfId="4442" xr:uid="{00000000-0005-0000-0000-0000C01F0000}"/>
    <cellStyle name="Normal 42 8 3 2 2" xfId="15749" xr:uid="{00000000-0005-0000-0000-0000C11F0000}"/>
    <cellStyle name="Normal 42 8 3 3" xfId="4443" xr:uid="{00000000-0005-0000-0000-0000C21F0000}"/>
    <cellStyle name="Normal 42 8 3 3 2" xfId="15750" xr:uid="{00000000-0005-0000-0000-0000C31F0000}"/>
    <cellStyle name="Normal 42 8 3 4" xfId="15751" xr:uid="{00000000-0005-0000-0000-0000C41F0000}"/>
    <cellStyle name="Normal 42 8 4" xfId="4444" xr:uid="{00000000-0005-0000-0000-0000C51F0000}"/>
    <cellStyle name="Normal 42 8 4 2" xfId="15752" xr:uid="{00000000-0005-0000-0000-0000C61F0000}"/>
    <cellStyle name="Normal 42 8 5" xfId="4445" xr:uid="{00000000-0005-0000-0000-0000C71F0000}"/>
    <cellStyle name="Normal 42 8 5 2" xfId="15753" xr:uid="{00000000-0005-0000-0000-0000C81F0000}"/>
    <cellStyle name="Normal 42 8 6" xfId="12336" xr:uid="{00000000-0005-0000-0000-0000C91F0000}"/>
    <cellStyle name="Normal 42 9" xfId="4446" xr:uid="{00000000-0005-0000-0000-0000CA1F0000}"/>
    <cellStyle name="Normal 42 9 2" xfId="4447" xr:uid="{00000000-0005-0000-0000-0000CB1F0000}"/>
    <cellStyle name="Normal 42 9 2 2" xfId="15754" xr:uid="{00000000-0005-0000-0000-0000CC1F0000}"/>
    <cellStyle name="Normal 42 9 3" xfId="4448" xr:uid="{00000000-0005-0000-0000-0000CD1F0000}"/>
    <cellStyle name="Normal 42 9 3 2" xfId="15755" xr:uid="{00000000-0005-0000-0000-0000CE1F0000}"/>
    <cellStyle name="Normal 42 9 4" xfId="12337" xr:uid="{00000000-0005-0000-0000-0000CF1F0000}"/>
    <cellStyle name="Normal 420" xfId="4449" xr:uid="{00000000-0005-0000-0000-0000D01F0000}"/>
    <cellStyle name="Normal 421" xfId="4450" xr:uid="{00000000-0005-0000-0000-0000D11F0000}"/>
    <cellStyle name="Normal 422" xfId="4451" xr:uid="{00000000-0005-0000-0000-0000D21F0000}"/>
    <cellStyle name="Normal 423" xfId="4452" xr:uid="{00000000-0005-0000-0000-0000D31F0000}"/>
    <cellStyle name="Normal 424" xfId="4453" xr:uid="{00000000-0005-0000-0000-0000D41F0000}"/>
    <cellStyle name="Normal 425" xfId="4454" xr:uid="{00000000-0005-0000-0000-0000D51F0000}"/>
    <cellStyle name="Normal 426" xfId="4455" xr:uid="{00000000-0005-0000-0000-0000D61F0000}"/>
    <cellStyle name="Normal 427" xfId="4456" xr:uid="{00000000-0005-0000-0000-0000D71F0000}"/>
    <cellStyle name="Normal 428" xfId="4457" xr:uid="{00000000-0005-0000-0000-0000D81F0000}"/>
    <cellStyle name="Normal 429" xfId="4458" xr:uid="{00000000-0005-0000-0000-0000D91F0000}"/>
    <cellStyle name="Normal 43" xfId="4459" xr:uid="{00000000-0005-0000-0000-0000DA1F0000}"/>
    <cellStyle name="Normal 43 10" xfId="4460" xr:uid="{00000000-0005-0000-0000-0000DB1F0000}"/>
    <cellStyle name="Normal 43 10 2" xfId="4461" xr:uid="{00000000-0005-0000-0000-0000DC1F0000}"/>
    <cellStyle name="Normal 43 10 2 2" xfId="15756" xr:uid="{00000000-0005-0000-0000-0000DD1F0000}"/>
    <cellStyle name="Normal 43 10 3" xfId="4462" xr:uid="{00000000-0005-0000-0000-0000DE1F0000}"/>
    <cellStyle name="Normal 43 10 3 2" xfId="15757" xr:uid="{00000000-0005-0000-0000-0000DF1F0000}"/>
    <cellStyle name="Normal 43 10 4" xfId="12338" xr:uid="{00000000-0005-0000-0000-0000E01F0000}"/>
    <cellStyle name="Normal 43 11" xfId="4463" xr:uid="{00000000-0005-0000-0000-0000E11F0000}"/>
    <cellStyle name="Normal 43 11 2" xfId="12339" xr:uid="{00000000-0005-0000-0000-0000E21F0000}"/>
    <cellStyle name="Normal 43 12" xfId="4464" xr:uid="{00000000-0005-0000-0000-0000E31F0000}"/>
    <cellStyle name="Normal 43 12 2" xfId="12340" xr:uid="{00000000-0005-0000-0000-0000E41F0000}"/>
    <cellStyle name="Normal 43 13" xfId="11107" xr:uid="{00000000-0005-0000-0000-0000E51F0000}"/>
    <cellStyle name="Normal 43 14" xfId="11108" xr:uid="{00000000-0005-0000-0000-0000E61F0000}"/>
    <cellStyle name="Normal 43 15" xfId="11109" xr:uid="{00000000-0005-0000-0000-0000E71F0000}"/>
    <cellStyle name="Normal 43 16" xfId="11110" xr:uid="{00000000-0005-0000-0000-0000E81F0000}"/>
    <cellStyle name="Normal 43 17" xfId="11111" xr:uid="{00000000-0005-0000-0000-0000E91F0000}"/>
    <cellStyle name="Normal 43 18" xfId="11112" xr:uid="{00000000-0005-0000-0000-0000EA1F0000}"/>
    <cellStyle name="Normal 43 19" xfId="11113" xr:uid="{00000000-0005-0000-0000-0000EB1F0000}"/>
    <cellStyle name="Normal 43 2" xfId="4465" xr:uid="{00000000-0005-0000-0000-0000EC1F0000}"/>
    <cellStyle name="Normal 43 2 2" xfId="4466" xr:uid="{00000000-0005-0000-0000-0000ED1F0000}"/>
    <cellStyle name="Normal 43 2 2 2" xfId="4467" xr:uid="{00000000-0005-0000-0000-0000EE1F0000}"/>
    <cellStyle name="Normal 43 2 2 2 2" xfId="4468" xr:uid="{00000000-0005-0000-0000-0000EF1F0000}"/>
    <cellStyle name="Normal 43 2 2 2 2 2" xfId="4469" xr:uid="{00000000-0005-0000-0000-0000F01F0000}"/>
    <cellStyle name="Normal 43 2 2 2 2 2 2" xfId="15758" xr:uid="{00000000-0005-0000-0000-0000F11F0000}"/>
    <cellStyle name="Normal 43 2 2 2 2 3" xfId="4470" xr:uid="{00000000-0005-0000-0000-0000F21F0000}"/>
    <cellStyle name="Normal 43 2 2 2 2 3 2" xfId="15759" xr:uid="{00000000-0005-0000-0000-0000F31F0000}"/>
    <cellStyle name="Normal 43 2 2 2 2 4" xfId="15760" xr:uid="{00000000-0005-0000-0000-0000F41F0000}"/>
    <cellStyle name="Normal 43 2 2 2 3" xfId="4471" xr:uid="{00000000-0005-0000-0000-0000F51F0000}"/>
    <cellStyle name="Normal 43 2 2 2 3 2" xfId="4472" xr:uid="{00000000-0005-0000-0000-0000F61F0000}"/>
    <cellStyle name="Normal 43 2 2 2 3 2 2" xfId="15761" xr:uid="{00000000-0005-0000-0000-0000F71F0000}"/>
    <cellStyle name="Normal 43 2 2 2 3 3" xfId="4473" xr:uid="{00000000-0005-0000-0000-0000F81F0000}"/>
    <cellStyle name="Normal 43 2 2 2 3 3 2" xfId="15762" xr:uid="{00000000-0005-0000-0000-0000F91F0000}"/>
    <cellStyle name="Normal 43 2 2 2 3 4" xfId="15763" xr:uid="{00000000-0005-0000-0000-0000FA1F0000}"/>
    <cellStyle name="Normal 43 2 2 2 4" xfId="4474" xr:uid="{00000000-0005-0000-0000-0000FB1F0000}"/>
    <cellStyle name="Normal 43 2 2 2 4 2" xfId="15764" xr:uid="{00000000-0005-0000-0000-0000FC1F0000}"/>
    <cellStyle name="Normal 43 2 2 2 5" xfId="4475" xr:uid="{00000000-0005-0000-0000-0000FD1F0000}"/>
    <cellStyle name="Normal 43 2 2 2 5 2" xfId="15765" xr:uid="{00000000-0005-0000-0000-0000FE1F0000}"/>
    <cellStyle name="Normal 43 2 2 2 6" xfId="15766" xr:uid="{00000000-0005-0000-0000-0000FF1F0000}"/>
    <cellStyle name="Normal 43 2 2 3" xfId="4476" xr:uid="{00000000-0005-0000-0000-000000200000}"/>
    <cellStyle name="Normal 43 2 2 3 2" xfId="4477" xr:uid="{00000000-0005-0000-0000-000001200000}"/>
    <cellStyle name="Normal 43 2 2 3 2 2" xfId="4478" xr:uid="{00000000-0005-0000-0000-000002200000}"/>
    <cellStyle name="Normal 43 2 2 3 2 2 2" xfId="15767" xr:uid="{00000000-0005-0000-0000-000003200000}"/>
    <cellStyle name="Normal 43 2 2 3 2 3" xfId="4479" xr:uid="{00000000-0005-0000-0000-000004200000}"/>
    <cellStyle name="Normal 43 2 2 3 2 3 2" xfId="15768" xr:uid="{00000000-0005-0000-0000-000005200000}"/>
    <cellStyle name="Normal 43 2 2 3 2 4" xfId="15769" xr:uid="{00000000-0005-0000-0000-000006200000}"/>
    <cellStyle name="Normal 43 2 2 3 3" xfId="4480" xr:uid="{00000000-0005-0000-0000-000007200000}"/>
    <cellStyle name="Normal 43 2 2 3 3 2" xfId="4481" xr:uid="{00000000-0005-0000-0000-000008200000}"/>
    <cellStyle name="Normal 43 2 2 3 3 2 2" xfId="15770" xr:uid="{00000000-0005-0000-0000-000009200000}"/>
    <cellStyle name="Normal 43 2 2 3 3 3" xfId="4482" xr:uid="{00000000-0005-0000-0000-00000A200000}"/>
    <cellStyle name="Normal 43 2 2 3 3 3 2" xfId="15771" xr:uid="{00000000-0005-0000-0000-00000B200000}"/>
    <cellStyle name="Normal 43 2 2 3 3 4" xfId="15772" xr:uid="{00000000-0005-0000-0000-00000C200000}"/>
    <cellStyle name="Normal 43 2 2 3 4" xfId="4483" xr:uid="{00000000-0005-0000-0000-00000D200000}"/>
    <cellStyle name="Normal 43 2 2 3 4 2" xfId="15773" xr:uid="{00000000-0005-0000-0000-00000E200000}"/>
    <cellStyle name="Normal 43 2 2 3 5" xfId="4484" xr:uid="{00000000-0005-0000-0000-00000F200000}"/>
    <cellStyle name="Normal 43 2 2 3 5 2" xfId="15774" xr:uid="{00000000-0005-0000-0000-000010200000}"/>
    <cellStyle name="Normal 43 2 2 3 6" xfId="15775" xr:uid="{00000000-0005-0000-0000-000011200000}"/>
    <cellStyle name="Normal 43 2 2 4" xfId="4485" xr:uid="{00000000-0005-0000-0000-000012200000}"/>
    <cellStyle name="Normal 43 2 2 4 2" xfId="4486" xr:uid="{00000000-0005-0000-0000-000013200000}"/>
    <cellStyle name="Normal 43 2 2 4 2 2" xfId="15776" xr:uid="{00000000-0005-0000-0000-000014200000}"/>
    <cellStyle name="Normal 43 2 2 4 3" xfId="4487" xr:uid="{00000000-0005-0000-0000-000015200000}"/>
    <cellStyle name="Normal 43 2 2 4 3 2" xfId="15777" xr:uid="{00000000-0005-0000-0000-000016200000}"/>
    <cellStyle name="Normal 43 2 2 4 4" xfId="15778" xr:uid="{00000000-0005-0000-0000-000017200000}"/>
    <cellStyle name="Normal 43 2 2 5" xfId="4488" xr:uid="{00000000-0005-0000-0000-000018200000}"/>
    <cellStyle name="Normal 43 2 2 5 2" xfId="4489" xr:uid="{00000000-0005-0000-0000-000019200000}"/>
    <cellStyle name="Normal 43 2 2 5 2 2" xfId="15779" xr:uid="{00000000-0005-0000-0000-00001A200000}"/>
    <cellStyle name="Normal 43 2 2 5 3" xfId="4490" xr:uid="{00000000-0005-0000-0000-00001B200000}"/>
    <cellStyle name="Normal 43 2 2 5 3 2" xfId="15780" xr:uid="{00000000-0005-0000-0000-00001C200000}"/>
    <cellStyle name="Normal 43 2 2 5 4" xfId="15781" xr:uid="{00000000-0005-0000-0000-00001D200000}"/>
    <cellStyle name="Normal 43 2 2 6" xfId="4491" xr:uid="{00000000-0005-0000-0000-00001E200000}"/>
    <cellStyle name="Normal 43 2 2 6 2" xfId="15782" xr:uid="{00000000-0005-0000-0000-00001F200000}"/>
    <cellStyle name="Normal 43 2 2 7" xfId="4492" xr:uid="{00000000-0005-0000-0000-000020200000}"/>
    <cellStyle name="Normal 43 2 2 7 2" xfId="15783" xr:uid="{00000000-0005-0000-0000-000021200000}"/>
    <cellStyle name="Normal 43 2 2 8" xfId="12342" xr:uid="{00000000-0005-0000-0000-000022200000}"/>
    <cellStyle name="Normal 43 2 3" xfId="4493" xr:uid="{00000000-0005-0000-0000-000023200000}"/>
    <cellStyle name="Normal 43 2 3 2" xfId="4494" xr:uid="{00000000-0005-0000-0000-000024200000}"/>
    <cellStyle name="Normal 43 2 3 2 2" xfId="4495" xr:uid="{00000000-0005-0000-0000-000025200000}"/>
    <cellStyle name="Normal 43 2 3 2 2 2" xfId="15784" xr:uid="{00000000-0005-0000-0000-000026200000}"/>
    <cellStyle name="Normal 43 2 3 2 3" xfId="4496" xr:uid="{00000000-0005-0000-0000-000027200000}"/>
    <cellStyle name="Normal 43 2 3 2 3 2" xfId="15785" xr:uid="{00000000-0005-0000-0000-000028200000}"/>
    <cellStyle name="Normal 43 2 3 2 4" xfId="15786" xr:uid="{00000000-0005-0000-0000-000029200000}"/>
    <cellStyle name="Normal 43 2 3 3" xfId="4497" xr:uid="{00000000-0005-0000-0000-00002A200000}"/>
    <cellStyle name="Normal 43 2 3 3 2" xfId="4498" xr:uid="{00000000-0005-0000-0000-00002B200000}"/>
    <cellStyle name="Normal 43 2 3 3 2 2" xfId="15787" xr:uid="{00000000-0005-0000-0000-00002C200000}"/>
    <cellStyle name="Normal 43 2 3 3 3" xfId="4499" xr:uid="{00000000-0005-0000-0000-00002D200000}"/>
    <cellStyle name="Normal 43 2 3 3 3 2" xfId="15788" xr:uid="{00000000-0005-0000-0000-00002E200000}"/>
    <cellStyle name="Normal 43 2 3 3 4" xfId="15789" xr:uid="{00000000-0005-0000-0000-00002F200000}"/>
    <cellStyle name="Normal 43 2 3 4" xfId="4500" xr:uid="{00000000-0005-0000-0000-000030200000}"/>
    <cellStyle name="Normal 43 2 3 4 2" xfId="15790" xr:uid="{00000000-0005-0000-0000-000031200000}"/>
    <cellStyle name="Normal 43 2 3 5" xfId="4501" xr:uid="{00000000-0005-0000-0000-000032200000}"/>
    <cellStyle name="Normal 43 2 3 5 2" xfId="15791" xr:uid="{00000000-0005-0000-0000-000033200000}"/>
    <cellStyle name="Normal 43 2 3 6" xfId="15792" xr:uid="{00000000-0005-0000-0000-000034200000}"/>
    <cellStyle name="Normal 43 2 4" xfId="4502" xr:uid="{00000000-0005-0000-0000-000035200000}"/>
    <cellStyle name="Normal 43 2 4 2" xfId="4503" xr:uid="{00000000-0005-0000-0000-000036200000}"/>
    <cellStyle name="Normal 43 2 4 2 2" xfId="4504" xr:uid="{00000000-0005-0000-0000-000037200000}"/>
    <cellStyle name="Normal 43 2 4 2 2 2" xfId="15793" xr:uid="{00000000-0005-0000-0000-000038200000}"/>
    <cellStyle name="Normal 43 2 4 2 3" xfId="4505" xr:uid="{00000000-0005-0000-0000-000039200000}"/>
    <cellStyle name="Normal 43 2 4 2 3 2" xfId="15794" xr:uid="{00000000-0005-0000-0000-00003A200000}"/>
    <cellStyle name="Normal 43 2 4 2 4" xfId="15795" xr:uid="{00000000-0005-0000-0000-00003B200000}"/>
    <cellStyle name="Normal 43 2 4 3" xfId="4506" xr:uid="{00000000-0005-0000-0000-00003C200000}"/>
    <cellStyle name="Normal 43 2 4 3 2" xfId="4507" xr:uid="{00000000-0005-0000-0000-00003D200000}"/>
    <cellStyle name="Normal 43 2 4 3 2 2" xfId="15796" xr:uid="{00000000-0005-0000-0000-00003E200000}"/>
    <cellStyle name="Normal 43 2 4 3 3" xfId="4508" xr:uid="{00000000-0005-0000-0000-00003F200000}"/>
    <cellStyle name="Normal 43 2 4 3 3 2" xfId="15797" xr:uid="{00000000-0005-0000-0000-000040200000}"/>
    <cellStyle name="Normal 43 2 4 3 4" xfId="15798" xr:uid="{00000000-0005-0000-0000-000041200000}"/>
    <cellStyle name="Normal 43 2 4 4" xfId="4509" xr:uid="{00000000-0005-0000-0000-000042200000}"/>
    <cellStyle name="Normal 43 2 4 4 2" xfId="15799" xr:uid="{00000000-0005-0000-0000-000043200000}"/>
    <cellStyle name="Normal 43 2 4 5" xfId="4510" xr:uid="{00000000-0005-0000-0000-000044200000}"/>
    <cellStyle name="Normal 43 2 4 5 2" xfId="15800" xr:uid="{00000000-0005-0000-0000-000045200000}"/>
    <cellStyle name="Normal 43 2 4 6" xfId="15801" xr:uid="{00000000-0005-0000-0000-000046200000}"/>
    <cellStyle name="Normal 43 2 5" xfId="4511" xr:uid="{00000000-0005-0000-0000-000047200000}"/>
    <cellStyle name="Normal 43 2 5 2" xfId="4512" xr:uid="{00000000-0005-0000-0000-000048200000}"/>
    <cellStyle name="Normal 43 2 5 2 2" xfId="15802" xr:uid="{00000000-0005-0000-0000-000049200000}"/>
    <cellStyle name="Normal 43 2 5 3" xfId="4513" xr:uid="{00000000-0005-0000-0000-00004A200000}"/>
    <cellStyle name="Normal 43 2 5 3 2" xfId="15803" xr:uid="{00000000-0005-0000-0000-00004B200000}"/>
    <cellStyle name="Normal 43 2 5 4" xfId="15804" xr:uid="{00000000-0005-0000-0000-00004C200000}"/>
    <cellStyle name="Normal 43 2 6" xfId="4514" xr:uid="{00000000-0005-0000-0000-00004D200000}"/>
    <cellStyle name="Normal 43 2 6 2" xfId="4515" xr:uid="{00000000-0005-0000-0000-00004E200000}"/>
    <cellStyle name="Normal 43 2 6 2 2" xfId="15805" xr:uid="{00000000-0005-0000-0000-00004F200000}"/>
    <cellStyle name="Normal 43 2 6 3" xfId="4516" xr:uid="{00000000-0005-0000-0000-000050200000}"/>
    <cellStyle name="Normal 43 2 6 3 2" xfId="15806" xr:uid="{00000000-0005-0000-0000-000051200000}"/>
    <cellStyle name="Normal 43 2 6 4" xfId="15807" xr:uid="{00000000-0005-0000-0000-000052200000}"/>
    <cellStyle name="Normal 43 2 7" xfId="4517" xr:uid="{00000000-0005-0000-0000-000053200000}"/>
    <cellStyle name="Normal 43 2 7 2" xfId="15808" xr:uid="{00000000-0005-0000-0000-000054200000}"/>
    <cellStyle name="Normal 43 2 8" xfId="4518" xr:uid="{00000000-0005-0000-0000-000055200000}"/>
    <cellStyle name="Normal 43 2 8 2" xfId="15809" xr:uid="{00000000-0005-0000-0000-000056200000}"/>
    <cellStyle name="Normal 43 2 9" xfId="12341" xr:uid="{00000000-0005-0000-0000-000057200000}"/>
    <cellStyle name="Normal 43 20" xfId="11114" xr:uid="{00000000-0005-0000-0000-000058200000}"/>
    <cellStyle name="Normal 43 3" xfId="4519" xr:uid="{00000000-0005-0000-0000-000059200000}"/>
    <cellStyle name="Normal 43 3 2" xfId="4520" xr:uid="{00000000-0005-0000-0000-00005A200000}"/>
    <cellStyle name="Normal 43 3 2 2" xfId="4521" xr:uid="{00000000-0005-0000-0000-00005B200000}"/>
    <cellStyle name="Normal 43 3 2 2 2" xfId="4522" xr:uid="{00000000-0005-0000-0000-00005C200000}"/>
    <cellStyle name="Normal 43 3 2 2 2 2" xfId="15810" xr:uid="{00000000-0005-0000-0000-00005D200000}"/>
    <cellStyle name="Normal 43 3 2 2 3" xfId="4523" xr:uid="{00000000-0005-0000-0000-00005E200000}"/>
    <cellStyle name="Normal 43 3 2 2 3 2" xfId="15811" xr:uid="{00000000-0005-0000-0000-00005F200000}"/>
    <cellStyle name="Normal 43 3 2 2 4" xfId="15812" xr:uid="{00000000-0005-0000-0000-000060200000}"/>
    <cellStyle name="Normal 43 3 2 3" xfId="4524" xr:uid="{00000000-0005-0000-0000-000061200000}"/>
    <cellStyle name="Normal 43 3 2 3 2" xfId="4525" xr:uid="{00000000-0005-0000-0000-000062200000}"/>
    <cellStyle name="Normal 43 3 2 3 2 2" xfId="15813" xr:uid="{00000000-0005-0000-0000-000063200000}"/>
    <cellStyle name="Normal 43 3 2 3 3" xfId="4526" xr:uid="{00000000-0005-0000-0000-000064200000}"/>
    <cellStyle name="Normal 43 3 2 3 3 2" xfId="15814" xr:uid="{00000000-0005-0000-0000-000065200000}"/>
    <cellStyle name="Normal 43 3 2 3 4" xfId="15815" xr:uid="{00000000-0005-0000-0000-000066200000}"/>
    <cellStyle name="Normal 43 3 2 4" xfId="4527" xr:uid="{00000000-0005-0000-0000-000067200000}"/>
    <cellStyle name="Normal 43 3 2 4 2" xfId="15816" xr:uid="{00000000-0005-0000-0000-000068200000}"/>
    <cellStyle name="Normal 43 3 2 5" xfId="4528" xr:uid="{00000000-0005-0000-0000-000069200000}"/>
    <cellStyle name="Normal 43 3 2 5 2" xfId="15817" xr:uid="{00000000-0005-0000-0000-00006A200000}"/>
    <cellStyle name="Normal 43 3 2 6" xfId="12344" xr:uid="{00000000-0005-0000-0000-00006B200000}"/>
    <cellStyle name="Normal 43 3 3" xfId="4529" xr:uid="{00000000-0005-0000-0000-00006C200000}"/>
    <cellStyle name="Normal 43 3 3 2" xfId="4530" xr:uid="{00000000-0005-0000-0000-00006D200000}"/>
    <cellStyle name="Normal 43 3 3 2 2" xfId="4531" xr:uid="{00000000-0005-0000-0000-00006E200000}"/>
    <cellStyle name="Normal 43 3 3 2 2 2" xfId="15818" xr:uid="{00000000-0005-0000-0000-00006F200000}"/>
    <cellStyle name="Normal 43 3 3 2 3" xfId="4532" xr:uid="{00000000-0005-0000-0000-000070200000}"/>
    <cellStyle name="Normal 43 3 3 2 3 2" xfId="15819" xr:uid="{00000000-0005-0000-0000-000071200000}"/>
    <cellStyle name="Normal 43 3 3 2 4" xfId="15820" xr:uid="{00000000-0005-0000-0000-000072200000}"/>
    <cellStyle name="Normal 43 3 3 3" xfId="4533" xr:uid="{00000000-0005-0000-0000-000073200000}"/>
    <cellStyle name="Normal 43 3 3 3 2" xfId="4534" xr:uid="{00000000-0005-0000-0000-000074200000}"/>
    <cellStyle name="Normal 43 3 3 3 2 2" xfId="15821" xr:uid="{00000000-0005-0000-0000-000075200000}"/>
    <cellStyle name="Normal 43 3 3 3 3" xfId="4535" xr:uid="{00000000-0005-0000-0000-000076200000}"/>
    <cellStyle name="Normal 43 3 3 3 3 2" xfId="15822" xr:uid="{00000000-0005-0000-0000-000077200000}"/>
    <cellStyle name="Normal 43 3 3 3 4" xfId="15823" xr:uid="{00000000-0005-0000-0000-000078200000}"/>
    <cellStyle name="Normal 43 3 3 4" xfId="4536" xr:uid="{00000000-0005-0000-0000-000079200000}"/>
    <cellStyle name="Normal 43 3 3 4 2" xfId="15824" xr:uid="{00000000-0005-0000-0000-00007A200000}"/>
    <cellStyle name="Normal 43 3 3 5" xfId="4537" xr:uid="{00000000-0005-0000-0000-00007B200000}"/>
    <cellStyle name="Normal 43 3 3 5 2" xfId="15825" xr:uid="{00000000-0005-0000-0000-00007C200000}"/>
    <cellStyle name="Normal 43 3 3 6" xfId="15826" xr:uid="{00000000-0005-0000-0000-00007D200000}"/>
    <cellStyle name="Normal 43 3 4" xfId="4538" xr:uid="{00000000-0005-0000-0000-00007E200000}"/>
    <cellStyle name="Normal 43 3 4 2" xfId="4539" xr:uid="{00000000-0005-0000-0000-00007F200000}"/>
    <cellStyle name="Normal 43 3 4 2 2" xfId="15827" xr:uid="{00000000-0005-0000-0000-000080200000}"/>
    <cellStyle name="Normal 43 3 4 3" xfId="4540" xr:uid="{00000000-0005-0000-0000-000081200000}"/>
    <cellStyle name="Normal 43 3 4 3 2" xfId="15828" xr:uid="{00000000-0005-0000-0000-000082200000}"/>
    <cellStyle name="Normal 43 3 4 4" xfId="15829" xr:uid="{00000000-0005-0000-0000-000083200000}"/>
    <cellStyle name="Normal 43 3 5" xfId="4541" xr:uid="{00000000-0005-0000-0000-000084200000}"/>
    <cellStyle name="Normal 43 3 5 2" xfId="4542" xr:uid="{00000000-0005-0000-0000-000085200000}"/>
    <cellStyle name="Normal 43 3 5 2 2" xfId="15830" xr:uid="{00000000-0005-0000-0000-000086200000}"/>
    <cellStyle name="Normal 43 3 5 3" xfId="4543" xr:uid="{00000000-0005-0000-0000-000087200000}"/>
    <cellStyle name="Normal 43 3 5 3 2" xfId="15831" xr:uid="{00000000-0005-0000-0000-000088200000}"/>
    <cellStyle name="Normal 43 3 5 4" xfId="15832" xr:uid="{00000000-0005-0000-0000-000089200000}"/>
    <cellStyle name="Normal 43 3 6" xfId="4544" xr:uid="{00000000-0005-0000-0000-00008A200000}"/>
    <cellStyle name="Normal 43 3 6 2" xfId="15833" xr:uid="{00000000-0005-0000-0000-00008B200000}"/>
    <cellStyle name="Normal 43 3 7" xfId="4545" xr:uid="{00000000-0005-0000-0000-00008C200000}"/>
    <cellStyle name="Normal 43 3 7 2" xfId="15834" xr:uid="{00000000-0005-0000-0000-00008D200000}"/>
    <cellStyle name="Normal 43 3 8" xfId="12343" xr:uid="{00000000-0005-0000-0000-00008E200000}"/>
    <cellStyle name="Normal 43 4" xfId="4546" xr:uid="{00000000-0005-0000-0000-00008F200000}"/>
    <cellStyle name="Normal 43 4 2" xfId="4547" xr:uid="{00000000-0005-0000-0000-000090200000}"/>
    <cellStyle name="Normal 43 4 2 2" xfId="4548" xr:uid="{00000000-0005-0000-0000-000091200000}"/>
    <cellStyle name="Normal 43 4 2 2 2" xfId="4549" xr:uid="{00000000-0005-0000-0000-000092200000}"/>
    <cellStyle name="Normal 43 4 2 2 2 2" xfId="15835" xr:uid="{00000000-0005-0000-0000-000093200000}"/>
    <cellStyle name="Normal 43 4 2 2 3" xfId="4550" xr:uid="{00000000-0005-0000-0000-000094200000}"/>
    <cellStyle name="Normal 43 4 2 2 3 2" xfId="15836" xr:uid="{00000000-0005-0000-0000-000095200000}"/>
    <cellStyle name="Normal 43 4 2 2 4" xfId="15837" xr:uid="{00000000-0005-0000-0000-000096200000}"/>
    <cellStyle name="Normal 43 4 2 3" xfId="4551" xr:uid="{00000000-0005-0000-0000-000097200000}"/>
    <cellStyle name="Normal 43 4 2 3 2" xfId="4552" xr:uid="{00000000-0005-0000-0000-000098200000}"/>
    <cellStyle name="Normal 43 4 2 3 2 2" xfId="15838" xr:uid="{00000000-0005-0000-0000-000099200000}"/>
    <cellStyle name="Normal 43 4 2 3 3" xfId="4553" xr:uid="{00000000-0005-0000-0000-00009A200000}"/>
    <cellStyle name="Normal 43 4 2 3 3 2" xfId="15839" xr:uid="{00000000-0005-0000-0000-00009B200000}"/>
    <cellStyle name="Normal 43 4 2 3 4" xfId="15840" xr:uid="{00000000-0005-0000-0000-00009C200000}"/>
    <cellStyle name="Normal 43 4 2 4" xfId="4554" xr:uid="{00000000-0005-0000-0000-00009D200000}"/>
    <cellStyle name="Normal 43 4 2 4 2" xfId="15841" xr:uid="{00000000-0005-0000-0000-00009E200000}"/>
    <cellStyle name="Normal 43 4 2 5" xfId="4555" xr:uid="{00000000-0005-0000-0000-00009F200000}"/>
    <cellStyle name="Normal 43 4 2 5 2" xfId="15842" xr:uid="{00000000-0005-0000-0000-0000A0200000}"/>
    <cellStyle name="Normal 43 4 2 6" xfId="12346" xr:uid="{00000000-0005-0000-0000-0000A1200000}"/>
    <cellStyle name="Normal 43 4 3" xfId="4556" xr:uid="{00000000-0005-0000-0000-0000A2200000}"/>
    <cellStyle name="Normal 43 4 3 2" xfId="4557" xr:uid="{00000000-0005-0000-0000-0000A3200000}"/>
    <cellStyle name="Normal 43 4 3 2 2" xfId="4558" xr:uid="{00000000-0005-0000-0000-0000A4200000}"/>
    <cellStyle name="Normal 43 4 3 2 2 2" xfId="15843" xr:uid="{00000000-0005-0000-0000-0000A5200000}"/>
    <cellStyle name="Normal 43 4 3 2 3" xfId="4559" xr:uid="{00000000-0005-0000-0000-0000A6200000}"/>
    <cellStyle name="Normal 43 4 3 2 3 2" xfId="15844" xr:uid="{00000000-0005-0000-0000-0000A7200000}"/>
    <cellStyle name="Normal 43 4 3 2 4" xfId="15845" xr:uid="{00000000-0005-0000-0000-0000A8200000}"/>
    <cellStyle name="Normal 43 4 3 3" xfId="4560" xr:uid="{00000000-0005-0000-0000-0000A9200000}"/>
    <cellStyle name="Normal 43 4 3 3 2" xfId="4561" xr:uid="{00000000-0005-0000-0000-0000AA200000}"/>
    <cellStyle name="Normal 43 4 3 3 2 2" xfId="15846" xr:uid="{00000000-0005-0000-0000-0000AB200000}"/>
    <cellStyle name="Normal 43 4 3 3 3" xfId="4562" xr:uid="{00000000-0005-0000-0000-0000AC200000}"/>
    <cellStyle name="Normal 43 4 3 3 3 2" xfId="15847" xr:uid="{00000000-0005-0000-0000-0000AD200000}"/>
    <cellStyle name="Normal 43 4 3 3 4" xfId="15848" xr:uid="{00000000-0005-0000-0000-0000AE200000}"/>
    <cellStyle name="Normal 43 4 3 4" xfId="4563" xr:uid="{00000000-0005-0000-0000-0000AF200000}"/>
    <cellStyle name="Normal 43 4 3 4 2" xfId="15849" xr:uid="{00000000-0005-0000-0000-0000B0200000}"/>
    <cellStyle name="Normal 43 4 3 5" xfId="4564" xr:uid="{00000000-0005-0000-0000-0000B1200000}"/>
    <cellStyle name="Normal 43 4 3 5 2" xfId="15850" xr:uid="{00000000-0005-0000-0000-0000B2200000}"/>
    <cellStyle name="Normal 43 4 3 6" xfId="15851" xr:uid="{00000000-0005-0000-0000-0000B3200000}"/>
    <cellStyle name="Normal 43 4 4" xfId="4565" xr:uid="{00000000-0005-0000-0000-0000B4200000}"/>
    <cellStyle name="Normal 43 4 4 2" xfId="4566" xr:uid="{00000000-0005-0000-0000-0000B5200000}"/>
    <cellStyle name="Normal 43 4 4 2 2" xfId="15852" xr:uid="{00000000-0005-0000-0000-0000B6200000}"/>
    <cellStyle name="Normal 43 4 4 3" xfId="4567" xr:uid="{00000000-0005-0000-0000-0000B7200000}"/>
    <cellStyle name="Normal 43 4 4 3 2" xfId="15853" xr:uid="{00000000-0005-0000-0000-0000B8200000}"/>
    <cellStyle name="Normal 43 4 4 4" xfId="15854" xr:uid="{00000000-0005-0000-0000-0000B9200000}"/>
    <cellStyle name="Normal 43 4 5" xfId="4568" xr:uid="{00000000-0005-0000-0000-0000BA200000}"/>
    <cellStyle name="Normal 43 4 5 2" xfId="4569" xr:uid="{00000000-0005-0000-0000-0000BB200000}"/>
    <cellStyle name="Normal 43 4 5 2 2" xfId="15855" xr:uid="{00000000-0005-0000-0000-0000BC200000}"/>
    <cellStyle name="Normal 43 4 5 3" xfId="4570" xr:uid="{00000000-0005-0000-0000-0000BD200000}"/>
    <cellStyle name="Normal 43 4 5 3 2" xfId="15856" xr:uid="{00000000-0005-0000-0000-0000BE200000}"/>
    <cellStyle name="Normal 43 4 5 4" xfId="15857" xr:uid="{00000000-0005-0000-0000-0000BF200000}"/>
    <cellStyle name="Normal 43 4 6" xfId="4571" xr:uid="{00000000-0005-0000-0000-0000C0200000}"/>
    <cellStyle name="Normal 43 4 6 2" xfId="15858" xr:uid="{00000000-0005-0000-0000-0000C1200000}"/>
    <cellStyle name="Normal 43 4 7" xfId="4572" xr:uid="{00000000-0005-0000-0000-0000C2200000}"/>
    <cellStyle name="Normal 43 4 7 2" xfId="15859" xr:uid="{00000000-0005-0000-0000-0000C3200000}"/>
    <cellStyle name="Normal 43 4 8" xfId="12345" xr:uid="{00000000-0005-0000-0000-0000C4200000}"/>
    <cellStyle name="Normal 43 5" xfId="4573" xr:uid="{00000000-0005-0000-0000-0000C5200000}"/>
    <cellStyle name="Normal 43 5 2" xfId="11115" xr:uid="{00000000-0005-0000-0000-0000C6200000}"/>
    <cellStyle name="Normal 43 6" xfId="4574" xr:uid="{00000000-0005-0000-0000-0000C7200000}"/>
    <cellStyle name="Normal 43 6 2" xfId="4575" xr:uid="{00000000-0005-0000-0000-0000C8200000}"/>
    <cellStyle name="Normal 43 6 2 2" xfId="4576" xr:uid="{00000000-0005-0000-0000-0000C9200000}"/>
    <cellStyle name="Normal 43 6 2 2 2" xfId="15860" xr:uid="{00000000-0005-0000-0000-0000CA200000}"/>
    <cellStyle name="Normal 43 6 2 3" xfId="4577" xr:uid="{00000000-0005-0000-0000-0000CB200000}"/>
    <cellStyle name="Normal 43 6 2 3 2" xfId="15861" xr:uid="{00000000-0005-0000-0000-0000CC200000}"/>
    <cellStyle name="Normal 43 6 2 4" xfId="12348" xr:uid="{00000000-0005-0000-0000-0000CD200000}"/>
    <cellStyle name="Normal 43 6 3" xfId="4578" xr:uid="{00000000-0005-0000-0000-0000CE200000}"/>
    <cellStyle name="Normal 43 6 3 2" xfId="4579" xr:uid="{00000000-0005-0000-0000-0000CF200000}"/>
    <cellStyle name="Normal 43 6 3 2 2" xfId="15862" xr:uid="{00000000-0005-0000-0000-0000D0200000}"/>
    <cellStyle name="Normal 43 6 3 3" xfId="4580" xr:uid="{00000000-0005-0000-0000-0000D1200000}"/>
    <cellStyle name="Normal 43 6 3 3 2" xfId="15863" xr:uid="{00000000-0005-0000-0000-0000D2200000}"/>
    <cellStyle name="Normal 43 6 3 4" xfId="15864" xr:uid="{00000000-0005-0000-0000-0000D3200000}"/>
    <cellStyle name="Normal 43 6 4" xfId="4581" xr:uid="{00000000-0005-0000-0000-0000D4200000}"/>
    <cellStyle name="Normal 43 6 4 2" xfId="15865" xr:uid="{00000000-0005-0000-0000-0000D5200000}"/>
    <cellStyle name="Normal 43 6 5" xfId="4582" xr:uid="{00000000-0005-0000-0000-0000D6200000}"/>
    <cellStyle name="Normal 43 6 5 2" xfId="15866" xr:uid="{00000000-0005-0000-0000-0000D7200000}"/>
    <cellStyle name="Normal 43 6 6" xfId="12347" xr:uid="{00000000-0005-0000-0000-0000D8200000}"/>
    <cellStyle name="Normal 43 7" xfId="4583" xr:uid="{00000000-0005-0000-0000-0000D9200000}"/>
    <cellStyle name="Normal 43 7 2" xfId="4584" xr:uid="{00000000-0005-0000-0000-0000DA200000}"/>
    <cellStyle name="Normal 43 7 2 2" xfId="4585" xr:uid="{00000000-0005-0000-0000-0000DB200000}"/>
    <cellStyle name="Normal 43 7 2 2 2" xfId="15867" xr:uid="{00000000-0005-0000-0000-0000DC200000}"/>
    <cellStyle name="Normal 43 7 2 3" xfId="4586" xr:uid="{00000000-0005-0000-0000-0000DD200000}"/>
    <cellStyle name="Normal 43 7 2 3 2" xfId="15868" xr:uid="{00000000-0005-0000-0000-0000DE200000}"/>
    <cellStyle name="Normal 43 7 2 4" xfId="15869" xr:uid="{00000000-0005-0000-0000-0000DF200000}"/>
    <cellStyle name="Normal 43 7 3" xfId="4587" xr:uid="{00000000-0005-0000-0000-0000E0200000}"/>
    <cellStyle name="Normal 43 7 3 2" xfId="4588" xr:uid="{00000000-0005-0000-0000-0000E1200000}"/>
    <cellStyle name="Normal 43 7 3 2 2" xfId="15870" xr:uid="{00000000-0005-0000-0000-0000E2200000}"/>
    <cellStyle name="Normal 43 7 3 3" xfId="4589" xr:uid="{00000000-0005-0000-0000-0000E3200000}"/>
    <cellStyle name="Normal 43 7 3 3 2" xfId="15871" xr:uid="{00000000-0005-0000-0000-0000E4200000}"/>
    <cellStyle name="Normal 43 7 3 4" xfId="15872" xr:uid="{00000000-0005-0000-0000-0000E5200000}"/>
    <cellStyle name="Normal 43 7 4" xfId="4590" xr:uid="{00000000-0005-0000-0000-0000E6200000}"/>
    <cellStyle name="Normal 43 7 4 2" xfId="15873" xr:uid="{00000000-0005-0000-0000-0000E7200000}"/>
    <cellStyle name="Normal 43 7 5" xfId="4591" xr:uid="{00000000-0005-0000-0000-0000E8200000}"/>
    <cellStyle name="Normal 43 7 5 2" xfId="15874" xr:uid="{00000000-0005-0000-0000-0000E9200000}"/>
    <cellStyle name="Normal 43 7 6" xfId="12349" xr:uid="{00000000-0005-0000-0000-0000EA200000}"/>
    <cellStyle name="Normal 43 8" xfId="4592" xr:uid="{00000000-0005-0000-0000-0000EB200000}"/>
    <cellStyle name="Normal 43 8 2" xfId="4593" xr:uid="{00000000-0005-0000-0000-0000EC200000}"/>
    <cellStyle name="Normal 43 8 2 2" xfId="4594" xr:uid="{00000000-0005-0000-0000-0000ED200000}"/>
    <cellStyle name="Normal 43 8 2 2 2" xfId="15875" xr:uid="{00000000-0005-0000-0000-0000EE200000}"/>
    <cellStyle name="Normal 43 8 2 3" xfId="4595" xr:uid="{00000000-0005-0000-0000-0000EF200000}"/>
    <cellStyle name="Normal 43 8 2 3 2" xfId="15876" xr:uid="{00000000-0005-0000-0000-0000F0200000}"/>
    <cellStyle name="Normal 43 8 2 4" xfId="15877" xr:uid="{00000000-0005-0000-0000-0000F1200000}"/>
    <cellStyle name="Normal 43 8 3" xfId="4596" xr:uid="{00000000-0005-0000-0000-0000F2200000}"/>
    <cellStyle name="Normal 43 8 3 2" xfId="4597" xr:uid="{00000000-0005-0000-0000-0000F3200000}"/>
    <cellStyle name="Normal 43 8 3 2 2" xfId="15878" xr:uid="{00000000-0005-0000-0000-0000F4200000}"/>
    <cellStyle name="Normal 43 8 3 3" xfId="4598" xr:uid="{00000000-0005-0000-0000-0000F5200000}"/>
    <cellStyle name="Normal 43 8 3 3 2" xfId="15879" xr:uid="{00000000-0005-0000-0000-0000F6200000}"/>
    <cellStyle name="Normal 43 8 3 4" xfId="15880" xr:uid="{00000000-0005-0000-0000-0000F7200000}"/>
    <cellStyle name="Normal 43 8 4" xfId="4599" xr:uid="{00000000-0005-0000-0000-0000F8200000}"/>
    <cellStyle name="Normal 43 8 4 2" xfId="15881" xr:uid="{00000000-0005-0000-0000-0000F9200000}"/>
    <cellStyle name="Normal 43 8 5" xfId="4600" xr:uid="{00000000-0005-0000-0000-0000FA200000}"/>
    <cellStyle name="Normal 43 8 5 2" xfId="15882" xr:uid="{00000000-0005-0000-0000-0000FB200000}"/>
    <cellStyle name="Normal 43 8 6" xfId="12350" xr:uid="{00000000-0005-0000-0000-0000FC200000}"/>
    <cellStyle name="Normal 43 9" xfId="4601" xr:uid="{00000000-0005-0000-0000-0000FD200000}"/>
    <cellStyle name="Normal 43 9 2" xfId="4602" xr:uid="{00000000-0005-0000-0000-0000FE200000}"/>
    <cellStyle name="Normal 43 9 2 2" xfId="15883" xr:uid="{00000000-0005-0000-0000-0000FF200000}"/>
    <cellStyle name="Normal 43 9 3" xfId="4603" xr:uid="{00000000-0005-0000-0000-000000210000}"/>
    <cellStyle name="Normal 43 9 3 2" xfId="15884" xr:uid="{00000000-0005-0000-0000-000001210000}"/>
    <cellStyle name="Normal 43 9 4" xfId="12351" xr:uid="{00000000-0005-0000-0000-000002210000}"/>
    <cellStyle name="Normal 430" xfId="4604" xr:uid="{00000000-0005-0000-0000-000003210000}"/>
    <cellStyle name="Normal 431" xfId="4605" xr:uid="{00000000-0005-0000-0000-000004210000}"/>
    <cellStyle name="Normal 432" xfId="4606" xr:uid="{00000000-0005-0000-0000-000005210000}"/>
    <cellStyle name="Normal 433" xfId="4607" xr:uid="{00000000-0005-0000-0000-000006210000}"/>
    <cellStyle name="Normal 434" xfId="4608" xr:uid="{00000000-0005-0000-0000-000007210000}"/>
    <cellStyle name="Normal 435" xfId="4609" xr:uid="{00000000-0005-0000-0000-000008210000}"/>
    <cellStyle name="Normal 436" xfId="4610" xr:uid="{00000000-0005-0000-0000-000009210000}"/>
    <cellStyle name="Normal 437" xfId="4611" xr:uid="{00000000-0005-0000-0000-00000A210000}"/>
    <cellStyle name="Normal 438" xfId="4612" xr:uid="{00000000-0005-0000-0000-00000B210000}"/>
    <cellStyle name="Normal 439" xfId="4613" xr:uid="{00000000-0005-0000-0000-00000C210000}"/>
    <cellStyle name="Normal 44" xfId="4614" xr:uid="{00000000-0005-0000-0000-00000D210000}"/>
    <cellStyle name="Normal 44 10" xfId="4615" xr:uid="{00000000-0005-0000-0000-00000E210000}"/>
    <cellStyle name="Normal 44 10 2" xfId="4616" xr:uid="{00000000-0005-0000-0000-00000F210000}"/>
    <cellStyle name="Normal 44 10 2 2" xfId="15885" xr:uid="{00000000-0005-0000-0000-000010210000}"/>
    <cellStyle name="Normal 44 10 3" xfId="4617" xr:uid="{00000000-0005-0000-0000-000011210000}"/>
    <cellStyle name="Normal 44 10 3 2" xfId="15886" xr:uid="{00000000-0005-0000-0000-000012210000}"/>
    <cellStyle name="Normal 44 10 4" xfId="12352" xr:uid="{00000000-0005-0000-0000-000013210000}"/>
    <cellStyle name="Normal 44 11" xfId="4618" xr:uid="{00000000-0005-0000-0000-000014210000}"/>
    <cellStyle name="Normal 44 11 2" xfId="12353" xr:uid="{00000000-0005-0000-0000-000015210000}"/>
    <cellStyle name="Normal 44 12" xfId="4619" xr:uid="{00000000-0005-0000-0000-000016210000}"/>
    <cellStyle name="Normal 44 12 2" xfId="12354" xr:uid="{00000000-0005-0000-0000-000017210000}"/>
    <cellStyle name="Normal 44 13" xfId="11116" xr:uid="{00000000-0005-0000-0000-000018210000}"/>
    <cellStyle name="Normal 44 14" xfId="11117" xr:uid="{00000000-0005-0000-0000-000019210000}"/>
    <cellStyle name="Normal 44 15" xfId="11118" xr:uid="{00000000-0005-0000-0000-00001A210000}"/>
    <cellStyle name="Normal 44 16" xfId="11119" xr:uid="{00000000-0005-0000-0000-00001B210000}"/>
    <cellStyle name="Normal 44 17" xfId="11120" xr:uid="{00000000-0005-0000-0000-00001C210000}"/>
    <cellStyle name="Normal 44 18" xfId="11121" xr:uid="{00000000-0005-0000-0000-00001D210000}"/>
    <cellStyle name="Normal 44 19" xfId="11122" xr:uid="{00000000-0005-0000-0000-00001E210000}"/>
    <cellStyle name="Normal 44 2" xfId="4620" xr:uid="{00000000-0005-0000-0000-00001F210000}"/>
    <cellStyle name="Normal 44 2 2" xfId="4621" xr:uid="{00000000-0005-0000-0000-000020210000}"/>
    <cellStyle name="Normal 44 2 2 2" xfId="4622" xr:uid="{00000000-0005-0000-0000-000021210000}"/>
    <cellStyle name="Normal 44 2 2 2 2" xfId="4623" xr:uid="{00000000-0005-0000-0000-000022210000}"/>
    <cellStyle name="Normal 44 2 2 2 2 2" xfId="4624" xr:uid="{00000000-0005-0000-0000-000023210000}"/>
    <cellStyle name="Normal 44 2 2 2 2 2 2" xfId="15887" xr:uid="{00000000-0005-0000-0000-000024210000}"/>
    <cellStyle name="Normal 44 2 2 2 2 3" xfId="4625" xr:uid="{00000000-0005-0000-0000-000025210000}"/>
    <cellStyle name="Normal 44 2 2 2 2 3 2" xfId="15888" xr:uid="{00000000-0005-0000-0000-000026210000}"/>
    <cellStyle name="Normal 44 2 2 2 2 4" xfId="15889" xr:uid="{00000000-0005-0000-0000-000027210000}"/>
    <cellStyle name="Normal 44 2 2 2 3" xfId="4626" xr:uid="{00000000-0005-0000-0000-000028210000}"/>
    <cellStyle name="Normal 44 2 2 2 3 2" xfId="4627" xr:uid="{00000000-0005-0000-0000-000029210000}"/>
    <cellStyle name="Normal 44 2 2 2 3 2 2" xfId="15890" xr:uid="{00000000-0005-0000-0000-00002A210000}"/>
    <cellStyle name="Normal 44 2 2 2 3 3" xfId="4628" xr:uid="{00000000-0005-0000-0000-00002B210000}"/>
    <cellStyle name="Normal 44 2 2 2 3 3 2" xfId="15891" xr:uid="{00000000-0005-0000-0000-00002C210000}"/>
    <cellStyle name="Normal 44 2 2 2 3 4" xfId="15892" xr:uid="{00000000-0005-0000-0000-00002D210000}"/>
    <cellStyle name="Normal 44 2 2 2 4" xfId="4629" xr:uid="{00000000-0005-0000-0000-00002E210000}"/>
    <cellStyle name="Normal 44 2 2 2 4 2" xfId="15893" xr:uid="{00000000-0005-0000-0000-00002F210000}"/>
    <cellStyle name="Normal 44 2 2 2 5" xfId="4630" xr:uid="{00000000-0005-0000-0000-000030210000}"/>
    <cellStyle name="Normal 44 2 2 2 5 2" xfId="15894" xr:uid="{00000000-0005-0000-0000-000031210000}"/>
    <cellStyle name="Normal 44 2 2 2 6" xfId="15895" xr:uid="{00000000-0005-0000-0000-000032210000}"/>
    <cellStyle name="Normal 44 2 2 3" xfId="4631" xr:uid="{00000000-0005-0000-0000-000033210000}"/>
    <cellStyle name="Normal 44 2 2 3 2" xfId="4632" xr:uid="{00000000-0005-0000-0000-000034210000}"/>
    <cellStyle name="Normal 44 2 2 3 2 2" xfId="4633" xr:uid="{00000000-0005-0000-0000-000035210000}"/>
    <cellStyle name="Normal 44 2 2 3 2 2 2" xfId="15896" xr:uid="{00000000-0005-0000-0000-000036210000}"/>
    <cellStyle name="Normal 44 2 2 3 2 3" xfId="4634" xr:uid="{00000000-0005-0000-0000-000037210000}"/>
    <cellStyle name="Normal 44 2 2 3 2 3 2" xfId="15897" xr:uid="{00000000-0005-0000-0000-000038210000}"/>
    <cellStyle name="Normal 44 2 2 3 2 4" xfId="15898" xr:uid="{00000000-0005-0000-0000-000039210000}"/>
    <cellStyle name="Normal 44 2 2 3 3" xfId="4635" xr:uid="{00000000-0005-0000-0000-00003A210000}"/>
    <cellStyle name="Normal 44 2 2 3 3 2" xfId="4636" xr:uid="{00000000-0005-0000-0000-00003B210000}"/>
    <cellStyle name="Normal 44 2 2 3 3 2 2" xfId="15899" xr:uid="{00000000-0005-0000-0000-00003C210000}"/>
    <cellStyle name="Normal 44 2 2 3 3 3" xfId="4637" xr:uid="{00000000-0005-0000-0000-00003D210000}"/>
    <cellStyle name="Normal 44 2 2 3 3 3 2" xfId="15900" xr:uid="{00000000-0005-0000-0000-00003E210000}"/>
    <cellStyle name="Normal 44 2 2 3 3 4" xfId="15901" xr:uid="{00000000-0005-0000-0000-00003F210000}"/>
    <cellStyle name="Normal 44 2 2 3 4" xfId="4638" xr:uid="{00000000-0005-0000-0000-000040210000}"/>
    <cellStyle name="Normal 44 2 2 3 4 2" xfId="15902" xr:uid="{00000000-0005-0000-0000-000041210000}"/>
    <cellStyle name="Normal 44 2 2 3 5" xfId="4639" xr:uid="{00000000-0005-0000-0000-000042210000}"/>
    <cellStyle name="Normal 44 2 2 3 5 2" xfId="15903" xr:uid="{00000000-0005-0000-0000-000043210000}"/>
    <cellStyle name="Normal 44 2 2 3 6" xfId="15904" xr:uid="{00000000-0005-0000-0000-000044210000}"/>
    <cellStyle name="Normal 44 2 2 4" xfId="4640" xr:uid="{00000000-0005-0000-0000-000045210000}"/>
    <cellStyle name="Normal 44 2 2 4 2" xfId="4641" xr:uid="{00000000-0005-0000-0000-000046210000}"/>
    <cellStyle name="Normal 44 2 2 4 2 2" xfId="15905" xr:uid="{00000000-0005-0000-0000-000047210000}"/>
    <cellStyle name="Normal 44 2 2 4 3" xfId="4642" xr:uid="{00000000-0005-0000-0000-000048210000}"/>
    <cellStyle name="Normal 44 2 2 4 3 2" xfId="15906" xr:uid="{00000000-0005-0000-0000-000049210000}"/>
    <cellStyle name="Normal 44 2 2 4 4" xfId="15907" xr:uid="{00000000-0005-0000-0000-00004A210000}"/>
    <cellStyle name="Normal 44 2 2 5" xfId="4643" xr:uid="{00000000-0005-0000-0000-00004B210000}"/>
    <cellStyle name="Normal 44 2 2 5 2" xfId="4644" xr:uid="{00000000-0005-0000-0000-00004C210000}"/>
    <cellStyle name="Normal 44 2 2 5 2 2" xfId="15908" xr:uid="{00000000-0005-0000-0000-00004D210000}"/>
    <cellStyle name="Normal 44 2 2 5 3" xfId="4645" xr:uid="{00000000-0005-0000-0000-00004E210000}"/>
    <cellStyle name="Normal 44 2 2 5 3 2" xfId="15909" xr:uid="{00000000-0005-0000-0000-00004F210000}"/>
    <cellStyle name="Normal 44 2 2 5 4" xfId="15910" xr:uid="{00000000-0005-0000-0000-000050210000}"/>
    <cellStyle name="Normal 44 2 2 6" xfId="4646" xr:uid="{00000000-0005-0000-0000-000051210000}"/>
    <cellStyle name="Normal 44 2 2 6 2" xfId="15911" xr:uid="{00000000-0005-0000-0000-000052210000}"/>
    <cellStyle name="Normal 44 2 2 7" xfId="4647" xr:uid="{00000000-0005-0000-0000-000053210000}"/>
    <cellStyle name="Normal 44 2 2 7 2" xfId="15912" xr:uid="{00000000-0005-0000-0000-000054210000}"/>
    <cellStyle name="Normal 44 2 2 8" xfId="12356" xr:uid="{00000000-0005-0000-0000-000055210000}"/>
    <cellStyle name="Normal 44 2 3" xfId="4648" xr:uid="{00000000-0005-0000-0000-000056210000}"/>
    <cellStyle name="Normal 44 2 3 2" xfId="4649" xr:uid="{00000000-0005-0000-0000-000057210000}"/>
    <cellStyle name="Normal 44 2 3 2 2" xfId="4650" xr:uid="{00000000-0005-0000-0000-000058210000}"/>
    <cellStyle name="Normal 44 2 3 2 2 2" xfId="15913" xr:uid="{00000000-0005-0000-0000-000059210000}"/>
    <cellStyle name="Normal 44 2 3 2 3" xfId="4651" xr:uid="{00000000-0005-0000-0000-00005A210000}"/>
    <cellStyle name="Normal 44 2 3 2 3 2" xfId="15914" xr:uid="{00000000-0005-0000-0000-00005B210000}"/>
    <cellStyle name="Normal 44 2 3 2 4" xfId="15915" xr:uid="{00000000-0005-0000-0000-00005C210000}"/>
    <cellStyle name="Normal 44 2 3 3" xfId="4652" xr:uid="{00000000-0005-0000-0000-00005D210000}"/>
    <cellStyle name="Normal 44 2 3 3 2" xfId="4653" xr:uid="{00000000-0005-0000-0000-00005E210000}"/>
    <cellStyle name="Normal 44 2 3 3 2 2" xfId="15916" xr:uid="{00000000-0005-0000-0000-00005F210000}"/>
    <cellStyle name="Normal 44 2 3 3 3" xfId="4654" xr:uid="{00000000-0005-0000-0000-000060210000}"/>
    <cellStyle name="Normal 44 2 3 3 3 2" xfId="15917" xr:uid="{00000000-0005-0000-0000-000061210000}"/>
    <cellStyle name="Normal 44 2 3 3 4" xfId="15918" xr:uid="{00000000-0005-0000-0000-000062210000}"/>
    <cellStyle name="Normal 44 2 3 4" xfId="4655" xr:uid="{00000000-0005-0000-0000-000063210000}"/>
    <cellStyle name="Normal 44 2 3 4 2" xfId="15919" xr:uid="{00000000-0005-0000-0000-000064210000}"/>
    <cellStyle name="Normal 44 2 3 5" xfId="4656" xr:uid="{00000000-0005-0000-0000-000065210000}"/>
    <cellStyle name="Normal 44 2 3 5 2" xfId="15920" xr:uid="{00000000-0005-0000-0000-000066210000}"/>
    <cellStyle name="Normal 44 2 3 6" xfId="15921" xr:uid="{00000000-0005-0000-0000-000067210000}"/>
    <cellStyle name="Normal 44 2 4" xfId="4657" xr:uid="{00000000-0005-0000-0000-000068210000}"/>
    <cellStyle name="Normal 44 2 4 2" xfId="4658" xr:uid="{00000000-0005-0000-0000-000069210000}"/>
    <cellStyle name="Normal 44 2 4 2 2" xfId="4659" xr:uid="{00000000-0005-0000-0000-00006A210000}"/>
    <cellStyle name="Normal 44 2 4 2 2 2" xfId="15922" xr:uid="{00000000-0005-0000-0000-00006B210000}"/>
    <cellStyle name="Normal 44 2 4 2 3" xfId="4660" xr:uid="{00000000-0005-0000-0000-00006C210000}"/>
    <cellStyle name="Normal 44 2 4 2 3 2" xfId="15923" xr:uid="{00000000-0005-0000-0000-00006D210000}"/>
    <cellStyle name="Normal 44 2 4 2 4" xfId="15924" xr:uid="{00000000-0005-0000-0000-00006E210000}"/>
    <cellStyle name="Normal 44 2 4 3" xfId="4661" xr:uid="{00000000-0005-0000-0000-00006F210000}"/>
    <cellStyle name="Normal 44 2 4 3 2" xfId="4662" xr:uid="{00000000-0005-0000-0000-000070210000}"/>
    <cellStyle name="Normal 44 2 4 3 2 2" xfId="15925" xr:uid="{00000000-0005-0000-0000-000071210000}"/>
    <cellStyle name="Normal 44 2 4 3 3" xfId="4663" xr:uid="{00000000-0005-0000-0000-000072210000}"/>
    <cellStyle name="Normal 44 2 4 3 3 2" xfId="15926" xr:uid="{00000000-0005-0000-0000-000073210000}"/>
    <cellStyle name="Normal 44 2 4 3 4" xfId="15927" xr:uid="{00000000-0005-0000-0000-000074210000}"/>
    <cellStyle name="Normal 44 2 4 4" xfId="4664" xr:uid="{00000000-0005-0000-0000-000075210000}"/>
    <cellStyle name="Normal 44 2 4 4 2" xfId="15928" xr:uid="{00000000-0005-0000-0000-000076210000}"/>
    <cellStyle name="Normal 44 2 4 5" xfId="4665" xr:uid="{00000000-0005-0000-0000-000077210000}"/>
    <cellStyle name="Normal 44 2 4 5 2" xfId="15929" xr:uid="{00000000-0005-0000-0000-000078210000}"/>
    <cellStyle name="Normal 44 2 4 6" xfId="15930" xr:uid="{00000000-0005-0000-0000-000079210000}"/>
    <cellStyle name="Normal 44 2 5" xfId="4666" xr:uid="{00000000-0005-0000-0000-00007A210000}"/>
    <cellStyle name="Normal 44 2 5 2" xfId="4667" xr:uid="{00000000-0005-0000-0000-00007B210000}"/>
    <cellStyle name="Normal 44 2 5 2 2" xfId="15931" xr:uid="{00000000-0005-0000-0000-00007C210000}"/>
    <cellStyle name="Normal 44 2 5 3" xfId="4668" xr:uid="{00000000-0005-0000-0000-00007D210000}"/>
    <cellStyle name="Normal 44 2 5 3 2" xfId="15932" xr:uid="{00000000-0005-0000-0000-00007E210000}"/>
    <cellStyle name="Normal 44 2 5 4" xfId="15933" xr:uid="{00000000-0005-0000-0000-00007F210000}"/>
    <cellStyle name="Normal 44 2 6" xfId="4669" xr:uid="{00000000-0005-0000-0000-000080210000}"/>
    <cellStyle name="Normal 44 2 6 2" xfId="4670" xr:uid="{00000000-0005-0000-0000-000081210000}"/>
    <cellStyle name="Normal 44 2 6 2 2" xfId="15934" xr:uid="{00000000-0005-0000-0000-000082210000}"/>
    <cellStyle name="Normal 44 2 6 3" xfId="4671" xr:uid="{00000000-0005-0000-0000-000083210000}"/>
    <cellStyle name="Normal 44 2 6 3 2" xfId="15935" xr:uid="{00000000-0005-0000-0000-000084210000}"/>
    <cellStyle name="Normal 44 2 6 4" xfId="15936" xr:uid="{00000000-0005-0000-0000-000085210000}"/>
    <cellStyle name="Normal 44 2 7" xfId="4672" xr:uid="{00000000-0005-0000-0000-000086210000}"/>
    <cellStyle name="Normal 44 2 7 2" xfId="15937" xr:uid="{00000000-0005-0000-0000-000087210000}"/>
    <cellStyle name="Normal 44 2 8" xfId="4673" xr:uid="{00000000-0005-0000-0000-000088210000}"/>
    <cellStyle name="Normal 44 2 8 2" xfId="15938" xr:uid="{00000000-0005-0000-0000-000089210000}"/>
    <cellStyle name="Normal 44 2 9" xfId="12355" xr:uid="{00000000-0005-0000-0000-00008A210000}"/>
    <cellStyle name="Normal 44 20" xfId="11123" xr:uid="{00000000-0005-0000-0000-00008B210000}"/>
    <cellStyle name="Normal 44 3" xfId="4674" xr:uid="{00000000-0005-0000-0000-00008C210000}"/>
    <cellStyle name="Normal 44 3 2" xfId="4675" xr:uid="{00000000-0005-0000-0000-00008D210000}"/>
    <cellStyle name="Normal 44 3 2 2" xfId="4676" xr:uid="{00000000-0005-0000-0000-00008E210000}"/>
    <cellStyle name="Normal 44 3 2 2 2" xfId="4677" xr:uid="{00000000-0005-0000-0000-00008F210000}"/>
    <cellStyle name="Normal 44 3 2 2 2 2" xfId="15939" xr:uid="{00000000-0005-0000-0000-000090210000}"/>
    <cellStyle name="Normal 44 3 2 2 3" xfId="4678" xr:uid="{00000000-0005-0000-0000-000091210000}"/>
    <cellStyle name="Normal 44 3 2 2 3 2" xfId="15940" xr:uid="{00000000-0005-0000-0000-000092210000}"/>
    <cellStyle name="Normal 44 3 2 2 4" xfId="15941" xr:uid="{00000000-0005-0000-0000-000093210000}"/>
    <cellStyle name="Normal 44 3 2 3" xfId="4679" xr:uid="{00000000-0005-0000-0000-000094210000}"/>
    <cellStyle name="Normal 44 3 2 3 2" xfId="4680" xr:uid="{00000000-0005-0000-0000-000095210000}"/>
    <cellStyle name="Normal 44 3 2 3 2 2" xfId="15942" xr:uid="{00000000-0005-0000-0000-000096210000}"/>
    <cellStyle name="Normal 44 3 2 3 3" xfId="4681" xr:uid="{00000000-0005-0000-0000-000097210000}"/>
    <cellStyle name="Normal 44 3 2 3 3 2" xfId="15943" xr:uid="{00000000-0005-0000-0000-000098210000}"/>
    <cellStyle name="Normal 44 3 2 3 4" xfId="15944" xr:uid="{00000000-0005-0000-0000-000099210000}"/>
    <cellStyle name="Normal 44 3 2 4" xfId="4682" xr:uid="{00000000-0005-0000-0000-00009A210000}"/>
    <cellStyle name="Normal 44 3 2 4 2" xfId="15945" xr:uid="{00000000-0005-0000-0000-00009B210000}"/>
    <cellStyle name="Normal 44 3 2 5" xfId="4683" xr:uid="{00000000-0005-0000-0000-00009C210000}"/>
    <cellStyle name="Normal 44 3 2 5 2" xfId="15946" xr:uid="{00000000-0005-0000-0000-00009D210000}"/>
    <cellStyle name="Normal 44 3 2 6" xfId="12358" xr:uid="{00000000-0005-0000-0000-00009E210000}"/>
    <cellStyle name="Normal 44 3 3" xfId="4684" xr:uid="{00000000-0005-0000-0000-00009F210000}"/>
    <cellStyle name="Normal 44 3 3 2" xfId="4685" xr:uid="{00000000-0005-0000-0000-0000A0210000}"/>
    <cellStyle name="Normal 44 3 3 2 2" xfId="4686" xr:uid="{00000000-0005-0000-0000-0000A1210000}"/>
    <cellStyle name="Normal 44 3 3 2 2 2" xfId="15947" xr:uid="{00000000-0005-0000-0000-0000A2210000}"/>
    <cellStyle name="Normal 44 3 3 2 3" xfId="4687" xr:uid="{00000000-0005-0000-0000-0000A3210000}"/>
    <cellStyle name="Normal 44 3 3 2 3 2" xfId="15948" xr:uid="{00000000-0005-0000-0000-0000A4210000}"/>
    <cellStyle name="Normal 44 3 3 2 4" xfId="15949" xr:uid="{00000000-0005-0000-0000-0000A5210000}"/>
    <cellStyle name="Normal 44 3 3 3" xfId="4688" xr:uid="{00000000-0005-0000-0000-0000A6210000}"/>
    <cellStyle name="Normal 44 3 3 3 2" xfId="4689" xr:uid="{00000000-0005-0000-0000-0000A7210000}"/>
    <cellStyle name="Normal 44 3 3 3 2 2" xfId="15950" xr:uid="{00000000-0005-0000-0000-0000A8210000}"/>
    <cellStyle name="Normal 44 3 3 3 3" xfId="4690" xr:uid="{00000000-0005-0000-0000-0000A9210000}"/>
    <cellStyle name="Normal 44 3 3 3 3 2" xfId="15951" xr:uid="{00000000-0005-0000-0000-0000AA210000}"/>
    <cellStyle name="Normal 44 3 3 3 4" xfId="15952" xr:uid="{00000000-0005-0000-0000-0000AB210000}"/>
    <cellStyle name="Normal 44 3 3 4" xfId="4691" xr:uid="{00000000-0005-0000-0000-0000AC210000}"/>
    <cellStyle name="Normal 44 3 3 4 2" xfId="15953" xr:uid="{00000000-0005-0000-0000-0000AD210000}"/>
    <cellStyle name="Normal 44 3 3 5" xfId="4692" xr:uid="{00000000-0005-0000-0000-0000AE210000}"/>
    <cellStyle name="Normal 44 3 3 5 2" xfId="15954" xr:uid="{00000000-0005-0000-0000-0000AF210000}"/>
    <cellStyle name="Normal 44 3 3 6" xfId="15955" xr:uid="{00000000-0005-0000-0000-0000B0210000}"/>
    <cellStyle name="Normal 44 3 4" xfId="4693" xr:uid="{00000000-0005-0000-0000-0000B1210000}"/>
    <cellStyle name="Normal 44 3 4 2" xfId="4694" xr:uid="{00000000-0005-0000-0000-0000B2210000}"/>
    <cellStyle name="Normal 44 3 4 2 2" xfId="15956" xr:uid="{00000000-0005-0000-0000-0000B3210000}"/>
    <cellStyle name="Normal 44 3 4 3" xfId="4695" xr:uid="{00000000-0005-0000-0000-0000B4210000}"/>
    <cellStyle name="Normal 44 3 4 3 2" xfId="15957" xr:uid="{00000000-0005-0000-0000-0000B5210000}"/>
    <cellStyle name="Normal 44 3 4 4" xfId="15958" xr:uid="{00000000-0005-0000-0000-0000B6210000}"/>
    <cellStyle name="Normal 44 3 5" xfId="4696" xr:uid="{00000000-0005-0000-0000-0000B7210000}"/>
    <cellStyle name="Normal 44 3 5 2" xfId="4697" xr:uid="{00000000-0005-0000-0000-0000B8210000}"/>
    <cellStyle name="Normal 44 3 5 2 2" xfId="15959" xr:uid="{00000000-0005-0000-0000-0000B9210000}"/>
    <cellStyle name="Normal 44 3 5 3" xfId="4698" xr:uid="{00000000-0005-0000-0000-0000BA210000}"/>
    <cellStyle name="Normal 44 3 5 3 2" xfId="15960" xr:uid="{00000000-0005-0000-0000-0000BB210000}"/>
    <cellStyle name="Normal 44 3 5 4" xfId="15961" xr:uid="{00000000-0005-0000-0000-0000BC210000}"/>
    <cellStyle name="Normal 44 3 6" xfId="4699" xr:uid="{00000000-0005-0000-0000-0000BD210000}"/>
    <cellStyle name="Normal 44 3 6 2" xfId="15962" xr:uid="{00000000-0005-0000-0000-0000BE210000}"/>
    <cellStyle name="Normal 44 3 7" xfId="4700" xr:uid="{00000000-0005-0000-0000-0000BF210000}"/>
    <cellStyle name="Normal 44 3 7 2" xfId="15963" xr:uid="{00000000-0005-0000-0000-0000C0210000}"/>
    <cellStyle name="Normal 44 3 8" xfId="12357" xr:uid="{00000000-0005-0000-0000-0000C1210000}"/>
    <cellStyle name="Normal 44 4" xfId="4701" xr:uid="{00000000-0005-0000-0000-0000C2210000}"/>
    <cellStyle name="Normal 44 4 2" xfId="4702" xr:uid="{00000000-0005-0000-0000-0000C3210000}"/>
    <cellStyle name="Normal 44 4 2 2" xfId="4703" xr:uid="{00000000-0005-0000-0000-0000C4210000}"/>
    <cellStyle name="Normal 44 4 2 2 2" xfId="4704" xr:uid="{00000000-0005-0000-0000-0000C5210000}"/>
    <cellStyle name="Normal 44 4 2 2 2 2" xfId="15964" xr:uid="{00000000-0005-0000-0000-0000C6210000}"/>
    <cellStyle name="Normal 44 4 2 2 3" xfId="4705" xr:uid="{00000000-0005-0000-0000-0000C7210000}"/>
    <cellStyle name="Normal 44 4 2 2 3 2" xfId="15965" xr:uid="{00000000-0005-0000-0000-0000C8210000}"/>
    <cellStyle name="Normal 44 4 2 2 4" xfId="15966" xr:uid="{00000000-0005-0000-0000-0000C9210000}"/>
    <cellStyle name="Normal 44 4 2 3" xfId="4706" xr:uid="{00000000-0005-0000-0000-0000CA210000}"/>
    <cellStyle name="Normal 44 4 2 3 2" xfId="4707" xr:uid="{00000000-0005-0000-0000-0000CB210000}"/>
    <cellStyle name="Normal 44 4 2 3 2 2" xfId="15967" xr:uid="{00000000-0005-0000-0000-0000CC210000}"/>
    <cellStyle name="Normal 44 4 2 3 3" xfId="4708" xr:uid="{00000000-0005-0000-0000-0000CD210000}"/>
    <cellStyle name="Normal 44 4 2 3 3 2" xfId="15968" xr:uid="{00000000-0005-0000-0000-0000CE210000}"/>
    <cellStyle name="Normal 44 4 2 3 4" xfId="15969" xr:uid="{00000000-0005-0000-0000-0000CF210000}"/>
    <cellStyle name="Normal 44 4 2 4" xfId="4709" xr:uid="{00000000-0005-0000-0000-0000D0210000}"/>
    <cellStyle name="Normal 44 4 2 4 2" xfId="15970" xr:uid="{00000000-0005-0000-0000-0000D1210000}"/>
    <cellStyle name="Normal 44 4 2 5" xfId="4710" xr:uid="{00000000-0005-0000-0000-0000D2210000}"/>
    <cellStyle name="Normal 44 4 2 5 2" xfId="15971" xr:uid="{00000000-0005-0000-0000-0000D3210000}"/>
    <cellStyle name="Normal 44 4 2 6" xfId="12360" xr:uid="{00000000-0005-0000-0000-0000D4210000}"/>
    <cellStyle name="Normal 44 4 3" xfId="4711" xr:uid="{00000000-0005-0000-0000-0000D5210000}"/>
    <cellStyle name="Normal 44 4 3 2" xfId="4712" xr:uid="{00000000-0005-0000-0000-0000D6210000}"/>
    <cellStyle name="Normal 44 4 3 2 2" xfId="4713" xr:uid="{00000000-0005-0000-0000-0000D7210000}"/>
    <cellStyle name="Normal 44 4 3 2 2 2" xfId="15972" xr:uid="{00000000-0005-0000-0000-0000D8210000}"/>
    <cellStyle name="Normal 44 4 3 2 3" xfId="4714" xr:uid="{00000000-0005-0000-0000-0000D9210000}"/>
    <cellStyle name="Normal 44 4 3 2 3 2" xfId="15973" xr:uid="{00000000-0005-0000-0000-0000DA210000}"/>
    <cellStyle name="Normal 44 4 3 2 4" xfId="15974" xr:uid="{00000000-0005-0000-0000-0000DB210000}"/>
    <cellStyle name="Normal 44 4 3 3" xfId="4715" xr:uid="{00000000-0005-0000-0000-0000DC210000}"/>
    <cellStyle name="Normal 44 4 3 3 2" xfId="4716" xr:uid="{00000000-0005-0000-0000-0000DD210000}"/>
    <cellStyle name="Normal 44 4 3 3 2 2" xfId="15975" xr:uid="{00000000-0005-0000-0000-0000DE210000}"/>
    <cellStyle name="Normal 44 4 3 3 3" xfId="4717" xr:uid="{00000000-0005-0000-0000-0000DF210000}"/>
    <cellStyle name="Normal 44 4 3 3 3 2" xfId="15976" xr:uid="{00000000-0005-0000-0000-0000E0210000}"/>
    <cellStyle name="Normal 44 4 3 3 4" xfId="15977" xr:uid="{00000000-0005-0000-0000-0000E1210000}"/>
    <cellStyle name="Normal 44 4 3 4" xfId="4718" xr:uid="{00000000-0005-0000-0000-0000E2210000}"/>
    <cellStyle name="Normal 44 4 3 4 2" xfId="15978" xr:uid="{00000000-0005-0000-0000-0000E3210000}"/>
    <cellStyle name="Normal 44 4 3 5" xfId="4719" xr:uid="{00000000-0005-0000-0000-0000E4210000}"/>
    <cellStyle name="Normal 44 4 3 5 2" xfId="15979" xr:uid="{00000000-0005-0000-0000-0000E5210000}"/>
    <cellStyle name="Normal 44 4 3 6" xfId="15980" xr:uid="{00000000-0005-0000-0000-0000E6210000}"/>
    <cellStyle name="Normal 44 4 4" xfId="4720" xr:uid="{00000000-0005-0000-0000-0000E7210000}"/>
    <cellStyle name="Normal 44 4 4 2" xfId="4721" xr:uid="{00000000-0005-0000-0000-0000E8210000}"/>
    <cellStyle name="Normal 44 4 4 2 2" xfId="15981" xr:uid="{00000000-0005-0000-0000-0000E9210000}"/>
    <cellStyle name="Normal 44 4 4 3" xfId="4722" xr:uid="{00000000-0005-0000-0000-0000EA210000}"/>
    <cellStyle name="Normal 44 4 4 3 2" xfId="15982" xr:uid="{00000000-0005-0000-0000-0000EB210000}"/>
    <cellStyle name="Normal 44 4 4 4" xfId="15983" xr:uid="{00000000-0005-0000-0000-0000EC210000}"/>
    <cellStyle name="Normal 44 4 5" xfId="4723" xr:uid="{00000000-0005-0000-0000-0000ED210000}"/>
    <cellStyle name="Normal 44 4 5 2" xfId="4724" xr:uid="{00000000-0005-0000-0000-0000EE210000}"/>
    <cellStyle name="Normal 44 4 5 2 2" xfId="15984" xr:uid="{00000000-0005-0000-0000-0000EF210000}"/>
    <cellStyle name="Normal 44 4 5 3" xfId="4725" xr:uid="{00000000-0005-0000-0000-0000F0210000}"/>
    <cellStyle name="Normal 44 4 5 3 2" xfId="15985" xr:uid="{00000000-0005-0000-0000-0000F1210000}"/>
    <cellStyle name="Normal 44 4 5 4" xfId="15986" xr:uid="{00000000-0005-0000-0000-0000F2210000}"/>
    <cellStyle name="Normal 44 4 6" xfId="4726" xr:uid="{00000000-0005-0000-0000-0000F3210000}"/>
    <cellStyle name="Normal 44 4 6 2" xfId="15987" xr:uid="{00000000-0005-0000-0000-0000F4210000}"/>
    <cellStyle name="Normal 44 4 7" xfId="4727" xr:uid="{00000000-0005-0000-0000-0000F5210000}"/>
    <cellStyle name="Normal 44 4 7 2" xfId="15988" xr:uid="{00000000-0005-0000-0000-0000F6210000}"/>
    <cellStyle name="Normal 44 4 8" xfId="12359" xr:uid="{00000000-0005-0000-0000-0000F7210000}"/>
    <cellStyle name="Normal 44 5" xfId="4728" xr:uid="{00000000-0005-0000-0000-0000F8210000}"/>
    <cellStyle name="Normal 44 5 2" xfId="11124" xr:uid="{00000000-0005-0000-0000-0000F9210000}"/>
    <cellStyle name="Normal 44 6" xfId="4729" xr:uid="{00000000-0005-0000-0000-0000FA210000}"/>
    <cellStyle name="Normal 44 6 2" xfId="4730" xr:uid="{00000000-0005-0000-0000-0000FB210000}"/>
    <cellStyle name="Normal 44 6 2 2" xfId="4731" xr:uid="{00000000-0005-0000-0000-0000FC210000}"/>
    <cellStyle name="Normal 44 6 2 2 2" xfId="15989" xr:uid="{00000000-0005-0000-0000-0000FD210000}"/>
    <cellStyle name="Normal 44 6 2 3" xfId="4732" xr:uid="{00000000-0005-0000-0000-0000FE210000}"/>
    <cellStyle name="Normal 44 6 2 3 2" xfId="15990" xr:uid="{00000000-0005-0000-0000-0000FF210000}"/>
    <cellStyle name="Normal 44 6 2 4" xfId="12362" xr:uid="{00000000-0005-0000-0000-000000220000}"/>
    <cellStyle name="Normal 44 6 3" xfId="4733" xr:uid="{00000000-0005-0000-0000-000001220000}"/>
    <cellStyle name="Normal 44 6 3 2" xfId="4734" xr:uid="{00000000-0005-0000-0000-000002220000}"/>
    <cellStyle name="Normal 44 6 3 2 2" xfId="15991" xr:uid="{00000000-0005-0000-0000-000003220000}"/>
    <cellStyle name="Normal 44 6 3 3" xfId="4735" xr:uid="{00000000-0005-0000-0000-000004220000}"/>
    <cellStyle name="Normal 44 6 3 3 2" xfId="15992" xr:uid="{00000000-0005-0000-0000-000005220000}"/>
    <cellStyle name="Normal 44 6 3 4" xfId="15993" xr:uid="{00000000-0005-0000-0000-000006220000}"/>
    <cellStyle name="Normal 44 6 4" xfId="4736" xr:uid="{00000000-0005-0000-0000-000007220000}"/>
    <cellStyle name="Normal 44 6 4 2" xfId="15994" xr:uid="{00000000-0005-0000-0000-000008220000}"/>
    <cellStyle name="Normal 44 6 5" xfId="4737" xr:uid="{00000000-0005-0000-0000-000009220000}"/>
    <cellStyle name="Normal 44 6 5 2" xfId="15995" xr:uid="{00000000-0005-0000-0000-00000A220000}"/>
    <cellStyle name="Normal 44 6 6" xfId="12361" xr:uid="{00000000-0005-0000-0000-00000B220000}"/>
    <cellStyle name="Normal 44 7" xfId="4738" xr:uid="{00000000-0005-0000-0000-00000C220000}"/>
    <cellStyle name="Normal 44 7 2" xfId="4739" xr:uid="{00000000-0005-0000-0000-00000D220000}"/>
    <cellStyle name="Normal 44 7 2 2" xfId="4740" xr:uid="{00000000-0005-0000-0000-00000E220000}"/>
    <cellStyle name="Normal 44 7 2 2 2" xfId="15996" xr:uid="{00000000-0005-0000-0000-00000F220000}"/>
    <cellStyle name="Normal 44 7 2 3" xfId="4741" xr:uid="{00000000-0005-0000-0000-000010220000}"/>
    <cellStyle name="Normal 44 7 2 3 2" xfId="15997" xr:uid="{00000000-0005-0000-0000-000011220000}"/>
    <cellStyle name="Normal 44 7 2 4" xfId="15998" xr:uid="{00000000-0005-0000-0000-000012220000}"/>
    <cellStyle name="Normal 44 7 3" xfId="4742" xr:uid="{00000000-0005-0000-0000-000013220000}"/>
    <cellStyle name="Normal 44 7 3 2" xfId="4743" xr:uid="{00000000-0005-0000-0000-000014220000}"/>
    <cellStyle name="Normal 44 7 3 2 2" xfId="15999" xr:uid="{00000000-0005-0000-0000-000015220000}"/>
    <cellStyle name="Normal 44 7 3 3" xfId="4744" xr:uid="{00000000-0005-0000-0000-000016220000}"/>
    <cellStyle name="Normal 44 7 3 3 2" xfId="16000" xr:uid="{00000000-0005-0000-0000-000017220000}"/>
    <cellStyle name="Normal 44 7 3 4" xfId="16001" xr:uid="{00000000-0005-0000-0000-000018220000}"/>
    <cellStyle name="Normal 44 7 4" xfId="4745" xr:uid="{00000000-0005-0000-0000-000019220000}"/>
    <cellStyle name="Normal 44 7 4 2" xfId="16002" xr:uid="{00000000-0005-0000-0000-00001A220000}"/>
    <cellStyle name="Normal 44 7 5" xfId="4746" xr:uid="{00000000-0005-0000-0000-00001B220000}"/>
    <cellStyle name="Normal 44 7 5 2" xfId="16003" xr:uid="{00000000-0005-0000-0000-00001C220000}"/>
    <cellStyle name="Normal 44 7 6" xfId="12363" xr:uid="{00000000-0005-0000-0000-00001D220000}"/>
    <cellStyle name="Normal 44 8" xfId="4747" xr:uid="{00000000-0005-0000-0000-00001E220000}"/>
    <cellStyle name="Normal 44 8 2" xfId="4748" xr:uid="{00000000-0005-0000-0000-00001F220000}"/>
    <cellStyle name="Normal 44 8 2 2" xfId="4749" xr:uid="{00000000-0005-0000-0000-000020220000}"/>
    <cellStyle name="Normal 44 8 2 2 2" xfId="16004" xr:uid="{00000000-0005-0000-0000-000021220000}"/>
    <cellStyle name="Normal 44 8 2 3" xfId="4750" xr:uid="{00000000-0005-0000-0000-000022220000}"/>
    <cellStyle name="Normal 44 8 2 3 2" xfId="16005" xr:uid="{00000000-0005-0000-0000-000023220000}"/>
    <cellStyle name="Normal 44 8 2 4" xfId="16006" xr:uid="{00000000-0005-0000-0000-000024220000}"/>
    <cellStyle name="Normal 44 8 3" xfId="4751" xr:uid="{00000000-0005-0000-0000-000025220000}"/>
    <cellStyle name="Normal 44 8 3 2" xfId="4752" xr:uid="{00000000-0005-0000-0000-000026220000}"/>
    <cellStyle name="Normal 44 8 3 2 2" xfId="16007" xr:uid="{00000000-0005-0000-0000-000027220000}"/>
    <cellStyle name="Normal 44 8 3 3" xfId="4753" xr:uid="{00000000-0005-0000-0000-000028220000}"/>
    <cellStyle name="Normal 44 8 3 3 2" xfId="16008" xr:uid="{00000000-0005-0000-0000-000029220000}"/>
    <cellStyle name="Normal 44 8 3 4" xfId="16009" xr:uid="{00000000-0005-0000-0000-00002A220000}"/>
    <cellStyle name="Normal 44 8 4" xfId="4754" xr:uid="{00000000-0005-0000-0000-00002B220000}"/>
    <cellStyle name="Normal 44 8 4 2" xfId="16010" xr:uid="{00000000-0005-0000-0000-00002C220000}"/>
    <cellStyle name="Normal 44 8 5" xfId="4755" xr:uid="{00000000-0005-0000-0000-00002D220000}"/>
    <cellStyle name="Normal 44 8 5 2" xfId="16011" xr:uid="{00000000-0005-0000-0000-00002E220000}"/>
    <cellStyle name="Normal 44 8 6" xfId="12364" xr:uid="{00000000-0005-0000-0000-00002F220000}"/>
    <cellStyle name="Normal 44 9" xfId="4756" xr:uid="{00000000-0005-0000-0000-000030220000}"/>
    <cellStyle name="Normal 44 9 2" xfId="4757" xr:uid="{00000000-0005-0000-0000-000031220000}"/>
    <cellStyle name="Normal 44 9 2 2" xfId="16012" xr:uid="{00000000-0005-0000-0000-000032220000}"/>
    <cellStyle name="Normal 44 9 3" xfId="4758" xr:uid="{00000000-0005-0000-0000-000033220000}"/>
    <cellStyle name="Normal 44 9 3 2" xfId="16013" xr:uid="{00000000-0005-0000-0000-000034220000}"/>
    <cellStyle name="Normal 44 9 4" xfId="12365" xr:uid="{00000000-0005-0000-0000-000035220000}"/>
    <cellStyle name="Normal 440" xfId="4759" xr:uid="{00000000-0005-0000-0000-000036220000}"/>
    <cellStyle name="Normal 441" xfId="4760" xr:uid="{00000000-0005-0000-0000-000037220000}"/>
    <cellStyle name="Normal 442" xfId="4761" xr:uid="{00000000-0005-0000-0000-000038220000}"/>
    <cellStyle name="Normal 443" xfId="4762" xr:uid="{00000000-0005-0000-0000-000039220000}"/>
    <cellStyle name="Normal 444" xfId="4763" xr:uid="{00000000-0005-0000-0000-00003A220000}"/>
    <cellStyle name="Normal 445" xfId="4764" xr:uid="{00000000-0005-0000-0000-00003B220000}"/>
    <cellStyle name="Normal 446" xfId="4765" xr:uid="{00000000-0005-0000-0000-00003C220000}"/>
    <cellStyle name="Normal 447" xfId="4766" xr:uid="{00000000-0005-0000-0000-00003D220000}"/>
    <cellStyle name="Normal 448" xfId="4767" xr:uid="{00000000-0005-0000-0000-00003E220000}"/>
    <cellStyle name="Normal 449" xfId="4768" xr:uid="{00000000-0005-0000-0000-00003F220000}"/>
    <cellStyle name="Normal 45" xfId="4769" xr:uid="{00000000-0005-0000-0000-000040220000}"/>
    <cellStyle name="Normal 45 10" xfId="4770" xr:uid="{00000000-0005-0000-0000-000041220000}"/>
    <cellStyle name="Normal 45 10 2" xfId="4771" xr:uid="{00000000-0005-0000-0000-000042220000}"/>
    <cellStyle name="Normal 45 10 2 2" xfId="16014" xr:uid="{00000000-0005-0000-0000-000043220000}"/>
    <cellStyle name="Normal 45 10 3" xfId="4772" xr:uid="{00000000-0005-0000-0000-000044220000}"/>
    <cellStyle name="Normal 45 10 3 2" xfId="16015" xr:uid="{00000000-0005-0000-0000-000045220000}"/>
    <cellStyle name="Normal 45 10 4" xfId="12366" xr:uid="{00000000-0005-0000-0000-000046220000}"/>
    <cellStyle name="Normal 45 11" xfId="4773" xr:uid="{00000000-0005-0000-0000-000047220000}"/>
    <cellStyle name="Normal 45 11 2" xfId="12367" xr:uid="{00000000-0005-0000-0000-000048220000}"/>
    <cellStyle name="Normal 45 12" xfId="4774" xr:uid="{00000000-0005-0000-0000-000049220000}"/>
    <cellStyle name="Normal 45 12 2" xfId="12368" xr:uid="{00000000-0005-0000-0000-00004A220000}"/>
    <cellStyle name="Normal 45 13" xfId="11125" xr:uid="{00000000-0005-0000-0000-00004B220000}"/>
    <cellStyle name="Normal 45 14" xfId="11126" xr:uid="{00000000-0005-0000-0000-00004C220000}"/>
    <cellStyle name="Normal 45 15" xfId="11127" xr:uid="{00000000-0005-0000-0000-00004D220000}"/>
    <cellStyle name="Normal 45 16" xfId="11128" xr:uid="{00000000-0005-0000-0000-00004E220000}"/>
    <cellStyle name="Normal 45 17" xfId="11129" xr:uid="{00000000-0005-0000-0000-00004F220000}"/>
    <cellStyle name="Normal 45 18" xfId="11130" xr:uid="{00000000-0005-0000-0000-000050220000}"/>
    <cellStyle name="Normal 45 19" xfId="11131" xr:uid="{00000000-0005-0000-0000-000051220000}"/>
    <cellStyle name="Normal 45 2" xfId="4775" xr:uid="{00000000-0005-0000-0000-000052220000}"/>
    <cellStyle name="Normal 45 2 2" xfId="4776" xr:uid="{00000000-0005-0000-0000-000053220000}"/>
    <cellStyle name="Normal 45 2 2 2" xfId="4777" xr:uid="{00000000-0005-0000-0000-000054220000}"/>
    <cellStyle name="Normal 45 2 2 2 2" xfId="4778" xr:uid="{00000000-0005-0000-0000-000055220000}"/>
    <cellStyle name="Normal 45 2 2 2 2 2" xfId="4779" xr:uid="{00000000-0005-0000-0000-000056220000}"/>
    <cellStyle name="Normal 45 2 2 2 2 2 2" xfId="16016" xr:uid="{00000000-0005-0000-0000-000057220000}"/>
    <cellStyle name="Normal 45 2 2 2 2 3" xfId="4780" xr:uid="{00000000-0005-0000-0000-000058220000}"/>
    <cellStyle name="Normal 45 2 2 2 2 3 2" xfId="16017" xr:uid="{00000000-0005-0000-0000-000059220000}"/>
    <cellStyle name="Normal 45 2 2 2 2 4" xfId="16018" xr:uid="{00000000-0005-0000-0000-00005A220000}"/>
    <cellStyle name="Normal 45 2 2 2 3" xfId="4781" xr:uid="{00000000-0005-0000-0000-00005B220000}"/>
    <cellStyle name="Normal 45 2 2 2 3 2" xfId="4782" xr:uid="{00000000-0005-0000-0000-00005C220000}"/>
    <cellStyle name="Normal 45 2 2 2 3 2 2" xfId="16019" xr:uid="{00000000-0005-0000-0000-00005D220000}"/>
    <cellStyle name="Normal 45 2 2 2 3 3" xfId="4783" xr:uid="{00000000-0005-0000-0000-00005E220000}"/>
    <cellStyle name="Normal 45 2 2 2 3 3 2" xfId="16020" xr:uid="{00000000-0005-0000-0000-00005F220000}"/>
    <cellStyle name="Normal 45 2 2 2 3 4" xfId="16021" xr:uid="{00000000-0005-0000-0000-000060220000}"/>
    <cellStyle name="Normal 45 2 2 2 4" xfId="4784" xr:uid="{00000000-0005-0000-0000-000061220000}"/>
    <cellStyle name="Normal 45 2 2 2 4 2" xfId="16022" xr:uid="{00000000-0005-0000-0000-000062220000}"/>
    <cellStyle name="Normal 45 2 2 2 5" xfId="4785" xr:uid="{00000000-0005-0000-0000-000063220000}"/>
    <cellStyle name="Normal 45 2 2 2 5 2" xfId="16023" xr:uid="{00000000-0005-0000-0000-000064220000}"/>
    <cellStyle name="Normal 45 2 2 2 6" xfId="16024" xr:uid="{00000000-0005-0000-0000-000065220000}"/>
    <cellStyle name="Normal 45 2 2 3" xfId="4786" xr:uid="{00000000-0005-0000-0000-000066220000}"/>
    <cellStyle name="Normal 45 2 2 3 2" xfId="4787" xr:uid="{00000000-0005-0000-0000-000067220000}"/>
    <cellStyle name="Normal 45 2 2 3 2 2" xfId="4788" xr:uid="{00000000-0005-0000-0000-000068220000}"/>
    <cellStyle name="Normal 45 2 2 3 2 2 2" xfId="16025" xr:uid="{00000000-0005-0000-0000-000069220000}"/>
    <cellStyle name="Normal 45 2 2 3 2 3" xfId="4789" xr:uid="{00000000-0005-0000-0000-00006A220000}"/>
    <cellStyle name="Normal 45 2 2 3 2 3 2" xfId="16026" xr:uid="{00000000-0005-0000-0000-00006B220000}"/>
    <cellStyle name="Normal 45 2 2 3 2 4" xfId="16027" xr:uid="{00000000-0005-0000-0000-00006C220000}"/>
    <cellStyle name="Normal 45 2 2 3 3" xfId="4790" xr:uid="{00000000-0005-0000-0000-00006D220000}"/>
    <cellStyle name="Normal 45 2 2 3 3 2" xfId="4791" xr:uid="{00000000-0005-0000-0000-00006E220000}"/>
    <cellStyle name="Normal 45 2 2 3 3 2 2" xfId="16028" xr:uid="{00000000-0005-0000-0000-00006F220000}"/>
    <cellStyle name="Normal 45 2 2 3 3 3" xfId="4792" xr:uid="{00000000-0005-0000-0000-000070220000}"/>
    <cellStyle name="Normal 45 2 2 3 3 3 2" xfId="16029" xr:uid="{00000000-0005-0000-0000-000071220000}"/>
    <cellStyle name="Normal 45 2 2 3 3 4" xfId="16030" xr:uid="{00000000-0005-0000-0000-000072220000}"/>
    <cellStyle name="Normal 45 2 2 3 4" xfId="4793" xr:uid="{00000000-0005-0000-0000-000073220000}"/>
    <cellStyle name="Normal 45 2 2 3 4 2" xfId="16031" xr:uid="{00000000-0005-0000-0000-000074220000}"/>
    <cellStyle name="Normal 45 2 2 3 5" xfId="4794" xr:uid="{00000000-0005-0000-0000-000075220000}"/>
    <cellStyle name="Normal 45 2 2 3 5 2" xfId="16032" xr:uid="{00000000-0005-0000-0000-000076220000}"/>
    <cellStyle name="Normal 45 2 2 3 6" xfId="16033" xr:uid="{00000000-0005-0000-0000-000077220000}"/>
    <cellStyle name="Normal 45 2 2 4" xfId="4795" xr:uid="{00000000-0005-0000-0000-000078220000}"/>
    <cellStyle name="Normal 45 2 2 4 2" xfId="4796" xr:uid="{00000000-0005-0000-0000-000079220000}"/>
    <cellStyle name="Normal 45 2 2 4 2 2" xfId="16034" xr:uid="{00000000-0005-0000-0000-00007A220000}"/>
    <cellStyle name="Normal 45 2 2 4 3" xfId="4797" xr:uid="{00000000-0005-0000-0000-00007B220000}"/>
    <cellStyle name="Normal 45 2 2 4 3 2" xfId="16035" xr:uid="{00000000-0005-0000-0000-00007C220000}"/>
    <cellStyle name="Normal 45 2 2 4 4" xfId="16036" xr:uid="{00000000-0005-0000-0000-00007D220000}"/>
    <cellStyle name="Normal 45 2 2 5" xfId="4798" xr:uid="{00000000-0005-0000-0000-00007E220000}"/>
    <cellStyle name="Normal 45 2 2 5 2" xfId="4799" xr:uid="{00000000-0005-0000-0000-00007F220000}"/>
    <cellStyle name="Normal 45 2 2 5 2 2" xfId="16037" xr:uid="{00000000-0005-0000-0000-000080220000}"/>
    <cellStyle name="Normal 45 2 2 5 3" xfId="4800" xr:uid="{00000000-0005-0000-0000-000081220000}"/>
    <cellStyle name="Normal 45 2 2 5 3 2" xfId="16038" xr:uid="{00000000-0005-0000-0000-000082220000}"/>
    <cellStyle name="Normal 45 2 2 5 4" xfId="16039" xr:uid="{00000000-0005-0000-0000-000083220000}"/>
    <cellStyle name="Normal 45 2 2 6" xfId="4801" xr:uid="{00000000-0005-0000-0000-000084220000}"/>
    <cellStyle name="Normal 45 2 2 6 2" xfId="16040" xr:uid="{00000000-0005-0000-0000-000085220000}"/>
    <cellStyle name="Normal 45 2 2 7" xfId="4802" xr:uid="{00000000-0005-0000-0000-000086220000}"/>
    <cellStyle name="Normal 45 2 2 7 2" xfId="16041" xr:uid="{00000000-0005-0000-0000-000087220000}"/>
    <cellStyle name="Normal 45 2 2 8" xfId="12370" xr:uid="{00000000-0005-0000-0000-000088220000}"/>
    <cellStyle name="Normal 45 2 3" xfId="4803" xr:uid="{00000000-0005-0000-0000-000089220000}"/>
    <cellStyle name="Normal 45 2 3 2" xfId="4804" xr:uid="{00000000-0005-0000-0000-00008A220000}"/>
    <cellStyle name="Normal 45 2 3 2 2" xfId="4805" xr:uid="{00000000-0005-0000-0000-00008B220000}"/>
    <cellStyle name="Normal 45 2 3 2 2 2" xfId="16042" xr:uid="{00000000-0005-0000-0000-00008C220000}"/>
    <cellStyle name="Normal 45 2 3 2 3" xfId="4806" xr:uid="{00000000-0005-0000-0000-00008D220000}"/>
    <cellStyle name="Normal 45 2 3 2 3 2" xfId="16043" xr:uid="{00000000-0005-0000-0000-00008E220000}"/>
    <cellStyle name="Normal 45 2 3 2 4" xfId="16044" xr:uid="{00000000-0005-0000-0000-00008F220000}"/>
    <cellStyle name="Normal 45 2 3 3" xfId="4807" xr:uid="{00000000-0005-0000-0000-000090220000}"/>
    <cellStyle name="Normal 45 2 3 3 2" xfId="4808" xr:uid="{00000000-0005-0000-0000-000091220000}"/>
    <cellStyle name="Normal 45 2 3 3 2 2" xfId="16045" xr:uid="{00000000-0005-0000-0000-000092220000}"/>
    <cellStyle name="Normal 45 2 3 3 3" xfId="4809" xr:uid="{00000000-0005-0000-0000-000093220000}"/>
    <cellStyle name="Normal 45 2 3 3 3 2" xfId="16046" xr:uid="{00000000-0005-0000-0000-000094220000}"/>
    <cellStyle name="Normal 45 2 3 3 4" xfId="16047" xr:uid="{00000000-0005-0000-0000-000095220000}"/>
    <cellStyle name="Normal 45 2 3 4" xfId="4810" xr:uid="{00000000-0005-0000-0000-000096220000}"/>
    <cellStyle name="Normal 45 2 3 4 2" xfId="16048" xr:uid="{00000000-0005-0000-0000-000097220000}"/>
    <cellStyle name="Normal 45 2 3 5" xfId="4811" xr:uid="{00000000-0005-0000-0000-000098220000}"/>
    <cellStyle name="Normal 45 2 3 5 2" xfId="16049" xr:uid="{00000000-0005-0000-0000-000099220000}"/>
    <cellStyle name="Normal 45 2 3 6" xfId="16050" xr:uid="{00000000-0005-0000-0000-00009A220000}"/>
    <cellStyle name="Normal 45 2 4" xfId="4812" xr:uid="{00000000-0005-0000-0000-00009B220000}"/>
    <cellStyle name="Normal 45 2 4 2" xfId="4813" xr:uid="{00000000-0005-0000-0000-00009C220000}"/>
    <cellStyle name="Normal 45 2 4 2 2" xfId="4814" xr:uid="{00000000-0005-0000-0000-00009D220000}"/>
    <cellStyle name="Normal 45 2 4 2 2 2" xfId="16051" xr:uid="{00000000-0005-0000-0000-00009E220000}"/>
    <cellStyle name="Normal 45 2 4 2 3" xfId="4815" xr:uid="{00000000-0005-0000-0000-00009F220000}"/>
    <cellStyle name="Normal 45 2 4 2 3 2" xfId="16052" xr:uid="{00000000-0005-0000-0000-0000A0220000}"/>
    <cellStyle name="Normal 45 2 4 2 4" xfId="16053" xr:uid="{00000000-0005-0000-0000-0000A1220000}"/>
    <cellStyle name="Normal 45 2 4 3" xfId="4816" xr:uid="{00000000-0005-0000-0000-0000A2220000}"/>
    <cellStyle name="Normal 45 2 4 3 2" xfId="4817" xr:uid="{00000000-0005-0000-0000-0000A3220000}"/>
    <cellStyle name="Normal 45 2 4 3 2 2" xfId="16054" xr:uid="{00000000-0005-0000-0000-0000A4220000}"/>
    <cellStyle name="Normal 45 2 4 3 3" xfId="4818" xr:uid="{00000000-0005-0000-0000-0000A5220000}"/>
    <cellStyle name="Normal 45 2 4 3 3 2" xfId="16055" xr:uid="{00000000-0005-0000-0000-0000A6220000}"/>
    <cellStyle name="Normal 45 2 4 3 4" xfId="16056" xr:uid="{00000000-0005-0000-0000-0000A7220000}"/>
    <cellStyle name="Normal 45 2 4 4" xfId="4819" xr:uid="{00000000-0005-0000-0000-0000A8220000}"/>
    <cellStyle name="Normal 45 2 4 4 2" xfId="16057" xr:uid="{00000000-0005-0000-0000-0000A9220000}"/>
    <cellStyle name="Normal 45 2 4 5" xfId="4820" xr:uid="{00000000-0005-0000-0000-0000AA220000}"/>
    <cellStyle name="Normal 45 2 4 5 2" xfId="16058" xr:uid="{00000000-0005-0000-0000-0000AB220000}"/>
    <cellStyle name="Normal 45 2 4 6" xfId="16059" xr:uid="{00000000-0005-0000-0000-0000AC220000}"/>
    <cellStyle name="Normal 45 2 5" xfId="4821" xr:uid="{00000000-0005-0000-0000-0000AD220000}"/>
    <cellStyle name="Normal 45 2 5 2" xfId="4822" xr:uid="{00000000-0005-0000-0000-0000AE220000}"/>
    <cellStyle name="Normal 45 2 5 2 2" xfId="16060" xr:uid="{00000000-0005-0000-0000-0000AF220000}"/>
    <cellStyle name="Normal 45 2 5 3" xfId="4823" xr:uid="{00000000-0005-0000-0000-0000B0220000}"/>
    <cellStyle name="Normal 45 2 5 3 2" xfId="16061" xr:uid="{00000000-0005-0000-0000-0000B1220000}"/>
    <cellStyle name="Normal 45 2 5 4" xfId="16062" xr:uid="{00000000-0005-0000-0000-0000B2220000}"/>
    <cellStyle name="Normal 45 2 6" xfId="4824" xr:uid="{00000000-0005-0000-0000-0000B3220000}"/>
    <cellStyle name="Normal 45 2 6 2" xfId="4825" xr:uid="{00000000-0005-0000-0000-0000B4220000}"/>
    <cellStyle name="Normal 45 2 6 2 2" xfId="16063" xr:uid="{00000000-0005-0000-0000-0000B5220000}"/>
    <cellStyle name="Normal 45 2 6 3" xfId="4826" xr:uid="{00000000-0005-0000-0000-0000B6220000}"/>
    <cellStyle name="Normal 45 2 6 3 2" xfId="16064" xr:uid="{00000000-0005-0000-0000-0000B7220000}"/>
    <cellStyle name="Normal 45 2 6 4" xfId="16065" xr:uid="{00000000-0005-0000-0000-0000B8220000}"/>
    <cellStyle name="Normal 45 2 7" xfId="4827" xr:uid="{00000000-0005-0000-0000-0000B9220000}"/>
    <cellStyle name="Normal 45 2 7 2" xfId="16066" xr:uid="{00000000-0005-0000-0000-0000BA220000}"/>
    <cellStyle name="Normal 45 2 8" xfId="4828" xr:uid="{00000000-0005-0000-0000-0000BB220000}"/>
    <cellStyle name="Normal 45 2 8 2" xfId="16067" xr:uid="{00000000-0005-0000-0000-0000BC220000}"/>
    <cellStyle name="Normal 45 2 9" xfId="12369" xr:uid="{00000000-0005-0000-0000-0000BD220000}"/>
    <cellStyle name="Normal 45 20" xfId="11132" xr:uid="{00000000-0005-0000-0000-0000BE220000}"/>
    <cellStyle name="Normal 45 3" xfId="4829" xr:uid="{00000000-0005-0000-0000-0000BF220000}"/>
    <cellStyle name="Normal 45 3 2" xfId="4830" xr:uid="{00000000-0005-0000-0000-0000C0220000}"/>
    <cellStyle name="Normal 45 3 2 2" xfId="4831" xr:uid="{00000000-0005-0000-0000-0000C1220000}"/>
    <cellStyle name="Normal 45 3 2 2 2" xfId="4832" xr:uid="{00000000-0005-0000-0000-0000C2220000}"/>
    <cellStyle name="Normal 45 3 2 2 2 2" xfId="16068" xr:uid="{00000000-0005-0000-0000-0000C3220000}"/>
    <cellStyle name="Normal 45 3 2 2 3" xfId="4833" xr:uid="{00000000-0005-0000-0000-0000C4220000}"/>
    <cellStyle name="Normal 45 3 2 2 3 2" xfId="16069" xr:uid="{00000000-0005-0000-0000-0000C5220000}"/>
    <cellStyle name="Normal 45 3 2 2 4" xfId="16070" xr:uid="{00000000-0005-0000-0000-0000C6220000}"/>
    <cellStyle name="Normal 45 3 2 3" xfId="4834" xr:uid="{00000000-0005-0000-0000-0000C7220000}"/>
    <cellStyle name="Normal 45 3 2 3 2" xfId="4835" xr:uid="{00000000-0005-0000-0000-0000C8220000}"/>
    <cellStyle name="Normal 45 3 2 3 2 2" xfId="16071" xr:uid="{00000000-0005-0000-0000-0000C9220000}"/>
    <cellStyle name="Normal 45 3 2 3 3" xfId="4836" xr:uid="{00000000-0005-0000-0000-0000CA220000}"/>
    <cellStyle name="Normal 45 3 2 3 3 2" xfId="16072" xr:uid="{00000000-0005-0000-0000-0000CB220000}"/>
    <cellStyle name="Normal 45 3 2 3 4" xfId="16073" xr:uid="{00000000-0005-0000-0000-0000CC220000}"/>
    <cellStyle name="Normal 45 3 2 4" xfId="4837" xr:uid="{00000000-0005-0000-0000-0000CD220000}"/>
    <cellStyle name="Normal 45 3 2 4 2" xfId="16074" xr:uid="{00000000-0005-0000-0000-0000CE220000}"/>
    <cellStyle name="Normal 45 3 2 5" xfId="4838" xr:uid="{00000000-0005-0000-0000-0000CF220000}"/>
    <cellStyle name="Normal 45 3 2 5 2" xfId="16075" xr:uid="{00000000-0005-0000-0000-0000D0220000}"/>
    <cellStyle name="Normal 45 3 2 6" xfId="12372" xr:uid="{00000000-0005-0000-0000-0000D1220000}"/>
    <cellStyle name="Normal 45 3 3" xfId="4839" xr:uid="{00000000-0005-0000-0000-0000D2220000}"/>
    <cellStyle name="Normal 45 3 3 2" xfId="4840" xr:uid="{00000000-0005-0000-0000-0000D3220000}"/>
    <cellStyle name="Normal 45 3 3 2 2" xfId="4841" xr:uid="{00000000-0005-0000-0000-0000D4220000}"/>
    <cellStyle name="Normal 45 3 3 2 2 2" xfId="16076" xr:uid="{00000000-0005-0000-0000-0000D5220000}"/>
    <cellStyle name="Normal 45 3 3 2 3" xfId="4842" xr:uid="{00000000-0005-0000-0000-0000D6220000}"/>
    <cellStyle name="Normal 45 3 3 2 3 2" xfId="16077" xr:uid="{00000000-0005-0000-0000-0000D7220000}"/>
    <cellStyle name="Normal 45 3 3 2 4" xfId="16078" xr:uid="{00000000-0005-0000-0000-0000D8220000}"/>
    <cellStyle name="Normal 45 3 3 3" xfId="4843" xr:uid="{00000000-0005-0000-0000-0000D9220000}"/>
    <cellStyle name="Normal 45 3 3 3 2" xfId="4844" xr:uid="{00000000-0005-0000-0000-0000DA220000}"/>
    <cellStyle name="Normal 45 3 3 3 2 2" xfId="16079" xr:uid="{00000000-0005-0000-0000-0000DB220000}"/>
    <cellStyle name="Normal 45 3 3 3 3" xfId="4845" xr:uid="{00000000-0005-0000-0000-0000DC220000}"/>
    <cellStyle name="Normal 45 3 3 3 3 2" xfId="16080" xr:uid="{00000000-0005-0000-0000-0000DD220000}"/>
    <cellStyle name="Normal 45 3 3 3 4" xfId="16081" xr:uid="{00000000-0005-0000-0000-0000DE220000}"/>
    <cellStyle name="Normal 45 3 3 4" xfId="4846" xr:uid="{00000000-0005-0000-0000-0000DF220000}"/>
    <cellStyle name="Normal 45 3 3 4 2" xfId="16082" xr:uid="{00000000-0005-0000-0000-0000E0220000}"/>
    <cellStyle name="Normal 45 3 3 5" xfId="4847" xr:uid="{00000000-0005-0000-0000-0000E1220000}"/>
    <cellStyle name="Normal 45 3 3 5 2" xfId="16083" xr:uid="{00000000-0005-0000-0000-0000E2220000}"/>
    <cellStyle name="Normal 45 3 3 6" xfId="16084" xr:uid="{00000000-0005-0000-0000-0000E3220000}"/>
    <cellStyle name="Normal 45 3 4" xfId="4848" xr:uid="{00000000-0005-0000-0000-0000E4220000}"/>
    <cellStyle name="Normal 45 3 4 2" xfId="4849" xr:uid="{00000000-0005-0000-0000-0000E5220000}"/>
    <cellStyle name="Normal 45 3 4 2 2" xfId="16085" xr:uid="{00000000-0005-0000-0000-0000E6220000}"/>
    <cellStyle name="Normal 45 3 4 3" xfId="4850" xr:uid="{00000000-0005-0000-0000-0000E7220000}"/>
    <cellStyle name="Normal 45 3 4 3 2" xfId="16086" xr:uid="{00000000-0005-0000-0000-0000E8220000}"/>
    <cellStyle name="Normal 45 3 4 4" xfId="16087" xr:uid="{00000000-0005-0000-0000-0000E9220000}"/>
    <cellStyle name="Normal 45 3 5" xfId="4851" xr:uid="{00000000-0005-0000-0000-0000EA220000}"/>
    <cellStyle name="Normal 45 3 5 2" xfId="4852" xr:uid="{00000000-0005-0000-0000-0000EB220000}"/>
    <cellStyle name="Normal 45 3 5 2 2" xfId="16088" xr:uid="{00000000-0005-0000-0000-0000EC220000}"/>
    <cellStyle name="Normal 45 3 5 3" xfId="4853" xr:uid="{00000000-0005-0000-0000-0000ED220000}"/>
    <cellStyle name="Normal 45 3 5 3 2" xfId="16089" xr:uid="{00000000-0005-0000-0000-0000EE220000}"/>
    <cellStyle name="Normal 45 3 5 4" xfId="16090" xr:uid="{00000000-0005-0000-0000-0000EF220000}"/>
    <cellStyle name="Normal 45 3 6" xfId="4854" xr:uid="{00000000-0005-0000-0000-0000F0220000}"/>
    <cellStyle name="Normal 45 3 6 2" xfId="16091" xr:uid="{00000000-0005-0000-0000-0000F1220000}"/>
    <cellStyle name="Normal 45 3 7" xfId="4855" xr:uid="{00000000-0005-0000-0000-0000F2220000}"/>
    <cellStyle name="Normal 45 3 7 2" xfId="16092" xr:uid="{00000000-0005-0000-0000-0000F3220000}"/>
    <cellStyle name="Normal 45 3 8" xfId="12371" xr:uid="{00000000-0005-0000-0000-0000F4220000}"/>
    <cellStyle name="Normal 45 4" xfId="4856" xr:uid="{00000000-0005-0000-0000-0000F5220000}"/>
    <cellStyle name="Normal 45 4 2" xfId="4857" xr:uid="{00000000-0005-0000-0000-0000F6220000}"/>
    <cellStyle name="Normal 45 4 2 2" xfId="4858" xr:uid="{00000000-0005-0000-0000-0000F7220000}"/>
    <cellStyle name="Normal 45 4 2 2 2" xfId="4859" xr:uid="{00000000-0005-0000-0000-0000F8220000}"/>
    <cellStyle name="Normal 45 4 2 2 2 2" xfId="16093" xr:uid="{00000000-0005-0000-0000-0000F9220000}"/>
    <cellStyle name="Normal 45 4 2 2 3" xfId="4860" xr:uid="{00000000-0005-0000-0000-0000FA220000}"/>
    <cellStyle name="Normal 45 4 2 2 3 2" xfId="16094" xr:uid="{00000000-0005-0000-0000-0000FB220000}"/>
    <cellStyle name="Normal 45 4 2 2 4" xfId="16095" xr:uid="{00000000-0005-0000-0000-0000FC220000}"/>
    <cellStyle name="Normal 45 4 2 3" xfId="4861" xr:uid="{00000000-0005-0000-0000-0000FD220000}"/>
    <cellStyle name="Normal 45 4 2 3 2" xfId="4862" xr:uid="{00000000-0005-0000-0000-0000FE220000}"/>
    <cellStyle name="Normal 45 4 2 3 2 2" xfId="16096" xr:uid="{00000000-0005-0000-0000-0000FF220000}"/>
    <cellStyle name="Normal 45 4 2 3 3" xfId="4863" xr:uid="{00000000-0005-0000-0000-000000230000}"/>
    <cellStyle name="Normal 45 4 2 3 3 2" xfId="16097" xr:uid="{00000000-0005-0000-0000-000001230000}"/>
    <cellStyle name="Normal 45 4 2 3 4" xfId="16098" xr:uid="{00000000-0005-0000-0000-000002230000}"/>
    <cellStyle name="Normal 45 4 2 4" xfId="4864" xr:uid="{00000000-0005-0000-0000-000003230000}"/>
    <cellStyle name="Normal 45 4 2 4 2" xfId="16099" xr:uid="{00000000-0005-0000-0000-000004230000}"/>
    <cellStyle name="Normal 45 4 2 5" xfId="4865" xr:uid="{00000000-0005-0000-0000-000005230000}"/>
    <cellStyle name="Normal 45 4 2 5 2" xfId="16100" xr:uid="{00000000-0005-0000-0000-000006230000}"/>
    <cellStyle name="Normal 45 4 2 6" xfId="12374" xr:uid="{00000000-0005-0000-0000-000007230000}"/>
    <cellStyle name="Normal 45 4 3" xfId="4866" xr:uid="{00000000-0005-0000-0000-000008230000}"/>
    <cellStyle name="Normal 45 4 3 2" xfId="4867" xr:uid="{00000000-0005-0000-0000-000009230000}"/>
    <cellStyle name="Normal 45 4 3 2 2" xfId="4868" xr:uid="{00000000-0005-0000-0000-00000A230000}"/>
    <cellStyle name="Normal 45 4 3 2 2 2" xfId="16101" xr:uid="{00000000-0005-0000-0000-00000B230000}"/>
    <cellStyle name="Normal 45 4 3 2 3" xfId="4869" xr:uid="{00000000-0005-0000-0000-00000C230000}"/>
    <cellStyle name="Normal 45 4 3 2 3 2" xfId="16102" xr:uid="{00000000-0005-0000-0000-00000D230000}"/>
    <cellStyle name="Normal 45 4 3 2 4" xfId="16103" xr:uid="{00000000-0005-0000-0000-00000E230000}"/>
    <cellStyle name="Normal 45 4 3 3" xfId="4870" xr:uid="{00000000-0005-0000-0000-00000F230000}"/>
    <cellStyle name="Normal 45 4 3 3 2" xfId="4871" xr:uid="{00000000-0005-0000-0000-000010230000}"/>
    <cellStyle name="Normal 45 4 3 3 2 2" xfId="16104" xr:uid="{00000000-0005-0000-0000-000011230000}"/>
    <cellStyle name="Normal 45 4 3 3 3" xfId="4872" xr:uid="{00000000-0005-0000-0000-000012230000}"/>
    <cellStyle name="Normal 45 4 3 3 3 2" xfId="16105" xr:uid="{00000000-0005-0000-0000-000013230000}"/>
    <cellStyle name="Normal 45 4 3 3 4" xfId="16106" xr:uid="{00000000-0005-0000-0000-000014230000}"/>
    <cellStyle name="Normal 45 4 3 4" xfId="4873" xr:uid="{00000000-0005-0000-0000-000015230000}"/>
    <cellStyle name="Normal 45 4 3 4 2" xfId="16107" xr:uid="{00000000-0005-0000-0000-000016230000}"/>
    <cellStyle name="Normal 45 4 3 5" xfId="4874" xr:uid="{00000000-0005-0000-0000-000017230000}"/>
    <cellStyle name="Normal 45 4 3 5 2" xfId="16108" xr:uid="{00000000-0005-0000-0000-000018230000}"/>
    <cellStyle name="Normal 45 4 3 6" xfId="16109" xr:uid="{00000000-0005-0000-0000-000019230000}"/>
    <cellStyle name="Normal 45 4 4" xfId="4875" xr:uid="{00000000-0005-0000-0000-00001A230000}"/>
    <cellStyle name="Normal 45 4 4 2" xfId="4876" xr:uid="{00000000-0005-0000-0000-00001B230000}"/>
    <cellStyle name="Normal 45 4 4 2 2" xfId="16110" xr:uid="{00000000-0005-0000-0000-00001C230000}"/>
    <cellStyle name="Normal 45 4 4 3" xfId="4877" xr:uid="{00000000-0005-0000-0000-00001D230000}"/>
    <cellStyle name="Normal 45 4 4 3 2" xfId="16111" xr:uid="{00000000-0005-0000-0000-00001E230000}"/>
    <cellStyle name="Normal 45 4 4 4" xfId="16112" xr:uid="{00000000-0005-0000-0000-00001F230000}"/>
    <cellStyle name="Normal 45 4 5" xfId="4878" xr:uid="{00000000-0005-0000-0000-000020230000}"/>
    <cellStyle name="Normal 45 4 5 2" xfId="4879" xr:uid="{00000000-0005-0000-0000-000021230000}"/>
    <cellStyle name="Normal 45 4 5 2 2" xfId="16113" xr:uid="{00000000-0005-0000-0000-000022230000}"/>
    <cellStyle name="Normal 45 4 5 3" xfId="4880" xr:uid="{00000000-0005-0000-0000-000023230000}"/>
    <cellStyle name="Normal 45 4 5 3 2" xfId="16114" xr:uid="{00000000-0005-0000-0000-000024230000}"/>
    <cellStyle name="Normal 45 4 5 4" xfId="16115" xr:uid="{00000000-0005-0000-0000-000025230000}"/>
    <cellStyle name="Normal 45 4 6" xfId="4881" xr:uid="{00000000-0005-0000-0000-000026230000}"/>
    <cellStyle name="Normal 45 4 6 2" xfId="16116" xr:uid="{00000000-0005-0000-0000-000027230000}"/>
    <cellStyle name="Normal 45 4 7" xfId="4882" xr:uid="{00000000-0005-0000-0000-000028230000}"/>
    <cellStyle name="Normal 45 4 7 2" xfId="16117" xr:uid="{00000000-0005-0000-0000-000029230000}"/>
    <cellStyle name="Normal 45 4 8" xfId="12373" xr:uid="{00000000-0005-0000-0000-00002A230000}"/>
    <cellStyle name="Normal 45 5" xfId="4883" xr:uid="{00000000-0005-0000-0000-00002B230000}"/>
    <cellStyle name="Normal 45 5 2" xfId="11133" xr:uid="{00000000-0005-0000-0000-00002C230000}"/>
    <cellStyle name="Normal 45 6" xfId="4884" xr:uid="{00000000-0005-0000-0000-00002D230000}"/>
    <cellStyle name="Normal 45 6 2" xfId="4885" xr:uid="{00000000-0005-0000-0000-00002E230000}"/>
    <cellStyle name="Normal 45 6 2 2" xfId="4886" xr:uid="{00000000-0005-0000-0000-00002F230000}"/>
    <cellStyle name="Normal 45 6 2 2 2" xfId="16118" xr:uid="{00000000-0005-0000-0000-000030230000}"/>
    <cellStyle name="Normal 45 6 2 3" xfId="4887" xr:uid="{00000000-0005-0000-0000-000031230000}"/>
    <cellStyle name="Normal 45 6 2 3 2" xfId="16119" xr:uid="{00000000-0005-0000-0000-000032230000}"/>
    <cellStyle name="Normal 45 6 2 4" xfId="12376" xr:uid="{00000000-0005-0000-0000-000033230000}"/>
    <cellStyle name="Normal 45 6 3" xfId="4888" xr:uid="{00000000-0005-0000-0000-000034230000}"/>
    <cellStyle name="Normal 45 6 3 2" xfId="4889" xr:uid="{00000000-0005-0000-0000-000035230000}"/>
    <cellStyle name="Normal 45 6 3 2 2" xfId="16120" xr:uid="{00000000-0005-0000-0000-000036230000}"/>
    <cellStyle name="Normal 45 6 3 3" xfId="4890" xr:uid="{00000000-0005-0000-0000-000037230000}"/>
    <cellStyle name="Normal 45 6 3 3 2" xfId="16121" xr:uid="{00000000-0005-0000-0000-000038230000}"/>
    <cellStyle name="Normal 45 6 3 4" xfId="16122" xr:uid="{00000000-0005-0000-0000-000039230000}"/>
    <cellStyle name="Normal 45 6 4" xfId="4891" xr:uid="{00000000-0005-0000-0000-00003A230000}"/>
    <cellStyle name="Normal 45 6 4 2" xfId="16123" xr:uid="{00000000-0005-0000-0000-00003B230000}"/>
    <cellStyle name="Normal 45 6 5" xfId="4892" xr:uid="{00000000-0005-0000-0000-00003C230000}"/>
    <cellStyle name="Normal 45 6 5 2" xfId="16124" xr:uid="{00000000-0005-0000-0000-00003D230000}"/>
    <cellStyle name="Normal 45 6 6" xfId="12375" xr:uid="{00000000-0005-0000-0000-00003E230000}"/>
    <cellStyle name="Normal 45 7" xfId="4893" xr:uid="{00000000-0005-0000-0000-00003F230000}"/>
    <cellStyle name="Normal 45 7 2" xfId="4894" xr:uid="{00000000-0005-0000-0000-000040230000}"/>
    <cellStyle name="Normal 45 7 2 2" xfId="4895" xr:uid="{00000000-0005-0000-0000-000041230000}"/>
    <cellStyle name="Normal 45 7 2 2 2" xfId="16125" xr:uid="{00000000-0005-0000-0000-000042230000}"/>
    <cellStyle name="Normal 45 7 2 3" xfId="4896" xr:uid="{00000000-0005-0000-0000-000043230000}"/>
    <cellStyle name="Normal 45 7 2 3 2" xfId="16126" xr:uid="{00000000-0005-0000-0000-000044230000}"/>
    <cellStyle name="Normal 45 7 2 4" xfId="16127" xr:uid="{00000000-0005-0000-0000-000045230000}"/>
    <cellStyle name="Normal 45 7 3" xfId="4897" xr:uid="{00000000-0005-0000-0000-000046230000}"/>
    <cellStyle name="Normal 45 7 3 2" xfId="4898" xr:uid="{00000000-0005-0000-0000-000047230000}"/>
    <cellStyle name="Normal 45 7 3 2 2" xfId="16128" xr:uid="{00000000-0005-0000-0000-000048230000}"/>
    <cellStyle name="Normal 45 7 3 3" xfId="4899" xr:uid="{00000000-0005-0000-0000-000049230000}"/>
    <cellStyle name="Normal 45 7 3 3 2" xfId="16129" xr:uid="{00000000-0005-0000-0000-00004A230000}"/>
    <cellStyle name="Normal 45 7 3 4" xfId="16130" xr:uid="{00000000-0005-0000-0000-00004B230000}"/>
    <cellStyle name="Normal 45 7 4" xfId="4900" xr:uid="{00000000-0005-0000-0000-00004C230000}"/>
    <cellStyle name="Normal 45 7 4 2" xfId="16131" xr:uid="{00000000-0005-0000-0000-00004D230000}"/>
    <cellStyle name="Normal 45 7 5" xfId="4901" xr:uid="{00000000-0005-0000-0000-00004E230000}"/>
    <cellStyle name="Normal 45 7 5 2" xfId="16132" xr:uid="{00000000-0005-0000-0000-00004F230000}"/>
    <cellStyle name="Normal 45 7 6" xfId="12377" xr:uid="{00000000-0005-0000-0000-000050230000}"/>
    <cellStyle name="Normal 45 8" xfId="4902" xr:uid="{00000000-0005-0000-0000-000051230000}"/>
    <cellStyle name="Normal 45 8 2" xfId="4903" xr:uid="{00000000-0005-0000-0000-000052230000}"/>
    <cellStyle name="Normal 45 8 2 2" xfId="4904" xr:uid="{00000000-0005-0000-0000-000053230000}"/>
    <cellStyle name="Normal 45 8 2 2 2" xfId="16133" xr:uid="{00000000-0005-0000-0000-000054230000}"/>
    <cellStyle name="Normal 45 8 2 3" xfId="4905" xr:uid="{00000000-0005-0000-0000-000055230000}"/>
    <cellStyle name="Normal 45 8 2 3 2" xfId="16134" xr:uid="{00000000-0005-0000-0000-000056230000}"/>
    <cellStyle name="Normal 45 8 2 4" xfId="16135" xr:uid="{00000000-0005-0000-0000-000057230000}"/>
    <cellStyle name="Normal 45 8 3" xfId="4906" xr:uid="{00000000-0005-0000-0000-000058230000}"/>
    <cellStyle name="Normal 45 8 3 2" xfId="4907" xr:uid="{00000000-0005-0000-0000-000059230000}"/>
    <cellStyle name="Normal 45 8 3 2 2" xfId="16136" xr:uid="{00000000-0005-0000-0000-00005A230000}"/>
    <cellStyle name="Normal 45 8 3 3" xfId="4908" xr:uid="{00000000-0005-0000-0000-00005B230000}"/>
    <cellStyle name="Normal 45 8 3 3 2" xfId="16137" xr:uid="{00000000-0005-0000-0000-00005C230000}"/>
    <cellStyle name="Normal 45 8 3 4" xfId="16138" xr:uid="{00000000-0005-0000-0000-00005D230000}"/>
    <cellStyle name="Normal 45 8 4" xfId="4909" xr:uid="{00000000-0005-0000-0000-00005E230000}"/>
    <cellStyle name="Normal 45 8 4 2" xfId="16139" xr:uid="{00000000-0005-0000-0000-00005F230000}"/>
    <cellStyle name="Normal 45 8 5" xfId="4910" xr:uid="{00000000-0005-0000-0000-000060230000}"/>
    <cellStyle name="Normal 45 8 5 2" xfId="16140" xr:uid="{00000000-0005-0000-0000-000061230000}"/>
    <cellStyle name="Normal 45 8 6" xfId="12378" xr:uid="{00000000-0005-0000-0000-000062230000}"/>
    <cellStyle name="Normal 45 9" xfId="4911" xr:uid="{00000000-0005-0000-0000-000063230000}"/>
    <cellStyle name="Normal 45 9 2" xfId="4912" xr:uid="{00000000-0005-0000-0000-000064230000}"/>
    <cellStyle name="Normal 45 9 2 2" xfId="16141" xr:uid="{00000000-0005-0000-0000-000065230000}"/>
    <cellStyle name="Normal 45 9 3" xfId="4913" xr:uid="{00000000-0005-0000-0000-000066230000}"/>
    <cellStyle name="Normal 45 9 3 2" xfId="16142" xr:uid="{00000000-0005-0000-0000-000067230000}"/>
    <cellStyle name="Normal 45 9 4" xfId="12379" xr:uid="{00000000-0005-0000-0000-000068230000}"/>
    <cellStyle name="Normal 450" xfId="4914" xr:uid="{00000000-0005-0000-0000-000069230000}"/>
    <cellStyle name="Normal 451" xfId="4915" xr:uid="{00000000-0005-0000-0000-00006A230000}"/>
    <cellStyle name="Normal 452" xfId="4916" xr:uid="{00000000-0005-0000-0000-00006B230000}"/>
    <cellStyle name="Normal 453" xfId="4917" xr:uid="{00000000-0005-0000-0000-00006C230000}"/>
    <cellStyle name="Normal 454" xfId="4918" xr:uid="{00000000-0005-0000-0000-00006D230000}"/>
    <cellStyle name="Normal 455" xfId="4919" xr:uid="{00000000-0005-0000-0000-00006E230000}"/>
    <cellStyle name="Normal 456" xfId="4920" xr:uid="{00000000-0005-0000-0000-00006F230000}"/>
    <cellStyle name="Normal 457" xfId="4921" xr:uid="{00000000-0005-0000-0000-000070230000}"/>
    <cellStyle name="Normal 458" xfId="4922" xr:uid="{00000000-0005-0000-0000-000071230000}"/>
    <cellStyle name="Normal 459" xfId="4923" xr:uid="{00000000-0005-0000-0000-000072230000}"/>
    <cellStyle name="Normal 46" xfId="4924" xr:uid="{00000000-0005-0000-0000-000073230000}"/>
    <cellStyle name="Normal 46 10" xfId="4925" xr:uid="{00000000-0005-0000-0000-000074230000}"/>
    <cellStyle name="Normal 46 10 2" xfId="4926" xr:uid="{00000000-0005-0000-0000-000075230000}"/>
    <cellStyle name="Normal 46 10 2 2" xfId="16143" xr:uid="{00000000-0005-0000-0000-000076230000}"/>
    <cellStyle name="Normal 46 10 3" xfId="4927" xr:uid="{00000000-0005-0000-0000-000077230000}"/>
    <cellStyle name="Normal 46 10 3 2" xfId="16144" xr:uid="{00000000-0005-0000-0000-000078230000}"/>
    <cellStyle name="Normal 46 10 4" xfId="12380" xr:uid="{00000000-0005-0000-0000-000079230000}"/>
    <cellStyle name="Normal 46 11" xfId="4928" xr:uid="{00000000-0005-0000-0000-00007A230000}"/>
    <cellStyle name="Normal 46 11 2" xfId="12381" xr:uid="{00000000-0005-0000-0000-00007B230000}"/>
    <cellStyle name="Normal 46 12" xfId="4929" xr:uid="{00000000-0005-0000-0000-00007C230000}"/>
    <cellStyle name="Normal 46 12 2" xfId="12382" xr:uid="{00000000-0005-0000-0000-00007D230000}"/>
    <cellStyle name="Normal 46 13" xfId="11134" xr:uid="{00000000-0005-0000-0000-00007E230000}"/>
    <cellStyle name="Normal 46 14" xfId="11135" xr:uid="{00000000-0005-0000-0000-00007F230000}"/>
    <cellStyle name="Normal 46 15" xfId="11136" xr:uid="{00000000-0005-0000-0000-000080230000}"/>
    <cellStyle name="Normal 46 16" xfId="11137" xr:uid="{00000000-0005-0000-0000-000081230000}"/>
    <cellStyle name="Normal 46 17" xfId="11138" xr:uid="{00000000-0005-0000-0000-000082230000}"/>
    <cellStyle name="Normal 46 18" xfId="11139" xr:uid="{00000000-0005-0000-0000-000083230000}"/>
    <cellStyle name="Normal 46 19" xfId="11140" xr:uid="{00000000-0005-0000-0000-000084230000}"/>
    <cellStyle name="Normal 46 2" xfId="4930" xr:uid="{00000000-0005-0000-0000-000085230000}"/>
    <cellStyle name="Normal 46 2 2" xfId="4931" xr:uid="{00000000-0005-0000-0000-000086230000}"/>
    <cellStyle name="Normal 46 2 2 2" xfId="4932" xr:uid="{00000000-0005-0000-0000-000087230000}"/>
    <cellStyle name="Normal 46 2 2 2 2" xfId="4933" xr:uid="{00000000-0005-0000-0000-000088230000}"/>
    <cellStyle name="Normal 46 2 2 2 2 2" xfId="4934" xr:uid="{00000000-0005-0000-0000-000089230000}"/>
    <cellStyle name="Normal 46 2 2 2 2 2 2" xfId="16145" xr:uid="{00000000-0005-0000-0000-00008A230000}"/>
    <cellStyle name="Normal 46 2 2 2 2 3" xfId="4935" xr:uid="{00000000-0005-0000-0000-00008B230000}"/>
    <cellStyle name="Normal 46 2 2 2 2 3 2" xfId="16146" xr:uid="{00000000-0005-0000-0000-00008C230000}"/>
    <cellStyle name="Normal 46 2 2 2 2 4" xfId="16147" xr:uid="{00000000-0005-0000-0000-00008D230000}"/>
    <cellStyle name="Normal 46 2 2 2 3" xfId="4936" xr:uid="{00000000-0005-0000-0000-00008E230000}"/>
    <cellStyle name="Normal 46 2 2 2 3 2" xfId="4937" xr:uid="{00000000-0005-0000-0000-00008F230000}"/>
    <cellStyle name="Normal 46 2 2 2 3 2 2" xfId="16148" xr:uid="{00000000-0005-0000-0000-000090230000}"/>
    <cellStyle name="Normal 46 2 2 2 3 3" xfId="4938" xr:uid="{00000000-0005-0000-0000-000091230000}"/>
    <cellStyle name="Normal 46 2 2 2 3 3 2" xfId="16149" xr:uid="{00000000-0005-0000-0000-000092230000}"/>
    <cellStyle name="Normal 46 2 2 2 3 4" xfId="16150" xr:uid="{00000000-0005-0000-0000-000093230000}"/>
    <cellStyle name="Normal 46 2 2 2 4" xfId="4939" xr:uid="{00000000-0005-0000-0000-000094230000}"/>
    <cellStyle name="Normal 46 2 2 2 4 2" xfId="16151" xr:uid="{00000000-0005-0000-0000-000095230000}"/>
    <cellStyle name="Normal 46 2 2 2 5" xfId="4940" xr:uid="{00000000-0005-0000-0000-000096230000}"/>
    <cellStyle name="Normal 46 2 2 2 5 2" xfId="16152" xr:uid="{00000000-0005-0000-0000-000097230000}"/>
    <cellStyle name="Normal 46 2 2 2 6" xfId="16153" xr:uid="{00000000-0005-0000-0000-000098230000}"/>
    <cellStyle name="Normal 46 2 2 3" xfId="4941" xr:uid="{00000000-0005-0000-0000-000099230000}"/>
    <cellStyle name="Normal 46 2 2 3 2" xfId="4942" xr:uid="{00000000-0005-0000-0000-00009A230000}"/>
    <cellStyle name="Normal 46 2 2 3 2 2" xfId="4943" xr:uid="{00000000-0005-0000-0000-00009B230000}"/>
    <cellStyle name="Normal 46 2 2 3 2 2 2" xfId="16154" xr:uid="{00000000-0005-0000-0000-00009C230000}"/>
    <cellStyle name="Normal 46 2 2 3 2 3" xfId="4944" xr:uid="{00000000-0005-0000-0000-00009D230000}"/>
    <cellStyle name="Normal 46 2 2 3 2 3 2" xfId="16155" xr:uid="{00000000-0005-0000-0000-00009E230000}"/>
    <cellStyle name="Normal 46 2 2 3 2 4" xfId="16156" xr:uid="{00000000-0005-0000-0000-00009F230000}"/>
    <cellStyle name="Normal 46 2 2 3 3" xfId="4945" xr:uid="{00000000-0005-0000-0000-0000A0230000}"/>
    <cellStyle name="Normal 46 2 2 3 3 2" xfId="4946" xr:uid="{00000000-0005-0000-0000-0000A1230000}"/>
    <cellStyle name="Normal 46 2 2 3 3 2 2" xfId="16157" xr:uid="{00000000-0005-0000-0000-0000A2230000}"/>
    <cellStyle name="Normal 46 2 2 3 3 3" xfId="4947" xr:uid="{00000000-0005-0000-0000-0000A3230000}"/>
    <cellStyle name="Normal 46 2 2 3 3 3 2" xfId="16158" xr:uid="{00000000-0005-0000-0000-0000A4230000}"/>
    <cellStyle name="Normal 46 2 2 3 3 4" xfId="16159" xr:uid="{00000000-0005-0000-0000-0000A5230000}"/>
    <cellStyle name="Normal 46 2 2 3 4" xfId="4948" xr:uid="{00000000-0005-0000-0000-0000A6230000}"/>
    <cellStyle name="Normal 46 2 2 3 4 2" xfId="16160" xr:uid="{00000000-0005-0000-0000-0000A7230000}"/>
    <cellStyle name="Normal 46 2 2 3 5" xfId="4949" xr:uid="{00000000-0005-0000-0000-0000A8230000}"/>
    <cellStyle name="Normal 46 2 2 3 5 2" xfId="16161" xr:uid="{00000000-0005-0000-0000-0000A9230000}"/>
    <cellStyle name="Normal 46 2 2 3 6" xfId="16162" xr:uid="{00000000-0005-0000-0000-0000AA230000}"/>
    <cellStyle name="Normal 46 2 2 4" xfId="4950" xr:uid="{00000000-0005-0000-0000-0000AB230000}"/>
    <cellStyle name="Normal 46 2 2 4 2" xfId="4951" xr:uid="{00000000-0005-0000-0000-0000AC230000}"/>
    <cellStyle name="Normal 46 2 2 4 2 2" xfId="16163" xr:uid="{00000000-0005-0000-0000-0000AD230000}"/>
    <cellStyle name="Normal 46 2 2 4 3" xfId="4952" xr:uid="{00000000-0005-0000-0000-0000AE230000}"/>
    <cellStyle name="Normal 46 2 2 4 3 2" xfId="16164" xr:uid="{00000000-0005-0000-0000-0000AF230000}"/>
    <cellStyle name="Normal 46 2 2 4 4" xfId="16165" xr:uid="{00000000-0005-0000-0000-0000B0230000}"/>
    <cellStyle name="Normal 46 2 2 5" xfId="4953" xr:uid="{00000000-0005-0000-0000-0000B1230000}"/>
    <cellStyle name="Normal 46 2 2 5 2" xfId="4954" xr:uid="{00000000-0005-0000-0000-0000B2230000}"/>
    <cellStyle name="Normal 46 2 2 5 2 2" xfId="16166" xr:uid="{00000000-0005-0000-0000-0000B3230000}"/>
    <cellStyle name="Normal 46 2 2 5 3" xfId="4955" xr:uid="{00000000-0005-0000-0000-0000B4230000}"/>
    <cellStyle name="Normal 46 2 2 5 3 2" xfId="16167" xr:uid="{00000000-0005-0000-0000-0000B5230000}"/>
    <cellStyle name="Normal 46 2 2 5 4" xfId="16168" xr:uid="{00000000-0005-0000-0000-0000B6230000}"/>
    <cellStyle name="Normal 46 2 2 6" xfId="4956" xr:uid="{00000000-0005-0000-0000-0000B7230000}"/>
    <cellStyle name="Normal 46 2 2 6 2" xfId="16169" xr:uid="{00000000-0005-0000-0000-0000B8230000}"/>
    <cellStyle name="Normal 46 2 2 7" xfId="4957" xr:uid="{00000000-0005-0000-0000-0000B9230000}"/>
    <cellStyle name="Normal 46 2 2 7 2" xfId="16170" xr:uid="{00000000-0005-0000-0000-0000BA230000}"/>
    <cellStyle name="Normal 46 2 2 8" xfId="12384" xr:uid="{00000000-0005-0000-0000-0000BB230000}"/>
    <cellStyle name="Normal 46 2 3" xfId="4958" xr:uid="{00000000-0005-0000-0000-0000BC230000}"/>
    <cellStyle name="Normal 46 2 3 2" xfId="4959" xr:uid="{00000000-0005-0000-0000-0000BD230000}"/>
    <cellStyle name="Normal 46 2 3 2 2" xfId="4960" xr:uid="{00000000-0005-0000-0000-0000BE230000}"/>
    <cellStyle name="Normal 46 2 3 2 2 2" xfId="16171" xr:uid="{00000000-0005-0000-0000-0000BF230000}"/>
    <cellStyle name="Normal 46 2 3 2 3" xfId="4961" xr:uid="{00000000-0005-0000-0000-0000C0230000}"/>
    <cellStyle name="Normal 46 2 3 2 3 2" xfId="16172" xr:uid="{00000000-0005-0000-0000-0000C1230000}"/>
    <cellStyle name="Normal 46 2 3 2 4" xfId="16173" xr:uid="{00000000-0005-0000-0000-0000C2230000}"/>
    <cellStyle name="Normal 46 2 3 3" xfId="4962" xr:uid="{00000000-0005-0000-0000-0000C3230000}"/>
    <cellStyle name="Normal 46 2 3 3 2" xfId="4963" xr:uid="{00000000-0005-0000-0000-0000C4230000}"/>
    <cellStyle name="Normal 46 2 3 3 2 2" xfId="16174" xr:uid="{00000000-0005-0000-0000-0000C5230000}"/>
    <cellStyle name="Normal 46 2 3 3 3" xfId="4964" xr:uid="{00000000-0005-0000-0000-0000C6230000}"/>
    <cellStyle name="Normal 46 2 3 3 3 2" xfId="16175" xr:uid="{00000000-0005-0000-0000-0000C7230000}"/>
    <cellStyle name="Normal 46 2 3 3 4" xfId="16176" xr:uid="{00000000-0005-0000-0000-0000C8230000}"/>
    <cellStyle name="Normal 46 2 3 4" xfId="4965" xr:uid="{00000000-0005-0000-0000-0000C9230000}"/>
    <cellStyle name="Normal 46 2 3 4 2" xfId="16177" xr:uid="{00000000-0005-0000-0000-0000CA230000}"/>
    <cellStyle name="Normal 46 2 3 5" xfId="4966" xr:uid="{00000000-0005-0000-0000-0000CB230000}"/>
    <cellStyle name="Normal 46 2 3 5 2" xfId="16178" xr:uid="{00000000-0005-0000-0000-0000CC230000}"/>
    <cellStyle name="Normal 46 2 3 6" xfId="16179" xr:uid="{00000000-0005-0000-0000-0000CD230000}"/>
    <cellStyle name="Normal 46 2 4" xfId="4967" xr:uid="{00000000-0005-0000-0000-0000CE230000}"/>
    <cellStyle name="Normal 46 2 4 2" xfId="4968" xr:uid="{00000000-0005-0000-0000-0000CF230000}"/>
    <cellStyle name="Normal 46 2 4 2 2" xfId="4969" xr:uid="{00000000-0005-0000-0000-0000D0230000}"/>
    <cellStyle name="Normal 46 2 4 2 2 2" xfId="16180" xr:uid="{00000000-0005-0000-0000-0000D1230000}"/>
    <cellStyle name="Normal 46 2 4 2 3" xfId="4970" xr:uid="{00000000-0005-0000-0000-0000D2230000}"/>
    <cellStyle name="Normal 46 2 4 2 3 2" xfId="16181" xr:uid="{00000000-0005-0000-0000-0000D3230000}"/>
    <cellStyle name="Normal 46 2 4 2 4" xfId="16182" xr:uid="{00000000-0005-0000-0000-0000D4230000}"/>
    <cellStyle name="Normal 46 2 4 3" xfId="4971" xr:uid="{00000000-0005-0000-0000-0000D5230000}"/>
    <cellStyle name="Normal 46 2 4 3 2" xfId="4972" xr:uid="{00000000-0005-0000-0000-0000D6230000}"/>
    <cellStyle name="Normal 46 2 4 3 2 2" xfId="16183" xr:uid="{00000000-0005-0000-0000-0000D7230000}"/>
    <cellStyle name="Normal 46 2 4 3 3" xfId="4973" xr:uid="{00000000-0005-0000-0000-0000D8230000}"/>
    <cellStyle name="Normal 46 2 4 3 3 2" xfId="16184" xr:uid="{00000000-0005-0000-0000-0000D9230000}"/>
    <cellStyle name="Normal 46 2 4 3 4" xfId="16185" xr:uid="{00000000-0005-0000-0000-0000DA230000}"/>
    <cellStyle name="Normal 46 2 4 4" xfId="4974" xr:uid="{00000000-0005-0000-0000-0000DB230000}"/>
    <cellStyle name="Normal 46 2 4 4 2" xfId="16186" xr:uid="{00000000-0005-0000-0000-0000DC230000}"/>
    <cellStyle name="Normal 46 2 4 5" xfId="4975" xr:uid="{00000000-0005-0000-0000-0000DD230000}"/>
    <cellStyle name="Normal 46 2 4 5 2" xfId="16187" xr:uid="{00000000-0005-0000-0000-0000DE230000}"/>
    <cellStyle name="Normal 46 2 4 6" xfId="16188" xr:uid="{00000000-0005-0000-0000-0000DF230000}"/>
    <cellStyle name="Normal 46 2 5" xfId="4976" xr:uid="{00000000-0005-0000-0000-0000E0230000}"/>
    <cellStyle name="Normal 46 2 5 2" xfId="4977" xr:uid="{00000000-0005-0000-0000-0000E1230000}"/>
    <cellStyle name="Normal 46 2 5 2 2" xfId="16189" xr:uid="{00000000-0005-0000-0000-0000E2230000}"/>
    <cellStyle name="Normal 46 2 5 3" xfId="4978" xr:uid="{00000000-0005-0000-0000-0000E3230000}"/>
    <cellStyle name="Normal 46 2 5 3 2" xfId="16190" xr:uid="{00000000-0005-0000-0000-0000E4230000}"/>
    <cellStyle name="Normal 46 2 5 4" xfId="16191" xr:uid="{00000000-0005-0000-0000-0000E5230000}"/>
    <cellStyle name="Normal 46 2 6" xfId="4979" xr:uid="{00000000-0005-0000-0000-0000E6230000}"/>
    <cellStyle name="Normal 46 2 6 2" xfId="4980" xr:uid="{00000000-0005-0000-0000-0000E7230000}"/>
    <cellStyle name="Normal 46 2 6 2 2" xfId="16192" xr:uid="{00000000-0005-0000-0000-0000E8230000}"/>
    <cellStyle name="Normal 46 2 6 3" xfId="4981" xr:uid="{00000000-0005-0000-0000-0000E9230000}"/>
    <cellStyle name="Normal 46 2 6 3 2" xfId="16193" xr:uid="{00000000-0005-0000-0000-0000EA230000}"/>
    <cellStyle name="Normal 46 2 6 4" xfId="16194" xr:uid="{00000000-0005-0000-0000-0000EB230000}"/>
    <cellStyle name="Normal 46 2 7" xfId="4982" xr:uid="{00000000-0005-0000-0000-0000EC230000}"/>
    <cellStyle name="Normal 46 2 7 2" xfId="16195" xr:uid="{00000000-0005-0000-0000-0000ED230000}"/>
    <cellStyle name="Normal 46 2 8" xfId="4983" xr:uid="{00000000-0005-0000-0000-0000EE230000}"/>
    <cellStyle name="Normal 46 2 8 2" xfId="16196" xr:uid="{00000000-0005-0000-0000-0000EF230000}"/>
    <cellStyle name="Normal 46 2 9" xfId="12383" xr:uid="{00000000-0005-0000-0000-0000F0230000}"/>
    <cellStyle name="Normal 46 20" xfId="11141" xr:uid="{00000000-0005-0000-0000-0000F1230000}"/>
    <cellStyle name="Normal 46 3" xfId="4984" xr:uid="{00000000-0005-0000-0000-0000F2230000}"/>
    <cellStyle name="Normal 46 3 2" xfId="4985" xr:uid="{00000000-0005-0000-0000-0000F3230000}"/>
    <cellStyle name="Normal 46 3 2 2" xfId="4986" xr:uid="{00000000-0005-0000-0000-0000F4230000}"/>
    <cellStyle name="Normal 46 3 2 2 2" xfId="4987" xr:uid="{00000000-0005-0000-0000-0000F5230000}"/>
    <cellStyle name="Normal 46 3 2 2 2 2" xfId="16197" xr:uid="{00000000-0005-0000-0000-0000F6230000}"/>
    <cellStyle name="Normal 46 3 2 2 3" xfId="4988" xr:uid="{00000000-0005-0000-0000-0000F7230000}"/>
    <cellStyle name="Normal 46 3 2 2 3 2" xfId="16198" xr:uid="{00000000-0005-0000-0000-0000F8230000}"/>
    <cellStyle name="Normal 46 3 2 2 4" xfId="16199" xr:uid="{00000000-0005-0000-0000-0000F9230000}"/>
    <cellStyle name="Normal 46 3 2 3" xfId="4989" xr:uid="{00000000-0005-0000-0000-0000FA230000}"/>
    <cellStyle name="Normal 46 3 2 3 2" xfId="4990" xr:uid="{00000000-0005-0000-0000-0000FB230000}"/>
    <cellStyle name="Normal 46 3 2 3 2 2" xfId="16200" xr:uid="{00000000-0005-0000-0000-0000FC230000}"/>
    <cellStyle name="Normal 46 3 2 3 3" xfId="4991" xr:uid="{00000000-0005-0000-0000-0000FD230000}"/>
    <cellStyle name="Normal 46 3 2 3 3 2" xfId="16201" xr:uid="{00000000-0005-0000-0000-0000FE230000}"/>
    <cellStyle name="Normal 46 3 2 3 4" xfId="16202" xr:uid="{00000000-0005-0000-0000-0000FF230000}"/>
    <cellStyle name="Normal 46 3 2 4" xfId="4992" xr:uid="{00000000-0005-0000-0000-000000240000}"/>
    <cellStyle name="Normal 46 3 2 4 2" xfId="16203" xr:uid="{00000000-0005-0000-0000-000001240000}"/>
    <cellStyle name="Normal 46 3 2 5" xfId="4993" xr:uid="{00000000-0005-0000-0000-000002240000}"/>
    <cellStyle name="Normal 46 3 2 5 2" xfId="16204" xr:uid="{00000000-0005-0000-0000-000003240000}"/>
    <cellStyle name="Normal 46 3 2 6" xfId="12386" xr:uid="{00000000-0005-0000-0000-000004240000}"/>
    <cellStyle name="Normal 46 3 3" xfId="4994" xr:uid="{00000000-0005-0000-0000-000005240000}"/>
    <cellStyle name="Normal 46 3 3 2" xfId="4995" xr:uid="{00000000-0005-0000-0000-000006240000}"/>
    <cellStyle name="Normal 46 3 3 2 2" xfId="4996" xr:uid="{00000000-0005-0000-0000-000007240000}"/>
    <cellStyle name="Normal 46 3 3 2 2 2" xfId="16205" xr:uid="{00000000-0005-0000-0000-000008240000}"/>
    <cellStyle name="Normal 46 3 3 2 3" xfId="4997" xr:uid="{00000000-0005-0000-0000-000009240000}"/>
    <cellStyle name="Normal 46 3 3 2 3 2" xfId="16206" xr:uid="{00000000-0005-0000-0000-00000A240000}"/>
    <cellStyle name="Normal 46 3 3 2 4" xfId="16207" xr:uid="{00000000-0005-0000-0000-00000B240000}"/>
    <cellStyle name="Normal 46 3 3 3" xfId="4998" xr:uid="{00000000-0005-0000-0000-00000C240000}"/>
    <cellStyle name="Normal 46 3 3 3 2" xfId="4999" xr:uid="{00000000-0005-0000-0000-00000D240000}"/>
    <cellStyle name="Normal 46 3 3 3 2 2" xfId="16208" xr:uid="{00000000-0005-0000-0000-00000E240000}"/>
    <cellStyle name="Normal 46 3 3 3 3" xfId="5000" xr:uid="{00000000-0005-0000-0000-00000F240000}"/>
    <cellStyle name="Normal 46 3 3 3 3 2" xfId="16209" xr:uid="{00000000-0005-0000-0000-000010240000}"/>
    <cellStyle name="Normal 46 3 3 3 4" xfId="16210" xr:uid="{00000000-0005-0000-0000-000011240000}"/>
    <cellStyle name="Normal 46 3 3 4" xfId="5001" xr:uid="{00000000-0005-0000-0000-000012240000}"/>
    <cellStyle name="Normal 46 3 3 4 2" xfId="16211" xr:uid="{00000000-0005-0000-0000-000013240000}"/>
    <cellStyle name="Normal 46 3 3 5" xfId="5002" xr:uid="{00000000-0005-0000-0000-000014240000}"/>
    <cellStyle name="Normal 46 3 3 5 2" xfId="16212" xr:uid="{00000000-0005-0000-0000-000015240000}"/>
    <cellStyle name="Normal 46 3 3 6" xfId="16213" xr:uid="{00000000-0005-0000-0000-000016240000}"/>
    <cellStyle name="Normal 46 3 4" xfId="5003" xr:uid="{00000000-0005-0000-0000-000017240000}"/>
    <cellStyle name="Normal 46 3 4 2" xfId="5004" xr:uid="{00000000-0005-0000-0000-000018240000}"/>
    <cellStyle name="Normal 46 3 4 2 2" xfId="16214" xr:uid="{00000000-0005-0000-0000-000019240000}"/>
    <cellStyle name="Normal 46 3 4 3" xfId="5005" xr:uid="{00000000-0005-0000-0000-00001A240000}"/>
    <cellStyle name="Normal 46 3 4 3 2" xfId="16215" xr:uid="{00000000-0005-0000-0000-00001B240000}"/>
    <cellStyle name="Normal 46 3 4 4" xfId="16216" xr:uid="{00000000-0005-0000-0000-00001C240000}"/>
    <cellStyle name="Normal 46 3 5" xfId="5006" xr:uid="{00000000-0005-0000-0000-00001D240000}"/>
    <cellStyle name="Normal 46 3 5 2" xfId="5007" xr:uid="{00000000-0005-0000-0000-00001E240000}"/>
    <cellStyle name="Normal 46 3 5 2 2" xfId="16217" xr:uid="{00000000-0005-0000-0000-00001F240000}"/>
    <cellStyle name="Normal 46 3 5 3" xfId="5008" xr:uid="{00000000-0005-0000-0000-000020240000}"/>
    <cellStyle name="Normal 46 3 5 3 2" xfId="16218" xr:uid="{00000000-0005-0000-0000-000021240000}"/>
    <cellStyle name="Normal 46 3 5 4" xfId="16219" xr:uid="{00000000-0005-0000-0000-000022240000}"/>
    <cellStyle name="Normal 46 3 6" xfId="5009" xr:uid="{00000000-0005-0000-0000-000023240000}"/>
    <cellStyle name="Normal 46 3 6 2" xfId="16220" xr:uid="{00000000-0005-0000-0000-000024240000}"/>
    <cellStyle name="Normal 46 3 7" xfId="5010" xr:uid="{00000000-0005-0000-0000-000025240000}"/>
    <cellStyle name="Normal 46 3 7 2" xfId="16221" xr:uid="{00000000-0005-0000-0000-000026240000}"/>
    <cellStyle name="Normal 46 3 8" xfId="12385" xr:uid="{00000000-0005-0000-0000-000027240000}"/>
    <cellStyle name="Normal 46 4" xfId="5011" xr:uid="{00000000-0005-0000-0000-000028240000}"/>
    <cellStyle name="Normal 46 4 2" xfId="5012" xr:uid="{00000000-0005-0000-0000-000029240000}"/>
    <cellStyle name="Normal 46 4 2 2" xfId="5013" xr:uid="{00000000-0005-0000-0000-00002A240000}"/>
    <cellStyle name="Normal 46 4 2 2 2" xfId="5014" xr:uid="{00000000-0005-0000-0000-00002B240000}"/>
    <cellStyle name="Normal 46 4 2 2 2 2" xfId="16222" xr:uid="{00000000-0005-0000-0000-00002C240000}"/>
    <cellStyle name="Normal 46 4 2 2 3" xfId="5015" xr:uid="{00000000-0005-0000-0000-00002D240000}"/>
    <cellStyle name="Normal 46 4 2 2 3 2" xfId="16223" xr:uid="{00000000-0005-0000-0000-00002E240000}"/>
    <cellStyle name="Normal 46 4 2 2 4" xfId="16224" xr:uid="{00000000-0005-0000-0000-00002F240000}"/>
    <cellStyle name="Normal 46 4 2 3" xfId="5016" xr:uid="{00000000-0005-0000-0000-000030240000}"/>
    <cellStyle name="Normal 46 4 2 3 2" xfId="5017" xr:uid="{00000000-0005-0000-0000-000031240000}"/>
    <cellStyle name="Normal 46 4 2 3 2 2" xfId="16225" xr:uid="{00000000-0005-0000-0000-000032240000}"/>
    <cellStyle name="Normal 46 4 2 3 3" xfId="5018" xr:uid="{00000000-0005-0000-0000-000033240000}"/>
    <cellStyle name="Normal 46 4 2 3 3 2" xfId="16226" xr:uid="{00000000-0005-0000-0000-000034240000}"/>
    <cellStyle name="Normal 46 4 2 3 4" xfId="16227" xr:uid="{00000000-0005-0000-0000-000035240000}"/>
    <cellStyle name="Normal 46 4 2 4" xfId="5019" xr:uid="{00000000-0005-0000-0000-000036240000}"/>
    <cellStyle name="Normal 46 4 2 4 2" xfId="16228" xr:uid="{00000000-0005-0000-0000-000037240000}"/>
    <cellStyle name="Normal 46 4 2 5" xfId="5020" xr:uid="{00000000-0005-0000-0000-000038240000}"/>
    <cellStyle name="Normal 46 4 2 5 2" xfId="16229" xr:uid="{00000000-0005-0000-0000-000039240000}"/>
    <cellStyle name="Normal 46 4 2 6" xfId="12388" xr:uid="{00000000-0005-0000-0000-00003A240000}"/>
    <cellStyle name="Normal 46 4 3" xfId="5021" xr:uid="{00000000-0005-0000-0000-00003B240000}"/>
    <cellStyle name="Normal 46 4 3 2" xfId="5022" xr:uid="{00000000-0005-0000-0000-00003C240000}"/>
    <cellStyle name="Normal 46 4 3 2 2" xfId="5023" xr:uid="{00000000-0005-0000-0000-00003D240000}"/>
    <cellStyle name="Normal 46 4 3 2 2 2" xfId="16230" xr:uid="{00000000-0005-0000-0000-00003E240000}"/>
    <cellStyle name="Normal 46 4 3 2 3" xfId="5024" xr:uid="{00000000-0005-0000-0000-00003F240000}"/>
    <cellStyle name="Normal 46 4 3 2 3 2" xfId="16231" xr:uid="{00000000-0005-0000-0000-000040240000}"/>
    <cellStyle name="Normal 46 4 3 2 4" xfId="16232" xr:uid="{00000000-0005-0000-0000-000041240000}"/>
    <cellStyle name="Normal 46 4 3 3" xfId="5025" xr:uid="{00000000-0005-0000-0000-000042240000}"/>
    <cellStyle name="Normal 46 4 3 3 2" xfId="5026" xr:uid="{00000000-0005-0000-0000-000043240000}"/>
    <cellStyle name="Normal 46 4 3 3 2 2" xfId="16233" xr:uid="{00000000-0005-0000-0000-000044240000}"/>
    <cellStyle name="Normal 46 4 3 3 3" xfId="5027" xr:uid="{00000000-0005-0000-0000-000045240000}"/>
    <cellStyle name="Normal 46 4 3 3 3 2" xfId="16234" xr:uid="{00000000-0005-0000-0000-000046240000}"/>
    <cellStyle name="Normal 46 4 3 3 4" xfId="16235" xr:uid="{00000000-0005-0000-0000-000047240000}"/>
    <cellStyle name="Normal 46 4 3 4" xfId="5028" xr:uid="{00000000-0005-0000-0000-000048240000}"/>
    <cellStyle name="Normal 46 4 3 4 2" xfId="16236" xr:uid="{00000000-0005-0000-0000-000049240000}"/>
    <cellStyle name="Normal 46 4 3 5" xfId="5029" xr:uid="{00000000-0005-0000-0000-00004A240000}"/>
    <cellStyle name="Normal 46 4 3 5 2" xfId="16237" xr:uid="{00000000-0005-0000-0000-00004B240000}"/>
    <cellStyle name="Normal 46 4 3 6" xfId="16238" xr:uid="{00000000-0005-0000-0000-00004C240000}"/>
    <cellStyle name="Normal 46 4 4" xfId="5030" xr:uid="{00000000-0005-0000-0000-00004D240000}"/>
    <cellStyle name="Normal 46 4 4 2" xfId="5031" xr:uid="{00000000-0005-0000-0000-00004E240000}"/>
    <cellStyle name="Normal 46 4 4 2 2" xfId="16239" xr:uid="{00000000-0005-0000-0000-00004F240000}"/>
    <cellStyle name="Normal 46 4 4 3" xfId="5032" xr:uid="{00000000-0005-0000-0000-000050240000}"/>
    <cellStyle name="Normal 46 4 4 3 2" xfId="16240" xr:uid="{00000000-0005-0000-0000-000051240000}"/>
    <cellStyle name="Normal 46 4 4 4" xfId="16241" xr:uid="{00000000-0005-0000-0000-000052240000}"/>
    <cellStyle name="Normal 46 4 5" xfId="5033" xr:uid="{00000000-0005-0000-0000-000053240000}"/>
    <cellStyle name="Normal 46 4 5 2" xfId="5034" xr:uid="{00000000-0005-0000-0000-000054240000}"/>
    <cellStyle name="Normal 46 4 5 2 2" xfId="16242" xr:uid="{00000000-0005-0000-0000-000055240000}"/>
    <cellStyle name="Normal 46 4 5 3" xfId="5035" xr:uid="{00000000-0005-0000-0000-000056240000}"/>
    <cellStyle name="Normal 46 4 5 3 2" xfId="16243" xr:uid="{00000000-0005-0000-0000-000057240000}"/>
    <cellStyle name="Normal 46 4 5 4" xfId="16244" xr:uid="{00000000-0005-0000-0000-000058240000}"/>
    <cellStyle name="Normal 46 4 6" xfId="5036" xr:uid="{00000000-0005-0000-0000-000059240000}"/>
    <cellStyle name="Normal 46 4 6 2" xfId="16245" xr:uid="{00000000-0005-0000-0000-00005A240000}"/>
    <cellStyle name="Normal 46 4 7" xfId="5037" xr:uid="{00000000-0005-0000-0000-00005B240000}"/>
    <cellStyle name="Normal 46 4 7 2" xfId="16246" xr:uid="{00000000-0005-0000-0000-00005C240000}"/>
    <cellStyle name="Normal 46 4 8" xfId="12387" xr:uid="{00000000-0005-0000-0000-00005D240000}"/>
    <cellStyle name="Normal 46 5" xfId="5038" xr:uid="{00000000-0005-0000-0000-00005E240000}"/>
    <cellStyle name="Normal 46 5 2" xfId="11142" xr:uid="{00000000-0005-0000-0000-00005F240000}"/>
    <cellStyle name="Normal 46 6" xfId="5039" xr:uid="{00000000-0005-0000-0000-000060240000}"/>
    <cellStyle name="Normal 46 6 2" xfId="5040" xr:uid="{00000000-0005-0000-0000-000061240000}"/>
    <cellStyle name="Normal 46 6 2 2" xfId="5041" xr:uid="{00000000-0005-0000-0000-000062240000}"/>
    <cellStyle name="Normal 46 6 2 2 2" xfId="16247" xr:uid="{00000000-0005-0000-0000-000063240000}"/>
    <cellStyle name="Normal 46 6 2 3" xfId="5042" xr:uid="{00000000-0005-0000-0000-000064240000}"/>
    <cellStyle name="Normal 46 6 2 3 2" xfId="16248" xr:uid="{00000000-0005-0000-0000-000065240000}"/>
    <cellStyle name="Normal 46 6 2 4" xfId="12390" xr:uid="{00000000-0005-0000-0000-000066240000}"/>
    <cellStyle name="Normal 46 6 3" xfId="5043" xr:uid="{00000000-0005-0000-0000-000067240000}"/>
    <cellStyle name="Normal 46 6 3 2" xfId="5044" xr:uid="{00000000-0005-0000-0000-000068240000}"/>
    <cellStyle name="Normal 46 6 3 2 2" xfId="16249" xr:uid="{00000000-0005-0000-0000-000069240000}"/>
    <cellStyle name="Normal 46 6 3 3" xfId="5045" xr:uid="{00000000-0005-0000-0000-00006A240000}"/>
    <cellStyle name="Normal 46 6 3 3 2" xfId="16250" xr:uid="{00000000-0005-0000-0000-00006B240000}"/>
    <cellStyle name="Normal 46 6 3 4" xfId="16251" xr:uid="{00000000-0005-0000-0000-00006C240000}"/>
    <cellStyle name="Normal 46 6 4" xfId="5046" xr:uid="{00000000-0005-0000-0000-00006D240000}"/>
    <cellStyle name="Normal 46 6 4 2" xfId="16252" xr:uid="{00000000-0005-0000-0000-00006E240000}"/>
    <cellStyle name="Normal 46 6 5" xfId="5047" xr:uid="{00000000-0005-0000-0000-00006F240000}"/>
    <cellStyle name="Normal 46 6 5 2" xfId="16253" xr:uid="{00000000-0005-0000-0000-000070240000}"/>
    <cellStyle name="Normal 46 6 6" xfId="12389" xr:uid="{00000000-0005-0000-0000-000071240000}"/>
    <cellStyle name="Normal 46 7" xfId="5048" xr:uid="{00000000-0005-0000-0000-000072240000}"/>
    <cellStyle name="Normal 46 7 2" xfId="5049" xr:uid="{00000000-0005-0000-0000-000073240000}"/>
    <cellStyle name="Normal 46 7 2 2" xfId="5050" xr:uid="{00000000-0005-0000-0000-000074240000}"/>
    <cellStyle name="Normal 46 7 2 2 2" xfId="16254" xr:uid="{00000000-0005-0000-0000-000075240000}"/>
    <cellStyle name="Normal 46 7 2 3" xfId="5051" xr:uid="{00000000-0005-0000-0000-000076240000}"/>
    <cellStyle name="Normal 46 7 2 3 2" xfId="16255" xr:uid="{00000000-0005-0000-0000-000077240000}"/>
    <cellStyle name="Normal 46 7 2 4" xfId="16256" xr:uid="{00000000-0005-0000-0000-000078240000}"/>
    <cellStyle name="Normal 46 7 3" xfId="5052" xr:uid="{00000000-0005-0000-0000-000079240000}"/>
    <cellStyle name="Normal 46 7 3 2" xfId="5053" xr:uid="{00000000-0005-0000-0000-00007A240000}"/>
    <cellStyle name="Normal 46 7 3 2 2" xfId="16257" xr:uid="{00000000-0005-0000-0000-00007B240000}"/>
    <cellStyle name="Normal 46 7 3 3" xfId="5054" xr:uid="{00000000-0005-0000-0000-00007C240000}"/>
    <cellStyle name="Normal 46 7 3 3 2" xfId="16258" xr:uid="{00000000-0005-0000-0000-00007D240000}"/>
    <cellStyle name="Normal 46 7 3 4" xfId="16259" xr:uid="{00000000-0005-0000-0000-00007E240000}"/>
    <cellStyle name="Normal 46 7 4" xfId="5055" xr:uid="{00000000-0005-0000-0000-00007F240000}"/>
    <cellStyle name="Normal 46 7 4 2" xfId="16260" xr:uid="{00000000-0005-0000-0000-000080240000}"/>
    <cellStyle name="Normal 46 7 5" xfId="5056" xr:uid="{00000000-0005-0000-0000-000081240000}"/>
    <cellStyle name="Normal 46 7 5 2" xfId="16261" xr:uid="{00000000-0005-0000-0000-000082240000}"/>
    <cellStyle name="Normal 46 7 6" xfId="12391" xr:uid="{00000000-0005-0000-0000-000083240000}"/>
    <cellStyle name="Normal 46 8" xfId="5057" xr:uid="{00000000-0005-0000-0000-000084240000}"/>
    <cellStyle name="Normal 46 8 2" xfId="5058" xr:uid="{00000000-0005-0000-0000-000085240000}"/>
    <cellStyle name="Normal 46 8 2 2" xfId="5059" xr:uid="{00000000-0005-0000-0000-000086240000}"/>
    <cellStyle name="Normal 46 8 2 2 2" xfId="16262" xr:uid="{00000000-0005-0000-0000-000087240000}"/>
    <cellStyle name="Normal 46 8 2 3" xfId="5060" xr:uid="{00000000-0005-0000-0000-000088240000}"/>
    <cellStyle name="Normal 46 8 2 3 2" xfId="16263" xr:uid="{00000000-0005-0000-0000-000089240000}"/>
    <cellStyle name="Normal 46 8 2 4" xfId="16264" xr:uid="{00000000-0005-0000-0000-00008A240000}"/>
    <cellStyle name="Normal 46 8 3" xfId="5061" xr:uid="{00000000-0005-0000-0000-00008B240000}"/>
    <cellStyle name="Normal 46 8 3 2" xfId="5062" xr:uid="{00000000-0005-0000-0000-00008C240000}"/>
    <cellStyle name="Normal 46 8 3 2 2" xfId="16265" xr:uid="{00000000-0005-0000-0000-00008D240000}"/>
    <cellStyle name="Normal 46 8 3 3" xfId="5063" xr:uid="{00000000-0005-0000-0000-00008E240000}"/>
    <cellStyle name="Normal 46 8 3 3 2" xfId="16266" xr:uid="{00000000-0005-0000-0000-00008F240000}"/>
    <cellStyle name="Normal 46 8 3 4" xfId="16267" xr:uid="{00000000-0005-0000-0000-000090240000}"/>
    <cellStyle name="Normal 46 8 4" xfId="5064" xr:uid="{00000000-0005-0000-0000-000091240000}"/>
    <cellStyle name="Normal 46 8 4 2" xfId="16268" xr:uid="{00000000-0005-0000-0000-000092240000}"/>
    <cellStyle name="Normal 46 8 5" xfId="5065" xr:uid="{00000000-0005-0000-0000-000093240000}"/>
    <cellStyle name="Normal 46 8 5 2" xfId="16269" xr:uid="{00000000-0005-0000-0000-000094240000}"/>
    <cellStyle name="Normal 46 8 6" xfId="12392" xr:uid="{00000000-0005-0000-0000-000095240000}"/>
    <cellStyle name="Normal 46 9" xfId="5066" xr:uid="{00000000-0005-0000-0000-000096240000}"/>
    <cellStyle name="Normal 46 9 2" xfId="5067" xr:uid="{00000000-0005-0000-0000-000097240000}"/>
    <cellStyle name="Normal 46 9 2 2" xfId="16270" xr:uid="{00000000-0005-0000-0000-000098240000}"/>
    <cellStyle name="Normal 46 9 3" xfId="5068" xr:uid="{00000000-0005-0000-0000-000099240000}"/>
    <cellStyle name="Normal 46 9 3 2" xfId="16271" xr:uid="{00000000-0005-0000-0000-00009A240000}"/>
    <cellStyle name="Normal 46 9 4" xfId="12393" xr:uid="{00000000-0005-0000-0000-00009B240000}"/>
    <cellStyle name="Normal 460" xfId="5069" xr:uid="{00000000-0005-0000-0000-00009C240000}"/>
    <cellStyle name="Normal 461" xfId="5070" xr:uid="{00000000-0005-0000-0000-00009D240000}"/>
    <cellStyle name="Normal 462" xfId="5071" xr:uid="{00000000-0005-0000-0000-00009E240000}"/>
    <cellStyle name="Normal 463" xfId="5072" xr:uid="{00000000-0005-0000-0000-00009F240000}"/>
    <cellStyle name="Normal 464" xfId="5073" xr:uid="{00000000-0005-0000-0000-0000A0240000}"/>
    <cellStyle name="Normal 465" xfId="5074" xr:uid="{00000000-0005-0000-0000-0000A1240000}"/>
    <cellStyle name="Normal 466" xfId="5075" xr:uid="{00000000-0005-0000-0000-0000A2240000}"/>
    <cellStyle name="Normal 467" xfId="5076" xr:uid="{00000000-0005-0000-0000-0000A3240000}"/>
    <cellStyle name="Normal 468" xfId="5077" xr:uid="{00000000-0005-0000-0000-0000A4240000}"/>
    <cellStyle name="Normal 469" xfId="5078" xr:uid="{00000000-0005-0000-0000-0000A5240000}"/>
    <cellStyle name="Normal 47" xfId="5079" xr:uid="{00000000-0005-0000-0000-0000A6240000}"/>
    <cellStyle name="Normal 47 10" xfId="5080" xr:uid="{00000000-0005-0000-0000-0000A7240000}"/>
    <cellStyle name="Normal 47 10 2" xfId="5081" xr:uid="{00000000-0005-0000-0000-0000A8240000}"/>
    <cellStyle name="Normal 47 10 2 2" xfId="16272" xr:uid="{00000000-0005-0000-0000-0000A9240000}"/>
    <cellStyle name="Normal 47 10 3" xfId="5082" xr:uid="{00000000-0005-0000-0000-0000AA240000}"/>
    <cellStyle name="Normal 47 10 3 2" xfId="16273" xr:uid="{00000000-0005-0000-0000-0000AB240000}"/>
    <cellStyle name="Normal 47 10 4" xfId="12394" xr:uid="{00000000-0005-0000-0000-0000AC240000}"/>
    <cellStyle name="Normal 47 11" xfId="5083" xr:uid="{00000000-0005-0000-0000-0000AD240000}"/>
    <cellStyle name="Normal 47 11 2" xfId="12395" xr:uid="{00000000-0005-0000-0000-0000AE240000}"/>
    <cellStyle name="Normal 47 12" xfId="5084" xr:uid="{00000000-0005-0000-0000-0000AF240000}"/>
    <cellStyle name="Normal 47 12 2" xfId="12396" xr:uid="{00000000-0005-0000-0000-0000B0240000}"/>
    <cellStyle name="Normal 47 13" xfId="11143" xr:uid="{00000000-0005-0000-0000-0000B1240000}"/>
    <cellStyle name="Normal 47 14" xfId="11144" xr:uid="{00000000-0005-0000-0000-0000B2240000}"/>
    <cellStyle name="Normal 47 15" xfId="11145" xr:uid="{00000000-0005-0000-0000-0000B3240000}"/>
    <cellStyle name="Normal 47 16" xfId="11146" xr:uid="{00000000-0005-0000-0000-0000B4240000}"/>
    <cellStyle name="Normal 47 17" xfId="11147" xr:uid="{00000000-0005-0000-0000-0000B5240000}"/>
    <cellStyle name="Normal 47 18" xfId="11148" xr:uid="{00000000-0005-0000-0000-0000B6240000}"/>
    <cellStyle name="Normal 47 19" xfId="11149" xr:uid="{00000000-0005-0000-0000-0000B7240000}"/>
    <cellStyle name="Normal 47 2" xfId="5085" xr:uid="{00000000-0005-0000-0000-0000B8240000}"/>
    <cellStyle name="Normal 47 2 2" xfId="5086" xr:uid="{00000000-0005-0000-0000-0000B9240000}"/>
    <cellStyle name="Normal 47 2 2 2" xfId="5087" xr:uid="{00000000-0005-0000-0000-0000BA240000}"/>
    <cellStyle name="Normal 47 2 2 2 2" xfId="5088" xr:uid="{00000000-0005-0000-0000-0000BB240000}"/>
    <cellStyle name="Normal 47 2 2 2 2 2" xfId="5089" xr:uid="{00000000-0005-0000-0000-0000BC240000}"/>
    <cellStyle name="Normal 47 2 2 2 2 2 2" xfId="16274" xr:uid="{00000000-0005-0000-0000-0000BD240000}"/>
    <cellStyle name="Normal 47 2 2 2 2 3" xfId="5090" xr:uid="{00000000-0005-0000-0000-0000BE240000}"/>
    <cellStyle name="Normal 47 2 2 2 2 3 2" xfId="16275" xr:uid="{00000000-0005-0000-0000-0000BF240000}"/>
    <cellStyle name="Normal 47 2 2 2 2 4" xfId="16276" xr:uid="{00000000-0005-0000-0000-0000C0240000}"/>
    <cellStyle name="Normal 47 2 2 2 3" xfId="5091" xr:uid="{00000000-0005-0000-0000-0000C1240000}"/>
    <cellStyle name="Normal 47 2 2 2 3 2" xfId="5092" xr:uid="{00000000-0005-0000-0000-0000C2240000}"/>
    <cellStyle name="Normal 47 2 2 2 3 2 2" xfId="16277" xr:uid="{00000000-0005-0000-0000-0000C3240000}"/>
    <cellStyle name="Normal 47 2 2 2 3 3" xfId="5093" xr:uid="{00000000-0005-0000-0000-0000C4240000}"/>
    <cellStyle name="Normal 47 2 2 2 3 3 2" xfId="16278" xr:uid="{00000000-0005-0000-0000-0000C5240000}"/>
    <cellStyle name="Normal 47 2 2 2 3 4" xfId="16279" xr:uid="{00000000-0005-0000-0000-0000C6240000}"/>
    <cellStyle name="Normal 47 2 2 2 4" xfId="5094" xr:uid="{00000000-0005-0000-0000-0000C7240000}"/>
    <cellStyle name="Normal 47 2 2 2 4 2" xfId="16280" xr:uid="{00000000-0005-0000-0000-0000C8240000}"/>
    <cellStyle name="Normal 47 2 2 2 5" xfId="5095" xr:uid="{00000000-0005-0000-0000-0000C9240000}"/>
    <cellStyle name="Normal 47 2 2 2 5 2" xfId="16281" xr:uid="{00000000-0005-0000-0000-0000CA240000}"/>
    <cellStyle name="Normal 47 2 2 2 6" xfId="16282" xr:uid="{00000000-0005-0000-0000-0000CB240000}"/>
    <cellStyle name="Normal 47 2 2 3" xfId="5096" xr:uid="{00000000-0005-0000-0000-0000CC240000}"/>
    <cellStyle name="Normal 47 2 2 3 2" xfId="5097" xr:uid="{00000000-0005-0000-0000-0000CD240000}"/>
    <cellStyle name="Normal 47 2 2 3 2 2" xfId="5098" xr:uid="{00000000-0005-0000-0000-0000CE240000}"/>
    <cellStyle name="Normal 47 2 2 3 2 2 2" xfId="16283" xr:uid="{00000000-0005-0000-0000-0000CF240000}"/>
    <cellStyle name="Normal 47 2 2 3 2 3" xfId="5099" xr:uid="{00000000-0005-0000-0000-0000D0240000}"/>
    <cellStyle name="Normal 47 2 2 3 2 3 2" xfId="16284" xr:uid="{00000000-0005-0000-0000-0000D1240000}"/>
    <cellStyle name="Normal 47 2 2 3 2 4" xfId="16285" xr:uid="{00000000-0005-0000-0000-0000D2240000}"/>
    <cellStyle name="Normal 47 2 2 3 3" xfId="5100" xr:uid="{00000000-0005-0000-0000-0000D3240000}"/>
    <cellStyle name="Normal 47 2 2 3 3 2" xfId="5101" xr:uid="{00000000-0005-0000-0000-0000D4240000}"/>
    <cellStyle name="Normal 47 2 2 3 3 2 2" xfId="16286" xr:uid="{00000000-0005-0000-0000-0000D5240000}"/>
    <cellStyle name="Normal 47 2 2 3 3 3" xfId="5102" xr:uid="{00000000-0005-0000-0000-0000D6240000}"/>
    <cellStyle name="Normal 47 2 2 3 3 3 2" xfId="16287" xr:uid="{00000000-0005-0000-0000-0000D7240000}"/>
    <cellStyle name="Normal 47 2 2 3 3 4" xfId="16288" xr:uid="{00000000-0005-0000-0000-0000D8240000}"/>
    <cellStyle name="Normal 47 2 2 3 4" xfId="5103" xr:uid="{00000000-0005-0000-0000-0000D9240000}"/>
    <cellStyle name="Normal 47 2 2 3 4 2" xfId="16289" xr:uid="{00000000-0005-0000-0000-0000DA240000}"/>
    <cellStyle name="Normal 47 2 2 3 5" xfId="5104" xr:uid="{00000000-0005-0000-0000-0000DB240000}"/>
    <cellStyle name="Normal 47 2 2 3 5 2" xfId="16290" xr:uid="{00000000-0005-0000-0000-0000DC240000}"/>
    <cellStyle name="Normal 47 2 2 3 6" xfId="16291" xr:uid="{00000000-0005-0000-0000-0000DD240000}"/>
    <cellStyle name="Normal 47 2 2 4" xfId="5105" xr:uid="{00000000-0005-0000-0000-0000DE240000}"/>
    <cellStyle name="Normal 47 2 2 4 2" xfId="5106" xr:uid="{00000000-0005-0000-0000-0000DF240000}"/>
    <cellStyle name="Normal 47 2 2 4 2 2" xfId="16292" xr:uid="{00000000-0005-0000-0000-0000E0240000}"/>
    <cellStyle name="Normal 47 2 2 4 3" xfId="5107" xr:uid="{00000000-0005-0000-0000-0000E1240000}"/>
    <cellStyle name="Normal 47 2 2 4 3 2" xfId="16293" xr:uid="{00000000-0005-0000-0000-0000E2240000}"/>
    <cellStyle name="Normal 47 2 2 4 4" xfId="16294" xr:uid="{00000000-0005-0000-0000-0000E3240000}"/>
    <cellStyle name="Normal 47 2 2 5" xfId="5108" xr:uid="{00000000-0005-0000-0000-0000E4240000}"/>
    <cellStyle name="Normal 47 2 2 5 2" xfId="5109" xr:uid="{00000000-0005-0000-0000-0000E5240000}"/>
    <cellStyle name="Normal 47 2 2 5 2 2" xfId="16295" xr:uid="{00000000-0005-0000-0000-0000E6240000}"/>
    <cellStyle name="Normal 47 2 2 5 3" xfId="5110" xr:uid="{00000000-0005-0000-0000-0000E7240000}"/>
    <cellStyle name="Normal 47 2 2 5 3 2" xfId="16296" xr:uid="{00000000-0005-0000-0000-0000E8240000}"/>
    <cellStyle name="Normal 47 2 2 5 4" xfId="16297" xr:uid="{00000000-0005-0000-0000-0000E9240000}"/>
    <cellStyle name="Normal 47 2 2 6" xfId="5111" xr:uid="{00000000-0005-0000-0000-0000EA240000}"/>
    <cellStyle name="Normal 47 2 2 6 2" xfId="16298" xr:uid="{00000000-0005-0000-0000-0000EB240000}"/>
    <cellStyle name="Normal 47 2 2 7" xfId="5112" xr:uid="{00000000-0005-0000-0000-0000EC240000}"/>
    <cellStyle name="Normal 47 2 2 7 2" xfId="16299" xr:uid="{00000000-0005-0000-0000-0000ED240000}"/>
    <cellStyle name="Normal 47 2 2 8" xfId="12398" xr:uid="{00000000-0005-0000-0000-0000EE240000}"/>
    <cellStyle name="Normal 47 2 3" xfId="5113" xr:uid="{00000000-0005-0000-0000-0000EF240000}"/>
    <cellStyle name="Normal 47 2 3 2" xfId="5114" xr:uid="{00000000-0005-0000-0000-0000F0240000}"/>
    <cellStyle name="Normal 47 2 3 2 2" xfId="5115" xr:uid="{00000000-0005-0000-0000-0000F1240000}"/>
    <cellStyle name="Normal 47 2 3 2 2 2" xfId="16300" xr:uid="{00000000-0005-0000-0000-0000F2240000}"/>
    <cellStyle name="Normal 47 2 3 2 3" xfId="5116" xr:uid="{00000000-0005-0000-0000-0000F3240000}"/>
    <cellStyle name="Normal 47 2 3 2 3 2" xfId="16301" xr:uid="{00000000-0005-0000-0000-0000F4240000}"/>
    <cellStyle name="Normal 47 2 3 2 4" xfId="16302" xr:uid="{00000000-0005-0000-0000-0000F5240000}"/>
    <cellStyle name="Normal 47 2 3 3" xfId="5117" xr:uid="{00000000-0005-0000-0000-0000F6240000}"/>
    <cellStyle name="Normal 47 2 3 3 2" xfId="5118" xr:uid="{00000000-0005-0000-0000-0000F7240000}"/>
    <cellStyle name="Normal 47 2 3 3 2 2" xfId="16303" xr:uid="{00000000-0005-0000-0000-0000F8240000}"/>
    <cellStyle name="Normal 47 2 3 3 3" xfId="5119" xr:uid="{00000000-0005-0000-0000-0000F9240000}"/>
    <cellStyle name="Normal 47 2 3 3 3 2" xfId="16304" xr:uid="{00000000-0005-0000-0000-0000FA240000}"/>
    <cellStyle name="Normal 47 2 3 3 4" xfId="16305" xr:uid="{00000000-0005-0000-0000-0000FB240000}"/>
    <cellStyle name="Normal 47 2 3 4" xfId="5120" xr:uid="{00000000-0005-0000-0000-0000FC240000}"/>
    <cellStyle name="Normal 47 2 3 4 2" xfId="16306" xr:uid="{00000000-0005-0000-0000-0000FD240000}"/>
    <cellStyle name="Normal 47 2 3 5" xfId="5121" xr:uid="{00000000-0005-0000-0000-0000FE240000}"/>
    <cellStyle name="Normal 47 2 3 5 2" xfId="16307" xr:uid="{00000000-0005-0000-0000-0000FF240000}"/>
    <cellStyle name="Normal 47 2 3 6" xfId="16308" xr:uid="{00000000-0005-0000-0000-000000250000}"/>
    <cellStyle name="Normal 47 2 4" xfId="5122" xr:uid="{00000000-0005-0000-0000-000001250000}"/>
    <cellStyle name="Normal 47 2 4 2" xfId="5123" xr:uid="{00000000-0005-0000-0000-000002250000}"/>
    <cellStyle name="Normal 47 2 4 2 2" xfId="5124" xr:uid="{00000000-0005-0000-0000-000003250000}"/>
    <cellStyle name="Normal 47 2 4 2 2 2" xfId="16309" xr:uid="{00000000-0005-0000-0000-000004250000}"/>
    <cellStyle name="Normal 47 2 4 2 3" xfId="5125" xr:uid="{00000000-0005-0000-0000-000005250000}"/>
    <cellStyle name="Normal 47 2 4 2 3 2" xfId="16310" xr:uid="{00000000-0005-0000-0000-000006250000}"/>
    <cellStyle name="Normal 47 2 4 2 4" xfId="16311" xr:uid="{00000000-0005-0000-0000-000007250000}"/>
    <cellStyle name="Normal 47 2 4 3" xfId="5126" xr:uid="{00000000-0005-0000-0000-000008250000}"/>
    <cellStyle name="Normal 47 2 4 3 2" xfId="5127" xr:uid="{00000000-0005-0000-0000-000009250000}"/>
    <cellStyle name="Normal 47 2 4 3 2 2" xfId="16312" xr:uid="{00000000-0005-0000-0000-00000A250000}"/>
    <cellStyle name="Normal 47 2 4 3 3" xfId="5128" xr:uid="{00000000-0005-0000-0000-00000B250000}"/>
    <cellStyle name="Normal 47 2 4 3 3 2" xfId="16313" xr:uid="{00000000-0005-0000-0000-00000C250000}"/>
    <cellStyle name="Normal 47 2 4 3 4" xfId="16314" xr:uid="{00000000-0005-0000-0000-00000D250000}"/>
    <cellStyle name="Normal 47 2 4 4" xfId="5129" xr:uid="{00000000-0005-0000-0000-00000E250000}"/>
    <cellStyle name="Normal 47 2 4 4 2" xfId="16315" xr:uid="{00000000-0005-0000-0000-00000F250000}"/>
    <cellStyle name="Normal 47 2 4 5" xfId="5130" xr:uid="{00000000-0005-0000-0000-000010250000}"/>
    <cellStyle name="Normal 47 2 4 5 2" xfId="16316" xr:uid="{00000000-0005-0000-0000-000011250000}"/>
    <cellStyle name="Normal 47 2 4 6" xfId="16317" xr:uid="{00000000-0005-0000-0000-000012250000}"/>
    <cellStyle name="Normal 47 2 5" xfId="5131" xr:uid="{00000000-0005-0000-0000-000013250000}"/>
    <cellStyle name="Normal 47 2 5 2" xfId="5132" xr:uid="{00000000-0005-0000-0000-000014250000}"/>
    <cellStyle name="Normal 47 2 5 2 2" xfId="16318" xr:uid="{00000000-0005-0000-0000-000015250000}"/>
    <cellStyle name="Normal 47 2 5 3" xfId="5133" xr:uid="{00000000-0005-0000-0000-000016250000}"/>
    <cellStyle name="Normal 47 2 5 3 2" xfId="16319" xr:uid="{00000000-0005-0000-0000-000017250000}"/>
    <cellStyle name="Normal 47 2 5 4" xfId="16320" xr:uid="{00000000-0005-0000-0000-000018250000}"/>
    <cellStyle name="Normal 47 2 6" xfId="5134" xr:uid="{00000000-0005-0000-0000-000019250000}"/>
    <cellStyle name="Normal 47 2 6 2" xfId="5135" xr:uid="{00000000-0005-0000-0000-00001A250000}"/>
    <cellStyle name="Normal 47 2 6 2 2" xfId="16321" xr:uid="{00000000-0005-0000-0000-00001B250000}"/>
    <cellStyle name="Normal 47 2 6 3" xfId="5136" xr:uid="{00000000-0005-0000-0000-00001C250000}"/>
    <cellStyle name="Normal 47 2 6 3 2" xfId="16322" xr:uid="{00000000-0005-0000-0000-00001D250000}"/>
    <cellStyle name="Normal 47 2 6 4" xfId="16323" xr:uid="{00000000-0005-0000-0000-00001E250000}"/>
    <cellStyle name="Normal 47 2 7" xfId="5137" xr:uid="{00000000-0005-0000-0000-00001F250000}"/>
    <cellStyle name="Normal 47 2 7 2" xfId="16324" xr:uid="{00000000-0005-0000-0000-000020250000}"/>
    <cellStyle name="Normal 47 2 8" xfId="5138" xr:uid="{00000000-0005-0000-0000-000021250000}"/>
    <cellStyle name="Normal 47 2 8 2" xfId="16325" xr:uid="{00000000-0005-0000-0000-000022250000}"/>
    <cellStyle name="Normal 47 2 9" xfId="12397" xr:uid="{00000000-0005-0000-0000-000023250000}"/>
    <cellStyle name="Normal 47 20" xfId="11150" xr:uid="{00000000-0005-0000-0000-000024250000}"/>
    <cellStyle name="Normal 47 3" xfId="5139" xr:uid="{00000000-0005-0000-0000-000025250000}"/>
    <cellStyle name="Normal 47 3 2" xfId="5140" xr:uid="{00000000-0005-0000-0000-000026250000}"/>
    <cellStyle name="Normal 47 3 2 2" xfId="5141" xr:uid="{00000000-0005-0000-0000-000027250000}"/>
    <cellStyle name="Normal 47 3 2 2 2" xfId="5142" xr:uid="{00000000-0005-0000-0000-000028250000}"/>
    <cellStyle name="Normal 47 3 2 2 2 2" xfId="16326" xr:uid="{00000000-0005-0000-0000-000029250000}"/>
    <cellStyle name="Normal 47 3 2 2 3" xfId="5143" xr:uid="{00000000-0005-0000-0000-00002A250000}"/>
    <cellStyle name="Normal 47 3 2 2 3 2" xfId="16327" xr:uid="{00000000-0005-0000-0000-00002B250000}"/>
    <cellStyle name="Normal 47 3 2 2 4" xfId="16328" xr:uid="{00000000-0005-0000-0000-00002C250000}"/>
    <cellStyle name="Normal 47 3 2 3" xfId="5144" xr:uid="{00000000-0005-0000-0000-00002D250000}"/>
    <cellStyle name="Normal 47 3 2 3 2" xfId="5145" xr:uid="{00000000-0005-0000-0000-00002E250000}"/>
    <cellStyle name="Normal 47 3 2 3 2 2" xfId="16329" xr:uid="{00000000-0005-0000-0000-00002F250000}"/>
    <cellStyle name="Normal 47 3 2 3 3" xfId="5146" xr:uid="{00000000-0005-0000-0000-000030250000}"/>
    <cellStyle name="Normal 47 3 2 3 3 2" xfId="16330" xr:uid="{00000000-0005-0000-0000-000031250000}"/>
    <cellStyle name="Normal 47 3 2 3 4" xfId="16331" xr:uid="{00000000-0005-0000-0000-000032250000}"/>
    <cellStyle name="Normal 47 3 2 4" xfId="5147" xr:uid="{00000000-0005-0000-0000-000033250000}"/>
    <cellStyle name="Normal 47 3 2 4 2" xfId="16332" xr:uid="{00000000-0005-0000-0000-000034250000}"/>
    <cellStyle name="Normal 47 3 2 5" xfId="5148" xr:uid="{00000000-0005-0000-0000-000035250000}"/>
    <cellStyle name="Normal 47 3 2 5 2" xfId="16333" xr:uid="{00000000-0005-0000-0000-000036250000}"/>
    <cellStyle name="Normal 47 3 2 6" xfId="12400" xr:uid="{00000000-0005-0000-0000-000037250000}"/>
    <cellStyle name="Normal 47 3 3" xfId="5149" xr:uid="{00000000-0005-0000-0000-000038250000}"/>
    <cellStyle name="Normal 47 3 3 2" xfId="5150" xr:uid="{00000000-0005-0000-0000-000039250000}"/>
    <cellStyle name="Normal 47 3 3 2 2" xfId="5151" xr:uid="{00000000-0005-0000-0000-00003A250000}"/>
    <cellStyle name="Normal 47 3 3 2 2 2" xfId="16334" xr:uid="{00000000-0005-0000-0000-00003B250000}"/>
    <cellStyle name="Normal 47 3 3 2 3" xfId="5152" xr:uid="{00000000-0005-0000-0000-00003C250000}"/>
    <cellStyle name="Normal 47 3 3 2 3 2" xfId="16335" xr:uid="{00000000-0005-0000-0000-00003D250000}"/>
    <cellStyle name="Normal 47 3 3 2 4" xfId="16336" xr:uid="{00000000-0005-0000-0000-00003E250000}"/>
    <cellStyle name="Normal 47 3 3 3" xfId="5153" xr:uid="{00000000-0005-0000-0000-00003F250000}"/>
    <cellStyle name="Normal 47 3 3 3 2" xfId="5154" xr:uid="{00000000-0005-0000-0000-000040250000}"/>
    <cellStyle name="Normal 47 3 3 3 2 2" xfId="16337" xr:uid="{00000000-0005-0000-0000-000041250000}"/>
    <cellStyle name="Normal 47 3 3 3 3" xfId="5155" xr:uid="{00000000-0005-0000-0000-000042250000}"/>
    <cellStyle name="Normal 47 3 3 3 3 2" xfId="16338" xr:uid="{00000000-0005-0000-0000-000043250000}"/>
    <cellStyle name="Normal 47 3 3 3 4" xfId="16339" xr:uid="{00000000-0005-0000-0000-000044250000}"/>
    <cellStyle name="Normal 47 3 3 4" xfId="5156" xr:uid="{00000000-0005-0000-0000-000045250000}"/>
    <cellStyle name="Normal 47 3 3 4 2" xfId="16340" xr:uid="{00000000-0005-0000-0000-000046250000}"/>
    <cellStyle name="Normal 47 3 3 5" xfId="5157" xr:uid="{00000000-0005-0000-0000-000047250000}"/>
    <cellStyle name="Normal 47 3 3 5 2" xfId="16341" xr:uid="{00000000-0005-0000-0000-000048250000}"/>
    <cellStyle name="Normal 47 3 3 6" xfId="16342" xr:uid="{00000000-0005-0000-0000-000049250000}"/>
    <cellStyle name="Normal 47 3 4" xfId="5158" xr:uid="{00000000-0005-0000-0000-00004A250000}"/>
    <cellStyle name="Normal 47 3 4 2" xfId="5159" xr:uid="{00000000-0005-0000-0000-00004B250000}"/>
    <cellStyle name="Normal 47 3 4 2 2" xfId="16343" xr:uid="{00000000-0005-0000-0000-00004C250000}"/>
    <cellStyle name="Normal 47 3 4 3" xfId="5160" xr:uid="{00000000-0005-0000-0000-00004D250000}"/>
    <cellStyle name="Normal 47 3 4 3 2" xfId="16344" xr:uid="{00000000-0005-0000-0000-00004E250000}"/>
    <cellStyle name="Normal 47 3 4 4" xfId="16345" xr:uid="{00000000-0005-0000-0000-00004F250000}"/>
    <cellStyle name="Normal 47 3 5" xfId="5161" xr:uid="{00000000-0005-0000-0000-000050250000}"/>
    <cellStyle name="Normal 47 3 5 2" xfId="5162" xr:uid="{00000000-0005-0000-0000-000051250000}"/>
    <cellStyle name="Normal 47 3 5 2 2" xfId="16346" xr:uid="{00000000-0005-0000-0000-000052250000}"/>
    <cellStyle name="Normal 47 3 5 3" xfId="5163" xr:uid="{00000000-0005-0000-0000-000053250000}"/>
    <cellStyle name="Normal 47 3 5 3 2" xfId="16347" xr:uid="{00000000-0005-0000-0000-000054250000}"/>
    <cellStyle name="Normal 47 3 5 4" xfId="16348" xr:uid="{00000000-0005-0000-0000-000055250000}"/>
    <cellStyle name="Normal 47 3 6" xfId="5164" xr:uid="{00000000-0005-0000-0000-000056250000}"/>
    <cellStyle name="Normal 47 3 6 2" xfId="16349" xr:uid="{00000000-0005-0000-0000-000057250000}"/>
    <cellStyle name="Normal 47 3 7" xfId="5165" xr:uid="{00000000-0005-0000-0000-000058250000}"/>
    <cellStyle name="Normal 47 3 7 2" xfId="16350" xr:uid="{00000000-0005-0000-0000-000059250000}"/>
    <cellStyle name="Normal 47 3 8" xfId="12399" xr:uid="{00000000-0005-0000-0000-00005A250000}"/>
    <cellStyle name="Normal 47 4" xfId="5166" xr:uid="{00000000-0005-0000-0000-00005B250000}"/>
    <cellStyle name="Normal 47 4 2" xfId="5167" xr:uid="{00000000-0005-0000-0000-00005C250000}"/>
    <cellStyle name="Normal 47 4 2 2" xfId="5168" xr:uid="{00000000-0005-0000-0000-00005D250000}"/>
    <cellStyle name="Normal 47 4 2 2 2" xfId="5169" xr:uid="{00000000-0005-0000-0000-00005E250000}"/>
    <cellStyle name="Normal 47 4 2 2 2 2" xfId="16351" xr:uid="{00000000-0005-0000-0000-00005F250000}"/>
    <cellStyle name="Normal 47 4 2 2 3" xfId="5170" xr:uid="{00000000-0005-0000-0000-000060250000}"/>
    <cellStyle name="Normal 47 4 2 2 3 2" xfId="16352" xr:uid="{00000000-0005-0000-0000-000061250000}"/>
    <cellStyle name="Normal 47 4 2 2 4" xfId="16353" xr:uid="{00000000-0005-0000-0000-000062250000}"/>
    <cellStyle name="Normal 47 4 2 3" xfId="5171" xr:uid="{00000000-0005-0000-0000-000063250000}"/>
    <cellStyle name="Normal 47 4 2 3 2" xfId="5172" xr:uid="{00000000-0005-0000-0000-000064250000}"/>
    <cellStyle name="Normal 47 4 2 3 2 2" xfId="16354" xr:uid="{00000000-0005-0000-0000-000065250000}"/>
    <cellStyle name="Normal 47 4 2 3 3" xfId="5173" xr:uid="{00000000-0005-0000-0000-000066250000}"/>
    <cellStyle name="Normal 47 4 2 3 3 2" xfId="16355" xr:uid="{00000000-0005-0000-0000-000067250000}"/>
    <cellStyle name="Normal 47 4 2 3 4" xfId="16356" xr:uid="{00000000-0005-0000-0000-000068250000}"/>
    <cellStyle name="Normal 47 4 2 4" xfId="5174" xr:uid="{00000000-0005-0000-0000-000069250000}"/>
    <cellStyle name="Normal 47 4 2 4 2" xfId="16357" xr:uid="{00000000-0005-0000-0000-00006A250000}"/>
    <cellStyle name="Normal 47 4 2 5" xfId="5175" xr:uid="{00000000-0005-0000-0000-00006B250000}"/>
    <cellStyle name="Normal 47 4 2 5 2" xfId="16358" xr:uid="{00000000-0005-0000-0000-00006C250000}"/>
    <cellStyle name="Normal 47 4 2 6" xfId="12402" xr:uid="{00000000-0005-0000-0000-00006D250000}"/>
    <cellStyle name="Normal 47 4 3" xfId="5176" xr:uid="{00000000-0005-0000-0000-00006E250000}"/>
    <cellStyle name="Normal 47 4 3 2" xfId="5177" xr:uid="{00000000-0005-0000-0000-00006F250000}"/>
    <cellStyle name="Normal 47 4 3 2 2" xfId="5178" xr:uid="{00000000-0005-0000-0000-000070250000}"/>
    <cellStyle name="Normal 47 4 3 2 2 2" xfId="16359" xr:uid="{00000000-0005-0000-0000-000071250000}"/>
    <cellStyle name="Normal 47 4 3 2 3" xfId="5179" xr:uid="{00000000-0005-0000-0000-000072250000}"/>
    <cellStyle name="Normal 47 4 3 2 3 2" xfId="16360" xr:uid="{00000000-0005-0000-0000-000073250000}"/>
    <cellStyle name="Normal 47 4 3 2 4" xfId="16361" xr:uid="{00000000-0005-0000-0000-000074250000}"/>
    <cellStyle name="Normal 47 4 3 3" xfId="5180" xr:uid="{00000000-0005-0000-0000-000075250000}"/>
    <cellStyle name="Normal 47 4 3 3 2" xfId="5181" xr:uid="{00000000-0005-0000-0000-000076250000}"/>
    <cellStyle name="Normal 47 4 3 3 2 2" xfId="16362" xr:uid="{00000000-0005-0000-0000-000077250000}"/>
    <cellStyle name="Normal 47 4 3 3 3" xfId="5182" xr:uid="{00000000-0005-0000-0000-000078250000}"/>
    <cellStyle name="Normal 47 4 3 3 3 2" xfId="16363" xr:uid="{00000000-0005-0000-0000-000079250000}"/>
    <cellStyle name="Normal 47 4 3 3 4" xfId="16364" xr:uid="{00000000-0005-0000-0000-00007A250000}"/>
    <cellStyle name="Normal 47 4 3 4" xfId="5183" xr:uid="{00000000-0005-0000-0000-00007B250000}"/>
    <cellStyle name="Normal 47 4 3 4 2" xfId="16365" xr:uid="{00000000-0005-0000-0000-00007C250000}"/>
    <cellStyle name="Normal 47 4 3 5" xfId="5184" xr:uid="{00000000-0005-0000-0000-00007D250000}"/>
    <cellStyle name="Normal 47 4 3 5 2" xfId="16366" xr:uid="{00000000-0005-0000-0000-00007E250000}"/>
    <cellStyle name="Normal 47 4 3 6" xfId="16367" xr:uid="{00000000-0005-0000-0000-00007F250000}"/>
    <cellStyle name="Normal 47 4 4" xfId="5185" xr:uid="{00000000-0005-0000-0000-000080250000}"/>
    <cellStyle name="Normal 47 4 4 2" xfId="5186" xr:uid="{00000000-0005-0000-0000-000081250000}"/>
    <cellStyle name="Normal 47 4 4 2 2" xfId="16368" xr:uid="{00000000-0005-0000-0000-000082250000}"/>
    <cellStyle name="Normal 47 4 4 3" xfId="5187" xr:uid="{00000000-0005-0000-0000-000083250000}"/>
    <cellStyle name="Normal 47 4 4 3 2" xfId="16369" xr:uid="{00000000-0005-0000-0000-000084250000}"/>
    <cellStyle name="Normal 47 4 4 4" xfId="16370" xr:uid="{00000000-0005-0000-0000-000085250000}"/>
    <cellStyle name="Normal 47 4 5" xfId="5188" xr:uid="{00000000-0005-0000-0000-000086250000}"/>
    <cellStyle name="Normal 47 4 5 2" xfId="5189" xr:uid="{00000000-0005-0000-0000-000087250000}"/>
    <cellStyle name="Normal 47 4 5 2 2" xfId="16371" xr:uid="{00000000-0005-0000-0000-000088250000}"/>
    <cellStyle name="Normal 47 4 5 3" xfId="5190" xr:uid="{00000000-0005-0000-0000-000089250000}"/>
    <cellStyle name="Normal 47 4 5 3 2" xfId="16372" xr:uid="{00000000-0005-0000-0000-00008A250000}"/>
    <cellStyle name="Normal 47 4 5 4" xfId="16373" xr:uid="{00000000-0005-0000-0000-00008B250000}"/>
    <cellStyle name="Normal 47 4 6" xfId="5191" xr:uid="{00000000-0005-0000-0000-00008C250000}"/>
    <cellStyle name="Normal 47 4 6 2" xfId="16374" xr:uid="{00000000-0005-0000-0000-00008D250000}"/>
    <cellStyle name="Normal 47 4 7" xfId="5192" xr:uid="{00000000-0005-0000-0000-00008E250000}"/>
    <cellStyle name="Normal 47 4 7 2" xfId="16375" xr:uid="{00000000-0005-0000-0000-00008F250000}"/>
    <cellStyle name="Normal 47 4 8" xfId="12401" xr:uid="{00000000-0005-0000-0000-000090250000}"/>
    <cellStyle name="Normal 47 5" xfId="5193" xr:uid="{00000000-0005-0000-0000-000091250000}"/>
    <cellStyle name="Normal 47 5 2" xfId="11151" xr:uid="{00000000-0005-0000-0000-000092250000}"/>
    <cellStyle name="Normal 47 6" xfId="5194" xr:uid="{00000000-0005-0000-0000-000093250000}"/>
    <cellStyle name="Normal 47 6 2" xfId="5195" xr:uid="{00000000-0005-0000-0000-000094250000}"/>
    <cellStyle name="Normal 47 6 2 2" xfId="5196" xr:uid="{00000000-0005-0000-0000-000095250000}"/>
    <cellStyle name="Normal 47 6 2 2 2" xfId="16376" xr:uid="{00000000-0005-0000-0000-000096250000}"/>
    <cellStyle name="Normal 47 6 2 3" xfId="5197" xr:uid="{00000000-0005-0000-0000-000097250000}"/>
    <cellStyle name="Normal 47 6 2 3 2" xfId="16377" xr:uid="{00000000-0005-0000-0000-000098250000}"/>
    <cellStyle name="Normal 47 6 2 4" xfId="12404" xr:uid="{00000000-0005-0000-0000-000099250000}"/>
    <cellStyle name="Normal 47 6 3" xfId="5198" xr:uid="{00000000-0005-0000-0000-00009A250000}"/>
    <cellStyle name="Normal 47 6 3 2" xfId="5199" xr:uid="{00000000-0005-0000-0000-00009B250000}"/>
    <cellStyle name="Normal 47 6 3 2 2" xfId="16378" xr:uid="{00000000-0005-0000-0000-00009C250000}"/>
    <cellStyle name="Normal 47 6 3 3" xfId="5200" xr:uid="{00000000-0005-0000-0000-00009D250000}"/>
    <cellStyle name="Normal 47 6 3 3 2" xfId="16379" xr:uid="{00000000-0005-0000-0000-00009E250000}"/>
    <cellStyle name="Normal 47 6 3 4" xfId="16380" xr:uid="{00000000-0005-0000-0000-00009F250000}"/>
    <cellStyle name="Normal 47 6 4" xfId="5201" xr:uid="{00000000-0005-0000-0000-0000A0250000}"/>
    <cellStyle name="Normal 47 6 4 2" xfId="16381" xr:uid="{00000000-0005-0000-0000-0000A1250000}"/>
    <cellStyle name="Normal 47 6 5" xfId="5202" xr:uid="{00000000-0005-0000-0000-0000A2250000}"/>
    <cellStyle name="Normal 47 6 5 2" xfId="16382" xr:uid="{00000000-0005-0000-0000-0000A3250000}"/>
    <cellStyle name="Normal 47 6 6" xfId="12403" xr:uid="{00000000-0005-0000-0000-0000A4250000}"/>
    <cellStyle name="Normal 47 7" xfId="5203" xr:uid="{00000000-0005-0000-0000-0000A5250000}"/>
    <cellStyle name="Normal 47 7 2" xfId="5204" xr:uid="{00000000-0005-0000-0000-0000A6250000}"/>
    <cellStyle name="Normal 47 7 2 2" xfId="5205" xr:uid="{00000000-0005-0000-0000-0000A7250000}"/>
    <cellStyle name="Normal 47 7 2 2 2" xfId="16383" xr:uid="{00000000-0005-0000-0000-0000A8250000}"/>
    <cellStyle name="Normal 47 7 2 3" xfId="5206" xr:uid="{00000000-0005-0000-0000-0000A9250000}"/>
    <cellStyle name="Normal 47 7 2 3 2" xfId="16384" xr:uid="{00000000-0005-0000-0000-0000AA250000}"/>
    <cellStyle name="Normal 47 7 2 4" xfId="16385" xr:uid="{00000000-0005-0000-0000-0000AB250000}"/>
    <cellStyle name="Normal 47 7 3" xfId="5207" xr:uid="{00000000-0005-0000-0000-0000AC250000}"/>
    <cellStyle name="Normal 47 7 3 2" xfId="5208" xr:uid="{00000000-0005-0000-0000-0000AD250000}"/>
    <cellStyle name="Normal 47 7 3 2 2" xfId="16386" xr:uid="{00000000-0005-0000-0000-0000AE250000}"/>
    <cellStyle name="Normal 47 7 3 3" xfId="5209" xr:uid="{00000000-0005-0000-0000-0000AF250000}"/>
    <cellStyle name="Normal 47 7 3 3 2" xfId="16387" xr:uid="{00000000-0005-0000-0000-0000B0250000}"/>
    <cellStyle name="Normal 47 7 3 4" xfId="16388" xr:uid="{00000000-0005-0000-0000-0000B1250000}"/>
    <cellStyle name="Normal 47 7 4" xfId="5210" xr:uid="{00000000-0005-0000-0000-0000B2250000}"/>
    <cellStyle name="Normal 47 7 4 2" xfId="16389" xr:uid="{00000000-0005-0000-0000-0000B3250000}"/>
    <cellStyle name="Normal 47 7 5" xfId="5211" xr:uid="{00000000-0005-0000-0000-0000B4250000}"/>
    <cellStyle name="Normal 47 7 5 2" xfId="16390" xr:uid="{00000000-0005-0000-0000-0000B5250000}"/>
    <cellStyle name="Normal 47 7 6" xfId="12405" xr:uid="{00000000-0005-0000-0000-0000B6250000}"/>
    <cellStyle name="Normal 47 8" xfId="5212" xr:uid="{00000000-0005-0000-0000-0000B7250000}"/>
    <cellStyle name="Normal 47 8 2" xfId="5213" xr:uid="{00000000-0005-0000-0000-0000B8250000}"/>
    <cellStyle name="Normal 47 8 2 2" xfId="5214" xr:uid="{00000000-0005-0000-0000-0000B9250000}"/>
    <cellStyle name="Normal 47 8 2 2 2" xfId="16391" xr:uid="{00000000-0005-0000-0000-0000BA250000}"/>
    <cellStyle name="Normal 47 8 2 3" xfId="5215" xr:uid="{00000000-0005-0000-0000-0000BB250000}"/>
    <cellStyle name="Normal 47 8 2 3 2" xfId="16392" xr:uid="{00000000-0005-0000-0000-0000BC250000}"/>
    <cellStyle name="Normal 47 8 2 4" xfId="16393" xr:uid="{00000000-0005-0000-0000-0000BD250000}"/>
    <cellStyle name="Normal 47 8 3" xfId="5216" xr:uid="{00000000-0005-0000-0000-0000BE250000}"/>
    <cellStyle name="Normal 47 8 3 2" xfId="5217" xr:uid="{00000000-0005-0000-0000-0000BF250000}"/>
    <cellStyle name="Normal 47 8 3 2 2" xfId="16394" xr:uid="{00000000-0005-0000-0000-0000C0250000}"/>
    <cellStyle name="Normal 47 8 3 3" xfId="5218" xr:uid="{00000000-0005-0000-0000-0000C1250000}"/>
    <cellStyle name="Normal 47 8 3 3 2" xfId="16395" xr:uid="{00000000-0005-0000-0000-0000C2250000}"/>
    <cellStyle name="Normal 47 8 3 4" xfId="16396" xr:uid="{00000000-0005-0000-0000-0000C3250000}"/>
    <cellStyle name="Normal 47 8 4" xfId="5219" xr:uid="{00000000-0005-0000-0000-0000C4250000}"/>
    <cellStyle name="Normal 47 8 4 2" xfId="16397" xr:uid="{00000000-0005-0000-0000-0000C5250000}"/>
    <cellStyle name="Normal 47 8 5" xfId="5220" xr:uid="{00000000-0005-0000-0000-0000C6250000}"/>
    <cellStyle name="Normal 47 8 5 2" xfId="16398" xr:uid="{00000000-0005-0000-0000-0000C7250000}"/>
    <cellStyle name="Normal 47 8 6" xfId="12406" xr:uid="{00000000-0005-0000-0000-0000C8250000}"/>
    <cellStyle name="Normal 47 9" xfId="5221" xr:uid="{00000000-0005-0000-0000-0000C9250000}"/>
    <cellStyle name="Normal 47 9 2" xfId="5222" xr:uid="{00000000-0005-0000-0000-0000CA250000}"/>
    <cellStyle name="Normal 47 9 2 2" xfId="16399" xr:uid="{00000000-0005-0000-0000-0000CB250000}"/>
    <cellStyle name="Normal 47 9 3" xfId="5223" xr:uid="{00000000-0005-0000-0000-0000CC250000}"/>
    <cellStyle name="Normal 47 9 3 2" xfId="16400" xr:uid="{00000000-0005-0000-0000-0000CD250000}"/>
    <cellStyle name="Normal 47 9 4" xfId="12407" xr:uid="{00000000-0005-0000-0000-0000CE250000}"/>
    <cellStyle name="Normal 470" xfId="5224" xr:uid="{00000000-0005-0000-0000-0000CF250000}"/>
    <cellStyle name="Normal 471" xfId="5225" xr:uid="{00000000-0005-0000-0000-0000D0250000}"/>
    <cellStyle name="Normal 472" xfId="5226" xr:uid="{00000000-0005-0000-0000-0000D1250000}"/>
    <cellStyle name="Normal 473" xfId="5227" xr:uid="{00000000-0005-0000-0000-0000D2250000}"/>
    <cellStyle name="Normal 474" xfId="5228" xr:uid="{00000000-0005-0000-0000-0000D3250000}"/>
    <cellStyle name="Normal 475" xfId="5229" xr:uid="{00000000-0005-0000-0000-0000D4250000}"/>
    <cellStyle name="Normal 476" xfId="5230" xr:uid="{00000000-0005-0000-0000-0000D5250000}"/>
    <cellStyle name="Normal 477" xfId="5231" xr:uid="{00000000-0005-0000-0000-0000D6250000}"/>
    <cellStyle name="Normal 478" xfId="5232" xr:uid="{00000000-0005-0000-0000-0000D7250000}"/>
    <cellStyle name="Normal 479" xfId="5233" xr:uid="{00000000-0005-0000-0000-0000D8250000}"/>
    <cellStyle name="Normal 48" xfId="5234" xr:uid="{00000000-0005-0000-0000-0000D9250000}"/>
    <cellStyle name="Normal 48 10" xfId="5235" xr:uid="{00000000-0005-0000-0000-0000DA250000}"/>
    <cellStyle name="Normal 48 10 2" xfId="5236" xr:uid="{00000000-0005-0000-0000-0000DB250000}"/>
    <cellStyle name="Normal 48 10 2 2" xfId="16401" xr:uid="{00000000-0005-0000-0000-0000DC250000}"/>
    <cellStyle name="Normal 48 10 3" xfId="5237" xr:uid="{00000000-0005-0000-0000-0000DD250000}"/>
    <cellStyle name="Normal 48 10 3 2" xfId="16402" xr:uid="{00000000-0005-0000-0000-0000DE250000}"/>
    <cellStyle name="Normal 48 10 4" xfId="12408" xr:uid="{00000000-0005-0000-0000-0000DF250000}"/>
    <cellStyle name="Normal 48 11" xfId="5238" xr:uid="{00000000-0005-0000-0000-0000E0250000}"/>
    <cellStyle name="Normal 48 11 2" xfId="12409" xr:uid="{00000000-0005-0000-0000-0000E1250000}"/>
    <cellStyle name="Normal 48 12" xfId="5239" xr:uid="{00000000-0005-0000-0000-0000E2250000}"/>
    <cellStyle name="Normal 48 12 2" xfId="12410" xr:uid="{00000000-0005-0000-0000-0000E3250000}"/>
    <cellStyle name="Normal 48 13" xfId="11152" xr:uid="{00000000-0005-0000-0000-0000E4250000}"/>
    <cellStyle name="Normal 48 14" xfId="11153" xr:uid="{00000000-0005-0000-0000-0000E5250000}"/>
    <cellStyle name="Normal 48 15" xfId="11154" xr:uid="{00000000-0005-0000-0000-0000E6250000}"/>
    <cellStyle name="Normal 48 16" xfId="11155" xr:uid="{00000000-0005-0000-0000-0000E7250000}"/>
    <cellStyle name="Normal 48 17" xfId="11156" xr:uid="{00000000-0005-0000-0000-0000E8250000}"/>
    <cellStyle name="Normal 48 18" xfId="11157" xr:uid="{00000000-0005-0000-0000-0000E9250000}"/>
    <cellStyle name="Normal 48 19" xfId="11158" xr:uid="{00000000-0005-0000-0000-0000EA250000}"/>
    <cellStyle name="Normal 48 2" xfId="5240" xr:uid="{00000000-0005-0000-0000-0000EB250000}"/>
    <cellStyle name="Normal 48 2 2" xfId="5241" xr:uid="{00000000-0005-0000-0000-0000EC250000}"/>
    <cellStyle name="Normal 48 2 2 2" xfId="5242" xr:uid="{00000000-0005-0000-0000-0000ED250000}"/>
    <cellStyle name="Normal 48 2 2 2 2" xfId="5243" xr:uid="{00000000-0005-0000-0000-0000EE250000}"/>
    <cellStyle name="Normal 48 2 2 2 2 2" xfId="5244" xr:uid="{00000000-0005-0000-0000-0000EF250000}"/>
    <cellStyle name="Normal 48 2 2 2 2 2 2" xfId="16403" xr:uid="{00000000-0005-0000-0000-0000F0250000}"/>
    <cellStyle name="Normal 48 2 2 2 2 3" xfId="5245" xr:uid="{00000000-0005-0000-0000-0000F1250000}"/>
    <cellStyle name="Normal 48 2 2 2 2 3 2" xfId="16404" xr:uid="{00000000-0005-0000-0000-0000F2250000}"/>
    <cellStyle name="Normal 48 2 2 2 2 4" xfId="16405" xr:uid="{00000000-0005-0000-0000-0000F3250000}"/>
    <cellStyle name="Normal 48 2 2 2 3" xfId="5246" xr:uid="{00000000-0005-0000-0000-0000F4250000}"/>
    <cellStyle name="Normal 48 2 2 2 3 2" xfId="5247" xr:uid="{00000000-0005-0000-0000-0000F5250000}"/>
    <cellStyle name="Normal 48 2 2 2 3 2 2" xfId="16406" xr:uid="{00000000-0005-0000-0000-0000F6250000}"/>
    <cellStyle name="Normal 48 2 2 2 3 3" xfId="5248" xr:uid="{00000000-0005-0000-0000-0000F7250000}"/>
    <cellStyle name="Normal 48 2 2 2 3 3 2" xfId="16407" xr:uid="{00000000-0005-0000-0000-0000F8250000}"/>
    <cellStyle name="Normal 48 2 2 2 3 4" xfId="16408" xr:uid="{00000000-0005-0000-0000-0000F9250000}"/>
    <cellStyle name="Normal 48 2 2 2 4" xfId="5249" xr:uid="{00000000-0005-0000-0000-0000FA250000}"/>
    <cellStyle name="Normal 48 2 2 2 4 2" xfId="16409" xr:uid="{00000000-0005-0000-0000-0000FB250000}"/>
    <cellStyle name="Normal 48 2 2 2 5" xfId="5250" xr:uid="{00000000-0005-0000-0000-0000FC250000}"/>
    <cellStyle name="Normal 48 2 2 2 5 2" xfId="16410" xr:uid="{00000000-0005-0000-0000-0000FD250000}"/>
    <cellStyle name="Normal 48 2 2 2 6" xfId="16411" xr:uid="{00000000-0005-0000-0000-0000FE250000}"/>
    <cellStyle name="Normal 48 2 2 3" xfId="5251" xr:uid="{00000000-0005-0000-0000-0000FF250000}"/>
    <cellStyle name="Normal 48 2 2 3 2" xfId="5252" xr:uid="{00000000-0005-0000-0000-000000260000}"/>
    <cellStyle name="Normal 48 2 2 3 2 2" xfId="5253" xr:uid="{00000000-0005-0000-0000-000001260000}"/>
    <cellStyle name="Normal 48 2 2 3 2 2 2" xfId="16412" xr:uid="{00000000-0005-0000-0000-000002260000}"/>
    <cellStyle name="Normal 48 2 2 3 2 3" xfId="5254" xr:uid="{00000000-0005-0000-0000-000003260000}"/>
    <cellStyle name="Normal 48 2 2 3 2 3 2" xfId="16413" xr:uid="{00000000-0005-0000-0000-000004260000}"/>
    <cellStyle name="Normal 48 2 2 3 2 4" xfId="16414" xr:uid="{00000000-0005-0000-0000-000005260000}"/>
    <cellStyle name="Normal 48 2 2 3 3" xfId="5255" xr:uid="{00000000-0005-0000-0000-000006260000}"/>
    <cellStyle name="Normal 48 2 2 3 3 2" xfId="5256" xr:uid="{00000000-0005-0000-0000-000007260000}"/>
    <cellStyle name="Normal 48 2 2 3 3 2 2" xfId="16415" xr:uid="{00000000-0005-0000-0000-000008260000}"/>
    <cellStyle name="Normal 48 2 2 3 3 3" xfId="5257" xr:uid="{00000000-0005-0000-0000-000009260000}"/>
    <cellStyle name="Normal 48 2 2 3 3 3 2" xfId="16416" xr:uid="{00000000-0005-0000-0000-00000A260000}"/>
    <cellStyle name="Normal 48 2 2 3 3 4" xfId="16417" xr:uid="{00000000-0005-0000-0000-00000B260000}"/>
    <cellStyle name="Normal 48 2 2 3 4" xfId="5258" xr:uid="{00000000-0005-0000-0000-00000C260000}"/>
    <cellStyle name="Normal 48 2 2 3 4 2" xfId="16418" xr:uid="{00000000-0005-0000-0000-00000D260000}"/>
    <cellStyle name="Normal 48 2 2 3 5" xfId="5259" xr:uid="{00000000-0005-0000-0000-00000E260000}"/>
    <cellStyle name="Normal 48 2 2 3 5 2" xfId="16419" xr:uid="{00000000-0005-0000-0000-00000F260000}"/>
    <cellStyle name="Normal 48 2 2 3 6" xfId="16420" xr:uid="{00000000-0005-0000-0000-000010260000}"/>
    <cellStyle name="Normal 48 2 2 4" xfId="5260" xr:uid="{00000000-0005-0000-0000-000011260000}"/>
    <cellStyle name="Normal 48 2 2 4 2" xfId="5261" xr:uid="{00000000-0005-0000-0000-000012260000}"/>
    <cellStyle name="Normal 48 2 2 4 2 2" xfId="16421" xr:uid="{00000000-0005-0000-0000-000013260000}"/>
    <cellStyle name="Normal 48 2 2 4 3" xfId="5262" xr:uid="{00000000-0005-0000-0000-000014260000}"/>
    <cellStyle name="Normal 48 2 2 4 3 2" xfId="16422" xr:uid="{00000000-0005-0000-0000-000015260000}"/>
    <cellStyle name="Normal 48 2 2 4 4" xfId="16423" xr:uid="{00000000-0005-0000-0000-000016260000}"/>
    <cellStyle name="Normal 48 2 2 5" xfId="5263" xr:uid="{00000000-0005-0000-0000-000017260000}"/>
    <cellStyle name="Normal 48 2 2 5 2" xfId="5264" xr:uid="{00000000-0005-0000-0000-000018260000}"/>
    <cellStyle name="Normal 48 2 2 5 2 2" xfId="16424" xr:uid="{00000000-0005-0000-0000-000019260000}"/>
    <cellStyle name="Normal 48 2 2 5 3" xfId="5265" xr:uid="{00000000-0005-0000-0000-00001A260000}"/>
    <cellStyle name="Normal 48 2 2 5 3 2" xfId="16425" xr:uid="{00000000-0005-0000-0000-00001B260000}"/>
    <cellStyle name="Normal 48 2 2 5 4" xfId="16426" xr:uid="{00000000-0005-0000-0000-00001C260000}"/>
    <cellStyle name="Normal 48 2 2 6" xfId="5266" xr:uid="{00000000-0005-0000-0000-00001D260000}"/>
    <cellStyle name="Normal 48 2 2 6 2" xfId="16427" xr:uid="{00000000-0005-0000-0000-00001E260000}"/>
    <cellStyle name="Normal 48 2 2 7" xfId="5267" xr:uid="{00000000-0005-0000-0000-00001F260000}"/>
    <cellStyle name="Normal 48 2 2 7 2" xfId="16428" xr:uid="{00000000-0005-0000-0000-000020260000}"/>
    <cellStyle name="Normal 48 2 2 8" xfId="12412" xr:uid="{00000000-0005-0000-0000-000021260000}"/>
    <cellStyle name="Normal 48 2 3" xfId="5268" xr:uid="{00000000-0005-0000-0000-000022260000}"/>
    <cellStyle name="Normal 48 2 3 2" xfId="5269" xr:uid="{00000000-0005-0000-0000-000023260000}"/>
    <cellStyle name="Normal 48 2 3 2 2" xfId="5270" xr:uid="{00000000-0005-0000-0000-000024260000}"/>
    <cellStyle name="Normal 48 2 3 2 2 2" xfId="16429" xr:uid="{00000000-0005-0000-0000-000025260000}"/>
    <cellStyle name="Normal 48 2 3 2 3" xfId="5271" xr:uid="{00000000-0005-0000-0000-000026260000}"/>
    <cellStyle name="Normal 48 2 3 2 3 2" xfId="16430" xr:uid="{00000000-0005-0000-0000-000027260000}"/>
    <cellStyle name="Normal 48 2 3 2 4" xfId="16431" xr:uid="{00000000-0005-0000-0000-000028260000}"/>
    <cellStyle name="Normal 48 2 3 3" xfId="5272" xr:uid="{00000000-0005-0000-0000-000029260000}"/>
    <cellStyle name="Normal 48 2 3 3 2" xfId="5273" xr:uid="{00000000-0005-0000-0000-00002A260000}"/>
    <cellStyle name="Normal 48 2 3 3 2 2" xfId="16432" xr:uid="{00000000-0005-0000-0000-00002B260000}"/>
    <cellStyle name="Normal 48 2 3 3 3" xfId="5274" xr:uid="{00000000-0005-0000-0000-00002C260000}"/>
    <cellStyle name="Normal 48 2 3 3 3 2" xfId="16433" xr:uid="{00000000-0005-0000-0000-00002D260000}"/>
    <cellStyle name="Normal 48 2 3 3 4" xfId="16434" xr:uid="{00000000-0005-0000-0000-00002E260000}"/>
    <cellStyle name="Normal 48 2 3 4" xfId="5275" xr:uid="{00000000-0005-0000-0000-00002F260000}"/>
    <cellStyle name="Normal 48 2 3 4 2" xfId="16435" xr:uid="{00000000-0005-0000-0000-000030260000}"/>
    <cellStyle name="Normal 48 2 3 5" xfId="5276" xr:uid="{00000000-0005-0000-0000-000031260000}"/>
    <cellStyle name="Normal 48 2 3 5 2" xfId="16436" xr:uid="{00000000-0005-0000-0000-000032260000}"/>
    <cellStyle name="Normal 48 2 3 6" xfId="16437" xr:uid="{00000000-0005-0000-0000-000033260000}"/>
    <cellStyle name="Normal 48 2 4" xfId="5277" xr:uid="{00000000-0005-0000-0000-000034260000}"/>
    <cellStyle name="Normal 48 2 4 2" xfId="5278" xr:uid="{00000000-0005-0000-0000-000035260000}"/>
    <cellStyle name="Normal 48 2 4 2 2" xfId="5279" xr:uid="{00000000-0005-0000-0000-000036260000}"/>
    <cellStyle name="Normal 48 2 4 2 2 2" xfId="16438" xr:uid="{00000000-0005-0000-0000-000037260000}"/>
    <cellStyle name="Normal 48 2 4 2 3" xfId="5280" xr:uid="{00000000-0005-0000-0000-000038260000}"/>
    <cellStyle name="Normal 48 2 4 2 3 2" xfId="16439" xr:uid="{00000000-0005-0000-0000-000039260000}"/>
    <cellStyle name="Normal 48 2 4 2 4" xfId="16440" xr:uid="{00000000-0005-0000-0000-00003A260000}"/>
    <cellStyle name="Normal 48 2 4 3" xfId="5281" xr:uid="{00000000-0005-0000-0000-00003B260000}"/>
    <cellStyle name="Normal 48 2 4 3 2" xfId="5282" xr:uid="{00000000-0005-0000-0000-00003C260000}"/>
    <cellStyle name="Normal 48 2 4 3 2 2" xfId="16441" xr:uid="{00000000-0005-0000-0000-00003D260000}"/>
    <cellStyle name="Normal 48 2 4 3 3" xfId="5283" xr:uid="{00000000-0005-0000-0000-00003E260000}"/>
    <cellStyle name="Normal 48 2 4 3 3 2" xfId="16442" xr:uid="{00000000-0005-0000-0000-00003F260000}"/>
    <cellStyle name="Normal 48 2 4 3 4" xfId="16443" xr:uid="{00000000-0005-0000-0000-000040260000}"/>
    <cellStyle name="Normal 48 2 4 4" xfId="5284" xr:uid="{00000000-0005-0000-0000-000041260000}"/>
    <cellStyle name="Normal 48 2 4 4 2" xfId="16444" xr:uid="{00000000-0005-0000-0000-000042260000}"/>
    <cellStyle name="Normal 48 2 4 5" xfId="5285" xr:uid="{00000000-0005-0000-0000-000043260000}"/>
    <cellStyle name="Normal 48 2 4 5 2" xfId="16445" xr:uid="{00000000-0005-0000-0000-000044260000}"/>
    <cellStyle name="Normal 48 2 4 6" xfId="16446" xr:uid="{00000000-0005-0000-0000-000045260000}"/>
    <cellStyle name="Normal 48 2 5" xfId="5286" xr:uid="{00000000-0005-0000-0000-000046260000}"/>
    <cellStyle name="Normal 48 2 5 2" xfId="5287" xr:uid="{00000000-0005-0000-0000-000047260000}"/>
    <cellStyle name="Normal 48 2 5 2 2" xfId="16447" xr:uid="{00000000-0005-0000-0000-000048260000}"/>
    <cellStyle name="Normal 48 2 5 3" xfId="5288" xr:uid="{00000000-0005-0000-0000-000049260000}"/>
    <cellStyle name="Normal 48 2 5 3 2" xfId="16448" xr:uid="{00000000-0005-0000-0000-00004A260000}"/>
    <cellStyle name="Normal 48 2 5 4" xfId="16449" xr:uid="{00000000-0005-0000-0000-00004B260000}"/>
    <cellStyle name="Normal 48 2 6" xfId="5289" xr:uid="{00000000-0005-0000-0000-00004C260000}"/>
    <cellStyle name="Normal 48 2 6 2" xfId="5290" xr:uid="{00000000-0005-0000-0000-00004D260000}"/>
    <cellStyle name="Normal 48 2 6 2 2" xfId="16450" xr:uid="{00000000-0005-0000-0000-00004E260000}"/>
    <cellStyle name="Normal 48 2 6 3" xfId="5291" xr:uid="{00000000-0005-0000-0000-00004F260000}"/>
    <cellStyle name="Normal 48 2 6 3 2" xfId="16451" xr:uid="{00000000-0005-0000-0000-000050260000}"/>
    <cellStyle name="Normal 48 2 6 4" xfId="16452" xr:uid="{00000000-0005-0000-0000-000051260000}"/>
    <cellStyle name="Normal 48 2 7" xfId="5292" xr:uid="{00000000-0005-0000-0000-000052260000}"/>
    <cellStyle name="Normal 48 2 7 2" xfId="16453" xr:uid="{00000000-0005-0000-0000-000053260000}"/>
    <cellStyle name="Normal 48 2 8" xfId="5293" xr:uid="{00000000-0005-0000-0000-000054260000}"/>
    <cellStyle name="Normal 48 2 8 2" xfId="16454" xr:uid="{00000000-0005-0000-0000-000055260000}"/>
    <cellStyle name="Normal 48 2 9" xfId="12411" xr:uid="{00000000-0005-0000-0000-000056260000}"/>
    <cellStyle name="Normal 48 20" xfId="11159" xr:uid="{00000000-0005-0000-0000-000057260000}"/>
    <cellStyle name="Normal 48 3" xfId="5294" xr:uid="{00000000-0005-0000-0000-000058260000}"/>
    <cellStyle name="Normal 48 3 2" xfId="5295" xr:uid="{00000000-0005-0000-0000-000059260000}"/>
    <cellStyle name="Normal 48 3 2 2" xfId="5296" xr:uid="{00000000-0005-0000-0000-00005A260000}"/>
    <cellStyle name="Normal 48 3 2 2 2" xfId="5297" xr:uid="{00000000-0005-0000-0000-00005B260000}"/>
    <cellStyle name="Normal 48 3 2 2 2 2" xfId="16455" xr:uid="{00000000-0005-0000-0000-00005C260000}"/>
    <cellStyle name="Normal 48 3 2 2 3" xfId="5298" xr:uid="{00000000-0005-0000-0000-00005D260000}"/>
    <cellStyle name="Normal 48 3 2 2 3 2" xfId="16456" xr:uid="{00000000-0005-0000-0000-00005E260000}"/>
    <cellStyle name="Normal 48 3 2 2 4" xfId="16457" xr:uid="{00000000-0005-0000-0000-00005F260000}"/>
    <cellStyle name="Normal 48 3 2 3" xfId="5299" xr:uid="{00000000-0005-0000-0000-000060260000}"/>
    <cellStyle name="Normal 48 3 2 3 2" xfId="5300" xr:uid="{00000000-0005-0000-0000-000061260000}"/>
    <cellStyle name="Normal 48 3 2 3 2 2" xfId="16458" xr:uid="{00000000-0005-0000-0000-000062260000}"/>
    <cellStyle name="Normal 48 3 2 3 3" xfId="5301" xr:uid="{00000000-0005-0000-0000-000063260000}"/>
    <cellStyle name="Normal 48 3 2 3 3 2" xfId="16459" xr:uid="{00000000-0005-0000-0000-000064260000}"/>
    <cellStyle name="Normal 48 3 2 3 4" xfId="16460" xr:uid="{00000000-0005-0000-0000-000065260000}"/>
    <cellStyle name="Normal 48 3 2 4" xfId="5302" xr:uid="{00000000-0005-0000-0000-000066260000}"/>
    <cellStyle name="Normal 48 3 2 4 2" xfId="16461" xr:uid="{00000000-0005-0000-0000-000067260000}"/>
    <cellStyle name="Normal 48 3 2 5" xfId="5303" xr:uid="{00000000-0005-0000-0000-000068260000}"/>
    <cellStyle name="Normal 48 3 2 5 2" xfId="16462" xr:uid="{00000000-0005-0000-0000-000069260000}"/>
    <cellStyle name="Normal 48 3 2 6" xfId="12414" xr:uid="{00000000-0005-0000-0000-00006A260000}"/>
    <cellStyle name="Normal 48 3 3" xfId="5304" xr:uid="{00000000-0005-0000-0000-00006B260000}"/>
    <cellStyle name="Normal 48 3 3 2" xfId="5305" xr:uid="{00000000-0005-0000-0000-00006C260000}"/>
    <cellStyle name="Normal 48 3 3 2 2" xfId="5306" xr:uid="{00000000-0005-0000-0000-00006D260000}"/>
    <cellStyle name="Normal 48 3 3 2 2 2" xfId="16463" xr:uid="{00000000-0005-0000-0000-00006E260000}"/>
    <cellStyle name="Normal 48 3 3 2 3" xfId="5307" xr:uid="{00000000-0005-0000-0000-00006F260000}"/>
    <cellStyle name="Normal 48 3 3 2 3 2" xfId="16464" xr:uid="{00000000-0005-0000-0000-000070260000}"/>
    <cellStyle name="Normal 48 3 3 2 4" xfId="16465" xr:uid="{00000000-0005-0000-0000-000071260000}"/>
    <cellStyle name="Normal 48 3 3 3" xfId="5308" xr:uid="{00000000-0005-0000-0000-000072260000}"/>
    <cellStyle name="Normal 48 3 3 3 2" xfId="5309" xr:uid="{00000000-0005-0000-0000-000073260000}"/>
    <cellStyle name="Normal 48 3 3 3 2 2" xfId="16466" xr:uid="{00000000-0005-0000-0000-000074260000}"/>
    <cellStyle name="Normal 48 3 3 3 3" xfId="5310" xr:uid="{00000000-0005-0000-0000-000075260000}"/>
    <cellStyle name="Normal 48 3 3 3 3 2" xfId="16467" xr:uid="{00000000-0005-0000-0000-000076260000}"/>
    <cellStyle name="Normal 48 3 3 3 4" xfId="16468" xr:uid="{00000000-0005-0000-0000-000077260000}"/>
    <cellStyle name="Normal 48 3 3 4" xfId="5311" xr:uid="{00000000-0005-0000-0000-000078260000}"/>
    <cellStyle name="Normal 48 3 3 4 2" xfId="16469" xr:uid="{00000000-0005-0000-0000-000079260000}"/>
    <cellStyle name="Normal 48 3 3 5" xfId="5312" xr:uid="{00000000-0005-0000-0000-00007A260000}"/>
    <cellStyle name="Normal 48 3 3 5 2" xfId="16470" xr:uid="{00000000-0005-0000-0000-00007B260000}"/>
    <cellStyle name="Normal 48 3 3 6" xfId="16471" xr:uid="{00000000-0005-0000-0000-00007C260000}"/>
    <cellStyle name="Normal 48 3 4" xfId="5313" xr:uid="{00000000-0005-0000-0000-00007D260000}"/>
    <cellStyle name="Normal 48 3 4 2" xfId="5314" xr:uid="{00000000-0005-0000-0000-00007E260000}"/>
    <cellStyle name="Normal 48 3 4 2 2" xfId="16472" xr:uid="{00000000-0005-0000-0000-00007F260000}"/>
    <cellStyle name="Normal 48 3 4 3" xfId="5315" xr:uid="{00000000-0005-0000-0000-000080260000}"/>
    <cellStyle name="Normal 48 3 4 3 2" xfId="16473" xr:uid="{00000000-0005-0000-0000-000081260000}"/>
    <cellStyle name="Normal 48 3 4 4" xfId="16474" xr:uid="{00000000-0005-0000-0000-000082260000}"/>
    <cellStyle name="Normal 48 3 5" xfId="5316" xr:uid="{00000000-0005-0000-0000-000083260000}"/>
    <cellStyle name="Normal 48 3 5 2" xfId="5317" xr:uid="{00000000-0005-0000-0000-000084260000}"/>
    <cellStyle name="Normal 48 3 5 2 2" xfId="16475" xr:uid="{00000000-0005-0000-0000-000085260000}"/>
    <cellStyle name="Normal 48 3 5 3" xfId="5318" xr:uid="{00000000-0005-0000-0000-000086260000}"/>
    <cellStyle name="Normal 48 3 5 3 2" xfId="16476" xr:uid="{00000000-0005-0000-0000-000087260000}"/>
    <cellStyle name="Normal 48 3 5 4" xfId="16477" xr:uid="{00000000-0005-0000-0000-000088260000}"/>
    <cellStyle name="Normal 48 3 6" xfId="5319" xr:uid="{00000000-0005-0000-0000-000089260000}"/>
    <cellStyle name="Normal 48 3 6 2" xfId="16478" xr:uid="{00000000-0005-0000-0000-00008A260000}"/>
    <cellStyle name="Normal 48 3 7" xfId="5320" xr:uid="{00000000-0005-0000-0000-00008B260000}"/>
    <cellStyle name="Normal 48 3 7 2" xfId="16479" xr:uid="{00000000-0005-0000-0000-00008C260000}"/>
    <cellStyle name="Normal 48 3 8" xfId="12413" xr:uid="{00000000-0005-0000-0000-00008D260000}"/>
    <cellStyle name="Normal 48 4" xfId="5321" xr:uid="{00000000-0005-0000-0000-00008E260000}"/>
    <cellStyle name="Normal 48 4 2" xfId="5322" xr:uid="{00000000-0005-0000-0000-00008F260000}"/>
    <cellStyle name="Normal 48 4 2 2" xfId="5323" xr:uid="{00000000-0005-0000-0000-000090260000}"/>
    <cellStyle name="Normal 48 4 2 2 2" xfId="5324" xr:uid="{00000000-0005-0000-0000-000091260000}"/>
    <cellStyle name="Normal 48 4 2 2 2 2" xfId="16480" xr:uid="{00000000-0005-0000-0000-000092260000}"/>
    <cellStyle name="Normal 48 4 2 2 3" xfId="5325" xr:uid="{00000000-0005-0000-0000-000093260000}"/>
    <cellStyle name="Normal 48 4 2 2 3 2" xfId="16481" xr:uid="{00000000-0005-0000-0000-000094260000}"/>
    <cellStyle name="Normal 48 4 2 2 4" xfId="16482" xr:uid="{00000000-0005-0000-0000-000095260000}"/>
    <cellStyle name="Normal 48 4 2 3" xfId="5326" xr:uid="{00000000-0005-0000-0000-000096260000}"/>
    <cellStyle name="Normal 48 4 2 3 2" xfId="5327" xr:uid="{00000000-0005-0000-0000-000097260000}"/>
    <cellStyle name="Normal 48 4 2 3 2 2" xfId="16483" xr:uid="{00000000-0005-0000-0000-000098260000}"/>
    <cellStyle name="Normal 48 4 2 3 3" xfId="5328" xr:uid="{00000000-0005-0000-0000-000099260000}"/>
    <cellStyle name="Normal 48 4 2 3 3 2" xfId="16484" xr:uid="{00000000-0005-0000-0000-00009A260000}"/>
    <cellStyle name="Normal 48 4 2 3 4" xfId="16485" xr:uid="{00000000-0005-0000-0000-00009B260000}"/>
    <cellStyle name="Normal 48 4 2 4" xfId="5329" xr:uid="{00000000-0005-0000-0000-00009C260000}"/>
    <cellStyle name="Normal 48 4 2 4 2" xfId="16486" xr:uid="{00000000-0005-0000-0000-00009D260000}"/>
    <cellStyle name="Normal 48 4 2 5" xfId="5330" xr:uid="{00000000-0005-0000-0000-00009E260000}"/>
    <cellStyle name="Normal 48 4 2 5 2" xfId="16487" xr:uid="{00000000-0005-0000-0000-00009F260000}"/>
    <cellStyle name="Normal 48 4 2 6" xfId="12416" xr:uid="{00000000-0005-0000-0000-0000A0260000}"/>
    <cellStyle name="Normal 48 4 3" xfId="5331" xr:uid="{00000000-0005-0000-0000-0000A1260000}"/>
    <cellStyle name="Normal 48 4 3 2" xfId="5332" xr:uid="{00000000-0005-0000-0000-0000A2260000}"/>
    <cellStyle name="Normal 48 4 3 2 2" xfId="5333" xr:uid="{00000000-0005-0000-0000-0000A3260000}"/>
    <cellStyle name="Normal 48 4 3 2 2 2" xfId="16488" xr:uid="{00000000-0005-0000-0000-0000A4260000}"/>
    <cellStyle name="Normal 48 4 3 2 3" xfId="5334" xr:uid="{00000000-0005-0000-0000-0000A5260000}"/>
    <cellStyle name="Normal 48 4 3 2 3 2" xfId="16489" xr:uid="{00000000-0005-0000-0000-0000A6260000}"/>
    <cellStyle name="Normal 48 4 3 2 4" xfId="16490" xr:uid="{00000000-0005-0000-0000-0000A7260000}"/>
    <cellStyle name="Normal 48 4 3 3" xfId="5335" xr:uid="{00000000-0005-0000-0000-0000A8260000}"/>
    <cellStyle name="Normal 48 4 3 3 2" xfId="5336" xr:uid="{00000000-0005-0000-0000-0000A9260000}"/>
    <cellStyle name="Normal 48 4 3 3 2 2" xfId="16491" xr:uid="{00000000-0005-0000-0000-0000AA260000}"/>
    <cellStyle name="Normal 48 4 3 3 3" xfId="5337" xr:uid="{00000000-0005-0000-0000-0000AB260000}"/>
    <cellStyle name="Normal 48 4 3 3 3 2" xfId="16492" xr:uid="{00000000-0005-0000-0000-0000AC260000}"/>
    <cellStyle name="Normal 48 4 3 3 4" xfId="16493" xr:uid="{00000000-0005-0000-0000-0000AD260000}"/>
    <cellStyle name="Normal 48 4 3 4" xfId="5338" xr:uid="{00000000-0005-0000-0000-0000AE260000}"/>
    <cellStyle name="Normal 48 4 3 4 2" xfId="16494" xr:uid="{00000000-0005-0000-0000-0000AF260000}"/>
    <cellStyle name="Normal 48 4 3 5" xfId="5339" xr:uid="{00000000-0005-0000-0000-0000B0260000}"/>
    <cellStyle name="Normal 48 4 3 5 2" xfId="16495" xr:uid="{00000000-0005-0000-0000-0000B1260000}"/>
    <cellStyle name="Normal 48 4 3 6" xfId="16496" xr:uid="{00000000-0005-0000-0000-0000B2260000}"/>
    <cellStyle name="Normal 48 4 4" xfId="5340" xr:uid="{00000000-0005-0000-0000-0000B3260000}"/>
    <cellStyle name="Normal 48 4 4 2" xfId="5341" xr:uid="{00000000-0005-0000-0000-0000B4260000}"/>
    <cellStyle name="Normal 48 4 4 2 2" xfId="16497" xr:uid="{00000000-0005-0000-0000-0000B5260000}"/>
    <cellStyle name="Normal 48 4 4 3" xfId="5342" xr:uid="{00000000-0005-0000-0000-0000B6260000}"/>
    <cellStyle name="Normal 48 4 4 3 2" xfId="16498" xr:uid="{00000000-0005-0000-0000-0000B7260000}"/>
    <cellStyle name="Normal 48 4 4 4" xfId="16499" xr:uid="{00000000-0005-0000-0000-0000B8260000}"/>
    <cellStyle name="Normal 48 4 5" xfId="5343" xr:uid="{00000000-0005-0000-0000-0000B9260000}"/>
    <cellStyle name="Normal 48 4 5 2" xfId="5344" xr:uid="{00000000-0005-0000-0000-0000BA260000}"/>
    <cellStyle name="Normal 48 4 5 2 2" xfId="16500" xr:uid="{00000000-0005-0000-0000-0000BB260000}"/>
    <cellStyle name="Normal 48 4 5 3" xfId="5345" xr:uid="{00000000-0005-0000-0000-0000BC260000}"/>
    <cellStyle name="Normal 48 4 5 3 2" xfId="16501" xr:uid="{00000000-0005-0000-0000-0000BD260000}"/>
    <cellStyle name="Normal 48 4 5 4" xfId="16502" xr:uid="{00000000-0005-0000-0000-0000BE260000}"/>
    <cellStyle name="Normal 48 4 6" xfId="5346" xr:uid="{00000000-0005-0000-0000-0000BF260000}"/>
    <cellStyle name="Normal 48 4 6 2" xfId="16503" xr:uid="{00000000-0005-0000-0000-0000C0260000}"/>
    <cellStyle name="Normal 48 4 7" xfId="5347" xr:uid="{00000000-0005-0000-0000-0000C1260000}"/>
    <cellStyle name="Normal 48 4 7 2" xfId="16504" xr:uid="{00000000-0005-0000-0000-0000C2260000}"/>
    <cellStyle name="Normal 48 4 8" xfId="12415" xr:uid="{00000000-0005-0000-0000-0000C3260000}"/>
    <cellStyle name="Normal 48 5" xfId="5348" xr:uid="{00000000-0005-0000-0000-0000C4260000}"/>
    <cellStyle name="Normal 48 5 2" xfId="11160" xr:uid="{00000000-0005-0000-0000-0000C5260000}"/>
    <cellStyle name="Normal 48 6" xfId="5349" xr:uid="{00000000-0005-0000-0000-0000C6260000}"/>
    <cellStyle name="Normal 48 6 2" xfId="5350" xr:uid="{00000000-0005-0000-0000-0000C7260000}"/>
    <cellStyle name="Normal 48 6 2 2" xfId="5351" xr:uid="{00000000-0005-0000-0000-0000C8260000}"/>
    <cellStyle name="Normal 48 6 2 2 2" xfId="16505" xr:uid="{00000000-0005-0000-0000-0000C9260000}"/>
    <cellStyle name="Normal 48 6 2 3" xfId="5352" xr:uid="{00000000-0005-0000-0000-0000CA260000}"/>
    <cellStyle name="Normal 48 6 2 3 2" xfId="16506" xr:uid="{00000000-0005-0000-0000-0000CB260000}"/>
    <cellStyle name="Normal 48 6 2 4" xfId="12418" xr:uid="{00000000-0005-0000-0000-0000CC260000}"/>
    <cellStyle name="Normal 48 6 3" xfId="5353" xr:uid="{00000000-0005-0000-0000-0000CD260000}"/>
    <cellStyle name="Normal 48 6 3 2" xfId="5354" xr:uid="{00000000-0005-0000-0000-0000CE260000}"/>
    <cellStyle name="Normal 48 6 3 2 2" xfId="16507" xr:uid="{00000000-0005-0000-0000-0000CF260000}"/>
    <cellStyle name="Normal 48 6 3 3" xfId="5355" xr:uid="{00000000-0005-0000-0000-0000D0260000}"/>
    <cellStyle name="Normal 48 6 3 3 2" xfId="16508" xr:uid="{00000000-0005-0000-0000-0000D1260000}"/>
    <cellStyle name="Normal 48 6 3 4" xfId="16509" xr:uid="{00000000-0005-0000-0000-0000D2260000}"/>
    <cellStyle name="Normal 48 6 4" xfId="5356" xr:uid="{00000000-0005-0000-0000-0000D3260000}"/>
    <cellStyle name="Normal 48 6 4 2" xfId="16510" xr:uid="{00000000-0005-0000-0000-0000D4260000}"/>
    <cellStyle name="Normal 48 6 5" xfId="5357" xr:uid="{00000000-0005-0000-0000-0000D5260000}"/>
    <cellStyle name="Normal 48 6 5 2" xfId="16511" xr:uid="{00000000-0005-0000-0000-0000D6260000}"/>
    <cellStyle name="Normal 48 6 6" xfId="12417" xr:uid="{00000000-0005-0000-0000-0000D7260000}"/>
    <cellStyle name="Normal 48 7" xfId="5358" xr:uid="{00000000-0005-0000-0000-0000D8260000}"/>
    <cellStyle name="Normal 48 7 2" xfId="5359" xr:uid="{00000000-0005-0000-0000-0000D9260000}"/>
    <cellStyle name="Normal 48 7 2 2" xfId="5360" xr:uid="{00000000-0005-0000-0000-0000DA260000}"/>
    <cellStyle name="Normal 48 7 2 2 2" xfId="16512" xr:uid="{00000000-0005-0000-0000-0000DB260000}"/>
    <cellStyle name="Normal 48 7 2 3" xfId="5361" xr:uid="{00000000-0005-0000-0000-0000DC260000}"/>
    <cellStyle name="Normal 48 7 2 3 2" xfId="16513" xr:uid="{00000000-0005-0000-0000-0000DD260000}"/>
    <cellStyle name="Normal 48 7 2 4" xfId="16514" xr:uid="{00000000-0005-0000-0000-0000DE260000}"/>
    <cellStyle name="Normal 48 7 3" xfId="5362" xr:uid="{00000000-0005-0000-0000-0000DF260000}"/>
    <cellStyle name="Normal 48 7 3 2" xfId="5363" xr:uid="{00000000-0005-0000-0000-0000E0260000}"/>
    <cellStyle name="Normal 48 7 3 2 2" xfId="16515" xr:uid="{00000000-0005-0000-0000-0000E1260000}"/>
    <cellStyle name="Normal 48 7 3 3" xfId="5364" xr:uid="{00000000-0005-0000-0000-0000E2260000}"/>
    <cellStyle name="Normal 48 7 3 3 2" xfId="16516" xr:uid="{00000000-0005-0000-0000-0000E3260000}"/>
    <cellStyle name="Normal 48 7 3 4" xfId="16517" xr:uid="{00000000-0005-0000-0000-0000E4260000}"/>
    <cellStyle name="Normal 48 7 4" xfId="5365" xr:uid="{00000000-0005-0000-0000-0000E5260000}"/>
    <cellStyle name="Normal 48 7 4 2" xfId="16518" xr:uid="{00000000-0005-0000-0000-0000E6260000}"/>
    <cellStyle name="Normal 48 7 5" xfId="5366" xr:uid="{00000000-0005-0000-0000-0000E7260000}"/>
    <cellStyle name="Normal 48 7 5 2" xfId="16519" xr:uid="{00000000-0005-0000-0000-0000E8260000}"/>
    <cellStyle name="Normal 48 7 6" xfId="12419" xr:uid="{00000000-0005-0000-0000-0000E9260000}"/>
    <cellStyle name="Normal 48 8" xfId="5367" xr:uid="{00000000-0005-0000-0000-0000EA260000}"/>
    <cellStyle name="Normal 48 8 2" xfId="5368" xr:uid="{00000000-0005-0000-0000-0000EB260000}"/>
    <cellStyle name="Normal 48 8 2 2" xfId="5369" xr:uid="{00000000-0005-0000-0000-0000EC260000}"/>
    <cellStyle name="Normal 48 8 2 2 2" xfId="16520" xr:uid="{00000000-0005-0000-0000-0000ED260000}"/>
    <cellStyle name="Normal 48 8 2 3" xfId="5370" xr:uid="{00000000-0005-0000-0000-0000EE260000}"/>
    <cellStyle name="Normal 48 8 2 3 2" xfId="16521" xr:uid="{00000000-0005-0000-0000-0000EF260000}"/>
    <cellStyle name="Normal 48 8 2 4" xfId="16522" xr:uid="{00000000-0005-0000-0000-0000F0260000}"/>
    <cellStyle name="Normal 48 8 3" xfId="5371" xr:uid="{00000000-0005-0000-0000-0000F1260000}"/>
    <cellStyle name="Normal 48 8 3 2" xfId="5372" xr:uid="{00000000-0005-0000-0000-0000F2260000}"/>
    <cellStyle name="Normal 48 8 3 2 2" xfId="16523" xr:uid="{00000000-0005-0000-0000-0000F3260000}"/>
    <cellStyle name="Normal 48 8 3 3" xfId="5373" xr:uid="{00000000-0005-0000-0000-0000F4260000}"/>
    <cellStyle name="Normal 48 8 3 3 2" xfId="16524" xr:uid="{00000000-0005-0000-0000-0000F5260000}"/>
    <cellStyle name="Normal 48 8 3 4" xfId="16525" xr:uid="{00000000-0005-0000-0000-0000F6260000}"/>
    <cellStyle name="Normal 48 8 4" xfId="5374" xr:uid="{00000000-0005-0000-0000-0000F7260000}"/>
    <cellStyle name="Normal 48 8 4 2" xfId="16526" xr:uid="{00000000-0005-0000-0000-0000F8260000}"/>
    <cellStyle name="Normal 48 8 5" xfId="5375" xr:uid="{00000000-0005-0000-0000-0000F9260000}"/>
    <cellStyle name="Normal 48 8 5 2" xfId="16527" xr:uid="{00000000-0005-0000-0000-0000FA260000}"/>
    <cellStyle name="Normal 48 8 6" xfId="12420" xr:uid="{00000000-0005-0000-0000-0000FB260000}"/>
    <cellStyle name="Normal 48 9" xfId="5376" xr:uid="{00000000-0005-0000-0000-0000FC260000}"/>
    <cellStyle name="Normal 48 9 2" xfId="5377" xr:uid="{00000000-0005-0000-0000-0000FD260000}"/>
    <cellStyle name="Normal 48 9 2 2" xfId="16528" xr:uid="{00000000-0005-0000-0000-0000FE260000}"/>
    <cellStyle name="Normal 48 9 3" xfId="5378" xr:uid="{00000000-0005-0000-0000-0000FF260000}"/>
    <cellStyle name="Normal 48 9 3 2" xfId="16529" xr:uid="{00000000-0005-0000-0000-000000270000}"/>
    <cellStyle name="Normal 48 9 4" xfId="12421" xr:uid="{00000000-0005-0000-0000-000001270000}"/>
    <cellStyle name="Normal 480" xfId="5379" xr:uid="{00000000-0005-0000-0000-000002270000}"/>
    <cellStyle name="Normal 481" xfId="5380" xr:uid="{00000000-0005-0000-0000-000003270000}"/>
    <cellStyle name="Normal 482" xfId="5381" xr:uid="{00000000-0005-0000-0000-000004270000}"/>
    <cellStyle name="Normal 483" xfId="5382" xr:uid="{00000000-0005-0000-0000-000005270000}"/>
    <cellStyle name="Normal 484" xfId="5383" xr:uid="{00000000-0005-0000-0000-000006270000}"/>
    <cellStyle name="Normal 485" xfId="5384" xr:uid="{00000000-0005-0000-0000-000007270000}"/>
    <cellStyle name="Normal 486" xfId="5385" xr:uid="{00000000-0005-0000-0000-000008270000}"/>
    <cellStyle name="Normal 487" xfId="5386" xr:uid="{00000000-0005-0000-0000-000009270000}"/>
    <cellStyle name="Normal 488" xfId="5387" xr:uid="{00000000-0005-0000-0000-00000A270000}"/>
    <cellStyle name="Normal 489" xfId="5388" xr:uid="{00000000-0005-0000-0000-00000B270000}"/>
    <cellStyle name="Normal 49" xfId="5389" xr:uid="{00000000-0005-0000-0000-00000C270000}"/>
    <cellStyle name="Normal 49 10" xfId="5390" xr:uid="{00000000-0005-0000-0000-00000D270000}"/>
    <cellStyle name="Normal 49 10 2" xfId="5391" xr:uid="{00000000-0005-0000-0000-00000E270000}"/>
    <cellStyle name="Normal 49 10 2 2" xfId="16530" xr:uid="{00000000-0005-0000-0000-00000F270000}"/>
    <cellStyle name="Normal 49 10 3" xfId="5392" xr:uid="{00000000-0005-0000-0000-000010270000}"/>
    <cellStyle name="Normal 49 10 3 2" xfId="16531" xr:uid="{00000000-0005-0000-0000-000011270000}"/>
    <cellStyle name="Normal 49 10 4" xfId="12422" xr:uid="{00000000-0005-0000-0000-000012270000}"/>
    <cellStyle name="Normal 49 11" xfId="5393" xr:uid="{00000000-0005-0000-0000-000013270000}"/>
    <cellStyle name="Normal 49 11 2" xfId="12423" xr:uid="{00000000-0005-0000-0000-000014270000}"/>
    <cellStyle name="Normal 49 12" xfId="5394" xr:uid="{00000000-0005-0000-0000-000015270000}"/>
    <cellStyle name="Normal 49 12 2" xfId="12424" xr:uid="{00000000-0005-0000-0000-000016270000}"/>
    <cellStyle name="Normal 49 13" xfId="11161" xr:uid="{00000000-0005-0000-0000-000017270000}"/>
    <cellStyle name="Normal 49 14" xfId="11162" xr:uid="{00000000-0005-0000-0000-000018270000}"/>
    <cellStyle name="Normal 49 15" xfId="11163" xr:uid="{00000000-0005-0000-0000-000019270000}"/>
    <cellStyle name="Normal 49 16" xfId="11164" xr:uid="{00000000-0005-0000-0000-00001A270000}"/>
    <cellStyle name="Normal 49 17" xfId="11165" xr:uid="{00000000-0005-0000-0000-00001B270000}"/>
    <cellStyle name="Normal 49 18" xfId="11166" xr:uid="{00000000-0005-0000-0000-00001C270000}"/>
    <cellStyle name="Normal 49 19" xfId="11167" xr:uid="{00000000-0005-0000-0000-00001D270000}"/>
    <cellStyle name="Normal 49 2" xfId="5395" xr:uid="{00000000-0005-0000-0000-00001E270000}"/>
    <cellStyle name="Normal 49 2 2" xfId="5396" xr:uid="{00000000-0005-0000-0000-00001F270000}"/>
    <cellStyle name="Normal 49 2 2 2" xfId="5397" xr:uid="{00000000-0005-0000-0000-000020270000}"/>
    <cellStyle name="Normal 49 2 2 2 2" xfId="5398" xr:uid="{00000000-0005-0000-0000-000021270000}"/>
    <cellStyle name="Normal 49 2 2 2 2 2" xfId="5399" xr:uid="{00000000-0005-0000-0000-000022270000}"/>
    <cellStyle name="Normal 49 2 2 2 2 2 2" xfId="16532" xr:uid="{00000000-0005-0000-0000-000023270000}"/>
    <cellStyle name="Normal 49 2 2 2 2 3" xfId="5400" xr:uid="{00000000-0005-0000-0000-000024270000}"/>
    <cellStyle name="Normal 49 2 2 2 2 3 2" xfId="16533" xr:uid="{00000000-0005-0000-0000-000025270000}"/>
    <cellStyle name="Normal 49 2 2 2 2 4" xfId="16534" xr:uid="{00000000-0005-0000-0000-000026270000}"/>
    <cellStyle name="Normal 49 2 2 2 3" xfId="5401" xr:uid="{00000000-0005-0000-0000-000027270000}"/>
    <cellStyle name="Normal 49 2 2 2 3 2" xfId="5402" xr:uid="{00000000-0005-0000-0000-000028270000}"/>
    <cellStyle name="Normal 49 2 2 2 3 2 2" xfId="16535" xr:uid="{00000000-0005-0000-0000-000029270000}"/>
    <cellStyle name="Normal 49 2 2 2 3 3" xfId="5403" xr:uid="{00000000-0005-0000-0000-00002A270000}"/>
    <cellStyle name="Normal 49 2 2 2 3 3 2" xfId="16536" xr:uid="{00000000-0005-0000-0000-00002B270000}"/>
    <cellStyle name="Normal 49 2 2 2 3 4" xfId="16537" xr:uid="{00000000-0005-0000-0000-00002C270000}"/>
    <cellStyle name="Normal 49 2 2 2 4" xfId="5404" xr:uid="{00000000-0005-0000-0000-00002D270000}"/>
    <cellStyle name="Normal 49 2 2 2 4 2" xfId="16538" xr:uid="{00000000-0005-0000-0000-00002E270000}"/>
    <cellStyle name="Normal 49 2 2 2 5" xfId="5405" xr:uid="{00000000-0005-0000-0000-00002F270000}"/>
    <cellStyle name="Normal 49 2 2 2 5 2" xfId="16539" xr:uid="{00000000-0005-0000-0000-000030270000}"/>
    <cellStyle name="Normal 49 2 2 2 6" xfId="16540" xr:uid="{00000000-0005-0000-0000-000031270000}"/>
    <cellStyle name="Normal 49 2 2 3" xfId="5406" xr:uid="{00000000-0005-0000-0000-000032270000}"/>
    <cellStyle name="Normal 49 2 2 3 2" xfId="5407" xr:uid="{00000000-0005-0000-0000-000033270000}"/>
    <cellStyle name="Normal 49 2 2 3 2 2" xfId="5408" xr:uid="{00000000-0005-0000-0000-000034270000}"/>
    <cellStyle name="Normal 49 2 2 3 2 2 2" xfId="16541" xr:uid="{00000000-0005-0000-0000-000035270000}"/>
    <cellStyle name="Normal 49 2 2 3 2 3" xfId="5409" xr:uid="{00000000-0005-0000-0000-000036270000}"/>
    <cellStyle name="Normal 49 2 2 3 2 3 2" xfId="16542" xr:uid="{00000000-0005-0000-0000-000037270000}"/>
    <cellStyle name="Normal 49 2 2 3 2 4" xfId="16543" xr:uid="{00000000-0005-0000-0000-000038270000}"/>
    <cellStyle name="Normal 49 2 2 3 3" xfId="5410" xr:uid="{00000000-0005-0000-0000-000039270000}"/>
    <cellStyle name="Normal 49 2 2 3 3 2" xfId="5411" xr:uid="{00000000-0005-0000-0000-00003A270000}"/>
    <cellStyle name="Normal 49 2 2 3 3 2 2" xfId="16544" xr:uid="{00000000-0005-0000-0000-00003B270000}"/>
    <cellStyle name="Normal 49 2 2 3 3 3" xfId="5412" xr:uid="{00000000-0005-0000-0000-00003C270000}"/>
    <cellStyle name="Normal 49 2 2 3 3 3 2" xfId="16545" xr:uid="{00000000-0005-0000-0000-00003D270000}"/>
    <cellStyle name="Normal 49 2 2 3 3 4" xfId="16546" xr:uid="{00000000-0005-0000-0000-00003E270000}"/>
    <cellStyle name="Normal 49 2 2 3 4" xfId="5413" xr:uid="{00000000-0005-0000-0000-00003F270000}"/>
    <cellStyle name="Normal 49 2 2 3 4 2" xfId="16547" xr:uid="{00000000-0005-0000-0000-000040270000}"/>
    <cellStyle name="Normal 49 2 2 3 5" xfId="5414" xr:uid="{00000000-0005-0000-0000-000041270000}"/>
    <cellStyle name="Normal 49 2 2 3 5 2" xfId="16548" xr:uid="{00000000-0005-0000-0000-000042270000}"/>
    <cellStyle name="Normal 49 2 2 3 6" xfId="16549" xr:uid="{00000000-0005-0000-0000-000043270000}"/>
    <cellStyle name="Normal 49 2 2 4" xfId="5415" xr:uid="{00000000-0005-0000-0000-000044270000}"/>
    <cellStyle name="Normal 49 2 2 4 2" xfId="5416" xr:uid="{00000000-0005-0000-0000-000045270000}"/>
    <cellStyle name="Normal 49 2 2 4 2 2" xfId="16550" xr:uid="{00000000-0005-0000-0000-000046270000}"/>
    <cellStyle name="Normal 49 2 2 4 3" xfId="5417" xr:uid="{00000000-0005-0000-0000-000047270000}"/>
    <cellStyle name="Normal 49 2 2 4 3 2" xfId="16551" xr:uid="{00000000-0005-0000-0000-000048270000}"/>
    <cellStyle name="Normal 49 2 2 4 4" xfId="16552" xr:uid="{00000000-0005-0000-0000-000049270000}"/>
    <cellStyle name="Normal 49 2 2 5" xfId="5418" xr:uid="{00000000-0005-0000-0000-00004A270000}"/>
    <cellStyle name="Normal 49 2 2 5 2" xfId="5419" xr:uid="{00000000-0005-0000-0000-00004B270000}"/>
    <cellStyle name="Normal 49 2 2 5 2 2" xfId="16553" xr:uid="{00000000-0005-0000-0000-00004C270000}"/>
    <cellStyle name="Normal 49 2 2 5 3" xfId="5420" xr:uid="{00000000-0005-0000-0000-00004D270000}"/>
    <cellStyle name="Normal 49 2 2 5 3 2" xfId="16554" xr:uid="{00000000-0005-0000-0000-00004E270000}"/>
    <cellStyle name="Normal 49 2 2 5 4" xfId="16555" xr:uid="{00000000-0005-0000-0000-00004F270000}"/>
    <cellStyle name="Normal 49 2 2 6" xfId="5421" xr:uid="{00000000-0005-0000-0000-000050270000}"/>
    <cellStyle name="Normal 49 2 2 6 2" xfId="16556" xr:uid="{00000000-0005-0000-0000-000051270000}"/>
    <cellStyle name="Normal 49 2 2 7" xfId="5422" xr:uid="{00000000-0005-0000-0000-000052270000}"/>
    <cellStyle name="Normal 49 2 2 7 2" xfId="16557" xr:uid="{00000000-0005-0000-0000-000053270000}"/>
    <cellStyle name="Normal 49 2 2 8" xfId="12426" xr:uid="{00000000-0005-0000-0000-000054270000}"/>
    <cellStyle name="Normal 49 2 3" xfId="5423" xr:uid="{00000000-0005-0000-0000-000055270000}"/>
    <cellStyle name="Normal 49 2 3 2" xfId="5424" xr:uid="{00000000-0005-0000-0000-000056270000}"/>
    <cellStyle name="Normal 49 2 3 2 2" xfId="5425" xr:uid="{00000000-0005-0000-0000-000057270000}"/>
    <cellStyle name="Normal 49 2 3 2 2 2" xfId="16558" xr:uid="{00000000-0005-0000-0000-000058270000}"/>
    <cellStyle name="Normal 49 2 3 2 3" xfId="5426" xr:uid="{00000000-0005-0000-0000-000059270000}"/>
    <cellStyle name="Normal 49 2 3 2 3 2" xfId="16559" xr:uid="{00000000-0005-0000-0000-00005A270000}"/>
    <cellStyle name="Normal 49 2 3 2 4" xfId="16560" xr:uid="{00000000-0005-0000-0000-00005B270000}"/>
    <cellStyle name="Normal 49 2 3 3" xfId="5427" xr:uid="{00000000-0005-0000-0000-00005C270000}"/>
    <cellStyle name="Normal 49 2 3 3 2" xfId="5428" xr:uid="{00000000-0005-0000-0000-00005D270000}"/>
    <cellStyle name="Normal 49 2 3 3 2 2" xfId="16561" xr:uid="{00000000-0005-0000-0000-00005E270000}"/>
    <cellStyle name="Normal 49 2 3 3 3" xfId="5429" xr:uid="{00000000-0005-0000-0000-00005F270000}"/>
    <cellStyle name="Normal 49 2 3 3 3 2" xfId="16562" xr:uid="{00000000-0005-0000-0000-000060270000}"/>
    <cellStyle name="Normal 49 2 3 3 4" xfId="16563" xr:uid="{00000000-0005-0000-0000-000061270000}"/>
    <cellStyle name="Normal 49 2 3 4" xfId="5430" xr:uid="{00000000-0005-0000-0000-000062270000}"/>
    <cellStyle name="Normal 49 2 3 4 2" xfId="16564" xr:uid="{00000000-0005-0000-0000-000063270000}"/>
    <cellStyle name="Normal 49 2 3 5" xfId="5431" xr:uid="{00000000-0005-0000-0000-000064270000}"/>
    <cellStyle name="Normal 49 2 3 5 2" xfId="16565" xr:uid="{00000000-0005-0000-0000-000065270000}"/>
    <cellStyle name="Normal 49 2 3 6" xfId="16566" xr:uid="{00000000-0005-0000-0000-000066270000}"/>
    <cellStyle name="Normal 49 2 4" xfId="5432" xr:uid="{00000000-0005-0000-0000-000067270000}"/>
    <cellStyle name="Normal 49 2 4 2" xfId="5433" xr:uid="{00000000-0005-0000-0000-000068270000}"/>
    <cellStyle name="Normal 49 2 4 2 2" xfId="5434" xr:uid="{00000000-0005-0000-0000-000069270000}"/>
    <cellStyle name="Normal 49 2 4 2 2 2" xfId="16567" xr:uid="{00000000-0005-0000-0000-00006A270000}"/>
    <cellStyle name="Normal 49 2 4 2 3" xfId="5435" xr:uid="{00000000-0005-0000-0000-00006B270000}"/>
    <cellStyle name="Normal 49 2 4 2 3 2" xfId="16568" xr:uid="{00000000-0005-0000-0000-00006C270000}"/>
    <cellStyle name="Normal 49 2 4 2 4" xfId="16569" xr:uid="{00000000-0005-0000-0000-00006D270000}"/>
    <cellStyle name="Normal 49 2 4 3" xfId="5436" xr:uid="{00000000-0005-0000-0000-00006E270000}"/>
    <cellStyle name="Normal 49 2 4 3 2" xfId="5437" xr:uid="{00000000-0005-0000-0000-00006F270000}"/>
    <cellStyle name="Normal 49 2 4 3 2 2" xfId="16570" xr:uid="{00000000-0005-0000-0000-000070270000}"/>
    <cellStyle name="Normal 49 2 4 3 3" xfId="5438" xr:uid="{00000000-0005-0000-0000-000071270000}"/>
    <cellStyle name="Normal 49 2 4 3 3 2" xfId="16571" xr:uid="{00000000-0005-0000-0000-000072270000}"/>
    <cellStyle name="Normal 49 2 4 3 4" xfId="16572" xr:uid="{00000000-0005-0000-0000-000073270000}"/>
    <cellStyle name="Normal 49 2 4 4" xfId="5439" xr:uid="{00000000-0005-0000-0000-000074270000}"/>
    <cellStyle name="Normal 49 2 4 4 2" xfId="16573" xr:uid="{00000000-0005-0000-0000-000075270000}"/>
    <cellStyle name="Normal 49 2 4 5" xfId="5440" xr:uid="{00000000-0005-0000-0000-000076270000}"/>
    <cellStyle name="Normal 49 2 4 5 2" xfId="16574" xr:uid="{00000000-0005-0000-0000-000077270000}"/>
    <cellStyle name="Normal 49 2 4 6" xfId="16575" xr:uid="{00000000-0005-0000-0000-000078270000}"/>
    <cellStyle name="Normal 49 2 5" xfId="5441" xr:uid="{00000000-0005-0000-0000-000079270000}"/>
    <cellStyle name="Normal 49 2 5 2" xfId="5442" xr:uid="{00000000-0005-0000-0000-00007A270000}"/>
    <cellStyle name="Normal 49 2 5 2 2" xfId="16576" xr:uid="{00000000-0005-0000-0000-00007B270000}"/>
    <cellStyle name="Normal 49 2 5 3" xfId="5443" xr:uid="{00000000-0005-0000-0000-00007C270000}"/>
    <cellStyle name="Normal 49 2 5 3 2" xfId="16577" xr:uid="{00000000-0005-0000-0000-00007D270000}"/>
    <cellStyle name="Normal 49 2 5 4" xfId="16578" xr:uid="{00000000-0005-0000-0000-00007E270000}"/>
    <cellStyle name="Normal 49 2 6" xfId="5444" xr:uid="{00000000-0005-0000-0000-00007F270000}"/>
    <cellStyle name="Normal 49 2 6 2" xfId="5445" xr:uid="{00000000-0005-0000-0000-000080270000}"/>
    <cellStyle name="Normal 49 2 6 2 2" xfId="16579" xr:uid="{00000000-0005-0000-0000-000081270000}"/>
    <cellStyle name="Normal 49 2 6 3" xfId="5446" xr:uid="{00000000-0005-0000-0000-000082270000}"/>
    <cellStyle name="Normal 49 2 6 3 2" xfId="16580" xr:uid="{00000000-0005-0000-0000-000083270000}"/>
    <cellStyle name="Normal 49 2 6 4" xfId="16581" xr:uid="{00000000-0005-0000-0000-000084270000}"/>
    <cellStyle name="Normal 49 2 7" xfId="5447" xr:uid="{00000000-0005-0000-0000-000085270000}"/>
    <cellStyle name="Normal 49 2 7 2" xfId="16582" xr:uid="{00000000-0005-0000-0000-000086270000}"/>
    <cellStyle name="Normal 49 2 8" xfId="5448" xr:uid="{00000000-0005-0000-0000-000087270000}"/>
    <cellStyle name="Normal 49 2 8 2" xfId="16583" xr:uid="{00000000-0005-0000-0000-000088270000}"/>
    <cellStyle name="Normal 49 2 9" xfId="12425" xr:uid="{00000000-0005-0000-0000-000089270000}"/>
    <cellStyle name="Normal 49 20" xfId="11168" xr:uid="{00000000-0005-0000-0000-00008A270000}"/>
    <cellStyle name="Normal 49 3" xfId="5449" xr:uid="{00000000-0005-0000-0000-00008B270000}"/>
    <cellStyle name="Normal 49 3 2" xfId="5450" xr:uid="{00000000-0005-0000-0000-00008C270000}"/>
    <cellStyle name="Normal 49 3 2 2" xfId="5451" xr:uid="{00000000-0005-0000-0000-00008D270000}"/>
    <cellStyle name="Normal 49 3 2 2 2" xfId="5452" xr:uid="{00000000-0005-0000-0000-00008E270000}"/>
    <cellStyle name="Normal 49 3 2 2 2 2" xfId="16584" xr:uid="{00000000-0005-0000-0000-00008F270000}"/>
    <cellStyle name="Normal 49 3 2 2 3" xfId="5453" xr:uid="{00000000-0005-0000-0000-000090270000}"/>
    <cellStyle name="Normal 49 3 2 2 3 2" xfId="16585" xr:uid="{00000000-0005-0000-0000-000091270000}"/>
    <cellStyle name="Normal 49 3 2 2 4" xfId="16586" xr:uid="{00000000-0005-0000-0000-000092270000}"/>
    <cellStyle name="Normal 49 3 2 3" xfId="5454" xr:uid="{00000000-0005-0000-0000-000093270000}"/>
    <cellStyle name="Normal 49 3 2 3 2" xfId="5455" xr:uid="{00000000-0005-0000-0000-000094270000}"/>
    <cellStyle name="Normal 49 3 2 3 2 2" xfId="16587" xr:uid="{00000000-0005-0000-0000-000095270000}"/>
    <cellStyle name="Normal 49 3 2 3 3" xfId="5456" xr:uid="{00000000-0005-0000-0000-000096270000}"/>
    <cellStyle name="Normal 49 3 2 3 3 2" xfId="16588" xr:uid="{00000000-0005-0000-0000-000097270000}"/>
    <cellStyle name="Normal 49 3 2 3 4" xfId="16589" xr:uid="{00000000-0005-0000-0000-000098270000}"/>
    <cellStyle name="Normal 49 3 2 4" xfId="5457" xr:uid="{00000000-0005-0000-0000-000099270000}"/>
    <cellStyle name="Normal 49 3 2 4 2" xfId="16590" xr:uid="{00000000-0005-0000-0000-00009A270000}"/>
    <cellStyle name="Normal 49 3 2 5" xfId="5458" xr:uid="{00000000-0005-0000-0000-00009B270000}"/>
    <cellStyle name="Normal 49 3 2 5 2" xfId="16591" xr:uid="{00000000-0005-0000-0000-00009C270000}"/>
    <cellStyle name="Normal 49 3 2 6" xfId="12428" xr:uid="{00000000-0005-0000-0000-00009D270000}"/>
    <cellStyle name="Normal 49 3 3" xfId="5459" xr:uid="{00000000-0005-0000-0000-00009E270000}"/>
    <cellStyle name="Normal 49 3 3 2" xfId="5460" xr:uid="{00000000-0005-0000-0000-00009F270000}"/>
    <cellStyle name="Normal 49 3 3 2 2" xfId="5461" xr:uid="{00000000-0005-0000-0000-0000A0270000}"/>
    <cellStyle name="Normal 49 3 3 2 2 2" xfId="16592" xr:uid="{00000000-0005-0000-0000-0000A1270000}"/>
    <cellStyle name="Normal 49 3 3 2 3" xfId="5462" xr:uid="{00000000-0005-0000-0000-0000A2270000}"/>
    <cellStyle name="Normal 49 3 3 2 3 2" xfId="16593" xr:uid="{00000000-0005-0000-0000-0000A3270000}"/>
    <cellStyle name="Normal 49 3 3 2 4" xfId="16594" xr:uid="{00000000-0005-0000-0000-0000A4270000}"/>
    <cellStyle name="Normal 49 3 3 3" xfId="5463" xr:uid="{00000000-0005-0000-0000-0000A5270000}"/>
    <cellStyle name="Normal 49 3 3 3 2" xfId="5464" xr:uid="{00000000-0005-0000-0000-0000A6270000}"/>
    <cellStyle name="Normal 49 3 3 3 2 2" xfId="16595" xr:uid="{00000000-0005-0000-0000-0000A7270000}"/>
    <cellStyle name="Normal 49 3 3 3 3" xfId="5465" xr:uid="{00000000-0005-0000-0000-0000A8270000}"/>
    <cellStyle name="Normal 49 3 3 3 3 2" xfId="16596" xr:uid="{00000000-0005-0000-0000-0000A9270000}"/>
    <cellStyle name="Normal 49 3 3 3 4" xfId="16597" xr:uid="{00000000-0005-0000-0000-0000AA270000}"/>
    <cellStyle name="Normal 49 3 3 4" xfId="5466" xr:uid="{00000000-0005-0000-0000-0000AB270000}"/>
    <cellStyle name="Normal 49 3 3 4 2" xfId="16598" xr:uid="{00000000-0005-0000-0000-0000AC270000}"/>
    <cellStyle name="Normal 49 3 3 5" xfId="5467" xr:uid="{00000000-0005-0000-0000-0000AD270000}"/>
    <cellStyle name="Normal 49 3 3 5 2" xfId="16599" xr:uid="{00000000-0005-0000-0000-0000AE270000}"/>
    <cellStyle name="Normal 49 3 3 6" xfId="16600" xr:uid="{00000000-0005-0000-0000-0000AF270000}"/>
    <cellStyle name="Normal 49 3 4" xfId="5468" xr:uid="{00000000-0005-0000-0000-0000B0270000}"/>
    <cellStyle name="Normal 49 3 4 2" xfId="5469" xr:uid="{00000000-0005-0000-0000-0000B1270000}"/>
    <cellStyle name="Normal 49 3 4 2 2" xfId="16601" xr:uid="{00000000-0005-0000-0000-0000B2270000}"/>
    <cellStyle name="Normal 49 3 4 3" xfId="5470" xr:uid="{00000000-0005-0000-0000-0000B3270000}"/>
    <cellStyle name="Normal 49 3 4 3 2" xfId="16602" xr:uid="{00000000-0005-0000-0000-0000B4270000}"/>
    <cellStyle name="Normal 49 3 4 4" xfId="16603" xr:uid="{00000000-0005-0000-0000-0000B5270000}"/>
    <cellStyle name="Normal 49 3 5" xfId="5471" xr:uid="{00000000-0005-0000-0000-0000B6270000}"/>
    <cellStyle name="Normal 49 3 5 2" xfId="5472" xr:uid="{00000000-0005-0000-0000-0000B7270000}"/>
    <cellStyle name="Normal 49 3 5 2 2" xfId="16604" xr:uid="{00000000-0005-0000-0000-0000B8270000}"/>
    <cellStyle name="Normal 49 3 5 3" xfId="5473" xr:uid="{00000000-0005-0000-0000-0000B9270000}"/>
    <cellStyle name="Normal 49 3 5 3 2" xfId="16605" xr:uid="{00000000-0005-0000-0000-0000BA270000}"/>
    <cellStyle name="Normal 49 3 5 4" xfId="16606" xr:uid="{00000000-0005-0000-0000-0000BB270000}"/>
    <cellStyle name="Normal 49 3 6" xfId="5474" xr:uid="{00000000-0005-0000-0000-0000BC270000}"/>
    <cellStyle name="Normal 49 3 6 2" xfId="16607" xr:uid="{00000000-0005-0000-0000-0000BD270000}"/>
    <cellStyle name="Normal 49 3 7" xfId="5475" xr:uid="{00000000-0005-0000-0000-0000BE270000}"/>
    <cellStyle name="Normal 49 3 7 2" xfId="16608" xr:uid="{00000000-0005-0000-0000-0000BF270000}"/>
    <cellStyle name="Normal 49 3 8" xfId="12427" xr:uid="{00000000-0005-0000-0000-0000C0270000}"/>
    <cellStyle name="Normal 49 4" xfId="5476" xr:uid="{00000000-0005-0000-0000-0000C1270000}"/>
    <cellStyle name="Normal 49 4 2" xfId="5477" xr:uid="{00000000-0005-0000-0000-0000C2270000}"/>
    <cellStyle name="Normal 49 4 2 2" xfId="5478" xr:uid="{00000000-0005-0000-0000-0000C3270000}"/>
    <cellStyle name="Normal 49 4 2 2 2" xfId="5479" xr:uid="{00000000-0005-0000-0000-0000C4270000}"/>
    <cellStyle name="Normal 49 4 2 2 2 2" xfId="16609" xr:uid="{00000000-0005-0000-0000-0000C5270000}"/>
    <cellStyle name="Normal 49 4 2 2 3" xfId="5480" xr:uid="{00000000-0005-0000-0000-0000C6270000}"/>
    <cellStyle name="Normal 49 4 2 2 3 2" xfId="16610" xr:uid="{00000000-0005-0000-0000-0000C7270000}"/>
    <cellStyle name="Normal 49 4 2 2 4" xfId="16611" xr:uid="{00000000-0005-0000-0000-0000C8270000}"/>
    <cellStyle name="Normal 49 4 2 3" xfId="5481" xr:uid="{00000000-0005-0000-0000-0000C9270000}"/>
    <cellStyle name="Normal 49 4 2 3 2" xfId="5482" xr:uid="{00000000-0005-0000-0000-0000CA270000}"/>
    <cellStyle name="Normal 49 4 2 3 2 2" xfId="16612" xr:uid="{00000000-0005-0000-0000-0000CB270000}"/>
    <cellStyle name="Normal 49 4 2 3 3" xfId="5483" xr:uid="{00000000-0005-0000-0000-0000CC270000}"/>
    <cellStyle name="Normal 49 4 2 3 3 2" xfId="16613" xr:uid="{00000000-0005-0000-0000-0000CD270000}"/>
    <cellStyle name="Normal 49 4 2 3 4" xfId="16614" xr:uid="{00000000-0005-0000-0000-0000CE270000}"/>
    <cellStyle name="Normal 49 4 2 4" xfId="5484" xr:uid="{00000000-0005-0000-0000-0000CF270000}"/>
    <cellStyle name="Normal 49 4 2 4 2" xfId="16615" xr:uid="{00000000-0005-0000-0000-0000D0270000}"/>
    <cellStyle name="Normal 49 4 2 5" xfId="5485" xr:uid="{00000000-0005-0000-0000-0000D1270000}"/>
    <cellStyle name="Normal 49 4 2 5 2" xfId="16616" xr:uid="{00000000-0005-0000-0000-0000D2270000}"/>
    <cellStyle name="Normal 49 4 2 6" xfId="12430" xr:uid="{00000000-0005-0000-0000-0000D3270000}"/>
    <cellStyle name="Normal 49 4 3" xfId="5486" xr:uid="{00000000-0005-0000-0000-0000D4270000}"/>
    <cellStyle name="Normal 49 4 3 2" xfId="5487" xr:uid="{00000000-0005-0000-0000-0000D5270000}"/>
    <cellStyle name="Normal 49 4 3 2 2" xfId="5488" xr:uid="{00000000-0005-0000-0000-0000D6270000}"/>
    <cellStyle name="Normal 49 4 3 2 2 2" xfId="16617" xr:uid="{00000000-0005-0000-0000-0000D7270000}"/>
    <cellStyle name="Normal 49 4 3 2 3" xfId="5489" xr:uid="{00000000-0005-0000-0000-0000D8270000}"/>
    <cellStyle name="Normal 49 4 3 2 3 2" xfId="16618" xr:uid="{00000000-0005-0000-0000-0000D9270000}"/>
    <cellStyle name="Normal 49 4 3 2 4" xfId="16619" xr:uid="{00000000-0005-0000-0000-0000DA270000}"/>
    <cellStyle name="Normal 49 4 3 3" xfId="5490" xr:uid="{00000000-0005-0000-0000-0000DB270000}"/>
    <cellStyle name="Normal 49 4 3 3 2" xfId="5491" xr:uid="{00000000-0005-0000-0000-0000DC270000}"/>
    <cellStyle name="Normal 49 4 3 3 2 2" xfId="16620" xr:uid="{00000000-0005-0000-0000-0000DD270000}"/>
    <cellStyle name="Normal 49 4 3 3 3" xfId="5492" xr:uid="{00000000-0005-0000-0000-0000DE270000}"/>
    <cellStyle name="Normal 49 4 3 3 3 2" xfId="16621" xr:uid="{00000000-0005-0000-0000-0000DF270000}"/>
    <cellStyle name="Normal 49 4 3 3 4" xfId="16622" xr:uid="{00000000-0005-0000-0000-0000E0270000}"/>
    <cellStyle name="Normal 49 4 3 4" xfId="5493" xr:uid="{00000000-0005-0000-0000-0000E1270000}"/>
    <cellStyle name="Normal 49 4 3 4 2" xfId="16623" xr:uid="{00000000-0005-0000-0000-0000E2270000}"/>
    <cellStyle name="Normal 49 4 3 5" xfId="5494" xr:uid="{00000000-0005-0000-0000-0000E3270000}"/>
    <cellStyle name="Normal 49 4 3 5 2" xfId="16624" xr:uid="{00000000-0005-0000-0000-0000E4270000}"/>
    <cellStyle name="Normal 49 4 3 6" xfId="16625" xr:uid="{00000000-0005-0000-0000-0000E5270000}"/>
    <cellStyle name="Normal 49 4 4" xfId="5495" xr:uid="{00000000-0005-0000-0000-0000E6270000}"/>
    <cellStyle name="Normal 49 4 4 2" xfId="5496" xr:uid="{00000000-0005-0000-0000-0000E7270000}"/>
    <cellStyle name="Normal 49 4 4 2 2" xfId="16626" xr:uid="{00000000-0005-0000-0000-0000E8270000}"/>
    <cellStyle name="Normal 49 4 4 3" xfId="5497" xr:uid="{00000000-0005-0000-0000-0000E9270000}"/>
    <cellStyle name="Normal 49 4 4 3 2" xfId="16627" xr:uid="{00000000-0005-0000-0000-0000EA270000}"/>
    <cellStyle name="Normal 49 4 4 4" xfId="16628" xr:uid="{00000000-0005-0000-0000-0000EB270000}"/>
    <cellStyle name="Normal 49 4 5" xfId="5498" xr:uid="{00000000-0005-0000-0000-0000EC270000}"/>
    <cellStyle name="Normal 49 4 5 2" xfId="5499" xr:uid="{00000000-0005-0000-0000-0000ED270000}"/>
    <cellStyle name="Normal 49 4 5 2 2" xfId="16629" xr:uid="{00000000-0005-0000-0000-0000EE270000}"/>
    <cellStyle name="Normal 49 4 5 3" xfId="5500" xr:uid="{00000000-0005-0000-0000-0000EF270000}"/>
    <cellStyle name="Normal 49 4 5 3 2" xfId="16630" xr:uid="{00000000-0005-0000-0000-0000F0270000}"/>
    <cellStyle name="Normal 49 4 5 4" xfId="16631" xr:uid="{00000000-0005-0000-0000-0000F1270000}"/>
    <cellStyle name="Normal 49 4 6" xfId="5501" xr:uid="{00000000-0005-0000-0000-0000F2270000}"/>
    <cellStyle name="Normal 49 4 6 2" xfId="16632" xr:uid="{00000000-0005-0000-0000-0000F3270000}"/>
    <cellStyle name="Normal 49 4 7" xfId="5502" xr:uid="{00000000-0005-0000-0000-0000F4270000}"/>
    <cellStyle name="Normal 49 4 7 2" xfId="16633" xr:uid="{00000000-0005-0000-0000-0000F5270000}"/>
    <cellStyle name="Normal 49 4 8" xfId="12429" xr:uid="{00000000-0005-0000-0000-0000F6270000}"/>
    <cellStyle name="Normal 49 5" xfId="5503" xr:uid="{00000000-0005-0000-0000-0000F7270000}"/>
    <cellStyle name="Normal 49 5 2" xfId="11169" xr:uid="{00000000-0005-0000-0000-0000F8270000}"/>
    <cellStyle name="Normal 49 6" xfId="5504" xr:uid="{00000000-0005-0000-0000-0000F9270000}"/>
    <cellStyle name="Normal 49 6 2" xfId="5505" xr:uid="{00000000-0005-0000-0000-0000FA270000}"/>
    <cellStyle name="Normal 49 6 2 2" xfId="5506" xr:uid="{00000000-0005-0000-0000-0000FB270000}"/>
    <cellStyle name="Normal 49 6 2 2 2" xfId="16634" xr:uid="{00000000-0005-0000-0000-0000FC270000}"/>
    <cellStyle name="Normal 49 6 2 3" xfId="5507" xr:uid="{00000000-0005-0000-0000-0000FD270000}"/>
    <cellStyle name="Normal 49 6 2 3 2" xfId="16635" xr:uid="{00000000-0005-0000-0000-0000FE270000}"/>
    <cellStyle name="Normal 49 6 2 4" xfId="12432" xr:uid="{00000000-0005-0000-0000-0000FF270000}"/>
    <cellStyle name="Normal 49 6 3" xfId="5508" xr:uid="{00000000-0005-0000-0000-000000280000}"/>
    <cellStyle name="Normal 49 6 3 2" xfId="5509" xr:uid="{00000000-0005-0000-0000-000001280000}"/>
    <cellStyle name="Normal 49 6 3 2 2" xfId="16636" xr:uid="{00000000-0005-0000-0000-000002280000}"/>
    <cellStyle name="Normal 49 6 3 3" xfId="5510" xr:uid="{00000000-0005-0000-0000-000003280000}"/>
    <cellStyle name="Normal 49 6 3 3 2" xfId="16637" xr:uid="{00000000-0005-0000-0000-000004280000}"/>
    <cellStyle name="Normal 49 6 3 4" xfId="16638" xr:uid="{00000000-0005-0000-0000-000005280000}"/>
    <cellStyle name="Normal 49 6 4" xfId="5511" xr:uid="{00000000-0005-0000-0000-000006280000}"/>
    <cellStyle name="Normal 49 6 4 2" xfId="16639" xr:uid="{00000000-0005-0000-0000-000007280000}"/>
    <cellStyle name="Normal 49 6 5" xfId="5512" xr:uid="{00000000-0005-0000-0000-000008280000}"/>
    <cellStyle name="Normal 49 6 5 2" xfId="16640" xr:uid="{00000000-0005-0000-0000-000009280000}"/>
    <cellStyle name="Normal 49 6 6" xfId="12431" xr:uid="{00000000-0005-0000-0000-00000A280000}"/>
    <cellStyle name="Normal 49 7" xfId="5513" xr:uid="{00000000-0005-0000-0000-00000B280000}"/>
    <cellStyle name="Normal 49 7 2" xfId="5514" xr:uid="{00000000-0005-0000-0000-00000C280000}"/>
    <cellStyle name="Normal 49 7 2 2" xfId="5515" xr:uid="{00000000-0005-0000-0000-00000D280000}"/>
    <cellStyle name="Normal 49 7 2 2 2" xfId="16641" xr:uid="{00000000-0005-0000-0000-00000E280000}"/>
    <cellStyle name="Normal 49 7 2 3" xfId="5516" xr:uid="{00000000-0005-0000-0000-00000F280000}"/>
    <cellStyle name="Normal 49 7 2 3 2" xfId="16642" xr:uid="{00000000-0005-0000-0000-000010280000}"/>
    <cellStyle name="Normal 49 7 2 4" xfId="16643" xr:uid="{00000000-0005-0000-0000-000011280000}"/>
    <cellStyle name="Normal 49 7 3" xfId="5517" xr:uid="{00000000-0005-0000-0000-000012280000}"/>
    <cellStyle name="Normal 49 7 3 2" xfId="5518" xr:uid="{00000000-0005-0000-0000-000013280000}"/>
    <cellStyle name="Normal 49 7 3 2 2" xfId="16644" xr:uid="{00000000-0005-0000-0000-000014280000}"/>
    <cellStyle name="Normal 49 7 3 3" xfId="5519" xr:uid="{00000000-0005-0000-0000-000015280000}"/>
    <cellStyle name="Normal 49 7 3 3 2" xfId="16645" xr:uid="{00000000-0005-0000-0000-000016280000}"/>
    <cellStyle name="Normal 49 7 3 4" xfId="16646" xr:uid="{00000000-0005-0000-0000-000017280000}"/>
    <cellStyle name="Normal 49 7 4" xfId="5520" xr:uid="{00000000-0005-0000-0000-000018280000}"/>
    <cellStyle name="Normal 49 7 4 2" xfId="16647" xr:uid="{00000000-0005-0000-0000-000019280000}"/>
    <cellStyle name="Normal 49 7 5" xfId="5521" xr:uid="{00000000-0005-0000-0000-00001A280000}"/>
    <cellStyle name="Normal 49 7 5 2" xfId="16648" xr:uid="{00000000-0005-0000-0000-00001B280000}"/>
    <cellStyle name="Normal 49 7 6" xfId="12433" xr:uid="{00000000-0005-0000-0000-00001C280000}"/>
    <cellStyle name="Normal 49 8" xfId="5522" xr:uid="{00000000-0005-0000-0000-00001D280000}"/>
    <cellStyle name="Normal 49 8 2" xfId="5523" xr:uid="{00000000-0005-0000-0000-00001E280000}"/>
    <cellStyle name="Normal 49 8 2 2" xfId="5524" xr:uid="{00000000-0005-0000-0000-00001F280000}"/>
    <cellStyle name="Normal 49 8 2 2 2" xfId="16649" xr:uid="{00000000-0005-0000-0000-000020280000}"/>
    <cellStyle name="Normal 49 8 2 3" xfId="5525" xr:uid="{00000000-0005-0000-0000-000021280000}"/>
    <cellStyle name="Normal 49 8 2 3 2" xfId="16650" xr:uid="{00000000-0005-0000-0000-000022280000}"/>
    <cellStyle name="Normal 49 8 2 4" xfId="16651" xr:uid="{00000000-0005-0000-0000-000023280000}"/>
    <cellStyle name="Normal 49 8 3" xfId="5526" xr:uid="{00000000-0005-0000-0000-000024280000}"/>
    <cellStyle name="Normal 49 8 3 2" xfId="5527" xr:uid="{00000000-0005-0000-0000-000025280000}"/>
    <cellStyle name="Normal 49 8 3 2 2" xfId="16652" xr:uid="{00000000-0005-0000-0000-000026280000}"/>
    <cellStyle name="Normal 49 8 3 3" xfId="5528" xr:uid="{00000000-0005-0000-0000-000027280000}"/>
    <cellStyle name="Normal 49 8 3 3 2" xfId="16653" xr:uid="{00000000-0005-0000-0000-000028280000}"/>
    <cellStyle name="Normal 49 8 3 4" xfId="16654" xr:uid="{00000000-0005-0000-0000-000029280000}"/>
    <cellStyle name="Normal 49 8 4" xfId="5529" xr:uid="{00000000-0005-0000-0000-00002A280000}"/>
    <cellStyle name="Normal 49 8 4 2" xfId="16655" xr:uid="{00000000-0005-0000-0000-00002B280000}"/>
    <cellStyle name="Normal 49 8 5" xfId="5530" xr:uid="{00000000-0005-0000-0000-00002C280000}"/>
    <cellStyle name="Normal 49 8 5 2" xfId="16656" xr:uid="{00000000-0005-0000-0000-00002D280000}"/>
    <cellStyle name="Normal 49 8 6" xfId="12434" xr:uid="{00000000-0005-0000-0000-00002E280000}"/>
    <cellStyle name="Normal 49 9" xfId="5531" xr:uid="{00000000-0005-0000-0000-00002F280000}"/>
    <cellStyle name="Normal 49 9 2" xfId="5532" xr:uid="{00000000-0005-0000-0000-000030280000}"/>
    <cellStyle name="Normal 49 9 2 2" xfId="16657" xr:uid="{00000000-0005-0000-0000-000031280000}"/>
    <cellStyle name="Normal 49 9 3" xfId="5533" xr:uid="{00000000-0005-0000-0000-000032280000}"/>
    <cellStyle name="Normal 49 9 3 2" xfId="16658" xr:uid="{00000000-0005-0000-0000-000033280000}"/>
    <cellStyle name="Normal 49 9 4" xfId="12435" xr:uid="{00000000-0005-0000-0000-000034280000}"/>
    <cellStyle name="Normal 490" xfId="5534" xr:uid="{00000000-0005-0000-0000-000035280000}"/>
    <cellStyle name="Normal 491" xfId="5535" xr:uid="{00000000-0005-0000-0000-000036280000}"/>
    <cellStyle name="Normal 492" xfId="5536" xr:uid="{00000000-0005-0000-0000-000037280000}"/>
    <cellStyle name="Normal 493" xfId="5537" xr:uid="{00000000-0005-0000-0000-000038280000}"/>
    <cellStyle name="Normal 494" xfId="5538" xr:uid="{00000000-0005-0000-0000-000039280000}"/>
    <cellStyle name="Normal 495" xfId="5539" xr:uid="{00000000-0005-0000-0000-00003A280000}"/>
    <cellStyle name="Normal 496" xfId="5540" xr:uid="{00000000-0005-0000-0000-00003B280000}"/>
    <cellStyle name="Normal 497" xfId="5541" xr:uid="{00000000-0005-0000-0000-00003C280000}"/>
    <cellStyle name="Normal 498" xfId="5542" xr:uid="{00000000-0005-0000-0000-00003D280000}"/>
    <cellStyle name="Normal 499" xfId="5543" xr:uid="{00000000-0005-0000-0000-00003E280000}"/>
    <cellStyle name="Normal 5" xfId="207" xr:uid="{00000000-0005-0000-0000-00003F280000}"/>
    <cellStyle name="Normal 5 10" xfId="5544" xr:uid="{00000000-0005-0000-0000-000040280000}"/>
    <cellStyle name="Normal 5 10 2" xfId="5545" xr:uid="{00000000-0005-0000-0000-000041280000}"/>
    <cellStyle name="Normal 5 10 2 2" xfId="5546" xr:uid="{00000000-0005-0000-0000-000042280000}"/>
    <cellStyle name="Normal 5 10 2 2 2" xfId="5547" xr:uid="{00000000-0005-0000-0000-000043280000}"/>
    <cellStyle name="Normal 5 10 2 2 2 2" xfId="16659" xr:uid="{00000000-0005-0000-0000-000044280000}"/>
    <cellStyle name="Normal 5 10 2 2 3" xfId="5548" xr:uid="{00000000-0005-0000-0000-000045280000}"/>
    <cellStyle name="Normal 5 10 2 2 3 2" xfId="16660" xr:uid="{00000000-0005-0000-0000-000046280000}"/>
    <cellStyle name="Normal 5 10 2 2 4" xfId="16661" xr:uid="{00000000-0005-0000-0000-000047280000}"/>
    <cellStyle name="Normal 5 10 2 3" xfId="5549" xr:uid="{00000000-0005-0000-0000-000048280000}"/>
    <cellStyle name="Normal 5 10 2 3 2" xfId="5550" xr:uid="{00000000-0005-0000-0000-000049280000}"/>
    <cellStyle name="Normal 5 10 2 3 2 2" xfId="16662" xr:uid="{00000000-0005-0000-0000-00004A280000}"/>
    <cellStyle name="Normal 5 10 2 3 3" xfId="5551" xr:uid="{00000000-0005-0000-0000-00004B280000}"/>
    <cellStyle name="Normal 5 10 2 3 3 2" xfId="16663" xr:uid="{00000000-0005-0000-0000-00004C280000}"/>
    <cellStyle name="Normal 5 10 2 3 4" xfId="16664" xr:uid="{00000000-0005-0000-0000-00004D280000}"/>
    <cellStyle name="Normal 5 10 2 4" xfId="5552" xr:uid="{00000000-0005-0000-0000-00004E280000}"/>
    <cellStyle name="Normal 5 10 2 4 2" xfId="16665" xr:uid="{00000000-0005-0000-0000-00004F280000}"/>
    <cellStyle name="Normal 5 10 2 5" xfId="5553" xr:uid="{00000000-0005-0000-0000-000050280000}"/>
    <cellStyle name="Normal 5 10 2 5 2" xfId="16666" xr:uid="{00000000-0005-0000-0000-000051280000}"/>
    <cellStyle name="Normal 5 10 2 6" xfId="16667" xr:uid="{00000000-0005-0000-0000-000052280000}"/>
    <cellStyle name="Normal 5 10 3" xfId="5554" xr:uid="{00000000-0005-0000-0000-000053280000}"/>
    <cellStyle name="Normal 5 10 3 2" xfId="5555" xr:uid="{00000000-0005-0000-0000-000054280000}"/>
    <cellStyle name="Normal 5 10 3 2 2" xfId="5556" xr:uid="{00000000-0005-0000-0000-000055280000}"/>
    <cellStyle name="Normal 5 10 3 2 2 2" xfId="16668" xr:uid="{00000000-0005-0000-0000-000056280000}"/>
    <cellStyle name="Normal 5 10 3 2 3" xfId="5557" xr:uid="{00000000-0005-0000-0000-000057280000}"/>
    <cellStyle name="Normal 5 10 3 2 3 2" xfId="16669" xr:uid="{00000000-0005-0000-0000-000058280000}"/>
    <cellStyle name="Normal 5 10 3 2 4" xfId="16670" xr:uid="{00000000-0005-0000-0000-000059280000}"/>
    <cellStyle name="Normal 5 10 3 3" xfId="5558" xr:uid="{00000000-0005-0000-0000-00005A280000}"/>
    <cellStyle name="Normal 5 10 3 3 2" xfId="5559" xr:uid="{00000000-0005-0000-0000-00005B280000}"/>
    <cellStyle name="Normal 5 10 3 3 2 2" xfId="16671" xr:uid="{00000000-0005-0000-0000-00005C280000}"/>
    <cellStyle name="Normal 5 10 3 3 3" xfId="5560" xr:uid="{00000000-0005-0000-0000-00005D280000}"/>
    <cellStyle name="Normal 5 10 3 3 3 2" xfId="16672" xr:uid="{00000000-0005-0000-0000-00005E280000}"/>
    <cellStyle name="Normal 5 10 3 3 4" xfId="16673" xr:uid="{00000000-0005-0000-0000-00005F280000}"/>
    <cellStyle name="Normal 5 10 3 4" xfId="5561" xr:uid="{00000000-0005-0000-0000-000060280000}"/>
    <cellStyle name="Normal 5 10 3 4 2" xfId="16674" xr:uid="{00000000-0005-0000-0000-000061280000}"/>
    <cellStyle name="Normal 5 10 3 5" xfId="5562" xr:uid="{00000000-0005-0000-0000-000062280000}"/>
    <cellStyle name="Normal 5 10 3 5 2" xfId="16675" xr:uid="{00000000-0005-0000-0000-000063280000}"/>
    <cellStyle name="Normal 5 10 3 6" xfId="16676" xr:uid="{00000000-0005-0000-0000-000064280000}"/>
    <cellStyle name="Normal 5 10 4" xfId="5563" xr:uid="{00000000-0005-0000-0000-000065280000}"/>
    <cellStyle name="Normal 5 10 4 2" xfId="5564" xr:uid="{00000000-0005-0000-0000-000066280000}"/>
    <cellStyle name="Normal 5 10 4 2 2" xfId="16677" xr:uid="{00000000-0005-0000-0000-000067280000}"/>
    <cellStyle name="Normal 5 10 4 3" xfId="5565" xr:uid="{00000000-0005-0000-0000-000068280000}"/>
    <cellStyle name="Normal 5 10 4 3 2" xfId="16678" xr:uid="{00000000-0005-0000-0000-000069280000}"/>
    <cellStyle name="Normal 5 10 4 4" xfId="16679" xr:uid="{00000000-0005-0000-0000-00006A280000}"/>
    <cellStyle name="Normal 5 10 5" xfId="5566" xr:uid="{00000000-0005-0000-0000-00006B280000}"/>
    <cellStyle name="Normal 5 10 5 2" xfId="5567" xr:uid="{00000000-0005-0000-0000-00006C280000}"/>
    <cellStyle name="Normal 5 10 5 2 2" xfId="16680" xr:uid="{00000000-0005-0000-0000-00006D280000}"/>
    <cellStyle name="Normal 5 10 5 3" xfId="5568" xr:uid="{00000000-0005-0000-0000-00006E280000}"/>
    <cellStyle name="Normal 5 10 5 3 2" xfId="16681" xr:uid="{00000000-0005-0000-0000-00006F280000}"/>
    <cellStyle name="Normal 5 10 5 4" xfId="16682" xr:uid="{00000000-0005-0000-0000-000070280000}"/>
    <cellStyle name="Normal 5 10 6" xfId="5569" xr:uid="{00000000-0005-0000-0000-000071280000}"/>
    <cellStyle name="Normal 5 10 6 2" xfId="16683" xr:uid="{00000000-0005-0000-0000-000072280000}"/>
    <cellStyle name="Normal 5 10 7" xfId="5570" xr:uid="{00000000-0005-0000-0000-000073280000}"/>
    <cellStyle name="Normal 5 10 7 2" xfId="16684" xr:uid="{00000000-0005-0000-0000-000074280000}"/>
    <cellStyle name="Normal 5 10 8" xfId="16685" xr:uid="{00000000-0005-0000-0000-000075280000}"/>
    <cellStyle name="Normal 5 11" xfId="5571" xr:uid="{00000000-0005-0000-0000-000076280000}"/>
    <cellStyle name="Normal 5 11 2" xfId="5572" xr:uid="{00000000-0005-0000-0000-000077280000}"/>
    <cellStyle name="Normal 5 11 2 2" xfId="5573" xr:uid="{00000000-0005-0000-0000-000078280000}"/>
    <cellStyle name="Normal 5 11 2 2 2" xfId="5574" xr:uid="{00000000-0005-0000-0000-000079280000}"/>
    <cellStyle name="Normal 5 11 2 2 2 2" xfId="16686" xr:uid="{00000000-0005-0000-0000-00007A280000}"/>
    <cellStyle name="Normal 5 11 2 2 3" xfId="5575" xr:uid="{00000000-0005-0000-0000-00007B280000}"/>
    <cellStyle name="Normal 5 11 2 2 3 2" xfId="16687" xr:uid="{00000000-0005-0000-0000-00007C280000}"/>
    <cellStyle name="Normal 5 11 2 2 4" xfId="16688" xr:uid="{00000000-0005-0000-0000-00007D280000}"/>
    <cellStyle name="Normal 5 11 2 3" xfId="5576" xr:uid="{00000000-0005-0000-0000-00007E280000}"/>
    <cellStyle name="Normal 5 11 2 3 2" xfId="5577" xr:uid="{00000000-0005-0000-0000-00007F280000}"/>
    <cellStyle name="Normal 5 11 2 3 2 2" xfId="16689" xr:uid="{00000000-0005-0000-0000-000080280000}"/>
    <cellStyle name="Normal 5 11 2 3 3" xfId="5578" xr:uid="{00000000-0005-0000-0000-000081280000}"/>
    <cellStyle name="Normal 5 11 2 3 3 2" xfId="16690" xr:uid="{00000000-0005-0000-0000-000082280000}"/>
    <cellStyle name="Normal 5 11 2 3 4" xfId="16691" xr:uid="{00000000-0005-0000-0000-000083280000}"/>
    <cellStyle name="Normal 5 11 2 4" xfId="5579" xr:uid="{00000000-0005-0000-0000-000084280000}"/>
    <cellStyle name="Normal 5 11 2 4 2" xfId="16692" xr:uid="{00000000-0005-0000-0000-000085280000}"/>
    <cellStyle name="Normal 5 11 2 5" xfId="5580" xr:uid="{00000000-0005-0000-0000-000086280000}"/>
    <cellStyle name="Normal 5 11 2 5 2" xfId="16693" xr:uid="{00000000-0005-0000-0000-000087280000}"/>
    <cellStyle name="Normal 5 11 2 6" xfId="16694" xr:uid="{00000000-0005-0000-0000-000088280000}"/>
    <cellStyle name="Normal 5 11 3" xfId="5581" xr:uid="{00000000-0005-0000-0000-000089280000}"/>
    <cellStyle name="Normal 5 11 3 2" xfId="5582" xr:uid="{00000000-0005-0000-0000-00008A280000}"/>
    <cellStyle name="Normal 5 11 3 2 2" xfId="16695" xr:uid="{00000000-0005-0000-0000-00008B280000}"/>
    <cellStyle name="Normal 5 11 3 3" xfId="5583" xr:uid="{00000000-0005-0000-0000-00008C280000}"/>
    <cellStyle name="Normal 5 11 3 3 2" xfId="16696" xr:uid="{00000000-0005-0000-0000-00008D280000}"/>
    <cellStyle name="Normal 5 11 3 4" xfId="16697" xr:uid="{00000000-0005-0000-0000-00008E280000}"/>
    <cellStyle name="Normal 5 11 4" xfId="5584" xr:uid="{00000000-0005-0000-0000-00008F280000}"/>
    <cellStyle name="Normal 5 11 4 2" xfId="5585" xr:uid="{00000000-0005-0000-0000-000090280000}"/>
    <cellStyle name="Normal 5 11 4 2 2" xfId="16698" xr:uid="{00000000-0005-0000-0000-000091280000}"/>
    <cellStyle name="Normal 5 11 4 3" xfId="5586" xr:uid="{00000000-0005-0000-0000-000092280000}"/>
    <cellStyle name="Normal 5 11 4 3 2" xfId="16699" xr:uid="{00000000-0005-0000-0000-000093280000}"/>
    <cellStyle name="Normal 5 11 4 4" xfId="16700" xr:uid="{00000000-0005-0000-0000-000094280000}"/>
    <cellStyle name="Normal 5 11 5" xfId="5587" xr:uid="{00000000-0005-0000-0000-000095280000}"/>
    <cellStyle name="Normal 5 11 5 2" xfId="16701" xr:uid="{00000000-0005-0000-0000-000096280000}"/>
    <cellStyle name="Normal 5 11 6" xfId="5588" xr:uid="{00000000-0005-0000-0000-000097280000}"/>
    <cellStyle name="Normal 5 11 6 2" xfId="16702" xr:uid="{00000000-0005-0000-0000-000098280000}"/>
    <cellStyle name="Normal 5 11 7" xfId="16703" xr:uid="{00000000-0005-0000-0000-000099280000}"/>
    <cellStyle name="Normal 5 12" xfId="5589" xr:uid="{00000000-0005-0000-0000-00009A280000}"/>
    <cellStyle name="Normal 5 12 2" xfId="5590" xr:uid="{00000000-0005-0000-0000-00009B280000}"/>
    <cellStyle name="Normal 5 12 2 2" xfId="5591" xr:uid="{00000000-0005-0000-0000-00009C280000}"/>
    <cellStyle name="Normal 5 12 2 2 2" xfId="16704" xr:uid="{00000000-0005-0000-0000-00009D280000}"/>
    <cellStyle name="Normal 5 12 2 3" xfId="5592" xr:uid="{00000000-0005-0000-0000-00009E280000}"/>
    <cellStyle name="Normal 5 12 2 3 2" xfId="16705" xr:uid="{00000000-0005-0000-0000-00009F280000}"/>
    <cellStyle name="Normal 5 12 2 4" xfId="16706" xr:uid="{00000000-0005-0000-0000-0000A0280000}"/>
    <cellStyle name="Normal 5 12 3" xfId="5593" xr:uid="{00000000-0005-0000-0000-0000A1280000}"/>
    <cellStyle name="Normal 5 12 3 2" xfId="5594" xr:uid="{00000000-0005-0000-0000-0000A2280000}"/>
    <cellStyle name="Normal 5 12 3 2 2" xfId="16707" xr:uid="{00000000-0005-0000-0000-0000A3280000}"/>
    <cellStyle name="Normal 5 12 3 3" xfId="5595" xr:uid="{00000000-0005-0000-0000-0000A4280000}"/>
    <cellStyle name="Normal 5 12 3 3 2" xfId="16708" xr:uid="{00000000-0005-0000-0000-0000A5280000}"/>
    <cellStyle name="Normal 5 12 3 4" xfId="16709" xr:uid="{00000000-0005-0000-0000-0000A6280000}"/>
    <cellStyle name="Normal 5 12 4" xfId="5596" xr:uid="{00000000-0005-0000-0000-0000A7280000}"/>
    <cellStyle name="Normal 5 12 4 2" xfId="16710" xr:uid="{00000000-0005-0000-0000-0000A8280000}"/>
    <cellStyle name="Normal 5 12 5" xfId="5597" xr:uid="{00000000-0005-0000-0000-0000A9280000}"/>
    <cellStyle name="Normal 5 12 5 2" xfId="16711" xr:uid="{00000000-0005-0000-0000-0000AA280000}"/>
    <cellStyle name="Normal 5 12 6" xfId="16712" xr:uid="{00000000-0005-0000-0000-0000AB280000}"/>
    <cellStyle name="Normal 5 13" xfId="5598" xr:uid="{00000000-0005-0000-0000-0000AC280000}"/>
    <cellStyle name="Normal 5 13 2" xfId="5599" xr:uid="{00000000-0005-0000-0000-0000AD280000}"/>
    <cellStyle name="Normal 5 13 2 2" xfId="5600" xr:uid="{00000000-0005-0000-0000-0000AE280000}"/>
    <cellStyle name="Normal 5 13 2 2 2" xfId="16713" xr:uid="{00000000-0005-0000-0000-0000AF280000}"/>
    <cellStyle name="Normal 5 13 2 3" xfId="5601" xr:uid="{00000000-0005-0000-0000-0000B0280000}"/>
    <cellStyle name="Normal 5 13 2 3 2" xfId="16714" xr:uid="{00000000-0005-0000-0000-0000B1280000}"/>
    <cellStyle name="Normal 5 13 2 4" xfId="16715" xr:uid="{00000000-0005-0000-0000-0000B2280000}"/>
    <cellStyle name="Normal 5 13 3" xfId="5602" xr:uid="{00000000-0005-0000-0000-0000B3280000}"/>
    <cellStyle name="Normal 5 13 3 2" xfId="5603" xr:uid="{00000000-0005-0000-0000-0000B4280000}"/>
    <cellStyle name="Normal 5 13 3 2 2" xfId="16716" xr:uid="{00000000-0005-0000-0000-0000B5280000}"/>
    <cellStyle name="Normal 5 13 3 3" xfId="5604" xr:uid="{00000000-0005-0000-0000-0000B6280000}"/>
    <cellStyle name="Normal 5 13 3 3 2" xfId="16717" xr:uid="{00000000-0005-0000-0000-0000B7280000}"/>
    <cellStyle name="Normal 5 13 3 4" xfId="16718" xr:uid="{00000000-0005-0000-0000-0000B8280000}"/>
    <cellStyle name="Normal 5 13 4" xfId="5605" xr:uid="{00000000-0005-0000-0000-0000B9280000}"/>
    <cellStyle name="Normal 5 13 4 2" xfId="16719" xr:uid="{00000000-0005-0000-0000-0000BA280000}"/>
    <cellStyle name="Normal 5 13 5" xfId="5606" xr:uid="{00000000-0005-0000-0000-0000BB280000}"/>
    <cellStyle name="Normal 5 13 5 2" xfId="16720" xr:uid="{00000000-0005-0000-0000-0000BC280000}"/>
    <cellStyle name="Normal 5 13 6" xfId="16721" xr:uid="{00000000-0005-0000-0000-0000BD280000}"/>
    <cellStyle name="Normal 5 14" xfId="12155" xr:uid="{00000000-0005-0000-0000-0000BE280000}"/>
    <cellStyle name="Normal 5 2" xfId="208" xr:uid="{00000000-0005-0000-0000-0000BF280000}"/>
    <cellStyle name="Normal 5 2 2" xfId="209" xr:uid="{00000000-0005-0000-0000-0000C0280000}"/>
    <cellStyle name="Normal 5 2 2 2" xfId="5607" xr:uid="{00000000-0005-0000-0000-0000C1280000}"/>
    <cellStyle name="Normal 5 2 2 2 2" xfId="11170" xr:uid="{00000000-0005-0000-0000-0000C2280000}"/>
    <cellStyle name="Normal 5 2 2 2 2 2" xfId="12652" xr:uid="{00000000-0005-0000-0000-0000C3280000}"/>
    <cellStyle name="Normal 5 2 2 2 3" xfId="12625" xr:uid="{00000000-0005-0000-0000-0000C4280000}"/>
    <cellStyle name="Normal 5 2 2 3" xfId="5608" xr:uid="{00000000-0005-0000-0000-0000C5280000}"/>
    <cellStyle name="Normal 5 2 2 3 2" xfId="12653" xr:uid="{00000000-0005-0000-0000-0000C6280000}"/>
    <cellStyle name="Normal 5 2 2 4" xfId="12168" xr:uid="{00000000-0005-0000-0000-0000C7280000}"/>
    <cellStyle name="Normal 5 2 3" xfId="210" xr:uid="{00000000-0005-0000-0000-0000C8280000}"/>
    <cellStyle name="Normal 5 2 3 2" xfId="211" xr:uid="{00000000-0005-0000-0000-0000C9280000}"/>
    <cellStyle name="Normal 5 2 3 2 2" xfId="12654" xr:uid="{00000000-0005-0000-0000-0000CA280000}"/>
    <cellStyle name="Normal 5 2 3 3" xfId="5609" xr:uid="{00000000-0005-0000-0000-0000CB280000}"/>
    <cellStyle name="Normal 5 2 3 4" xfId="5610" xr:uid="{00000000-0005-0000-0000-0000CC280000}"/>
    <cellStyle name="Normal 5 2 3 5" xfId="12436" xr:uid="{00000000-0005-0000-0000-0000CD280000}"/>
    <cellStyle name="Normal 5 2 4" xfId="212" xr:uid="{00000000-0005-0000-0000-0000CE280000}"/>
    <cellStyle name="Normal 5 2 4 2" xfId="12437" xr:uid="{00000000-0005-0000-0000-0000CF280000}"/>
    <cellStyle name="Normal 5 2 5" xfId="5611" xr:uid="{00000000-0005-0000-0000-0000D0280000}"/>
    <cellStyle name="Normal 5 2 5 2" xfId="12438" xr:uid="{00000000-0005-0000-0000-0000D1280000}"/>
    <cellStyle name="Normal 5 2 6" xfId="5612" xr:uid="{00000000-0005-0000-0000-0000D2280000}"/>
    <cellStyle name="Normal 5 2 7" xfId="12156" xr:uid="{00000000-0005-0000-0000-0000D3280000}"/>
    <cellStyle name="Normal 5 3" xfId="213" xr:uid="{00000000-0005-0000-0000-0000D4280000}"/>
    <cellStyle name="Normal 5 3 10" xfId="10603" xr:uid="{00000000-0005-0000-0000-0000D5280000}"/>
    <cellStyle name="Normal 5 3 10 2" xfId="16722" xr:uid="{00000000-0005-0000-0000-0000D6280000}"/>
    <cellStyle name="Normal 5 3 11" xfId="12161" xr:uid="{00000000-0005-0000-0000-0000D7280000}"/>
    <cellStyle name="Normal 5 3 2" xfId="5613" xr:uid="{00000000-0005-0000-0000-0000D8280000}"/>
    <cellStyle name="Normal 5 3 2 10" xfId="5614" xr:uid="{00000000-0005-0000-0000-0000D9280000}"/>
    <cellStyle name="Normal 5 3 2 10 2" xfId="16723" xr:uid="{00000000-0005-0000-0000-0000DA280000}"/>
    <cellStyle name="Normal 5 3 2 11" xfId="5615" xr:uid="{00000000-0005-0000-0000-0000DB280000}"/>
    <cellStyle name="Normal 5 3 2 11 2" xfId="16724" xr:uid="{00000000-0005-0000-0000-0000DC280000}"/>
    <cellStyle name="Normal 5 3 2 12" xfId="12626" xr:uid="{00000000-0005-0000-0000-0000DD280000}"/>
    <cellStyle name="Normal 5 3 2 2" xfId="5616" xr:uid="{00000000-0005-0000-0000-0000DE280000}"/>
    <cellStyle name="Normal 5 3 2 2 2" xfId="5617" xr:uid="{00000000-0005-0000-0000-0000DF280000}"/>
    <cellStyle name="Normal 5 3 2 2 2 2" xfId="5618" xr:uid="{00000000-0005-0000-0000-0000E0280000}"/>
    <cellStyle name="Normal 5 3 2 2 2 2 2" xfId="5619" xr:uid="{00000000-0005-0000-0000-0000E1280000}"/>
    <cellStyle name="Normal 5 3 2 2 2 2 2 2" xfId="5620" xr:uid="{00000000-0005-0000-0000-0000E2280000}"/>
    <cellStyle name="Normal 5 3 2 2 2 2 2 2 2" xfId="16725" xr:uid="{00000000-0005-0000-0000-0000E3280000}"/>
    <cellStyle name="Normal 5 3 2 2 2 2 2 3" xfId="5621" xr:uid="{00000000-0005-0000-0000-0000E4280000}"/>
    <cellStyle name="Normal 5 3 2 2 2 2 2 3 2" xfId="16726" xr:uid="{00000000-0005-0000-0000-0000E5280000}"/>
    <cellStyle name="Normal 5 3 2 2 2 2 2 4" xfId="16727" xr:uid="{00000000-0005-0000-0000-0000E6280000}"/>
    <cellStyle name="Normal 5 3 2 2 2 2 3" xfId="5622" xr:uid="{00000000-0005-0000-0000-0000E7280000}"/>
    <cellStyle name="Normal 5 3 2 2 2 2 3 2" xfId="5623" xr:uid="{00000000-0005-0000-0000-0000E8280000}"/>
    <cellStyle name="Normal 5 3 2 2 2 2 3 2 2" xfId="16728" xr:uid="{00000000-0005-0000-0000-0000E9280000}"/>
    <cellStyle name="Normal 5 3 2 2 2 2 3 3" xfId="5624" xr:uid="{00000000-0005-0000-0000-0000EA280000}"/>
    <cellStyle name="Normal 5 3 2 2 2 2 3 3 2" xfId="16729" xr:uid="{00000000-0005-0000-0000-0000EB280000}"/>
    <cellStyle name="Normal 5 3 2 2 2 2 3 4" xfId="16730" xr:uid="{00000000-0005-0000-0000-0000EC280000}"/>
    <cellStyle name="Normal 5 3 2 2 2 2 4" xfId="5625" xr:uid="{00000000-0005-0000-0000-0000ED280000}"/>
    <cellStyle name="Normal 5 3 2 2 2 2 4 2" xfId="16731" xr:uid="{00000000-0005-0000-0000-0000EE280000}"/>
    <cellStyle name="Normal 5 3 2 2 2 2 5" xfId="5626" xr:uid="{00000000-0005-0000-0000-0000EF280000}"/>
    <cellStyle name="Normal 5 3 2 2 2 2 5 2" xfId="16732" xr:uid="{00000000-0005-0000-0000-0000F0280000}"/>
    <cellStyle name="Normal 5 3 2 2 2 2 6" xfId="16733" xr:uid="{00000000-0005-0000-0000-0000F1280000}"/>
    <cellStyle name="Normal 5 3 2 2 2 3" xfId="5627" xr:uid="{00000000-0005-0000-0000-0000F2280000}"/>
    <cellStyle name="Normal 5 3 2 2 2 3 2" xfId="5628" xr:uid="{00000000-0005-0000-0000-0000F3280000}"/>
    <cellStyle name="Normal 5 3 2 2 2 3 2 2" xfId="5629" xr:uid="{00000000-0005-0000-0000-0000F4280000}"/>
    <cellStyle name="Normal 5 3 2 2 2 3 2 2 2" xfId="16734" xr:uid="{00000000-0005-0000-0000-0000F5280000}"/>
    <cellStyle name="Normal 5 3 2 2 2 3 2 3" xfId="5630" xr:uid="{00000000-0005-0000-0000-0000F6280000}"/>
    <cellStyle name="Normal 5 3 2 2 2 3 2 3 2" xfId="16735" xr:uid="{00000000-0005-0000-0000-0000F7280000}"/>
    <cellStyle name="Normal 5 3 2 2 2 3 2 4" xfId="16736" xr:uid="{00000000-0005-0000-0000-0000F8280000}"/>
    <cellStyle name="Normal 5 3 2 2 2 3 3" xfId="5631" xr:uid="{00000000-0005-0000-0000-0000F9280000}"/>
    <cellStyle name="Normal 5 3 2 2 2 3 3 2" xfId="5632" xr:uid="{00000000-0005-0000-0000-0000FA280000}"/>
    <cellStyle name="Normal 5 3 2 2 2 3 3 2 2" xfId="16737" xr:uid="{00000000-0005-0000-0000-0000FB280000}"/>
    <cellStyle name="Normal 5 3 2 2 2 3 3 3" xfId="5633" xr:uid="{00000000-0005-0000-0000-0000FC280000}"/>
    <cellStyle name="Normal 5 3 2 2 2 3 3 3 2" xfId="16738" xr:uid="{00000000-0005-0000-0000-0000FD280000}"/>
    <cellStyle name="Normal 5 3 2 2 2 3 3 4" xfId="16739" xr:uid="{00000000-0005-0000-0000-0000FE280000}"/>
    <cellStyle name="Normal 5 3 2 2 2 3 4" xfId="5634" xr:uid="{00000000-0005-0000-0000-0000FF280000}"/>
    <cellStyle name="Normal 5 3 2 2 2 3 4 2" xfId="16740" xr:uid="{00000000-0005-0000-0000-000000290000}"/>
    <cellStyle name="Normal 5 3 2 2 2 3 5" xfId="5635" xr:uid="{00000000-0005-0000-0000-000001290000}"/>
    <cellStyle name="Normal 5 3 2 2 2 3 5 2" xfId="16741" xr:uid="{00000000-0005-0000-0000-000002290000}"/>
    <cellStyle name="Normal 5 3 2 2 2 3 6" xfId="16742" xr:uid="{00000000-0005-0000-0000-000003290000}"/>
    <cellStyle name="Normal 5 3 2 2 2 4" xfId="5636" xr:uid="{00000000-0005-0000-0000-000004290000}"/>
    <cellStyle name="Normal 5 3 2 2 2 4 2" xfId="5637" xr:uid="{00000000-0005-0000-0000-000005290000}"/>
    <cellStyle name="Normal 5 3 2 2 2 4 2 2" xfId="16743" xr:uid="{00000000-0005-0000-0000-000006290000}"/>
    <cellStyle name="Normal 5 3 2 2 2 4 3" xfId="5638" xr:uid="{00000000-0005-0000-0000-000007290000}"/>
    <cellStyle name="Normal 5 3 2 2 2 4 3 2" xfId="16744" xr:uid="{00000000-0005-0000-0000-000008290000}"/>
    <cellStyle name="Normal 5 3 2 2 2 4 4" xfId="16745" xr:uid="{00000000-0005-0000-0000-000009290000}"/>
    <cellStyle name="Normal 5 3 2 2 2 5" xfId="5639" xr:uid="{00000000-0005-0000-0000-00000A290000}"/>
    <cellStyle name="Normal 5 3 2 2 2 5 2" xfId="5640" xr:uid="{00000000-0005-0000-0000-00000B290000}"/>
    <cellStyle name="Normal 5 3 2 2 2 5 2 2" xfId="16746" xr:uid="{00000000-0005-0000-0000-00000C290000}"/>
    <cellStyle name="Normal 5 3 2 2 2 5 3" xfId="5641" xr:uid="{00000000-0005-0000-0000-00000D290000}"/>
    <cellStyle name="Normal 5 3 2 2 2 5 3 2" xfId="16747" xr:uid="{00000000-0005-0000-0000-00000E290000}"/>
    <cellStyle name="Normal 5 3 2 2 2 5 4" xfId="16748" xr:uid="{00000000-0005-0000-0000-00000F290000}"/>
    <cellStyle name="Normal 5 3 2 2 2 6" xfId="5642" xr:uid="{00000000-0005-0000-0000-000010290000}"/>
    <cellStyle name="Normal 5 3 2 2 2 6 2" xfId="16749" xr:uid="{00000000-0005-0000-0000-000011290000}"/>
    <cellStyle name="Normal 5 3 2 2 2 7" xfId="5643" xr:uid="{00000000-0005-0000-0000-000012290000}"/>
    <cellStyle name="Normal 5 3 2 2 2 7 2" xfId="16750" xr:uid="{00000000-0005-0000-0000-000013290000}"/>
    <cellStyle name="Normal 5 3 2 2 2 8" xfId="12689" xr:uid="{00000000-0005-0000-0000-000014290000}"/>
    <cellStyle name="Normal 5 3 2 2 3" xfId="5644" xr:uid="{00000000-0005-0000-0000-000015290000}"/>
    <cellStyle name="Normal 5 3 2 2 3 2" xfId="5645" xr:uid="{00000000-0005-0000-0000-000016290000}"/>
    <cellStyle name="Normal 5 3 2 2 3 2 2" xfId="5646" xr:uid="{00000000-0005-0000-0000-000017290000}"/>
    <cellStyle name="Normal 5 3 2 2 3 2 2 2" xfId="16751" xr:uid="{00000000-0005-0000-0000-000018290000}"/>
    <cellStyle name="Normal 5 3 2 2 3 2 3" xfId="5647" xr:uid="{00000000-0005-0000-0000-000019290000}"/>
    <cellStyle name="Normal 5 3 2 2 3 2 3 2" xfId="16752" xr:uid="{00000000-0005-0000-0000-00001A290000}"/>
    <cellStyle name="Normal 5 3 2 2 3 2 4" xfId="16753" xr:uid="{00000000-0005-0000-0000-00001B290000}"/>
    <cellStyle name="Normal 5 3 2 2 3 3" xfId="5648" xr:uid="{00000000-0005-0000-0000-00001C290000}"/>
    <cellStyle name="Normal 5 3 2 2 3 3 2" xfId="5649" xr:uid="{00000000-0005-0000-0000-00001D290000}"/>
    <cellStyle name="Normal 5 3 2 2 3 3 2 2" xfId="16754" xr:uid="{00000000-0005-0000-0000-00001E290000}"/>
    <cellStyle name="Normal 5 3 2 2 3 3 3" xfId="5650" xr:uid="{00000000-0005-0000-0000-00001F290000}"/>
    <cellStyle name="Normal 5 3 2 2 3 3 3 2" xfId="16755" xr:uid="{00000000-0005-0000-0000-000020290000}"/>
    <cellStyle name="Normal 5 3 2 2 3 3 4" xfId="16756" xr:uid="{00000000-0005-0000-0000-000021290000}"/>
    <cellStyle name="Normal 5 3 2 2 3 4" xfId="5651" xr:uid="{00000000-0005-0000-0000-000022290000}"/>
    <cellStyle name="Normal 5 3 2 2 3 4 2" xfId="16757" xr:uid="{00000000-0005-0000-0000-000023290000}"/>
    <cellStyle name="Normal 5 3 2 2 3 5" xfId="5652" xr:uid="{00000000-0005-0000-0000-000024290000}"/>
    <cellStyle name="Normal 5 3 2 2 3 5 2" xfId="16758" xr:uid="{00000000-0005-0000-0000-000025290000}"/>
    <cellStyle name="Normal 5 3 2 2 3 6" xfId="16759" xr:uid="{00000000-0005-0000-0000-000026290000}"/>
    <cellStyle name="Normal 5 3 2 2 4" xfId="5653" xr:uid="{00000000-0005-0000-0000-000027290000}"/>
    <cellStyle name="Normal 5 3 2 2 4 2" xfId="5654" xr:uid="{00000000-0005-0000-0000-000028290000}"/>
    <cellStyle name="Normal 5 3 2 2 4 2 2" xfId="5655" xr:uid="{00000000-0005-0000-0000-000029290000}"/>
    <cellStyle name="Normal 5 3 2 2 4 2 2 2" xfId="16760" xr:uid="{00000000-0005-0000-0000-00002A290000}"/>
    <cellStyle name="Normal 5 3 2 2 4 2 3" xfId="5656" xr:uid="{00000000-0005-0000-0000-00002B290000}"/>
    <cellStyle name="Normal 5 3 2 2 4 2 3 2" xfId="16761" xr:uid="{00000000-0005-0000-0000-00002C290000}"/>
    <cellStyle name="Normal 5 3 2 2 4 2 4" xfId="16762" xr:uid="{00000000-0005-0000-0000-00002D290000}"/>
    <cellStyle name="Normal 5 3 2 2 4 3" xfId="5657" xr:uid="{00000000-0005-0000-0000-00002E290000}"/>
    <cellStyle name="Normal 5 3 2 2 4 3 2" xfId="5658" xr:uid="{00000000-0005-0000-0000-00002F290000}"/>
    <cellStyle name="Normal 5 3 2 2 4 3 2 2" xfId="16763" xr:uid="{00000000-0005-0000-0000-000030290000}"/>
    <cellStyle name="Normal 5 3 2 2 4 3 3" xfId="5659" xr:uid="{00000000-0005-0000-0000-000031290000}"/>
    <cellStyle name="Normal 5 3 2 2 4 3 3 2" xfId="16764" xr:uid="{00000000-0005-0000-0000-000032290000}"/>
    <cellStyle name="Normal 5 3 2 2 4 3 4" xfId="16765" xr:uid="{00000000-0005-0000-0000-000033290000}"/>
    <cellStyle name="Normal 5 3 2 2 4 4" xfId="5660" xr:uid="{00000000-0005-0000-0000-000034290000}"/>
    <cellStyle name="Normal 5 3 2 2 4 4 2" xfId="16766" xr:uid="{00000000-0005-0000-0000-000035290000}"/>
    <cellStyle name="Normal 5 3 2 2 4 5" xfId="5661" xr:uid="{00000000-0005-0000-0000-000036290000}"/>
    <cellStyle name="Normal 5 3 2 2 4 5 2" xfId="16767" xr:uid="{00000000-0005-0000-0000-000037290000}"/>
    <cellStyle name="Normal 5 3 2 2 4 6" xfId="16768" xr:uid="{00000000-0005-0000-0000-000038290000}"/>
    <cellStyle name="Normal 5 3 2 2 5" xfId="5662" xr:uid="{00000000-0005-0000-0000-000039290000}"/>
    <cellStyle name="Normal 5 3 2 2 5 2" xfId="5663" xr:uid="{00000000-0005-0000-0000-00003A290000}"/>
    <cellStyle name="Normal 5 3 2 2 5 2 2" xfId="16769" xr:uid="{00000000-0005-0000-0000-00003B290000}"/>
    <cellStyle name="Normal 5 3 2 2 5 3" xfId="5664" xr:uid="{00000000-0005-0000-0000-00003C290000}"/>
    <cellStyle name="Normal 5 3 2 2 5 3 2" xfId="16770" xr:uid="{00000000-0005-0000-0000-00003D290000}"/>
    <cellStyle name="Normal 5 3 2 2 5 4" xfId="16771" xr:uid="{00000000-0005-0000-0000-00003E290000}"/>
    <cellStyle name="Normal 5 3 2 2 6" xfId="5665" xr:uid="{00000000-0005-0000-0000-00003F290000}"/>
    <cellStyle name="Normal 5 3 2 2 6 2" xfId="5666" xr:uid="{00000000-0005-0000-0000-000040290000}"/>
    <cellStyle name="Normal 5 3 2 2 6 2 2" xfId="16772" xr:uid="{00000000-0005-0000-0000-000041290000}"/>
    <cellStyle name="Normal 5 3 2 2 6 3" xfId="5667" xr:uid="{00000000-0005-0000-0000-000042290000}"/>
    <cellStyle name="Normal 5 3 2 2 6 3 2" xfId="16773" xr:uid="{00000000-0005-0000-0000-000043290000}"/>
    <cellStyle name="Normal 5 3 2 2 6 4" xfId="16774" xr:uid="{00000000-0005-0000-0000-000044290000}"/>
    <cellStyle name="Normal 5 3 2 2 7" xfId="5668" xr:uid="{00000000-0005-0000-0000-000045290000}"/>
    <cellStyle name="Normal 5 3 2 2 7 2" xfId="16775" xr:uid="{00000000-0005-0000-0000-000046290000}"/>
    <cellStyle name="Normal 5 3 2 2 8" xfId="5669" xr:uid="{00000000-0005-0000-0000-000047290000}"/>
    <cellStyle name="Normal 5 3 2 2 8 2" xfId="16776" xr:uid="{00000000-0005-0000-0000-000048290000}"/>
    <cellStyle name="Normal 5 3 2 2 9" xfId="12655" xr:uid="{00000000-0005-0000-0000-000049290000}"/>
    <cellStyle name="Normal 5 3 2 3" xfId="5670" xr:uid="{00000000-0005-0000-0000-00004A290000}"/>
    <cellStyle name="Normal 5 3 2 3 2" xfId="5671" xr:uid="{00000000-0005-0000-0000-00004B290000}"/>
    <cellStyle name="Normal 5 3 2 3 2 2" xfId="5672" xr:uid="{00000000-0005-0000-0000-00004C290000}"/>
    <cellStyle name="Normal 5 3 2 3 2 2 2" xfId="5673" xr:uid="{00000000-0005-0000-0000-00004D290000}"/>
    <cellStyle name="Normal 5 3 2 3 2 2 2 2" xfId="16777" xr:uid="{00000000-0005-0000-0000-00004E290000}"/>
    <cellStyle name="Normal 5 3 2 3 2 2 3" xfId="5674" xr:uid="{00000000-0005-0000-0000-00004F290000}"/>
    <cellStyle name="Normal 5 3 2 3 2 2 3 2" xfId="16778" xr:uid="{00000000-0005-0000-0000-000050290000}"/>
    <cellStyle name="Normal 5 3 2 3 2 2 4" xfId="16779" xr:uid="{00000000-0005-0000-0000-000051290000}"/>
    <cellStyle name="Normal 5 3 2 3 2 3" xfId="5675" xr:uid="{00000000-0005-0000-0000-000052290000}"/>
    <cellStyle name="Normal 5 3 2 3 2 3 2" xfId="5676" xr:uid="{00000000-0005-0000-0000-000053290000}"/>
    <cellStyle name="Normal 5 3 2 3 2 3 2 2" xfId="16780" xr:uid="{00000000-0005-0000-0000-000054290000}"/>
    <cellStyle name="Normal 5 3 2 3 2 3 3" xfId="5677" xr:uid="{00000000-0005-0000-0000-000055290000}"/>
    <cellStyle name="Normal 5 3 2 3 2 3 3 2" xfId="16781" xr:uid="{00000000-0005-0000-0000-000056290000}"/>
    <cellStyle name="Normal 5 3 2 3 2 3 4" xfId="16782" xr:uid="{00000000-0005-0000-0000-000057290000}"/>
    <cellStyle name="Normal 5 3 2 3 2 4" xfId="5678" xr:uid="{00000000-0005-0000-0000-000058290000}"/>
    <cellStyle name="Normal 5 3 2 3 2 4 2" xfId="16783" xr:uid="{00000000-0005-0000-0000-000059290000}"/>
    <cellStyle name="Normal 5 3 2 3 2 5" xfId="5679" xr:uid="{00000000-0005-0000-0000-00005A290000}"/>
    <cellStyle name="Normal 5 3 2 3 2 5 2" xfId="16784" xr:uid="{00000000-0005-0000-0000-00005B290000}"/>
    <cellStyle name="Normal 5 3 2 3 2 6" xfId="16785" xr:uid="{00000000-0005-0000-0000-00005C290000}"/>
    <cellStyle name="Normal 5 3 2 3 3" xfId="5680" xr:uid="{00000000-0005-0000-0000-00005D290000}"/>
    <cellStyle name="Normal 5 3 2 3 3 2" xfId="5681" xr:uid="{00000000-0005-0000-0000-00005E290000}"/>
    <cellStyle name="Normal 5 3 2 3 3 2 2" xfId="5682" xr:uid="{00000000-0005-0000-0000-00005F290000}"/>
    <cellStyle name="Normal 5 3 2 3 3 2 2 2" xfId="16786" xr:uid="{00000000-0005-0000-0000-000060290000}"/>
    <cellStyle name="Normal 5 3 2 3 3 2 3" xfId="5683" xr:uid="{00000000-0005-0000-0000-000061290000}"/>
    <cellStyle name="Normal 5 3 2 3 3 2 3 2" xfId="16787" xr:uid="{00000000-0005-0000-0000-000062290000}"/>
    <cellStyle name="Normal 5 3 2 3 3 2 4" xfId="16788" xr:uid="{00000000-0005-0000-0000-000063290000}"/>
    <cellStyle name="Normal 5 3 2 3 3 3" xfId="5684" xr:uid="{00000000-0005-0000-0000-000064290000}"/>
    <cellStyle name="Normal 5 3 2 3 3 3 2" xfId="5685" xr:uid="{00000000-0005-0000-0000-000065290000}"/>
    <cellStyle name="Normal 5 3 2 3 3 3 2 2" xfId="16789" xr:uid="{00000000-0005-0000-0000-000066290000}"/>
    <cellStyle name="Normal 5 3 2 3 3 3 3" xfId="5686" xr:uid="{00000000-0005-0000-0000-000067290000}"/>
    <cellStyle name="Normal 5 3 2 3 3 3 3 2" xfId="16790" xr:uid="{00000000-0005-0000-0000-000068290000}"/>
    <cellStyle name="Normal 5 3 2 3 3 3 4" xfId="16791" xr:uid="{00000000-0005-0000-0000-000069290000}"/>
    <cellStyle name="Normal 5 3 2 3 3 4" xfId="5687" xr:uid="{00000000-0005-0000-0000-00006A290000}"/>
    <cellStyle name="Normal 5 3 2 3 3 4 2" xfId="16792" xr:uid="{00000000-0005-0000-0000-00006B290000}"/>
    <cellStyle name="Normal 5 3 2 3 3 5" xfId="5688" xr:uid="{00000000-0005-0000-0000-00006C290000}"/>
    <cellStyle name="Normal 5 3 2 3 3 5 2" xfId="16793" xr:uid="{00000000-0005-0000-0000-00006D290000}"/>
    <cellStyle name="Normal 5 3 2 3 3 6" xfId="16794" xr:uid="{00000000-0005-0000-0000-00006E290000}"/>
    <cellStyle name="Normal 5 3 2 3 4" xfId="5689" xr:uid="{00000000-0005-0000-0000-00006F290000}"/>
    <cellStyle name="Normal 5 3 2 3 4 2" xfId="5690" xr:uid="{00000000-0005-0000-0000-000070290000}"/>
    <cellStyle name="Normal 5 3 2 3 4 2 2" xfId="16795" xr:uid="{00000000-0005-0000-0000-000071290000}"/>
    <cellStyle name="Normal 5 3 2 3 4 3" xfId="5691" xr:uid="{00000000-0005-0000-0000-000072290000}"/>
    <cellStyle name="Normal 5 3 2 3 4 3 2" xfId="16796" xr:uid="{00000000-0005-0000-0000-000073290000}"/>
    <cellStyle name="Normal 5 3 2 3 4 4" xfId="16797" xr:uid="{00000000-0005-0000-0000-000074290000}"/>
    <cellStyle name="Normal 5 3 2 3 5" xfId="5692" xr:uid="{00000000-0005-0000-0000-000075290000}"/>
    <cellStyle name="Normal 5 3 2 3 5 2" xfId="5693" xr:uid="{00000000-0005-0000-0000-000076290000}"/>
    <cellStyle name="Normal 5 3 2 3 5 2 2" xfId="16798" xr:uid="{00000000-0005-0000-0000-000077290000}"/>
    <cellStyle name="Normal 5 3 2 3 5 3" xfId="5694" xr:uid="{00000000-0005-0000-0000-000078290000}"/>
    <cellStyle name="Normal 5 3 2 3 5 3 2" xfId="16799" xr:uid="{00000000-0005-0000-0000-000079290000}"/>
    <cellStyle name="Normal 5 3 2 3 5 4" xfId="16800" xr:uid="{00000000-0005-0000-0000-00007A290000}"/>
    <cellStyle name="Normal 5 3 2 3 6" xfId="5695" xr:uid="{00000000-0005-0000-0000-00007B290000}"/>
    <cellStyle name="Normal 5 3 2 3 6 2" xfId="16801" xr:uid="{00000000-0005-0000-0000-00007C290000}"/>
    <cellStyle name="Normal 5 3 2 3 7" xfId="5696" xr:uid="{00000000-0005-0000-0000-00007D290000}"/>
    <cellStyle name="Normal 5 3 2 3 7 2" xfId="16802" xr:uid="{00000000-0005-0000-0000-00007E290000}"/>
    <cellStyle name="Normal 5 3 2 3 8" xfId="16803" xr:uid="{00000000-0005-0000-0000-00007F290000}"/>
    <cellStyle name="Normal 5 3 2 4" xfId="5697" xr:uid="{00000000-0005-0000-0000-000080290000}"/>
    <cellStyle name="Normal 5 3 2 4 2" xfId="5698" xr:uid="{00000000-0005-0000-0000-000081290000}"/>
    <cellStyle name="Normal 5 3 2 4 2 2" xfId="5699" xr:uid="{00000000-0005-0000-0000-000082290000}"/>
    <cellStyle name="Normal 5 3 2 4 2 2 2" xfId="5700" xr:uid="{00000000-0005-0000-0000-000083290000}"/>
    <cellStyle name="Normal 5 3 2 4 2 2 2 2" xfId="16804" xr:uid="{00000000-0005-0000-0000-000084290000}"/>
    <cellStyle name="Normal 5 3 2 4 2 2 3" xfId="5701" xr:uid="{00000000-0005-0000-0000-000085290000}"/>
    <cellStyle name="Normal 5 3 2 4 2 2 3 2" xfId="16805" xr:uid="{00000000-0005-0000-0000-000086290000}"/>
    <cellStyle name="Normal 5 3 2 4 2 2 4" xfId="16806" xr:uid="{00000000-0005-0000-0000-000087290000}"/>
    <cellStyle name="Normal 5 3 2 4 2 3" xfId="5702" xr:uid="{00000000-0005-0000-0000-000088290000}"/>
    <cellStyle name="Normal 5 3 2 4 2 3 2" xfId="5703" xr:uid="{00000000-0005-0000-0000-000089290000}"/>
    <cellStyle name="Normal 5 3 2 4 2 3 2 2" xfId="16807" xr:uid="{00000000-0005-0000-0000-00008A290000}"/>
    <cellStyle name="Normal 5 3 2 4 2 3 3" xfId="5704" xr:uid="{00000000-0005-0000-0000-00008B290000}"/>
    <cellStyle name="Normal 5 3 2 4 2 3 3 2" xfId="16808" xr:uid="{00000000-0005-0000-0000-00008C290000}"/>
    <cellStyle name="Normal 5 3 2 4 2 3 4" xfId="16809" xr:uid="{00000000-0005-0000-0000-00008D290000}"/>
    <cellStyle name="Normal 5 3 2 4 2 4" xfId="5705" xr:uid="{00000000-0005-0000-0000-00008E290000}"/>
    <cellStyle name="Normal 5 3 2 4 2 4 2" xfId="16810" xr:uid="{00000000-0005-0000-0000-00008F290000}"/>
    <cellStyle name="Normal 5 3 2 4 2 5" xfId="5706" xr:uid="{00000000-0005-0000-0000-000090290000}"/>
    <cellStyle name="Normal 5 3 2 4 2 5 2" xfId="16811" xr:uid="{00000000-0005-0000-0000-000091290000}"/>
    <cellStyle name="Normal 5 3 2 4 2 6" xfId="16812" xr:uid="{00000000-0005-0000-0000-000092290000}"/>
    <cellStyle name="Normal 5 3 2 4 3" xfId="5707" xr:uid="{00000000-0005-0000-0000-000093290000}"/>
    <cellStyle name="Normal 5 3 2 4 3 2" xfId="5708" xr:uid="{00000000-0005-0000-0000-000094290000}"/>
    <cellStyle name="Normal 5 3 2 4 3 2 2" xfId="5709" xr:uid="{00000000-0005-0000-0000-000095290000}"/>
    <cellStyle name="Normal 5 3 2 4 3 2 2 2" xfId="16813" xr:uid="{00000000-0005-0000-0000-000096290000}"/>
    <cellStyle name="Normal 5 3 2 4 3 2 3" xfId="5710" xr:uid="{00000000-0005-0000-0000-000097290000}"/>
    <cellStyle name="Normal 5 3 2 4 3 2 3 2" xfId="16814" xr:uid="{00000000-0005-0000-0000-000098290000}"/>
    <cellStyle name="Normal 5 3 2 4 3 2 4" xfId="16815" xr:uid="{00000000-0005-0000-0000-000099290000}"/>
    <cellStyle name="Normal 5 3 2 4 3 3" xfId="5711" xr:uid="{00000000-0005-0000-0000-00009A290000}"/>
    <cellStyle name="Normal 5 3 2 4 3 3 2" xfId="5712" xr:uid="{00000000-0005-0000-0000-00009B290000}"/>
    <cellStyle name="Normal 5 3 2 4 3 3 2 2" xfId="16816" xr:uid="{00000000-0005-0000-0000-00009C290000}"/>
    <cellStyle name="Normal 5 3 2 4 3 3 3" xfId="5713" xr:uid="{00000000-0005-0000-0000-00009D290000}"/>
    <cellStyle name="Normal 5 3 2 4 3 3 3 2" xfId="16817" xr:uid="{00000000-0005-0000-0000-00009E290000}"/>
    <cellStyle name="Normal 5 3 2 4 3 3 4" xfId="16818" xr:uid="{00000000-0005-0000-0000-00009F290000}"/>
    <cellStyle name="Normal 5 3 2 4 3 4" xfId="5714" xr:uid="{00000000-0005-0000-0000-0000A0290000}"/>
    <cellStyle name="Normal 5 3 2 4 3 4 2" xfId="16819" xr:uid="{00000000-0005-0000-0000-0000A1290000}"/>
    <cellStyle name="Normal 5 3 2 4 3 5" xfId="5715" xr:uid="{00000000-0005-0000-0000-0000A2290000}"/>
    <cellStyle name="Normal 5 3 2 4 3 5 2" xfId="16820" xr:uid="{00000000-0005-0000-0000-0000A3290000}"/>
    <cellStyle name="Normal 5 3 2 4 3 6" xfId="16821" xr:uid="{00000000-0005-0000-0000-0000A4290000}"/>
    <cellStyle name="Normal 5 3 2 4 4" xfId="5716" xr:uid="{00000000-0005-0000-0000-0000A5290000}"/>
    <cellStyle name="Normal 5 3 2 4 4 2" xfId="5717" xr:uid="{00000000-0005-0000-0000-0000A6290000}"/>
    <cellStyle name="Normal 5 3 2 4 4 2 2" xfId="16822" xr:uid="{00000000-0005-0000-0000-0000A7290000}"/>
    <cellStyle name="Normal 5 3 2 4 4 3" xfId="5718" xr:uid="{00000000-0005-0000-0000-0000A8290000}"/>
    <cellStyle name="Normal 5 3 2 4 4 3 2" xfId="16823" xr:uid="{00000000-0005-0000-0000-0000A9290000}"/>
    <cellStyle name="Normal 5 3 2 4 4 4" xfId="16824" xr:uid="{00000000-0005-0000-0000-0000AA290000}"/>
    <cellStyle name="Normal 5 3 2 4 5" xfId="5719" xr:uid="{00000000-0005-0000-0000-0000AB290000}"/>
    <cellStyle name="Normal 5 3 2 4 5 2" xfId="5720" xr:uid="{00000000-0005-0000-0000-0000AC290000}"/>
    <cellStyle name="Normal 5 3 2 4 5 2 2" xfId="16825" xr:uid="{00000000-0005-0000-0000-0000AD290000}"/>
    <cellStyle name="Normal 5 3 2 4 5 3" xfId="5721" xr:uid="{00000000-0005-0000-0000-0000AE290000}"/>
    <cellStyle name="Normal 5 3 2 4 5 3 2" xfId="16826" xr:uid="{00000000-0005-0000-0000-0000AF290000}"/>
    <cellStyle name="Normal 5 3 2 4 5 4" xfId="16827" xr:uid="{00000000-0005-0000-0000-0000B0290000}"/>
    <cellStyle name="Normal 5 3 2 4 6" xfId="5722" xr:uid="{00000000-0005-0000-0000-0000B1290000}"/>
    <cellStyle name="Normal 5 3 2 4 6 2" xfId="16828" xr:uid="{00000000-0005-0000-0000-0000B2290000}"/>
    <cellStyle name="Normal 5 3 2 4 7" xfId="5723" xr:uid="{00000000-0005-0000-0000-0000B3290000}"/>
    <cellStyle name="Normal 5 3 2 4 7 2" xfId="16829" xr:uid="{00000000-0005-0000-0000-0000B4290000}"/>
    <cellStyle name="Normal 5 3 2 4 8" xfId="16830" xr:uid="{00000000-0005-0000-0000-0000B5290000}"/>
    <cellStyle name="Normal 5 3 2 5" xfId="5724" xr:uid="{00000000-0005-0000-0000-0000B6290000}"/>
    <cellStyle name="Normal 5 3 2 5 2" xfId="5725" xr:uid="{00000000-0005-0000-0000-0000B7290000}"/>
    <cellStyle name="Normal 5 3 2 5 2 2" xfId="5726" xr:uid="{00000000-0005-0000-0000-0000B8290000}"/>
    <cellStyle name="Normal 5 3 2 5 2 2 2" xfId="16831" xr:uid="{00000000-0005-0000-0000-0000B9290000}"/>
    <cellStyle name="Normal 5 3 2 5 2 3" xfId="5727" xr:uid="{00000000-0005-0000-0000-0000BA290000}"/>
    <cellStyle name="Normal 5 3 2 5 2 3 2" xfId="16832" xr:uid="{00000000-0005-0000-0000-0000BB290000}"/>
    <cellStyle name="Normal 5 3 2 5 2 4" xfId="16833" xr:uid="{00000000-0005-0000-0000-0000BC290000}"/>
    <cellStyle name="Normal 5 3 2 5 3" xfId="5728" xr:uid="{00000000-0005-0000-0000-0000BD290000}"/>
    <cellStyle name="Normal 5 3 2 5 3 2" xfId="5729" xr:uid="{00000000-0005-0000-0000-0000BE290000}"/>
    <cellStyle name="Normal 5 3 2 5 3 2 2" xfId="16834" xr:uid="{00000000-0005-0000-0000-0000BF290000}"/>
    <cellStyle name="Normal 5 3 2 5 3 3" xfId="5730" xr:uid="{00000000-0005-0000-0000-0000C0290000}"/>
    <cellStyle name="Normal 5 3 2 5 3 3 2" xfId="16835" xr:uid="{00000000-0005-0000-0000-0000C1290000}"/>
    <cellStyle name="Normal 5 3 2 5 3 4" xfId="16836" xr:uid="{00000000-0005-0000-0000-0000C2290000}"/>
    <cellStyle name="Normal 5 3 2 5 4" xfId="5731" xr:uid="{00000000-0005-0000-0000-0000C3290000}"/>
    <cellStyle name="Normal 5 3 2 5 4 2" xfId="16837" xr:uid="{00000000-0005-0000-0000-0000C4290000}"/>
    <cellStyle name="Normal 5 3 2 5 5" xfId="5732" xr:uid="{00000000-0005-0000-0000-0000C5290000}"/>
    <cellStyle name="Normal 5 3 2 5 5 2" xfId="16838" xr:uid="{00000000-0005-0000-0000-0000C6290000}"/>
    <cellStyle name="Normal 5 3 2 5 6" xfId="16839" xr:uid="{00000000-0005-0000-0000-0000C7290000}"/>
    <cellStyle name="Normal 5 3 2 6" xfId="5733" xr:uid="{00000000-0005-0000-0000-0000C8290000}"/>
    <cellStyle name="Normal 5 3 2 6 2" xfId="5734" xr:uid="{00000000-0005-0000-0000-0000C9290000}"/>
    <cellStyle name="Normal 5 3 2 6 2 2" xfId="5735" xr:uid="{00000000-0005-0000-0000-0000CA290000}"/>
    <cellStyle name="Normal 5 3 2 6 2 2 2" xfId="16840" xr:uid="{00000000-0005-0000-0000-0000CB290000}"/>
    <cellStyle name="Normal 5 3 2 6 2 3" xfId="5736" xr:uid="{00000000-0005-0000-0000-0000CC290000}"/>
    <cellStyle name="Normal 5 3 2 6 2 3 2" xfId="16841" xr:uid="{00000000-0005-0000-0000-0000CD290000}"/>
    <cellStyle name="Normal 5 3 2 6 2 4" xfId="16842" xr:uid="{00000000-0005-0000-0000-0000CE290000}"/>
    <cellStyle name="Normal 5 3 2 6 3" xfId="5737" xr:uid="{00000000-0005-0000-0000-0000CF290000}"/>
    <cellStyle name="Normal 5 3 2 6 3 2" xfId="5738" xr:uid="{00000000-0005-0000-0000-0000D0290000}"/>
    <cellStyle name="Normal 5 3 2 6 3 2 2" xfId="16843" xr:uid="{00000000-0005-0000-0000-0000D1290000}"/>
    <cellStyle name="Normal 5 3 2 6 3 3" xfId="5739" xr:uid="{00000000-0005-0000-0000-0000D2290000}"/>
    <cellStyle name="Normal 5 3 2 6 3 3 2" xfId="16844" xr:uid="{00000000-0005-0000-0000-0000D3290000}"/>
    <cellStyle name="Normal 5 3 2 6 3 4" xfId="16845" xr:uid="{00000000-0005-0000-0000-0000D4290000}"/>
    <cellStyle name="Normal 5 3 2 6 4" xfId="5740" xr:uid="{00000000-0005-0000-0000-0000D5290000}"/>
    <cellStyle name="Normal 5 3 2 6 4 2" xfId="16846" xr:uid="{00000000-0005-0000-0000-0000D6290000}"/>
    <cellStyle name="Normal 5 3 2 6 5" xfId="5741" xr:uid="{00000000-0005-0000-0000-0000D7290000}"/>
    <cellStyle name="Normal 5 3 2 6 5 2" xfId="16847" xr:uid="{00000000-0005-0000-0000-0000D8290000}"/>
    <cellStyle name="Normal 5 3 2 6 6" xfId="16848" xr:uid="{00000000-0005-0000-0000-0000D9290000}"/>
    <cellStyle name="Normal 5 3 2 7" xfId="5742" xr:uid="{00000000-0005-0000-0000-0000DA290000}"/>
    <cellStyle name="Normal 5 3 2 7 2" xfId="5743" xr:uid="{00000000-0005-0000-0000-0000DB290000}"/>
    <cellStyle name="Normal 5 3 2 7 2 2" xfId="5744" xr:uid="{00000000-0005-0000-0000-0000DC290000}"/>
    <cellStyle name="Normal 5 3 2 7 2 2 2" xfId="16849" xr:uid="{00000000-0005-0000-0000-0000DD290000}"/>
    <cellStyle name="Normal 5 3 2 7 2 3" xfId="5745" xr:uid="{00000000-0005-0000-0000-0000DE290000}"/>
    <cellStyle name="Normal 5 3 2 7 2 3 2" xfId="16850" xr:uid="{00000000-0005-0000-0000-0000DF290000}"/>
    <cellStyle name="Normal 5 3 2 7 2 4" xfId="16851" xr:uid="{00000000-0005-0000-0000-0000E0290000}"/>
    <cellStyle name="Normal 5 3 2 7 3" xfId="5746" xr:uid="{00000000-0005-0000-0000-0000E1290000}"/>
    <cellStyle name="Normal 5 3 2 7 3 2" xfId="5747" xr:uid="{00000000-0005-0000-0000-0000E2290000}"/>
    <cellStyle name="Normal 5 3 2 7 3 2 2" xfId="16852" xr:uid="{00000000-0005-0000-0000-0000E3290000}"/>
    <cellStyle name="Normal 5 3 2 7 3 3" xfId="5748" xr:uid="{00000000-0005-0000-0000-0000E4290000}"/>
    <cellStyle name="Normal 5 3 2 7 3 3 2" xfId="16853" xr:uid="{00000000-0005-0000-0000-0000E5290000}"/>
    <cellStyle name="Normal 5 3 2 7 3 4" xfId="16854" xr:uid="{00000000-0005-0000-0000-0000E6290000}"/>
    <cellStyle name="Normal 5 3 2 7 4" xfId="5749" xr:uid="{00000000-0005-0000-0000-0000E7290000}"/>
    <cellStyle name="Normal 5 3 2 7 4 2" xfId="16855" xr:uid="{00000000-0005-0000-0000-0000E8290000}"/>
    <cellStyle name="Normal 5 3 2 7 5" xfId="5750" xr:uid="{00000000-0005-0000-0000-0000E9290000}"/>
    <cellStyle name="Normal 5 3 2 7 5 2" xfId="16856" xr:uid="{00000000-0005-0000-0000-0000EA290000}"/>
    <cellStyle name="Normal 5 3 2 7 6" xfId="16857" xr:uid="{00000000-0005-0000-0000-0000EB290000}"/>
    <cellStyle name="Normal 5 3 2 8" xfId="5751" xr:uid="{00000000-0005-0000-0000-0000EC290000}"/>
    <cellStyle name="Normal 5 3 2 8 2" xfId="5752" xr:uid="{00000000-0005-0000-0000-0000ED290000}"/>
    <cellStyle name="Normal 5 3 2 8 2 2" xfId="16858" xr:uid="{00000000-0005-0000-0000-0000EE290000}"/>
    <cellStyle name="Normal 5 3 2 8 3" xfId="5753" xr:uid="{00000000-0005-0000-0000-0000EF290000}"/>
    <cellStyle name="Normal 5 3 2 8 3 2" xfId="16859" xr:uid="{00000000-0005-0000-0000-0000F0290000}"/>
    <cellStyle name="Normal 5 3 2 8 4" xfId="16860" xr:uid="{00000000-0005-0000-0000-0000F1290000}"/>
    <cellStyle name="Normal 5 3 2 9" xfId="5754" xr:uid="{00000000-0005-0000-0000-0000F2290000}"/>
    <cellStyle name="Normal 5 3 2 9 2" xfId="5755" xr:uid="{00000000-0005-0000-0000-0000F3290000}"/>
    <cellStyle name="Normal 5 3 2 9 2 2" xfId="16861" xr:uid="{00000000-0005-0000-0000-0000F4290000}"/>
    <cellStyle name="Normal 5 3 2 9 3" xfId="5756" xr:uid="{00000000-0005-0000-0000-0000F5290000}"/>
    <cellStyle name="Normal 5 3 2 9 3 2" xfId="16862" xr:uid="{00000000-0005-0000-0000-0000F6290000}"/>
    <cellStyle name="Normal 5 3 2 9 4" xfId="16863" xr:uid="{00000000-0005-0000-0000-0000F7290000}"/>
    <cellStyle name="Normal 5 3 3" xfId="5757" xr:uid="{00000000-0005-0000-0000-0000F8290000}"/>
    <cellStyle name="Normal 5 3 3 2" xfId="5758" xr:uid="{00000000-0005-0000-0000-0000F9290000}"/>
    <cellStyle name="Normal 5 3 3 2 2" xfId="5759" xr:uid="{00000000-0005-0000-0000-0000FA290000}"/>
    <cellStyle name="Normal 5 3 3 2 2 2" xfId="5760" xr:uid="{00000000-0005-0000-0000-0000FB290000}"/>
    <cellStyle name="Normal 5 3 3 2 2 2 2" xfId="5761" xr:uid="{00000000-0005-0000-0000-0000FC290000}"/>
    <cellStyle name="Normal 5 3 3 2 2 2 2 2" xfId="16864" xr:uid="{00000000-0005-0000-0000-0000FD290000}"/>
    <cellStyle name="Normal 5 3 3 2 2 2 3" xfId="5762" xr:uid="{00000000-0005-0000-0000-0000FE290000}"/>
    <cellStyle name="Normal 5 3 3 2 2 2 3 2" xfId="16865" xr:uid="{00000000-0005-0000-0000-0000FF290000}"/>
    <cellStyle name="Normal 5 3 3 2 2 2 4" xfId="16866" xr:uid="{00000000-0005-0000-0000-0000002A0000}"/>
    <cellStyle name="Normal 5 3 3 2 2 3" xfId="5763" xr:uid="{00000000-0005-0000-0000-0000012A0000}"/>
    <cellStyle name="Normal 5 3 3 2 2 3 2" xfId="5764" xr:uid="{00000000-0005-0000-0000-0000022A0000}"/>
    <cellStyle name="Normal 5 3 3 2 2 3 2 2" xfId="16867" xr:uid="{00000000-0005-0000-0000-0000032A0000}"/>
    <cellStyle name="Normal 5 3 3 2 2 3 3" xfId="5765" xr:uid="{00000000-0005-0000-0000-0000042A0000}"/>
    <cellStyle name="Normal 5 3 3 2 2 3 3 2" xfId="16868" xr:uid="{00000000-0005-0000-0000-0000052A0000}"/>
    <cellStyle name="Normal 5 3 3 2 2 3 4" xfId="16869" xr:uid="{00000000-0005-0000-0000-0000062A0000}"/>
    <cellStyle name="Normal 5 3 3 2 2 4" xfId="5766" xr:uid="{00000000-0005-0000-0000-0000072A0000}"/>
    <cellStyle name="Normal 5 3 3 2 2 4 2" xfId="16870" xr:uid="{00000000-0005-0000-0000-0000082A0000}"/>
    <cellStyle name="Normal 5 3 3 2 2 5" xfId="5767" xr:uid="{00000000-0005-0000-0000-0000092A0000}"/>
    <cellStyle name="Normal 5 3 3 2 2 5 2" xfId="16871" xr:uid="{00000000-0005-0000-0000-00000A2A0000}"/>
    <cellStyle name="Normal 5 3 3 2 2 6" xfId="16872" xr:uid="{00000000-0005-0000-0000-00000B2A0000}"/>
    <cellStyle name="Normal 5 3 3 2 3" xfId="5768" xr:uid="{00000000-0005-0000-0000-00000C2A0000}"/>
    <cellStyle name="Normal 5 3 3 2 3 2" xfId="5769" xr:uid="{00000000-0005-0000-0000-00000D2A0000}"/>
    <cellStyle name="Normal 5 3 3 2 3 2 2" xfId="5770" xr:uid="{00000000-0005-0000-0000-00000E2A0000}"/>
    <cellStyle name="Normal 5 3 3 2 3 2 2 2" xfId="16873" xr:uid="{00000000-0005-0000-0000-00000F2A0000}"/>
    <cellStyle name="Normal 5 3 3 2 3 2 3" xfId="5771" xr:uid="{00000000-0005-0000-0000-0000102A0000}"/>
    <cellStyle name="Normal 5 3 3 2 3 2 3 2" xfId="16874" xr:uid="{00000000-0005-0000-0000-0000112A0000}"/>
    <cellStyle name="Normal 5 3 3 2 3 2 4" xfId="16875" xr:uid="{00000000-0005-0000-0000-0000122A0000}"/>
    <cellStyle name="Normal 5 3 3 2 3 3" xfId="5772" xr:uid="{00000000-0005-0000-0000-0000132A0000}"/>
    <cellStyle name="Normal 5 3 3 2 3 3 2" xfId="5773" xr:uid="{00000000-0005-0000-0000-0000142A0000}"/>
    <cellStyle name="Normal 5 3 3 2 3 3 2 2" xfId="16876" xr:uid="{00000000-0005-0000-0000-0000152A0000}"/>
    <cellStyle name="Normal 5 3 3 2 3 3 3" xfId="5774" xr:uid="{00000000-0005-0000-0000-0000162A0000}"/>
    <cellStyle name="Normal 5 3 3 2 3 3 3 2" xfId="16877" xr:uid="{00000000-0005-0000-0000-0000172A0000}"/>
    <cellStyle name="Normal 5 3 3 2 3 3 4" xfId="16878" xr:uid="{00000000-0005-0000-0000-0000182A0000}"/>
    <cellStyle name="Normal 5 3 3 2 3 4" xfId="5775" xr:uid="{00000000-0005-0000-0000-0000192A0000}"/>
    <cellStyle name="Normal 5 3 3 2 3 4 2" xfId="16879" xr:uid="{00000000-0005-0000-0000-00001A2A0000}"/>
    <cellStyle name="Normal 5 3 3 2 3 5" xfId="5776" xr:uid="{00000000-0005-0000-0000-00001B2A0000}"/>
    <cellStyle name="Normal 5 3 3 2 3 5 2" xfId="16880" xr:uid="{00000000-0005-0000-0000-00001C2A0000}"/>
    <cellStyle name="Normal 5 3 3 2 3 6" xfId="16881" xr:uid="{00000000-0005-0000-0000-00001D2A0000}"/>
    <cellStyle name="Normal 5 3 3 2 4" xfId="5777" xr:uid="{00000000-0005-0000-0000-00001E2A0000}"/>
    <cellStyle name="Normal 5 3 3 2 4 2" xfId="5778" xr:uid="{00000000-0005-0000-0000-00001F2A0000}"/>
    <cellStyle name="Normal 5 3 3 2 4 2 2" xfId="16882" xr:uid="{00000000-0005-0000-0000-0000202A0000}"/>
    <cellStyle name="Normal 5 3 3 2 4 3" xfId="5779" xr:uid="{00000000-0005-0000-0000-0000212A0000}"/>
    <cellStyle name="Normal 5 3 3 2 4 3 2" xfId="16883" xr:uid="{00000000-0005-0000-0000-0000222A0000}"/>
    <cellStyle name="Normal 5 3 3 2 4 4" xfId="16884" xr:uid="{00000000-0005-0000-0000-0000232A0000}"/>
    <cellStyle name="Normal 5 3 3 2 5" xfId="5780" xr:uid="{00000000-0005-0000-0000-0000242A0000}"/>
    <cellStyle name="Normal 5 3 3 2 5 2" xfId="5781" xr:uid="{00000000-0005-0000-0000-0000252A0000}"/>
    <cellStyle name="Normal 5 3 3 2 5 2 2" xfId="16885" xr:uid="{00000000-0005-0000-0000-0000262A0000}"/>
    <cellStyle name="Normal 5 3 3 2 5 3" xfId="5782" xr:uid="{00000000-0005-0000-0000-0000272A0000}"/>
    <cellStyle name="Normal 5 3 3 2 5 3 2" xfId="16886" xr:uid="{00000000-0005-0000-0000-0000282A0000}"/>
    <cellStyle name="Normal 5 3 3 2 5 4" xfId="16887" xr:uid="{00000000-0005-0000-0000-0000292A0000}"/>
    <cellStyle name="Normal 5 3 3 2 6" xfId="5783" xr:uid="{00000000-0005-0000-0000-00002A2A0000}"/>
    <cellStyle name="Normal 5 3 3 2 6 2" xfId="16888" xr:uid="{00000000-0005-0000-0000-00002B2A0000}"/>
    <cellStyle name="Normal 5 3 3 2 7" xfId="5784" xr:uid="{00000000-0005-0000-0000-00002C2A0000}"/>
    <cellStyle name="Normal 5 3 3 2 7 2" xfId="16889" xr:uid="{00000000-0005-0000-0000-00002D2A0000}"/>
    <cellStyle name="Normal 5 3 3 2 8" xfId="16890" xr:uid="{00000000-0005-0000-0000-00002E2A0000}"/>
    <cellStyle name="Normal 5 3 3 3" xfId="5785" xr:uid="{00000000-0005-0000-0000-00002F2A0000}"/>
    <cellStyle name="Normal 5 3 3 3 2" xfId="5786" xr:uid="{00000000-0005-0000-0000-0000302A0000}"/>
    <cellStyle name="Normal 5 3 3 3 2 2" xfId="5787" xr:uid="{00000000-0005-0000-0000-0000312A0000}"/>
    <cellStyle name="Normal 5 3 3 3 2 2 2" xfId="16891" xr:uid="{00000000-0005-0000-0000-0000322A0000}"/>
    <cellStyle name="Normal 5 3 3 3 2 3" xfId="5788" xr:uid="{00000000-0005-0000-0000-0000332A0000}"/>
    <cellStyle name="Normal 5 3 3 3 2 3 2" xfId="16892" xr:uid="{00000000-0005-0000-0000-0000342A0000}"/>
    <cellStyle name="Normal 5 3 3 3 2 4" xfId="16893" xr:uid="{00000000-0005-0000-0000-0000352A0000}"/>
    <cellStyle name="Normal 5 3 3 3 3" xfId="5789" xr:uid="{00000000-0005-0000-0000-0000362A0000}"/>
    <cellStyle name="Normal 5 3 3 3 3 2" xfId="5790" xr:uid="{00000000-0005-0000-0000-0000372A0000}"/>
    <cellStyle name="Normal 5 3 3 3 3 2 2" xfId="16894" xr:uid="{00000000-0005-0000-0000-0000382A0000}"/>
    <cellStyle name="Normal 5 3 3 3 3 3" xfId="5791" xr:uid="{00000000-0005-0000-0000-0000392A0000}"/>
    <cellStyle name="Normal 5 3 3 3 3 3 2" xfId="16895" xr:uid="{00000000-0005-0000-0000-00003A2A0000}"/>
    <cellStyle name="Normal 5 3 3 3 3 4" xfId="16896" xr:uid="{00000000-0005-0000-0000-00003B2A0000}"/>
    <cellStyle name="Normal 5 3 3 3 4" xfId="5792" xr:uid="{00000000-0005-0000-0000-00003C2A0000}"/>
    <cellStyle name="Normal 5 3 3 3 4 2" xfId="16897" xr:uid="{00000000-0005-0000-0000-00003D2A0000}"/>
    <cellStyle name="Normal 5 3 3 3 5" xfId="5793" xr:uid="{00000000-0005-0000-0000-00003E2A0000}"/>
    <cellStyle name="Normal 5 3 3 3 5 2" xfId="16898" xr:uid="{00000000-0005-0000-0000-00003F2A0000}"/>
    <cellStyle name="Normal 5 3 3 3 6" xfId="16899" xr:uid="{00000000-0005-0000-0000-0000402A0000}"/>
    <cellStyle name="Normal 5 3 3 4" xfId="5794" xr:uid="{00000000-0005-0000-0000-0000412A0000}"/>
    <cellStyle name="Normal 5 3 3 4 2" xfId="5795" xr:uid="{00000000-0005-0000-0000-0000422A0000}"/>
    <cellStyle name="Normal 5 3 3 4 2 2" xfId="5796" xr:uid="{00000000-0005-0000-0000-0000432A0000}"/>
    <cellStyle name="Normal 5 3 3 4 2 2 2" xfId="16900" xr:uid="{00000000-0005-0000-0000-0000442A0000}"/>
    <cellStyle name="Normal 5 3 3 4 2 3" xfId="5797" xr:uid="{00000000-0005-0000-0000-0000452A0000}"/>
    <cellStyle name="Normal 5 3 3 4 2 3 2" xfId="16901" xr:uid="{00000000-0005-0000-0000-0000462A0000}"/>
    <cellStyle name="Normal 5 3 3 4 2 4" xfId="16902" xr:uid="{00000000-0005-0000-0000-0000472A0000}"/>
    <cellStyle name="Normal 5 3 3 4 3" xfId="5798" xr:uid="{00000000-0005-0000-0000-0000482A0000}"/>
    <cellStyle name="Normal 5 3 3 4 3 2" xfId="5799" xr:uid="{00000000-0005-0000-0000-0000492A0000}"/>
    <cellStyle name="Normal 5 3 3 4 3 2 2" xfId="16903" xr:uid="{00000000-0005-0000-0000-00004A2A0000}"/>
    <cellStyle name="Normal 5 3 3 4 3 3" xfId="5800" xr:uid="{00000000-0005-0000-0000-00004B2A0000}"/>
    <cellStyle name="Normal 5 3 3 4 3 3 2" xfId="16904" xr:uid="{00000000-0005-0000-0000-00004C2A0000}"/>
    <cellStyle name="Normal 5 3 3 4 3 4" xfId="16905" xr:uid="{00000000-0005-0000-0000-00004D2A0000}"/>
    <cellStyle name="Normal 5 3 3 4 4" xfId="5801" xr:uid="{00000000-0005-0000-0000-00004E2A0000}"/>
    <cellStyle name="Normal 5 3 3 4 4 2" xfId="16906" xr:uid="{00000000-0005-0000-0000-00004F2A0000}"/>
    <cellStyle name="Normal 5 3 3 4 5" xfId="5802" xr:uid="{00000000-0005-0000-0000-0000502A0000}"/>
    <cellStyle name="Normal 5 3 3 4 5 2" xfId="16907" xr:uid="{00000000-0005-0000-0000-0000512A0000}"/>
    <cellStyle name="Normal 5 3 3 4 6" xfId="16908" xr:uid="{00000000-0005-0000-0000-0000522A0000}"/>
    <cellStyle name="Normal 5 3 3 5" xfId="5803" xr:uid="{00000000-0005-0000-0000-0000532A0000}"/>
    <cellStyle name="Normal 5 3 3 5 2" xfId="5804" xr:uid="{00000000-0005-0000-0000-0000542A0000}"/>
    <cellStyle name="Normal 5 3 3 5 2 2" xfId="16909" xr:uid="{00000000-0005-0000-0000-0000552A0000}"/>
    <cellStyle name="Normal 5 3 3 5 3" xfId="5805" xr:uid="{00000000-0005-0000-0000-0000562A0000}"/>
    <cellStyle name="Normal 5 3 3 5 3 2" xfId="16910" xr:uid="{00000000-0005-0000-0000-0000572A0000}"/>
    <cellStyle name="Normal 5 3 3 5 4" xfId="16911" xr:uid="{00000000-0005-0000-0000-0000582A0000}"/>
    <cellStyle name="Normal 5 3 3 6" xfId="5806" xr:uid="{00000000-0005-0000-0000-0000592A0000}"/>
    <cellStyle name="Normal 5 3 3 6 2" xfId="5807" xr:uid="{00000000-0005-0000-0000-00005A2A0000}"/>
    <cellStyle name="Normal 5 3 3 6 2 2" xfId="16912" xr:uid="{00000000-0005-0000-0000-00005B2A0000}"/>
    <cellStyle name="Normal 5 3 3 6 3" xfId="5808" xr:uid="{00000000-0005-0000-0000-00005C2A0000}"/>
    <cellStyle name="Normal 5 3 3 6 3 2" xfId="16913" xr:uid="{00000000-0005-0000-0000-00005D2A0000}"/>
    <cellStyle name="Normal 5 3 3 6 4" xfId="16914" xr:uid="{00000000-0005-0000-0000-00005E2A0000}"/>
    <cellStyle name="Normal 5 3 3 7" xfId="5809" xr:uid="{00000000-0005-0000-0000-00005F2A0000}"/>
    <cellStyle name="Normal 5 3 3 7 2" xfId="16915" xr:uid="{00000000-0005-0000-0000-0000602A0000}"/>
    <cellStyle name="Normal 5 3 3 8" xfId="5810" xr:uid="{00000000-0005-0000-0000-0000612A0000}"/>
    <cellStyle name="Normal 5 3 3 8 2" xfId="16916" xr:uid="{00000000-0005-0000-0000-0000622A0000}"/>
    <cellStyle name="Normal 5 3 3 9" xfId="12656" xr:uid="{00000000-0005-0000-0000-0000632A0000}"/>
    <cellStyle name="Normal 5 3 4" xfId="5811" xr:uid="{00000000-0005-0000-0000-0000642A0000}"/>
    <cellStyle name="Normal 5 3 4 2" xfId="5812" xr:uid="{00000000-0005-0000-0000-0000652A0000}"/>
    <cellStyle name="Normal 5 3 4 2 2" xfId="5813" xr:uid="{00000000-0005-0000-0000-0000662A0000}"/>
    <cellStyle name="Normal 5 3 4 2 2 2" xfId="5814" xr:uid="{00000000-0005-0000-0000-0000672A0000}"/>
    <cellStyle name="Normal 5 3 4 2 2 2 2" xfId="16917" xr:uid="{00000000-0005-0000-0000-0000682A0000}"/>
    <cellStyle name="Normal 5 3 4 2 2 3" xfId="5815" xr:uid="{00000000-0005-0000-0000-0000692A0000}"/>
    <cellStyle name="Normal 5 3 4 2 2 3 2" xfId="16918" xr:uid="{00000000-0005-0000-0000-00006A2A0000}"/>
    <cellStyle name="Normal 5 3 4 2 2 4" xfId="16919" xr:uid="{00000000-0005-0000-0000-00006B2A0000}"/>
    <cellStyle name="Normal 5 3 4 2 3" xfId="5816" xr:uid="{00000000-0005-0000-0000-00006C2A0000}"/>
    <cellStyle name="Normal 5 3 4 2 3 2" xfId="5817" xr:uid="{00000000-0005-0000-0000-00006D2A0000}"/>
    <cellStyle name="Normal 5 3 4 2 3 2 2" xfId="16920" xr:uid="{00000000-0005-0000-0000-00006E2A0000}"/>
    <cellStyle name="Normal 5 3 4 2 3 3" xfId="5818" xr:uid="{00000000-0005-0000-0000-00006F2A0000}"/>
    <cellStyle name="Normal 5 3 4 2 3 3 2" xfId="16921" xr:uid="{00000000-0005-0000-0000-0000702A0000}"/>
    <cellStyle name="Normal 5 3 4 2 3 4" xfId="16922" xr:uid="{00000000-0005-0000-0000-0000712A0000}"/>
    <cellStyle name="Normal 5 3 4 2 4" xfId="5819" xr:uid="{00000000-0005-0000-0000-0000722A0000}"/>
    <cellStyle name="Normal 5 3 4 2 4 2" xfId="16923" xr:uid="{00000000-0005-0000-0000-0000732A0000}"/>
    <cellStyle name="Normal 5 3 4 2 5" xfId="5820" xr:uid="{00000000-0005-0000-0000-0000742A0000}"/>
    <cellStyle name="Normal 5 3 4 2 5 2" xfId="16924" xr:uid="{00000000-0005-0000-0000-0000752A0000}"/>
    <cellStyle name="Normal 5 3 4 2 6" xfId="16925" xr:uid="{00000000-0005-0000-0000-0000762A0000}"/>
    <cellStyle name="Normal 5 3 4 3" xfId="5821" xr:uid="{00000000-0005-0000-0000-0000772A0000}"/>
    <cellStyle name="Normal 5 3 4 3 2" xfId="5822" xr:uid="{00000000-0005-0000-0000-0000782A0000}"/>
    <cellStyle name="Normal 5 3 4 3 2 2" xfId="5823" xr:uid="{00000000-0005-0000-0000-0000792A0000}"/>
    <cellStyle name="Normal 5 3 4 3 2 2 2" xfId="16926" xr:uid="{00000000-0005-0000-0000-00007A2A0000}"/>
    <cellStyle name="Normal 5 3 4 3 2 3" xfId="5824" xr:uid="{00000000-0005-0000-0000-00007B2A0000}"/>
    <cellStyle name="Normal 5 3 4 3 2 3 2" xfId="16927" xr:uid="{00000000-0005-0000-0000-00007C2A0000}"/>
    <cellStyle name="Normal 5 3 4 3 2 4" xfId="16928" xr:uid="{00000000-0005-0000-0000-00007D2A0000}"/>
    <cellStyle name="Normal 5 3 4 3 3" xfId="5825" xr:uid="{00000000-0005-0000-0000-00007E2A0000}"/>
    <cellStyle name="Normal 5 3 4 3 3 2" xfId="5826" xr:uid="{00000000-0005-0000-0000-00007F2A0000}"/>
    <cellStyle name="Normal 5 3 4 3 3 2 2" xfId="16929" xr:uid="{00000000-0005-0000-0000-0000802A0000}"/>
    <cellStyle name="Normal 5 3 4 3 3 3" xfId="5827" xr:uid="{00000000-0005-0000-0000-0000812A0000}"/>
    <cellStyle name="Normal 5 3 4 3 3 3 2" xfId="16930" xr:uid="{00000000-0005-0000-0000-0000822A0000}"/>
    <cellStyle name="Normal 5 3 4 3 3 4" xfId="16931" xr:uid="{00000000-0005-0000-0000-0000832A0000}"/>
    <cellStyle name="Normal 5 3 4 3 4" xfId="5828" xr:uid="{00000000-0005-0000-0000-0000842A0000}"/>
    <cellStyle name="Normal 5 3 4 3 4 2" xfId="16932" xr:uid="{00000000-0005-0000-0000-0000852A0000}"/>
    <cellStyle name="Normal 5 3 4 3 5" xfId="5829" xr:uid="{00000000-0005-0000-0000-0000862A0000}"/>
    <cellStyle name="Normal 5 3 4 3 5 2" xfId="16933" xr:uid="{00000000-0005-0000-0000-0000872A0000}"/>
    <cellStyle name="Normal 5 3 4 3 6" xfId="16934" xr:uid="{00000000-0005-0000-0000-0000882A0000}"/>
    <cellStyle name="Normal 5 3 4 4" xfId="5830" xr:uid="{00000000-0005-0000-0000-0000892A0000}"/>
    <cellStyle name="Normal 5 3 4 4 2" xfId="5831" xr:uid="{00000000-0005-0000-0000-00008A2A0000}"/>
    <cellStyle name="Normal 5 3 4 4 2 2" xfId="16935" xr:uid="{00000000-0005-0000-0000-00008B2A0000}"/>
    <cellStyle name="Normal 5 3 4 4 3" xfId="5832" xr:uid="{00000000-0005-0000-0000-00008C2A0000}"/>
    <cellStyle name="Normal 5 3 4 4 3 2" xfId="16936" xr:uid="{00000000-0005-0000-0000-00008D2A0000}"/>
    <cellStyle name="Normal 5 3 4 4 4" xfId="16937" xr:uid="{00000000-0005-0000-0000-00008E2A0000}"/>
    <cellStyle name="Normal 5 3 4 5" xfId="5833" xr:uid="{00000000-0005-0000-0000-00008F2A0000}"/>
    <cellStyle name="Normal 5 3 4 5 2" xfId="5834" xr:uid="{00000000-0005-0000-0000-0000902A0000}"/>
    <cellStyle name="Normal 5 3 4 5 2 2" xfId="16938" xr:uid="{00000000-0005-0000-0000-0000912A0000}"/>
    <cellStyle name="Normal 5 3 4 5 3" xfId="5835" xr:uid="{00000000-0005-0000-0000-0000922A0000}"/>
    <cellStyle name="Normal 5 3 4 5 3 2" xfId="16939" xr:uid="{00000000-0005-0000-0000-0000932A0000}"/>
    <cellStyle name="Normal 5 3 4 5 4" xfId="16940" xr:uid="{00000000-0005-0000-0000-0000942A0000}"/>
    <cellStyle name="Normal 5 3 4 6" xfId="5836" xr:uid="{00000000-0005-0000-0000-0000952A0000}"/>
    <cellStyle name="Normal 5 3 4 6 2" xfId="16941" xr:uid="{00000000-0005-0000-0000-0000962A0000}"/>
    <cellStyle name="Normal 5 3 4 7" xfId="5837" xr:uid="{00000000-0005-0000-0000-0000972A0000}"/>
    <cellStyle name="Normal 5 3 4 7 2" xfId="16942" xr:uid="{00000000-0005-0000-0000-0000982A0000}"/>
    <cellStyle name="Normal 5 3 4 8" xfId="16943" xr:uid="{00000000-0005-0000-0000-0000992A0000}"/>
    <cellStyle name="Normal 5 3 5" xfId="5838" xr:uid="{00000000-0005-0000-0000-00009A2A0000}"/>
    <cellStyle name="Normal 5 3 5 2" xfId="5839" xr:uid="{00000000-0005-0000-0000-00009B2A0000}"/>
    <cellStyle name="Normal 5 3 5 2 2" xfId="5840" xr:uid="{00000000-0005-0000-0000-00009C2A0000}"/>
    <cellStyle name="Normal 5 3 5 2 2 2" xfId="5841" xr:uid="{00000000-0005-0000-0000-00009D2A0000}"/>
    <cellStyle name="Normal 5 3 5 2 2 2 2" xfId="16944" xr:uid="{00000000-0005-0000-0000-00009E2A0000}"/>
    <cellStyle name="Normal 5 3 5 2 2 3" xfId="5842" xr:uid="{00000000-0005-0000-0000-00009F2A0000}"/>
    <cellStyle name="Normal 5 3 5 2 2 3 2" xfId="16945" xr:uid="{00000000-0005-0000-0000-0000A02A0000}"/>
    <cellStyle name="Normal 5 3 5 2 2 4" xfId="16946" xr:uid="{00000000-0005-0000-0000-0000A12A0000}"/>
    <cellStyle name="Normal 5 3 5 2 3" xfId="5843" xr:uid="{00000000-0005-0000-0000-0000A22A0000}"/>
    <cellStyle name="Normal 5 3 5 2 3 2" xfId="5844" xr:uid="{00000000-0005-0000-0000-0000A32A0000}"/>
    <cellStyle name="Normal 5 3 5 2 3 2 2" xfId="16947" xr:uid="{00000000-0005-0000-0000-0000A42A0000}"/>
    <cellStyle name="Normal 5 3 5 2 3 3" xfId="5845" xr:uid="{00000000-0005-0000-0000-0000A52A0000}"/>
    <cellStyle name="Normal 5 3 5 2 3 3 2" xfId="16948" xr:uid="{00000000-0005-0000-0000-0000A62A0000}"/>
    <cellStyle name="Normal 5 3 5 2 3 4" xfId="16949" xr:uid="{00000000-0005-0000-0000-0000A72A0000}"/>
    <cellStyle name="Normal 5 3 5 2 4" xfId="5846" xr:uid="{00000000-0005-0000-0000-0000A82A0000}"/>
    <cellStyle name="Normal 5 3 5 2 4 2" xfId="16950" xr:uid="{00000000-0005-0000-0000-0000A92A0000}"/>
    <cellStyle name="Normal 5 3 5 2 5" xfId="5847" xr:uid="{00000000-0005-0000-0000-0000AA2A0000}"/>
    <cellStyle name="Normal 5 3 5 2 5 2" xfId="16951" xr:uid="{00000000-0005-0000-0000-0000AB2A0000}"/>
    <cellStyle name="Normal 5 3 5 2 6" xfId="16952" xr:uid="{00000000-0005-0000-0000-0000AC2A0000}"/>
    <cellStyle name="Normal 5 3 5 3" xfId="5848" xr:uid="{00000000-0005-0000-0000-0000AD2A0000}"/>
    <cellStyle name="Normal 5 3 5 3 2" xfId="5849" xr:uid="{00000000-0005-0000-0000-0000AE2A0000}"/>
    <cellStyle name="Normal 5 3 5 3 2 2" xfId="5850" xr:uid="{00000000-0005-0000-0000-0000AF2A0000}"/>
    <cellStyle name="Normal 5 3 5 3 2 2 2" xfId="16953" xr:uid="{00000000-0005-0000-0000-0000B02A0000}"/>
    <cellStyle name="Normal 5 3 5 3 2 3" xfId="5851" xr:uid="{00000000-0005-0000-0000-0000B12A0000}"/>
    <cellStyle name="Normal 5 3 5 3 2 3 2" xfId="16954" xr:uid="{00000000-0005-0000-0000-0000B22A0000}"/>
    <cellStyle name="Normal 5 3 5 3 2 4" xfId="16955" xr:uid="{00000000-0005-0000-0000-0000B32A0000}"/>
    <cellStyle name="Normal 5 3 5 3 3" xfId="5852" xr:uid="{00000000-0005-0000-0000-0000B42A0000}"/>
    <cellStyle name="Normal 5 3 5 3 3 2" xfId="5853" xr:uid="{00000000-0005-0000-0000-0000B52A0000}"/>
    <cellStyle name="Normal 5 3 5 3 3 2 2" xfId="16956" xr:uid="{00000000-0005-0000-0000-0000B62A0000}"/>
    <cellStyle name="Normal 5 3 5 3 3 3" xfId="5854" xr:uid="{00000000-0005-0000-0000-0000B72A0000}"/>
    <cellStyle name="Normal 5 3 5 3 3 3 2" xfId="16957" xr:uid="{00000000-0005-0000-0000-0000B82A0000}"/>
    <cellStyle name="Normal 5 3 5 3 3 4" xfId="16958" xr:uid="{00000000-0005-0000-0000-0000B92A0000}"/>
    <cellStyle name="Normal 5 3 5 3 4" xfId="5855" xr:uid="{00000000-0005-0000-0000-0000BA2A0000}"/>
    <cellStyle name="Normal 5 3 5 3 4 2" xfId="16959" xr:uid="{00000000-0005-0000-0000-0000BB2A0000}"/>
    <cellStyle name="Normal 5 3 5 3 5" xfId="5856" xr:uid="{00000000-0005-0000-0000-0000BC2A0000}"/>
    <cellStyle name="Normal 5 3 5 3 5 2" xfId="16960" xr:uid="{00000000-0005-0000-0000-0000BD2A0000}"/>
    <cellStyle name="Normal 5 3 5 3 6" xfId="16961" xr:uid="{00000000-0005-0000-0000-0000BE2A0000}"/>
    <cellStyle name="Normal 5 3 5 4" xfId="5857" xr:uid="{00000000-0005-0000-0000-0000BF2A0000}"/>
    <cellStyle name="Normal 5 3 5 4 2" xfId="5858" xr:uid="{00000000-0005-0000-0000-0000C02A0000}"/>
    <cellStyle name="Normal 5 3 5 4 2 2" xfId="16962" xr:uid="{00000000-0005-0000-0000-0000C12A0000}"/>
    <cellStyle name="Normal 5 3 5 4 3" xfId="5859" xr:uid="{00000000-0005-0000-0000-0000C22A0000}"/>
    <cellStyle name="Normal 5 3 5 4 3 2" xfId="16963" xr:uid="{00000000-0005-0000-0000-0000C32A0000}"/>
    <cellStyle name="Normal 5 3 5 4 4" xfId="16964" xr:uid="{00000000-0005-0000-0000-0000C42A0000}"/>
    <cellStyle name="Normal 5 3 5 5" xfId="5860" xr:uid="{00000000-0005-0000-0000-0000C52A0000}"/>
    <cellStyle name="Normal 5 3 5 5 2" xfId="5861" xr:uid="{00000000-0005-0000-0000-0000C62A0000}"/>
    <cellStyle name="Normal 5 3 5 5 2 2" xfId="16965" xr:uid="{00000000-0005-0000-0000-0000C72A0000}"/>
    <cellStyle name="Normal 5 3 5 5 3" xfId="5862" xr:uid="{00000000-0005-0000-0000-0000C82A0000}"/>
    <cellStyle name="Normal 5 3 5 5 3 2" xfId="16966" xr:uid="{00000000-0005-0000-0000-0000C92A0000}"/>
    <cellStyle name="Normal 5 3 5 5 4" xfId="16967" xr:uid="{00000000-0005-0000-0000-0000CA2A0000}"/>
    <cellStyle name="Normal 5 3 5 6" xfId="5863" xr:uid="{00000000-0005-0000-0000-0000CB2A0000}"/>
    <cellStyle name="Normal 5 3 5 6 2" xfId="16968" xr:uid="{00000000-0005-0000-0000-0000CC2A0000}"/>
    <cellStyle name="Normal 5 3 5 7" xfId="5864" xr:uid="{00000000-0005-0000-0000-0000CD2A0000}"/>
    <cellStyle name="Normal 5 3 5 7 2" xfId="16969" xr:uid="{00000000-0005-0000-0000-0000CE2A0000}"/>
    <cellStyle name="Normal 5 3 5 8" xfId="16970" xr:uid="{00000000-0005-0000-0000-0000CF2A0000}"/>
    <cellStyle name="Normal 5 3 6" xfId="5865" xr:uid="{00000000-0005-0000-0000-0000D02A0000}"/>
    <cellStyle name="Normal 5 3 6 2" xfId="5866" xr:uid="{00000000-0005-0000-0000-0000D12A0000}"/>
    <cellStyle name="Normal 5 3 6 2 2" xfId="5867" xr:uid="{00000000-0005-0000-0000-0000D22A0000}"/>
    <cellStyle name="Normal 5 3 6 2 2 2" xfId="16971" xr:uid="{00000000-0005-0000-0000-0000D32A0000}"/>
    <cellStyle name="Normal 5 3 6 2 3" xfId="5868" xr:uid="{00000000-0005-0000-0000-0000D42A0000}"/>
    <cellStyle name="Normal 5 3 6 2 3 2" xfId="16972" xr:uid="{00000000-0005-0000-0000-0000D52A0000}"/>
    <cellStyle name="Normal 5 3 6 2 4" xfId="16973" xr:uid="{00000000-0005-0000-0000-0000D62A0000}"/>
    <cellStyle name="Normal 5 3 6 3" xfId="5869" xr:uid="{00000000-0005-0000-0000-0000D72A0000}"/>
    <cellStyle name="Normal 5 3 6 3 2" xfId="5870" xr:uid="{00000000-0005-0000-0000-0000D82A0000}"/>
    <cellStyle name="Normal 5 3 6 3 2 2" xfId="16974" xr:uid="{00000000-0005-0000-0000-0000D92A0000}"/>
    <cellStyle name="Normal 5 3 6 3 3" xfId="5871" xr:uid="{00000000-0005-0000-0000-0000DA2A0000}"/>
    <cellStyle name="Normal 5 3 6 3 3 2" xfId="16975" xr:uid="{00000000-0005-0000-0000-0000DB2A0000}"/>
    <cellStyle name="Normal 5 3 6 3 4" xfId="16976" xr:uid="{00000000-0005-0000-0000-0000DC2A0000}"/>
    <cellStyle name="Normal 5 3 6 4" xfId="5872" xr:uid="{00000000-0005-0000-0000-0000DD2A0000}"/>
    <cellStyle name="Normal 5 3 6 4 2" xfId="16977" xr:uid="{00000000-0005-0000-0000-0000DE2A0000}"/>
    <cellStyle name="Normal 5 3 6 5" xfId="5873" xr:uid="{00000000-0005-0000-0000-0000DF2A0000}"/>
    <cellStyle name="Normal 5 3 6 5 2" xfId="16978" xr:uid="{00000000-0005-0000-0000-0000E02A0000}"/>
    <cellStyle name="Normal 5 3 6 6" xfId="16979" xr:uid="{00000000-0005-0000-0000-0000E12A0000}"/>
    <cellStyle name="Normal 5 3 7" xfId="5874" xr:uid="{00000000-0005-0000-0000-0000E22A0000}"/>
    <cellStyle name="Normal 5 3 7 2" xfId="5875" xr:uid="{00000000-0005-0000-0000-0000E32A0000}"/>
    <cellStyle name="Normal 5 3 7 2 2" xfId="5876" xr:uid="{00000000-0005-0000-0000-0000E42A0000}"/>
    <cellStyle name="Normal 5 3 7 2 2 2" xfId="16980" xr:uid="{00000000-0005-0000-0000-0000E52A0000}"/>
    <cellStyle name="Normal 5 3 7 2 3" xfId="5877" xr:uid="{00000000-0005-0000-0000-0000E62A0000}"/>
    <cellStyle name="Normal 5 3 7 2 3 2" xfId="16981" xr:uid="{00000000-0005-0000-0000-0000E72A0000}"/>
    <cellStyle name="Normal 5 3 7 2 4" xfId="16982" xr:uid="{00000000-0005-0000-0000-0000E82A0000}"/>
    <cellStyle name="Normal 5 3 7 3" xfId="5878" xr:uid="{00000000-0005-0000-0000-0000E92A0000}"/>
    <cellStyle name="Normal 5 3 7 3 2" xfId="5879" xr:uid="{00000000-0005-0000-0000-0000EA2A0000}"/>
    <cellStyle name="Normal 5 3 7 3 2 2" xfId="16983" xr:uid="{00000000-0005-0000-0000-0000EB2A0000}"/>
    <cellStyle name="Normal 5 3 7 3 3" xfId="5880" xr:uid="{00000000-0005-0000-0000-0000EC2A0000}"/>
    <cellStyle name="Normal 5 3 7 3 3 2" xfId="16984" xr:uid="{00000000-0005-0000-0000-0000ED2A0000}"/>
    <cellStyle name="Normal 5 3 7 3 4" xfId="16985" xr:uid="{00000000-0005-0000-0000-0000EE2A0000}"/>
    <cellStyle name="Normal 5 3 7 4" xfId="5881" xr:uid="{00000000-0005-0000-0000-0000EF2A0000}"/>
    <cellStyle name="Normal 5 3 7 4 2" xfId="16986" xr:uid="{00000000-0005-0000-0000-0000F02A0000}"/>
    <cellStyle name="Normal 5 3 7 5" xfId="5882" xr:uid="{00000000-0005-0000-0000-0000F12A0000}"/>
    <cellStyle name="Normal 5 3 7 5 2" xfId="16987" xr:uid="{00000000-0005-0000-0000-0000F22A0000}"/>
    <cellStyle name="Normal 5 3 7 6" xfId="16988" xr:uid="{00000000-0005-0000-0000-0000F32A0000}"/>
    <cellStyle name="Normal 5 3 8" xfId="5883" xr:uid="{00000000-0005-0000-0000-0000F42A0000}"/>
    <cellStyle name="Normal 5 3 8 2" xfId="5884" xr:uid="{00000000-0005-0000-0000-0000F52A0000}"/>
    <cellStyle name="Normal 5 3 8 2 2" xfId="5885" xr:uid="{00000000-0005-0000-0000-0000F62A0000}"/>
    <cellStyle name="Normal 5 3 8 2 2 2" xfId="16989" xr:uid="{00000000-0005-0000-0000-0000F72A0000}"/>
    <cellStyle name="Normal 5 3 8 2 3" xfId="5886" xr:uid="{00000000-0005-0000-0000-0000F82A0000}"/>
    <cellStyle name="Normal 5 3 8 2 3 2" xfId="16990" xr:uid="{00000000-0005-0000-0000-0000F92A0000}"/>
    <cellStyle name="Normal 5 3 8 2 4" xfId="16991" xr:uid="{00000000-0005-0000-0000-0000FA2A0000}"/>
    <cellStyle name="Normal 5 3 8 3" xfId="5887" xr:uid="{00000000-0005-0000-0000-0000FB2A0000}"/>
    <cellStyle name="Normal 5 3 8 3 2" xfId="5888" xr:uid="{00000000-0005-0000-0000-0000FC2A0000}"/>
    <cellStyle name="Normal 5 3 8 3 2 2" xfId="16992" xr:uid="{00000000-0005-0000-0000-0000FD2A0000}"/>
    <cellStyle name="Normal 5 3 8 3 3" xfId="5889" xr:uid="{00000000-0005-0000-0000-0000FE2A0000}"/>
    <cellStyle name="Normal 5 3 8 3 3 2" xfId="16993" xr:uid="{00000000-0005-0000-0000-0000FF2A0000}"/>
    <cellStyle name="Normal 5 3 8 3 4" xfId="16994" xr:uid="{00000000-0005-0000-0000-0000002B0000}"/>
    <cellStyle name="Normal 5 3 8 4" xfId="5890" xr:uid="{00000000-0005-0000-0000-0000012B0000}"/>
    <cellStyle name="Normal 5 3 8 4 2" xfId="16995" xr:uid="{00000000-0005-0000-0000-0000022B0000}"/>
    <cellStyle name="Normal 5 3 8 5" xfId="5891" xr:uid="{00000000-0005-0000-0000-0000032B0000}"/>
    <cellStyle name="Normal 5 3 8 5 2" xfId="16996" xr:uid="{00000000-0005-0000-0000-0000042B0000}"/>
    <cellStyle name="Normal 5 3 8 6" xfId="16997" xr:uid="{00000000-0005-0000-0000-0000052B0000}"/>
    <cellStyle name="Normal 5 3 9" xfId="10604" xr:uid="{00000000-0005-0000-0000-0000062B0000}"/>
    <cellStyle name="Normal 5 3 9 2" xfId="16998" xr:uid="{00000000-0005-0000-0000-0000072B0000}"/>
    <cellStyle name="Normal 5 4" xfId="214" xr:uid="{00000000-0005-0000-0000-0000082B0000}"/>
    <cellStyle name="Normal 5 4 2" xfId="215" xr:uid="{00000000-0005-0000-0000-0000092B0000}"/>
    <cellStyle name="Normal 5 4 2 2" xfId="11171" xr:uid="{00000000-0005-0000-0000-00000A2B0000}"/>
    <cellStyle name="Normal 5 4 2 2 2" xfId="12657" xr:uid="{00000000-0005-0000-0000-00000B2B0000}"/>
    <cellStyle name="Normal 5 4 2 3" xfId="12627" xr:uid="{00000000-0005-0000-0000-00000C2B0000}"/>
    <cellStyle name="Normal 5 4 3" xfId="5892" xr:uid="{00000000-0005-0000-0000-00000D2B0000}"/>
    <cellStyle name="Normal 5 4 3 2" xfId="12658" xr:uid="{00000000-0005-0000-0000-00000E2B0000}"/>
    <cellStyle name="Normal 5 4 4" xfId="5893" xr:uid="{00000000-0005-0000-0000-00000F2B0000}"/>
    <cellStyle name="Normal 5 4 5" xfId="12169" xr:uid="{00000000-0005-0000-0000-0000102B0000}"/>
    <cellStyle name="Normal 5 5" xfId="216" xr:uid="{00000000-0005-0000-0000-0000112B0000}"/>
    <cellStyle name="Normal 5 5 2" xfId="5894" xr:uid="{00000000-0005-0000-0000-0000122B0000}"/>
    <cellStyle name="Normal 5 5 2 2" xfId="5895" xr:uid="{00000000-0005-0000-0000-0000132B0000}"/>
    <cellStyle name="Normal 5 5 2 2 2" xfId="5896" xr:uid="{00000000-0005-0000-0000-0000142B0000}"/>
    <cellStyle name="Normal 5 5 2 2 2 2" xfId="5897" xr:uid="{00000000-0005-0000-0000-0000152B0000}"/>
    <cellStyle name="Normal 5 5 2 2 2 2 2" xfId="16999" xr:uid="{00000000-0005-0000-0000-0000162B0000}"/>
    <cellStyle name="Normal 5 5 2 2 2 3" xfId="5898" xr:uid="{00000000-0005-0000-0000-0000172B0000}"/>
    <cellStyle name="Normal 5 5 2 2 2 3 2" xfId="17000" xr:uid="{00000000-0005-0000-0000-0000182B0000}"/>
    <cellStyle name="Normal 5 5 2 2 2 4" xfId="17001" xr:uid="{00000000-0005-0000-0000-0000192B0000}"/>
    <cellStyle name="Normal 5 5 2 2 3" xfId="5899" xr:uid="{00000000-0005-0000-0000-00001A2B0000}"/>
    <cellStyle name="Normal 5 5 2 2 3 2" xfId="5900" xr:uid="{00000000-0005-0000-0000-00001B2B0000}"/>
    <cellStyle name="Normal 5 5 2 2 3 2 2" xfId="17002" xr:uid="{00000000-0005-0000-0000-00001C2B0000}"/>
    <cellStyle name="Normal 5 5 2 2 3 3" xfId="5901" xr:uid="{00000000-0005-0000-0000-00001D2B0000}"/>
    <cellStyle name="Normal 5 5 2 2 3 3 2" xfId="17003" xr:uid="{00000000-0005-0000-0000-00001E2B0000}"/>
    <cellStyle name="Normal 5 5 2 2 3 4" xfId="17004" xr:uid="{00000000-0005-0000-0000-00001F2B0000}"/>
    <cellStyle name="Normal 5 5 2 2 4" xfId="5902" xr:uid="{00000000-0005-0000-0000-0000202B0000}"/>
    <cellStyle name="Normal 5 5 2 2 4 2" xfId="17005" xr:uid="{00000000-0005-0000-0000-0000212B0000}"/>
    <cellStyle name="Normal 5 5 2 2 5" xfId="5903" xr:uid="{00000000-0005-0000-0000-0000222B0000}"/>
    <cellStyle name="Normal 5 5 2 2 5 2" xfId="17006" xr:uid="{00000000-0005-0000-0000-0000232B0000}"/>
    <cellStyle name="Normal 5 5 2 2 6" xfId="17007" xr:uid="{00000000-0005-0000-0000-0000242B0000}"/>
    <cellStyle name="Normal 5 5 2 3" xfId="5904" xr:uid="{00000000-0005-0000-0000-0000252B0000}"/>
    <cellStyle name="Normal 5 5 2 3 2" xfId="5905" xr:uid="{00000000-0005-0000-0000-0000262B0000}"/>
    <cellStyle name="Normal 5 5 2 3 2 2" xfId="5906" xr:uid="{00000000-0005-0000-0000-0000272B0000}"/>
    <cellStyle name="Normal 5 5 2 3 2 2 2" xfId="17008" xr:uid="{00000000-0005-0000-0000-0000282B0000}"/>
    <cellStyle name="Normal 5 5 2 3 2 3" xfId="5907" xr:uid="{00000000-0005-0000-0000-0000292B0000}"/>
    <cellStyle name="Normal 5 5 2 3 2 3 2" xfId="17009" xr:uid="{00000000-0005-0000-0000-00002A2B0000}"/>
    <cellStyle name="Normal 5 5 2 3 2 4" xfId="17010" xr:uid="{00000000-0005-0000-0000-00002B2B0000}"/>
    <cellStyle name="Normal 5 5 2 3 3" xfId="5908" xr:uid="{00000000-0005-0000-0000-00002C2B0000}"/>
    <cellStyle name="Normal 5 5 2 3 3 2" xfId="5909" xr:uid="{00000000-0005-0000-0000-00002D2B0000}"/>
    <cellStyle name="Normal 5 5 2 3 3 2 2" xfId="17011" xr:uid="{00000000-0005-0000-0000-00002E2B0000}"/>
    <cellStyle name="Normal 5 5 2 3 3 3" xfId="5910" xr:uid="{00000000-0005-0000-0000-00002F2B0000}"/>
    <cellStyle name="Normal 5 5 2 3 3 3 2" xfId="17012" xr:uid="{00000000-0005-0000-0000-0000302B0000}"/>
    <cellStyle name="Normal 5 5 2 3 3 4" xfId="17013" xr:uid="{00000000-0005-0000-0000-0000312B0000}"/>
    <cellStyle name="Normal 5 5 2 3 4" xfId="5911" xr:uid="{00000000-0005-0000-0000-0000322B0000}"/>
    <cellStyle name="Normal 5 5 2 3 4 2" xfId="17014" xr:uid="{00000000-0005-0000-0000-0000332B0000}"/>
    <cellStyle name="Normal 5 5 2 3 5" xfId="5912" xr:uid="{00000000-0005-0000-0000-0000342B0000}"/>
    <cellStyle name="Normal 5 5 2 3 5 2" xfId="17015" xr:uid="{00000000-0005-0000-0000-0000352B0000}"/>
    <cellStyle name="Normal 5 5 2 3 6" xfId="17016" xr:uid="{00000000-0005-0000-0000-0000362B0000}"/>
    <cellStyle name="Normal 5 5 2 4" xfId="5913" xr:uid="{00000000-0005-0000-0000-0000372B0000}"/>
    <cellStyle name="Normal 5 5 2 4 2" xfId="5914" xr:uid="{00000000-0005-0000-0000-0000382B0000}"/>
    <cellStyle name="Normal 5 5 2 4 2 2" xfId="17017" xr:uid="{00000000-0005-0000-0000-0000392B0000}"/>
    <cellStyle name="Normal 5 5 2 4 3" xfId="5915" xr:uid="{00000000-0005-0000-0000-00003A2B0000}"/>
    <cellStyle name="Normal 5 5 2 4 3 2" xfId="17018" xr:uid="{00000000-0005-0000-0000-00003B2B0000}"/>
    <cellStyle name="Normal 5 5 2 4 4" xfId="17019" xr:uid="{00000000-0005-0000-0000-00003C2B0000}"/>
    <cellStyle name="Normal 5 5 2 5" xfId="5916" xr:uid="{00000000-0005-0000-0000-00003D2B0000}"/>
    <cellStyle name="Normal 5 5 2 5 2" xfId="5917" xr:uid="{00000000-0005-0000-0000-00003E2B0000}"/>
    <cellStyle name="Normal 5 5 2 5 2 2" xfId="17020" xr:uid="{00000000-0005-0000-0000-00003F2B0000}"/>
    <cellStyle name="Normal 5 5 2 5 3" xfId="5918" xr:uid="{00000000-0005-0000-0000-0000402B0000}"/>
    <cellStyle name="Normal 5 5 2 5 3 2" xfId="17021" xr:uid="{00000000-0005-0000-0000-0000412B0000}"/>
    <cellStyle name="Normal 5 5 2 5 4" xfId="17022" xr:uid="{00000000-0005-0000-0000-0000422B0000}"/>
    <cellStyle name="Normal 5 5 2 6" xfId="5919" xr:uid="{00000000-0005-0000-0000-0000432B0000}"/>
    <cellStyle name="Normal 5 5 2 6 2" xfId="17023" xr:uid="{00000000-0005-0000-0000-0000442B0000}"/>
    <cellStyle name="Normal 5 5 2 7" xfId="5920" xr:uid="{00000000-0005-0000-0000-0000452B0000}"/>
    <cellStyle name="Normal 5 5 2 7 2" xfId="17024" xr:uid="{00000000-0005-0000-0000-0000462B0000}"/>
    <cellStyle name="Normal 5 5 2 8" xfId="12659" xr:uid="{00000000-0005-0000-0000-0000472B0000}"/>
    <cellStyle name="Normal 5 5 3" xfId="5921" xr:uid="{00000000-0005-0000-0000-0000482B0000}"/>
    <cellStyle name="Normal 5 5 3 2" xfId="5922" xr:uid="{00000000-0005-0000-0000-0000492B0000}"/>
    <cellStyle name="Normal 5 5 3 2 2" xfId="5923" xr:uid="{00000000-0005-0000-0000-00004A2B0000}"/>
    <cellStyle name="Normal 5 5 3 2 2 2" xfId="17025" xr:uid="{00000000-0005-0000-0000-00004B2B0000}"/>
    <cellStyle name="Normal 5 5 3 2 3" xfId="5924" xr:uid="{00000000-0005-0000-0000-00004C2B0000}"/>
    <cellStyle name="Normal 5 5 3 2 3 2" xfId="17026" xr:uid="{00000000-0005-0000-0000-00004D2B0000}"/>
    <cellStyle name="Normal 5 5 3 2 4" xfId="17027" xr:uid="{00000000-0005-0000-0000-00004E2B0000}"/>
    <cellStyle name="Normal 5 5 3 3" xfId="5925" xr:uid="{00000000-0005-0000-0000-00004F2B0000}"/>
    <cellStyle name="Normal 5 5 3 3 2" xfId="5926" xr:uid="{00000000-0005-0000-0000-0000502B0000}"/>
    <cellStyle name="Normal 5 5 3 3 2 2" xfId="17028" xr:uid="{00000000-0005-0000-0000-0000512B0000}"/>
    <cellStyle name="Normal 5 5 3 3 3" xfId="5927" xr:uid="{00000000-0005-0000-0000-0000522B0000}"/>
    <cellStyle name="Normal 5 5 3 3 3 2" xfId="17029" xr:uid="{00000000-0005-0000-0000-0000532B0000}"/>
    <cellStyle name="Normal 5 5 3 3 4" xfId="17030" xr:uid="{00000000-0005-0000-0000-0000542B0000}"/>
    <cellStyle name="Normal 5 5 3 4" xfId="5928" xr:uid="{00000000-0005-0000-0000-0000552B0000}"/>
    <cellStyle name="Normal 5 5 3 4 2" xfId="17031" xr:uid="{00000000-0005-0000-0000-0000562B0000}"/>
    <cellStyle name="Normal 5 5 3 5" xfId="5929" xr:uid="{00000000-0005-0000-0000-0000572B0000}"/>
    <cellStyle name="Normal 5 5 3 5 2" xfId="17032" xr:uid="{00000000-0005-0000-0000-0000582B0000}"/>
    <cellStyle name="Normal 5 5 3 6" xfId="17033" xr:uid="{00000000-0005-0000-0000-0000592B0000}"/>
    <cellStyle name="Normal 5 5 4" xfId="5930" xr:uid="{00000000-0005-0000-0000-00005A2B0000}"/>
    <cellStyle name="Normal 5 5 4 2" xfId="5931" xr:uid="{00000000-0005-0000-0000-00005B2B0000}"/>
    <cellStyle name="Normal 5 5 4 2 2" xfId="5932" xr:uid="{00000000-0005-0000-0000-00005C2B0000}"/>
    <cellStyle name="Normal 5 5 4 2 2 2" xfId="17034" xr:uid="{00000000-0005-0000-0000-00005D2B0000}"/>
    <cellStyle name="Normal 5 5 4 2 3" xfId="5933" xr:uid="{00000000-0005-0000-0000-00005E2B0000}"/>
    <cellStyle name="Normal 5 5 4 2 3 2" xfId="17035" xr:uid="{00000000-0005-0000-0000-00005F2B0000}"/>
    <cellStyle name="Normal 5 5 4 2 4" xfId="17036" xr:uid="{00000000-0005-0000-0000-0000602B0000}"/>
    <cellStyle name="Normal 5 5 4 3" xfId="5934" xr:uid="{00000000-0005-0000-0000-0000612B0000}"/>
    <cellStyle name="Normal 5 5 4 3 2" xfId="5935" xr:uid="{00000000-0005-0000-0000-0000622B0000}"/>
    <cellStyle name="Normal 5 5 4 3 2 2" xfId="17037" xr:uid="{00000000-0005-0000-0000-0000632B0000}"/>
    <cellStyle name="Normal 5 5 4 3 3" xfId="5936" xr:uid="{00000000-0005-0000-0000-0000642B0000}"/>
    <cellStyle name="Normal 5 5 4 3 3 2" xfId="17038" xr:uid="{00000000-0005-0000-0000-0000652B0000}"/>
    <cellStyle name="Normal 5 5 4 3 4" xfId="17039" xr:uid="{00000000-0005-0000-0000-0000662B0000}"/>
    <cellStyle name="Normal 5 5 4 4" xfId="5937" xr:uid="{00000000-0005-0000-0000-0000672B0000}"/>
    <cellStyle name="Normal 5 5 4 4 2" xfId="17040" xr:uid="{00000000-0005-0000-0000-0000682B0000}"/>
    <cellStyle name="Normal 5 5 4 5" xfId="5938" xr:uid="{00000000-0005-0000-0000-0000692B0000}"/>
    <cellStyle name="Normal 5 5 4 5 2" xfId="17041" xr:uid="{00000000-0005-0000-0000-00006A2B0000}"/>
    <cellStyle name="Normal 5 5 4 6" xfId="17042" xr:uid="{00000000-0005-0000-0000-00006B2B0000}"/>
    <cellStyle name="Normal 5 5 5" xfId="12439" xr:uid="{00000000-0005-0000-0000-00006C2B0000}"/>
    <cellStyle name="Normal 5 6" xfId="217" xr:uid="{00000000-0005-0000-0000-00006D2B0000}"/>
    <cellStyle name="Normal 5 6 2" xfId="5939" xr:uid="{00000000-0005-0000-0000-00006E2B0000}"/>
    <cellStyle name="Normal 5 6 2 2" xfId="5940" xr:uid="{00000000-0005-0000-0000-00006F2B0000}"/>
    <cellStyle name="Normal 5 6 2 2 2" xfId="5941" xr:uid="{00000000-0005-0000-0000-0000702B0000}"/>
    <cellStyle name="Normal 5 6 2 2 2 2" xfId="17043" xr:uid="{00000000-0005-0000-0000-0000712B0000}"/>
    <cellStyle name="Normal 5 6 2 2 3" xfId="5942" xr:uid="{00000000-0005-0000-0000-0000722B0000}"/>
    <cellStyle name="Normal 5 6 2 2 3 2" xfId="17044" xr:uid="{00000000-0005-0000-0000-0000732B0000}"/>
    <cellStyle name="Normal 5 6 2 2 4" xfId="17045" xr:uid="{00000000-0005-0000-0000-0000742B0000}"/>
    <cellStyle name="Normal 5 6 2 3" xfId="5943" xr:uid="{00000000-0005-0000-0000-0000752B0000}"/>
    <cellStyle name="Normal 5 6 2 3 2" xfId="5944" xr:uid="{00000000-0005-0000-0000-0000762B0000}"/>
    <cellStyle name="Normal 5 6 2 3 2 2" xfId="17046" xr:uid="{00000000-0005-0000-0000-0000772B0000}"/>
    <cellStyle name="Normal 5 6 2 3 3" xfId="5945" xr:uid="{00000000-0005-0000-0000-0000782B0000}"/>
    <cellStyle name="Normal 5 6 2 3 3 2" xfId="17047" xr:uid="{00000000-0005-0000-0000-0000792B0000}"/>
    <cellStyle name="Normal 5 6 2 3 4" xfId="17048" xr:uid="{00000000-0005-0000-0000-00007A2B0000}"/>
    <cellStyle name="Normal 5 6 2 4" xfId="5946" xr:uid="{00000000-0005-0000-0000-00007B2B0000}"/>
    <cellStyle name="Normal 5 6 2 4 2" xfId="17049" xr:uid="{00000000-0005-0000-0000-00007C2B0000}"/>
    <cellStyle name="Normal 5 6 2 5" xfId="5947" xr:uid="{00000000-0005-0000-0000-00007D2B0000}"/>
    <cellStyle name="Normal 5 6 2 5 2" xfId="17050" xr:uid="{00000000-0005-0000-0000-00007E2B0000}"/>
    <cellStyle name="Normal 5 6 2 6" xfId="17051" xr:uid="{00000000-0005-0000-0000-00007F2B0000}"/>
    <cellStyle name="Normal 5 6 3" xfId="5948" xr:uid="{00000000-0005-0000-0000-0000802B0000}"/>
    <cellStyle name="Normal 5 6 3 2" xfId="5949" xr:uid="{00000000-0005-0000-0000-0000812B0000}"/>
    <cellStyle name="Normal 5 6 3 2 2" xfId="5950" xr:uid="{00000000-0005-0000-0000-0000822B0000}"/>
    <cellStyle name="Normal 5 6 3 2 2 2" xfId="17052" xr:uid="{00000000-0005-0000-0000-0000832B0000}"/>
    <cellStyle name="Normal 5 6 3 2 3" xfId="5951" xr:uid="{00000000-0005-0000-0000-0000842B0000}"/>
    <cellStyle name="Normal 5 6 3 2 3 2" xfId="17053" xr:uid="{00000000-0005-0000-0000-0000852B0000}"/>
    <cellStyle name="Normal 5 6 3 2 4" xfId="17054" xr:uid="{00000000-0005-0000-0000-0000862B0000}"/>
    <cellStyle name="Normal 5 6 3 3" xfId="5952" xr:uid="{00000000-0005-0000-0000-0000872B0000}"/>
    <cellStyle name="Normal 5 6 3 3 2" xfId="5953" xr:uid="{00000000-0005-0000-0000-0000882B0000}"/>
    <cellStyle name="Normal 5 6 3 3 2 2" xfId="17055" xr:uid="{00000000-0005-0000-0000-0000892B0000}"/>
    <cellStyle name="Normal 5 6 3 3 3" xfId="5954" xr:uid="{00000000-0005-0000-0000-00008A2B0000}"/>
    <cellStyle name="Normal 5 6 3 3 3 2" xfId="17056" xr:uid="{00000000-0005-0000-0000-00008B2B0000}"/>
    <cellStyle name="Normal 5 6 3 3 4" xfId="17057" xr:uid="{00000000-0005-0000-0000-00008C2B0000}"/>
    <cellStyle name="Normal 5 6 3 4" xfId="5955" xr:uid="{00000000-0005-0000-0000-00008D2B0000}"/>
    <cellStyle name="Normal 5 6 3 4 2" xfId="17058" xr:uid="{00000000-0005-0000-0000-00008E2B0000}"/>
    <cellStyle name="Normal 5 6 3 5" xfId="5956" xr:uid="{00000000-0005-0000-0000-00008F2B0000}"/>
    <cellStyle name="Normal 5 6 3 5 2" xfId="17059" xr:uid="{00000000-0005-0000-0000-0000902B0000}"/>
    <cellStyle name="Normal 5 6 3 6" xfId="17060" xr:uid="{00000000-0005-0000-0000-0000912B0000}"/>
    <cellStyle name="Normal 5 6 4" xfId="12440" xr:uid="{00000000-0005-0000-0000-0000922B0000}"/>
    <cellStyle name="Normal 5 7" xfId="5957" xr:uid="{00000000-0005-0000-0000-0000932B0000}"/>
    <cellStyle name="Normal 5 7 2" xfId="5958" xr:uid="{00000000-0005-0000-0000-0000942B0000}"/>
    <cellStyle name="Normal 5 7 2 10" xfId="5959" xr:uid="{00000000-0005-0000-0000-0000952B0000}"/>
    <cellStyle name="Normal 5 7 2 10 2" xfId="17061" xr:uid="{00000000-0005-0000-0000-0000962B0000}"/>
    <cellStyle name="Normal 5 7 2 11" xfId="17062" xr:uid="{00000000-0005-0000-0000-0000972B0000}"/>
    <cellStyle name="Normal 5 7 2 2" xfId="5960" xr:uid="{00000000-0005-0000-0000-0000982B0000}"/>
    <cellStyle name="Normal 5 7 2 2 10" xfId="17063" xr:uid="{00000000-0005-0000-0000-0000992B0000}"/>
    <cellStyle name="Normal 5 7 2 2 2" xfId="5961" xr:uid="{00000000-0005-0000-0000-00009A2B0000}"/>
    <cellStyle name="Normal 5 7 2 2 2 2" xfId="5962" xr:uid="{00000000-0005-0000-0000-00009B2B0000}"/>
    <cellStyle name="Normal 5 7 2 2 2 2 2" xfId="5963" xr:uid="{00000000-0005-0000-0000-00009C2B0000}"/>
    <cellStyle name="Normal 5 7 2 2 2 2 2 2" xfId="5964" xr:uid="{00000000-0005-0000-0000-00009D2B0000}"/>
    <cellStyle name="Normal 5 7 2 2 2 2 2 2 2" xfId="17064" xr:uid="{00000000-0005-0000-0000-00009E2B0000}"/>
    <cellStyle name="Normal 5 7 2 2 2 2 2 3" xfId="5965" xr:uid="{00000000-0005-0000-0000-00009F2B0000}"/>
    <cellStyle name="Normal 5 7 2 2 2 2 2 3 2" xfId="17065" xr:uid="{00000000-0005-0000-0000-0000A02B0000}"/>
    <cellStyle name="Normal 5 7 2 2 2 2 2 4" xfId="17066" xr:uid="{00000000-0005-0000-0000-0000A12B0000}"/>
    <cellStyle name="Normal 5 7 2 2 2 2 3" xfId="5966" xr:uid="{00000000-0005-0000-0000-0000A22B0000}"/>
    <cellStyle name="Normal 5 7 2 2 2 2 3 2" xfId="5967" xr:uid="{00000000-0005-0000-0000-0000A32B0000}"/>
    <cellStyle name="Normal 5 7 2 2 2 2 3 2 2" xfId="17067" xr:uid="{00000000-0005-0000-0000-0000A42B0000}"/>
    <cellStyle name="Normal 5 7 2 2 2 2 3 3" xfId="5968" xr:uid="{00000000-0005-0000-0000-0000A52B0000}"/>
    <cellStyle name="Normal 5 7 2 2 2 2 3 3 2" xfId="17068" xr:uid="{00000000-0005-0000-0000-0000A62B0000}"/>
    <cellStyle name="Normal 5 7 2 2 2 2 3 4" xfId="17069" xr:uid="{00000000-0005-0000-0000-0000A72B0000}"/>
    <cellStyle name="Normal 5 7 2 2 2 2 4" xfId="5969" xr:uid="{00000000-0005-0000-0000-0000A82B0000}"/>
    <cellStyle name="Normal 5 7 2 2 2 2 4 2" xfId="17070" xr:uid="{00000000-0005-0000-0000-0000A92B0000}"/>
    <cellStyle name="Normal 5 7 2 2 2 2 5" xfId="5970" xr:uid="{00000000-0005-0000-0000-0000AA2B0000}"/>
    <cellStyle name="Normal 5 7 2 2 2 2 5 2" xfId="17071" xr:uid="{00000000-0005-0000-0000-0000AB2B0000}"/>
    <cellStyle name="Normal 5 7 2 2 2 2 6" xfId="17072" xr:uid="{00000000-0005-0000-0000-0000AC2B0000}"/>
    <cellStyle name="Normal 5 7 2 2 2 3" xfId="5971" xr:uid="{00000000-0005-0000-0000-0000AD2B0000}"/>
    <cellStyle name="Normal 5 7 2 2 2 3 2" xfId="5972" xr:uid="{00000000-0005-0000-0000-0000AE2B0000}"/>
    <cellStyle name="Normal 5 7 2 2 2 3 2 2" xfId="5973" xr:uid="{00000000-0005-0000-0000-0000AF2B0000}"/>
    <cellStyle name="Normal 5 7 2 2 2 3 2 2 2" xfId="17073" xr:uid="{00000000-0005-0000-0000-0000B02B0000}"/>
    <cellStyle name="Normal 5 7 2 2 2 3 2 3" xfId="5974" xr:uid="{00000000-0005-0000-0000-0000B12B0000}"/>
    <cellStyle name="Normal 5 7 2 2 2 3 2 3 2" xfId="17074" xr:uid="{00000000-0005-0000-0000-0000B22B0000}"/>
    <cellStyle name="Normal 5 7 2 2 2 3 2 4" xfId="17075" xr:uid="{00000000-0005-0000-0000-0000B32B0000}"/>
    <cellStyle name="Normal 5 7 2 2 2 3 3" xfId="5975" xr:uid="{00000000-0005-0000-0000-0000B42B0000}"/>
    <cellStyle name="Normal 5 7 2 2 2 3 3 2" xfId="5976" xr:uid="{00000000-0005-0000-0000-0000B52B0000}"/>
    <cellStyle name="Normal 5 7 2 2 2 3 3 2 2" xfId="17076" xr:uid="{00000000-0005-0000-0000-0000B62B0000}"/>
    <cellStyle name="Normal 5 7 2 2 2 3 3 3" xfId="5977" xr:uid="{00000000-0005-0000-0000-0000B72B0000}"/>
    <cellStyle name="Normal 5 7 2 2 2 3 3 3 2" xfId="17077" xr:uid="{00000000-0005-0000-0000-0000B82B0000}"/>
    <cellStyle name="Normal 5 7 2 2 2 3 3 4" xfId="17078" xr:uid="{00000000-0005-0000-0000-0000B92B0000}"/>
    <cellStyle name="Normal 5 7 2 2 2 3 4" xfId="5978" xr:uid="{00000000-0005-0000-0000-0000BA2B0000}"/>
    <cellStyle name="Normal 5 7 2 2 2 3 4 2" xfId="17079" xr:uid="{00000000-0005-0000-0000-0000BB2B0000}"/>
    <cellStyle name="Normal 5 7 2 2 2 3 5" xfId="5979" xr:uid="{00000000-0005-0000-0000-0000BC2B0000}"/>
    <cellStyle name="Normal 5 7 2 2 2 3 5 2" xfId="17080" xr:uid="{00000000-0005-0000-0000-0000BD2B0000}"/>
    <cellStyle name="Normal 5 7 2 2 2 3 6" xfId="17081" xr:uid="{00000000-0005-0000-0000-0000BE2B0000}"/>
    <cellStyle name="Normal 5 7 2 2 2 4" xfId="5980" xr:uid="{00000000-0005-0000-0000-0000BF2B0000}"/>
    <cellStyle name="Normal 5 7 2 2 2 4 2" xfId="5981" xr:uid="{00000000-0005-0000-0000-0000C02B0000}"/>
    <cellStyle name="Normal 5 7 2 2 2 4 2 2" xfId="17082" xr:uid="{00000000-0005-0000-0000-0000C12B0000}"/>
    <cellStyle name="Normal 5 7 2 2 2 4 3" xfId="5982" xr:uid="{00000000-0005-0000-0000-0000C22B0000}"/>
    <cellStyle name="Normal 5 7 2 2 2 4 3 2" xfId="17083" xr:uid="{00000000-0005-0000-0000-0000C32B0000}"/>
    <cellStyle name="Normal 5 7 2 2 2 4 4" xfId="17084" xr:uid="{00000000-0005-0000-0000-0000C42B0000}"/>
    <cellStyle name="Normal 5 7 2 2 2 5" xfId="5983" xr:uid="{00000000-0005-0000-0000-0000C52B0000}"/>
    <cellStyle name="Normal 5 7 2 2 2 5 2" xfId="5984" xr:uid="{00000000-0005-0000-0000-0000C62B0000}"/>
    <cellStyle name="Normal 5 7 2 2 2 5 2 2" xfId="17085" xr:uid="{00000000-0005-0000-0000-0000C72B0000}"/>
    <cellStyle name="Normal 5 7 2 2 2 5 3" xfId="5985" xr:uid="{00000000-0005-0000-0000-0000C82B0000}"/>
    <cellStyle name="Normal 5 7 2 2 2 5 3 2" xfId="17086" xr:uid="{00000000-0005-0000-0000-0000C92B0000}"/>
    <cellStyle name="Normal 5 7 2 2 2 5 4" xfId="17087" xr:uid="{00000000-0005-0000-0000-0000CA2B0000}"/>
    <cellStyle name="Normal 5 7 2 2 2 6" xfId="5986" xr:uid="{00000000-0005-0000-0000-0000CB2B0000}"/>
    <cellStyle name="Normal 5 7 2 2 2 6 2" xfId="17088" xr:uid="{00000000-0005-0000-0000-0000CC2B0000}"/>
    <cellStyle name="Normal 5 7 2 2 2 7" xfId="5987" xr:uid="{00000000-0005-0000-0000-0000CD2B0000}"/>
    <cellStyle name="Normal 5 7 2 2 2 7 2" xfId="17089" xr:uid="{00000000-0005-0000-0000-0000CE2B0000}"/>
    <cellStyle name="Normal 5 7 2 2 2 8" xfId="17090" xr:uid="{00000000-0005-0000-0000-0000CF2B0000}"/>
    <cellStyle name="Normal 5 7 2 2 3" xfId="5988" xr:uid="{00000000-0005-0000-0000-0000D02B0000}"/>
    <cellStyle name="Normal 5 7 2 2 3 2" xfId="5989" xr:uid="{00000000-0005-0000-0000-0000D12B0000}"/>
    <cellStyle name="Normal 5 7 2 2 3 2 2" xfId="5990" xr:uid="{00000000-0005-0000-0000-0000D22B0000}"/>
    <cellStyle name="Normal 5 7 2 2 3 2 2 2" xfId="5991" xr:uid="{00000000-0005-0000-0000-0000D32B0000}"/>
    <cellStyle name="Normal 5 7 2 2 3 2 2 2 2" xfId="17091" xr:uid="{00000000-0005-0000-0000-0000D42B0000}"/>
    <cellStyle name="Normal 5 7 2 2 3 2 2 3" xfId="5992" xr:uid="{00000000-0005-0000-0000-0000D52B0000}"/>
    <cellStyle name="Normal 5 7 2 2 3 2 2 3 2" xfId="17092" xr:uid="{00000000-0005-0000-0000-0000D62B0000}"/>
    <cellStyle name="Normal 5 7 2 2 3 2 2 4" xfId="17093" xr:uid="{00000000-0005-0000-0000-0000D72B0000}"/>
    <cellStyle name="Normal 5 7 2 2 3 2 3" xfId="5993" xr:uid="{00000000-0005-0000-0000-0000D82B0000}"/>
    <cellStyle name="Normal 5 7 2 2 3 2 3 2" xfId="5994" xr:uid="{00000000-0005-0000-0000-0000D92B0000}"/>
    <cellStyle name="Normal 5 7 2 2 3 2 3 2 2" xfId="17094" xr:uid="{00000000-0005-0000-0000-0000DA2B0000}"/>
    <cellStyle name="Normal 5 7 2 2 3 2 3 3" xfId="5995" xr:uid="{00000000-0005-0000-0000-0000DB2B0000}"/>
    <cellStyle name="Normal 5 7 2 2 3 2 3 3 2" xfId="17095" xr:uid="{00000000-0005-0000-0000-0000DC2B0000}"/>
    <cellStyle name="Normal 5 7 2 2 3 2 3 4" xfId="17096" xr:uid="{00000000-0005-0000-0000-0000DD2B0000}"/>
    <cellStyle name="Normal 5 7 2 2 3 2 4" xfId="5996" xr:uid="{00000000-0005-0000-0000-0000DE2B0000}"/>
    <cellStyle name="Normal 5 7 2 2 3 2 4 2" xfId="17097" xr:uid="{00000000-0005-0000-0000-0000DF2B0000}"/>
    <cellStyle name="Normal 5 7 2 2 3 2 5" xfId="5997" xr:uid="{00000000-0005-0000-0000-0000E02B0000}"/>
    <cellStyle name="Normal 5 7 2 2 3 2 5 2" xfId="17098" xr:uid="{00000000-0005-0000-0000-0000E12B0000}"/>
    <cellStyle name="Normal 5 7 2 2 3 2 6" xfId="17099" xr:uid="{00000000-0005-0000-0000-0000E22B0000}"/>
    <cellStyle name="Normal 5 7 2 2 3 3" xfId="5998" xr:uid="{00000000-0005-0000-0000-0000E32B0000}"/>
    <cellStyle name="Normal 5 7 2 2 3 3 2" xfId="5999" xr:uid="{00000000-0005-0000-0000-0000E42B0000}"/>
    <cellStyle name="Normal 5 7 2 2 3 3 2 2" xfId="17100" xr:uid="{00000000-0005-0000-0000-0000E52B0000}"/>
    <cellStyle name="Normal 5 7 2 2 3 3 3" xfId="6000" xr:uid="{00000000-0005-0000-0000-0000E62B0000}"/>
    <cellStyle name="Normal 5 7 2 2 3 3 3 2" xfId="17101" xr:uid="{00000000-0005-0000-0000-0000E72B0000}"/>
    <cellStyle name="Normal 5 7 2 2 3 3 4" xfId="17102" xr:uid="{00000000-0005-0000-0000-0000E82B0000}"/>
    <cellStyle name="Normal 5 7 2 2 3 4" xfId="6001" xr:uid="{00000000-0005-0000-0000-0000E92B0000}"/>
    <cellStyle name="Normal 5 7 2 2 3 4 2" xfId="6002" xr:uid="{00000000-0005-0000-0000-0000EA2B0000}"/>
    <cellStyle name="Normal 5 7 2 2 3 4 2 2" xfId="17103" xr:uid="{00000000-0005-0000-0000-0000EB2B0000}"/>
    <cellStyle name="Normal 5 7 2 2 3 4 3" xfId="6003" xr:uid="{00000000-0005-0000-0000-0000EC2B0000}"/>
    <cellStyle name="Normal 5 7 2 2 3 4 3 2" xfId="17104" xr:uid="{00000000-0005-0000-0000-0000ED2B0000}"/>
    <cellStyle name="Normal 5 7 2 2 3 4 4" xfId="17105" xr:uid="{00000000-0005-0000-0000-0000EE2B0000}"/>
    <cellStyle name="Normal 5 7 2 2 3 5" xfId="6004" xr:uid="{00000000-0005-0000-0000-0000EF2B0000}"/>
    <cellStyle name="Normal 5 7 2 2 3 5 2" xfId="17106" xr:uid="{00000000-0005-0000-0000-0000F02B0000}"/>
    <cellStyle name="Normal 5 7 2 2 3 6" xfId="6005" xr:uid="{00000000-0005-0000-0000-0000F12B0000}"/>
    <cellStyle name="Normal 5 7 2 2 3 6 2" xfId="17107" xr:uid="{00000000-0005-0000-0000-0000F22B0000}"/>
    <cellStyle name="Normal 5 7 2 2 3 7" xfId="17108" xr:uid="{00000000-0005-0000-0000-0000F32B0000}"/>
    <cellStyle name="Normal 5 7 2 2 4" xfId="6006" xr:uid="{00000000-0005-0000-0000-0000F42B0000}"/>
    <cellStyle name="Normal 5 7 2 2 4 2" xfId="6007" xr:uid="{00000000-0005-0000-0000-0000F52B0000}"/>
    <cellStyle name="Normal 5 7 2 2 4 2 2" xfId="6008" xr:uid="{00000000-0005-0000-0000-0000F62B0000}"/>
    <cellStyle name="Normal 5 7 2 2 4 2 2 2" xfId="17109" xr:uid="{00000000-0005-0000-0000-0000F72B0000}"/>
    <cellStyle name="Normal 5 7 2 2 4 2 3" xfId="6009" xr:uid="{00000000-0005-0000-0000-0000F82B0000}"/>
    <cellStyle name="Normal 5 7 2 2 4 2 3 2" xfId="17110" xr:uid="{00000000-0005-0000-0000-0000F92B0000}"/>
    <cellStyle name="Normal 5 7 2 2 4 2 4" xfId="17111" xr:uid="{00000000-0005-0000-0000-0000FA2B0000}"/>
    <cellStyle name="Normal 5 7 2 2 4 3" xfId="6010" xr:uid="{00000000-0005-0000-0000-0000FB2B0000}"/>
    <cellStyle name="Normal 5 7 2 2 4 3 2" xfId="6011" xr:uid="{00000000-0005-0000-0000-0000FC2B0000}"/>
    <cellStyle name="Normal 5 7 2 2 4 3 2 2" xfId="17112" xr:uid="{00000000-0005-0000-0000-0000FD2B0000}"/>
    <cellStyle name="Normal 5 7 2 2 4 3 3" xfId="6012" xr:uid="{00000000-0005-0000-0000-0000FE2B0000}"/>
    <cellStyle name="Normal 5 7 2 2 4 3 3 2" xfId="17113" xr:uid="{00000000-0005-0000-0000-0000FF2B0000}"/>
    <cellStyle name="Normal 5 7 2 2 4 3 4" xfId="17114" xr:uid="{00000000-0005-0000-0000-0000002C0000}"/>
    <cellStyle name="Normal 5 7 2 2 4 4" xfId="6013" xr:uid="{00000000-0005-0000-0000-0000012C0000}"/>
    <cellStyle name="Normal 5 7 2 2 4 4 2" xfId="17115" xr:uid="{00000000-0005-0000-0000-0000022C0000}"/>
    <cellStyle name="Normal 5 7 2 2 4 5" xfId="6014" xr:uid="{00000000-0005-0000-0000-0000032C0000}"/>
    <cellStyle name="Normal 5 7 2 2 4 5 2" xfId="17116" xr:uid="{00000000-0005-0000-0000-0000042C0000}"/>
    <cellStyle name="Normal 5 7 2 2 4 6" xfId="17117" xr:uid="{00000000-0005-0000-0000-0000052C0000}"/>
    <cellStyle name="Normal 5 7 2 2 5" xfId="6015" xr:uid="{00000000-0005-0000-0000-0000062C0000}"/>
    <cellStyle name="Normal 5 7 2 2 5 2" xfId="6016" xr:uid="{00000000-0005-0000-0000-0000072C0000}"/>
    <cellStyle name="Normal 5 7 2 2 5 2 2" xfId="6017" xr:uid="{00000000-0005-0000-0000-0000082C0000}"/>
    <cellStyle name="Normal 5 7 2 2 5 2 2 2" xfId="17118" xr:uid="{00000000-0005-0000-0000-0000092C0000}"/>
    <cellStyle name="Normal 5 7 2 2 5 2 3" xfId="6018" xr:uid="{00000000-0005-0000-0000-00000A2C0000}"/>
    <cellStyle name="Normal 5 7 2 2 5 2 3 2" xfId="17119" xr:uid="{00000000-0005-0000-0000-00000B2C0000}"/>
    <cellStyle name="Normal 5 7 2 2 5 2 4" xfId="17120" xr:uid="{00000000-0005-0000-0000-00000C2C0000}"/>
    <cellStyle name="Normal 5 7 2 2 5 3" xfId="6019" xr:uid="{00000000-0005-0000-0000-00000D2C0000}"/>
    <cellStyle name="Normal 5 7 2 2 5 3 2" xfId="6020" xr:uid="{00000000-0005-0000-0000-00000E2C0000}"/>
    <cellStyle name="Normal 5 7 2 2 5 3 2 2" xfId="17121" xr:uid="{00000000-0005-0000-0000-00000F2C0000}"/>
    <cellStyle name="Normal 5 7 2 2 5 3 3" xfId="6021" xr:uid="{00000000-0005-0000-0000-0000102C0000}"/>
    <cellStyle name="Normal 5 7 2 2 5 3 3 2" xfId="17122" xr:uid="{00000000-0005-0000-0000-0000112C0000}"/>
    <cellStyle name="Normal 5 7 2 2 5 3 4" xfId="17123" xr:uid="{00000000-0005-0000-0000-0000122C0000}"/>
    <cellStyle name="Normal 5 7 2 2 5 4" xfId="6022" xr:uid="{00000000-0005-0000-0000-0000132C0000}"/>
    <cellStyle name="Normal 5 7 2 2 5 4 2" xfId="17124" xr:uid="{00000000-0005-0000-0000-0000142C0000}"/>
    <cellStyle name="Normal 5 7 2 2 5 5" xfId="6023" xr:uid="{00000000-0005-0000-0000-0000152C0000}"/>
    <cellStyle name="Normal 5 7 2 2 5 5 2" xfId="17125" xr:uid="{00000000-0005-0000-0000-0000162C0000}"/>
    <cellStyle name="Normal 5 7 2 2 5 6" xfId="17126" xr:uid="{00000000-0005-0000-0000-0000172C0000}"/>
    <cellStyle name="Normal 5 7 2 2 6" xfId="6024" xr:uid="{00000000-0005-0000-0000-0000182C0000}"/>
    <cellStyle name="Normal 5 7 2 2 6 2" xfId="6025" xr:uid="{00000000-0005-0000-0000-0000192C0000}"/>
    <cellStyle name="Normal 5 7 2 2 6 2 2" xfId="17127" xr:uid="{00000000-0005-0000-0000-00001A2C0000}"/>
    <cellStyle name="Normal 5 7 2 2 6 3" xfId="6026" xr:uid="{00000000-0005-0000-0000-00001B2C0000}"/>
    <cellStyle name="Normal 5 7 2 2 6 3 2" xfId="17128" xr:uid="{00000000-0005-0000-0000-00001C2C0000}"/>
    <cellStyle name="Normal 5 7 2 2 6 4" xfId="17129" xr:uid="{00000000-0005-0000-0000-00001D2C0000}"/>
    <cellStyle name="Normal 5 7 2 2 7" xfId="6027" xr:uid="{00000000-0005-0000-0000-00001E2C0000}"/>
    <cellStyle name="Normal 5 7 2 2 7 2" xfId="6028" xr:uid="{00000000-0005-0000-0000-00001F2C0000}"/>
    <cellStyle name="Normal 5 7 2 2 7 2 2" xfId="17130" xr:uid="{00000000-0005-0000-0000-0000202C0000}"/>
    <cellStyle name="Normal 5 7 2 2 7 3" xfId="6029" xr:uid="{00000000-0005-0000-0000-0000212C0000}"/>
    <cellStyle name="Normal 5 7 2 2 7 3 2" xfId="17131" xr:uid="{00000000-0005-0000-0000-0000222C0000}"/>
    <cellStyle name="Normal 5 7 2 2 7 4" xfId="17132" xr:uid="{00000000-0005-0000-0000-0000232C0000}"/>
    <cellStyle name="Normal 5 7 2 2 8" xfId="6030" xr:uid="{00000000-0005-0000-0000-0000242C0000}"/>
    <cellStyle name="Normal 5 7 2 2 8 2" xfId="17133" xr:uid="{00000000-0005-0000-0000-0000252C0000}"/>
    <cellStyle name="Normal 5 7 2 2 9" xfId="6031" xr:uid="{00000000-0005-0000-0000-0000262C0000}"/>
    <cellStyle name="Normal 5 7 2 2 9 2" xfId="17134" xr:uid="{00000000-0005-0000-0000-0000272C0000}"/>
    <cellStyle name="Normal 5 7 2 3" xfId="6032" xr:uid="{00000000-0005-0000-0000-0000282C0000}"/>
    <cellStyle name="Normal 5 7 2 3 2" xfId="6033" xr:uid="{00000000-0005-0000-0000-0000292C0000}"/>
    <cellStyle name="Normal 5 7 2 3 2 2" xfId="6034" xr:uid="{00000000-0005-0000-0000-00002A2C0000}"/>
    <cellStyle name="Normal 5 7 2 3 2 2 2" xfId="6035" xr:uid="{00000000-0005-0000-0000-00002B2C0000}"/>
    <cellStyle name="Normal 5 7 2 3 2 2 2 2" xfId="17135" xr:uid="{00000000-0005-0000-0000-00002C2C0000}"/>
    <cellStyle name="Normal 5 7 2 3 2 2 3" xfId="6036" xr:uid="{00000000-0005-0000-0000-00002D2C0000}"/>
    <cellStyle name="Normal 5 7 2 3 2 2 3 2" xfId="17136" xr:uid="{00000000-0005-0000-0000-00002E2C0000}"/>
    <cellStyle name="Normal 5 7 2 3 2 2 4" xfId="17137" xr:uid="{00000000-0005-0000-0000-00002F2C0000}"/>
    <cellStyle name="Normal 5 7 2 3 2 3" xfId="6037" xr:uid="{00000000-0005-0000-0000-0000302C0000}"/>
    <cellStyle name="Normal 5 7 2 3 2 3 2" xfId="6038" xr:uid="{00000000-0005-0000-0000-0000312C0000}"/>
    <cellStyle name="Normal 5 7 2 3 2 3 2 2" xfId="17138" xr:uid="{00000000-0005-0000-0000-0000322C0000}"/>
    <cellStyle name="Normal 5 7 2 3 2 3 3" xfId="6039" xr:uid="{00000000-0005-0000-0000-0000332C0000}"/>
    <cellStyle name="Normal 5 7 2 3 2 3 3 2" xfId="17139" xr:uid="{00000000-0005-0000-0000-0000342C0000}"/>
    <cellStyle name="Normal 5 7 2 3 2 3 4" xfId="17140" xr:uid="{00000000-0005-0000-0000-0000352C0000}"/>
    <cellStyle name="Normal 5 7 2 3 2 4" xfId="6040" xr:uid="{00000000-0005-0000-0000-0000362C0000}"/>
    <cellStyle name="Normal 5 7 2 3 2 4 2" xfId="17141" xr:uid="{00000000-0005-0000-0000-0000372C0000}"/>
    <cellStyle name="Normal 5 7 2 3 2 5" xfId="6041" xr:uid="{00000000-0005-0000-0000-0000382C0000}"/>
    <cellStyle name="Normal 5 7 2 3 2 5 2" xfId="17142" xr:uid="{00000000-0005-0000-0000-0000392C0000}"/>
    <cellStyle name="Normal 5 7 2 3 2 6" xfId="17143" xr:uid="{00000000-0005-0000-0000-00003A2C0000}"/>
    <cellStyle name="Normal 5 7 2 3 3" xfId="6042" xr:uid="{00000000-0005-0000-0000-00003B2C0000}"/>
    <cellStyle name="Normal 5 7 2 3 3 2" xfId="6043" xr:uid="{00000000-0005-0000-0000-00003C2C0000}"/>
    <cellStyle name="Normal 5 7 2 3 3 2 2" xfId="6044" xr:uid="{00000000-0005-0000-0000-00003D2C0000}"/>
    <cellStyle name="Normal 5 7 2 3 3 2 2 2" xfId="17144" xr:uid="{00000000-0005-0000-0000-00003E2C0000}"/>
    <cellStyle name="Normal 5 7 2 3 3 2 3" xfId="6045" xr:uid="{00000000-0005-0000-0000-00003F2C0000}"/>
    <cellStyle name="Normal 5 7 2 3 3 2 3 2" xfId="17145" xr:uid="{00000000-0005-0000-0000-0000402C0000}"/>
    <cellStyle name="Normal 5 7 2 3 3 2 4" xfId="17146" xr:uid="{00000000-0005-0000-0000-0000412C0000}"/>
    <cellStyle name="Normal 5 7 2 3 3 3" xfId="6046" xr:uid="{00000000-0005-0000-0000-0000422C0000}"/>
    <cellStyle name="Normal 5 7 2 3 3 3 2" xfId="6047" xr:uid="{00000000-0005-0000-0000-0000432C0000}"/>
    <cellStyle name="Normal 5 7 2 3 3 3 2 2" xfId="17147" xr:uid="{00000000-0005-0000-0000-0000442C0000}"/>
    <cellStyle name="Normal 5 7 2 3 3 3 3" xfId="6048" xr:uid="{00000000-0005-0000-0000-0000452C0000}"/>
    <cellStyle name="Normal 5 7 2 3 3 3 3 2" xfId="17148" xr:uid="{00000000-0005-0000-0000-0000462C0000}"/>
    <cellStyle name="Normal 5 7 2 3 3 3 4" xfId="17149" xr:uid="{00000000-0005-0000-0000-0000472C0000}"/>
    <cellStyle name="Normal 5 7 2 3 3 4" xfId="6049" xr:uid="{00000000-0005-0000-0000-0000482C0000}"/>
    <cellStyle name="Normal 5 7 2 3 3 4 2" xfId="17150" xr:uid="{00000000-0005-0000-0000-0000492C0000}"/>
    <cellStyle name="Normal 5 7 2 3 3 5" xfId="6050" xr:uid="{00000000-0005-0000-0000-00004A2C0000}"/>
    <cellStyle name="Normal 5 7 2 3 3 5 2" xfId="17151" xr:uid="{00000000-0005-0000-0000-00004B2C0000}"/>
    <cellStyle name="Normal 5 7 2 3 3 6" xfId="17152" xr:uid="{00000000-0005-0000-0000-00004C2C0000}"/>
    <cellStyle name="Normal 5 7 2 3 4" xfId="6051" xr:uid="{00000000-0005-0000-0000-00004D2C0000}"/>
    <cellStyle name="Normal 5 7 2 3 4 2" xfId="6052" xr:uid="{00000000-0005-0000-0000-00004E2C0000}"/>
    <cellStyle name="Normal 5 7 2 3 4 2 2" xfId="17153" xr:uid="{00000000-0005-0000-0000-00004F2C0000}"/>
    <cellStyle name="Normal 5 7 2 3 4 3" xfId="6053" xr:uid="{00000000-0005-0000-0000-0000502C0000}"/>
    <cellStyle name="Normal 5 7 2 3 4 3 2" xfId="17154" xr:uid="{00000000-0005-0000-0000-0000512C0000}"/>
    <cellStyle name="Normal 5 7 2 3 4 4" xfId="17155" xr:uid="{00000000-0005-0000-0000-0000522C0000}"/>
    <cellStyle name="Normal 5 7 2 3 5" xfId="6054" xr:uid="{00000000-0005-0000-0000-0000532C0000}"/>
    <cellStyle name="Normal 5 7 2 3 5 2" xfId="6055" xr:uid="{00000000-0005-0000-0000-0000542C0000}"/>
    <cellStyle name="Normal 5 7 2 3 5 2 2" xfId="17156" xr:uid="{00000000-0005-0000-0000-0000552C0000}"/>
    <cellStyle name="Normal 5 7 2 3 5 3" xfId="6056" xr:uid="{00000000-0005-0000-0000-0000562C0000}"/>
    <cellStyle name="Normal 5 7 2 3 5 3 2" xfId="17157" xr:uid="{00000000-0005-0000-0000-0000572C0000}"/>
    <cellStyle name="Normal 5 7 2 3 5 4" xfId="17158" xr:uid="{00000000-0005-0000-0000-0000582C0000}"/>
    <cellStyle name="Normal 5 7 2 3 6" xfId="6057" xr:uid="{00000000-0005-0000-0000-0000592C0000}"/>
    <cellStyle name="Normal 5 7 2 3 6 2" xfId="17159" xr:uid="{00000000-0005-0000-0000-00005A2C0000}"/>
    <cellStyle name="Normal 5 7 2 3 7" xfId="6058" xr:uid="{00000000-0005-0000-0000-00005B2C0000}"/>
    <cellStyle name="Normal 5 7 2 3 7 2" xfId="17160" xr:uid="{00000000-0005-0000-0000-00005C2C0000}"/>
    <cellStyle name="Normal 5 7 2 3 8" xfId="17161" xr:uid="{00000000-0005-0000-0000-00005D2C0000}"/>
    <cellStyle name="Normal 5 7 2 4" xfId="6059" xr:uid="{00000000-0005-0000-0000-00005E2C0000}"/>
    <cellStyle name="Normal 5 7 2 4 2" xfId="6060" xr:uid="{00000000-0005-0000-0000-00005F2C0000}"/>
    <cellStyle name="Normal 5 7 2 4 2 2" xfId="6061" xr:uid="{00000000-0005-0000-0000-0000602C0000}"/>
    <cellStyle name="Normal 5 7 2 4 2 2 2" xfId="6062" xr:uid="{00000000-0005-0000-0000-0000612C0000}"/>
    <cellStyle name="Normal 5 7 2 4 2 2 2 2" xfId="17162" xr:uid="{00000000-0005-0000-0000-0000622C0000}"/>
    <cellStyle name="Normal 5 7 2 4 2 2 3" xfId="6063" xr:uid="{00000000-0005-0000-0000-0000632C0000}"/>
    <cellStyle name="Normal 5 7 2 4 2 2 3 2" xfId="17163" xr:uid="{00000000-0005-0000-0000-0000642C0000}"/>
    <cellStyle name="Normal 5 7 2 4 2 2 4" xfId="17164" xr:uid="{00000000-0005-0000-0000-0000652C0000}"/>
    <cellStyle name="Normal 5 7 2 4 2 3" xfId="6064" xr:uid="{00000000-0005-0000-0000-0000662C0000}"/>
    <cellStyle name="Normal 5 7 2 4 2 3 2" xfId="6065" xr:uid="{00000000-0005-0000-0000-0000672C0000}"/>
    <cellStyle name="Normal 5 7 2 4 2 3 2 2" xfId="17165" xr:uid="{00000000-0005-0000-0000-0000682C0000}"/>
    <cellStyle name="Normal 5 7 2 4 2 3 3" xfId="6066" xr:uid="{00000000-0005-0000-0000-0000692C0000}"/>
    <cellStyle name="Normal 5 7 2 4 2 3 3 2" xfId="17166" xr:uid="{00000000-0005-0000-0000-00006A2C0000}"/>
    <cellStyle name="Normal 5 7 2 4 2 3 4" xfId="17167" xr:uid="{00000000-0005-0000-0000-00006B2C0000}"/>
    <cellStyle name="Normal 5 7 2 4 2 4" xfId="6067" xr:uid="{00000000-0005-0000-0000-00006C2C0000}"/>
    <cellStyle name="Normal 5 7 2 4 2 4 2" xfId="17168" xr:uid="{00000000-0005-0000-0000-00006D2C0000}"/>
    <cellStyle name="Normal 5 7 2 4 2 5" xfId="6068" xr:uid="{00000000-0005-0000-0000-00006E2C0000}"/>
    <cellStyle name="Normal 5 7 2 4 2 5 2" xfId="17169" xr:uid="{00000000-0005-0000-0000-00006F2C0000}"/>
    <cellStyle name="Normal 5 7 2 4 2 6" xfId="17170" xr:uid="{00000000-0005-0000-0000-0000702C0000}"/>
    <cellStyle name="Normal 5 7 2 4 3" xfId="6069" xr:uid="{00000000-0005-0000-0000-0000712C0000}"/>
    <cellStyle name="Normal 5 7 2 4 3 2" xfId="6070" xr:uid="{00000000-0005-0000-0000-0000722C0000}"/>
    <cellStyle name="Normal 5 7 2 4 3 2 2" xfId="17171" xr:uid="{00000000-0005-0000-0000-0000732C0000}"/>
    <cellStyle name="Normal 5 7 2 4 3 3" xfId="6071" xr:uid="{00000000-0005-0000-0000-0000742C0000}"/>
    <cellStyle name="Normal 5 7 2 4 3 3 2" xfId="17172" xr:uid="{00000000-0005-0000-0000-0000752C0000}"/>
    <cellStyle name="Normal 5 7 2 4 3 4" xfId="17173" xr:uid="{00000000-0005-0000-0000-0000762C0000}"/>
    <cellStyle name="Normal 5 7 2 4 4" xfId="6072" xr:uid="{00000000-0005-0000-0000-0000772C0000}"/>
    <cellStyle name="Normal 5 7 2 4 4 2" xfId="6073" xr:uid="{00000000-0005-0000-0000-0000782C0000}"/>
    <cellStyle name="Normal 5 7 2 4 4 2 2" xfId="17174" xr:uid="{00000000-0005-0000-0000-0000792C0000}"/>
    <cellStyle name="Normal 5 7 2 4 4 3" xfId="6074" xr:uid="{00000000-0005-0000-0000-00007A2C0000}"/>
    <cellStyle name="Normal 5 7 2 4 4 3 2" xfId="17175" xr:uid="{00000000-0005-0000-0000-00007B2C0000}"/>
    <cellStyle name="Normal 5 7 2 4 4 4" xfId="17176" xr:uid="{00000000-0005-0000-0000-00007C2C0000}"/>
    <cellStyle name="Normal 5 7 2 4 5" xfId="6075" xr:uid="{00000000-0005-0000-0000-00007D2C0000}"/>
    <cellStyle name="Normal 5 7 2 4 5 2" xfId="17177" xr:uid="{00000000-0005-0000-0000-00007E2C0000}"/>
    <cellStyle name="Normal 5 7 2 4 6" xfId="6076" xr:uid="{00000000-0005-0000-0000-00007F2C0000}"/>
    <cellStyle name="Normal 5 7 2 4 6 2" xfId="17178" xr:uid="{00000000-0005-0000-0000-0000802C0000}"/>
    <cellStyle name="Normal 5 7 2 4 7" xfId="17179" xr:uid="{00000000-0005-0000-0000-0000812C0000}"/>
    <cellStyle name="Normal 5 7 2 5" xfId="6077" xr:uid="{00000000-0005-0000-0000-0000822C0000}"/>
    <cellStyle name="Normal 5 7 2 5 2" xfId="6078" xr:uid="{00000000-0005-0000-0000-0000832C0000}"/>
    <cellStyle name="Normal 5 7 2 5 2 2" xfId="6079" xr:uid="{00000000-0005-0000-0000-0000842C0000}"/>
    <cellStyle name="Normal 5 7 2 5 2 2 2" xfId="17180" xr:uid="{00000000-0005-0000-0000-0000852C0000}"/>
    <cellStyle name="Normal 5 7 2 5 2 3" xfId="6080" xr:uid="{00000000-0005-0000-0000-0000862C0000}"/>
    <cellStyle name="Normal 5 7 2 5 2 3 2" xfId="17181" xr:uid="{00000000-0005-0000-0000-0000872C0000}"/>
    <cellStyle name="Normal 5 7 2 5 2 4" xfId="17182" xr:uid="{00000000-0005-0000-0000-0000882C0000}"/>
    <cellStyle name="Normal 5 7 2 5 3" xfId="6081" xr:uid="{00000000-0005-0000-0000-0000892C0000}"/>
    <cellStyle name="Normal 5 7 2 5 3 2" xfId="6082" xr:uid="{00000000-0005-0000-0000-00008A2C0000}"/>
    <cellStyle name="Normal 5 7 2 5 3 2 2" xfId="17183" xr:uid="{00000000-0005-0000-0000-00008B2C0000}"/>
    <cellStyle name="Normal 5 7 2 5 3 3" xfId="6083" xr:uid="{00000000-0005-0000-0000-00008C2C0000}"/>
    <cellStyle name="Normal 5 7 2 5 3 3 2" xfId="17184" xr:uid="{00000000-0005-0000-0000-00008D2C0000}"/>
    <cellStyle name="Normal 5 7 2 5 3 4" xfId="17185" xr:uid="{00000000-0005-0000-0000-00008E2C0000}"/>
    <cellStyle name="Normal 5 7 2 5 4" xfId="6084" xr:uid="{00000000-0005-0000-0000-00008F2C0000}"/>
    <cellStyle name="Normal 5 7 2 5 4 2" xfId="17186" xr:uid="{00000000-0005-0000-0000-0000902C0000}"/>
    <cellStyle name="Normal 5 7 2 5 5" xfId="6085" xr:uid="{00000000-0005-0000-0000-0000912C0000}"/>
    <cellStyle name="Normal 5 7 2 5 5 2" xfId="17187" xr:uid="{00000000-0005-0000-0000-0000922C0000}"/>
    <cellStyle name="Normal 5 7 2 5 6" xfId="17188" xr:uid="{00000000-0005-0000-0000-0000932C0000}"/>
    <cellStyle name="Normal 5 7 2 6" xfId="6086" xr:uid="{00000000-0005-0000-0000-0000942C0000}"/>
    <cellStyle name="Normal 5 7 2 6 2" xfId="6087" xr:uid="{00000000-0005-0000-0000-0000952C0000}"/>
    <cellStyle name="Normal 5 7 2 6 2 2" xfId="6088" xr:uid="{00000000-0005-0000-0000-0000962C0000}"/>
    <cellStyle name="Normal 5 7 2 6 2 2 2" xfId="17189" xr:uid="{00000000-0005-0000-0000-0000972C0000}"/>
    <cellStyle name="Normal 5 7 2 6 2 3" xfId="6089" xr:uid="{00000000-0005-0000-0000-0000982C0000}"/>
    <cellStyle name="Normal 5 7 2 6 2 3 2" xfId="17190" xr:uid="{00000000-0005-0000-0000-0000992C0000}"/>
    <cellStyle name="Normal 5 7 2 6 2 4" xfId="17191" xr:uid="{00000000-0005-0000-0000-00009A2C0000}"/>
    <cellStyle name="Normal 5 7 2 6 3" xfId="6090" xr:uid="{00000000-0005-0000-0000-00009B2C0000}"/>
    <cellStyle name="Normal 5 7 2 6 3 2" xfId="6091" xr:uid="{00000000-0005-0000-0000-00009C2C0000}"/>
    <cellStyle name="Normal 5 7 2 6 3 2 2" xfId="17192" xr:uid="{00000000-0005-0000-0000-00009D2C0000}"/>
    <cellStyle name="Normal 5 7 2 6 3 3" xfId="6092" xr:uid="{00000000-0005-0000-0000-00009E2C0000}"/>
    <cellStyle name="Normal 5 7 2 6 3 3 2" xfId="17193" xr:uid="{00000000-0005-0000-0000-00009F2C0000}"/>
    <cellStyle name="Normal 5 7 2 6 3 4" xfId="17194" xr:uid="{00000000-0005-0000-0000-0000A02C0000}"/>
    <cellStyle name="Normal 5 7 2 6 4" xfId="6093" xr:uid="{00000000-0005-0000-0000-0000A12C0000}"/>
    <cellStyle name="Normal 5 7 2 6 4 2" xfId="17195" xr:uid="{00000000-0005-0000-0000-0000A22C0000}"/>
    <cellStyle name="Normal 5 7 2 6 5" xfId="6094" xr:uid="{00000000-0005-0000-0000-0000A32C0000}"/>
    <cellStyle name="Normal 5 7 2 6 5 2" xfId="17196" xr:uid="{00000000-0005-0000-0000-0000A42C0000}"/>
    <cellStyle name="Normal 5 7 2 6 6" xfId="17197" xr:uid="{00000000-0005-0000-0000-0000A52C0000}"/>
    <cellStyle name="Normal 5 7 2 7" xfId="6095" xr:uid="{00000000-0005-0000-0000-0000A62C0000}"/>
    <cellStyle name="Normal 5 7 2 7 2" xfId="6096" xr:uid="{00000000-0005-0000-0000-0000A72C0000}"/>
    <cellStyle name="Normal 5 7 2 7 2 2" xfId="17198" xr:uid="{00000000-0005-0000-0000-0000A82C0000}"/>
    <cellStyle name="Normal 5 7 2 7 3" xfId="6097" xr:uid="{00000000-0005-0000-0000-0000A92C0000}"/>
    <cellStyle name="Normal 5 7 2 7 3 2" xfId="17199" xr:uid="{00000000-0005-0000-0000-0000AA2C0000}"/>
    <cellStyle name="Normal 5 7 2 7 4" xfId="17200" xr:uid="{00000000-0005-0000-0000-0000AB2C0000}"/>
    <cellStyle name="Normal 5 7 2 8" xfId="6098" xr:uid="{00000000-0005-0000-0000-0000AC2C0000}"/>
    <cellStyle name="Normal 5 7 2 8 2" xfId="6099" xr:uid="{00000000-0005-0000-0000-0000AD2C0000}"/>
    <cellStyle name="Normal 5 7 2 8 2 2" xfId="17201" xr:uid="{00000000-0005-0000-0000-0000AE2C0000}"/>
    <cellStyle name="Normal 5 7 2 8 3" xfId="6100" xr:uid="{00000000-0005-0000-0000-0000AF2C0000}"/>
    <cellStyle name="Normal 5 7 2 8 3 2" xfId="17202" xr:uid="{00000000-0005-0000-0000-0000B02C0000}"/>
    <cellStyle name="Normal 5 7 2 8 4" xfId="17203" xr:uid="{00000000-0005-0000-0000-0000B12C0000}"/>
    <cellStyle name="Normal 5 7 2 9" xfId="6101" xr:uid="{00000000-0005-0000-0000-0000B22C0000}"/>
    <cellStyle name="Normal 5 7 2 9 2" xfId="17204" xr:uid="{00000000-0005-0000-0000-0000B32C0000}"/>
    <cellStyle name="Normal 5 7 3" xfId="6102" xr:uid="{00000000-0005-0000-0000-0000B42C0000}"/>
    <cellStyle name="Normal 5 7 3 10" xfId="17205" xr:uid="{00000000-0005-0000-0000-0000B52C0000}"/>
    <cellStyle name="Normal 5 7 3 2" xfId="6103" xr:uid="{00000000-0005-0000-0000-0000B62C0000}"/>
    <cellStyle name="Normal 5 7 3 2 2" xfId="6104" xr:uid="{00000000-0005-0000-0000-0000B72C0000}"/>
    <cellStyle name="Normal 5 7 3 2 2 2" xfId="6105" xr:uid="{00000000-0005-0000-0000-0000B82C0000}"/>
    <cellStyle name="Normal 5 7 3 2 2 2 2" xfId="6106" xr:uid="{00000000-0005-0000-0000-0000B92C0000}"/>
    <cellStyle name="Normal 5 7 3 2 2 2 2 2" xfId="17206" xr:uid="{00000000-0005-0000-0000-0000BA2C0000}"/>
    <cellStyle name="Normal 5 7 3 2 2 2 3" xfId="6107" xr:uid="{00000000-0005-0000-0000-0000BB2C0000}"/>
    <cellStyle name="Normal 5 7 3 2 2 2 3 2" xfId="17207" xr:uid="{00000000-0005-0000-0000-0000BC2C0000}"/>
    <cellStyle name="Normal 5 7 3 2 2 2 4" xfId="17208" xr:uid="{00000000-0005-0000-0000-0000BD2C0000}"/>
    <cellStyle name="Normal 5 7 3 2 2 3" xfId="6108" xr:uid="{00000000-0005-0000-0000-0000BE2C0000}"/>
    <cellStyle name="Normal 5 7 3 2 2 3 2" xfId="6109" xr:uid="{00000000-0005-0000-0000-0000BF2C0000}"/>
    <cellStyle name="Normal 5 7 3 2 2 3 2 2" xfId="17209" xr:uid="{00000000-0005-0000-0000-0000C02C0000}"/>
    <cellStyle name="Normal 5 7 3 2 2 3 3" xfId="6110" xr:uid="{00000000-0005-0000-0000-0000C12C0000}"/>
    <cellStyle name="Normal 5 7 3 2 2 3 3 2" xfId="17210" xr:uid="{00000000-0005-0000-0000-0000C22C0000}"/>
    <cellStyle name="Normal 5 7 3 2 2 3 4" xfId="17211" xr:uid="{00000000-0005-0000-0000-0000C32C0000}"/>
    <cellStyle name="Normal 5 7 3 2 2 4" xfId="6111" xr:uid="{00000000-0005-0000-0000-0000C42C0000}"/>
    <cellStyle name="Normal 5 7 3 2 2 4 2" xfId="17212" xr:uid="{00000000-0005-0000-0000-0000C52C0000}"/>
    <cellStyle name="Normal 5 7 3 2 2 5" xfId="6112" xr:uid="{00000000-0005-0000-0000-0000C62C0000}"/>
    <cellStyle name="Normal 5 7 3 2 2 5 2" xfId="17213" xr:uid="{00000000-0005-0000-0000-0000C72C0000}"/>
    <cellStyle name="Normal 5 7 3 2 2 6" xfId="17214" xr:uid="{00000000-0005-0000-0000-0000C82C0000}"/>
    <cellStyle name="Normal 5 7 3 2 3" xfId="6113" xr:uid="{00000000-0005-0000-0000-0000C92C0000}"/>
    <cellStyle name="Normal 5 7 3 2 3 2" xfId="6114" xr:uid="{00000000-0005-0000-0000-0000CA2C0000}"/>
    <cellStyle name="Normal 5 7 3 2 3 2 2" xfId="6115" xr:uid="{00000000-0005-0000-0000-0000CB2C0000}"/>
    <cellStyle name="Normal 5 7 3 2 3 2 2 2" xfId="17215" xr:uid="{00000000-0005-0000-0000-0000CC2C0000}"/>
    <cellStyle name="Normal 5 7 3 2 3 2 3" xfId="6116" xr:uid="{00000000-0005-0000-0000-0000CD2C0000}"/>
    <cellStyle name="Normal 5 7 3 2 3 2 3 2" xfId="17216" xr:uid="{00000000-0005-0000-0000-0000CE2C0000}"/>
    <cellStyle name="Normal 5 7 3 2 3 2 4" xfId="17217" xr:uid="{00000000-0005-0000-0000-0000CF2C0000}"/>
    <cellStyle name="Normal 5 7 3 2 3 3" xfId="6117" xr:uid="{00000000-0005-0000-0000-0000D02C0000}"/>
    <cellStyle name="Normal 5 7 3 2 3 3 2" xfId="6118" xr:uid="{00000000-0005-0000-0000-0000D12C0000}"/>
    <cellStyle name="Normal 5 7 3 2 3 3 2 2" xfId="17218" xr:uid="{00000000-0005-0000-0000-0000D22C0000}"/>
    <cellStyle name="Normal 5 7 3 2 3 3 3" xfId="6119" xr:uid="{00000000-0005-0000-0000-0000D32C0000}"/>
    <cellStyle name="Normal 5 7 3 2 3 3 3 2" xfId="17219" xr:uid="{00000000-0005-0000-0000-0000D42C0000}"/>
    <cellStyle name="Normal 5 7 3 2 3 3 4" xfId="17220" xr:uid="{00000000-0005-0000-0000-0000D52C0000}"/>
    <cellStyle name="Normal 5 7 3 2 3 4" xfId="6120" xr:uid="{00000000-0005-0000-0000-0000D62C0000}"/>
    <cellStyle name="Normal 5 7 3 2 3 4 2" xfId="17221" xr:uid="{00000000-0005-0000-0000-0000D72C0000}"/>
    <cellStyle name="Normal 5 7 3 2 3 5" xfId="6121" xr:uid="{00000000-0005-0000-0000-0000D82C0000}"/>
    <cellStyle name="Normal 5 7 3 2 3 5 2" xfId="17222" xr:uid="{00000000-0005-0000-0000-0000D92C0000}"/>
    <cellStyle name="Normal 5 7 3 2 3 6" xfId="17223" xr:uid="{00000000-0005-0000-0000-0000DA2C0000}"/>
    <cellStyle name="Normal 5 7 3 2 4" xfId="6122" xr:uid="{00000000-0005-0000-0000-0000DB2C0000}"/>
    <cellStyle name="Normal 5 7 3 2 4 2" xfId="6123" xr:uid="{00000000-0005-0000-0000-0000DC2C0000}"/>
    <cellStyle name="Normal 5 7 3 2 4 2 2" xfId="17224" xr:uid="{00000000-0005-0000-0000-0000DD2C0000}"/>
    <cellStyle name="Normal 5 7 3 2 4 3" xfId="6124" xr:uid="{00000000-0005-0000-0000-0000DE2C0000}"/>
    <cellStyle name="Normal 5 7 3 2 4 3 2" xfId="17225" xr:uid="{00000000-0005-0000-0000-0000DF2C0000}"/>
    <cellStyle name="Normal 5 7 3 2 4 4" xfId="17226" xr:uid="{00000000-0005-0000-0000-0000E02C0000}"/>
    <cellStyle name="Normal 5 7 3 2 5" xfId="6125" xr:uid="{00000000-0005-0000-0000-0000E12C0000}"/>
    <cellStyle name="Normal 5 7 3 2 5 2" xfId="6126" xr:uid="{00000000-0005-0000-0000-0000E22C0000}"/>
    <cellStyle name="Normal 5 7 3 2 5 2 2" xfId="17227" xr:uid="{00000000-0005-0000-0000-0000E32C0000}"/>
    <cellStyle name="Normal 5 7 3 2 5 3" xfId="6127" xr:uid="{00000000-0005-0000-0000-0000E42C0000}"/>
    <cellStyle name="Normal 5 7 3 2 5 3 2" xfId="17228" xr:uid="{00000000-0005-0000-0000-0000E52C0000}"/>
    <cellStyle name="Normal 5 7 3 2 5 4" xfId="17229" xr:uid="{00000000-0005-0000-0000-0000E62C0000}"/>
    <cellStyle name="Normal 5 7 3 2 6" xfId="6128" xr:uid="{00000000-0005-0000-0000-0000E72C0000}"/>
    <cellStyle name="Normal 5 7 3 2 6 2" xfId="17230" xr:uid="{00000000-0005-0000-0000-0000E82C0000}"/>
    <cellStyle name="Normal 5 7 3 2 7" xfId="6129" xr:uid="{00000000-0005-0000-0000-0000E92C0000}"/>
    <cellStyle name="Normal 5 7 3 2 7 2" xfId="17231" xr:uid="{00000000-0005-0000-0000-0000EA2C0000}"/>
    <cellStyle name="Normal 5 7 3 2 8" xfId="17232" xr:uid="{00000000-0005-0000-0000-0000EB2C0000}"/>
    <cellStyle name="Normal 5 7 3 3" xfId="6130" xr:uid="{00000000-0005-0000-0000-0000EC2C0000}"/>
    <cellStyle name="Normal 5 7 3 3 2" xfId="6131" xr:uid="{00000000-0005-0000-0000-0000ED2C0000}"/>
    <cellStyle name="Normal 5 7 3 3 2 2" xfId="6132" xr:uid="{00000000-0005-0000-0000-0000EE2C0000}"/>
    <cellStyle name="Normal 5 7 3 3 2 2 2" xfId="6133" xr:uid="{00000000-0005-0000-0000-0000EF2C0000}"/>
    <cellStyle name="Normal 5 7 3 3 2 2 2 2" xfId="17233" xr:uid="{00000000-0005-0000-0000-0000F02C0000}"/>
    <cellStyle name="Normal 5 7 3 3 2 2 3" xfId="6134" xr:uid="{00000000-0005-0000-0000-0000F12C0000}"/>
    <cellStyle name="Normal 5 7 3 3 2 2 3 2" xfId="17234" xr:uid="{00000000-0005-0000-0000-0000F22C0000}"/>
    <cellStyle name="Normal 5 7 3 3 2 2 4" xfId="17235" xr:uid="{00000000-0005-0000-0000-0000F32C0000}"/>
    <cellStyle name="Normal 5 7 3 3 2 3" xfId="6135" xr:uid="{00000000-0005-0000-0000-0000F42C0000}"/>
    <cellStyle name="Normal 5 7 3 3 2 3 2" xfId="6136" xr:uid="{00000000-0005-0000-0000-0000F52C0000}"/>
    <cellStyle name="Normal 5 7 3 3 2 3 2 2" xfId="17236" xr:uid="{00000000-0005-0000-0000-0000F62C0000}"/>
    <cellStyle name="Normal 5 7 3 3 2 3 3" xfId="6137" xr:uid="{00000000-0005-0000-0000-0000F72C0000}"/>
    <cellStyle name="Normal 5 7 3 3 2 3 3 2" xfId="17237" xr:uid="{00000000-0005-0000-0000-0000F82C0000}"/>
    <cellStyle name="Normal 5 7 3 3 2 3 4" xfId="17238" xr:uid="{00000000-0005-0000-0000-0000F92C0000}"/>
    <cellStyle name="Normal 5 7 3 3 2 4" xfId="6138" xr:uid="{00000000-0005-0000-0000-0000FA2C0000}"/>
    <cellStyle name="Normal 5 7 3 3 2 4 2" xfId="17239" xr:uid="{00000000-0005-0000-0000-0000FB2C0000}"/>
    <cellStyle name="Normal 5 7 3 3 2 5" xfId="6139" xr:uid="{00000000-0005-0000-0000-0000FC2C0000}"/>
    <cellStyle name="Normal 5 7 3 3 2 5 2" xfId="17240" xr:uid="{00000000-0005-0000-0000-0000FD2C0000}"/>
    <cellStyle name="Normal 5 7 3 3 2 6" xfId="17241" xr:uid="{00000000-0005-0000-0000-0000FE2C0000}"/>
    <cellStyle name="Normal 5 7 3 3 3" xfId="6140" xr:uid="{00000000-0005-0000-0000-0000FF2C0000}"/>
    <cellStyle name="Normal 5 7 3 3 3 2" xfId="6141" xr:uid="{00000000-0005-0000-0000-0000002D0000}"/>
    <cellStyle name="Normal 5 7 3 3 3 2 2" xfId="17242" xr:uid="{00000000-0005-0000-0000-0000012D0000}"/>
    <cellStyle name="Normal 5 7 3 3 3 3" xfId="6142" xr:uid="{00000000-0005-0000-0000-0000022D0000}"/>
    <cellStyle name="Normal 5 7 3 3 3 3 2" xfId="17243" xr:uid="{00000000-0005-0000-0000-0000032D0000}"/>
    <cellStyle name="Normal 5 7 3 3 3 4" xfId="17244" xr:uid="{00000000-0005-0000-0000-0000042D0000}"/>
    <cellStyle name="Normal 5 7 3 3 4" xfId="6143" xr:uid="{00000000-0005-0000-0000-0000052D0000}"/>
    <cellStyle name="Normal 5 7 3 3 4 2" xfId="6144" xr:uid="{00000000-0005-0000-0000-0000062D0000}"/>
    <cellStyle name="Normal 5 7 3 3 4 2 2" xfId="17245" xr:uid="{00000000-0005-0000-0000-0000072D0000}"/>
    <cellStyle name="Normal 5 7 3 3 4 3" xfId="6145" xr:uid="{00000000-0005-0000-0000-0000082D0000}"/>
    <cellStyle name="Normal 5 7 3 3 4 3 2" xfId="17246" xr:uid="{00000000-0005-0000-0000-0000092D0000}"/>
    <cellStyle name="Normal 5 7 3 3 4 4" xfId="17247" xr:uid="{00000000-0005-0000-0000-00000A2D0000}"/>
    <cellStyle name="Normal 5 7 3 3 5" xfId="6146" xr:uid="{00000000-0005-0000-0000-00000B2D0000}"/>
    <cellStyle name="Normal 5 7 3 3 5 2" xfId="17248" xr:uid="{00000000-0005-0000-0000-00000C2D0000}"/>
    <cellStyle name="Normal 5 7 3 3 6" xfId="6147" xr:uid="{00000000-0005-0000-0000-00000D2D0000}"/>
    <cellStyle name="Normal 5 7 3 3 6 2" xfId="17249" xr:uid="{00000000-0005-0000-0000-00000E2D0000}"/>
    <cellStyle name="Normal 5 7 3 3 7" xfId="17250" xr:uid="{00000000-0005-0000-0000-00000F2D0000}"/>
    <cellStyle name="Normal 5 7 3 4" xfId="6148" xr:uid="{00000000-0005-0000-0000-0000102D0000}"/>
    <cellStyle name="Normal 5 7 3 4 2" xfId="6149" xr:uid="{00000000-0005-0000-0000-0000112D0000}"/>
    <cellStyle name="Normal 5 7 3 4 2 2" xfId="6150" xr:uid="{00000000-0005-0000-0000-0000122D0000}"/>
    <cellStyle name="Normal 5 7 3 4 2 2 2" xfId="17251" xr:uid="{00000000-0005-0000-0000-0000132D0000}"/>
    <cellStyle name="Normal 5 7 3 4 2 3" xfId="6151" xr:uid="{00000000-0005-0000-0000-0000142D0000}"/>
    <cellStyle name="Normal 5 7 3 4 2 3 2" xfId="17252" xr:uid="{00000000-0005-0000-0000-0000152D0000}"/>
    <cellStyle name="Normal 5 7 3 4 2 4" xfId="17253" xr:uid="{00000000-0005-0000-0000-0000162D0000}"/>
    <cellStyle name="Normal 5 7 3 4 3" xfId="6152" xr:uid="{00000000-0005-0000-0000-0000172D0000}"/>
    <cellStyle name="Normal 5 7 3 4 3 2" xfId="6153" xr:uid="{00000000-0005-0000-0000-0000182D0000}"/>
    <cellStyle name="Normal 5 7 3 4 3 2 2" xfId="17254" xr:uid="{00000000-0005-0000-0000-0000192D0000}"/>
    <cellStyle name="Normal 5 7 3 4 3 3" xfId="6154" xr:uid="{00000000-0005-0000-0000-00001A2D0000}"/>
    <cellStyle name="Normal 5 7 3 4 3 3 2" xfId="17255" xr:uid="{00000000-0005-0000-0000-00001B2D0000}"/>
    <cellStyle name="Normal 5 7 3 4 3 4" xfId="17256" xr:uid="{00000000-0005-0000-0000-00001C2D0000}"/>
    <cellStyle name="Normal 5 7 3 4 4" xfId="6155" xr:uid="{00000000-0005-0000-0000-00001D2D0000}"/>
    <cellStyle name="Normal 5 7 3 4 4 2" xfId="17257" xr:uid="{00000000-0005-0000-0000-00001E2D0000}"/>
    <cellStyle name="Normal 5 7 3 4 5" xfId="6156" xr:uid="{00000000-0005-0000-0000-00001F2D0000}"/>
    <cellStyle name="Normal 5 7 3 4 5 2" xfId="17258" xr:uid="{00000000-0005-0000-0000-0000202D0000}"/>
    <cellStyle name="Normal 5 7 3 4 6" xfId="17259" xr:uid="{00000000-0005-0000-0000-0000212D0000}"/>
    <cellStyle name="Normal 5 7 3 5" xfId="6157" xr:uid="{00000000-0005-0000-0000-0000222D0000}"/>
    <cellStyle name="Normal 5 7 3 5 2" xfId="6158" xr:uid="{00000000-0005-0000-0000-0000232D0000}"/>
    <cellStyle name="Normal 5 7 3 5 2 2" xfId="6159" xr:uid="{00000000-0005-0000-0000-0000242D0000}"/>
    <cellStyle name="Normal 5 7 3 5 2 2 2" xfId="17260" xr:uid="{00000000-0005-0000-0000-0000252D0000}"/>
    <cellStyle name="Normal 5 7 3 5 2 3" xfId="6160" xr:uid="{00000000-0005-0000-0000-0000262D0000}"/>
    <cellStyle name="Normal 5 7 3 5 2 3 2" xfId="17261" xr:uid="{00000000-0005-0000-0000-0000272D0000}"/>
    <cellStyle name="Normal 5 7 3 5 2 4" xfId="17262" xr:uid="{00000000-0005-0000-0000-0000282D0000}"/>
    <cellStyle name="Normal 5 7 3 5 3" xfId="6161" xr:uid="{00000000-0005-0000-0000-0000292D0000}"/>
    <cellStyle name="Normal 5 7 3 5 3 2" xfId="6162" xr:uid="{00000000-0005-0000-0000-00002A2D0000}"/>
    <cellStyle name="Normal 5 7 3 5 3 2 2" xfId="17263" xr:uid="{00000000-0005-0000-0000-00002B2D0000}"/>
    <cellStyle name="Normal 5 7 3 5 3 3" xfId="6163" xr:uid="{00000000-0005-0000-0000-00002C2D0000}"/>
    <cellStyle name="Normal 5 7 3 5 3 3 2" xfId="17264" xr:uid="{00000000-0005-0000-0000-00002D2D0000}"/>
    <cellStyle name="Normal 5 7 3 5 3 4" xfId="17265" xr:uid="{00000000-0005-0000-0000-00002E2D0000}"/>
    <cellStyle name="Normal 5 7 3 5 4" xfId="6164" xr:uid="{00000000-0005-0000-0000-00002F2D0000}"/>
    <cellStyle name="Normal 5 7 3 5 4 2" xfId="17266" xr:uid="{00000000-0005-0000-0000-0000302D0000}"/>
    <cellStyle name="Normal 5 7 3 5 5" xfId="6165" xr:uid="{00000000-0005-0000-0000-0000312D0000}"/>
    <cellStyle name="Normal 5 7 3 5 5 2" xfId="17267" xr:uid="{00000000-0005-0000-0000-0000322D0000}"/>
    <cellStyle name="Normal 5 7 3 5 6" xfId="17268" xr:uid="{00000000-0005-0000-0000-0000332D0000}"/>
    <cellStyle name="Normal 5 7 3 6" xfId="6166" xr:uid="{00000000-0005-0000-0000-0000342D0000}"/>
    <cellStyle name="Normal 5 7 3 6 2" xfId="6167" xr:uid="{00000000-0005-0000-0000-0000352D0000}"/>
    <cellStyle name="Normal 5 7 3 6 2 2" xfId="17269" xr:uid="{00000000-0005-0000-0000-0000362D0000}"/>
    <cellStyle name="Normal 5 7 3 6 3" xfId="6168" xr:uid="{00000000-0005-0000-0000-0000372D0000}"/>
    <cellStyle name="Normal 5 7 3 6 3 2" xfId="17270" xr:uid="{00000000-0005-0000-0000-0000382D0000}"/>
    <cellStyle name="Normal 5 7 3 6 4" xfId="17271" xr:uid="{00000000-0005-0000-0000-0000392D0000}"/>
    <cellStyle name="Normal 5 7 3 7" xfId="6169" xr:uid="{00000000-0005-0000-0000-00003A2D0000}"/>
    <cellStyle name="Normal 5 7 3 7 2" xfId="6170" xr:uid="{00000000-0005-0000-0000-00003B2D0000}"/>
    <cellStyle name="Normal 5 7 3 7 2 2" xfId="17272" xr:uid="{00000000-0005-0000-0000-00003C2D0000}"/>
    <cellStyle name="Normal 5 7 3 7 3" xfId="6171" xr:uid="{00000000-0005-0000-0000-00003D2D0000}"/>
    <cellStyle name="Normal 5 7 3 7 3 2" xfId="17273" xr:uid="{00000000-0005-0000-0000-00003E2D0000}"/>
    <cellStyle name="Normal 5 7 3 7 4" xfId="17274" xr:uid="{00000000-0005-0000-0000-00003F2D0000}"/>
    <cellStyle name="Normal 5 7 3 8" xfId="6172" xr:uid="{00000000-0005-0000-0000-0000402D0000}"/>
    <cellStyle name="Normal 5 7 3 8 2" xfId="17275" xr:uid="{00000000-0005-0000-0000-0000412D0000}"/>
    <cellStyle name="Normal 5 7 3 9" xfId="6173" xr:uid="{00000000-0005-0000-0000-0000422D0000}"/>
    <cellStyle name="Normal 5 7 3 9 2" xfId="17276" xr:uid="{00000000-0005-0000-0000-0000432D0000}"/>
    <cellStyle name="Normal 5 7 4" xfId="6174" xr:uid="{00000000-0005-0000-0000-0000442D0000}"/>
    <cellStyle name="Normal 5 7 4 2" xfId="6175" xr:uid="{00000000-0005-0000-0000-0000452D0000}"/>
    <cellStyle name="Normal 5 7 4 2 2" xfId="6176" xr:uid="{00000000-0005-0000-0000-0000462D0000}"/>
    <cellStyle name="Normal 5 7 4 2 2 2" xfId="6177" xr:uid="{00000000-0005-0000-0000-0000472D0000}"/>
    <cellStyle name="Normal 5 7 4 2 2 2 2" xfId="17277" xr:uid="{00000000-0005-0000-0000-0000482D0000}"/>
    <cellStyle name="Normal 5 7 4 2 2 3" xfId="6178" xr:uid="{00000000-0005-0000-0000-0000492D0000}"/>
    <cellStyle name="Normal 5 7 4 2 2 3 2" xfId="17278" xr:uid="{00000000-0005-0000-0000-00004A2D0000}"/>
    <cellStyle name="Normal 5 7 4 2 2 4" xfId="17279" xr:uid="{00000000-0005-0000-0000-00004B2D0000}"/>
    <cellStyle name="Normal 5 7 4 2 3" xfId="6179" xr:uid="{00000000-0005-0000-0000-00004C2D0000}"/>
    <cellStyle name="Normal 5 7 4 2 3 2" xfId="6180" xr:uid="{00000000-0005-0000-0000-00004D2D0000}"/>
    <cellStyle name="Normal 5 7 4 2 3 2 2" xfId="17280" xr:uid="{00000000-0005-0000-0000-00004E2D0000}"/>
    <cellStyle name="Normal 5 7 4 2 3 3" xfId="6181" xr:uid="{00000000-0005-0000-0000-00004F2D0000}"/>
    <cellStyle name="Normal 5 7 4 2 3 3 2" xfId="17281" xr:uid="{00000000-0005-0000-0000-0000502D0000}"/>
    <cellStyle name="Normal 5 7 4 2 3 4" xfId="17282" xr:uid="{00000000-0005-0000-0000-0000512D0000}"/>
    <cellStyle name="Normal 5 7 4 2 4" xfId="6182" xr:uid="{00000000-0005-0000-0000-0000522D0000}"/>
    <cellStyle name="Normal 5 7 4 2 4 2" xfId="17283" xr:uid="{00000000-0005-0000-0000-0000532D0000}"/>
    <cellStyle name="Normal 5 7 4 2 5" xfId="6183" xr:uid="{00000000-0005-0000-0000-0000542D0000}"/>
    <cellStyle name="Normal 5 7 4 2 5 2" xfId="17284" xr:uid="{00000000-0005-0000-0000-0000552D0000}"/>
    <cellStyle name="Normal 5 7 4 2 6" xfId="17285" xr:uid="{00000000-0005-0000-0000-0000562D0000}"/>
    <cellStyle name="Normal 5 7 4 3" xfId="6184" xr:uid="{00000000-0005-0000-0000-0000572D0000}"/>
    <cellStyle name="Normal 5 7 4 3 2" xfId="6185" xr:uid="{00000000-0005-0000-0000-0000582D0000}"/>
    <cellStyle name="Normal 5 7 4 3 2 2" xfId="6186" xr:uid="{00000000-0005-0000-0000-0000592D0000}"/>
    <cellStyle name="Normal 5 7 4 3 2 2 2" xfId="17286" xr:uid="{00000000-0005-0000-0000-00005A2D0000}"/>
    <cellStyle name="Normal 5 7 4 3 2 3" xfId="6187" xr:uid="{00000000-0005-0000-0000-00005B2D0000}"/>
    <cellStyle name="Normal 5 7 4 3 2 3 2" xfId="17287" xr:uid="{00000000-0005-0000-0000-00005C2D0000}"/>
    <cellStyle name="Normal 5 7 4 3 2 4" xfId="17288" xr:uid="{00000000-0005-0000-0000-00005D2D0000}"/>
    <cellStyle name="Normal 5 7 4 3 3" xfId="6188" xr:uid="{00000000-0005-0000-0000-00005E2D0000}"/>
    <cellStyle name="Normal 5 7 4 3 3 2" xfId="6189" xr:uid="{00000000-0005-0000-0000-00005F2D0000}"/>
    <cellStyle name="Normal 5 7 4 3 3 2 2" xfId="17289" xr:uid="{00000000-0005-0000-0000-0000602D0000}"/>
    <cellStyle name="Normal 5 7 4 3 3 3" xfId="6190" xr:uid="{00000000-0005-0000-0000-0000612D0000}"/>
    <cellStyle name="Normal 5 7 4 3 3 3 2" xfId="17290" xr:uid="{00000000-0005-0000-0000-0000622D0000}"/>
    <cellStyle name="Normal 5 7 4 3 3 4" xfId="17291" xr:uid="{00000000-0005-0000-0000-0000632D0000}"/>
    <cellStyle name="Normal 5 7 4 3 4" xfId="6191" xr:uid="{00000000-0005-0000-0000-0000642D0000}"/>
    <cellStyle name="Normal 5 7 4 3 4 2" xfId="17292" xr:uid="{00000000-0005-0000-0000-0000652D0000}"/>
    <cellStyle name="Normal 5 7 4 3 5" xfId="6192" xr:uid="{00000000-0005-0000-0000-0000662D0000}"/>
    <cellStyle name="Normal 5 7 4 3 5 2" xfId="17293" xr:uid="{00000000-0005-0000-0000-0000672D0000}"/>
    <cellStyle name="Normal 5 7 4 3 6" xfId="17294" xr:uid="{00000000-0005-0000-0000-0000682D0000}"/>
    <cellStyle name="Normal 5 7 4 4" xfId="6193" xr:uid="{00000000-0005-0000-0000-0000692D0000}"/>
    <cellStyle name="Normal 5 7 4 4 2" xfId="6194" xr:uid="{00000000-0005-0000-0000-00006A2D0000}"/>
    <cellStyle name="Normal 5 7 4 4 2 2" xfId="17295" xr:uid="{00000000-0005-0000-0000-00006B2D0000}"/>
    <cellStyle name="Normal 5 7 4 4 3" xfId="6195" xr:uid="{00000000-0005-0000-0000-00006C2D0000}"/>
    <cellStyle name="Normal 5 7 4 4 3 2" xfId="17296" xr:uid="{00000000-0005-0000-0000-00006D2D0000}"/>
    <cellStyle name="Normal 5 7 4 4 4" xfId="17297" xr:uid="{00000000-0005-0000-0000-00006E2D0000}"/>
    <cellStyle name="Normal 5 7 4 5" xfId="6196" xr:uid="{00000000-0005-0000-0000-00006F2D0000}"/>
    <cellStyle name="Normal 5 7 4 5 2" xfId="6197" xr:uid="{00000000-0005-0000-0000-0000702D0000}"/>
    <cellStyle name="Normal 5 7 4 5 2 2" xfId="17298" xr:uid="{00000000-0005-0000-0000-0000712D0000}"/>
    <cellStyle name="Normal 5 7 4 5 3" xfId="6198" xr:uid="{00000000-0005-0000-0000-0000722D0000}"/>
    <cellStyle name="Normal 5 7 4 5 3 2" xfId="17299" xr:uid="{00000000-0005-0000-0000-0000732D0000}"/>
    <cellStyle name="Normal 5 7 4 5 4" xfId="17300" xr:uid="{00000000-0005-0000-0000-0000742D0000}"/>
    <cellStyle name="Normal 5 7 4 6" xfId="6199" xr:uid="{00000000-0005-0000-0000-0000752D0000}"/>
    <cellStyle name="Normal 5 7 4 6 2" xfId="17301" xr:uid="{00000000-0005-0000-0000-0000762D0000}"/>
    <cellStyle name="Normal 5 7 4 7" xfId="6200" xr:uid="{00000000-0005-0000-0000-0000772D0000}"/>
    <cellStyle name="Normal 5 7 4 7 2" xfId="17302" xr:uid="{00000000-0005-0000-0000-0000782D0000}"/>
    <cellStyle name="Normal 5 7 4 8" xfId="17303" xr:uid="{00000000-0005-0000-0000-0000792D0000}"/>
    <cellStyle name="Normal 5 7 5" xfId="6201" xr:uid="{00000000-0005-0000-0000-00007A2D0000}"/>
    <cellStyle name="Normal 5 7 5 2" xfId="6202" xr:uid="{00000000-0005-0000-0000-00007B2D0000}"/>
    <cellStyle name="Normal 5 7 5 2 2" xfId="6203" xr:uid="{00000000-0005-0000-0000-00007C2D0000}"/>
    <cellStyle name="Normal 5 7 5 2 2 2" xfId="6204" xr:uid="{00000000-0005-0000-0000-00007D2D0000}"/>
    <cellStyle name="Normal 5 7 5 2 2 2 2" xfId="17304" xr:uid="{00000000-0005-0000-0000-00007E2D0000}"/>
    <cellStyle name="Normal 5 7 5 2 2 3" xfId="6205" xr:uid="{00000000-0005-0000-0000-00007F2D0000}"/>
    <cellStyle name="Normal 5 7 5 2 2 3 2" xfId="17305" xr:uid="{00000000-0005-0000-0000-0000802D0000}"/>
    <cellStyle name="Normal 5 7 5 2 2 4" xfId="17306" xr:uid="{00000000-0005-0000-0000-0000812D0000}"/>
    <cellStyle name="Normal 5 7 5 2 3" xfId="6206" xr:uid="{00000000-0005-0000-0000-0000822D0000}"/>
    <cellStyle name="Normal 5 7 5 2 3 2" xfId="6207" xr:uid="{00000000-0005-0000-0000-0000832D0000}"/>
    <cellStyle name="Normal 5 7 5 2 3 2 2" xfId="17307" xr:uid="{00000000-0005-0000-0000-0000842D0000}"/>
    <cellStyle name="Normal 5 7 5 2 3 3" xfId="6208" xr:uid="{00000000-0005-0000-0000-0000852D0000}"/>
    <cellStyle name="Normal 5 7 5 2 3 3 2" xfId="17308" xr:uid="{00000000-0005-0000-0000-0000862D0000}"/>
    <cellStyle name="Normal 5 7 5 2 3 4" xfId="17309" xr:uid="{00000000-0005-0000-0000-0000872D0000}"/>
    <cellStyle name="Normal 5 7 5 2 4" xfId="6209" xr:uid="{00000000-0005-0000-0000-0000882D0000}"/>
    <cellStyle name="Normal 5 7 5 2 4 2" xfId="17310" xr:uid="{00000000-0005-0000-0000-0000892D0000}"/>
    <cellStyle name="Normal 5 7 5 2 5" xfId="6210" xr:uid="{00000000-0005-0000-0000-00008A2D0000}"/>
    <cellStyle name="Normal 5 7 5 2 5 2" xfId="17311" xr:uid="{00000000-0005-0000-0000-00008B2D0000}"/>
    <cellStyle name="Normal 5 7 5 2 6" xfId="17312" xr:uid="{00000000-0005-0000-0000-00008C2D0000}"/>
    <cellStyle name="Normal 5 7 5 3" xfId="6211" xr:uid="{00000000-0005-0000-0000-00008D2D0000}"/>
    <cellStyle name="Normal 5 7 5 3 2" xfId="6212" xr:uid="{00000000-0005-0000-0000-00008E2D0000}"/>
    <cellStyle name="Normal 5 7 5 3 2 2" xfId="17313" xr:uid="{00000000-0005-0000-0000-00008F2D0000}"/>
    <cellStyle name="Normal 5 7 5 3 3" xfId="6213" xr:uid="{00000000-0005-0000-0000-0000902D0000}"/>
    <cellStyle name="Normal 5 7 5 3 3 2" xfId="17314" xr:uid="{00000000-0005-0000-0000-0000912D0000}"/>
    <cellStyle name="Normal 5 7 5 3 4" xfId="17315" xr:uid="{00000000-0005-0000-0000-0000922D0000}"/>
    <cellStyle name="Normal 5 7 5 4" xfId="6214" xr:uid="{00000000-0005-0000-0000-0000932D0000}"/>
    <cellStyle name="Normal 5 7 5 4 2" xfId="6215" xr:uid="{00000000-0005-0000-0000-0000942D0000}"/>
    <cellStyle name="Normal 5 7 5 4 2 2" xfId="17316" xr:uid="{00000000-0005-0000-0000-0000952D0000}"/>
    <cellStyle name="Normal 5 7 5 4 3" xfId="6216" xr:uid="{00000000-0005-0000-0000-0000962D0000}"/>
    <cellStyle name="Normal 5 7 5 4 3 2" xfId="17317" xr:uid="{00000000-0005-0000-0000-0000972D0000}"/>
    <cellStyle name="Normal 5 7 5 4 4" xfId="17318" xr:uid="{00000000-0005-0000-0000-0000982D0000}"/>
    <cellStyle name="Normal 5 7 5 5" xfId="6217" xr:uid="{00000000-0005-0000-0000-0000992D0000}"/>
    <cellStyle name="Normal 5 7 5 5 2" xfId="17319" xr:uid="{00000000-0005-0000-0000-00009A2D0000}"/>
    <cellStyle name="Normal 5 7 5 6" xfId="6218" xr:uid="{00000000-0005-0000-0000-00009B2D0000}"/>
    <cellStyle name="Normal 5 7 5 6 2" xfId="17320" xr:uid="{00000000-0005-0000-0000-00009C2D0000}"/>
    <cellStyle name="Normal 5 7 5 7" xfId="17321" xr:uid="{00000000-0005-0000-0000-00009D2D0000}"/>
    <cellStyle name="Normal 5 7 6" xfId="6219" xr:uid="{00000000-0005-0000-0000-00009E2D0000}"/>
    <cellStyle name="Normal 5 7 6 2" xfId="6220" xr:uid="{00000000-0005-0000-0000-00009F2D0000}"/>
    <cellStyle name="Normal 5 7 6 2 2" xfId="6221" xr:uid="{00000000-0005-0000-0000-0000A02D0000}"/>
    <cellStyle name="Normal 5 7 6 2 2 2" xfId="17322" xr:uid="{00000000-0005-0000-0000-0000A12D0000}"/>
    <cellStyle name="Normal 5 7 6 2 3" xfId="6222" xr:uid="{00000000-0005-0000-0000-0000A22D0000}"/>
    <cellStyle name="Normal 5 7 6 2 3 2" xfId="17323" xr:uid="{00000000-0005-0000-0000-0000A32D0000}"/>
    <cellStyle name="Normal 5 7 6 2 4" xfId="17324" xr:uid="{00000000-0005-0000-0000-0000A42D0000}"/>
    <cellStyle name="Normal 5 7 6 3" xfId="6223" xr:uid="{00000000-0005-0000-0000-0000A52D0000}"/>
    <cellStyle name="Normal 5 7 6 3 2" xfId="6224" xr:uid="{00000000-0005-0000-0000-0000A62D0000}"/>
    <cellStyle name="Normal 5 7 6 3 2 2" xfId="17325" xr:uid="{00000000-0005-0000-0000-0000A72D0000}"/>
    <cellStyle name="Normal 5 7 6 3 3" xfId="6225" xr:uid="{00000000-0005-0000-0000-0000A82D0000}"/>
    <cellStyle name="Normal 5 7 6 3 3 2" xfId="17326" xr:uid="{00000000-0005-0000-0000-0000A92D0000}"/>
    <cellStyle name="Normal 5 7 6 3 4" xfId="17327" xr:uid="{00000000-0005-0000-0000-0000AA2D0000}"/>
    <cellStyle name="Normal 5 7 6 4" xfId="6226" xr:uid="{00000000-0005-0000-0000-0000AB2D0000}"/>
    <cellStyle name="Normal 5 7 6 4 2" xfId="17328" xr:uid="{00000000-0005-0000-0000-0000AC2D0000}"/>
    <cellStyle name="Normal 5 7 6 5" xfId="6227" xr:uid="{00000000-0005-0000-0000-0000AD2D0000}"/>
    <cellStyle name="Normal 5 7 6 5 2" xfId="17329" xr:uid="{00000000-0005-0000-0000-0000AE2D0000}"/>
    <cellStyle name="Normal 5 7 6 6" xfId="17330" xr:uid="{00000000-0005-0000-0000-0000AF2D0000}"/>
    <cellStyle name="Normal 5 7 7" xfId="6228" xr:uid="{00000000-0005-0000-0000-0000B02D0000}"/>
    <cellStyle name="Normal 5 7 7 2" xfId="6229" xr:uid="{00000000-0005-0000-0000-0000B12D0000}"/>
    <cellStyle name="Normal 5 7 7 2 2" xfId="6230" xr:uid="{00000000-0005-0000-0000-0000B22D0000}"/>
    <cellStyle name="Normal 5 7 7 2 2 2" xfId="17331" xr:uid="{00000000-0005-0000-0000-0000B32D0000}"/>
    <cellStyle name="Normal 5 7 7 2 3" xfId="6231" xr:uid="{00000000-0005-0000-0000-0000B42D0000}"/>
    <cellStyle name="Normal 5 7 7 2 3 2" xfId="17332" xr:uid="{00000000-0005-0000-0000-0000B52D0000}"/>
    <cellStyle name="Normal 5 7 7 2 4" xfId="17333" xr:uid="{00000000-0005-0000-0000-0000B62D0000}"/>
    <cellStyle name="Normal 5 7 7 3" xfId="6232" xr:uid="{00000000-0005-0000-0000-0000B72D0000}"/>
    <cellStyle name="Normal 5 7 7 3 2" xfId="6233" xr:uid="{00000000-0005-0000-0000-0000B82D0000}"/>
    <cellStyle name="Normal 5 7 7 3 2 2" xfId="17334" xr:uid="{00000000-0005-0000-0000-0000B92D0000}"/>
    <cellStyle name="Normal 5 7 7 3 3" xfId="6234" xr:uid="{00000000-0005-0000-0000-0000BA2D0000}"/>
    <cellStyle name="Normal 5 7 7 3 3 2" xfId="17335" xr:uid="{00000000-0005-0000-0000-0000BB2D0000}"/>
    <cellStyle name="Normal 5 7 7 3 4" xfId="17336" xr:uid="{00000000-0005-0000-0000-0000BC2D0000}"/>
    <cellStyle name="Normal 5 7 7 4" xfId="6235" xr:uid="{00000000-0005-0000-0000-0000BD2D0000}"/>
    <cellStyle name="Normal 5 7 7 4 2" xfId="17337" xr:uid="{00000000-0005-0000-0000-0000BE2D0000}"/>
    <cellStyle name="Normal 5 7 7 5" xfId="6236" xr:uid="{00000000-0005-0000-0000-0000BF2D0000}"/>
    <cellStyle name="Normal 5 7 7 5 2" xfId="17338" xr:uid="{00000000-0005-0000-0000-0000C02D0000}"/>
    <cellStyle name="Normal 5 7 7 6" xfId="17339" xr:uid="{00000000-0005-0000-0000-0000C12D0000}"/>
    <cellStyle name="Normal 5 7 8" xfId="12441" xr:uid="{00000000-0005-0000-0000-0000C22D0000}"/>
    <cellStyle name="Normal 5 8" xfId="6237" xr:uid="{00000000-0005-0000-0000-0000C32D0000}"/>
    <cellStyle name="Normal 5 8 10" xfId="6238" xr:uid="{00000000-0005-0000-0000-0000C42D0000}"/>
    <cellStyle name="Normal 5 8 10 2" xfId="17340" xr:uid="{00000000-0005-0000-0000-0000C52D0000}"/>
    <cellStyle name="Normal 5 8 11" xfId="12442" xr:uid="{00000000-0005-0000-0000-0000C62D0000}"/>
    <cellStyle name="Normal 5 8 2" xfId="6239" xr:uid="{00000000-0005-0000-0000-0000C72D0000}"/>
    <cellStyle name="Normal 5 8 2 10" xfId="17341" xr:uid="{00000000-0005-0000-0000-0000C82D0000}"/>
    <cellStyle name="Normal 5 8 2 2" xfId="6240" xr:uid="{00000000-0005-0000-0000-0000C92D0000}"/>
    <cellStyle name="Normal 5 8 2 2 2" xfId="6241" xr:uid="{00000000-0005-0000-0000-0000CA2D0000}"/>
    <cellStyle name="Normal 5 8 2 2 2 2" xfId="6242" xr:uid="{00000000-0005-0000-0000-0000CB2D0000}"/>
    <cellStyle name="Normal 5 8 2 2 2 2 2" xfId="6243" xr:uid="{00000000-0005-0000-0000-0000CC2D0000}"/>
    <cellStyle name="Normal 5 8 2 2 2 2 2 2" xfId="17342" xr:uid="{00000000-0005-0000-0000-0000CD2D0000}"/>
    <cellStyle name="Normal 5 8 2 2 2 2 3" xfId="6244" xr:uid="{00000000-0005-0000-0000-0000CE2D0000}"/>
    <cellStyle name="Normal 5 8 2 2 2 2 3 2" xfId="17343" xr:uid="{00000000-0005-0000-0000-0000CF2D0000}"/>
    <cellStyle name="Normal 5 8 2 2 2 2 4" xfId="17344" xr:uid="{00000000-0005-0000-0000-0000D02D0000}"/>
    <cellStyle name="Normal 5 8 2 2 2 3" xfId="6245" xr:uid="{00000000-0005-0000-0000-0000D12D0000}"/>
    <cellStyle name="Normal 5 8 2 2 2 3 2" xfId="6246" xr:uid="{00000000-0005-0000-0000-0000D22D0000}"/>
    <cellStyle name="Normal 5 8 2 2 2 3 2 2" xfId="17345" xr:uid="{00000000-0005-0000-0000-0000D32D0000}"/>
    <cellStyle name="Normal 5 8 2 2 2 3 3" xfId="6247" xr:uid="{00000000-0005-0000-0000-0000D42D0000}"/>
    <cellStyle name="Normal 5 8 2 2 2 3 3 2" xfId="17346" xr:uid="{00000000-0005-0000-0000-0000D52D0000}"/>
    <cellStyle name="Normal 5 8 2 2 2 3 4" xfId="17347" xr:uid="{00000000-0005-0000-0000-0000D62D0000}"/>
    <cellStyle name="Normal 5 8 2 2 2 4" xfId="6248" xr:uid="{00000000-0005-0000-0000-0000D72D0000}"/>
    <cellStyle name="Normal 5 8 2 2 2 4 2" xfId="17348" xr:uid="{00000000-0005-0000-0000-0000D82D0000}"/>
    <cellStyle name="Normal 5 8 2 2 2 5" xfId="6249" xr:uid="{00000000-0005-0000-0000-0000D92D0000}"/>
    <cellStyle name="Normal 5 8 2 2 2 5 2" xfId="17349" xr:uid="{00000000-0005-0000-0000-0000DA2D0000}"/>
    <cellStyle name="Normal 5 8 2 2 2 6" xfId="17350" xr:uid="{00000000-0005-0000-0000-0000DB2D0000}"/>
    <cellStyle name="Normal 5 8 2 2 3" xfId="6250" xr:uid="{00000000-0005-0000-0000-0000DC2D0000}"/>
    <cellStyle name="Normal 5 8 2 2 3 2" xfId="6251" xr:uid="{00000000-0005-0000-0000-0000DD2D0000}"/>
    <cellStyle name="Normal 5 8 2 2 3 2 2" xfId="6252" xr:uid="{00000000-0005-0000-0000-0000DE2D0000}"/>
    <cellStyle name="Normal 5 8 2 2 3 2 2 2" xfId="17351" xr:uid="{00000000-0005-0000-0000-0000DF2D0000}"/>
    <cellStyle name="Normal 5 8 2 2 3 2 3" xfId="6253" xr:uid="{00000000-0005-0000-0000-0000E02D0000}"/>
    <cellStyle name="Normal 5 8 2 2 3 2 3 2" xfId="17352" xr:uid="{00000000-0005-0000-0000-0000E12D0000}"/>
    <cellStyle name="Normal 5 8 2 2 3 2 4" xfId="17353" xr:uid="{00000000-0005-0000-0000-0000E22D0000}"/>
    <cellStyle name="Normal 5 8 2 2 3 3" xfId="6254" xr:uid="{00000000-0005-0000-0000-0000E32D0000}"/>
    <cellStyle name="Normal 5 8 2 2 3 3 2" xfId="6255" xr:uid="{00000000-0005-0000-0000-0000E42D0000}"/>
    <cellStyle name="Normal 5 8 2 2 3 3 2 2" xfId="17354" xr:uid="{00000000-0005-0000-0000-0000E52D0000}"/>
    <cellStyle name="Normal 5 8 2 2 3 3 3" xfId="6256" xr:uid="{00000000-0005-0000-0000-0000E62D0000}"/>
    <cellStyle name="Normal 5 8 2 2 3 3 3 2" xfId="17355" xr:uid="{00000000-0005-0000-0000-0000E72D0000}"/>
    <cellStyle name="Normal 5 8 2 2 3 3 4" xfId="17356" xr:uid="{00000000-0005-0000-0000-0000E82D0000}"/>
    <cellStyle name="Normal 5 8 2 2 3 4" xfId="6257" xr:uid="{00000000-0005-0000-0000-0000E92D0000}"/>
    <cellStyle name="Normal 5 8 2 2 3 4 2" xfId="17357" xr:uid="{00000000-0005-0000-0000-0000EA2D0000}"/>
    <cellStyle name="Normal 5 8 2 2 3 5" xfId="6258" xr:uid="{00000000-0005-0000-0000-0000EB2D0000}"/>
    <cellStyle name="Normal 5 8 2 2 3 5 2" xfId="17358" xr:uid="{00000000-0005-0000-0000-0000EC2D0000}"/>
    <cellStyle name="Normal 5 8 2 2 3 6" xfId="17359" xr:uid="{00000000-0005-0000-0000-0000ED2D0000}"/>
    <cellStyle name="Normal 5 8 2 2 4" xfId="6259" xr:uid="{00000000-0005-0000-0000-0000EE2D0000}"/>
    <cellStyle name="Normal 5 8 2 2 4 2" xfId="6260" xr:uid="{00000000-0005-0000-0000-0000EF2D0000}"/>
    <cellStyle name="Normal 5 8 2 2 4 2 2" xfId="17360" xr:uid="{00000000-0005-0000-0000-0000F02D0000}"/>
    <cellStyle name="Normal 5 8 2 2 4 3" xfId="6261" xr:uid="{00000000-0005-0000-0000-0000F12D0000}"/>
    <cellStyle name="Normal 5 8 2 2 4 3 2" xfId="17361" xr:uid="{00000000-0005-0000-0000-0000F22D0000}"/>
    <cellStyle name="Normal 5 8 2 2 4 4" xfId="17362" xr:uid="{00000000-0005-0000-0000-0000F32D0000}"/>
    <cellStyle name="Normal 5 8 2 2 5" xfId="6262" xr:uid="{00000000-0005-0000-0000-0000F42D0000}"/>
    <cellStyle name="Normal 5 8 2 2 5 2" xfId="6263" xr:uid="{00000000-0005-0000-0000-0000F52D0000}"/>
    <cellStyle name="Normal 5 8 2 2 5 2 2" xfId="17363" xr:uid="{00000000-0005-0000-0000-0000F62D0000}"/>
    <cellStyle name="Normal 5 8 2 2 5 3" xfId="6264" xr:uid="{00000000-0005-0000-0000-0000F72D0000}"/>
    <cellStyle name="Normal 5 8 2 2 5 3 2" xfId="17364" xr:uid="{00000000-0005-0000-0000-0000F82D0000}"/>
    <cellStyle name="Normal 5 8 2 2 5 4" xfId="17365" xr:uid="{00000000-0005-0000-0000-0000F92D0000}"/>
    <cellStyle name="Normal 5 8 2 2 6" xfId="6265" xr:uid="{00000000-0005-0000-0000-0000FA2D0000}"/>
    <cellStyle name="Normal 5 8 2 2 6 2" xfId="17366" xr:uid="{00000000-0005-0000-0000-0000FB2D0000}"/>
    <cellStyle name="Normal 5 8 2 2 7" xfId="6266" xr:uid="{00000000-0005-0000-0000-0000FC2D0000}"/>
    <cellStyle name="Normal 5 8 2 2 7 2" xfId="17367" xr:uid="{00000000-0005-0000-0000-0000FD2D0000}"/>
    <cellStyle name="Normal 5 8 2 2 8" xfId="17368" xr:uid="{00000000-0005-0000-0000-0000FE2D0000}"/>
    <cellStyle name="Normal 5 8 2 3" xfId="6267" xr:uid="{00000000-0005-0000-0000-0000FF2D0000}"/>
    <cellStyle name="Normal 5 8 2 3 2" xfId="6268" xr:uid="{00000000-0005-0000-0000-0000002E0000}"/>
    <cellStyle name="Normal 5 8 2 3 2 2" xfId="6269" xr:uid="{00000000-0005-0000-0000-0000012E0000}"/>
    <cellStyle name="Normal 5 8 2 3 2 2 2" xfId="6270" xr:uid="{00000000-0005-0000-0000-0000022E0000}"/>
    <cellStyle name="Normal 5 8 2 3 2 2 2 2" xfId="17369" xr:uid="{00000000-0005-0000-0000-0000032E0000}"/>
    <cellStyle name="Normal 5 8 2 3 2 2 3" xfId="6271" xr:uid="{00000000-0005-0000-0000-0000042E0000}"/>
    <cellStyle name="Normal 5 8 2 3 2 2 3 2" xfId="17370" xr:uid="{00000000-0005-0000-0000-0000052E0000}"/>
    <cellStyle name="Normal 5 8 2 3 2 2 4" xfId="17371" xr:uid="{00000000-0005-0000-0000-0000062E0000}"/>
    <cellStyle name="Normal 5 8 2 3 2 3" xfId="6272" xr:uid="{00000000-0005-0000-0000-0000072E0000}"/>
    <cellStyle name="Normal 5 8 2 3 2 3 2" xfId="6273" xr:uid="{00000000-0005-0000-0000-0000082E0000}"/>
    <cellStyle name="Normal 5 8 2 3 2 3 2 2" xfId="17372" xr:uid="{00000000-0005-0000-0000-0000092E0000}"/>
    <cellStyle name="Normal 5 8 2 3 2 3 3" xfId="6274" xr:uid="{00000000-0005-0000-0000-00000A2E0000}"/>
    <cellStyle name="Normal 5 8 2 3 2 3 3 2" xfId="17373" xr:uid="{00000000-0005-0000-0000-00000B2E0000}"/>
    <cellStyle name="Normal 5 8 2 3 2 3 4" xfId="17374" xr:uid="{00000000-0005-0000-0000-00000C2E0000}"/>
    <cellStyle name="Normal 5 8 2 3 2 4" xfId="6275" xr:uid="{00000000-0005-0000-0000-00000D2E0000}"/>
    <cellStyle name="Normal 5 8 2 3 2 4 2" xfId="17375" xr:uid="{00000000-0005-0000-0000-00000E2E0000}"/>
    <cellStyle name="Normal 5 8 2 3 2 5" xfId="6276" xr:uid="{00000000-0005-0000-0000-00000F2E0000}"/>
    <cellStyle name="Normal 5 8 2 3 2 5 2" xfId="17376" xr:uid="{00000000-0005-0000-0000-0000102E0000}"/>
    <cellStyle name="Normal 5 8 2 3 2 6" xfId="17377" xr:uid="{00000000-0005-0000-0000-0000112E0000}"/>
    <cellStyle name="Normal 5 8 2 3 3" xfId="6277" xr:uid="{00000000-0005-0000-0000-0000122E0000}"/>
    <cellStyle name="Normal 5 8 2 3 3 2" xfId="6278" xr:uid="{00000000-0005-0000-0000-0000132E0000}"/>
    <cellStyle name="Normal 5 8 2 3 3 2 2" xfId="17378" xr:uid="{00000000-0005-0000-0000-0000142E0000}"/>
    <cellStyle name="Normal 5 8 2 3 3 3" xfId="6279" xr:uid="{00000000-0005-0000-0000-0000152E0000}"/>
    <cellStyle name="Normal 5 8 2 3 3 3 2" xfId="17379" xr:uid="{00000000-0005-0000-0000-0000162E0000}"/>
    <cellStyle name="Normal 5 8 2 3 3 4" xfId="17380" xr:uid="{00000000-0005-0000-0000-0000172E0000}"/>
    <cellStyle name="Normal 5 8 2 3 4" xfId="6280" xr:uid="{00000000-0005-0000-0000-0000182E0000}"/>
    <cellStyle name="Normal 5 8 2 3 4 2" xfId="6281" xr:uid="{00000000-0005-0000-0000-0000192E0000}"/>
    <cellStyle name="Normal 5 8 2 3 4 2 2" xfId="17381" xr:uid="{00000000-0005-0000-0000-00001A2E0000}"/>
    <cellStyle name="Normal 5 8 2 3 4 3" xfId="6282" xr:uid="{00000000-0005-0000-0000-00001B2E0000}"/>
    <cellStyle name="Normal 5 8 2 3 4 3 2" xfId="17382" xr:uid="{00000000-0005-0000-0000-00001C2E0000}"/>
    <cellStyle name="Normal 5 8 2 3 4 4" xfId="17383" xr:uid="{00000000-0005-0000-0000-00001D2E0000}"/>
    <cellStyle name="Normal 5 8 2 3 5" xfId="6283" xr:uid="{00000000-0005-0000-0000-00001E2E0000}"/>
    <cellStyle name="Normal 5 8 2 3 5 2" xfId="17384" xr:uid="{00000000-0005-0000-0000-00001F2E0000}"/>
    <cellStyle name="Normal 5 8 2 3 6" xfId="6284" xr:uid="{00000000-0005-0000-0000-0000202E0000}"/>
    <cellStyle name="Normal 5 8 2 3 6 2" xfId="17385" xr:uid="{00000000-0005-0000-0000-0000212E0000}"/>
    <cellStyle name="Normal 5 8 2 3 7" xfId="17386" xr:uid="{00000000-0005-0000-0000-0000222E0000}"/>
    <cellStyle name="Normal 5 8 2 4" xfId="6285" xr:uid="{00000000-0005-0000-0000-0000232E0000}"/>
    <cellStyle name="Normal 5 8 2 4 2" xfId="6286" xr:uid="{00000000-0005-0000-0000-0000242E0000}"/>
    <cellStyle name="Normal 5 8 2 4 2 2" xfId="6287" xr:uid="{00000000-0005-0000-0000-0000252E0000}"/>
    <cellStyle name="Normal 5 8 2 4 2 2 2" xfId="17387" xr:uid="{00000000-0005-0000-0000-0000262E0000}"/>
    <cellStyle name="Normal 5 8 2 4 2 3" xfId="6288" xr:uid="{00000000-0005-0000-0000-0000272E0000}"/>
    <cellStyle name="Normal 5 8 2 4 2 3 2" xfId="17388" xr:uid="{00000000-0005-0000-0000-0000282E0000}"/>
    <cellStyle name="Normal 5 8 2 4 2 4" xfId="17389" xr:uid="{00000000-0005-0000-0000-0000292E0000}"/>
    <cellStyle name="Normal 5 8 2 4 3" xfId="6289" xr:uid="{00000000-0005-0000-0000-00002A2E0000}"/>
    <cellStyle name="Normal 5 8 2 4 3 2" xfId="6290" xr:uid="{00000000-0005-0000-0000-00002B2E0000}"/>
    <cellStyle name="Normal 5 8 2 4 3 2 2" xfId="17390" xr:uid="{00000000-0005-0000-0000-00002C2E0000}"/>
    <cellStyle name="Normal 5 8 2 4 3 3" xfId="6291" xr:uid="{00000000-0005-0000-0000-00002D2E0000}"/>
    <cellStyle name="Normal 5 8 2 4 3 3 2" xfId="17391" xr:uid="{00000000-0005-0000-0000-00002E2E0000}"/>
    <cellStyle name="Normal 5 8 2 4 3 4" xfId="17392" xr:uid="{00000000-0005-0000-0000-00002F2E0000}"/>
    <cellStyle name="Normal 5 8 2 4 4" xfId="6292" xr:uid="{00000000-0005-0000-0000-0000302E0000}"/>
    <cellStyle name="Normal 5 8 2 4 4 2" xfId="17393" xr:uid="{00000000-0005-0000-0000-0000312E0000}"/>
    <cellStyle name="Normal 5 8 2 4 5" xfId="6293" xr:uid="{00000000-0005-0000-0000-0000322E0000}"/>
    <cellStyle name="Normal 5 8 2 4 5 2" xfId="17394" xr:uid="{00000000-0005-0000-0000-0000332E0000}"/>
    <cellStyle name="Normal 5 8 2 4 6" xfId="17395" xr:uid="{00000000-0005-0000-0000-0000342E0000}"/>
    <cellStyle name="Normal 5 8 2 5" xfId="6294" xr:uid="{00000000-0005-0000-0000-0000352E0000}"/>
    <cellStyle name="Normal 5 8 2 5 2" xfId="6295" xr:uid="{00000000-0005-0000-0000-0000362E0000}"/>
    <cellStyle name="Normal 5 8 2 5 2 2" xfId="6296" xr:uid="{00000000-0005-0000-0000-0000372E0000}"/>
    <cellStyle name="Normal 5 8 2 5 2 2 2" xfId="17396" xr:uid="{00000000-0005-0000-0000-0000382E0000}"/>
    <cellStyle name="Normal 5 8 2 5 2 3" xfId="6297" xr:uid="{00000000-0005-0000-0000-0000392E0000}"/>
    <cellStyle name="Normal 5 8 2 5 2 3 2" xfId="17397" xr:uid="{00000000-0005-0000-0000-00003A2E0000}"/>
    <cellStyle name="Normal 5 8 2 5 2 4" xfId="17398" xr:uid="{00000000-0005-0000-0000-00003B2E0000}"/>
    <cellStyle name="Normal 5 8 2 5 3" xfId="6298" xr:uid="{00000000-0005-0000-0000-00003C2E0000}"/>
    <cellStyle name="Normal 5 8 2 5 3 2" xfId="6299" xr:uid="{00000000-0005-0000-0000-00003D2E0000}"/>
    <cellStyle name="Normal 5 8 2 5 3 2 2" xfId="17399" xr:uid="{00000000-0005-0000-0000-00003E2E0000}"/>
    <cellStyle name="Normal 5 8 2 5 3 3" xfId="6300" xr:uid="{00000000-0005-0000-0000-00003F2E0000}"/>
    <cellStyle name="Normal 5 8 2 5 3 3 2" xfId="17400" xr:uid="{00000000-0005-0000-0000-0000402E0000}"/>
    <cellStyle name="Normal 5 8 2 5 3 4" xfId="17401" xr:uid="{00000000-0005-0000-0000-0000412E0000}"/>
    <cellStyle name="Normal 5 8 2 5 4" xfId="6301" xr:uid="{00000000-0005-0000-0000-0000422E0000}"/>
    <cellStyle name="Normal 5 8 2 5 4 2" xfId="17402" xr:uid="{00000000-0005-0000-0000-0000432E0000}"/>
    <cellStyle name="Normal 5 8 2 5 5" xfId="6302" xr:uid="{00000000-0005-0000-0000-0000442E0000}"/>
    <cellStyle name="Normal 5 8 2 5 5 2" xfId="17403" xr:uid="{00000000-0005-0000-0000-0000452E0000}"/>
    <cellStyle name="Normal 5 8 2 5 6" xfId="17404" xr:uid="{00000000-0005-0000-0000-0000462E0000}"/>
    <cellStyle name="Normal 5 8 2 6" xfId="6303" xr:uid="{00000000-0005-0000-0000-0000472E0000}"/>
    <cellStyle name="Normal 5 8 2 6 2" xfId="6304" xr:uid="{00000000-0005-0000-0000-0000482E0000}"/>
    <cellStyle name="Normal 5 8 2 6 2 2" xfId="17405" xr:uid="{00000000-0005-0000-0000-0000492E0000}"/>
    <cellStyle name="Normal 5 8 2 6 3" xfId="6305" xr:uid="{00000000-0005-0000-0000-00004A2E0000}"/>
    <cellStyle name="Normal 5 8 2 6 3 2" xfId="17406" xr:uid="{00000000-0005-0000-0000-00004B2E0000}"/>
    <cellStyle name="Normal 5 8 2 6 4" xfId="17407" xr:uid="{00000000-0005-0000-0000-00004C2E0000}"/>
    <cellStyle name="Normal 5 8 2 7" xfId="6306" xr:uid="{00000000-0005-0000-0000-00004D2E0000}"/>
    <cellStyle name="Normal 5 8 2 7 2" xfId="6307" xr:uid="{00000000-0005-0000-0000-00004E2E0000}"/>
    <cellStyle name="Normal 5 8 2 7 2 2" xfId="17408" xr:uid="{00000000-0005-0000-0000-00004F2E0000}"/>
    <cellStyle name="Normal 5 8 2 7 3" xfId="6308" xr:uid="{00000000-0005-0000-0000-0000502E0000}"/>
    <cellStyle name="Normal 5 8 2 7 3 2" xfId="17409" xr:uid="{00000000-0005-0000-0000-0000512E0000}"/>
    <cellStyle name="Normal 5 8 2 7 4" xfId="17410" xr:uid="{00000000-0005-0000-0000-0000522E0000}"/>
    <cellStyle name="Normal 5 8 2 8" xfId="6309" xr:uid="{00000000-0005-0000-0000-0000532E0000}"/>
    <cellStyle name="Normal 5 8 2 8 2" xfId="17411" xr:uid="{00000000-0005-0000-0000-0000542E0000}"/>
    <cellStyle name="Normal 5 8 2 9" xfId="6310" xr:uid="{00000000-0005-0000-0000-0000552E0000}"/>
    <cellStyle name="Normal 5 8 2 9 2" xfId="17412" xr:uid="{00000000-0005-0000-0000-0000562E0000}"/>
    <cellStyle name="Normal 5 8 3" xfId="6311" xr:uid="{00000000-0005-0000-0000-0000572E0000}"/>
    <cellStyle name="Normal 5 8 3 2" xfId="6312" xr:uid="{00000000-0005-0000-0000-0000582E0000}"/>
    <cellStyle name="Normal 5 8 3 2 2" xfId="6313" xr:uid="{00000000-0005-0000-0000-0000592E0000}"/>
    <cellStyle name="Normal 5 8 3 2 2 2" xfId="6314" xr:uid="{00000000-0005-0000-0000-00005A2E0000}"/>
    <cellStyle name="Normal 5 8 3 2 2 2 2" xfId="17413" xr:uid="{00000000-0005-0000-0000-00005B2E0000}"/>
    <cellStyle name="Normal 5 8 3 2 2 3" xfId="6315" xr:uid="{00000000-0005-0000-0000-00005C2E0000}"/>
    <cellStyle name="Normal 5 8 3 2 2 3 2" xfId="17414" xr:uid="{00000000-0005-0000-0000-00005D2E0000}"/>
    <cellStyle name="Normal 5 8 3 2 2 4" xfId="17415" xr:uid="{00000000-0005-0000-0000-00005E2E0000}"/>
    <cellStyle name="Normal 5 8 3 2 3" xfId="6316" xr:uid="{00000000-0005-0000-0000-00005F2E0000}"/>
    <cellStyle name="Normal 5 8 3 2 3 2" xfId="6317" xr:uid="{00000000-0005-0000-0000-0000602E0000}"/>
    <cellStyle name="Normal 5 8 3 2 3 2 2" xfId="17416" xr:uid="{00000000-0005-0000-0000-0000612E0000}"/>
    <cellStyle name="Normal 5 8 3 2 3 3" xfId="6318" xr:uid="{00000000-0005-0000-0000-0000622E0000}"/>
    <cellStyle name="Normal 5 8 3 2 3 3 2" xfId="17417" xr:uid="{00000000-0005-0000-0000-0000632E0000}"/>
    <cellStyle name="Normal 5 8 3 2 3 4" xfId="17418" xr:uid="{00000000-0005-0000-0000-0000642E0000}"/>
    <cellStyle name="Normal 5 8 3 2 4" xfId="6319" xr:uid="{00000000-0005-0000-0000-0000652E0000}"/>
    <cellStyle name="Normal 5 8 3 2 4 2" xfId="17419" xr:uid="{00000000-0005-0000-0000-0000662E0000}"/>
    <cellStyle name="Normal 5 8 3 2 5" xfId="6320" xr:uid="{00000000-0005-0000-0000-0000672E0000}"/>
    <cellStyle name="Normal 5 8 3 2 5 2" xfId="17420" xr:uid="{00000000-0005-0000-0000-0000682E0000}"/>
    <cellStyle name="Normal 5 8 3 2 6" xfId="17421" xr:uid="{00000000-0005-0000-0000-0000692E0000}"/>
    <cellStyle name="Normal 5 8 3 3" xfId="6321" xr:uid="{00000000-0005-0000-0000-00006A2E0000}"/>
    <cellStyle name="Normal 5 8 3 3 2" xfId="6322" xr:uid="{00000000-0005-0000-0000-00006B2E0000}"/>
    <cellStyle name="Normal 5 8 3 3 2 2" xfId="6323" xr:uid="{00000000-0005-0000-0000-00006C2E0000}"/>
    <cellStyle name="Normal 5 8 3 3 2 2 2" xfId="17422" xr:uid="{00000000-0005-0000-0000-00006D2E0000}"/>
    <cellStyle name="Normal 5 8 3 3 2 3" xfId="6324" xr:uid="{00000000-0005-0000-0000-00006E2E0000}"/>
    <cellStyle name="Normal 5 8 3 3 2 3 2" xfId="17423" xr:uid="{00000000-0005-0000-0000-00006F2E0000}"/>
    <cellStyle name="Normal 5 8 3 3 2 4" xfId="17424" xr:uid="{00000000-0005-0000-0000-0000702E0000}"/>
    <cellStyle name="Normal 5 8 3 3 3" xfId="6325" xr:uid="{00000000-0005-0000-0000-0000712E0000}"/>
    <cellStyle name="Normal 5 8 3 3 3 2" xfId="6326" xr:uid="{00000000-0005-0000-0000-0000722E0000}"/>
    <cellStyle name="Normal 5 8 3 3 3 2 2" xfId="17425" xr:uid="{00000000-0005-0000-0000-0000732E0000}"/>
    <cellStyle name="Normal 5 8 3 3 3 3" xfId="6327" xr:uid="{00000000-0005-0000-0000-0000742E0000}"/>
    <cellStyle name="Normal 5 8 3 3 3 3 2" xfId="17426" xr:uid="{00000000-0005-0000-0000-0000752E0000}"/>
    <cellStyle name="Normal 5 8 3 3 3 4" xfId="17427" xr:uid="{00000000-0005-0000-0000-0000762E0000}"/>
    <cellStyle name="Normal 5 8 3 3 4" xfId="6328" xr:uid="{00000000-0005-0000-0000-0000772E0000}"/>
    <cellStyle name="Normal 5 8 3 3 4 2" xfId="17428" xr:uid="{00000000-0005-0000-0000-0000782E0000}"/>
    <cellStyle name="Normal 5 8 3 3 5" xfId="6329" xr:uid="{00000000-0005-0000-0000-0000792E0000}"/>
    <cellStyle name="Normal 5 8 3 3 5 2" xfId="17429" xr:uid="{00000000-0005-0000-0000-00007A2E0000}"/>
    <cellStyle name="Normal 5 8 3 3 6" xfId="17430" xr:uid="{00000000-0005-0000-0000-00007B2E0000}"/>
    <cellStyle name="Normal 5 8 3 4" xfId="6330" xr:uid="{00000000-0005-0000-0000-00007C2E0000}"/>
    <cellStyle name="Normal 5 8 3 4 2" xfId="6331" xr:uid="{00000000-0005-0000-0000-00007D2E0000}"/>
    <cellStyle name="Normal 5 8 3 4 2 2" xfId="17431" xr:uid="{00000000-0005-0000-0000-00007E2E0000}"/>
    <cellStyle name="Normal 5 8 3 4 3" xfId="6332" xr:uid="{00000000-0005-0000-0000-00007F2E0000}"/>
    <cellStyle name="Normal 5 8 3 4 3 2" xfId="17432" xr:uid="{00000000-0005-0000-0000-0000802E0000}"/>
    <cellStyle name="Normal 5 8 3 4 4" xfId="17433" xr:uid="{00000000-0005-0000-0000-0000812E0000}"/>
    <cellStyle name="Normal 5 8 3 5" xfId="6333" xr:uid="{00000000-0005-0000-0000-0000822E0000}"/>
    <cellStyle name="Normal 5 8 3 5 2" xfId="6334" xr:uid="{00000000-0005-0000-0000-0000832E0000}"/>
    <cellStyle name="Normal 5 8 3 5 2 2" xfId="17434" xr:uid="{00000000-0005-0000-0000-0000842E0000}"/>
    <cellStyle name="Normal 5 8 3 5 3" xfId="6335" xr:uid="{00000000-0005-0000-0000-0000852E0000}"/>
    <cellStyle name="Normal 5 8 3 5 3 2" xfId="17435" xr:uid="{00000000-0005-0000-0000-0000862E0000}"/>
    <cellStyle name="Normal 5 8 3 5 4" xfId="17436" xr:uid="{00000000-0005-0000-0000-0000872E0000}"/>
    <cellStyle name="Normal 5 8 3 6" xfId="6336" xr:uid="{00000000-0005-0000-0000-0000882E0000}"/>
    <cellStyle name="Normal 5 8 3 6 2" xfId="17437" xr:uid="{00000000-0005-0000-0000-0000892E0000}"/>
    <cellStyle name="Normal 5 8 3 7" xfId="6337" xr:uid="{00000000-0005-0000-0000-00008A2E0000}"/>
    <cellStyle name="Normal 5 8 3 7 2" xfId="17438" xr:uid="{00000000-0005-0000-0000-00008B2E0000}"/>
    <cellStyle name="Normal 5 8 3 8" xfId="17439" xr:uid="{00000000-0005-0000-0000-00008C2E0000}"/>
    <cellStyle name="Normal 5 8 4" xfId="6338" xr:uid="{00000000-0005-0000-0000-00008D2E0000}"/>
    <cellStyle name="Normal 5 8 4 2" xfId="6339" xr:uid="{00000000-0005-0000-0000-00008E2E0000}"/>
    <cellStyle name="Normal 5 8 4 2 2" xfId="6340" xr:uid="{00000000-0005-0000-0000-00008F2E0000}"/>
    <cellStyle name="Normal 5 8 4 2 2 2" xfId="6341" xr:uid="{00000000-0005-0000-0000-0000902E0000}"/>
    <cellStyle name="Normal 5 8 4 2 2 2 2" xfId="17440" xr:uid="{00000000-0005-0000-0000-0000912E0000}"/>
    <cellStyle name="Normal 5 8 4 2 2 3" xfId="6342" xr:uid="{00000000-0005-0000-0000-0000922E0000}"/>
    <cellStyle name="Normal 5 8 4 2 2 3 2" xfId="17441" xr:uid="{00000000-0005-0000-0000-0000932E0000}"/>
    <cellStyle name="Normal 5 8 4 2 2 4" xfId="17442" xr:uid="{00000000-0005-0000-0000-0000942E0000}"/>
    <cellStyle name="Normal 5 8 4 2 3" xfId="6343" xr:uid="{00000000-0005-0000-0000-0000952E0000}"/>
    <cellStyle name="Normal 5 8 4 2 3 2" xfId="6344" xr:uid="{00000000-0005-0000-0000-0000962E0000}"/>
    <cellStyle name="Normal 5 8 4 2 3 2 2" xfId="17443" xr:uid="{00000000-0005-0000-0000-0000972E0000}"/>
    <cellStyle name="Normal 5 8 4 2 3 3" xfId="6345" xr:uid="{00000000-0005-0000-0000-0000982E0000}"/>
    <cellStyle name="Normal 5 8 4 2 3 3 2" xfId="17444" xr:uid="{00000000-0005-0000-0000-0000992E0000}"/>
    <cellStyle name="Normal 5 8 4 2 3 4" xfId="17445" xr:uid="{00000000-0005-0000-0000-00009A2E0000}"/>
    <cellStyle name="Normal 5 8 4 2 4" xfId="6346" xr:uid="{00000000-0005-0000-0000-00009B2E0000}"/>
    <cellStyle name="Normal 5 8 4 2 4 2" xfId="17446" xr:uid="{00000000-0005-0000-0000-00009C2E0000}"/>
    <cellStyle name="Normal 5 8 4 2 5" xfId="6347" xr:uid="{00000000-0005-0000-0000-00009D2E0000}"/>
    <cellStyle name="Normal 5 8 4 2 5 2" xfId="17447" xr:uid="{00000000-0005-0000-0000-00009E2E0000}"/>
    <cellStyle name="Normal 5 8 4 2 6" xfId="17448" xr:uid="{00000000-0005-0000-0000-00009F2E0000}"/>
    <cellStyle name="Normal 5 8 4 3" xfId="6348" xr:uid="{00000000-0005-0000-0000-0000A02E0000}"/>
    <cellStyle name="Normal 5 8 4 3 2" xfId="6349" xr:uid="{00000000-0005-0000-0000-0000A12E0000}"/>
    <cellStyle name="Normal 5 8 4 3 2 2" xfId="17449" xr:uid="{00000000-0005-0000-0000-0000A22E0000}"/>
    <cellStyle name="Normal 5 8 4 3 3" xfId="6350" xr:uid="{00000000-0005-0000-0000-0000A32E0000}"/>
    <cellStyle name="Normal 5 8 4 3 3 2" xfId="17450" xr:uid="{00000000-0005-0000-0000-0000A42E0000}"/>
    <cellStyle name="Normal 5 8 4 3 4" xfId="17451" xr:uid="{00000000-0005-0000-0000-0000A52E0000}"/>
    <cellStyle name="Normal 5 8 4 4" xfId="6351" xr:uid="{00000000-0005-0000-0000-0000A62E0000}"/>
    <cellStyle name="Normal 5 8 4 4 2" xfId="6352" xr:uid="{00000000-0005-0000-0000-0000A72E0000}"/>
    <cellStyle name="Normal 5 8 4 4 2 2" xfId="17452" xr:uid="{00000000-0005-0000-0000-0000A82E0000}"/>
    <cellStyle name="Normal 5 8 4 4 3" xfId="6353" xr:uid="{00000000-0005-0000-0000-0000A92E0000}"/>
    <cellStyle name="Normal 5 8 4 4 3 2" xfId="17453" xr:uid="{00000000-0005-0000-0000-0000AA2E0000}"/>
    <cellStyle name="Normal 5 8 4 4 4" xfId="17454" xr:uid="{00000000-0005-0000-0000-0000AB2E0000}"/>
    <cellStyle name="Normal 5 8 4 5" xfId="6354" xr:uid="{00000000-0005-0000-0000-0000AC2E0000}"/>
    <cellStyle name="Normal 5 8 4 5 2" xfId="17455" xr:uid="{00000000-0005-0000-0000-0000AD2E0000}"/>
    <cellStyle name="Normal 5 8 4 6" xfId="6355" xr:uid="{00000000-0005-0000-0000-0000AE2E0000}"/>
    <cellStyle name="Normal 5 8 4 6 2" xfId="17456" xr:uid="{00000000-0005-0000-0000-0000AF2E0000}"/>
    <cellStyle name="Normal 5 8 4 7" xfId="17457" xr:uid="{00000000-0005-0000-0000-0000B02E0000}"/>
    <cellStyle name="Normal 5 8 5" xfId="6356" xr:uid="{00000000-0005-0000-0000-0000B12E0000}"/>
    <cellStyle name="Normal 5 8 5 2" xfId="6357" xr:uid="{00000000-0005-0000-0000-0000B22E0000}"/>
    <cellStyle name="Normal 5 8 5 2 2" xfId="6358" xr:uid="{00000000-0005-0000-0000-0000B32E0000}"/>
    <cellStyle name="Normal 5 8 5 2 2 2" xfId="17458" xr:uid="{00000000-0005-0000-0000-0000B42E0000}"/>
    <cellStyle name="Normal 5 8 5 2 3" xfId="6359" xr:uid="{00000000-0005-0000-0000-0000B52E0000}"/>
    <cellStyle name="Normal 5 8 5 2 3 2" xfId="17459" xr:uid="{00000000-0005-0000-0000-0000B62E0000}"/>
    <cellStyle name="Normal 5 8 5 2 4" xfId="17460" xr:uid="{00000000-0005-0000-0000-0000B72E0000}"/>
    <cellStyle name="Normal 5 8 5 3" xfId="6360" xr:uid="{00000000-0005-0000-0000-0000B82E0000}"/>
    <cellStyle name="Normal 5 8 5 3 2" xfId="6361" xr:uid="{00000000-0005-0000-0000-0000B92E0000}"/>
    <cellStyle name="Normal 5 8 5 3 2 2" xfId="17461" xr:uid="{00000000-0005-0000-0000-0000BA2E0000}"/>
    <cellStyle name="Normal 5 8 5 3 3" xfId="6362" xr:uid="{00000000-0005-0000-0000-0000BB2E0000}"/>
    <cellStyle name="Normal 5 8 5 3 3 2" xfId="17462" xr:uid="{00000000-0005-0000-0000-0000BC2E0000}"/>
    <cellStyle name="Normal 5 8 5 3 4" xfId="17463" xr:uid="{00000000-0005-0000-0000-0000BD2E0000}"/>
    <cellStyle name="Normal 5 8 5 4" xfId="6363" xr:uid="{00000000-0005-0000-0000-0000BE2E0000}"/>
    <cellStyle name="Normal 5 8 5 4 2" xfId="17464" xr:uid="{00000000-0005-0000-0000-0000BF2E0000}"/>
    <cellStyle name="Normal 5 8 5 5" xfId="6364" xr:uid="{00000000-0005-0000-0000-0000C02E0000}"/>
    <cellStyle name="Normal 5 8 5 5 2" xfId="17465" xr:uid="{00000000-0005-0000-0000-0000C12E0000}"/>
    <cellStyle name="Normal 5 8 5 6" xfId="17466" xr:uid="{00000000-0005-0000-0000-0000C22E0000}"/>
    <cellStyle name="Normal 5 8 6" xfId="6365" xr:uid="{00000000-0005-0000-0000-0000C32E0000}"/>
    <cellStyle name="Normal 5 8 6 2" xfId="6366" xr:uid="{00000000-0005-0000-0000-0000C42E0000}"/>
    <cellStyle name="Normal 5 8 6 2 2" xfId="6367" xr:uid="{00000000-0005-0000-0000-0000C52E0000}"/>
    <cellStyle name="Normal 5 8 6 2 2 2" xfId="17467" xr:uid="{00000000-0005-0000-0000-0000C62E0000}"/>
    <cellStyle name="Normal 5 8 6 2 3" xfId="6368" xr:uid="{00000000-0005-0000-0000-0000C72E0000}"/>
    <cellStyle name="Normal 5 8 6 2 3 2" xfId="17468" xr:uid="{00000000-0005-0000-0000-0000C82E0000}"/>
    <cellStyle name="Normal 5 8 6 2 4" xfId="17469" xr:uid="{00000000-0005-0000-0000-0000C92E0000}"/>
    <cellStyle name="Normal 5 8 6 3" xfId="6369" xr:uid="{00000000-0005-0000-0000-0000CA2E0000}"/>
    <cellStyle name="Normal 5 8 6 3 2" xfId="6370" xr:uid="{00000000-0005-0000-0000-0000CB2E0000}"/>
    <cellStyle name="Normal 5 8 6 3 2 2" xfId="17470" xr:uid="{00000000-0005-0000-0000-0000CC2E0000}"/>
    <cellStyle name="Normal 5 8 6 3 3" xfId="6371" xr:uid="{00000000-0005-0000-0000-0000CD2E0000}"/>
    <cellStyle name="Normal 5 8 6 3 3 2" xfId="17471" xr:uid="{00000000-0005-0000-0000-0000CE2E0000}"/>
    <cellStyle name="Normal 5 8 6 3 4" xfId="17472" xr:uid="{00000000-0005-0000-0000-0000CF2E0000}"/>
    <cellStyle name="Normal 5 8 6 4" xfId="6372" xr:uid="{00000000-0005-0000-0000-0000D02E0000}"/>
    <cellStyle name="Normal 5 8 6 4 2" xfId="17473" xr:uid="{00000000-0005-0000-0000-0000D12E0000}"/>
    <cellStyle name="Normal 5 8 6 5" xfId="6373" xr:uid="{00000000-0005-0000-0000-0000D22E0000}"/>
    <cellStyle name="Normal 5 8 6 5 2" xfId="17474" xr:uid="{00000000-0005-0000-0000-0000D32E0000}"/>
    <cellStyle name="Normal 5 8 6 6" xfId="17475" xr:uid="{00000000-0005-0000-0000-0000D42E0000}"/>
    <cellStyle name="Normal 5 8 7" xfId="6374" xr:uid="{00000000-0005-0000-0000-0000D52E0000}"/>
    <cellStyle name="Normal 5 8 7 2" xfId="6375" xr:uid="{00000000-0005-0000-0000-0000D62E0000}"/>
    <cellStyle name="Normal 5 8 7 2 2" xfId="17476" xr:uid="{00000000-0005-0000-0000-0000D72E0000}"/>
    <cellStyle name="Normal 5 8 7 3" xfId="6376" xr:uid="{00000000-0005-0000-0000-0000D82E0000}"/>
    <cellStyle name="Normal 5 8 7 3 2" xfId="17477" xr:uid="{00000000-0005-0000-0000-0000D92E0000}"/>
    <cellStyle name="Normal 5 8 7 4" xfId="17478" xr:uid="{00000000-0005-0000-0000-0000DA2E0000}"/>
    <cellStyle name="Normal 5 8 8" xfId="6377" xr:uid="{00000000-0005-0000-0000-0000DB2E0000}"/>
    <cellStyle name="Normal 5 8 8 2" xfId="6378" xr:uid="{00000000-0005-0000-0000-0000DC2E0000}"/>
    <cellStyle name="Normal 5 8 8 2 2" xfId="17479" xr:uid="{00000000-0005-0000-0000-0000DD2E0000}"/>
    <cellStyle name="Normal 5 8 8 3" xfId="6379" xr:uid="{00000000-0005-0000-0000-0000DE2E0000}"/>
    <cellStyle name="Normal 5 8 8 3 2" xfId="17480" xr:uid="{00000000-0005-0000-0000-0000DF2E0000}"/>
    <cellStyle name="Normal 5 8 8 4" xfId="17481" xr:uid="{00000000-0005-0000-0000-0000E02E0000}"/>
    <cellStyle name="Normal 5 8 9" xfId="6380" xr:uid="{00000000-0005-0000-0000-0000E12E0000}"/>
    <cellStyle name="Normal 5 8 9 2" xfId="17482" xr:uid="{00000000-0005-0000-0000-0000E22E0000}"/>
    <cellStyle name="Normal 5 9" xfId="6381" xr:uid="{00000000-0005-0000-0000-0000E32E0000}"/>
    <cellStyle name="Normal 5 9 10" xfId="12443" xr:uid="{00000000-0005-0000-0000-0000E42E0000}"/>
    <cellStyle name="Normal 5 9 2" xfId="6382" xr:uid="{00000000-0005-0000-0000-0000E52E0000}"/>
    <cellStyle name="Normal 5 9 2 2" xfId="6383" xr:uid="{00000000-0005-0000-0000-0000E62E0000}"/>
    <cellStyle name="Normal 5 9 2 2 2" xfId="6384" xr:uid="{00000000-0005-0000-0000-0000E72E0000}"/>
    <cellStyle name="Normal 5 9 2 2 2 2" xfId="6385" xr:uid="{00000000-0005-0000-0000-0000E82E0000}"/>
    <cellStyle name="Normal 5 9 2 2 2 2 2" xfId="17483" xr:uid="{00000000-0005-0000-0000-0000E92E0000}"/>
    <cellStyle name="Normal 5 9 2 2 2 3" xfId="6386" xr:uid="{00000000-0005-0000-0000-0000EA2E0000}"/>
    <cellStyle name="Normal 5 9 2 2 2 3 2" xfId="17484" xr:uid="{00000000-0005-0000-0000-0000EB2E0000}"/>
    <cellStyle name="Normal 5 9 2 2 2 4" xfId="17485" xr:uid="{00000000-0005-0000-0000-0000EC2E0000}"/>
    <cellStyle name="Normal 5 9 2 2 3" xfId="6387" xr:uid="{00000000-0005-0000-0000-0000ED2E0000}"/>
    <cellStyle name="Normal 5 9 2 2 3 2" xfId="6388" xr:uid="{00000000-0005-0000-0000-0000EE2E0000}"/>
    <cellStyle name="Normal 5 9 2 2 3 2 2" xfId="17486" xr:uid="{00000000-0005-0000-0000-0000EF2E0000}"/>
    <cellStyle name="Normal 5 9 2 2 3 3" xfId="6389" xr:uid="{00000000-0005-0000-0000-0000F02E0000}"/>
    <cellStyle name="Normal 5 9 2 2 3 3 2" xfId="17487" xr:uid="{00000000-0005-0000-0000-0000F12E0000}"/>
    <cellStyle name="Normal 5 9 2 2 3 4" xfId="17488" xr:uid="{00000000-0005-0000-0000-0000F22E0000}"/>
    <cellStyle name="Normal 5 9 2 2 4" xfId="6390" xr:uid="{00000000-0005-0000-0000-0000F32E0000}"/>
    <cellStyle name="Normal 5 9 2 2 4 2" xfId="17489" xr:uid="{00000000-0005-0000-0000-0000F42E0000}"/>
    <cellStyle name="Normal 5 9 2 2 5" xfId="6391" xr:uid="{00000000-0005-0000-0000-0000F52E0000}"/>
    <cellStyle name="Normal 5 9 2 2 5 2" xfId="17490" xr:uid="{00000000-0005-0000-0000-0000F62E0000}"/>
    <cellStyle name="Normal 5 9 2 2 6" xfId="17491" xr:uid="{00000000-0005-0000-0000-0000F72E0000}"/>
    <cellStyle name="Normal 5 9 2 3" xfId="6392" xr:uid="{00000000-0005-0000-0000-0000F82E0000}"/>
    <cellStyle name="Normal 5 9 2 3 2" xfId="6393" xr:uid="{00000000-0005-0000-0000-0000F92E0000}"/>
    <cellStyle name="Normal 5 9 2 3 2 2" xfId="6394" xr:uid="{00000000-0005-0000-0000-0000FA2E0000}"/>
    <cellStyle name="Normal 5 9 2 3 2 2 2" xfId="17492" xr:uid="{00000000-0005-0000-0000-0000FB2E0000}"/>
    <cellStyle name="Normal 5 9 2 3 2 3" xfId="6395" xr:uid="{00000000-0005-0000-0000-0000FC2E0000}"/>
    <cellStyle name="Normal 5 9 2 3 2 3 2" xfId="17493" xr:uid="{00000000-0005-0000-0000-0000FD2E0000}"/>
    <cellStyle name="Normal 5 9 2 3 2 4" xfId="17494" xr:uid="{00000000-0005-0000-0000-0000FE2E0000}"/>
    <cellStyle name="Normal 5 9 2 3 3" xfId="6396" xr:uid="{00000000-0005-0000-0000-0000FF2E0000}"/>
    <cellStyle name="Normal 5 9 2 3 3 2" xfId="6397" xr:uid="{00000000-0005-0000-0000-0000002F0000}"/>
    <cellStyle name="Normal 5 9 2 3 3 2 2" xfId="17495" xr:uid="{00000000-0005-0000-0000-0000012F0000}"/>
    <cellStyle name="Normal 5 9 2 3 3 3" xfId="6398" xr:uid="{00000000-0005-0000-0000-0000022F0000}"/>
    <cellStyle name="Normal 5 9 2 3 3 3 2" xfId="17496" xr:uid="{00000000-0005-0000-0000-0000032F0000}"/>
    <cellStyle name="Normal 5 9 2 3 3 4" xfId="17497" xr:uid="{00000000-0005-0000-0000-0000042F0000}"/>
    <cellStyle name="Normal 5 9 2 3 4" xfId="6399" xr:uid="{00000000-0005-0000-0000-0000052F0000}"/>
    <cellStyle name="Normal 5 9 2 3 4 2" xfId="17498" xr:uid="{00000000-0005-0000-0000-0000062F0000}"/>
    <cellStyle name="Normal 5 9 2 3 5" xfId="6400" xr:uid="{00000000-0005-0000-0000-0000072F0000}"/>
    <cellStyle name="Normal 5 9 2 3 5 2" xfId="17499" xr:uid="{00000000-0005-0000-0000-0000082F0000}"/>
    <cellStyle name="Normal 5 9 2 3 6" xfId="17500" xr:uid="{00000000-0005-0000-0000-0000092F0000}"/>
    <cellStyle name="Normal 5 9 2 4" xfId="6401" xr:uid="{00000000-0005-0000-0000-00000A2F0000}"/>
    <cellStyle name="Normal 5 9 2 4 2" xfId="6402" xr:uid="{00000000-0005-0000-0000-00000B2F0000}"/>
    <cellStyle name="Normal 5 9 2 4 2 2" xfId="17501" xr:uid="{00000000-0005-0000-0000-00000C2F0000}"/>
    <cellStyle name="Normal 5 9 2 4 3" xfId="6403" xr:uid="{00000000-0005-0000-0000-00000D2F0000}"/>
    <cellStyle name="Normal 5 9 2 4 3 2" xfId="17502" xr:uid="{00000000-0005-0000-0000-00000E2F0000}"/>
    <cellStyle name="Normal 5 9 2 4 4" xfId="17503" xr:uid="{00000000-0005-0000-0000-00000F2F0000}"/>
    <cellStyle name="Normal 5 9 2 5" xfId="6404" xr:uid="{00000000-0005-0000-0000-0000102F0000}"/>
    <cellStyle name="Normal 5 9 2 5 2" xfId="6405" xr:uid="{00000000-0005-0000-0000-0000112F0000}"/>
    <cellStyle name="Normal 5 9 2 5 2 2" xfId="17504" xr:uid="{00000000-0005-0000-0000-0000122F0000}"/>
    <cellStyle name="Normal 5 9 2 5 3" xfId="6406" xr:uid="{00000000-0005-0000-0000-0000132F0000}"/>
    <cellStyle name="Normal 5 9 2 5 3 2" xfId="17505" xr:uid="{00000000-0005-0000-0000-0000142F0000}"/>
    <cellStyle name="Normal 5 9 2 5 4" xfId="17506" xr:uid="{00000000-0005-0000-0000-0000152F0000}"/>
    <cellStyle name="Normal 5 9 2 6" xfId="6407" xr:uid="{00000000-0005-0000-0000-0000162F0000}"/>
    <cellStyle name="Normal 5 9 2 6 2" xfId="17507" xr:uid="{00000000-0005-0000-0000-0000172F0000}"/>
    <cellStyle name="Normal 5 9 2 7" xfId="6408" xr:uid="{00000000-0005-0000-0000-0000182F0000}"/>
    <cellStyle name="Normal 5 9 2 7 2" xfId="17508" xr:uid="{00000000-0005-0000-0000-0000192F0000}"/>
    <cellStyle name="Normal 5 9 2 8" xfId="17509" xr:uid="{00000000-0005-0000-0000-00001A2F0000}"/>
    <cellStyle name="Normal 5 9 3" xfId="6409" xr:uid="{00000000-0005-0000-0000-00001B2F0000}"/>
    <cellStyle name="Normal 5 9 3 2" xfId="6410" xr:uid="{00000000-0005-0000-0000-00001C2F0000}"/>
    <cellStyle name="Normal 5 9 3 2 2" xfId="6411" xr:uid="{00000000-0005-0000-0000-00001D2F0000}"/>
    <cellStyle name="Normal 5 9 3 2 2 2" xfId="6412" xr:uid="{00000000-0005-0000-0000-00001E2F0000}"/>
    <cellStyle name="Normal 5 9 3 2 2 2 2" xfId="17510" xr:uid="{00000000-0005-0000-0000-00001F2F0000}"/>
    <cellStyle name="Normal 5 9 3 2 2 3" xfId="6413" xr:uid="{00000000-0005-0000-0000-0000202F0000}"/>
    <cellStyle name="Normal 5 9 3 2 2 3 2" xfId="17511" xr:uid="{00000000-0005-0000-0000-0000212F0000}"/>
    <cellStyle name="Normal 5 9 3 2 2 4" xfId="17512" xr:uid="{00000000-0005-0000-0000-0000222F0000}"/>
    <cellStyle name="Normal 5 9 3 2 3" xfId="6414" xr:uid="{00000000-0005-0000-0000-0000232F0000}"/>
    <cellStyle name="Normal 5 9 3 2 3 2" xfId="6415" xr:uid="{00000000-0005-0000-0000-0000242F0000}"/>
    <cellStyle name="Normal 5 9 3 2 3 2 2" xfId="17513" xr:uid="{00000000-0005-0000-0000-0000252F0000}"/>
    <cellStyle name="Normal 5 9 3 2 3 3" xfId="6416" xr:uid="{00000000-0005-0000-0000-0000262F0000}"/>
    <cellStyle name="Normal 5 9 3 2 3 3 2" xfId="17514" xr:uid="{00000000-0005-0000-0000-0000272F0000}"/>
    <cellStyle name="Normal 5 9 3 2 3 4" xfId="17515" xr:uid="{00000000-0005-0000-0000-0000282F0000}"/>
    <cellStyle name="Normal 5 9 3 2 4" xfId="6417" xr:uid="{00000000-0005-0000-0000-0000292F0000}"/>
    <cellStyle name="Normal 5 9 3 2 4 2" xfId="17516" xr:uid="{00000000-0005-0000-0000-00002A2F0000}"/>
    <cellStyle name="Normal 5 9 3 2 5" xfId="6418" xr:uid="{00000000-0005-0000-0000-00002B2F0000}"/>
    <cellStyle name="Normal 5 9 3 2 5 2" xfId="17517" xr:uid="{00000000-0005-0000-0000-00002C2F0000}"/>
    <cellStyle name="Normal 5 9 3 2 6" xfId="17518" xr:uid="{00000000-0005-0000-0000-00002D2F0000}"/>
    <cellStyle name="Normal 5 9 3 3" xfId="6419" xr:uid="{00000000-0005-0000-0000-00002E2F0000}"/>
    <cellStyle name="Normal 5 9 3 3 2" xfId="6420" xr:uid="{00000000-0005-0000-0000-00002F2F0000}"/>
    <cellStyle name="Normal 5 9 3 3 2 2" xfId="17519" xr:uid="{00000000-0005-0000-0000-0000302F0000}"/>
    <cellStyle name="Normal 5 9 3 3 3" xfId="6421" xr:uid="{00000000-0005-0000-0000-0000312F0000}"/>
    <cellStyle name="Normal 5 9 3 3 3 2" xfId="17520" xr:uid="{00000000-0005-0000-0000-0000322F0000}"/>
    <cellStyle name="Normal 5 9 3 3 4" xfId="17521" xr:uid="{00000000-0005-0000-0000-0000332F0000}"/>
    <cellStyle name="Normal 5 9 3 4" xfId="6422" xr:uid="{00000000-0005-0000-0000-0000342F0000}"/>
    <cellStyle name="Normal 5 9 3 4 2" xfId="6423" xr:uid="{00000000-0005-0000-0000-0000352F0000}"/>
    <cellStyle name="Normal 5 9 3 4 2 2" xfId="17522" xr:uid="{00000000-0005-0000-0000-0000362F0000}"/>
    <cellStyle name="Normal 5 9 3 4 3" xfId="6424" xr:uid="{00000000-0005-0000-0000-0000372F0000}"/>
    <cellStyle name="Normal 5 9 3 4 3 2" xfId="17523" xr:uid="{00000000-0005-0000-0000-0000382F0000}"/>
    <cellStyle name="Normal 5 9 3 4 4" xfId="17524" xr:uid="{00000000-0005-0000-0000-0000392F0000}"/>
    <cellStyle name="Normal 5 9 3 5" xfId="6425" xr:uid="{00000000-0005-0000-0000-00003A2F0000}"/>
    <cellStyle name="Normal 5 9 3 5 2" xfId="17525" xr:uid="{00000000-0005-0000-0000-00003B2F0000}"/>
    <cellStyle name="Normal 5 9 3 6" xfId="6426" xr:uid="{00000000-0005-0000-0000-00003C2F0000}"/>
    <cellStyle name="Normal 5 9 3 6 2" xfId="17526" xr:uid="{00000000-0005-0000-0000-00003D2F0000}"/>
    <cellStyle name="Normal 5 9 3 7" xfId="17527" xr:uid="{00000000-0005-0000-0000-00003E2F0000}"/>
    <cellStyle name="Normal 5 9 4" xfId="6427" xr:uid="{00000000-0005-0000-0000-00003F2F0000}"/>
    <cellStyle name="Normal 5 9 4 2" xfId="6428" xr:uid="{00000000-0005-0000-0000-0000402F0000}"/>
    <cellStyle name="Normal 5 9 4 2 2" xfId="6429" xr:uid="{00000000-0005-0000-0000-0000412F0000}"/>
    <cellStyle name="Normal 5 9 4 2 2 2" xfId="17528" xr:uid="{00000000-0005-0000-0000-0000422F0000}"/>
    <cellStyle name="Normal 5 9 4 2 3" xfId="6430" xr:uid="{00000000-0005-0000-0000-0000432F0000}"/>
    <cellStyle name="Normal 5 9 4 2 3 2" xfId="17529" xr:uid="{00000000-0005-0000-0000-0000442F0000}"/>
    <cellStyle name="Normal 5 9 4 2 4" xfId="17530" xr:uid="{00000000-0005-0000-0000-0000452F0000}"/>
    <cellStyle name="Normal 5 9 4 3" xfId="6431" xr:uid="{00000000-0005-0000-0000-0000462F0000}"/>
    <cellStyle name="Normal 5 9 4 3 2" xfId="6432" xr:uid="{00000000-0005-0000-0000-0000472F0000}"/>
    <cellStyle name="Normal 5 9 4 3 2 2" xfId="17531" xr:uid="{00000000-0005-0000-0000-0000482F0000}"/>
    <cellStyle name="Normal 5 9 4 3 3" xfId="6433" xr:uid="{00000000-0005-0000-0000-0000492F0000}"/>
    <cellStyle name="Normal 5 9 4 3 3 2" xfId="17532" xr:uid="{00000000-0005-0000-0000-00004A2F0000}"/>
    <cellStyle name="Normal 5 9 4 3 4" xfId="17533" xr:uid="{00000000-0005-0000-0000-00004B2F0000}"/>
    <cellStyle name="Normal 5 9 4 4" xfId="6434" xr:uid="{00000000-0005-0000-0000-00004C2F0000}"/>
    <cellStyle name="Normal 5 9 4 4 2" xfId="17534" xr:uid="{00000000-0005-0000-0000-00004D2F0000}"/>
    <cellStyle name="Normal 5 9 4 5" xfId="6435" xr:uid="{00000000-0005-0000-0000-00004E2F0000}"/>
    <cellStyle name="Normal 5 9 4 5 2" xfId="17535" xr:uid="{00000000-0005-0000-0000-00004F2F0000}"/>
    <cellStyle name="Normal 5 9 4 6" xfId="17536" xr:uid="{00000000-0005-0000-0000-0000502F0000}"/>
    <cellStyle name="Normal 5 9 5" xfId="6436" xr:uid="{00000000-0005-0000-0000-0000512F0000}"/>
    <cellStyle name="Normal 5 9 5 2" xfId="6437" xr:uid="{00000000-0005-0000-0000-0000522F0000}"/>
    <cellStyle name="Normal 5 9 5 2 2" xfId="6438" xr:uid="{00000000-0005-0000-0000-0000532F0000}"/>
    <cellStyle name="Normal 5 9 5 2 2 2" xfId="17537" xr:uid="{00000000-0005-0000-0000-0000542F0000}"/>
    <cellStyle name="Normal 5 9 5 2 3" xfId="6439" xr:uid="{00000000-0005-0000-0000-0000552F0000}"/>
    <cellStyle name="Normal 5 9 5 2 3 2" xfId="17538" xr:uid="{00000000-0005-0000-0000-0000562F0000}"/>
    <cellStyle name="Normal 5 9 5 2 4" xfId="17539" xr:uid="{00000000-0005-0000-0000-0000572F0000}"/>
    <cellStyle name="Normal 5 9 5 3" xfId="6440" xr:uid="{00000000-0005-0000-0000-0000582F0000}"/>
    <cellStyle name="Normal 5 9 5 3 2" xfId="6441" xr:uid="{00000000-0005-0000-0000-0000592F0000}"/>
    <cellStyle name="Normal 5 9 5 3 2 2" xfId="17540" xr:uid="{00000000-0005-0000-0000-00005A2F0000}"/>
    <cellStyle name="Normal 5 9 5 3 3" xfId="6442" xr:uid="{00000000-0005-0000-0000-00005B2F0000}"/>
    <cellStyle name="Normal 5 9 5 3 3 2" xfId="17541" xr:uid="{00000000-0005-0000-0000-00005C2F0000}"/>
    <cellStyle name="Normal 5 9 5 3 4" xfId="17542" xr:uid="{00000000-0005-0000-0000-00005D2F0000}"/>
    <cellStyle name="Normal 5 9 5 4" xfId="6443" xr:uid="{00000000-0005-0000-0000-00005E2F0000}"/>
    <cellStyle name="Normal 5 9 5 4 2" xfId="17543" xr:uid="{00000000-0005-0000-0000-00005F2F0000}"/>
    <cellStyle name="Normal 5 9 5 5" xfId="6444" xr:uid="{00000000-0005-0000-0000-0000602F0000}"/>
    <cellStyle name="Normal 5 9 5 5 2" xfId="17544" xr:uid="{00000000-0005-0000-0000-0000612F0000}"/>
    <cellStyle name="Normal 5 9 5 6" xfId="17545" xr:uid="{00000000-0005-0000-0000-0000622F0000}"/>
    <cellStyle name="Normal 5 9 6" xfId="6445" xr:uid="{00000000-0005-0000-0000-0000632F0000}"/>
    <cellStyle name="Normal 5 9 6 2" xfId="6446" xr:uid="{00000000-0005-0000-0000-0000642F0000}"/>
    <cellStyle name="Normal 5 9 6 2 2" xfId="17546" xr:uid="{00000000-0005-0000-0000-0000652F0000}"/>
    <cellStyle name="Normal 5 9 6 3" xfId="6447" xr:uid="{00000000-0005-0000-0000-0000662F0000}"/>
    <cellStyle name="Normal 5 9 6 3 2" xfId="17547" xr:uid="{00000000-0005-0000-0000-0000672F0000}"/>
    <cellStyle name="Normal 5 9 6 4" xfId="17548" xr:uid="{00000000-0005-0000-0000-0000682F0000}"/>
    <cellStyle name="Normal 5 9 7" xfId="6448" xr:uid="{00000000-0005-0000-0000-0000692F0000}"/>
    <cellStyle name="Normal 5 9 7 2" xfId="6449" xr:uid="{00000000-0005-0000-0000-00006A2F0000}"/>
    <cellStyle name="Normal 5 9 7 2 2" xfId="17549" xr:uid="{00000000-0005-0000-0000-00006B2F0000}"/>
    <cellStyle name="Normal 5 9 7 3" xfId="6450" xr:uid="{00000000-0005-0000-0000-00006C2F0000}"/>
    <cellStyle name="Normal 5 9 7 3 2" xfId="17550" xr:uid="{00000000-0005-0000-0000-00006D2F0000}"/>
    <cellStyle name="Normal 5 9 7 4" xfId="17551" xr:uid="{00000000-0005-0000-0000-00006E2F0000}"/>
    <cellStyle name="Normal 5 9 8" xfId="6451" xr:uid="{00000000-0005-0000-0000-00006F2F0000}"/>
    <cellStyle name="Normal 5 9 8 2" xfId="17552" xr:uid="{00000000-0005-0000-0000-0000702F0000}"/>
    <cellStyle name="Normal 5 9 9" xfId="6452" xr:uid="{00000000-0005-0000-0000-0000712F0000}"/>
    <cellStyle name="Normal 5 9 9 2" xfId="17553" xr:uid="{00000000-0005-0000-0000-0000722F0000}"/>
    <cellStyle name="Normal 50" xfId="6453" xr:uid="{00000000-0005-0000-0000-0000732F0000}"/>
    <cellStyle name="Normal 50 10" xfId="11172" xr:uid="{00000000-0005-0000-0000-0000742F0000}"/>
    <cellStyle name="Normal 50 11" xfId="11173" xr:uid="{00000000-0005-0000-0000-0000752F0000}"/>
    <cellStyle name="Normal 50 12" xfId="11174" xr:uid="{00000000-0005-0000-0000-0000762F0000}"/>
    <cellStyle name="Normal 50 13" xfId="11175" xr:uid="{00000000-0005-0000-0000-0000772F0000}"/>
    <cellStyle name="Normal 50 14" xfId="11176" xr:uid="{00000000-0005-0000-0000-0000782F0000}"/>
    <cellStyle name="Normal 50 15" xfId="11177" xr:uid="{00000000-0005-0000-0000-0000792F0000}"/>
    <cellStyle name="Normal 50 16" xfId="11178" xr:uid="{00000000-0005-0000-0000-00007A2F0000}"/>
    <cellStyle name="Normal 50 17" xfId="11179" xr:uid="{00000000-0005-0000-0000-00007B2F0000}"/>
    <cellStyle name="Normal 50 18" xfId="11180" xr:uid="{00000000-0005-0000-0000-00007C2F0000}"/>
    <cellStyle name="Normal 50 19" xfId="11181" xr:uid="{00000000-0005-0000-0000-00007D2F0000}"/>
    <cellStyle name="Normal 50 2" xfId="6454" xr:uid="{00000000-0005-0000-0000-00007E2F0000}"/>
    <cellStyle name="Normal 50 2 2" xfId="11182" xr:uid="{00000000-0005-0000-0000-00007F2F0000}"/>
    <cellStyle name="Normal 50 20" xfId="11183" xr:uid="{00000000-0005-0000-0000-0000802F0000}"/>
    <cellStyle name="Normal 50 3" xfId="6455" xr:uid="{00000000-0005-0000-0000-0000812F0000}"/>
    <cellStyle name="Normal 50 3 2" xfId="11184" xr:uid="{00000000-0005-0000-0000-0000822F0000}"/>
    <cellStyle name="Normal 50 4" xfId="11185" xr:uid="{00000000-0005-0000-0000-0000832F0000}"/>
    <cellStyle name="Normal 50 4 2" xfId="11186" xr:uid="{00000000-0005-0000-0000-0000842F0000}"/>
    <cellStyle name="Normal 50 5" xfId="11187" xr:uid="{00000000-0005-0000-0000-0000852F0000}"/>
    <cellStyle name="Normal 50 5 2" xfId="11188" xr:uid="{00000000-0005-0000-0000-0000862F0000}"/>
    <cellStyle name="Normal 50 6" xfId="11189" xr:uid="{00000000-0005-0000-0000-0000872F0000}"/>
    <cellStyle name="Normal 50 6 2" xfId="11190" xr:uid="{00000000-0005-0000-0000-0000882F0000}"/>
    <cellStyle name="Normal 50 7" xfId="11191" xr:uid="{00000000-0005-0000-0000-0000892F0000}"/>
    <cellStyle name="Normal 50 8" xfId="11192" xr:uid="{00000000-0005-0000-0000-00008A2F0000}"/>
    <cellStyle name="Normal 50 9" xfId="11193" xr:uid="{00000000-0005-0000-0000-00008B2F0000}"/>
    <cellStyle name="Normal 500" xfId="6456" xr:uid="{00000000-0005-0000-0000-00008C2F0000}"/>
    <cellStyle name="Normal 501" xfId="6457" xr:uid="{00000000-0005-0000-0000-00008D2F0000}"/>
    <cellStyle name="Normal 502" xfId="6458" xr:uid="{00000000-0005-0000-0000-00008E2F0000}"/>
    <cellStyle name="Normal 503" xfId="6459" xr:uid="{00000000-0005-0000-0000-00008F2F0000}"/>
    <cellStyle name="Normal 504" xfId="6460" xr:uid="{00000000-0005-0000-0000-0000902F0000}"/>
    <cellStyle name="Normal 505" xfId="6461" xr:uid="{00000000-0005-0000-0000-0000912F0000}"/>
    <cellStyle name="Normal 506" xfId="6462" xr:uid="{00000000-0005-0000-0000-0000922F0000}"/>
    <cellStyle name="Normal 507" xfId="6463" xr:uid="{00000000-0005-0000-0000-0000932F0000}"/>
    <cellStyle name="Normal 508" xfId="6464" xr:uid="{00000000-0005-0000-0000-0000942F0000}"/>
    <cellStyle name="Normal 509" xfId="6465" xr:uid="{00000000-0005-0000-0000-0000952F0000}"/>
    <cellStyle name="Normal 51" xfId="6466" xr:uid="{00000000-0005-0000-0000-0000962F0000}"/>
    <cellStyle name="Normal 51 10" xfId="11194" xr:uid="{00000000-0005-0000-0000-0000972F0000}"/>
    <cellStyle name="Normal 51 11" xfId="11195" xr:uid="{00000000-0005-0000-0000-0000982F0000}"/>
    <cellStyle name="Normal 51 12" xfId="11196" xr:uid="{00000000-0005-0000-0000-0000992F0000}"/>
    <cellStyle name="Normal 51 13" xfId="11197" xr:uid="{00000000-0005-0000-0000-00009A2F0000}"/>
    <cellStyle name="Normal 51 14" xfId="11198" xr:uid="{00000000-0005-0000-0000-00009B2F0000}"/>
    <cellStyle name="Normal 51 15" xfId="11199" xr:uid="{00000000-0005-0000-0000-00009C2F0000}"/>
    <cellStyle name="Normal 51 16" xfId="11200" xr:uid="{00000000-0005-0000-0000-00009D2F0000}"/>
    <cellStyle name="Normal 51 17" xfId="11201" xr:uid="{00000000-0005-0000-0000-00009E2F0000}"/>
    <cellStyle name="Normal 51 18" xfId="11202" xr:uid="{00000000-0005-0000-0000-00009F2F0000}"/>
    <cellStyle name="Normal 51 19" xfId="11203" xr:uid="{00000000-0005-0000-0000-0000A02F0000}"/>
    <cellStyle name="Normal 51 2" xfId="6467" xr:uid="{00000000-0005-0000-0000-0000A12F0000}"/>
    <cellStyle name="Normal 51 2 2" xfId="11204" xr:uid="{00000000-0005-0000-0000-0000A22F0000}"/>
    <cellStyle name="Normal 51 20" xfId="11205" xr:uid="{00000000-0005-0000-0000-0000A32F0000}"/>
    <cellStyle name="Normal 51 3" xfId="6468" xr:uid="{00000000-0005-0000-0000-0000A42F0000}"/>
    <cellStyle name="Normal 51 3 2" xfId="11206" xr:uid="{00000000-0005-0000-0000-0000A52F0000}"/>
    <cellStyle name="Normal 51 4" xfId="11207" xr:uid="{00000000-0005-0000-0000-0000A62F0000}"/>
    <cellStyle name="Normal 51 4 2" xfId="11208" xr:uid="{00000000-0005-0000-0000-0000A72F0000}"/>
    <cellStyle name="Normal 51 5" xfId="11209" xr:uid="{00000000-0005-0000-0000-0000A82F0000}"/>
    <cellStyle name="Normal 51 5 2" xfId="11210" xr:uid="{00000000-0005-0000-0000-0000A92F0000}"/>
    <cellStyle name="Normal 51 6" xfId="11211" xr:uid="{00000000-0005-0000-0000-0000AA2F0000}"/>
    <cellStyle name="Normal 51 6 2" xfId="11212" xr:uid="{00000000-0005-0000-0000-0000AB2F0000}"/>
    <cellStyle name="Normal 51 7" xfId="11213" xr:uid="{00000000-0005-0000-0000-0000AC2F0000}"/>
    <cellStyle name="Normal 51 8" xfId="11214" xr:uid="{00000000-0005-0000-0000-0000AD2F0000}"/>
    <cellStyle name="Normal 51 9" xfId="11215" xr:uid="{00000000-0005-0000-0000-0000AE2F0000}"/>
    <cellStyle name="Normal 510" xfId="6469" xr:uid="{00000000-0005-0000-0000-0000AF2F0000}"/>
    <cellStyle name="Normal 511" xfId="6470" xr:uid="{00000000-0005-0000-0000-0000B02F0000}"/>
    <cellStyle name="Normal 512" xfId="6471" xr:uid="{00000000-0005-0000-0000-0000B12F0000}"/>
    <cellStyle name="Normal 513" xfId="6472" xr:uid="{00000000-0005-0000-0000-0000B22F0000}"/>
    <cellStyle name="Normal 514" xfId="6473" xr:uid="{00000000-0005-0000-0000-0000B32F0000}"/>
    <cellStyle name="Normal 515" xfId="6474" xr:uid="{00000000-0005-0000-0000-0000B42F0000}"/>
    <cellStyle name="Normal 516" xfId="6475" xr:uid="{00000000-0005-0000-0000-0000B52F0000}"/>
    <cellStyle name="Normal 517" xfId="6476" xr:uid="{00000000-0005-0000-0000-0000B62F0000}"/>
    <cellStyle name="Normal 518" xfId="6477" xr:uid="{00000000-0005-0000-0000-0000B72F0000}"/>
    <cellStyle name="Normal 519" xfId="6478" xr:uid="{00000000-0005-0000-0000-0000B82F0000}"/>
    <cellStyle name="Normal 52" xfId="6479" xr:uid="{00000000-0005-0000-0000-0000B92F0000}"/>
    <cellStyle name="Normal 52 10" xfId="11216" xr:uid="{00000000-0005-0000-0000-0000BA2F0000}"/>
    <cellStyle name="Normal 52 11" xfId="11217" xr:uid="{00000000-0005-0000-0000-0000BB2F0000}"/>
    <cellStyle name="Normal 52 12" xfId="11218" xr:uid="{00000000-0005-0000-0000-0000BC2F0000}"/>
    <cellStyle name="Normal 52 13" xfId="11219" xr:uid="{00000000-0005-0000-0000-0000BD2F0000}"/>
    <cellStyle name="Normal 52 14" xfId="11220" xr:uid="{00000000-0005-0000-0000-0000BE2F0000}"/>
    <cellStyle name="Normal 52 15" xfId="11221" xr:uid="{00000000-0005-0000-0000-0000BF2F0000}"/>
    <cellStyle name="Normal 52 16" xfId="11222" xr:uid="{00000000-0005-0000-0000-0000C02F0000}"/>
    <cellStyle name="Normal 52 17" xfId="11223" xr:uid="{00000000-0005-0000-0000-0000C12F0000}"/>
    <cellStyle name="Normal 52 18" xfId="11224" xr:uid="{00000000-0005-0000-0000-0000C22F0000}"/>
    <cellStyle name="Normal 52 19" xfId="11225" xr:uid="{00000000-0005-0000-0000-0000C32F0000}"/>
    <cellStyle name="Normal 52 2" xfId="6480" xr:uid="{00000000-0005-0000-0000-0000C42F0000}"/>
    <cellStyle name="Normal 52 2 2" xfId="11226" xr:uid="{00000000-0005-0000-0000-0000C52F0000}"/>
    <cellStyle name="Normal 52 20" xfId="11227" xr:uid="{00000000-0005-0000-0000-0000C62F0000}"/>
    <cellStyle name="Normal 52 3" xfId="6481" xr:uid="{00000000-0005-0000-0000-0000C72F0000}"/>
    <cellStyle name="Normal 52 3 2" xfId="11228" xr:uid="{00000000-0005-0000-0000-0000C82F0000}"/>
    <cellStyle name="Normal 52 4" xfId="11229" xr:uid="{00000000-0005-0000-0000-0000C92F0000}"/>
    <cellStyle name="Normal 52 4 2" xfId="11230" xr:uid="{00000000-0005-0000-0000-0000CA2F0000}"/>
    <cellStyle name="Normal 52 5" xfId="11231" xr:uid="{00000000-0005-0000-0000-0000CB2F0000}"/>
    <cellStyle name="Normal 52 5 2" xfId="11232" xr:uid="{00000000-0005-0000-0000-0000CC2F0000}"/>
    <cellStyle name="Normal 52 6" xfId="11233" xr:uid="{00000000-0005-0000-0000-0000CD2F0000}"/>
    <cellStyle name="Normal 52 6 2" xfId="11234" xr:uid="{00000000-0005-0000-0000-0000CE2F0000}"/>
    <cellStyle name="Normal 52 7" xfId="11235" xr:uid="{00000000-0005-0000-0000-0000CF2F0000}"/>
    <cellStyle name="Normal 52 8" xfId="11236" xr:uid="{00000000-0005-0000-0000-0000D02F0000}"/>
    <cellStyle name="Normal 52 9" xfId="11237" xr:uid="{00000000-0005-0000-0000-0000D12F0000}"/>
    <cellStyle name="Normal 520" xfId="6482" xr:uid="{00000000-0005-0000-0000-0000D22F0000}"/>
    <cellStyle name="Normal 521" xfId="6483" xr:uid="{00000000-0005-0000-0000-0000D32F0000}"/>
    <cellStyle name="Normal 522" xfId="6484" xr:uid="{00000000-0005-0000-0000-0000D42F0000}"/>
    <cellStyle name="Normal 523" xfId="6485" xr:uid="{00000000-0005-0000-0000-0000D52F0000}"/>
    <cellStyle name="Normal 524" xfId="6486" xr:uid="{00000000-0005-0000-0000-0000D62F0000}"/>
    <cellStyle name="Normal 525" xfId="6487" xr:uid="{00000000-0005-0000-0000-0000D72F0000}"/>
    <cellStyle name="Normal 526" xfId="6488" xr:uid="{00000000-0005-0000-0000-0000D82F0000}"/>
    <cellStyle name="Normal 527" xfId="6489" xr:uid="{00000000-0005-0000-0000-0000D92F0000}"/>
    <cellStyle name="Normal 528" xfId="6490" xr:uid="{00000000-0005-0000-0000-0000DA2F0000}"/>
    <cellStyle name="Normal 529" xfId="6491" xr:uid="{00000000-0005-0000-0000-0000DB2F0000}"/>
    <cellStyle name="Normal 53" xfId="6492" xr:uid="{00000000-0005-0000-0000-0000DC2F0000}"/>
    <cellStyle name="Normal 53 10" xfId="11238" xr:uid="{00000000-0005-0000-0000-0000DD2F0000}"/>
    <cellStyle name="Normal 53 11" xfId="11239" xr:uid="{00000000-0005-0000-0000-0000DE2F0000}"/>
    <cellStyle name="Normal 53 12" xfId="11240" xr:uid="{00000000-0005-0000-0000-0000DF2F0000}"/>
    <cellStyle name="Normal 53 13" xfId="11241" xr:uid="{00000000-0005-0000-0000-0000E02F0000}"/>
    <cellStyle name="Normal 53 14" xfId="11242" xr:uid="{00000000-0005-0000-0000-0000E12F0000}"/>
    <cellStyle name="Normal 53 15" xfId="11243" xr:uid="{00000000-0005-0000-0000-0000E22F0000}"/>
    <cellStyle name="Normal 53 16" xfId="11244" xr:uid="{00000000-0005-0000-0000-0000E32F0000}"/>
    <cellStyle name="Normal 53 17" xfId="11245" xr:uid="{00000000-0005-0000-0000-0000E42F0000}"/>
    <cellStyle name="Normal 53 18" xfId="11246" xr:uid="{00000000-0005-0000-0000-0000E52F0000}"/>
    <cellStyle name="Normal 53 19" xfId="11247" xr:uid="{00000000-0005-0000-0000-0000E62F0000}"/>
    <cellStyle name="Normal 53 2" xfId="6493" xr:uid="{00000000-0005-0000-0000-0000E72F0000}"/>
    <cellStyle name="Normal 53 2 2" xfId="11248" xr:uid="{00000000-0005-0000-0000-0000E82F0000}"/>
    <cellStyle name="Normal 53 20" xfId="11249" xr:uid="{00000000-0005-0000-0000-0000E92F0000}"/>
    <cellStyle name="Normal 53 3" xfId="6494" xr:uid="{00000000-0005-0000-0000-0000EA2F0000}"/>
    <cellStyle name="Normal 53 3 2" xfId="11250" xr:uid="{00000000-0005-0000-0000-0000EB2F0000}"/>
    <cellStyle name="Normal 53 4" xfId="11251" xr:uid="{00000000-0005-0000-0000-0000EC2F0000}"/>
    <cellStyle name="Normal 53 4 2" xfId="11252" xr:uid="{00000000-0005-0000-0000-0000ED2F0000}"/>
    <cellStyle name="Normal 53 5" xfId="11253" xr:uid="{00000000-0005-0000-0000-0000EE2F0000}"/>
    <cellStyle name="Normal 53 5 2" xfId="11254" xr:uid="{00000000-0005-0000-0000-0000EF2F0000}"/>
    <cellStyle name="Normal 53 6" xfId="11255" xr:uid="{00000000-0005-0000-0000-0000F02F0000}"/>
    <cellStyle name="Normal 53 6 2" xfId="11256" xr:uid="{00000000-0005-0000-0000-0000F12F0000}"/>
    <cellStyle name="Normal 53 7" xfId="11257" xr:uid="{00000000-0005-0000-0000-0000F22F0000}"/>
    <cellStyle name="Normal 53 8" xfId="11258" xr:uid="{00000000-0005-0000-0000-0000F32F0000}"/>
    <cellStyle name="Normal 53 9" xfId="11259" xr:uid="{00000000-0005-0000-0000-0000F42F0000}"/>
    <cellStyle name="Normal 530" xfId="6495" xr:uid="{00000000-0005-0000-0000-0000F52F0000}"/>
    <cellStyle name="Normal 531" xfId="6496" xr:uid="{00000000-0005-0000-0000-0000F62F0000}"/>
    <cellStyle name="Normal 532" xfId="6497" xr:uid="{00000000-0005-0000-0000-0000F72F0000}"/>
    <cellStyle name="Normal 533" xfId="6498" xr:uid="{00000000-0005-0000-0000-0000F82F0000}"/>
    <cellStyle name="Normal 534" xfId="6499" xr:uid="{00000000-0005-0000-0000-0000F92F0000}"/>
    <cellStyle name="Normal 535" xfId="6500" xr:uid="{00000000-0005-0000-0000-0000FA2F0000}"/>
    <cellStyle name="Normal 536" xfId="6501" xr:uid="{00000000-0005-0000-0000-0000FB2F0000}"/>
    <cellStyle name="Normal 537" xfId="6502" xr:uid="{00000000-0005-0000-0000-0000FC2F0000}"/>
    <cellStyle name="Normal 538" xfId="6503" xr:uid="{00000000-0005-0000-0000-0000FD2F0000}"/>
    <cellStyle name="Normal 539" xfId="6504" xr:uid="{00000000-0005-0000-0000-0000FE2F0000}"/>
    <cellStyle name="Normal 54" xfId="6505" xr:uid="{00000000-0005-0000-0000-0000FF2F0000}"/>
    <cellStyle name="Normal 54 10" xfId="11260" xr:uid="{00000000-0005-0000-0000-000000300000}"/>
    <cellStyle name="Normal 54 11" xfId="11261" xr:uid="{00000000-0005-0000-0000-000001300000}"/>
    <cellStyle name="Normal 54 12" xfId="11262" xr:uid="{00000000-0005-0000-0000-000002300000}"/>
    <cellStyle name="Normal 54 13" xfId="11263" xr:uid="{00000000-0005-0000-0000-000003300000}"/>
    <cellStyle name="Normal 54 14" xfId="11264" xr:uid="{00000000-0005-0000-0000-000004300000}"/>
    <cellStyle name="Normal 54 15" xfId="11265" xr:uid="{00000000-0005-0000-0000-000005300000}"/>
    <cellStyle name="Normal 54 16" xfId="11266" xr:uid="{00000000-0005-0000-0000-000006300000}"/>
    <cellStyle name="Normal 54 17" xfId="11267" xr:uid="{00000000-0005-0000-0000-000007300000}"/>
    <cellStyle name="Normal 54 18" xfId="11268" xr:uid="{00000000-0005-0000-0000-000008300000}"/>
    <cellStyle name="Normal 54 19" xfId="11269" xr:uid="{00000000-0005-0000-0000-000009300000}"/>
    <cellStyle name="Normal 54 2" xfId="6506" xr:uid="{00000000-0005-0000-0000-00000A300000}"/>
    <cellStyle name="Normal 54 2 2" xfId="11270" xr:uid="{00000000-0005-0000-0000-00000B300000}"/>
    <cellStyle name="Normal 54 20" xfId="11271" xr:uid="{00000000-0005-0000-0000-00000C300000}"/>
    <cellStyle name="Normal 54 3" xfId="6507" xr:uid="{00000000-0005-0000-0000-00000D300000}"/>
    <cellStyle name="Normal 54 3 2" xfId="11272" xr:uid="{00000000-0005-0000-0000-00000E300000}"/>
    <cellStyle name="Normal 54 4" xfId="11273" xr:uid="{00000000-0005-0000-0000-00000F300000}"/>
    <cellStyle name="Normal 54 4 2" xfId="11274" xr:uid="{00000000-0005-0000-0000-000010300000}"/>
    <cellStyle name="Normal 54 5" xfId="11275" xr:uid="{00000000-0005-0000-0000-000011300000}"/>
    <cellStyle name="Normal 54 5 2" xfId="11276" xr:uid="{00000000-0005-0000-0000-000012300000}"/>
    <cellStyle name="Normal 54 6" xfId="11277" xr:uid="{00000000-0005-0000-0000-000013300000}"/>
    <cellStyle name="Normal 54 6 2" xfId="11278" xr:uid="{00000000-0005-0000-0000-000014300000}"/>
    <cellStyle name="Normal 54 7" xfId="11279" xr:uid="{00000000-0005-0000-0000-000015300000}"/>
    <cellStyle name="Normal 54 8" xfId="11280" xr:uid="{00000000-0005-0000-0000-000016300000}"/>
    <cellStyle name="Normal 54 9" xfId="11281" xr:uid="{00000000-0005-0000-0000-000017300000}"/>
    <cellStyle name="Normal 540" xfId="6508" xr:uid="{00000000-0005-0000-0000-000018300000}"/>
    <cellStyle name="Normal 541" xfId="6509" xr:uid="{00000000-0005-0000-0000-000019300000}"/>
    <cellStyle name="Normal 542" xfId="6510" xr:uid="{00000000-0005-0000-0000-00001A300000}"/>
    <cellStyle name="Normal 543" xfId="6511" xr:uid="{00000000-0005-0000-0000-00001B300000}"/>
    <cellStyle name="Normal 544" xfId="6512" xr:uid="{00000000-0005-0000-0000-00001C300000}"/>
    <cellStyle name="Normal 545" xfId="6513" xr:uid="{00000000-0005-0000-0000-00001D300000}"/>
    <cellStyle name="Normal 546" xfId="6514" xr:uid="{00000000-0005-0000-0000-00001E300000}"/>
    <cellStyle name="Normal 547" xfId="6515" xr:uid="{00000000-0005-0000-0000-00001F300000}"/>
    <cellStyle name="Normal 548" xfId="6516" xr:uid="{00000000-0005-0000-0000-000020300000}"/>
    <cellStyle name="Normal 549" xfId="6517" xr:uid="{00000000-0005-0000-0000-000021300000}"/>
    <cellStyle name="Normal 55" xfId="6518" xr:uid="{00000000-0005-0000-0000-000022300000}"/>
    <cellStyle name="Normal 55 10" xfId="11282" xr:uid="{00000000-0005-0000-0000-000023300000}"/>
    <cellStyle name="Normal 55 11" xfId="11283" xr:uid="{00000000-0005-0000-0000-000024300000}"/>
    <cellStyle name="Normal 55 12" xfId="11284" xr:uid="{00000000-0005-0000-0000-000025300000}"/>
    <cellStyle name="Normal 55 13" xfId="11285" xr:uid="{00000000-0005-0000-0000-000026300000}"/>
    <cellStyle name="Normal 55 14" xfId="11286" xr:uid="{00000000-0005-0000-0000-000027300000}"/>
    <cellStyle name="Normal 55 15" xfId="11287" xr:uid="{00000000-0005-0000-0000-000028300000}"/>
    <cellStyle name="Normal 55 16" xfId="11288" xr:uid="{00000000-0005-0000-0000-000029300000}"/>
    <cellStyle name="Normal 55 17" xfId="11289" xr:uid="{00000000-0005-0000-0000-00002A300000}"/>
    <cellStyle name="Normal 55 18" xfId="11290" xr:uid="{00000000-0005-0000-0000-00002B300000}"/>
    <cellStyle name="Normal 55 19" xfId="11291" xr:uid="{00000000-0005-0000-0000-00002C300000}"/>
    <cellStyle name="Normal 55 2" xfId="6519" xr:uid="{00000000-0005-0000-0000-00002D300000}"/>
    <cellStyle name="Normal 55 2 2" xfId="11292" xr:uid="{00000000-0005-0000-0000-00002E300000}"/>
    <cellStyle name="Normal 55 20" xfId="11293" xr:uid="{00000000-0005-0000-0000-00002F300000}"/>
    <cellStyle name="Normal 55 3" xfId="6520" xr:uid="{00000000-0005-0000-0000-000030300000}"/>
    <cellStyle name="Normal 55 3 2" xfId="11294" xr:uid="{00000000-0005-0000-0000-000031300000}"/>
    <cellStyle name="Normal 55 4" xfId="11295" xr:uid="{00000000-0005-0000-0000-000032300000}"/>
    <cellStyle name="Normal 55 4 2" xfId="11296" xr:uid="{00000000-0005-0000-0000-000033300000}"/>
    <cellStyle name="Normal 55 5" xfId="11297" xr:uid="{00000000-0005-0000-0000-000034300000}"/>
    <cellStyle name="Normal 55 5 2" xfId="11298" xr:uid="{00000000-0005-0000-0000-000035300000}"/>
    <cellStyle name="Normal 55 6" xfId="11299" xr:uid="{00000000-0005-0000-0000-000036300000}"/>
    <cellStyle name="Normal 55 6 2" xfId="11300" xr:uid="{00000000-0005-0000-0000-000037300000}"/>
    <cellStyle name="Normal 55 7" xfId="11301" xr:uid="{00000000-0005-0000-0000-000038300000}"/>
    <cellStyle name="Normal 55 8" xfId="11302" xr:uid="{00000000-0005-0000-0000-000039300000}"/>
    <cellStyle name="Normal 55 9" xfId="11303" xr:uid="{00000000-0005-0000-0000-00003A300000}"/>
    <cellStyle name="Normal 550" xfId="6521" xr:uid="{00000000-0005-0000-0000-00003B300000}"/>
    <cellStyle name="Normal 551" xfId="6522" xr:uid="{00000000-0005-0000-0000-00003C300000}"/>
    <cellStyle name="Normal 552" xfId="6523" xr:uid="{00000000-0005-0000-0000-00003D300000}"/>
    <cellStyle name="Normal 553" xfId="6524" xr:uid="{00000000-0005-0000-0000-00003E300000}"/>
    <cellStyle name="Normal 554" xfId="6525" xr:uid="{00000000-0005-0000-0000-00003F300000}"/>
    <cellStyle name="Normal 555" xfId="6526" xr:uid="{00000000-0005-0000-0000-000040300000}"/>
    <cellStyle name="Normal 556" xfId="6527" xr:uid="{00000000-0005-0000-0000-000041300000}"/>
    <cellStyle name="Normal 557" xfId="6528" xr:uid="{00000000-0005-0000-0000-000042300000}"/>
    <cellStyle name="Normal 558" xfId="6529" xr:uid="{00000000-0005-0000-0000-000043300000}"/>
    <cellStyle name="Normal 559" xfId="6530" xr:uid="{00000000-0005-0000-0000-000044300000}"/>
    <cellStyle name="Normal 56" xfId="6531" xr:uid="{00000000-0005-0000-0000-000045300000}"/>
    <cellStyle name="Normal 56 10" xfId="11304" xr:uid="{00000000-0005-0000-0000-000046300000}"/>
    <cellStyle name="Normal 56 11" xfId="11305" xr:uid="{00000000-0005-0000-0000-000047300000}"/>
    <cellStyle name="Normal 56 12" xfId="11306" xr:uid="{00000000-0005-0000-0000-000048300000}"/>
    <cellStyle name="Normal 56 13" xfId="11307" xr:uid="{00000000-0005-0000-0000-000049300000}"/>
    <cellStyle name="Normal 56 14" xfId="11308" xr:uid="{00000000-0005-0000-0000-00004A300000}"/>
    <cellStyle name="Normal 56 15" xfId="11309" xr:uid="{00000000-0005-0000-0000-00004B300000}"/>
    <cellStyle name="Normal 56 16" xfId="11310" xr:uid="{00000000-0005-0000-0000-00004C300000}"/>
    <cellStyle name="Normal 56 17" xfId="11311" xr:uid="{00000000-0005-0000-0000-00004D300000}"/>
    <cellStyle name="Normal 56 18" xfId="11312" xr:uid="{00000000-0005-0000-0000-00004E300000}"/>
    <cellStyle name="Normal 56 19" xfId="11313" xr:uid="{00000000-0005-0000-0000-00004F300000}"/>
    <cellStyle name="Normal 56 2" xfId="6532" xr:uid="{00000000-0005-0000-0000-000050300000}"/>
    <cellStyle name="Normal 56 2 2" xfId="11314" xr:uid="{00000000-0005-0000-0000-000051300000}"/>
    <cellStyle name="Normal 56 20" xfId="11315" xr:uid="{00000000-0005-0000-0000-000052300000}"/>
    <cellStyle name="Normal 56 3" xfId="6533" xr:uid="{00000000-0005-0000-0000-000053300000}"/>
    <cellStyle name="Normal 56 3 2" xfId="11316" xr:uid="{00000000-0005-0000-0000-000054300000}"/>
    <cellStyle name="Normal 56 4" xfId="11317" xr:uid="{00000000-0005-0000-0000-000055300000}"/>
    <cellStyle name="Normal 56 4 2" xfId="11318" xr:uid="{00000000-0005-0000-0000-000056300000}"/>
    <cellStyle name="Normal 56 5" xfId="11319" xr:uid="{00000000-0005-0000-0000-000057300000}"/>
    <cellStyle name="Normal 56 5 2" xfId="11320" xr:uid="{00000000-0005-0000-0000-000058300000}"/>
    <cellStyle name="Normal 56 6" xfId="11321" xr:uid="{00000000-0005-0000-0000-000059300000}"/>
    <cellStyle name="Normal 56 6 2" xfId="11322" xr:uid="{00000000-0005-0000-0000-00005A300000}"/>
    <cellStyle name="Normal 56 7" xfId="11323" xr:uid="{00000000-0005-0000-0000-00005B300000}"/>
    <cellStyle name="Normal 56 8" xfId="11324" xr:uid="{00000000-0005-0000-0000-00005C300000}"/>
    <cellStyle name="Normal 56 9" xfId="11325" xr:uid="{00000000-0005-0000-0000-00005D300000}"/>
    <cellStyle name="Normal 560" xfId="6534" xr:uid="{00000000-0005-0000-0000-00005E300000}"/>
    <cellStyle name="Normal 561" xfId="6535" xr:uid="{00000000-0005-0000-0000-00005F300000}"/>
    <cellStyle name="Normal 562" xfId="6536" xr:uid="{00000000-0005-0000-0000-000060300000}"/>
    <cellStyle name="Normal 563" xfId="6537" xr:uid="{00000000-0005-0000-0000-000061300000}"/>
    <cellStyle name="Normal 564" xfId="6538" xr:uid="{00000000-0005-0000-0000-000062300000}"/>
    <cellStyle name="Normal 565" xfId="6539" xr:uid="{00000000-0005-0000-0000-000063300000}"/>
    <cellStyle name="Normal 566" xfId="6540" xr:uid="{00000000-0005-0000-0000-000064300000}"/>
    <cellStyle name="Normal 567" xfId="6541" xr:uid="{00000000-0005-0000-0000-000065300000}"/>
    <cellStyle name="Normal 568" xfId="6542" xr:uid="{00000000-0005-0000-0000-000066300000}"/>
    <cellStyle name="Normal 569" xfId="6543" xr:uid="{00000000-0005-0000-0000-000067300000}"/>
    <cellStyle name="Normal 57" xfId="6544" xr:uid="{00000000-0005-0000-0000-000068300000}"/>
    <cellStyle name="Normal 57 10" xfId="11326" xr:uid="{00000000-0005-0000-0000-000069300000}"/>
    <cellStyle name="Normal 57 11" xfId="11327" xr:uid="{00000000-0005-0000-0000-00006A300000}"/>
    <cellStyle name="Normal 57 12" xfId="11328" xr:uid="{00000000-0005-0000-0000-00006B300000}"/>
    <cellStyle name="Normal 57 13" xfId="11329" xr:uid="{00000000-0005-0000-0000-00006C300000}"/>
    <cellStyle name="Normal 57 14" xfId="11330" xr:uid="{00000000-0005-0000-0000-00006D300000}"/>
    <cellStyle name="Normal 57 15" xfId="11331" xr:uid="{00000000-0005-0000-0000-00006E300000}"/>
    <cellStyle name="Normal 57 16" xfId="11332" xr:uid="{00000000-0005-0000-0000-00006F300000}"/>
    <cellStyle name="Normal 57 17" xfId="11333" xr:uid="{00000000-0005-0000-0000-000070300000}"/>
    <cellStyle name="Normal 57 18" xfId="11334" xr:uid="{00000000-0005-0000-0000-000071300000}"/>
    <cellStyle name="Normal 57 19" xfId="11335" xr:uid="{00000000-0005-0000-0000-000072300000}"/>
    <cellStyle name="Normal 57 2" xfId="6545" xr:uid="{00000000-0005-0000-0000-000073300000}"/>
    <cellStyle name="Normal 57 2 2" xfId="11336" xr:uid="{00000000-0005-0000-0000-000074300000}"/>
    <cellStyle name="Normal 57 20" xfId="11337" xr:uid="{00000000-0005-0000-0000-000075300000}"/>
    <cellStyle name="Normal 57 3" xfId="6546" xr:uid="{00000000-0005-0000-0000-000076300000}"/>
    <cellStyle name="Normal 57 3 2" xfId="11338" xr:uid="{00000000-0005-0000-0000-000077300000}"/>
    <cellStyle name="Normal 57 4" xfId="11339" xr:uid="{00000000-0005-0000-0000-000078300000}"/>
    <cellStyle name="Normal 57 4 2" xfId="11340" xr:uid="{00000000-0005-0000-0000-000079300000}"/>
    <cellStyle name="Normal 57 5" xfId="11341" xr:uid="{00000000-0005-0000-0000-00007A300000}"/>
    <cellStyle name="Normal 57 5 2" xfId="11342" xr:uid="{00000000-0005-0000-0000-00007B300000}"/>
    <cellStyle name="Normal 57 6" xfId="11343" xr:uid="{00000000-0005-0000-0000-00007C300000}"/>
    <cellStyle name="Normal 57 6 2" xfId="11344" xr:uid="{00000000-0005-0000-0000-00007D300000}"/>
    <cellStyle name="Normal 57 7" xfId="11345" xr:uid="{00000000-0005-0000-0000-00007E300000}"/>
    <cellStyle name="Normal 57 8" xfId="11346" xr:uid="{00000000-0005-0000-0000-00007F300000}"/>
    <cellStyle name="Normal 57 9" xfId="11347" xr:uid="{00000000-0005-0000-0000-000080300000}"/>
    <cellStyle name="Normal 570" xfId="6547" xr:uid="{00000000-0005-0000-0000-000081300000}"/>
    <cellStyle name="Normal 571" xfId="6548" xr:uid="{00000000-0005-0000-0000-000082300000}"/>
    <cellStyle name="Normal 572" xfId="6549" xr:uid="{00000000-0005-0000-0000-000083300000}"/>
    <cellStyle name="Normal 573" xfId="6550" xr:uid="{00000000-0005-0000-0000-000084300000}"/>
    <cellStyle name="Normal 574" xfId="6551" xr:uid="{00000000-0005-0000-0000-000085300000}"/>
    <cellStyle name="Normal 575" xfId="6552" xr:uid="{00000000-0005-0000-0000-000086300000}"/>
    <cellStyle name="Normal 576" xfId="6553" xr:uid="{00000000-0005-0000-0000-000087300000}"/>
    <cellStyle name="Normal 576 2" xfId="6554" xr:uid="{00000000-0005-0000-0000-000088300000}"/>
    <cellStyle name="Normal 577" xfId="6555" xr:uid="{00000000-0005-0000-0000-000089300000}"/>
    <cellStyle name="Normal 578" xfId="6556" xr:uid="{00000000-0005-0000-0000-00008A300000}"/>
    <cellStyle name="Normal 579" xfId="6557" xr:uid="{00000000-0005-0000-0000-00008B300000}"/>
    <cellStyle name="Normal 58" xfId="6558" xr:uid="{00000000-0005-0000-0000-00008C300000}"/>
    <cellStyle name="Normal 58 10" xfId="11348" xr:uid="{00000000-0005-0000-0000-00008D300000}"/>
    <cellStyle name="Normal 58 11" xfId="11349" xr:uid="{00000000-0005-0000-0000-00008E300000}"/>
    <cellStyle name="Normal 58 12" xfId="11350" xr:uid="{00000000-0005-0000-0000-00008F300000}"/>
    <cellStyle name="Normal 58 13" xfId="11351" xr:uid="{00000000-0005-0000-0000-000090300000}"/>
    <cellStyle name="Normal 58 14" xfId="11352" xr:uid="{00000000-0005-0000-0000-000091300000}"/>
    <cellStyle name="Normal 58 15" xfId="11353" xr:uid="{00000000-0005-0000-0000-000092300000}"/>
    <cellStyle name="Normal 58 16" xfId="11354" xr:uid="{00000000-0005-0000-0000-000093300000}"/>
    <cellStyle name="Normal 58 17" xfId="11355" xr:uid="{00000000-0005-0000-0000-000094300000}"/>
    <cellStyle name="Normal 58 18" xfId="11356" xr:uid="{00000000-0005-0000-0000-000095300000}"/>
    <cellStyle name="Normal 58 19" xfId="11357" xr:uid="{00000000-0005-0000-0000-000096300000}"/>
    <cellStyle name="Normal 58 2" xfId="6559" xr:uid="{00000000-0005-0000-0000-000097300000}"/>
    <cellStyle name="Normal 58 2 2" xfId="11358" xr:uid="{00000000-0005-0000-0000-000098300000}"/>
    <cellStyle name="Normal 58 20" xfId="11359" xr:uid="{00000000-0005-0000-0000-000099300000}"/>
    <cellStyle name="Normal 58 3" xfId="6560" xr:uid="{00000000-0005-0000-0000-00009A300000}"/>
    <cellStyle name="Normal 58 3 2" xfId="11360" xr:uid="{00000000-0005-0000-0000-00009B300000}"/>
    <cellStyle name="Normal 58 4" xfId="11361" xr:uid="{00000000-0005-0000-0000-00009C300000}"/>
    <cellStyle name="Normal 58 4 2" xfId="11362" xr:uid="{00000000-0005-0000-0000-00009D300000}"/>
    <cellStyle name="Normal 58 5" xfId="11363" xr:uid="{00000000-0005-0000-0000-00009E300000}"/>
    <cellStyle name="Normal 58 5 2" xfId="11364" xr:uid="{00000000-0005-0000-0000-00009F300000}"/>
    <cellStyle name="Normal 58 6" xfId="11365" xr:uid="{00000000-0005-0000-0000-0000A0300000}"/>
    <cellStyle name="Normal 58 6 2" xfId="11366" xr:uid="{00000000-0005-0000-0000-0000A1300000}"/>
    <cellStyle name="Normal 58 7" xfId="11367" xr:uid="{00000000-0005-0000-0000-0000A2300000}"/>
    <cellStyle name="Normal 58 8" xfId="11368" xr:uid="{00000000-0005-0000-0000-0000A3300000}"/>
    <cellStyle name="Normal 58 9" xfId="11369" xr:uid="{00000000-0005-0000-0000-0000A4300000}"/>
    <cellStyle name="Normal 580" xfId="6561" xr:uid="{00000000-0005-0000-0000-0000A5300000}"/>
    <cellStyle name="Normal 581" xfId="6562" xr:uid="{00000000-0005-0000-0000-0000A6300000}"/>
    <cellStyle name="Normal 582" xfId="6563" xr:uid="{00000000-0005-0000-0000-0000A7300000}"/>
    <cellStyle name="Normal 583" xfId="6564" xr:uid="{00000000-0005-0000-0000-0000A8300000}"/>
    <cellStyle name="Normal 584" xfId="6565" xr:uid="{00000000-0005-0000-0000-0000A9300000}"/>
    <cellStyle name="Normal 585" xfId="6566" xr:uid="{00000000-0005-0000-0000-0000AA300000}"/>
    <cellStyle name="Normal 586" xfId="6567" xr:uid="{00000000-0005-0000-0000-0000AB300000}"/>
    <cellStyle name="Normal 587" xfId="6568" xr:uid="{00000000-0005-0000-0000-0000AC300000}"/>
    <cellStyle name="Normal 588" xfId="6569" xr:uid="{00000000-0005-0000-0000-0000AD300000}"/>
    <cellStyle name="Normal 589" xfId="6570" xr:uid="{00000000-0005-0000-0000-0000AE300000}"/>
    <cellStyle name="Normal 59" xfId="6571" xr:uid="{00000000-0005-0000-0000-0000AF300000}"/>
    <cellStyle name="Normal 59 10" xfId="11370" xr:uid="{00000000-0005-0000-0000-0000B0300000}"/>
    <cellStyle name="Normal 59 11" xfId="11371" xr:uid="{00000000-0005-0000-0000-0000B1300000}"/>
    <cellStyle name="Normal 59 12" xfId="11372" xr:uid="{00000000-0005-0000-0000-0000B2300000}"/>
    <cellStyle name="Normal 59 13" xfId="11373" xr:uid="{00000000-0005-0000-0000-0000B3300000}"/>
    <cellStyle name="Normal 59 14" xfId="11374" xr:uid="{00000000-0005-0000-0000-0000B4300000}"/>
    <cellStyle name="Normal 59 15" xfId="11375" xr:uid="{00000000-0005-0000-0000-0000B5300000}"/>
    <cellStyle name="Normal 59 16" xfId="11376" xr:uid="{00000000-0005-0000-0000-0000B6300000}"/>
    <cellStyle name="Normal 59 17" xfId="11377" xr:uid="{00000000-0005-0000-0000-0000B7300000}"/>
    <cellStyle name="Normal 59 18" xfId="11378" xr:uid="{00000000-0005-0000-0000-0000B8300000}"/>
    <cellStyle name="Normal 59 19" xfId="11379" xr:uid="{00000000-0005-0000-0000-0000B9300000}"/>
    <cellStyle name="Normal 59 2" xfId="6572" xr:uid="{00000000-0005-0000-0000-0000BA300000}"/>
    <cellStyle name="Normal 59 2 2" xfId="11380" xr:uid="{00000000-0005-0000-0000-0000BB300000}"/>
    <cellStyle name="Normal 59 20" xfId="11381" xr:uid="{00000000-0005-0000-0000-0000BC300000}"/>
    <cellStyle name="Normal 59 3" xfId="6573" xr:uid="{00000000-0005-0000-0000-0000BD300000}"/>
    <cellStyle name="Normal 59 3 2" xfId="11382" xr:uid="{00000000-0005-0000-0000-0000BE300000}"/>
    <cellStyle name="Normal 59 4" xfId="11383" xr:uid="{00000000-0005-0000-0000-0000BF300000}"/>
    <cellStyle name="Normal 59 4 2" xfId="11384" xr:uid="{00000000-0005-0000-0000-0000C0300000}"/>
    <cellStyle name="Normal 59 5" xfId="11385" xr:uid="{00000000-0005-0000-0000-0000C1300000}"/>
    <cellStyle name="Normal 59 5 2" xfId="11386" xr:uid="{00000000-0005-0000-0000-0000C2300000}"/>
    <cellStyle name="Normal 59 6" xfId="11387" xr:uid="{00000000-0005-0000-0000-0000C3300000}"/>
    <cellStyle name="Normal 59 6 2" xfId="11388" xr:uid="{00000000-0005-0000-0000-0000C4300000}"/>
    <cellStyle name="Normal 59 7" xfId="11389" xr:uid="{00000000-0005-0000-0000-0000C5300000}"/>
    <cellStyle name="Normal 59 8" xfId="11390" xr:uid="{00000000-0005-0000-0000-0000C6300000}"/>
    <cellStyle name="Normal 59 9" xfId="11391" xr:uid="{00000000-0005-0000-0000-0000C7300000}"/>
    <cellStyle name="Normal 590" xfId="6574" xr:uid="{00000000-0005-0000-0000-0000C8300000}"/>
    <cellStyle name="Normal 591" xfId="6575" xr:uid="{00000000-0005-0000-0000-0000C9300000}"/>
    <cellStyle name="Normal 592" xfId="6576" xr:uid="{00000000-0005-0000-0000-0000CA300000}"/>
    <cellStyle name="Normal 593" xfId="6577" xr:uid="{00000000-0005-0000-0000-0000CB300000}"/>
    <cellStyle name="Normal 594" xfId="6578" xr:uid="{00000000-0005-0000-0000-0000CC300000}"/>
    <cellStyle name="Normal 595" xfId="6579" xr:uid="{00000000-0005-0000-0000-0000CD300000}"/>
    <cellStyle name="Normal 596" xfId="6580" xr:uid="{00000000-0005-0000-0000-0000CE300000}"/>
    <cellStyle name="Normal 597" xfId="6581" xr:uid="{00000000-0005-0000-0000-0000CF300000}"/>
    <cellStyle name="Normal 598" xfId="6582" xr:uid="{00000000-0005-0000-0000-0000D0300000}"/>
    <cellStyle name="Normal 598 10" xfId="6583" xr:uid="{00000000-0005-0000-0000-0000D1300000}"/>
    <cellStyle name="Normal 598 10 2" xfId="17554" xr:uid="{00000000-0005-0000-0000-0000D2300000}"/>
    <cellStyle name="Normal 598 11" xfId="6584" xr:uid="{00000000-0005-0000-0000-0000D3300000}"/>
    <cellStyle name="Normal 598 11 2" xfId="17555" xr:uid="{00000000-0005-0000-0000-0000D4300000}"/>
    <cellStyle name="Normal 598 12" xfId="17556" xr:uid="{00000000-0005-0000-0000-0000D5300000}"/>
    <cellStyle name="Normal 598 2" xfId="6585" xr:uid="{00000000-0005-0000-0000-0000D6300000}"/>
    <cellStyle name="Normal 598 2 10" xfId="6586" xr:uid="{00000000-0005-0000-0000-0000D7300000}"/>
    <cellStyle name="Normal 598 2 10 2" xfId="17557" xr:uid="{00000000-0005-0000-0000-0000D8300000}"/>
    <cellStyle name="Normal 598 2 11" xfId="17558" xr:uid="{00000000-0005-0000-0000-0000D9300000}"/>
    <cellStyle name="Normal 598 2 2" xfId="6587" xr:uid="{00000000-0005-0000-0000-0000DA300000}"/>
    <cellStyle name="Normal 598 2 2 10" xfId="17559" xr:uid="{00000000-0005-0000-0000-0000DB300000}"/>
    <cellStyle name="Normal 598 2 2 2" xfId="6588" xr:uid="{00000000-0005-0000-0000-0000DC300000}"/>
    <cellStyle name="Normal 598 2 2 2 2" xfId="6589" xr:uid="{00000000-0005-0000-0000-0000DD300000}"/>
    <cellStyle name="Normal 598 2 2 2 2 2" xfId="6590" xr:uid="{00000000-0005-0000-0000-0000DE300000}"/>
    <cellStyle name="Normal 598 2 2 2 2 2 2" xfId="6591" xr:uid="{00000000-0005-0000-0000-0000DF300000}"/>
    <cellStyle name="Normal 598 2 2 2 2 2 2 2" xfId="17560" xr:uid="{00000000-0005-0000-0000-0000E0300000}"/>
    <cellStyle name="Normal 598 2 2 2 2 2 3" xfId="6592" xr:uid="{00000000-0005-0000-0000-0000E1300000}"/>
    <cellStyle name="Normal 598 2 2 2 2 2 3 2" xfId="17561" xr:uid="{00000000-0005-0000-0000-0000E2300000}"/>
    <cellStyle name="Normal 598 2 2 2 2 2 4" xfId="17562" xr:uid="{00000000-0005-0000-0000-0000E3300000}"/>
    <cellStyle name="Normal 598 2 2 2 2 3" xfId="6593" xr:uid="{00000000-0005-0000-0000-0000E4300000}"/>
    <cellStyle name="Normal 598 2 2 2 2 3 2" xfId="6594" xr:uid="{00000000-0005-0000-0000-0000E5300000}"/>
    <cellStyle name="Normal 598 2 2 2 2 3 2 2" xfId="17563" xr:uid="{00000000-0005-0000-0000-0000E6300000}"/>
    <cellStyle name="Normal 598 2 2 2 2 3 3" xfId="6595" xr:uid="{00000000-0005-0000-0000-0000E7300000}"/>
    <cellStyle name="Normal 598 2 2 2 2 3 3 2" xfId="17564" xr:uid="{00000000-0005-0000-0000-0000E8300000}"/>
    <cellStyle name="Normal 598 2 2 2 2 3 4" xfId="17565" xr:uid="{00000000-0005-0000-0000-0000E9300000}"/>
    <cellStyle name="Normal 598 2 2 2 2 4" xfId="6596" xr:uid="{00000000-0005-0000-0000-0000EA300000}"/>
    <cellStyle name="Normal 598 2 2 2 2 4 2" xfId="17566" xr:uid="{00000000-0005-0000-0000-0000EB300000}"/>
    <cellStyle name="Normal 598 2 2 2 2 5" xfId="6597" xr:uid="{00000000-0005-0000-0000-0000EC300000}"/>
    <cellStyle name="Normal 598 2 2 2 2 5 2" xfId="17567" xr:uid="{00000000-0005-0000-0000-0000ED300000}"/>
    <cellStyle name="Normal 598 2 2 2 2 6" xfId="17568" xr:uid="{00000000-0005-0000-0000-0000EE300000}"/>
    <cellStyle name="Normal 598 2 2 2 3" xfId="6598" xr:uid="{00000000-0005-0000-0000-0000EF300000}"/>
    <cellStyle name="Normal 598 2 2 2 3 2" xfId="6599" xr:uid="{00000000-0005-0000-0000-0000F0300000}"/>
    <cellStyle name="Normal 598 2 2 2 3 2 2" xfId="6600" xr:uid="{00000000-0005-0000-0000-0000F1300000}"/>
    <cellStyle name="Normal 598 2 2 2 3 2 2 2" xfId="17569" xr:uid="{00000000-0005-0000-0000-0000F2300000}"/>
    <cellStyle name="Normal 598 2 2 2 3 2 3" xfId="6601" xr:uid="{00000000-0005-0000-0000-0000F3300000}"/>
    <cellStyle name="Normal 598 2 2 2 3 2 3 2" xfId="17570" xr:uid="{00000000-0005-0000-0000-0000F4300000}"/>
    <cellStyle name="Normal 598 2 2 2 3 2 4" xfId="17571" xr:uid="{00000000-0005-0000-0000-0000F5300000}"/>
    <cellStyle name="Normal 598 2 2 2 3 3" xfId="6602" xr:uid="{00000000-0005-0000-0000-0000F6300000}"/>
    <cellStyle name="Normal 598 2 2 2 3 3 2" xfId="6603" xr:uid="{00000000-0005-0000-0000-0000F7300000}"/>
    <cellStyle name="Normal 598 2 2 2 3 3 2 2" xfId="17572" xr:uid="{00000000-0005-0000-0000-0000F8300000}"/>
    <cellStyle name="Normal 598 2 2 2 3 3 3" xfId="6604" xr:uid="{00000000-0005-0000-0000-0000F9300000}"/>
    <cellStyle name="Normal 598 2 2 2 3 3 3 2" xfId="17573" xr:uid="{00000000-0005-0000-0000-0000FA300000}"/>
    <cellStyle name="Normal 598 2 2 2 3 3 4" xfId="17574" xr:uid="{00000000-0005-0000-0000-0000FB300000}"/>
    <cellStyle name="Normal 598 2 2 2 3 4" xfId="6605" xr:uid="{00000000-0005-0000-0000-0000FC300000}"/>
    <cellStyle name="Normal 598 2 2 2 3 4 2" xfId="17575" xr:uid="{00000000-0005-0000-0000-0000FD300000}"/>
    <cellStyle name="Normal 598 2 2 2 3 5" xfId="6606" xr:uid="{00000000-0005-0000-0000-0000FE300000}"/>
    <cellStyle name="Normal 598 2 2 2 3 5 2" xfId="17576" xr:uid="{00000000-0005-0000-0000-0000FF300000}"/>
    <cellStyle name="Normal 598 2 2 2 3 6" xfId="17577" xr:uid="{00000000-0005-0000-0000-000000310000}"/>
    <cellStyle name="Normal 598 2 2 2 4" xfId="6607" xr:uid="{00000000-0005-0000-0000-000001310000}"/>
    <cellStyle name="Normal 598 2 2 2 4 2" xfId="6608" xr:uid="{00000000-0005-0000-0000-000002310000}"/>
    <cellStyle name="Normal 598 2 2 2 4 2 2" xfId="17578" xr:uid="{00000000-0005-0000-0000-000003310000}"/>
    <cellStyle name="Normal 598 2 2 2 4 3" xfId="6609" xr:uid="{00000000-0005-0000-0000-000004310000}"/>
    <cellStyle name="Normal 598 2 2 2 4 3 2" xfId="17579" xr:uid="{00000000-0005-0000-0000-000005310000}"/>
    <cellStyle name="Normal 598 2 2 2 4 4" xfId="17580" xr:uid="{00000000-0005-0000-0000-000006310000}"/>
    <cellStyle name="Normal 598 2 2 2 5" xfId="6610" xr:uid="{00000000-0005-0000-0000-000007310000}"/>
    <cellStyle name="Normal 598 2 2 2 5 2" xfId="6611" xr:uid="{00000000-0005-0000-0000-000008310000}"/>
    <cellStyle name="Normal 598 2 2 2 5 2 2" xfId="17581" xr:uid="{00000000-0005-0000-0000-000009310000}"/>
    <cellStyle name="Normal 598 2 2 2 5 3" xfId="6612" xr:uid="{00000000-0005-0000-0000-00000A310000}"/>
    <cellStyle name="Normal 598 2 2 2 5 3 2" xfId="17582" xr:uid="{00000000-0005-0000-0000-00000B310000}"/>
    <cellStyle name="Normal 598 2 2 2 5 4" xfId="17583" xr:uid="{00000000-0005-0000-0000-00000C310000}"/>
    <cellStyle name="Normal 598 2 2 2 6" xfId="6613" xr:uid="{00000000-0005-0000-0000-00000D310000}"/>
    <cellStyle name="Normal 598 2 2 2 6 2" xfId="17584" xr:uid="{00000000-0005-0000-0000-00000E310000}"/>
    <cellStyle name="Normal 598 2 2 2 7" xfId="6614" xr:uid="{00000000-0005-0000-0000-00000F310000}"/>
    <cellStyle name="Normal 598 2 2 2 7 2" xfId="17585" xr:uid="{00000000-0005-0000-0000-000010310000}"/>
    <cellStyle name="Normal 598 2 2 2 8" xfId="17586" xr:uid="{00000000-0005-0000-0000-000011310000}"/>
    <cellStyle name="Normal 598 2 2 3" xfId="6615" xr:uid="{00000000-0005-0000-0000-000012310000}"/>
    <cellStyle name="Normal 598 2 2 3 2" xfId="6616" xr:uid="{00000000-0005-0000-0000-000013310000}"/>
    <cellStyle name="Normal 598 2 2 3 2 2" xfId="6617" xr:uid="{00000000-0005-0000-0000-000014310000}"/>
    <cellStyle name="Normal 598 2 2 3 2 2 2" xfId="6618" xr:uid="{00000000-0005-0000-0000-000015310000}"/>
    <cellStyle name="Normal 598 2 2 3 2 2 2 2" xfId="17587" xr:uid="{00000000-0005-0000-0000-000016310000}"/>
    <cellStyle name="Normal 598 2 2 3 2 2 3" xfId="6619" xr:uid="{00000000-0005-0000-0000-000017310000}"/>
    <cellStyle name="Normal 598 2 2 3 2 2 3 2" xfId="17588" xr:uid="{00000000-0005-0000-0000-000018310000}"/>
    <cellStyle name="Normal 598 2 2 3 2 2 4" xfId="17589" xr:uid="{00000000-0005-0000-0000-000019310000}"/>
    <cellStyle name="Normal 598 2 2 3 2 3" xfId="6620" xr:uid="{00000000-0005-0000-0000-00001A310000}"/>
    <cellStyle name="Normal 598 2 2 3 2 3 2" xfId="6621" xr:uid="{00000000-0005-0000-0000-00001B310000}"/>
    <cellStyle name="Normal 598 2 2 3 2 3 2 2" xfId="17590" xr:uid="{00000000-0005-0000-0000-00001C310000}"/>
    <cellStyle name="Normal 598 2 2 3 2 3 3" xfId="6622" xr:uid="{00000000-0005-0000-0000-00001D310000}"/>
    <cellStyle name="Normal 598 2 2 3 2 3 3 2" xfId="17591" xr:uid="{00000000-0005-0000-0000-00001E310000}"/>
    <cellStyle name="Normal 598 2 2 3 2 3 4" xfId="17592" xr:uid="{00000000-0005-0000-0000-00001F310000}"/>
    <cellStyle name="Normal 598 2 2 3 2 4" xfId="6623" xr:uid="{00000000-0005-0000-0000-000020310000}"/>
    <cellStyle name="Normal 598 2 2 3 2 4 2" xfId="17593" xr:uid="{00000000-0005-0000-0000-000021310000}"/>
    <cellStyle name="Normal 598 2 2 3 2 5" xfId="6624" xr:uid="{00000000-0005-0000-0000-000022310000}"/>
    <cellStyle name="Normal 598 2 2 3 2 5 2" xfId="17594" xr:uid="{00000000-0005-0000-0000-000023310000}"/>
    <cellStyle name="Normal 598 2 2 3 2 6" xfId="17595" xr:uid="{00000000-0005-0000-0000-000024310000}"/>
    <cellStyle name="Normal 598 2 2 3 3" xfId="6625" xr:uid="{00000000-0005-0000-0000-000025310000}"/>
    <cellStyle name="Normal 598 2 2 3 3 2" xfId="6626" xr:uid="{00000000-0005-0000-0000-000026310000}"/>
    <cellStyle name="Normal 598 2 2 3 3 2 2" xfId="17596" xr:uid="{00000000-0005-0000-0000-000027310000}"/>
    <cellStyle name="Normal 598 2 2 3 3 3" xfId="6627" xr:uid="{00000000-0005-0000-0000-000028310000}"/>
    <cellStyle name="Normal 598 2 2 3 3 3 2" xfId="17597" xr:uid="{00000000-0005-0000-0000-000029310000}"/>
    <cellStyle name="Normal 598 2 2 3 3 4" xfId="17598" xr:uid="{00000000-0005-0000-0000-00002A310000}"/>
    <cellStyle name="Normal 598 2 2 3 4" xfId="6628" xr:uid="{00000000-0005-0000-0000-00002B310000}"/>
    <cellStyle name="Normal 598 2 2 3 4 2" xfId="6629" xr:uid="{00000000-0005-0000-0000-00002C310000}"/>
    <cellStyle name="Normal 598 2 2 3 4 2 2" xfId="17599" xr:uid="{00000000-0005-0000-0000-00002D310000}"/>
    <cellStyle name="Normal 598 2 2 3 4 3" xfId="6630" xr:uid="{00000000-0005-0000-0000-00002E310000}"/>
    <cellStyle name="Normal 598 2 2 3 4 3 2" xfId="17600" xr:uid="{00000000-0005-0000-0000-00002F310000}"/>
    <cellStyle name="Normal 598 2 2 3 4 4" xfId="17601" xr:uid="{00000000-0005-0000-0000-000030310000}"/>
    <cellStyle name="Normal 598 2 2 3 5" xfId="6631" xr:uid="{00000000-0005-0000-0000-000031310000}"/>
    <cellStyle name="Normal 598 2 2 3 5 2" xfId="17602" xr:uid="{00000000-0005-0000-0000-000032310000}"/>
    <cellStyle name="Normal 598 2 2 3 6" xfId="6632" xr:uid="{00000000-0005-0000-0000-000033310000}"/>
    <cellStyle name="Normal 598 2 2 3 6 2" xfId="17603" xr:uid="{00000000-0005-0000-0000-000034310000}"/>
    <cellStyle name="Normal 598 2 2 3 7" xfId="17604" xr:uid="{00000000-0005-0000-0000-000035310000}"/>
    <cellStyle name="Normal 598 2 2 4" xfId="6633" xr:uid="{00000000-0005-0000-0000-000036310000}"/>
    <cellStyle name="Normal 598 2 2 4 2" xfId="6634" xr:uid="{00000000-0005-0000-0000-000037310000}"/>
    <cellStyle name="Normal 598 2 2 4 2 2" xfId="6635" xr:uid="{00000000-0005-0000-0000-000038310000}"/>
    <cellStyle name="Normal 598 2 2 4 2 2 2" xfId="17605" xr:uid="{00000000-0005-0000-0000-000039310000}"/>
    <cellStyle name="Normal 598 2 2 4 2 3" xfId="6636" xr:uid="{00000000-0005-0000-0000-00003A310000}"/>
    <cellStyle name="Normal 598 2 2 4 2 3 2" xfId="17606" xr:uid="{00000000-0005-0000-0000-00003B310000}"/>
    <cellStyle name="Normal 598 2 2 4 2 4" xfId="17607" xr:uid="{00000000-0005-0000-0000-00003C310000}"/>
    <cellStyle name="Normal 598 2 2 4 3" xfId="6637" xr:uid="{00000000-0005-0000-0000-00003D310000}"/>
    <cellStyle name="Normal 598 2 2 4 3 2" xfId="6638" xr:uid="{00000000-0005-0000-0000-00003E310000}"/>
    <cellStyle name="Normal 598 2 2 4 3 2 2" xfId="17608" xr:uid="{00000000-0005-0000-0000-00003F310000}"/>
    <cellStyle name="Normal 598 2 2 4 3 3" xfId="6639" xr:uid="{00000000-0005-0000-0000-000040310000}"/>
    <cellStyle name="Normal 598 2 2 4 3 3 2" xfId="17609" xr:uid="{00000000-0005-0000-0000-000041310000}"/>
    <cellStyle name="Normal 598 2 2 4 3 4" xfId="17610" xr:uid="{00000000-0005-0000-0000-000042310000}"/>
    <cellStyle name="Normal 598 2 2 4 4" xfId="6640" xr:uid="{00000000-0005-0000-0000-000043310000}"/>
    <cellStyle name="Normal 598 2 2 4 4 2" xfId="17611" xr:uid="{00000000-0005-0000-0000-000044310000}"/>
    <cellStyle name="Normal 598 2 2 4 5" xfId="6641" xr:uid="{00000000-0005-0000-0000-000045310000}"/>
    <cellStyle name="Normal 598 2 2 4 5 2" xfId="17612" xr:uid="{00000000-0005-0000-0000-000046310000}"/>
    <cellStyle name="Normal 598 2 2 4 6" xfId="17613" xr:uid="{00000000-0005-0000-0000-000047310000}"/>
    <cellStyle name="Normal 598 2 2 5" xfId="6642" xr:uid="{00000000-0005-0000-0000-000048310000}"/>
    <cellStyle name="Normal 598 2 2 5 2" xfId="6643" xr:uid="{00000000-0005-0000-0000-000049310000}"/>
    <cellStyle name="Normal 598 2 2 5 2 2" xfId="6644" xr:uid="{00000000-0005-0000-0000-00004A310000}"/>
    <cellStyle name="Normal 598 2 2 5 2 2 2" xfId="17614" xr:uid="{00000000-0005-0000-0000-00004B310000}"/>
    <cellStyle name="Normal 598 2 2 5 2 3" xfId="6645" xr:uid="{00000000-0005-0000-0000-00004C310000}"/>
    <cellStyle name="Normal 598 2 2 5 2 3 2" xfId="17615" xr:uid="{00000000-0005-0000-0000-00004D310000}"/>
    <cellStyle name="Normal 598 2 2 5 2 4" xfId="17616" xr:uid="{00000000-0005-0000-0000-00004E310000}"/>
    <cellStyle name="Normal 598 2 2 5 3" xfId="6646" xr:uid="{00000000-0005-0000-0000-00004F310000}"/>
    <cellStyle name="Normal 598 2 2 5 3 2" xfId="6647" xr:uid="{00000000-0005-0000-0000-000050310000}"/>
    <cellStyle name="Normal 598 2 2 5 3 2 2" xfId="17617" xr:uid="{00000000-0005-0000-0000-000051310000}"/>
    <cellStyle name="Normal 598 2 2 5 3 3" xfId="6648" xr:uid="{00000000-0005-0000-0000-000052310000}"/>
    <cellStyle name="Normal 598 2 2 5 3 3 2" xfId="17618" xr:uid="{00000000-0005-0000-0000-000053310000}"/>
    <cellStyle name="Normal 598 2 2 5 3 4" xfId="17619" xr:uid="{00000000-0005-0000-0000-000054310000}"/>
    <cellStyle name="Normal 598 2 2 5 4" xfId="6649" xr:uid="{00000000-0005-0000-0000-000055310000}"/>
    <cellStyle name="Normal 598 2 2 5 4 2" xfId="17620" xr:uid="{00000000-0005-0000-0000-000056310000}"/>
    <cellStyle name="Normal 598 2 2 5 5" xfId="6650" xr:uid="{00000000-0005-0000-0000-000057310000}"/>
    <cellStyle name="Normal 598 2 2 5 5 2" xfId="17621" xr:uid="{00000000-0005-0000-0000-000058310000}"/>
    <cellStyle name="Normal 598 2 2 5 6" xfId="17622" xr:uid="{00000000-0005-0000-0000-000059310000}"/>
    <cellStyle name="Normal 598 2 2 6" xfId="6651" xr:uid="{00000000-0005-0000-0000-00005A310000}"/>
    <cellStyle name="Normal 598 2 2 6 2" xfId="6652" xr:uid="{00000000-0005-0000-0000-00005B310000}"/>
    <cellStyle name="Normal 598 2 2 6 2 2" xfId="17623" xr:uid="{00000000-0005-0000-0000-00005C310000}"/>
    <cellStyle name="Normal 598 2 2 6 3" xfId="6653" xr:uid="{00000000-0005-0000-0000-00005D310000}"/>
    <cellStyle name="Normal 598 2 2 6 3 2" xfId="17624" xr:uid="{00000000-0005-0000-0000-00005E310000}"/>
    <cellStyle name="Normal 598 2 2 6 4" xfId="17625" xr:uid="{00000000-0005-0000-0000-00005F310000}"/>
    <cellStyle name="Normal 598 2 2 7" xfId="6654" xr:uid="{00000000-0005-0000-0000-000060310000}"/>
    <cellStyle name="Normal 598 2 2 7 2" xfId="6655" xr:uid="{00000000-0005-0000-0000-000061310000}"/>
    <cellStyle name="Normal 598 2 2 7 2 2" xfId="17626" xr:uid="{00000000-0005-0000-0000-000062310000}"/>
    <cellStyle name="Normal 598 2 2 7 3" xfId="6656" xr:uid="{00000000-0005-0000-0000-000063310000}"/>
    <cellStyle name="Normal 598 2 2 7 3 2" xfId="17627" xr:uid="{00000000-0005-0000-0000-000064310000}"/>
    <cellStyle name="Normal 598 2 2 7 4" xfId="17628" xr:uid="{00000000-0005-0000-0000-000065310000}"/>
    <cellStyle name="Normal 598 2 2 8" xfId="6657" xr:uid="{00000000-0005-0000-0000-000066310000}"/>
    <cellStyle name="Normal 598 2 2 8 2" xfId="17629" xr:uid="{00000000-0005-0000-0000-000067310000}"/>
    <cellStyle name="Normal 598 2 2 9" xfId="6658" xr:uid="{00000000-0005-0000-0000-000068310000}"/>
    <cellStyle name="Normal 598 2 2 9 2" xfId="17630" xr:uid="{00000000-0005-0000-0000-000069310000}"/>
    <cellStyle name="Normal 598 2 3" xfId="6659" xr:uid="{00000000-0005-0000-0000-00006A310000}"/>
    <cellStyle name="Normal 598 2 3 2" xfId="6660" xr:uid="{00000000-0005-0000-0000-00006B310000}"/>
    <cellStyle name="Normal 598 2 3 2 2" xfId="6661" xr:uid="{00000000-0005-0000-0000-00006C310000}"/>
    <cellStyle name="Normal 598 2 3 2 2 2" xfId="6662" xr:uid="{00000000-0005-0000-0000-00006D310000}"/>
    <cellStyle name="Normal 598 2 3 2 2 2 2" xfId="17631" xr:uid="{00000000-0005-0000-0000-00006E310000}"/>
    <cellStyle name="Normal 598 2 3 2 2 3" xfId="6663" xr:uid="{00000000-0005-0000-0000-00006F310000}"/>
    <cellStyle name="Normal 598 2 3 2 2 3 2" xfId="17632" xr:uid="{00000000-0005-0000-0000-000070310000}"/>
    <cellStyle name="Normal 598 2 3 2 2 4" xfId="17633" xr:uid="{00000000-0005-0000-0000-000071310000}"/>
    <cellStyle name="Normal 598 2 3 2 3" xfId="6664" xr:uid="{00000000-0005-0000-0000-000072310000}"/>
    <cellStyle name="Normal 598 2 3 2 3 2" xfId="6665" xr:uid="{00000000-0005-0000-0000-000073310000}"/>
    <cellStyle name="Normal 598 2 3 2 3 2 2" xfId="17634" xr:uid="{00000000-0005-0000-0000-000074310000}"/>
    <cellStyle name="Normal 598 2 3 2 3 3" xfId="6666" xr:uid="{00000000-0005-0000-0000-000075310000}"/>
    <cellStyle name="Normal 598 2 3 2 3 3 2" xfId="17635" xr:uid="{00000000-0005-0000-0000-000076310000}"/>
    <cellStyle name="Normal 598 2 3 2 3 4" xfId="17636" xr:uid="{00000000-0005-0000-0000-000077310000}"/>
    <cellStyle name="Normal 598 2 3 2 4" xfId="6667" xr:uid="{00000000-0005-0000-0000-000078310000}"/>
    <cellStyle name="Normal 598 2 3 2 4 2" xfId="17637" xr:uid="{00000000-0005-0000-0000-000079310000}"/>
    <cellStyle name="Normal 598 2 3 2 5" xfId="6668" xr:uid="{00000000-0005-0000-0000-00007A310000}"/>
    <cellStyle name="Normal 598 2 3 2 5 2" xfId="17638" xr:uid="{00000000-0005-0000-0000-00007B310000}"/>
    <cellStyle name="Normal 598 2 3 2 6" xfId="17639" xr:uid="{00000000-0005-0000-0000-00007C310000}"/>
    <cellStyle name="Normal 598 2 3 3" xfId="6669" xr:uid="{00000000-0005-0000-0000-00007D310000}"/>
    <cellStyle name="Normal 598 2 3 3 2" xfId="6670" xr:uid="{00000000-0005-0000-0000-00007E310000}"/>
    <cellStyle name="Normal 598 2 3 3 2 2" xfId="6671" xr:uid="{00000000-0005-0000-0000-00007F310000}"/>
    <cellStyle name="Normal 598 2 3 3 2 2 2" xfId="17640" xr:uid="{00000000-0005-0000-0000-000080310000}"/>
    <cellStyle name="Normal 598 2 3 3 2 3" xfId="6672" xr:uid="{00000000-0005-0000-0000-000081310000}"/>
    <cellStyle name="Normal 598 2 3 3 2 3 2" xfId="17641" xr:uid="{00000000-0005-0000-0000-000082310000}"/>
    <cellStyle name="Normal 598 2 3 3 2 4" xfId="17642" xr:uid="{00000000-0005-0000-0000-000083310000}"/>
    <cellStyle name="Normal 598 2 3 3 3" xfId="6673" xr:uid="{00000000-0005-0000-0000-000084310000}"/>
    <cellStyle name="Normal 598 2 3 3 3 2" xfId="6674" xr:uid="{00000000-0005-0000-0000-000085310000}"/>
    <cellStyle name="Normal 598 2 3 3 3 2 2" xfId="17643" xr:uid="{00000000-0005-0000-0000-000086310000}"/>
    <cellStyle name="Normal 598 2 3 3 3 3" xfId="6675" xr:uid="{00000000-0005-0000-0000-000087310000}"/>
    <cellStyle name="Normal 598 2 3 3 3 3 2" xfId="17644" xr:uid="{00000000-0005-0000-0000-000088310000}"/>
    <cellStyle name="Normal 598 2 3 3 3 4" xfId="17645" xr:uid="{00000000-0005-0000-0000-000089310000}"/>
    <cellStyle name="Normal 598 2 3 3 4" xfId="6676" xr:uid="{00000000-0005-0000-0000-00008A310000}"/>
    <cellStyle name="Normal 598 2 3 3 4 2" xfId="17646" xr:uid="{00000000-0005-0000-0000-00008B310000}"/>
    <cellStyle name="Normal 598 2 3 3 5" xfId="6677" xr:uid="{00000000-0005-0000-0000-00008C310000}"/>
    <cellStyle name="Normal 598 2 3 3 5 2" xfId="17647" xr:uid="{00000000-0005-0000-0000-00008D310000}"/>
    <cellStyle name="Normal 598 2 3 3 6" xfId="17648" xr:uid="{00000000-0005-0000-0000-00008E310000}"/>
    <cellStyle name="Normal 598 2 3 4" xfId="6678" xr:uid="{00000000-0005-0000-0000-00008F310000}"/>
    <cellStyle name="Normal 598 2 3 4 2" xfId="6679" xr:uid="{00000000-0005-0000-0000-000090310000}"/>
    <cellStyle name="Normal 598 2 3 4 2 2" xfId="17649" xr:uid="{00000000-0005-0000-0000-000091310000}"/>
    <cellStyle name="Normal 598 2 3 4 3" xfId="6680" xr:uid="{00000000-0005-0000-0000-000092310000}"/>
    <cellStyle name="Normal 598 2 3 4 3 2" xfId="17650" xr:uid="{00000000-0005-0000-0000-000093310000}"/>
    <cellStyle name="Normal 598 2 3 4 4" xfId="17651" xr:uid="{00000000-0005-0000-0000-000094310000}"/>
    <cellStyle name="Normal 598 2 3 5" xfId="6681" xr:uid="{00000000-0005-0000-0000-000095310000}"/>
    <cellStyle name="Normal 598 2 3 5 2" xfId="6682" xr:uid="{00000000-0005-0000-0000-000096310000}"/>
    <cellStyle name="Normal 598 2 3 5 2 2" xfId="17652" xr:uid="{00000000-0005-0000-0000-000097310000}"/>
    <cellStyle name="Normal 598 2 3 5 3" xfId="6683" xr:uid="{00000000-0005-0000-0000-000098310000}"/>
    <cellStyle name="Normal 598 2 3 5 3 2" xfId="17653" xr:uid="{00000000-0005-0000-0000-000099310000}"/>
    <cellStyle name="Normal 598 2 3 5 4" xfId="17654" xr:uid="{00000000-0005-0000-0000-00009A310000}"/>
    <cellStyle name="Normal 598 2 3 6" xfId="6684" xr:uid="{00000000-0005-0000-0000-00009B310000}"/>
    <cellStyle name="Normal 598 2 3 6 2" xfId="17655" xr:uid="{00000000-0005-0000-0000-00009C310000}"/>
    <cellStyle name="Normal 598 2 3 7" xfId="6685" xr:uid="{00000000-0005-0000-0000-00009D310000}"/>
    <cellStyle name="Normal 598 2 3 7 2" xfId="17656" xr:uid="{00000000-0005-0000-0000-00009E310000}"/>
    <cellStyle name="Normal 598 2 3 8" xfId="17657" xr:uid="{00000000-0005-0000-0000-00009F310000}"/>
    <cellStyle name="Normal 598 2 4" xfId="6686" xr:uid="{00000000-0005-0000-0000-0000A0310000}"/>
    <cellStyle name="Normal 598 2 4 2" xfId="6687" xr:uid="{00000000-0005-0000-0000-0000A1310000}"/>
    <cellStyle name="Normal 598 2 4 2 2" xfId="6688" xr:uid="{00000000-0005-0000-0000-0000A2310000}"/>
    <cellStyle name="Normal 598 2 4 2 2 2" xfId="6689" xr:uid="{00000000-0005-0000-0000-0000A3310000}"/>
    <cellStyle name="Normal 598 2 4 2 2 2 2" xfId="17658" xr:uid="{00000000-0005-0000-0000-0000A4310000}"/>
    <cellStyle name="Normal 598 2 4 2 2 3" xfId="6690" xr:uid="{00000000-0005-0000-0000-0000A5310000}"/>
    <cellStyle name="Normal 598 2 4 2 2 3 2" xfId="17659" xr:uid="{00000000-0005-0000-0000-0000A6310000}"/>
    <cellStyle name="Normal 598 2 4 2 2 4" xfId="17660" xr:uid="{00000000-0005-0000-0000-0000A7310000}"/>
    <cellStyle name="Normal 598 2 4 2 3" xfId="6691" xr:uid="{00000000-0005-0000-0000-0000A8310000}"/>
    <cellStyle name="Normal 598 2 4 2 3 2" xfId="6692" xr:uid="{00000000-0005-0000-0000-0000A9310000}"/>
    <cellStyle name="Normal 598 2 4 2 3 2 2" xfId="17661" xr:uid="{00000000-0005-0000-0000-0000AA310000}"/>
    <cellStyle name="Normal 598 2 4 2 3 3" xfId="6693" xr:uid="{00000000-0005-0000-0000-0000AB310000}"/>
    <cellStyle name="Normal 598 2 4 2 3 3 2" xfId="17662" xr:uid="{00000000-0005-0000-0000-0000AC310000}"/>
    <cellStyle name="Normal 598 2 4 2 3 4" xfId="17663" xr:uid="{00000000-0005-0000-0000-0000AD310000}"/>
    <cellStyle name="Normal 598 2 4 2 4" xfId="6694" xr:uid="{00000000-0005-0000-0000-0000AE310000}"/>
    <cellStyle name="Normal 598 2 4 2 4 2" xfId="17664" xr:uid="{00000000-0005-0000-0000-0000AF310000}"/>
    <cellStyle name="Normal 598 2 4 2 5" xfId="6695" xr:uid="{00000000-0005-0000-0000-0000B0310000}"/>
    <cellStyle name="Normal 598 2 4 2 5 2" xfId="17665" xr:uid="{00000000-0005-0000-0000-0000B1310000}"/>
    <cellStyle name="Normal 598 2 4 2 6" xfId="17666" xr:uid="{00000000-0005-0000-0000-0000B2310000}"/>
    <cellStyle name="Normal 598 2 4 3" xfId="6696" xr:uid="{00000000-0005-0000-0000-0000B3310000}"/>
    <cellStyle name="Normal 598 2 4 3 2" xfId="6697" xr:uid="{00000000-0005-0000-0000-0000B4310000}"/>
    <cellStyle name="Normal 598 2 4 3 2 2" xfId="17667" xr:uid="{00000000-0005-0000-0000-0000B5310000}"/>
    <cellStyle name="Normal 598 2 4 3 3" xfId="6698" xr:uid="{00000000-0005-0000-0000-0000B6310000}"/>
    <cellStyle name="Normal 598 2 4 3 3 2" xfId="17668" xr:uid="{00000000-0005-0000-0000-0000B7310000}"/>
    <cellStyle name="Normal 598 2 4 3 4" xfId="17669" xr:uid="{00000000-0005-0000-0000-0000B8310000}"/>
    <cellStyle name="Normal 598 2 4 4" xfId="6699" xr:uid="{00000000-0005-0000-0000-0000B9310000}"/>
    <cellStyle name="Normal 598 2 4 4 2" xfId="6700" xr:uid="{00000000-0005-0000-0000-0000BA310000}"/>
    <cellStyle name="Normal 598 2 4 4 2 2" xfId="17670" xr:uid="{00000000-0005-0000-0000-0000BB310000}"/>
    <cellStyle name="Normal 598 2 4 4 3" xfId="6701" xr:uid="{00000000-0005-0000-0000-0000BC310000}"/>
    <cellStyle name="Normal 598 2 4 4 3 2" xfId="17671" xr:uid="{00000000-0005-0000-0000-0000BD310000}"/>
    <cellStyle name="Normal 598 2 4 4 4" xfId="17672" xr:uid="{00000000-0005-0000-0000-0000BE310000}"/>
    <cellStyle name="Normal 598 2 4 5" xfId="6702" xr:uid="{00000000-0005-0000-0000-0000BF310000}"/>
    <cellStyle name="Normal 598 2 4 5 2" xfId="17673" xr:uid="{00000000-0005-0000-0000-0000C0310000}"/>
    <cellStyle name="Normal 598 2 4 6" xfId="6703" xr:uid="{00000000-0005-0000-0000-0000C1310000}"/>
    <cellStyle name="Normal 598 2 4 6 2" xfId="17674" xr:uid="{00000000-0005-0000-0000-0000C2310000}"/>
    <cellStyle name="Normal 598 2 4 7" xfId="17675" xr:uid="{00000000-0005-0000-0000-0000C3310000}"/>
    <cellStyle name="Normal 598 2 5" xfId="6704" xr:uid="{00000000-0005-0000-0000-0000C4310000}"/>
    <cellStyle name="Normal 598 2 5 2" xfId="6705" xr:uid="{00000000-0005-0000-0000-0000C5310000}"/>
    <cellStyle name="Normal 598 2 5 2 2" xfId="6706" xr:uid="{00000000-0005-0000-0000-0000C6310000}"/>
    <cellStyle name="Normal 598 2 5 2 2 2" xfId="17676" xr:uid="{00000000-0005-0000-0000-0000C7310000}"/>
    <cellStyle name="Normal 598 2 5 2 3" xfId="6707" xr:uid="{00000000-0005-0000-0000-0000C8310000}"/>
    <cellStyle name="Normal 598 2 5 2 3 2" xfId="17677" xr:uid="{00000000-0005-0000-0000-0000C9310000}"/>
    <cellStyle name="Normal 598 2 5 2 4" xfId="17678" xr:uid="{00000000-0005-0000-0000-0000CA310000}"/>
    <cellStyle name="Normal 598 2 5 3" xfId="6708" xr:uid="{00000000-0005-0000-0000-0000CB310000}"/>
    <cellStyle name="Normal 598 2 5 3 2" xfId="6709" xr:uid="{00000000-0005-0000-0000-0000CC310000}"/>
    <cellStyle name="Normal 598 2 5 3 2 2" xfId="17679" xr:uid="{00000000-0005-0000-0000-0000CD310000}"/>
    <cellStyle name="Normal 598 2 5 3 3" xfId="6710" xr:uid="{00000000-0005-0000-0000-0000CE310000}"/>
    <cellStyle name="Normal 598 2 5 3 3 2" xfId="17680" xr:uid="{00000000-0005-0000-0000-0000CF310000}"/>
    <cellStyle name="Normal 598 2 5 3 4" xfId="17681" xr:uid="{00000000-0005-0000-0000-0000D0310000}"/>
    <cellStyle name="Normal 598 2 5 4" xfId="6711" xr:uid="{00000000-0005-0000-0000-0000D1310000}"/>
    <cellStyle name="Normal 598 2 5 4 2" xfId="17682" xr:uid="{00000000-0005-0000-0000-0000D2310000}"/>
    <cellStyle name="Normal 598 2 5 5" xfId="6712" xr:uid="{00000000-0005-0000-0000-0000D3310000}"/>
    <cellStyle name="Normal 598 2 5 5 2" xfId="17683" xr:uid="{00000000-0005-0000-0000-0000D4310000}"/>
    <cellStyle name="Normal 598 2 5 6" xfId="17684" xr:uid="{00000000-0005-0000-0000-0000D5310000}"/>
    <cellStyle name="Normal 598 2 6" xfId="6713" xr:uid="{00000000-0005-0000-0000-0000D6310000}"/>
    <cellStyle name="Normal 598 2 6 2" xfId="6714" xr:uid="{00000000-0005-0000-0000-0000D7310000}"/>
    <cellStyle name="Normal 598 2 6 2 2" xfId="6715" xr:uid="{00000000-0005-0000-0000-0000D8310000}"/>
    <cellStyle name="Normal 598 2 6 2 2 2" xfId="17685" xr:uid="{00000000-0005-0000-0000-0000D9310000}"/>
    <cellStyle name="Normal 598 2 6 2 3" xfId="6716" xr:uid="{00000000-0005-0000-0000-0000DA310000}"/>
    <cellStyle name="Normal 598 2 6 2 3 2" xfId="17686" xr:uid="{00000000-0005-0000-0000-0000DB310000}"/>
    <cellStyle name="Normal 598 2 6 2 4" xfId="17687" xr:uid="{00000000-0005-0000-0000-0000DC310000}"/>
    <cellStyle name="Normal 598 2 6 3" xfId="6717" xr:uid="{00000000-0005-0000-0000-0000DD310000}"/>
    <cellStyle name="Normal 598 2 6 3 2" xfId="6718" xr:uid="{00000000-0005-0000-0000-0000DE310000}"/>
    <cellStyle name="Normal 598 2 6 3 2 2" xfId="17688" xr:uid="{00000000-0005-0000-0000-0000DF310000}"/>
    <cellStyle name="Normal 598 2 6 3 3" xfId="6719" xr:uid="{00000000-0005-0000-0000-0000E0310000}"/>
    <cellStyle name="Normal 598 2 6 3 3 2" xfId="17689" xr:uid="{00000000-0005-0000-0000-0000E1310000}"/>
    <cellStyle name="Normal 598 2 6 3 4" xfId="17690" xr:uid="{00000000-0005-0000-0000-0000E2310000}"/>
    <cellStyle name="Normal 598 2 6 4" xfId="6720" xr:uid="{00000000-0005-0000-0000-0000E3310000}"/>
    <cellStyle name="Normal 598 2 6 4 2" xfId="17691" xr:uid="{00000000-0005-0000-0000-0000E4310000}"/>
    <cellStyle name="Normal 598 2 6 5" xfId="6721" xr:uid="{00000000-0005-0000-0000-0000E5310000}"/>
    <cellStyle name="Normal 598 2 6 5 2" xfId="17692" xr:uid="{00000000-0005-0000-0000-0000E6310000}"/>
    <cellStyle name="Normal 598 2 6 6" xfId="17693" xr:uid="{00000000-0005-0000-0000-0000E7310000}"/>
    <cellStyle name="Normal 598 2 7" xfId="6722" xr:uid="{00000000-0005-0000-0000-0000E8310000}"/>
    <cellStyle name="Normal 598 2 7 2" xfId="6723" xr:uid="{00000000-0005-0000-0000-0000E9310000}"/>
    <cellStyle name="Normal 598 2 7 2 2" xfId="17694" xr:uid="{00000000-0005-0000-0000-0000EA310000}"/>
    <cellStyle name="Normal 598 2 7 3" xfId="6724" xr:uid="{00000000-0005-0000-0000-0000EB310000}"/>
    <cellStyle name="Normal 598 2 7 3 2" xfId="17695" xr:uid="{00000000-0005-0000-0000-0000EC310000}"/>
    <cellStyle name="Normal 598 2 7 4" xfId="17696" xr:uid="{00000000-0005-0000-0000-0000ED310000}"/>
    <cellStyle name="Normal 598 2 8" xfId="6725" xr:uid="{00000000-0005-0000-0000-0000EE310000}"/>
    <cellStyle name="Normal 598 2 8 2" xfId="6726" xr:uid="{00000000-0005-0000-0000-0000EF310000}"/>
    <cellStyle name="Normal 598 2 8 2 2" xfId="17697" xr:uid="{00000000-0005-0000-0000-0000F0310000}"/>
    <cellStyle name="Normal 598 2 8 3" xfId="6727" xr:uid="{00000000-0005-0000-0000-0000F1310000}"/>
    <cellStyle name="Normal 598 2 8 3 2" xfId="17698" xr:uid="{00000000-0005-0000-0000-0000F2310000}"/>
    <cellStyle name="Normal 598 2 8 4" xfId="17699" xr:uid="{00000000-0005-0000-0000-0000F3310000}"/>
    <cellStyle name="Normal 598 2 9" xfId="6728" xr:uid="{00000000-0005-0000-0000-0000F4310000}"/>
    <cellStyle name="Normal 598 2 9 2" xfId="17700" xr:uid="{00000000-0005-0000-0000-0000F5310000}"/>
    <cellStyle name="Normal 598 3" xfId="6729" xr:uid="{00000000-0005-0000-0000-0000F6310000}"/>
    <cellStyle name="Normal 598 3 10" xfId="17701" xr:uid="{00000000-0005-0000-0000-0000F7310000}"/>
    <cellStyle name="Normal 598 3 2" xfId="6730" xr:uid="{00000000-0005-0000-0000-0000F8310000}"/>
    <cellStyle name="Normal 598 3 2 2" xfId="6731" xr:uid="{00000000-0005-0000-0000-0000F9310000}"/>
    <cellStyle name="Normal 598 3 2 2 2" xfId="6732" xr:uid="{00000000-0005-0000-0000-0000FA310000}"/>
    <cellStyle name="Normal 598 3 2 2 2 2" xfId="6733" xr:uid="{00000000-0005-0000-0000-0000FB310000}"/>
    <cellStyle name="Normal 598 3 2 2 2 2 2" xfId="17702" xr:uid="{00000000-0005-0000-0000-0000FC310000}"/>
    <cellStyle name="Normal 598 3 2 2 2 3" xfId="6734" xr:uid="{00000000-0005-0000-0000-0000FD310000}"/>
    <cellStyle name="Normal 598 3 2 2 2 3 2" xfId="17703" xr:uid="{00000000-0005-0000-0000-0000FE310000}"/>
    <cellStyle name="Normal 598 3 2 2 2 4" xfId="17704" xr:uid="{00000000-0005-0000-0000-0000FF310000}"/>
    <cellStyle name="Normal 598 3 2 2 3" xfId="6735" xr:uid="{00000000-0005-0000-0000-000000320000}"/>
    <cellStyle name="Normal 598 3 2 2 3 2" xfId="6736" xr:uid="{00000000-0005-0000-0000-000001320000}"/>
    <cellStyle name="Normal 598 3 2 2 3 2 2" xfId="17705" xr:uid="{00000000-0005-0000-0000-000002320000}"/>
    <cellStyle name="Normal 598 3 2 2 3 3" xfId="6737" xr:uid="{00000000-0005-0000-0000-000003320000}"/>
    <cellStyle name="Normal 598 3 2 2 3 3 2" xfId="17706" xr:uid="{00000000-0005-0000-0000-000004320000}"/>
    <cellStyle name="Normal 598 3 2 2 3 4" xfId="17707" xr:uid="{00000000-0005-0000-0000-000005320000}"/>
    <cellStyle name="Normal 598 3 2 2 4" xfId="6738" xr:uid="{00000000-0005-0000-0000-000006320000}"/>
    <cellStyle name="Normal 598 3 2 2 4 2" xfId="17708" xr:uid="{00000000-0005-0000-0000-000007320000}"/>
    <cellStyle name="Normal 598 3 2 2 5" xfId="6739" xr:uid="{00000000-0005-0000-0000-000008320000}"/>
    <cellStyle name="Normal 598 3 2 2 5 2" xfId="17709" xr:uid="{00000000-0005-0000-0000-000009320000}"/>
    <cellStyle name="Normal 598 3 2 2 6" xfId="17710" xr:uid="{00000000-0005-0000-0000-00000A320000}"/>
    <cellStyle name="Normal 598 3 2 3" xfId="6740" xr:uid="{00000000-0005-0000-0000-00000B320000}"/>
    <cellStyle name="Normal 598 3 2 3 2" xfId="6741" xr:uid="{00000000-0005-0000-0000-00000C320000}"/>
    <cellStyle name="Normal 598 3 2 3 2 2" xfId="6742" xr:uid="{00000000-0005-0000-0000-00000D320000}"/>
    <cellStyle name="Normal 598 3 2 3 2 2 2" xfId="17711" xr:uid="{00000000-0005-0000-0000-00000E320000}"/>
    <cellStyle name="Normal 598 3 2 3 2 3" xfId="6743" xr:uid="{00000000-0005-0000-0000-00000F320000}"/>
    <cellStyle name="Normal 598 3 2 3 2 3 2" xfId="17712" xr:uid="{00000000-0005-0000-0000-000010320000}"/>
    <cellStyle name="Normal 598 3 2 3 2 4" xfId="17713" xr:uid="{00000000-0005-0000-0000-000011320000}"/>
    <cellStyle name="Normal 598 3 2 3 3" xfId="6744" xr:uid="{00000000-0005-0000-0000-000012320000}"/>
    <cellStyle name="Normal 598 3 2 3 3 2" xfId="6745" xr:uid="{00000000-0005-0000-0000-000013320000}"/>
    <cellStyle name="Normal 598 3 2 3 3 2 2" xfId="17714" xr:uid="{00000000-0005-0000-0000-000014320000}"/>
    <cellStyle name="Normal 598 3 2 3 3 3" xfId="6746" xr:uid="{00000000-0005-0000-0000-000015320000}"/>
    <cellStyle name="Normal 598 3 2 3 3 3 2" xfId="17715" xr:uid="{00000000-0005-0000-0000-000016320000}"/>
    <cellStyle name="Normal 598 3 2 3 3 4" xfId="17716" xr:uid="{00000000-0005-0000-0000-000017320000}"/>
    <cellStyle name="Normal 598 3 2 3 4" xfId="6747" xr:uid="{00000000-0005-0000-0000-000018320000}"/>
    <cellStyle name="Normal 598 3 2 3 4 2" xfId="17717" xr:uid="{00000000-0005-0000-0000-000019320000}"/>
    <cellStyle name="Normal 598 3 2 3 5" xfId="6748" xr:uid="{00000000-0005-0000-0000-00001A320000}"/>
    <cellStyle name="Normal 598 3 2 3 5 2" xfId="17718" xr:uid="{00000000-0005-0000-0000-00001B320000}"/>
    <cellStyle name="Normal 598 3 2 3 6" xfId="17719" xr:uid="{00000000-0005-0000-0000-00001C320000}"/>
    <cellStyle name="Normal 598 3 2 4" xfId="6749" xr:uid="{00000000-0005-0000-0000-00001D320000}"/>
    <cellStyle name="Normal 598 3 2 4 2" xfId="6750" xr:uid="{00000000-0005-0000-0000-00001E320000}"/>
    <cellStyle name="Normal 598 3 2 4 2 2" xfId="17720" xr:uid="{00000000-0005-0000-0000-00001F320000}"/>
    <cellStyle name="Normal 598 3 2 4 3" xfId="6751" xr:uid="{00000000-0005-0000-0000-000020320000}"/>
    <cellStyle name="Normal 598 3 2 4 3 2" xfId="17721" xr:uid="{00000000-0005-0000-0000-000021320000}"/>
    <cellStyle name="Normal 598 3 2 4 4" xfId="17722" xr:uid="{00000000-0005-0000-0000-000022320000}"/>
    <cellStyle name="Normal 598 3 2 5" xfId="6752" xr:uid="{00000000-0005-0000-0000-000023320000}"/>
    <cellStyle name="Normal 598 3 2 5 2" xfId="6753" xr:uid="{00000000-0005-0000-0000-000024320000}"/>
    <cellStyle name="Normal 598 3 2 5 2 2" xfId="17723" xr:uid="{00000000-0005-0000-0000-000025320000}"/>
    <cellStyle name="Normal 598 3 2 5 3" xfId="6754" xr:uid="{00000000-0005-0000-0000-000026320000}"/>
    <cellStyle name="Normal 598 3 2 5 3 2" xfId="17724" xr:uid="{00000000-0005-0000-0000-000027320000}"/>
    <cellStyle name="Normal 598 3 2 5 4" xfId="17725" xr:uid="{00000000-0005-0000-0000-000028320000}"/>
    <cellStyle name="Normal 598 3 2 6" xfId="6755" xr:uid="{00000000-0005-0000-0000-000029320000}"/>
    <cellStyle name="Normal 598 3 2 6 2" xfId="17726" xr:uid="{00000000-0005-0000-0000-00002A320000}"/>
    <cellStyle name="Normal 598 3 2 7" xfId="6756" xr:uid="{00000000-0005-0000-0000-00002B320000}"/>
    <cellStyle name="Normal 598 3 2 7 2" xfId="17727" xr:uid="{00000000-0005-0000-0000-00002C320000}"/>
    <cellStyle name="Normal 598 3 2 8" xfId="17728" xr:uid="{00000000-0005-0000-0000-00002D320000}"/>
    <cellStyle name="Normal 598 3 3" xfId="6757" xr:uid="{00000000-0005-0000-0000-00002E320000}"/>
    <cellStyle name="Normal 598 3 3 2" xfId="6758" xr:uid="{00000000-0005-0000-0000-00002F320000}"/>
    <cellStyle name="Normal 598 3 3 2 2" xfId="6759" xr:uid="{00000000-0005-0000-0000-000030320000}"/>
    <cellStyle name="Normal 598 3 3 2 2 2" xfId="6760" xr:uid="{00000000-0005-0000-0000-000031320000}"/>
    <cellStyle name="Normal 598 3 3 2 2 2 2" xfId="17729" xr:uid="{00000000-0005-0000-0000-000032320000}"/>
    <cellStyle name="Normal 598 3 3 2 2 3" xfId="6761" xr:uid="{00000000-0005-0000-0000-000033320000}"/>
    <cellStyle name="Normal 598 3 3 2 2 3 2" xfId="17730" xr:uid="{00000000-0005-0000-0000-000034320000}"/>
    <cellStyle name="Normal 598 3 3 2 2 4" xfId="17731" xr:uid="{00000000-0005-0000-0000-000035320000}"/>
    <cellStyle name="Normal 598 3 3 2 3" xfId="6762" xr:uid="{00000000-0005-0000-0000-000036320000}"/>
    <cellStyle name="Normal 598 3 3 2 3 2" xfId="6763" xr:uid="{00000000-0005-0000-0000-000037320000}"/>
    <cellStyle name="Normal 598 3 3 2 3 2 2" xfId="17732" xr:uid="{00000000-0005-0000-0000-000038320000}"/>
    <cellStyle name="Normal 598 3 3 2 3 3" xfId="6764" xr:uid="{00000000-0005-0000-0000-000039320000}"/>
    <cellStyle name="Normal 598 3 3 2 3 3 2" xfId="17733" xr:uid="{00000000-0005-0000-0000-00003A320000}"/>
    <cellStyle name="Normal 598 3 3 2 3 4" xfId="17734" xr:uid="{00000000-0005-0000-0000-00003B320000}"/>
    <cellStyle name="Normal 598 3 3 2 4" xfId="6765" xr:uid="{00000000-0005-0000-0000-00003C320000}"/>
    <cellStyle name="Normal 598 3 3 2 4 2" xfId="17735" xr:uid="{00000000-0005-0000-0000-00003D320000}"/>
    <cellStyle name="Normal 598 3 3 2 5" xfId="6766" xr:uid="{00000000-0005-0000-0000-00003E320000}"/>
    <cellStyle name="Normal 598 3 3 2 5 2" xfId="17736" xr:uid="{00000000-0005-0000-0000-00003F320000}"/>
    <cellStyle name="Normal 598 3 3 2 6" xfId="17737" xr:uid="{00000000-0005-0000-0000-000040320000}"/>
    <cellStyle name="Normal 598 3 3 3" xfId="6767" xr:uid="{00000000-0005-0000-0000-000041320000}"/>
    <cellStyle name="Normal 598 3 3 3 2" xfId="6768" xr:uid="{00000000-0005-0000-0000-000042320000}"/>
    <cellStyle name="Normal 598 3 3 3 2 2" xfId="17738" xr:uid="{00000000-0005-0000-0000-000043320000}"/>
    <cellStyle name="Normal 598 3 3 3 3" xfId="6769" xr:uid="{00000000-0005-0000-0000-000044320000}"/>
    <cellStyle name="Normal 598 3 3 3 3 2" xfId="17739" xr:uid="{00000000-0005-0000-0000-000045320000}"/>
    <cellStyle name="Normal 598 3 3 3 4" xfId="17740" xr:uid="{00000000-0005-0000-0000-000046320000}"/>
    <cellStyle name="Normal 598 3 3 4" xfId="6770" xr:uid="{00000000-0005-0000-0000-000047320000}"/>
    <cellStyle name="Normal 598 3 3 4 2" xfId="6771" xr:uid="{00000000-0005-0000-0000-000048320000}"/>
    <cellStyle name="Normal 598 3 3 4 2 2" xfId="17741" xr:uid="{00000000-0005-0000-0000-000049320000}"/>
    <cellStyle name="Normal 598 3 3 4 3" xfId="6772" xr:uid="{00000000-0005-0000-0000-00004A320000}"/>
    <cellStyle name="Normal 598 3 3 4 3 2" xfId="17742" xr:uid="{00000000-0005-0000-0000-00004B320000}"/>
    <cellStyle name="Normal 598 3 3 4 4" xfId="17743" xr:uid="{00000000-0005-0000-0000-00004C320000}"/>
    <cellStyle name="Normal 598 3 3 5" xfId="6773" xr:uid="{00000000-0005-0000-0000-00004D320000}"/>
    <cellStyle name="Normal 598 3 3 5 2" xfId="17744" xr:uid="{00000000-0005-0000-0000-00004E320000}"/>
    <cellStyle name="Normal 598 3 3 6" xfId="6774" xr:uid="{00000000-0005-0000-0000-00004F320000}"/>
    <cellStyle name="Normal 598 3 3 6 2" xfId="17745" xr:uid="{00000000-0005-0000-0000-000050320000}"/>
    <cellStyle name="Normal 598 3 3 7" xfId="17746" xr:uid="{00000000-0005-0000-0000-000051320000}"/>
    <cellStyle name="Normal 598 3 4" xfId="6775" xr:uid="{00000000-0005-0000-0000-000052320000}"/>
    <cellStyle name="Normal 598 3 4 2" xfId="6776" xr:uid="{00000000-0005-0000-0000-000053320000}"/>
    <cellStyle name="Normal 598 3 4 2 2" xfId="6777" xr:uid="{00000000-0005-0000-0000-000054320000}"/>
    <cellStyle name="Normal 598 3 4 2 2 2" xfId="17747" xr:uid="{00000000-0005-0000-0000-000055320000}"/>
    <cellStyle name="Normal 598 3 4 2 3" xfId="6778" xr:uid="{00000000-0005-0000-0000-000056320000}"/>
    <cellStyle name="Normal 598 3 4 2 3 2" xfId="17748" xr:uid="{00000000-0005-0000-0000-000057320000}"/>
    <cellStyle name="Normal 598 3 4 2 4" xfId="17749" xr:uid="{00000000-0005-0000-0000-000058320000}"/>
    <cellStyle name="Normal 598 3 4 3" xfId="6779" xr:uid="{00000000-0005-0000-0000-000059320000}"/>
    <cellStyle name="Normal 598 3 4 3 2" xfId="6780" xr:uid="{00000000-0005-0000-0000-00005A320000}"/>
    <cellStyle name="Normal 598 3 4 3 2 2" xfId="17750" xr:uid="{00000000-0005-0000-0000-00005B320000}"/>
    <cellStyle name="Normal 598 3 4 3 3" xfId="6781" xr:uid="{00000000-0005-0000-0000-00005C320000}"/>
    <cellStyle name="Normal 598 3 4 3 3 2" xfId="17751" xr:uid="{00000000-0005-0000-0000-00005D320000}"/>
    <cellStyle name="Normal 598 3 4 3 4" xfId="17752" xr:uid="{00000000-0005-0000-0000-00005E320000}"/>
    <cellStyle name="Normal 598 3 4 4" xfId="6782" xr:uid="{00000000-0005-0000-0000-00005F320000}"/>
    <cellStyle name="Normal 598 3 4 4 2" xfId="17753" xr:uid="{00000000-0005-0000-0000-000060320000}"/>
    <cellStyle name="Normal 598 3 4 5" xfId="6783" xr:uid="{00000000-0005-0000-0000-000061320000}"/>
    <cellStyle name="Normal 598 3 4 5 2" xfId="17754" xr:uid="{00000000-0005-0000-0000-000062320000}"/>
    <cellStyle name="Normal 598 3 4 6" xfId="17755" xr:uid="{00000000-0005-0000-0000-000063320000}"/>
    <cellStyle name="Normal 598 3 5" xfId="6784" xr:uid="{00000000-0005-0000-0000-000064320000}"/>
    <cellStyle name="Normal 598 3 5 2" xfId="6785" xr:uid="{00000000-0005-0000-0000-000065320000}"/>
    <cellStyle name="Normal 598 3 5 2 2" xfId="6786" xr:uid="{00000000-0005-0000-0000-000066320000}"/>
    <cellStyle name="Normal 598 3 5 2 2 2" xfId="17756" xr:uid="{00000000-0005-0000-0000-000067320000}"/>
    <cellStyle name="Normal 598 3 5 2 3" xfId="6787" xr:uid="{00000000-0005-0000-0000-000068320000}"/>
    <cellStyle name="Normal 598 3 5 2 3 2" xfId="17757" xr:uid="{00000000-0005-0000-0000-000069320000}"/>
    <cellStyle name="Normal 598 3 5 2 4" xfId="17758" xr:uid="{00000000-0005-0000-0000-00006A320000}"/>
    <cellStyle name="Normal 598 3 5 3" xfId="6788" xr:uid="{00000000-0005-0000-0000-00006B320000}"/>
    <cellStyle name="Normal 598 3 5 3 2" xfId="6789" xr:uid="{00000000-0005-0000-0000-00006C320000}"/>
    <cellStyle name="Normal 598 3 5 3 2 2" xfId="17759" xr:uid="{00000000-0005-0000-0000-00006D320000}"/>
    <cellStyle name="Normal 598 3 5 3 3" xfId="6790" xr:uid="{00000000-0005-0000-0000-00006E320000}"/>
    <cellStyle name="Normal 598 3 5 3 3 2" xfId="17760" xr:uid="{00000000-0005-0000-0000-00006F320000}"/>
    <cellStyle name="Normal 598 3 5 3 4" xfId="17761" xr:uid="{00000000-0005-0000-0000-000070320000}"/>
    <cellStyle name="Normal 598 3 5 4" xfId="6791" xr:uid="{00000000-0005-0000-0000-000071320000}"/>
    <cellStyle name="Normal 598 3 5 4 2" xfId="17762" xr:uid="{00000000-0005-0000-0000-000072320000}"/>
    <cellStyle name="Normal 598 3 5 5" xfId="6792" xr:uid="{00000000-0005-0000-0000-000073320000}"/>
    <cellStyle name="Normal 598 3 5 5 2" xfId="17763" xr:uid="{00000000-0005-0000-0000-000074320000}"/>
    <cellStyle name="Normal 598 3 5 6" xfId="17764" xr:uid="{00000000-0005-0000-0000-000075320000}"/>
    <cellStyle name="Normal 598 3 6" xfId="6793" xr:uid="{00000000-0005-0000-0000-000076320000}"/>
    <cellStyle name="Normal 598 3 6 2" xfId="6794" xr:uid="{00000000-0005-0000-0000-000077320000}"/>
    <cellStyle name="Normal 598 3 6 2 2" xfId="17765" xr:uid="{00000000-0005-0000-0000-000078320000}"/>
    <cellStyle name="Normal 598 3 6 3" xfId="6795" xr:uid="{00000000-0005-0000-0000-000079320000}"/>
    <cellStyle name="Normal 598 3 6 3 2" xfId="17766" xr:uid="{00000000-0005-0000-0000-00007A320000}"/>
    <cellStyle name="Normal 598 3 6 4" xfId="17767" xr:uid="{00000000-0005-0000-0000-00007B320000}"/>
    <cellStyle name="Normal 598 3 7" xfId="6796" xr:uid="{00000000-0005-0000-0000-00007C320000}"/>
    <cellStyle name="Normal 598 3 7 2" xfId="6797" xr:uid="{00000000-0005-0000-0000-00007D320000}"/>
    <cellStyle name="Normal 598 3 7 2 2" xfId="17768" xr:uid="{00000000-0005-0000-0000-00007E320000}"/>
    <cellStyle name="Normal 598 3 7 3" xfId="6798" xr:uid="{00000000-0005-0000-0000-00007F320000}"/>
    <cellStyle name="Normal 598 3 7 3 2" xfId="17769" xr:uid="{00000000-0005-0000-0000-000080320000}"/>
    <cellStyle name="Normal 598 3 7 4" xfId="17770" xr:uid="{00000000-0005-0000-0000-000081320000}"/>
    <cellStyle name="Normal 598 3 8" xfId="6799" xr:uid="{00000000-0005-0000-0000-000082320000}"/>
    <cellStyle name="Normal 598 3 8 2" xfId="17771" xr:uid="{00000000-0005-0000-0000-000083320000}"/>
    <cellStyle name="Normal 598 3 9" xfId="6800" xr:uid="{00000000-0005-0000-0000-000084320000}"/>
    <cellStyle name="Normal 598 3 9 2" xfId="17772" xr:uid="{00000000-0005-0000-0000-000085320000}"/>
    <cellStyle name="Normal 598 4" xfId="6801" xr:uid="{00000000-0005-0000-0000-000086320000}"/>
    <cellStyle name="Normal 598 4 2" xfId="6802" xr:uid="{00000000-0005-0000-0000-000087320000}"/>
    <cellStyle name="Normal 598 4 2 2" xfId="6803" xr:uid="{00000000-0005-0000-0000-000088320000}"/>
    <cellStyle name="Normal 598 4 2 2 2" xfId="6804" xr:uid="{00000000-0005-0000-0000-000089320000}"/>
    <cellStyle name="Normal 598 4 2 2 2 2" xfId="17773" xr:uid="{00000000-0005-0000-0000-00008A320000}"/>
    <cellStyle name="Normal 598 4 2 2 3" xfId="6805" xr:uid="{00000000-0005-0000-0000-00008B320000}"/>
    <cellStyle name="Normal 598 4 2 2 3 2" xfId="17774" xr:uid="{00000000-0005-0000-0000-00008C320000}"/>
    <cellStyle name="Normal 598 4 2 2 4" xfId="17775" xr:uid="{00000000-0005-0000-0000-00008D320000}"/>
    <cellStyle name="Normal 598 4 2 3" xfId="6806" xr:uid="{00000000-0005-0000-0000-00008E320000}"/>
    <cellStyle name="Normal 598 4 2 3 2" xfId="6807" xr:uid="{00000000-0005-0000-0000-00008F320000}"/>
    <cellStyle name="Normal 598 4 2 3 2 2" xfId="17776" xr:uid="{00000000-0005-0000-0000-000090320000}"/>
    <cellStyle name="Normal 598 4 2 3 3" xfId="6808" xr:uid="{00000000-0005-0000-0000-000091320000}"/>
    <cellStyle name="Normal 598 4 2 3 3 2" xfId="17777" xr:uid="{00000000-0005-0000-0000-000092320000}"/>
    <cellStyle name="Normal 598 4 2 3 4" xfId="17778" xr:uid="{00000000-0005-0000-0000-000093320000}"/>
    <cellStyle name="Normal 598 4 2 4" xfId="6809" xr:uid="{00000000-0005-0000-0000-000094320000}"/>
    <cellStyle name="Normal 598 4 2 4 2" xfId="17779" xr:uid="{00000000-0005-0000-0000-000095320000}"/>
    <cellStyle name="Normal 598 4 2 5" xfId="6810" xr:uid="{00000000-0005-0000-0000-000096320000}"/>
    <cellStyle name="Normal 598 4 2 5 2" xfId="17780" xr:uid="{00000000-0005-0000-0000-000097320000}"/>
    <cellStyle name="Normal 598 4 2 6" xfId="17781" xr:uid="{00000000-0005-0000-0000-000098320000}"/>
    <cellStyle name="Normal 598 4 3" xfId="6811" xr:uid="{00000000-0005-0000-0000-000099320000}"/>
    <cellStyle name="Normal 598 4 3 2" xfId="6812" xr:uid="{00000000-0005-0000-0000-00009A320000}"/>
    <cellStyle name="Normal 598 4 3 2 2" xfId="6813" xr:uid="{00000000-0005-0000-0000-00009B320000}"/>
    <cellStyle name="Normal 598 4 3 2 2 2" xfId="17782" xr:uid="{00000000-0005-0000-0000-00009C320000}"/>
    <cellStyle name="Normal 598 4 3 2 3" xfId="6814" xr:uid="{00000000-0005-0000-0000-00009D320000}"/>
    <cellStyle name="Normal 598 4 3 2 3 2" xfId="17783" xr:uid="{00000000-0005-0000-0000-00009E320000}"/>
    <cellStyle name="Normal 598 4 3 2 4" xfId="17784" xr:uid="{00000000-0005-0000-0000-00009F320000}"/>
    <cellStyle name="Normal 598 4 3 3" xfId="6815" xr:uid="{00000000-0005-0000-0000-0000A0320000}"/>
    <cellStyle name="Normal 598 4 3 3 2" xfId="6816" xr:uid="{00000000-0005-0000-0000-0000A1320000}"/>
    <cellStyle name="Normal 598 4 3 3 2 2" xfId="17785" xr:uid="{00000000-0005-0000-0000-0000A2320000}"/>
    <cellStyle name="Normal 598 4 3 3 3" xfId="6817" xr:uid="{00000000-0005-0000-0000-0000A3320000}"/>
    <cellStyle name="Normal 598 4 3 3 3 2" xfId="17786" xr:uid="{00000000-0005-0000-0000-0000A4320000}"/>
    <cellStyle name="Normal 598 4 3 3 4" xfId="17787" xr:uid="{00000000-0005-0000-0000-0000A5320000}"/>
    <cellStyle name="Normal 598 4 3 4" xfId="6818" xr:uid="{00000000-0005-0000-0000-0000A6320000}"/>
    <cellStyle name="Normal 598 4 3 4 2" xfId="17788" xr:uid="{00000000-0005-0000-0000-0000A7320000}"/>
    <cellStyle name="Normal 598 4 3 5" xfId="6819" xr:uid="{00000000-0005-0000-0000-0000A8320000}"/>
    <cellStyle name="Normal 598 4 3 5 2" xfId="17789" xr:uid="{00000000-0005-0000-0000-0000A9320000}"/>
    <cellStyle name="Normal 598 4 3 6" xfId="17790" xr:uid="{00000000-0005-0000-0000-0000AA320000}"/>
    <cellStyle name="Normal 598 4 4" xfId="6820" xr:uid="{00000000-0005-0000-0000-0000AB320000}"/>
    <cellStyle name="Normal 598 4 4 2" xfId="6821" xr:uid="{00000000-0005-0000-0000-0000AC320000}"/>
    <cellStyle name="Normal 598 4 4 2 2" xfId="17791" xr:uid="{00000000-0005-0000-0000-0000AD320000}"/>
    <cellStyle name="Normal 598 4 4 3" xfId="6822" xr:uid="{00000000-0005-0000-0000-0000AE320000}"/>
    <cellStyle name="Normal 598 4 4 3 2" xfId="17792" xr:uid="{00000000-0005-0000-0000-0000AF320000}"/>
    <cellStyle name="Normal 598 4 4 4" xfId="17793" xr:uid="{00000000-0005-0000-0000-0000B0320000}"/>
    <cellStyle name="Normal 598 4 5" xfId="6823" xr:uid="{00000000-0005-0000-0000-0000B1320000}"/>
    <cellStyle name="Normal 598 4 5 2" xfId="6824" xr:uid="{00000000-0005-0000-0000-0000B2320000}"/>
    <cellStyle name="Normal 598 4 5 2 2" xfId="17794" xr:uid="{00000000-0005-0000-0000-0000B3320000}"/>
    <cellStyle name="Normal 598 4 5 3" xfId="6825" xr:uid="{00000000-0005-0000-0000-0000B4320000}"/>
    <cellStyle name="Normal 598 4 5 3 2" xfId="17795" xr:uid="{00000000-0005-0000-0000-0000B5320000}"/>
    <cellStyle name="Normal 598 4 5 4" xfId="17796" xr:uid="{00000000-0005-0000-0000-0000B6320000}"/>
    <cellStyle name="Normal 598 4 6" xfId="6826" xr:uid="{00000000-0005-0000-0000-0000B7320000}"/>
    <cellStyle name="Normal 598 4 6 2" xfId="17797" xr:uid="{00000000-0005-0000-0000-0000B8320000}"/>
    <cellStyle name="Normal 598 4 7" xfId="6827" xr:uid="{00000000-0005-0000-0000-0000B9320000}"/>
    <cellStyle name="Normal 598 4 7 2" xfId="17798" xr:uid="{00000000-0005-0000-0000-0000BA320000}"/>
    <cellStyle name="Normal 598 4 8" xfId="17799" xr:uid="{00000000-0005-0000-0000-0000BB320000}"/>
    <cellStyle name="Normal 598 5" xfId="6828" xr:uid="{00000000-0005-0000-0000-0000BC320000}"/>
    <cellStyle name="Normal 598 5 2" xfId="6829" xr:uid="{00000000-0005-0000-0000-0000BD320000}"/>
    <cellStyle name="Normal 598 5 2 2" xfId="6830" xr:uid="{00000000-0005-0000-0000-0000BE320000}"/>
    <cellStyle name="Normal 598 5 2 2 2" xfId="6831" xr:uid="{00000000-0005-0000-0000-0000BF320000}"/>
    <cellStyle name="Normal 598 5 2 2 2 2" xfId="17800" xr:uid="{00000000-0005-0000-0000-0000C0320000}"/>
    <cellStyle name="Normal 598 5 2 2 3" xfId="6832" xr:uid="{00000000-0005-0000-0000-0000C1320000}"/>
    <cellStyle name="Normal 598 5 2 2 3 2" xfId="17801" xr:uid="{00000000-0005-0000-0000-0000C2320000}"/>
    <cellStyle name="Normal 598 5 2 2 4" xfId="17802" xr:uid="{00000000-0005-0000-0000-0000C3320000}"/>
    <cellStyle name="Normal 598 5 2 3" xfId="6833" xr:uid="{00000000-0005-0000-0000-0000C4320000}"/>
    <cellStyle name="Normal 598 5 2 3 2" xfId="6834" xr:uid="{00000000-0005-0000-0000-0000C5320000}"/>
    <cellStyle name="Normal 598 5 2 3 2 2" xfId="17803" xr:uid="{00000000-0005-0000-0000-0000C6320000}"/>
    <cellStyle name="Normal 598 5 2 3 3" xfId="6835" xr:uid="{00000000-0005-0000-0000-0000C7320000}"/>
    <cellStyle name="Normal 598 5 2 3 3 2" xfId="17804" xr:uid="{00000000-0005-0000-0000-0000C8320000}"/>
    <cellStyle name="Normal 598 5 2 3 4" xfId="17805" xr:uid="{00000000-0005-0000-0000-0000C9320000}"/>
    <cellStyle name="Normal 598 5 2 4" xfId="6836" xr:uid="{00000000-0005-0000-0000-0000CA320000}"/>
    <cellStyle name="Normal 598 5 2 4 2" xfId="17806" xr:uid="{00000000-0005-0000-0000-0000CB320000}"/>
    <cellStyle name="Normal 598 5 2 5" xfId="6837" xr:uid="{00000000-0005-0000-0000-0000CC320000}"/>
    <cellStyle name="Normal 598 5 2 5 2" xfId="17807" xr:uid="{00000000-0005-0000-0000-0000CD320000}"/>
    <cellStyle name="Normal 598 5 2 6" xfId="17808" xr:uid="{00000000-0005-0000-0000-0000CE320000}"/>
    <cellStyle name="Normal 598 5 3" xfId="6838" xr:uid="{00000000-0005-0000-0000-0000CF320000}"/>
    <cellStyle name="Normal 598 5 3 2" xfId="6839" xr:uid="{00000000-0005-0000-0000-0000D0320000}"/>
    <cellStyle name="Normal 598 5 3 2 2" xfId="17809" xr:uid="{00000000-0005-0000-0000-0000D1320000}"/>
    <cellStyle name="Normal 598 5 3 3" xfId="6840" xr:uid="{00000000-0005-0000-0000-0000D2320000}"/>
    <cellStyle name="Normal 598 5 3 3 2" xfId="17810" xr:uid="{00000000-0005-0000-0000-0000D3320000}"/>
    <cellStyle name="Normal 598 5 3 4" xfId="17811" xr:uid="{00000000-0005-0000-0000-0000D4320000}"/>
    <cellStyle name="Normal 598 5 4" xfId="6841" xr:uid="{00000000-0005-0000-0000-0000D5320000}"/>
    <cellStyle name="Normal 598 5 4 2" xfId="6842" xr:uid="{00000000-0005-0000-0000-0000D6320000}"/>
    <cellStyle name="Normal 598 5 4 2 2" xfId="17812" xr:uid="{00000000-0005-0000-0000-0000D7320000}"/>
    <cellStyle name="Normal 598 5 4 3" xfId="6843" xr:uid="{00000000-0005-0000-0000-0000D8320000}"/>
    <cellStyle name="Normal 598 5 4 3 2" xfId="17813" xr:uid="{00000000-0005-0000-0000-0000D9320000}"/>
    <cellStyle name="Normal 598 5 4 4" xfId="17814" xr:uid="{00000000-0005-0000-0000-0000DA320000}"/>
    <cellStyle name="Normal 598 5 5" xfId="6844" xr:uid="{00000000-0005-0000-0000-0000DB320000}"/>
    <cellStyle name="Normal 598 5 5 2" xfId="17815" xr:uid="{00000000-0005-0000-0000-0000DC320000}"/>
    <cellStyle name="Normal 598 5 6" xfId="6845" xr:uid="{00000000-0005-0000-0000-0000DD320000}"/>
    <cellStyle name="Normal 598 5 6 2" xfId="17816" xr:uid="{00000000-0005-0000-0000-0000DE320000}"/>
    <cellStyle name="Normal 598 5 7" xfId="17817" xr:uid="{00000000-0005-0000-0000-0000DF320000}"/>
    <cellStyle name="Normal 598 6" xfId="6846" xr:uid="{00000000-0005-0000-0000-0000E0320000}"/>
    <cellStyle name="Normal 598 6 2" xfId="6847" xr:uid="{00000000-0005-0000-0000-0000E1320000}"/>
    <cellStyle name="Normal 598 6 2 2" xfId="6848" xr:uid="{00000000-0005-0000-0000-0000E2320000}"/>
    <cellStyle name="Normal 598 6 2 2 2" xfId="17818" xr:uid="{00000000-0005-0000-0000-0000E3320000}"/>
    <cellStyle name="Normal 598 6 2 3" xfId="6849" xr:uid="{00000000-0005-0000-0000-0000E4320000}"/>
    <cellStyle name="Normal 598 6 2 3 2" xfId="17819" xr:uid="{00000000-0005-0000-0000-0000E5320000}"/>
    <cellStyle name="Normal 598 6 2 4" xfId="17820" xr:uid="{00000000-0005-0000-0000-0000E6320000}"/>
    <cellStyle name="Normal 598 6 3" xfId="6850" xr:uid="{00000000-0005-0000-0000-0000E7320000}"/>
    <cellStyle name="Normal 598 6 3 2" xfId="6851" xr:uid="{00000000-0005-0000-0000-0000E8320000}"/>
    <cellStyle name="Normal 598 6 3 2 2" xfId="17821" xr:uid="{00000000-0005-0000-0000-0000E9320000}"/>
    <cellStyle name="Normal 598 6 3 3" xfId="6852" xr:uid="{00000000-0005-0000-0000-0000EA320000}"/>
    <cellStyle name="Normal 598 6 3 3 2" xfId="17822" xr:uid="{00000000-0005-0000-0000-0000EB320000}"/>
    <cellStyle name="Normal 598 6 3 4" xfId="17823" xr:uid="{00000000-0005-0000-0000-0000EC320000}"/>
    <cellStyle name="Normal 598 6 4" xfId="6853" xr:uid="{00000000-0005-0000-0000-0000ED320000}"/>
    <cellStyle name="Normal 598 6 4 2" xfId="17824" xr:uid="{00000000-0005-0000-0000-0000EE320000}"/>
    <cellStyle name="Normal 598 6 5" xfId="6854" xr:uid="{00000000-0005-0000-0000-0000EF320000}"/>
    <cellStyle name="Normal 598 6 5 2" xfId="17825" xr:uid="{00000000-0005-0000-0000-0000F0320000}"/>
    <cellStyle name="Normal 598 6 6" xfId="17826" xr:uid="{00000000-0005-0000-0000-0000F1320000}"/>
    <cellStyle name="Normal 598 7" xfId="6855" xr:uid="{00000000-0005-0000-0000-0000F2320000}"/>
    <cellStyle name="Normal 598 7 2" xfId="6856" xr:uid="{00000000-0005-0000-0000-0000F3320000}"/>
    <cellStyle name="Normal 598 7 2 2" xfId="6857" xr:uid="{00000000-0005-0000-0000-0000F4320000}"/>
    <cellStyle name="Normal 598 7 2 2 2" xfId="17827" xr:uid="{00000000-0005-0000-0000-0000F5320000}"/>
    <cellStyle name="Normal 598 7 2 3" xfId="6858" xr:uid="{00000000-0005-0000-0000-0000F6320000}"/>
    <cellStyle name="Normal 598 7 2 3 2" xfId="17828" xr:uid="{00000000-0005-0000-0000-0000F7320000}"/>
    <cellStyle name="Normal 598 7 2 4" xfId="17829" xr:uid="{00000000-0005-0000-0000-0000F8320000}"/>
    <cellStyle name="Normal 598 7 3" xfId="6859" xr:uid="{00000000-0005-0000-0000-0000F9320000}"/>
    <cellStyle name="Normal 598 7 3 2" xfId="6860" xr:uid="{00000000-0005-0000-0000-0000FA320000}"/>
    <cellStyle name="Normal 598 7 3 2 2" xfId="17830" xr:uid="{00000000-0005-0000-0000-0000FB320000}"/>
    <cellStyle name="Normal 598 7 3 3" xfId="6861" xr:uid="{00000000-0005-0000-0000-0000FC320000}"/>
    <cellStyle name="Normal 598 7 3 3 2" xfId="17831" xr:uid="{00000000-0005-0000-0000-0000FD320000}"/>
    <cellStyle name="Normal 598 7 3 4" xfId="17832" xr:uid="{00000000-0005-0000-0000-0000FE320000}"/>
    <cellStyle name="Normal 598 7 4" xfId="6862" xr:uid="{00000000-0005-0000-0000-0000FF320000}"/>
    <cellStyle name="Normal 598 7 4 2" xfId="17833" xr:uid="{00000000-0005-0000-0000-000000330000}"/>
    <cellStyle name="Normal 598 7 5" xfId="6863" xr:uid="{00000000-0005-0000-0000-000001330000}"/>
    <cellStyle name="Normal 598 7 5 2" xfId="17834" xr:uid="{00000000-0005-0000-0000-000002330000}"/>
    <cellStyle name="Normal 598 7 6" xfId="17835" xr:uid="{00000000-0005-0000-0000-000003330000}"/>
    <cellStyle name="Normal 598 8" xfId="6864" xr:uid="{00000000-0005-0000-0000-000004330000}"/>
    <cellStyle name="Normal 598 8 2" xfId="6865" xr:uid="{00000000-0005-0000-0000-000005330000}"/>
    <cellStyle name="Normal 598 8 2 2" xfId="17836" xr:uid="{00000000-0005-0000-0000-000006330000}"/>
    <cellStyle name="Normal 598 8 3" xfId="6866" xr:uid="{00000000-0005-0000-0000-000007330000}"/>
    <cellStyle name="Normal 598 8 3 2" xfId="17837" xr:uid="{00000000-0005-0000-0000-000008330000}"/>
    <cellStyle name="Normal 598 8 4" xfId="17838" xr:uid="{00000000-0005-0000-0000-000009330000}"/>
    <cellStyle name="Normal 598 9" xfId="6867" xr:uid="{00000000-0005-0000-0000-00000A330000}"/>
    <cellStyle name="Normal 598 9 2" xfId="6868" xr:uid="{00000000-0005-0000-0000-00000B330000}"/>
    <cellStyle name="Normal 598 9 2 2" xfId="17839" xr:uid="{00000000-0005-0000-0000-00000C330000}"/>
    <cellStyle name="Normal 598 9 3" xfId="6869" xr:uid="{00000000-0005-0000-0000-00000D330000}"/>
    <cellStyle name="Normal 598 9 3 2" xfId="17840" xr:uid="{00000000-0005-0000-0000-00000E330000}"/>
    <cellStyle name="Normal 598 9 4" xfId="17841" xr:uid="{00000000-0005-0000-0000-00000F330000}"/>
    <cellStyle name="Normal 599" xfId="6870" xr:uid="{00000000-0005-0000-0000-000010330000}"/>
    <cellStyle name="Normal 599 10" xfId="6871" xr:uid="{00000000-0005-0000-0000-000011330000}"/>
    <cellStyle name="Normal 599 10 2" xfId="6872" xr:uid="{00000000-0005-0000-0000-000012330000}"/>
    <cellStyle name="Normal 599 10 2 2" xfId="17842" xr:uid="{00000000-0005-0000-0000-000013330000}"/>
    <cellStyle name="Normal 599 10 3" xfId="6873" xr:uid="{00000000-0005-0000-0000-000014330000}"/>
    <cellStyle name="Normal 599 10 3 2" xfId="17843" xr:uid="{00000000-0005-0000-0000-000015330000}"/>
    <cellStyle name="Normal 599 10 4" xfId="17844" xr:uid="{00000000-0005-0000-0000-000016330000}"/>
    <cellStyle name="Normal 599 11" xfId="6874" xr:uid="{00000000-0005-0000-0000-000017330000}"/>
    <cellStyle name="Normal 599 11 2" xfId="17845" xr:uid="{00000000-0005-0000-0000-000018330000}"/>
    <cellStyle name="Normal 599 12" xfId="6875" xr:uid="{00000000-0005-0000-0000-000019330000}"/>
    <cellStyle name="Normal 599 12 2" xfId="17846" xr:uid="{00000000-0005-0000-0000-00001A330000}"/>
    <cellStyle name="Normal 599 13" xfId="17847" xr:uid="{00000000-0005-0000-0000-00001B330000}"/>
    <cellStyle name="Normal 599 2" xfId="6876" xr:uid="{00000000-0005-0000-0000-00001C330000}"/>
    <cellStyle name="Normal 599 2 10" xfId="6877" xr:uid="{00000000-0005-0000-0000-00001D330000}"/>
    <cellStyle name="Normal 599 2 10 2" xfId="17848" xr:uid="{00000000-0005-0000-0000-00001E330000}"/>
    <cellStyle name="Normal 599 2 11" xfId="17849" xr:uid="{00000000-0005-0000-0000-00001F330000}"/>
    <cellStyle name="Normal 599 2 2" xfId="6878" xr:uid="{00000000-0005-0000-0000-000020330000}"/>
    <cellStyle name="Normal 599 2 2 10" xfId="17850" xr:uid="{00000000-0005-0000-0000-000021330000}"/>
    <cellStyle name="Normal 599 2 2 2" xfId="6879" xr:uid="{00000000-0005-0000-0000-000022330000}"/>
    <cellStyle name="Normal 599 2 2 2 2" xfId="6880" xr:uid="{00000000-0005-0000-0000-000023330000}"/>
    <cellStyle name="Normal 599 2 2 2 2 2" xfId="6881" xr:uid="{00000000-0005-0000-0000-000024330000}"/>
    <cellStyle name="Normal 599 2 2 2 2 2 2" xfId="6882" xr:uid="{00000000-0005-0000-0000-000025330000}"/>
    <cellStyle name="Normal 599 2 2 2 2 2 2 2" xfId="17851" xr:uid="{00000000-0005-0000-0000-000026330000}"/>
    <cellStyle name="Normal 599 2 2 2 2 2 3" xfId="6883" xr:uid="{00000000-0005-0000-0000-000027330000}"/>
    <cellStyle name="Normal 599 2 2 2 2 2 3 2" xfId="17852" xr:uid="{00000000-0005-0000-0000-000028330000}"/>
    <cellStyle name="Normal 599 2 2 2 2 2 4" xfId="17853" xr:uid="{00000000-0005-0000-0000-000029330000}"/>
    <cellStyle name="Normal 599 2 2 2 2 3" xfId="6884" xr:uid="{00000000-0005-0000-0000-00002A330000}"/>
    <cellStyle name="Normal 599 2 2 2 2 3 2" xfId="6885" xr:uid="{00000000-0005-0000-0000-00002B330000}"/>
    <cellStyle name="Normal 599 2 2 2 2 3 2 2" xfId="17854" xr:uid="{00000000-0005-0000-0000-00002C330000}"/>
    <cellStyle name="Normal 599 2 2 2 2 3 3" xfId="6886" xr:uid="{00000000-0005-0000-0000-00002D330000}"/>
    <cellStyle name="Normal 599 2 2 2 2 3 3 2" xfId="17855" xr:uid="{00000000-0005-0000-0000-00002E330000}"/>
    <cellStyle name="Normal 599 2 2 2 2 3 4" xfId="17856" xr:uid="{00000000-0005-0000-0000-00002F330000}"/>
    <cellStyle name="Normal 599 2 2 2 2 4" xfId="6887" xr:uid="{00000000-0005-0000-0000-000030330000}"/>
    <cellStyle name="Normal 599 2 2 2 2 4 2" xfId="17857" xr:uid="{00000000-0005-0000-0000-000031330000}"/>
    <cellStyle name="Normal 599 2 2 2 2 5" xfId="6888" xr:uid="{00000000-0005-0000-0000-000032330000}"/>
    <cellStyle name="Normal 599 2 2 2 2 5 2" xfId="17858" xr:uid="{00000000-0005-0000-0000-000033330000}"/>
    <cellStyle name="Normal 599 2 2 2 2 6" xfId="17859" xr:uid="{00000000-0005-0000-0000-000034330000}"/>
    <cellStyle name="Normal 599 2 2 2 3" xfId="6889" xr:uid="{00000000-0005-0000-0000-000035330000}"/>
    <cellStyle name="Normal 599 2 2 2 3 2" xfId="6890" xr:uid="{00000000-0005-0000-0000-000036330000}"/>
    <cellStyle name="Normal 599 2 2 2 3 2 2" xfId="6891" xr:uid="{00000000-0005-0000-0000-000037330000}"/>
    <cellStyle name="Normal 599 2 2 2 3 2 2 2" xfId="17860" xr:uid="{00000000-0005-0000-0000-000038330000}"/>
    <cellStyle name="Normal 599 2 2 2 3 2 3" xfId="6892" xr:uid="{00000000-0005-0000-0000-000039330000}"/>
    <cellStyle name="Normal 599 2 2 2 3 2 3 2" xfId="17861" xr:uid="{00000000-0005-0000-0000-00003A330000}"/>
    <cellStyle name="Normal 599 2 2 2 3 2 4" xfId="17862" xr:uid="{00000000-0005-0000-0000-00003B330000}"/>
    <cellStyle name="Normal 599 2 2 2 3 3" xfId="6893" xr:uid="{00000000-0005-0000-0000-00003C330000}"/>
    <cellStyle name="Normal 599 2 2 2 3 3 2" xfId="6894" xr:uid="{00000000-0005-0000-0000-00003D330000}"/>
    <cellStyle name="Normal 599 2 2 2 3 3 2 2" xfId="17863" xr:uid="{00000000-0005-0000-0000-00003E330000}"/>
    <cellStyle name="Normal 599 2 2 2 3 3 3" xfId="6895" xr:uid="{00000000-0005-0000-0000-00003F330000}"/>
    <cellStyle name="Normal 599 2 2 2 3 3 3 2" xfId="17864" xr:uid="{00000000-0005-0000-0000-000040330000}"/>
    <cellStyle name="Normal 599 2 2 2 3 3 4" xfId="17865" xr:uid="{00000000-0005-0000-0000-000041330000}"/>
    <cellStyle name="Normal 599 2 2 2 3 4" xfId="6896" xr:uid="{00000000-0005-0000-0000-000042330000}"/>
    <cellStyle name="Normal 599 2 2 2 3 4 2" xfId="17866" xr:uid="{00000000-0005-0000-0000-000043330000}"/>
    <cellStyle name="Normal 599 2 2 2 3 5" xfId="6897" xr:uid="{00000000-0005-0000-0000-000044330000}"/>
    <cellStyle name="Normal 599 2 2 2 3 5 2" xfId="17867" xr:uid="{00000000-0005-0000-0000-000045330000}"/>
    <cellStyle name="Normal 599 2 2 2 3 6" xfId="17868" xr:uid="{00000000-0005-0000-0000-000046330000}"/>
    <cellStyle name="Normal 599 2 2 2 4" xfId="6898" xr:uid="{00000000-0005-0000-0000-000047330000}"/>
    <cellStyle name="Normal 599 2 2 2 4 2" xfId="6899" xr:uid="{00000000-0005-0000-0000-000048330000}"/>
    <cellStyle name="Normal 599 2 2 2 4 2 2" xfId="17869" xr:uid="{00000000-0005-0000-0000-000049330000}"/>
    <cellStyle name="Normal 599 2 2 2 4 3" xfId="6900" xr:uid="{00000000-0005-0000-0000-00004A330000}"/>
    <cellStyle name="Normal 599 2 2 2 4 3 2" xfId="17870" xr:uid="{00000000-0005-0000-0000-00004B330000}"/>
    <cellStyle name="Normal 599 2 2 2 4 4" xfId="17871" xr:uid="{00000000-0005-0000-0000-00004C330000}"/>
    <cellStyle name="Normal 599 2 2 2 5" xfId="6901" xr:uid="{00000000-0005-0000-0000-00004D330000}"/>
    <cellStyle name="Normal 599 2 2 2 5 2" xfId="6902" xr:uid="{00000000-0005-0000-0000-00004E330000}"/>
    <cellStyle name="Normal 599 2 2 2 5 2 2" xfId="17872" xr:uid="{00000000-0005-0000-0000-00004F330000}"/>
    <cellStyle name="Normal 599 2 2 2 5 3" xfId="6903" xr:uid="{00000000-0005-0000-0000-000050330000}"/>
    <cellStyle name="Normal 599 2 2 2 5 3 2" xfId="17873" xr:uid="{00000000-0005-0000-0000-000051330000}"/>
    <cellStyle name="Normal 599 2 2 2 5 4" xfId="17874" xr:uid="{00000000-0005-0000-0000-000052330000}"/>
    <cellStyle name="Normal 599 2 2 2 6" xfId="6904" xr:uid="{00000000-0005-0000-0000-000053330000}"/>
    <cellStyle name="Normal 599 2 2 2 6 2" xfId="17875" xr:uid="{00000000-0005-0000-0000-000054330000}"/>
    <cellStyle name="Normal 599 2 2 2 7" xfId="6905" xr:uid="{00000000-0005-0000-0000-000055330000}"/>
    <cellStyle name="Normal 599 2 2 2 7 2" xfId="17876" xr:uid="{00000000-0005-0000-0000-000056330000}"/>
    <cellStyle name="Normal 599 2 2 2 8" xfId="17877" xr:uid="{00000000-0005-0000-0000-000057330000}"/>
    <cellStyle name="Normal 599 2 2 3" xfId="6906" xr:uid="{00000000-0005-0000-0000-000058330000}"/>
    <cellStyle name="Normal 599 2 2 3 2" xfId="6907" xr:uid="{00000000-0005-0000-0000-000059330000}"/>
    <cellStyle name="Normal 599 2 2 3 2 2" xfId="6908" xr:uid="{00000000-0005-0000-0000-00005A330000}"/>
    <cellStyle name="Normal 599 2 2 3 2 2 2" xfId="6909" xr:uid="{00000000-0005-0000-0000-00005B330000}"/>
    <cellStyle name="Normal 599 2 2 3 2 2 2 2" xfId="17878" xr:uid="{00000000-0005-0000-0000-00005C330000}"/>
    <cellStyle name="Normal 599 2 2 3 2 2 3" xfId="6910" xr:uid="{00000000-0005-0000-0000-00005D330000}"/>
    <cellStyle name="Normal 599 2 2 3 2 2 3 2" xfId="17879" xr:uid="{00000000-0005-0000-0000-00005E330000}"/>
    <cellStyle name="Normal 599 2 2 3 2 2 4" xfId="17880" xr:uid="{00000000-0005-0000-0000-00005F330000}"/>
    <cellStyle name="Normal 599 2 2 3 2 3" xfId="6911" xr:uid="{00000000-0005-0000-0000-000060330000}"/>
    <cellStyle name="Normal 599 2 2 3 2 3 2" xfId="6912" xr:uid="{00000000-0005-0000-0000-000061330000}"/>
    <cellStyle name="Normal 599 2 2 3 2 3 2 2" xfId="17881" xr:uid="{00000000-0005-0000-0000-000062330000}"/>
    <cellStyle name="Normal 599 2 2 3 2 3 3" xfId="6913" xr:uid="{00000000-0005-0000-0000-000063330000}"/>
    <cellStyle name="Normal 599 2 2 3 2 3 3 2" xfId="17882" xr:uid="{00000000-0005-0000-0000-000064330000}"/>
    <cellStyle name="Normal 599 2 2 3 2 3 4" xfId="17883" xr:uid="{00000000-0005-0000-0000-000065330000}"/>
    <cellStyle name="Normal 599 2 2 3 2 4" xfId="6914" xr:uid="{00000000-0005-0000-0000-000066330000}"/>
    <cellStyle name="Normal 599 2 2 3 2 4 2" xfId="17884" xr:uid="{00000000-0005-0000-0000-000067330000}"/>
    <cellStyle name="Normal 599 2 2 3 2 5" xfId="6915" xr:uid="{00000000-0005-0000-0000-000068330000}"/>
    <cellStyle name="Normal 599 2 2 3 2 5 2" xfId="17885" xr:uid="{00000000-0005-0000-0000-000069330000}"/>
    <cellStyle name="Normal 599 2 2 3 2 6" xfId="17886" xr:uid="{00000000-0005-0000-0000-00006A330000}"/>
    <cellStyle name="Normal 599 2 2 3 3" xfId="6916" xr:uid="{00000000-0005-0000-0000-00006B330000}"/>
    <cellStyle name="Normal 599 2 2 3 3 2" xfId="6917" xr:uid="{00000000-0005-0000-0000-00006C330000}"/>
    <cellStyle name="Normal 599 2 2 3 3 2 2" xfId="17887" xr:uid="{00000000-0005-0000-0000-00006D330000}"/>
    <cellStyle name="Normal 599 2 2 3 3 3" xfId="6918" xr:uid="{00000000-0005-0000-0000-00006E330000}"/>
    <cellStyle name="Normal 599 2 2 3 3 3 2" xfId="17888" xr:uid="{00000000-0005-0000-0000-00006F330000}"/>
    <cellStyle name="Normal 599 2 2 3 3 4" xfId="17889" xr:uid="{00000000-0005-0000-0000-000070330000}"/>
    <cellStyle name="Normal 599 2 2 3 4" xfId="6919" xr:uid="{00000000-0005-0000-0000-000071330000}"/>
    <cellStyle name="Normal 599 2 2 3 4 2" xfId="6920" xr:uid="{00000000-0005-0000-0000-000072330000}"/>
    <cellStyle name="Normal 599 2 2 3 4 2 2" xfId="17890" xr:uid="{00000000-0005-0000-0000-000073330000}"/>
    <cellStyle name="Normal 599 2 2 3 4 3" xfId="6921" xr:uid="{00000000-0005-0000-0000-000074330000}"/>
    <cellStyle name="Normal 599 2 2 3 4 3 2" xfId="17891" xr:uid="{00000000-0005-0000-0000-000075330000}"/>
    <cellStyle name="Normal 599 2 2 3 4 4" xfId="17892" xr:uid="{00000000-0005-0000-0000-000076330000}"/>
    <cellStyle name="Normal 599 2 2 3 5" xfId="6922" xr:uid="{00000000-0005-0000-0000-000077330000}"/>
    <cellStyle name="Normal 599 2 2 3 5 2" xfId="17893" xr:uid="{00000000-0005-0000-0000-000078330000}"/>
    <cellStyle name="Normal 599 2 2 3 6" xfId="6923" xr:uid="{00000000-0005-0000-0000-000079330000}"/>
    <cellStyle name="Normal 599 2 2 3 6 2" xfId="17894" xr:uid="{00000000-0005-0000-0000-00007A330000}"/>
    <cellStyle name="Normal 599 2 2 3 7" xfId="17895" xr:uid="{00000000-0005-0000-0000-00007B330000}"/>
    <cellStyle name="Normal 599 2 2 4" xfId="6924" xr:uid="{00000000-0005-0000-0000-00007C330000}"/>
    <cellStyle name="Normal 599 2 2 4 2" xfId="6925" xr:uid="{00000000-0005-0000-0000-00007D330000}"/>
    <cellStyle name="Normal 599 2 2 4 2 2" xfId="6926" xr:uid="{00000000-0005-0000-0000-00007E330000}"/>
    <cellStyle name="Normal 599 2 2 4 2 2 2" xfId="17896" xr:uid="{00000000-0005-0000-0000-00007F330000}"/>
    <cellStyle name="Normal 599 2 2 4 2 3" xfId="6927" xr:uid="{00000000-0005-0000-0000-000080330000}"/>
    <cellStyle name="Normal 599 2 2 4 2 3 2" xfId="17897" xr:uid="{00000000-0005-0000-0000-000081330000}"/>
    <cellStyle name="Normal 599 2 2 4 2 4" xfId="17898" xr:uid="{00000000-0005-0000-0000-000082330000}"/>
    <cellStyle name="Normal 599 2 2 4 3" xfId="6928" xr:uid="{00000000-0005-0000-0000-000083330000}"/>
    <cellStyle name="Normal 599 2 2 4 3 2" xfId="6929" xr:uid="{00000000-0005-0000-0000-000084330000}"/>
    <cellStyle name="Normal 599 2 2 4 3 2 2" xfId="17899" xr:uid="{00000000-0005-0000-0000-000085330000}"/>
    <cellStyle name="Normal 599 2 2 4 3 3" xfId="6930" xr:uid="{00000000-0005-0000-0000-000086330000}"/>
    <cellStyle name="Normal 599 2 2 4 3 3 2" xfId="17900" xr:uid="{00000000-0005-0000-0000-000087330000}"/>
    <cellStyle name="Normal 599 2 2 4 3 4" xfId="17901" xr:uid="{00000000-0005-0000-0000-000088330000}"/>
    <cellStyle name="Normal 599 2 2 4 4" xfId="6931" xr:uid="{00000000-0005-0000-0000-000089330000}"/>
    <cellStyle name="Normal 599 2 2 4 4 2" xfId="17902" xr:uid="{00000000-0005-0000-0000-00008A330000}"/>
    <cellStyle name="Normal 599 2 2 4 5" xfId="6932" xr:uid="{00000000-0005-0000-0000-00008B330000}"/>
    <cellStyle name="Normal 599 2 2 4 5 2" xfId="17903" xr:uid="{00000000-0005-0000-0000-00008C330000}"/>
    <cellStyle name="Normal 599 2 2 4 6" xfId="17904" xr:uid="{00000000-0005-0000-0000-00008D330000}"/>
    <cellStyle name="Normal 599 2 2 5" xfId="6933" xr:uid="{00000000-0005-0000-0000-00008E330000}"/>
    <cellStyle name="Normal 599 2 2 5 2" xfId="6934" xr:uid="{00000000-0005-0000-0000-00008F330000}"/>
    <cellStyle name="Normal 599 2 2 5 2 2" xfId="6935" xr:uid="{00000000-0005-0000-0000-000090330000}"/>
    <cellStyle name="Normal 599 2 2 5 2 2 2" xfId="17905" xr:uid="{00000000-0005-0000-0000-000091330000}"/>
    <cellStyle name="Normal 599 2 2 5 2 3" xfId="6936" xr:uid="{00000000-0005-0000-0000-000092330000}"/>
    <cellStyle name="Normal 599 2 2 5 2 3 2" xfId="17906" xr:uid="{00000000-0005-0000-0000-000093330000}"/>
    <cellStyle name="Normal 599 2 2 5 2 4" xfId="17907" xr:uid="{00000000-0005-0000-0000-000094330000}"/>
    <cellStyle name="Normal 599 2 2 5 3" xfId="6937" xr:uid="{00000000-0005-0000-0000-000095330000}"/>
    <cellStyle name="Normal 599 2 2 5 3 2" xfId="6938" xr:uid="{00000000-0005-0000-0000-000096330000}"/>
    <cellStyle name="Normal 599 2 2 5 3 2 2" xfId="17908" xr:uid="{00000000-0005-0000-0000-000097330000}"/>
    <cellStyle name="Normal 599 2 2 5 3 3" xfId="6939" xr:uid="{00000000-0005-0000-0000-000098330000}"/>
    <cellStyle name="Normal 599 2 2 5 3 3 2" xfId="17909" xr:uid="{00000000-0005-0000-0000-000099330000}"/>
    <cellStyle name="Normal 599 2 2 5 3 4" xfId="17910" xr:uid="{00000000-0005-0000-0000-00009A330000}"/>
    <cellStyle name="Normal 599 2 2 5 4" xfId="6940" xr:uid="{00000000-0005-0000-0000-00009B330000}"/>
    <cellStyle name="Normal 599 2 2 5 4 2" xfId="17911" xr:uid="{00000000-0005-0000-0000-00009C330000}"/>
    <cellStyle name="Normal 599 2 2 5 5" xfId="6941" xr:uid="{00000000-0005-0000-0000-00009D330000}"/>
    <cellStyle name="Normal 599 2 2 5 5 2" xfId="17912" xr:uid="{00000000-0005-0000-0000-00009E330000}"/>
    <cellStyle name="Normal 599 2 2 5 6" xfId="17913" xr:uid="{00000000-0005-0000-0000-00009F330000}"/>
    <cellStyle name="Normal 599 2 2 6" xfId="6942" xr:uid="{00000000-0005-0000-0000-0000A0330000}"/>
    <cellStyle name="Normal 599 2 2 6 2" xfId="6943" xr:uid="{00000000-0005-0000-0000-0000A1330000}"/>
    <cellStyle name="Normal 599 2 2 6 2 2" xfId="17914" xr:uid="{00000000-0005-0000-0000-0000A2330000}"/>
    <cellStyle name="Normal 599 2 2 6 3" xfId="6944" xr:uid="{00000000-0005-0000-0000-0000A3330000}"/>
    <cellStyle name="Normal 599 2 2 6 3 2" xfId="17915" xr:uid="{00000000-0005-0000-0000-0000A4330000}"/>
    <cellStyle name="Normal 599 2 2 6 4" xfId="17916" xr:uid="{00000000-0005-0000-0000-0000A5330000}"/>
    <cellStyle name="Normal 599 2 2 7" xfId="6945" xr:uid="{00000000-0005-0000-0000-0000A6330000}"/>
    <cellStyle name="Normal 599 2 2 7 2" xfId="6946" xr:uid="{00000000-0005-0000-0000-0000A7330000}"/>
    <cellStyle name="Normal 599 2 2 7 2 2" xfId="17917" xr:uid="{00000000-0005-0000-0000-0000A8330000}"/>
    <cellStyle name="Normal 599 2 2 7 3" xfId="6947" xr:uid="{00000000-0005-0000-0000-0000A9330000}"/>
    <cellStyle name="Normal 599 2 2 7 3 2" xfId="17918" xr:uid="{00000000-0005-0000-0000-0000AA330000}"/>
    <cellStyle name="Normal 599 2 2 7 4" xfId="17919" xr:uid="{00000000-0005-0000-0000-0000AB330000}"/>
    <cellStyle name="Normal 599 2 2 8" xfId="6948" xr:uid="{00000000-0005-0000-0000-0000AC330000}"/>
    <cellStyle name="Normal 599 2 2 8 2" xfId="17920" xr:uid="{00000000-0005-0000-0000-0000AD330000}"/>
    <cellStyle name="Normal 599 2 2 9" xfId="6949" xr:uid="{00000000-0005-0000-0000-0000AE330000}"/>
    <cellStyle name="Normal 599 2 2 9 2" xfId="17921" xr:uid="{00000000-0005-0000-0000-0000AF330000}"/>
    <cellStyle name="Normal 599 2 3" xfId="6950" xr:uid="{00000000-0005-0000-0000-0000B0330000}"/>
    <cellStyle name="Normal 599 2 3 2" xfId="6951" xr:uid="{00000000-0005-0000-0000-0000B1330000}"/>
    <cellStyle name="Normal 599 2 3 2 2" xfId="6952" xr:uid="{00000000-0005-0000-0000-0000B2330000}"/>
    <cellStyle name="Normal 599 2 3 2 2 2" xfId="6953" xr:uid="{00000000-0005-0000-0000-0000B3330000}"/>
    <cellStyle name="Normal 599 2 3 2 2 2 2" xfId="17922" xr:uid="{00000000-0005-0000-0000-0000B4330000}"/>
    <cellStyle name="Normal 599 2 3 2 2 3" xfId="6954" xr:uid="{00000000-0005-0000-0000-0000B5330000}"/>
    <cellStyle name="Normal 599 2 3 2 2 3 2" xfId="17923" xr:uid="{00000000-0005-0000-0000-0000B6330000}"/>
    <cellStyle name="Normal 599 2 3 2 2 4" xfId="17924" xr:uid="{00000000-0005-0000-0000-0000B7330000}"/>
    <cellStyle name="Normal 599 2 3 2 3" xfId="6955" xr:uid="{00000000-0005-0000-0000-0000B8330000}"/>
    <cellStyle name="Normal 599 2 3 2 3 2" xfId="6956" xr:uid="{00000000-0005-0000-0000-0000B9330000}"/>
    <cellStyle name="Normal 599 2 3 2 3 2 2" xfId="17925" xr:uid="{00000000-0005-0000-0000-0000BA330000}"/>
    <cellStyle name="Normal 599 2 3 2 3 3" xfId="6957" xr:uid="{00000000-0005-0000-0000-0000BB330000}"/>
    <cellStyle name="Normal 599 2 3 2 3 3 2" xfId="17926" xr:uid="{00000000-0005-0000-0000-0000BC330000}"/>
    <cellStyle name="Normal 599 2 3 2 3 4" xfId="17927" xr:uid="{00000000-0005-0000-0000-0000BD330000}"/>
    <cellStyle name="Normal 599 2 3 2 4" xfId="6958" xr:uid="{00000000-0005-0000-0000-0000BE330000}"/>
    <cellStyle name="Normal 599 2 3 2 4 2" xfId="17928" xr:uid="{00000000-0005-0000-0000-0000BF330000}"/>
    <cellStyle name="Normal 599 2 3 2 5" xfId="6959" xr:uid="{00000000-0005-0000-0000-0000C0330000}"/>
    <cellStyle name="Normal 599 2 3 2 5 2" xfId="17929" xr:uid="{00000000-0005-0000-0000-0000C1330000}"/>
    <cellStyle name="Normal 599 2 3 2 6" xfId="17930" xr:uid="{00000000-0005-0000-0000-0000C2330000}"/>
    <cellStyle name="Normal 599 2 3 3" xfId="6960" xr:uid="{00000000-0005-0000-0000-0000C3330000}"/>
    <cellStyle name="Normal 599 2 3 3 2" xfId="6961" xr:uid="{00000000-0005-0000-0000-0000C4330000}"/>
    <cellStyle name="Normal 599 2 3 3 2 2" xfId="6962" xr:uid="{00000000-0005-0000-0000-0000C5330000}"/>
    <cellStyle name="Normal 599 2 3 3 2 2 2" xfId="17931" xr:uid="{00000000-0005-0000-0000-0000C6330000}"/>
    <cellStyle name="Normal 599 2 3 3 2 3" xfId="6963" xr:uid="{00000000-0005-0000-0000-0000C7330000}"/>
    <cellStyle name="Normal 599 2 3 3 2 3 2" xfId="17932" xr:uid="{00000000-0005-0000-0000-0000C8330000}"/>
    <cellStyle name="Normal 599 2 3 3 2 4" xfId="17933" xr:uid="{00000000-0005-0000-0000-0000C9330000}"/>
    <cellStyle name="Normal 599 2 3 3 3" xfId="6964" xr:uid="{00000000-0005-0000-0000-0000CA330000}"/>
    <cellStyle name="Normal 599 2 3 3 3 2" xfId="6965" xr:uid="{00000000-0005-0000-0000-0000CB330000}"/>
    <cellStyle name="Normal 599 2 3 3 3 2 2" xfId="17934" xr:uid="{00000000-0005-0000-0000-0000CC330000}"/>
    <cellStyle name="Normal 599 2 3 3 3 3" xfId="6966" xr:uid="{00000000-0005-0000-0000-0000CD330000}"/>
    <cellStyle name="Normal 599 2 3 3 3 3 2" xfId="17935" xr:uid="{00000000-0005-0000-0000-0000CE330000}"/>
    <cellStyle name="Normal 599 2 3 3 3 4" xfId="17936" xr:uid="{00000000-0005-0000-0000-0000CF330000}"/>
    <cellStyle name="Normal 599 2 3 3 4" xfId="6967" xr:uid="{00000000-0005-0000-0000-0000D0330000}"/>
    <cellStyle name="Normal 599 2 3 3 4 2" xfId="17937" xr:uid="{00000000-0005-0000-0000-0000D1330000}"/>
    <cellStyle name="Normal 599 2 3 3 5" xfId="6968" xr:uid="{00000000-0005-0000-0000-0000D2330000}"/>
    <cellStyle name="Normal 599 2 3 3 5 2" xfId="17938" xr:uid="{00000000-0005-0000-0000-0000D3330000}"/>
    <cellStyle name="Normal 599 2 3 3 6" xfId="17939" xr:uid="{00000000-0005-0000-0000-0000D4330000}"/>
    <cellStyle name="Normal 599 2 3 4" xfId="6969" xr:uid="{00000000-0005-0000-0000-0000D5330000}"/>
    <cellStyle name="Normal 599 2 3 4 2" xfId="6970" xr:uid="{00000000-0005-0000-0000-0000D6330000}"/>
    <cellStyle name="Normal 599 2 3 4 2 2" xfId="17940" xr:uid="{00000000-0005-0000-0000-0000D7330000}"/>
    <cellStyle name="Normal 599 2 3 4 3" xfId="6971" xr:uid="{00000000-0005-0000-0000-0000D8330000}"/>
    <cellStyle name="Normal 599 2 3 4 3 2" xfId="17941" xr:uid="{00000000-0005-0000-0000-0000D9330000}"/>
    <cellStyle name="Normal 599 2 3 4 4" xfId="17942" xr:uid="{00000000-0005-0000-0000-0000DA330000}"/>
    <cellStyle name="Normal 599 2 3 5" xfId="6972" xr:uid="{00000000-0005-0000-0000-0000DB330000}"/>
    <cellStyle name="Normal 599 2 3 5 2" xfId="6973" xr:uid="{00000000-0005-0000-0000-0000DC330000}"/>
    <cellStyle name="Normal 599 2 3 5 2 2" xfId="17943" xr:uid="{00000000-0005-0000-0000-0000DD330000}"/>
    <cellStyle name="Normal 599 2 3 5 3" xfId="6974" xr:uid="{00000000-0005-0000-0000-0000DE330000}"/>
    <cellStyle name="Normal 599 2 3 5 3 2" xfId="17944" xr:uid="{00000000-0005-0000-0000-0000DF330000}"/>
    <cellStyle name="Normal 599 2 3 5 4" xfId="17945" xr:uid="{00000000-0005-0000-0000-0000E0330000}"/>
    <cellStyle name="Normal 599 2 3 6" xfId="6975" xr:uid="{00000000-0005-0000-0000-0000E1330000}"/>
    <cellStyle name="Normal 599 2 3 6 2" xfId="17946" xr:uid="{00000000-0005-0000-0000-0000E2330000}"/>
    <cellStyle name="Normal 599 2 3 7" xfId="6976" xr:uid="{00000000-0005-0000-0000-0000E3330000}"/>
    <cellStyle name="Normal 599 2 3 7 2" xfId="17947" xr:uid="{00000000-0005-0000-0000-0000E4330000}"/>
    <cellStyle name="Normal 599 2 3 8" xfId="17948" xr:uid="{00000000-0005-0000-0000-0000E5330000}"/>
    <cellStyle name="Normal 599 2 4" xfId="6977" xr:uid="{00000000-0005-0000-0000-0000E6330000}"/>
    <cellStyle name="Normal 599 2 4 2" xfId="6978" xr:uid="{00000000-0005-0000-0000-0000E7330000}"/>
    <cellStyle name="Normal 599 2 4 2 2" xfId="6979" xr:uid="{00000000-0005-0000-0000-0000E8330000}"/>
    <cellStyle name="Normal 599 2 4 2 2 2" xfId="6980" xr:uid="{00000000-0005-0000-0000-0000E9330000}"/>
    <cellStyle name="Normal 599 2 4 2 2 2 2" xfId="17949" xr:uid="{00000000-0005-0000-0000-0000EA330000}"/>
    <cellStyle name="Normal 599 2 4 2 2 3" xfId="6981" xr:uid="{00000000-0005-0000-0000-0000EB330000}"/>
    <cellStyle name="Normal 599 2 4 2 2 3 2" xfId="17950" xr:uid="{00000000-0005-0000-0000-0000EC330000}"/>
    <cellStyle name="Normal 599 2 4 2 2 4" xfId="17951" xr:uid="{00000000-0005-0000-0000-0000ED330000}"/>
    <cellStyle name="Normal 599 2 4 2 3" xfId="6982" xr:uid="{00000000-0005-0000-0000-0000EE330000}"/>
    <cellStyle name="Normal 599 2 4 2 3 2" xfId="6983" xr:uid="{00000000-0005-0000-0000-0000EF330000}"/>
    <cellStyle name="Normal 599 2 4 2 3 2 2" xfId="17952" xr:uid="{00000000-0005-0000-0000-0000F0330000}"/>
    <cellStyle name="Normal 599 2 4 2 3 3" xfId="6984" xr:uid="{00000000-0005-0000-0000-0000F1330000}"/>
    <cellStyle name="Normal 599 2 4 2 3 3 2" xfId="17953" xr:uid="{00000000-0005-0000-0000-0000F2330000}"/>
    <cellStyle name="Normal 599 2 4 2 3 4" xfId="17954" xr:uid="{00000000-0005-0000-0000-0000F3330000}"/>
    <cellStyle name="Normal 599 2 4 2 4" xfId="6985" xr:uid="{00000000-0005-0000-0000-0000F4330000}"/>
    <cellStyle name="Normal 599 2 4 2 4 2" xfId="17955" xr:uid="{00000000-0005-0000-0000-0000F5330000}"/>
    <cellStyle name="Normal 599 2 4 2 5" xfId="6986" xr:uid="{00000000-0005-0000-0000-0000F6330000}"/>
    <cellStyle name="Normal 599 2 4 2 5 2" xfId="17956" xr:uid="{00000000-0005-0000-0000-0000F7330000}"/>
    <cellStyle name="Normal 599 2 4 2 6" xfId="17957" xr:uid="{00000000-0005-0000-0000-0000F8330000}"/>
    <cellStyle name="Normal 599 2 4 3" xfId="6987" xr:uid="{00000000-0005-0000-0000-0000F9330000}"/>
    <cellStyle name="Normal 599 2 4 3 2" xfId="6988" xr:uid="{00000000-0005-0000-0000-0000FA330000}"/>
    <cellStyle name="Normal 599 2 4 3 2 2" xfId="17958" xr:uid="{00000000-0005-0000-0000-0000FB330000}"/>
    <cellStyle name="Normal 599 2 4 3 3" xfId="6989" xr:uid="{00000000-0005-0000-0000-0000FC330000}"/>
    <cellStyle name="Normal 599 2 4 3 3 2" xfId="17959" xr:uid="{00000000-0005-0000-0000-0000FD330000}"/>
    <cellStyle name="Normal 599 2 4 3 4" xfId="17960" xr:uid="{00000000-0005-0000-0000-0000FE330000}"/>
    <cellStyle name="Normal 599 2 4 4" xfId="6990" xr:uid="{00000000-0005-0000-0000-0000FF330000}"/>
    <cellStyle name="Normal 599 2 4 4 2" xfId="6991" xr:uid="{00000000-0005-0000-0000-000000340000}"/>
    <cellStyle name="Normal 599 2 4 4 2 2" xfId="17961" xr:uid="{00000000-0005-0000-0000-000001340000}"/>
    <cellStyle name="Normal 599 2 4 4 3" xfId="6992" xr:uid="{00000000-0005-0000-0000-000002340000}"/>
    <cellStyle name="Normal 599 2 4 4 3 2" xfId="17962" xr:uid="{00000000-0005-0000-0000-000003340000}"/>
    <cellStyle name="Normal 599 2 4 4 4" xfId="17963" xr:uid="{00000000-0005-0000-0000-000004340000}"/>
    <cellStyle name="Normal 599 2 4 5" xfId="6993" xr:uid="{00000000-0005-0000-0000-000005340000}"/>
    <cellStyle name="Normal 599 2 4 5 2" xfId="17964" xr:uid="{00000000-0005-0000-0000-000006340000}"/>
    <cellStyle name="Normal 599 2 4 6" xfId="6994" xr:uid="{00000000-0005-0000-0000-000007340000}"/>
    <cellStyle name="Normal 599 2 4 6 2" xfId="17965" xr:uid="{00000000-0005-0000-0000-000008340000}"/>
    <cellStyle name="Normal 599 2 4 7" xfId="17966" xr:uid="{00000000-0005-0000-0000-000009340000}"/>
    <cellStyle name="Normal 599 2 5" xfId="6995" xr:uid="{00000000-0005-0000-0000-00000A340000}"/>
    <cellStyle name="Normal 599 2 5 2" xfId="6996" xr:uid="{00000000-0005-0000-0000-00000B340000}"/>
    <cellStyle name="Normal 599 2 5 2 2" xfId="6997" xr:uid="{00000000-0005-0000-0000-00000C340000}"/>
    <cellStyle name="Normal 599 2 5 2 2 2" xfId="17967" xr:uid="{00000000-0005-0000-0000-00000D340000}"/>
    <cellStyle name="Normal 599 2 5 2 3" xfId="6998" xr:uid="{00000000-0005-0000-0000-00000E340000}"/>
    <cellStyle name="Normal 599 2 5 2 3 2" xfId="17968" xr:uid="{00000000-0005-0000-0000-00000F340000}"/>
    <cellStyle name="Normal 599 2 5 2 4" xfId="17969" xr:uid="{00000000-0005-0000-0000-000010340000}"/>
    <cellStyle name="Normal 599 2 5 3" xfId="6999" xr:uid="{00000000-0005-0000-0000-000011340000}"/>
    <cellStyle name="Normal 599 2 5 3 2" xfId="7000" xr:uid="{00000000-0005-0000-0000-000012340000}"/>
    <cellStyle name="Normal 599 2 5 3 2 2" xfId="17970" xr:uid="{00000000-0005-0000-0000-000013340000}"/>
    <cellStyle name="Normal 599 2 5 3 3" xfId="7001" xr:uid="{00000000-0005-0000-0000-000014340000}"/>
    <cellStyle name="Normal 599 2 5 3 3 2" xfId="17971" xr:uid="{00000000-0005-0000-0000-000015340000}"/>
    <cellStyle name="Normal 599 2 5 3 4" xfId="17972" xr:uid="{00000000-0005-0000-0000-000016340000}"/>
    <cellStyle name="Normal 599 2 5 4" xfId="7002" xr:uid="{00000000-0005-0000-0000-000017340000}"/>
    <cellStyle name="Normal 599 2 5 4 2" xfId="17973" xr:uid="{00000000-0005-0000-0000-000018340000}"/>
    <cellStyle name="Normal 599 2 5 5" xfId="7003" xr:uid="{00000000-0005-0000-0000-000019340000}"/>
    <cellStyle name="Normal 599 2 5 5 2" xfId="17974" xr:uid="{00000000-0005-0000-0000-00001A340000}"/>
    <cellStyle name="Normal 599 2 5 6" xfId="17975" xr:uid="{00000000-0005-0000-0000-00001B340000}"/>
    <cellStyle name="Normal 599 2 6" xfId="7004" xr:uid="{00000000-0005-0000-0000-00001C340000}"/>
    <cellStyle name="Normal 599 2 6 2" xfId="7005" xr:uid="{00000000-0005-0000-0000-00001D340000}"/>
    <cellStyle name="Normal 599 2 6 2 2" xfId="7006" xr:uid="{00000000-0005-0000-0000-00001E340000}"/>
    <cellStyle name="Normal 599 2 6 2 2 2" xfId="17976" xr:uid="{00000000-0005-0000-0000-00001F340000}"/>
    <cellStyle name="Normal 599 2 6 2 3" xfId="7007" xr:uid="{00000000-0005-0000-0000-000020340000}"/>
    <cellStyle name="Normal 599 2 6 2 3 2" xfId="17977" xr:uid="{00000000-0005-0000-0000-000021340000}"/>
    <cellStyle name="Normal 599 2 6 2 4" xfId="17978" xr:uid="{00000000-0005-0000-0000-000022340000}"/>
    <cellStyle name="Normal 599 2 6 3" xfId="7008" xr:uid="{00000000-0005-0000-0000-000023340000}"/>
    <cellStyle name="Normal 599 2 6 3 2" xfId="7009" xr:uid="{00000000-0005-0000-0000-000024340000}"/>
    <cellStyle name="Normal 599 2 6 3 2 2" xfId="17979" xr:uid="{00000000-0005-0000-0000-000025340000}"/>
    <cellStyle name="Normal 599 2 6 3 3" xfId="7010" xr:uid="{00000000-0005-0000-0000-000026340000}"/>
    <cellStyle name="Normal 599 2 6 3 3 2" xfId="17980" xr:uid="{00000000-0005-0000-0000-000027340000}"/>
    <cellStyle name="Normal 599 2 6 3 4" xfId="17981" xr:uid="{00000000-0005-0000-0000-000028340000}"/>
    <cellStyle name="Normal 599 2 6 4" xfId="7011" xr:uid="{00000000-0005-0000-0000-000029340000}"/>
    <cellStyle name="Normal 599 2 6 4 2" xfId="17982" xr:uid="{00000000-0005-0000-0000-00002A340000}"/>
    <cellStyle name="Normal 599 2 6 5" xfId="7012" xr:uid="{00000000-0005-0000-0000-00002B340000}"/>
    <cellStyle name="Normal 599 2 6 5 2" xfId="17983" xr:uid="{00000000-0005-0000-0000-00002C340000}"/>
    <cellStyle name="Normal 599 2 6 6" xfId="17984" xr:uid="{00000000-0005-0000-0000-00002D340000}"/>
    <cellStyle name="Normal 599 2 7" xfId="7013" xr:uid="{00000000-0005-0000-0000-00002E340000}"/>
    <cellStyle name="Normal 599 2 7 2" xfId="7014" xr:uid="{00000000-0005-0000-0000-00002F340000}"/>
    <cellStyle name="Normal 599 2 7 2 2" xfId="17985" xr:uid="{00000000-0005-0000-0000-000030340000}"/>
    <cellStyle name="Normal 599 2 7 3" xfId="7015" xr:uid="{00000000-0005-0000-0000-000031340000}"/>
    <cellStyle name="Normal 599 2 7 3 2" xfId="17986" xr:uid="{00000000-0005-0000-0000-000032340000}"/>
    <cellStyle name="Normal 599 2 7 4" xfId="17987" xr:uid="{00000000-0005-0000-0000-000033340000}"/>
    <cellStyle name="Normal 599 2 8" xfId="7016" xr:uid="{00000000-0005-0000-0000-000034340000}"/>
    <cellStyle name="Normal 599 2 8 2" xfId="7017" xr:uid="{00000000-0005-0000-0000-000035340000}"/>
    <cellStyle name="Normal 599 2 8 2 2" xfId="17988" xr:uid="{00000000-0005-0000-0000-000036340000}"/>
    <cellStyle name="Normal 599 2 8 3" xfId="7018" xr:uid="{00000000-0005-0000-0000-000037340000}"/>
    <cellStyle name="Normal 599 2 8 3 2" xfId="17989" xr:uid="{00000000-0005-0000-0000-000038340000}"/>
    <cellStyle name="Normal 599 2 8 4" xfId="17990" xr:uid="{00000000-0005-0000-0000-000039340000}"/>
    <cellStyle name="Normal 599 2 9" xfId="7019" xr:uid="{00000000-0005-0000-0000-00003A340000}"/>
    <cellStyle name="Normal 599 2 9 2" xfId="17991" xr:uid="{00000000-0005-0000-0000-00003B340000}"/>
    <cellStyle name="Normal 599 3" xfId="7020" xr:uid="{00000000-0005-0000-0000-00003C340000}"/>
    <cellStyle name="Normal 599 3 10" xfId="7021" xr:uid="{00000000-0005-0000-0000-00003D340000}"/>
    <cellStyle name="Normal 599 3 10 2" xfId="17992" xr:uid="{00000000-0005-0000-0000-00003E340000}"/>
    <cellStyle name="Normal 599 3 11" xfId="17993" xr:uid="{00000000-0005-0000-0000-00003F340000}"/>
    <cellStyle name="Normal 599 3 2" xfId="7022" xr:uid="{00000000-0005-0000-0000-000040340000}"/>
    <cellStyle name="Normal 599 3 2 10" xfId="17994" xr:uid="{00000000-0005-0000-0000-000041340000}"/>
    <cellStyle name="Normal 599 3 2 2" xfId="7023" xr:uid="{00000000-0005-0000-0000-000042340000}"/>
    <cellStyle name="Normal 599 3 2 2 2" xfId="7024" xr:uid="{00000000-0005-0000-0000-000043340000}"/>
    <cellStyle name="Normal 599 3 2 2 2 2" xfId="7025" xr:uid="{00000000-0005-0000-0000-000044340000}"/>
    <cellStyle name="Normal 599 3 2 2 2 2 2" xfId="7026" xr:uid="{00000000-0005-0000-0000-000045340000}"/>
    <cellStyle name="Normal 599 3 2 2 2 2 2 2" xfId="17995" xr:uid="{00000000-0005-0000-0000-000046340000}"/>
    <cellStyle name="Normal 599 3 2 2 2 2 3" xfId="7027" xr:uid="{00000000-0005-0000-0000-000047340000}"/>
    <cellStyle name="Normal 599 3 2 2 2 2 3 2" xfId="17996" xr:uid="{00000000-0005-0000-0000-000048340000}"/>
    <cellStyle name="Normal 599 3 2 2 2 2 4" xfId="17997" xr:uid="{00000000-0005-0000-0000-000049340000}"/>
    <cellStyle name="Normal 599 3 2 2 2 3" xfId="7028" xr:uid="{00000000-0005-0000-0000-00004A340000}"/>
    <cellStyle name="Normal 599 3 2 2 2 3 2" xfId="7029" xr:uid="{00000000-0005-0000-0000-00004B340000}"/>
    <cellStyle name="Normal 599 3 2 2 2 3 2 2" xfId="17998" xr:uid="{00000000-0005-0000-0000-00004C340000}"/>
    <cellStyle name="Normal 599 3 2 2 2 3 3" xfId="7030" xr:uid="{00000000-0005-0000-0000-00004D340000}"/>
    <cellStyle name="Normal 599 3 2 2 2 3 3 2" xfId="17999" xr:uid="{00000000-0005-0000-0000-00004E340000}"/>
    <cellStyle name="Normal 599 3 2 2 2 3 4" xfId="18000" xr:uid="{00000000-0005-0000-0000-00004F340000}"/>
    <cellStyle name="Normal 599 3 2 2 2 4" xfId="7031" xr:uid="{00000000-0005-0000-0000-000050340000}"/>
    <cellStyle name="Normal 599 3 2 2 2 4 2" xfId="18001" xr:uid="{00000000-0005-0000-0000-000051340000}"/>
    <cellStyle name="Normal 599 3 2 2 2 5" xfId="7032" xr:uid="{00000000-0005-0000-0000-000052340000}"/>
    <cellStyle name="Normal 599 3 2 2 2 5 2" xfId="18002" xr:uid="{00000000-0005-0000-0000-000053340000}"/>
    <cellStyle name="Normal 599 3 2 2 2 6" xfId="18003" xr:uid="{00000000-0005-0000-0000-000054340000}"/>
    <cellStyle name="Normal 599 3 2 2 3" xfId="7033" xr:uid="{00000000-0005-0000-0000-000055340000}"/>
    <cellStyle name="Normal 599 3 2 2 3 2" xfId="7034" xr:uid="{00000000-0005-0000-0000-000056340000}"/>
    <cellStyle name="Normal 599 3 2 2 3 2 2" xfId="7035" xr:uid="{00000000-0005-0000-0000-000057340000}"/>
    <cellStyle name="Normal 599 3 2 2 3 2 2 2" xfId="18004" xr:uid="{00000000-0005-0000-0000-000058340000}"/>
    <cellStyle name="Normal 599 3 2 2 3 2 3" xfId="7036" xr:uid="{00000000-0005-0000-0000-000059340000}"/>
    <cellStyle name="Normal 599 3 2 2 3 2 3 2" xfId="18005" xr:uid="{00000000-0005-0000-0000-00005A340000}"/>
    <cellStyle name="Normal 599 3 2 2 3 2 4" xfId="18006" xr:uid="{00000000-0005-0000-0000-00005B340000}"/>
    <cellStyle name="Normal 599 3 2 2 3 3" xfId="7037" xr:uid="{00000000-0005-0000-0000-00005C340000}"/>
    <cellStyle name="Normal 599 3 2 2 3 3 2" xfId="7038" xr:uid="{00000000-0005-0000-0000-00005D340000}"/>
    <cellStyle name="Normal 599 3 2 2 3 3 2 2" xfId="18007" xr:uid="{00000000-0005-0000-0000-00005E340000}"/>
    <cellStyle name="Normal 599 3 2 2 3 3 3" xfId="7039" xr:uid="{00000000-0005-0000-0000-00005F340000}"/>
    <cellStyle name="Normal 599 3 2 2 3 3 3 2" xfId="18008" xr:uid="{00000000-0005-0000-0000-000060340000}"/>
    <cellStyle name="Normal 599 3 2 2 3 3 4" xfId="18009" xr:uid="{00000000-0005-0000-0000-000061340000}"/>
    <cellStyle name="Normal 599 3 2 2 3 4" xfId="7040" xr:uid="{00000000-0005-0000-0000-000062340000}"/>
    <cellStyle name="Normal 599 3 2 2 3 4 2" xfId="18010" xr:uid="{00000000-0005-0000-0000-000063340000}"/>
    <cellStyle name="Normal 599 3 2 2 3 5" xfId="7041" xr:uid="{00000000-0005-0000-0000-000064340000}"/>
    <cellStyle name="Normal 599 3 2 2 3 5 2" xfId="18011" xr:uid="{00000000-0005-0000-0000-000065340000}"/>
    <cellStyle name="Normal 599 3 2 2 3 6" xfId="18012" xr:uid="{00000000-0005-0000-0000-000066340000}"/>
    <cellStyle name="Normal 599 3 2 2 4" xfId="7042" xr:uid="{00000000-0005-0000-0000-000067340000}"/>
    <cellStyle name="Normal 599 3 2 2 4 2" xfId="7043" xr:uid="{00000000-0005-0000-0000-000068340000}"/>
    <cellStyle name="Normal 599 3 2 2 4 2 2" xfId="18013" xr:uid="{00000000-0005-0000-0000-000069340000}"/>
    <cellStyle name="Normal 599 3 2 2 4 3" xfId="7044" xr:uid="{00000000-0005-0000-0000-00006A340000}"/>
    <cellStyle name="Normal 599 3 2 2 4 3 2" xfId="18014" xr:uid="{00000000-0005-0000-0000-00006B340000}"/>
    <cellStyle name="Normal 599 3 2 2 4 4" xfId="18015" xr:uid="{00000000-0005-0000-0000-00006C340000}"/>
    <cellStyle name="Normal 599 3 2 2 5" xfId="7045" xr:uid="{00000000-0005-0000-0000-00006D340000}"/>
    <cellStyle name="Normal 599 3 2 2 5 2" xfId="7046" xr:uid="{00000000-0005-0000-0000-00006E340000}"/>
    <cellStyle name="Normal 599 3 2 2 5 2 2" xfId="18016" xr:uid="{00000000-0005-0000-0000-00006F340000}"/>
    <cellStyle name="Normal 599 3 2 2 5 3" xfId="7047" xr:uid="{00000000-0005-0000-0000-000070340000}"/>
    <cellStyle name="Normal 599 3 2 2 5 3 2" xfId="18017" xr:uid="{00000000-0005-0000-0000-000071340000}"/>
    <cellStyle name="Normal 599 3 2 2 5 4" xfId="18018" xr:uid="{00000000-0005-0000-0000-000072340000}"/>
    <cellStyle name="Normal 599 3 2 2 6" xfId="7048" xr:uid="{00000000-0005-0000-0000-000073340000}"/>
    <cellStyle name="Normal 599 3 2 2 6 2" xfId="18019" xr:uid="{00000000-0005-0000-0000-000074340000}"/>
    <cellStyle name="Normal 599 3 2 2 7" xfId="7049" xr:uid="{00000000-0005-0000-0000-000075340000}"/>
    <cellStyle name="Normal 599 3 2 2 7 2" xfId="18020" xr:uid="{00000000-0005-0000-0000-000076340000}"/>
    <cellStyle name="Normal 599 3 2 2 8" xfId="18021" xr:uid="{00000000-0005-0000-0000-000077340000}"/>
    <cellStyle name="Normal 599 3 2 3" xfId="7050" xr:uid="{00000000-0005-0000-0000-000078340000}"/>
    <cellStyle name="Normal 599 3 2 3 2" xfId="7051" xr:uid="{00000000-0005-0000-0000-000079340000}"/>
    <cellStyle name="Normal 599 3 2 3 2 2" xfId="7052" xr:uid="{00000000-0005-0000-0000-00007A340000}"/>
    <cellStyle name="Normal 599 3 2 3 2 2 2" xfId="7053" xr:uid="{00000000-0005-0000-0000-00007B340000}"/>
    <cellStyle name="Normal 599 3 2 3 2 2 2 2" xfId="18022" xr:uid="{00000000-0005-0000-0000-00007C340000}"/>
    <cellStyle name="Normal 599 3 2 3 2 2 3" xfId="7054" xr:uid="{00000000-0005-0000-0000-00007D340000}"/>
    <cellStyle name="Normal 599 3 2 3 2 2 3 2" xfId="18023" xr:uid="{00000000-0005-0000-0000-00007E340000}"/>
    <cellStyle name="Normal 599 3 2 3 2 2 4" xfId="18024" xr:uid="{00000000-0005-0000-0000-00007F340000}"/>
    <cellStyle name="Normal 599 3 2 3 2 3" xfId="7055" xr:uid="{00000000-0005-0000-0000-000080340000}"/>
    <cellStyle name="Normal 599 3 2 3 2 3 2" xfId="7056" xr:uid="{00000000-0005-0000-0000-000081340000}"/>
    <cellStyle name="Normal 599 3 2 3 2 3 2 2" xfId="18025" xr:uid="{00000000-0005-0000-0000-000082340000}"/>
    <cellStyle name="Normal 599 3 2 3 2 3 3" xfId="7057" xr:uid="{00000000-0005-0000-0000-000083340000}"/>
    <cellStyle name="Normal 599 3 2 3 2 3 3 2" xfId="18026" xr:uid="{00000000-0005-0000-0000-000084340000}"/>
    <cellStyle name="Normal 599 3 2 3 2 3 4" xfId="18027" xr:uid="{00000000-0005-0000-0000-000085340000}"/>
    <cellStyle name="Normal 599 3 2 3 2 4" xfId="7058" xr:uid="{00000000-0005-0000-0000-000086340000}"/>
    <cellStyle name="Normal 599 3 2 3 2 4 2" xfId="18028" xr:uid="{00000000-0005-0000-0000-000087340000}"/>
    <cellStyle name="Normal 599 3 2 3 2 5" xfId="7059" xr:uid="{00000000-0005-0000-0000-000088340000}"/>
    <cellStyle name="Normal 599 3 2 3 2 5 2" xfId="18029" xr:uid="{00000000-0005-0000-0000-000089340000}"/>
    <cellStyle name="Normal 599 3 2 3 2 6" xfId="18030" xr:uid="{00000000-0005-0000-0000-00008A340000}"/>
    <cellStyle name="Normal 599 3 2 3 3" xfId="7060" xr:uid="{00000000-0005-0000-0000-00008B340000}"/>
    <cellStyle name="Normal 599 3 2 3 3 2" xfId="7061" xr:uid="{00000000-0005-0000-0000-00008C340000}"/>
    <cellStyle name="Normal 599 3 2 3 3 2 2" xfId="18031" xr:uid="{00000000-0005-0000-0000-00008D340000}"/>
    <cellStyle name="Normal 599 3 2 3 3 3" xfId="7062" xr:uid="{00000000-0005-0000-0000-00008E340000}"/>
    <cellStyle name="Normal 599 3 2 3 3 3 2" xfId="18032" xr:uid="{00000000-0005-0000-0000-00008F340000}"/>
    <cellStyle name="Normal 599 3 2 3 3 4" xfId="18033" xr:uid="{00000000-0005-0000-0000-000090340000}"/>
    <cellStyle name="Normal 599 3 2 3 4" xfId="7063" xr:uid="{00000000-0005-0000-0000-000091340000}"/>
    <cellStyle name="Normal 599 3 2 3 4 2" xfId="7064" xr:uid="{00000000-0005-0000-0000-000092340000}"/>
    <cellStyle name="Normal 599 3 2 3 4 2 2" xfId="18034" xr:uid="{00000000-0005-0000-0000-000093340000}"/>
    <cellStyle name="Normal 599 3 2 3 4 3" xfId="7065" xr:uid="{00000000-0005-0000-0000-000094340000}"/>
    <cellStyle name="Normal 599 3 2 3 4 3 2" xfId="18035" xr:uid="{00000000-0005-0000-0000-000095340000}"/>
    <cellStyle name="Normal 599 3 2 3 4 4" xfId="18036" xr:uid="{00000000-0005-0000-0000-000096340000}"/>
    <cellStyle name="Normal 599 3 2 3 5" xfId="7066" xr:uid="{00000000-0005-0000-0000-000097340000}"/>
    <cellStyle name="Normal 599 3 2 3 5 2" xfId="18037" xr:uid="{00000000-0005-0000-0000-000098340000}"/>
    <cellStyle name="Normal 599 3 2 3 6" xfId="7067" xr:uid="{00000000-0005-0000-0000-000099340000}"/>
    <cellStyle name="Normal 599 3 2 3 6 2" xfId="18038" xr:uid="{00000000-0005-0000-0000-00009A340000}"/>
    <cellStyle name="Normal 599 3 2 3 7" xfId="18039" xr:uid="{00000000-0005-0000-0000-00009B340000}"/>
    <cellStyle name="Normal 599 3 2 4" xfId="7068" xr:uid="{00000000-0005-0000-0000-00009C340000}"/>
    <cellStyle name="Normal 599 3 2 4 2" xfId="7069" xr:uid="{00000000-0005-0000-0000-00009D340000}"/>
    <cellStyle name="Normal 599 3 2 4 2 2" xfId="7070" xr:uid="{00000000-0005-0000-0000-00009E340000}"/>
    <cellStyle name="Normal 599 3 2 4 2 2 2" xfId="18040" xr:uid="{00000000-0005-0000-0000-00009F340000}"/>
    <cellStyle name="Normal 599 3 2 4 2 3" xfId="7071" xr:uid="{00000000-0005-0000-0000-0000A0340000}"/>
    <cellStyle name="Normal 599 3 2 4 2 3 2" xfId="18041" xr:uid="{00000000-0005-0000-0000-0000A1340000}"/>
    <cellStyle name="Normal 599 3 2 4 2 4" xfId="18042" xr:uid="{00000000-0005-0000-0000-0000A2340000}"/>
    <cellStyle name="Normal 599 3 2 4 3" xfId="7072" xr:uid="{00000000-0005-0000-0000-0000A3340000}"/>
    <cellStyle name="Normal 599 3 2 4 3 2" xfId="7073" xr:uid="{00000000-0005-0000-0000-0000A4340000}"/>
    <cellStyle name="Normal 599 3 2 4 3 2 2" xfId="18043" xr:uid="{00000000-0005-0000-0000-0000A5340000}"/>
    <cellStyle name="Normal 599 3 2 4 3 3" xfId="7074" xr:uid="{00000000-0005-0000-0000-0000A6340000}"/>
    <cellStyle name="Normal 599 3 2 4 3 3 2" xfId="18044" xr:uid="{00000000-0005-0000-0000-0000A7340000}"/>
    <cellStyle name="Normal 599 3 2 4 3 4" xfId="18045" xr:uid="{00000000-0005-0000-0000-0000A8340000}"/>
    <cellStyle name="Normal 599 3 2 4 4" xfId="7075" xr:uid="{00000000-0005-0000-0000-0000A9340000}"/>
    <cellStyle name="Normal 599 3 2 4 4 2" xfId="18046" xr:uid="{00000000-0005-0000-0000-0000AA340000}"/>
    <cellStyle name="Normal 599 3 2 4 5" xfId="7076" xr:uid="{00000000-0005-0000-0000-0000AB340000}"/>
    <cellStyle name="Normal 599 3 2 4 5 2" xfId="18047" xr:uid="{00000000-0005-0000-0000-0000AC340000}"/>
    <cellStyle name="Normal 599 3 2 4 6" xfId="18048" xr:uid="{00000000-0005-0000-0000-0000AD340000}"/>
    <cellStyle name="Normal 599 3 2 5" xfId="7077" xr:uid="{00000000-0005-0000-0000-0000AE340000}"/>
    <cellStyle name="Normal 599 3 2 5 2" xfId="7078" xr:uid="{00000000-0005-0000-0000-0000AF340000}"/>
    <cellStyle name="Normal 599 3 2 5 2 2" xfId="7079" xr:uid="{00000000-0005-0000-0000-0000B0340000}"/>
    <cellStyle name="Normal 599 3 2 5 2 2 2" xfId="18049" xr:uid="{00000000-0005-0000-0000-0000B1340000}"/>
    <cellStyle name="Normal 599 3 2 5 2 3" xfId="7080" xr:uid="{00000000-0005-0000-0000-0000B2340000}"/>
    <cellStyle name="Normal 599 3 2 5 2 3 2" xfId="18050" xr:uid="{00000000-0005-0000-0000-0000B3340000}"/>
    <cellStyle name="Normal 599 3 2 5 2 4" xfId="18051" xr:uid="{00000000-0005-0000-0000-0000B4340000}"/>
    <cellStyle name="Normal 599 3 2 5 3" xfId="7081" xr:uid="{00000000-0005-0000-0000-0000B5340000}"/>
    <cellStyle name="Normal 599 3 2 5 3 2" xfId="7082" xr:uid="{00000000-0005-0000-0000-0000B6340000}"/>
    <cellStyle name="Normal 599 3 2 5 3 2 2" xfId="18052" xr:uid="{00000000-0005-0000-0000-0000B7340000}"/>
    <cellStyle name="Normal 599 3 2 5 3 3" xfId="7083" xr:uid="{00000000-0005-0000-0000-0000B8340000}"/>
    <cellStyle name="Normal 599 3 2 5 3 3 2" xfId="18053" xr:uid="{00000000-0005-0000-0000-0000B9340000}"/>
    <cellStyle name="Normal 599 3 2 5 3 4" xfId="18054" xr:uid="{00000000-0005-0000-0000-0000BA340000}"/>
    <cellStyle name="Normal 599 3 2 5 4" xfId="7084" xr:uid="{00000000-0005-0000-0000-0000BB340000}"/>
    <cellStyle name="Normal 599 3 2 5 4 2" xfId="18055" xr:uid="{00000000-0005-0000-0000-0000BC340000}"/>
    <cellStyle name="Normal 599 3 2 5 5" xfId="7085" xr:uid="{00000000-0005-0000-0000-0000BD340000}"/>
    <cellStyle name="Normal 599 3 2 5 5 2" xfId="18056" xr:uid="{00000000-0005-0000-0000-0000BE340000}"/>
    <cellStyle name="Normal 599 3 2 5 6" xfId="18057" xr:uid="{00000000-0005-0000-0000-0000BF340000}"/>
    <cellStyle name="Normal 599 3 2 6" xfId="7086" xr:uid="{00000000-0005-0000-0000-0000C0340000}"/>
    <cellStyle name="Normal 599 3 2 6 2" xfId="7087" xr:uid="{00000000-0005-0000-0000-0000C1340000}"/>
    <cellStyle name="Normal 599 3 2 6 2 2" xfId="18058" xr:uid="{00000000-0005-0000-0000-0000C2340000}"/>
    <cellStyle name="Normal 599 3 2 6 3" xfId="7088" xr:uid="{00000000-0005-0000-0000-0000C3340000}"/>
    <cellStyle name="Normal 599 3 2 6 3 2" xfId="18059" xr:uid="{00000000-0005-0000-0000-0000C4340000}"/>
    <cellStyle name="Normal 599 3 2 6 4" xfId="18060" xr:uid="{00000000-0005-0000-0000-0000C5340000}"/>
    <cellStyle name="Normal 599 3 2 7" xfId="7089" xr:uid="{00000000-0005-0000-0000-0000C6340000}"/>
    <cellStyle name="Normal 599 3 2 7 2" xfId="7090" xr:uid="{00000000-0005-0000-0000-0000C7340000}"/>
    <cellStyle name="Normal 599 3 2 7 2 2" xfId="18061" xr:uid="{00000000-0005-0000-0000-0000C8340000}"/>
    <cellStyle name="Normal 599 3 2 7 3" xfId="7091" xr:uid="{00000000-0005-0000-0000-0000C9340000}"/>
    <cellStyle name="Normal 599 3 2 7 3 2" xfId="18062" xr:uid="{00000000-0005-0000-0000-0000CA340000}"/>
    <cellStyle name="Normal 599 3 2 7 4" xfId="18063" xr:uid="{00000000-0005-0000-0000-0000CB340000}"/>
    <cellStyle name="Normal 599 3 2 8" xfId="7092" xr:uid="{00000000-0005-0000-0000-0000CC340000}"/>
    <cellStyle name="Normal 599 3 2 8 2" xfId="18064" xr:uid="{00000000-0005-0000-0000-0000CD340000}"/>
    <cellStyle name="Normal 599 3 2 9" xfId="7093" xr:uid="{00000000-0005-0000-0000-0000CE340000}"/>
    <cellStyle name="Normal 599 3 2 9 2" xfId="18065" xr:uid="{00000000-0005-0000-0000-0000CF340000}"/>
    <cellStyle name="Normal 599 3 3" xfId="7094" xr:uid="{00000000-0005-0000-0000-0000D0340000}"/>
    <cellStyle name="Normal 599 3 3 2" xfId="7095" xr:uid="{00000000-0005-0000-0000-0000D1340000}"/>
    <cellStyle name="Normal 599 3 3 2 2" xfId="7096" xr:uid="{00000000-0005-0000-0000-0000D2340000}"/>
    <cellStyle name="Normal 599 3 3 2 2 2" xfId="7097" xr:uid="{00000000-0005-0000-0000-0000D3340000}"/>
    <cellStyle name="Normal 599 3 3 2 2 2 2" xfId="18066" xr:uid="{00000000-0005-0000-0000-0000D4340000}"/>
    <cellStyle name="Normal 599 3 3 2 2 3" xfId="7098" xr:uid="{00000000-0005-0000-0000-0000D5340000}"/>
    <cellStyle name="Normal 599 3 3 2 2 3 2" xfId="18067" xr:uid="{00000000-0005-0000-0000-0000D6340000}"/>
    <cellStyle name="Normal 599 3 3 2 2 4" xfId="18068" xr:uid="{00000000-0005-0000-0000-0000D7340000}"/>
    <cellStyle name="Normal 599 3 3 2 3" xfId="7099" xr:uid="{00000000-0005-0000-0000-0000D8340000}"/>
    <cellStyle name="Normal 599 3 3 2 3 2" xfId="7100" xr:uid="{00000000-0005-0000-0000-0000D9340000}"/>
    <cellStyle name="Normal 599 3 3 2 3 2 2" xfId="18069" xr:uid="{00000000-0005-0000-0000-0000DA340000}"/>
    <cellStyle name="Normal 599 3 3 2 3 3" xfId="7101" xr:uid="{00000000-0005-0000-0000-0000DB340000}"/>
    <cellStyle name="Normal 599 3 3 2 3 3 2" xfId="18070" xr:uid="{00000000-0005-0000-0000-0000DC340000}"/>
    <cellStyle name="Normal 599 3 3 2 3 4" xfId="18071" xr:uid="{00000000-0005-0000-0000-0000DD340000}"/>
    <cellStyle name="Normal 599 3 3 2 4" xfId="7102" xr:uid="{00000000-0005-0000-0000-0000DE340000}"/>
    <cellStyle name="Normal 599 3 3 2 4 2" xfId="18072" xr:uid="{00000000-0005-0000-0000-0000DF340000}"/>
    <cellStyle name="Normal 599 3 3 2 5" xfId="7103" xr:uid="{00000000-0005-0000-0000-0000E0340000}"/>
    <cellStyle name="Normal 599 3 3 2 5 2" xfId="18073" xr:uid="{00000000-0005-0000-0000-0000E1340000}"/>
    <cellStyle name="Normal 599 3 3 2 6" xfId="18074" xr:uid="{00000000-0005-0000-0000-0000E2340000}"/>
    <cellStyle name="Normal 599 3 3 3" xfId="7104" xr:uid="{00000000-0005-0000-0000-0000E3340000}"/>
    <cellStyle name="Normal 599 3 3 3 2" xfId="7105" xr:uid="{00000000-0005-0000-0000-0000E4340000}"/>
    <cellStyle name="Normal 599 3 3 3 2 2" xfId="7106" xr:uid="{00000000-0005-0000-0000-0000E5340000}"/>
    <cellStyle name="Normal 599 3 3 3 2 2 2" xfId="18075" xr:uid="{00000000-0005-0000-0000-0000E6340000}"/>
    <cellStyle name="Normal 599 3 3 3 2 3" xfId="7107" xr:uid="{00000000-0005-0000-0000-0000E7340000}"/>
    <cellStyle name="Normal 599 3 3 3 2 3 2" xfId="18076" xr:uid="{00000000-0005-0000-0000-0000E8340000}"/>
    <cellStyle name="Normal 599 3 3 3 2 4" xfId="18077" xr:uid="{00000000-0005-0000-0000-0000E9340000}"/>
    <cellStyle name="Normal 599 3 3 3 3" xfId="7108" xr:uid="{00000000-0005-0000-0000-0000EA340000}"/>
    <cellStyle name="Normal 599 3 3 3 3 2" xfId="7109" xr:uid="{00000000-0005-0000-0000-0000EB340000}"/>
    <cellStyle name="Normal 599 3 3 3 3 2 2" xfId="18078" xr:uid="{00000000-0005-0000-0000-0000EC340000}"/>
    <cellStyle name="Normal 599 3 3 3 3 3" xfId="7110" xr:uid="{00000000-0005-0000-0000-0000ED340000}"/>
    <cellStyle name="Normal 599 3 3 3 3 3 2" xfId="18079" xr:uid="{00000000-0005-0000-0000-0000EE340000}"/>
    <cellStyle name="Normal 599 3 3 3 3 4" xfId="18080" xr:uid="{00000000-0005-0000-0000-0000EF340000}"/>
    <cellStyle name="Normal 599 3 3 3 4" xfId="7111" xr:uid="{00000000-0005-0000-0000-0000F0340000}"/>
    <cellStyle name="Normal 599 3 3 3 4 2" xfId="18081" xr:uid="{00000000-0005-0000-0000-0000F1340000}"/>
    <cellStyle name="Normal 599 3 3 3 5" xfId="7112" xr:uid="{00000000-0005-0000-0000-0000F2340000}"/>
    <cellStyle name="Normal 599 3 3 3 5 2" xfId="18082" xr:uid="{00000000-0005-0000-0000-0000F3340000}"/>
    <cellStyle name="Normal 599 3 3 3 6" xfId="18083" xr:uid="{00000000-0005-0000-0000-0000F4340000}"/>
    <cellStyle name="Normal 599 3 3 4" xfId="7113" xr:uid="{00000000-0005-0000-0000-0000F5340000}"/>
    <cellStyle name="Normal 599 3 3 4 2" xfId="7114" xr:uid="{00000000-0005-0000-0000-0000F6340000}"/>
    <cellStyle name="Normal 599 3 3 4 2 2" xfId="18084" xr:uid="{00000000-0005-0000-0000-0000F7340000}"/>
    <cellStyle name="Normal 599 3 3 4 3" xfId="7115" xr:uid="{00000000-0005-0000-0000-0000F8340000}"/>
    <cellStyle name="Normal 599 3 3 4 3 2" xfId="18085" xr:uid="{00000000-0005-0000-0000-0000F9340000}"/>
    <cellStyle name="Normal 599 3 3 4 4" xfId="18086" xr:uid="{00000000-0005-0000-0000-0000FA340000}"/>
    <cellStyle name="Normal 599 3 3 5" xfId="7116" xr:uid="{00000000-0005-0000-0000-0000FB340000}"/>
    <cellStyle name="Normal 599 3 3 5 2" xfId="7117" xr:uid="{00000000-0005-0000-0000-0000FC340000}"/>
    <cellStyle name="Normal 599 3 3 5 2 2" xfId="18087" xr:uid="{00000000-0005-0000-0000-0000FD340000}"/>
    <cellStyle name="Normal 599 3 3 5 3" xfId="7118" xr:uid="{00000000-0005-0000-0000-0000FE340000}"/>
    <cellStyle name="Normal 599 3 3 5 3 2" xfId="18088" xr:uid="{00000000-0005-0000-0000-0000FF340000}"/>
    <cellStyle name="Normal 599 3 3 5 4" xfId="18089" xr:uid="{00000000-0005-0000-0000-000000350000}"/>
    <cellStyle name="Normal 599 3 3 6" xfId="7119" xr:uid="{00000000-0005-0000-0000-000001350000}"/>
    <cellStyle name="Normal 599 3 3 6 2" xfId="18090" xr:uid="{00000000-0005-0000-0000-000002350000}"/>
    <cellStyle name="Normal 599 3 3 7" xfId="7120" xr:uid="{00000000-0005-0000-0000-000003350000}"/>
    <cellStyle name="Normal 599 3 3 7 2" xfId="18091" xr:uid="{00000000-0005-0000-0000-000004350000}"/>
    <cellStyle name="Normal 599 3 3 8" xfId="18092" xr:uid="{00000000-0005-0000-0000-000005350000}"/>
    <cellStyle name="Normal 599 3 4" xfId="7121" xr:uid="{00000000-0005-0000-0000-000006350000}"/>
    <cellStyle name="Normal 599 3 4 2" xfId="7122" xr:uid="{00000000-0005-0000-0000-000007350000}"/>
    <cellStyle name="Normal 599 3 4 2 2" xfId="7123" xr:uid="{00000000-0005-0000-0000-000008350000}"/>
    <cellStyle name="Normal 599 3 4 2 2 2" xfId="7124" xr:uid="{00000000-0005-0000-0000-000009350000}"/>
    <cellStyle name="Normal 599 3 4 2 2 2 2" xfId="18093" xr:uid="{00000000-0005-0000-0000-00000A350000}"/>
    <cellStyle name="Normal 599 3 4 2 2 3" xfId="7125" xr:uid="{00000000-0005-0000-0000-00000B350000}"/>
    <cellStyle name="Normal 599 3 4 2 2 3 2" xfId="18094" xr:uid="{00000000-0005-0000-0000-00000C350000}"/>
    <cellStyle name="Normal 599 3 4 2 2 4" xfId="18095" xr:uid="{00000000-0005-0000-0000-00000D350000}"/>
    <cellStyle name="Normal 599 3 4 2 3" xfId="7126" xr:uid="{00000000-0005-0000-0000-00000E350000}"/>
    <cellStyle name="Normal 599 3 4 2 3 2" xfId="7127" xr:uid="{00000000-0005-0000-0000-00000F350000}"/>
    <cellStyle name="Normal 599 3 4 2 3 2 2" xfId="18096" xr:uid="{00000000-0005-0000-0000-000010350000}"/>
    <cellStyle name="Normal 599 3 4 2 3 3" xfId="7128" xr:uid="{00000000-0005-0000-0000-000011350000}"/>
    <cellStyle name="Normal 599 3 4 2 3 3 2" xfId="18097" xr:uid="{00000000-0005-0000-0000-000012350000}"/>
    <cellStyle name="Normal 599 3 4 2 3 4" xfId="18098" xr:uid="{00000000-0005-0000-0000-000013350000}"/>
    <cellStyle name="Normal 599 3 4 2 4" xfId="7129" xr:uid="{00000000-0005-0000-0000-000014350000}"/>
    <cellStyle name="Normal 599 3 4 2 4 2" xfId="18099" xr:uid="{00000000-0005-0000-0000-000015350000}"/>
    <cellStyle name="Normal 599 3 4 2 5" xfId="7130" xr:uid="{00000000-0005-0000-0000-000016350000}"/>
    <cellStyle name="Normal 599 3 4 2 5 2" xfId="18100" xr:uid="{00000000-0005-0000-0000-000017350000}"/>
    <cellStyle name="Normal 599 3 4 2 6" xfId="18101" xr:uid="{00000000-0005-0000-0000-000018350000}"/>
    <cellStyle name="Normal 599 3 4 3" xfId="7131" xr:uid="{00000000-0005-0000-0000-000019350000}"/>
    <cellStyle name="Normal 599 3 4 3 2" xfId="7132" xr:uid="{00000000-0005-0000-0000-00001A350000}"/>
    <cellStyle name="Normal 599 3 4 3 2 2" xfId="18102" xr:uid="{00000000-0005-0000-0000-00001B350000}"/>
    <cellStyle name="Normal 599 3 4 3 3" xfId="7133" xr:uid="{00000000-0005-0000-0000-00001C350000}"/>
    <cellStyle name="Normal 599 3 4 3 3 2" xfId="18103" xr:uid="{00000000-0005-0000-0000-00001D350000}"/>
    <cellStyle name="Normal 599 3 4 3 4" xfId="18104" xr:uid="{00000000-0005-0000-0000-00001E350000}"/>
    <cellStyle name="Normal 599 3 4 4" xfId="7134" xr:uid="{00000000-0005-0000-0000-00001F350000}"/>
    <cellStyle name="Normal 599 3 4 4 2" xfId="7135" xr:uid="{00000000-0005-0000-0000-000020350000}"/>
    <cellStyle name="Normal 599 3 4 4 2 2" xfId="18105" xr:uid="{00000000-0005-0000-0000-000021350000}"/>
    <cellStyle name="Normal 599 3 4 4 3" xfId="7136" xr:uid="{00000000-0005-0000-0000-000022350000}"/>
    <cellStyle name="Normal 599 3 4 4 3 2" xfId="18106" xr:uid="{00000000-0005-0000-0000-000023350000}"/>
    <cellStyle name="Normal 599 3 4 4 4" xfId="18107" xr:uid="{00000000-0005-0000-0000-000024350000}"/>
    <cellStyle name="Normal 599 3 4 5" xfId="7137" xr:uid="{00000000-0005-0000-0000-000025350000}"/>
    <cellStyle name="Normal 599 3 4 5 2" xfId="18108" xr:uid="{00000000-0005-0000-0000-000026350000}"/>
    <cellStyle name="Normal 599 3 4 6" xfId="7138" xr:uid="{00000000-0005-0000-0000-000027350000}"/>
    <cellStyle name="Normal 599 3 4 6 2" xfId="18109" xr:uid="{00000000-0005-0000-0000-000028350000}"/>
    <cellStyle name="Normal 599 3 4 7" xfId="18110" xr:uid="{00000000-0005-0000-0000-000029350000}"/>
    <cellStyle name="Normal 599 3 5" xfId="7139" xr:uid="{00000000-0005-0000-0000-00002A350000}"/>
    <cellStyle name="Normal 599 3 5 2" xfId="7140" xr:uid="{00000000-0005-0000-0000-00002B350000}"/>
    <cellStyle name="Normal 599 3 5 2 2" xfId="7141" xr:uid="{00000000-0005-0000-0000-00002C350000}"/>
    <cellStyle name="Normal 599 3 5 2 2 2" xfId="18111" xr:uid="{00000000-0005-0000-0000-00002D350000}"/>
    <cellStyle name="Normal 599 3 5 2 3" xfId="7142" xr:uid="{00000000-0005-0000-0000-00002E350000}"/>
    <cellStyle name="Normal 599 3 5 2 3 2" xfId="18112" xr:uid="{00000000-0005-0000-0000-00002F350000}"/>
    <cellStyle name="Normal 599 3 5 2 4" xfId="18113" xr:uid="{00000000-0005-0000-0000-000030350000}"/>
    <cellStyle name="Normal 599 3 5 3" xfId="7143" xr:uid="{00000000-0005-0000-0000-000031350000}"/>
    <cellStyle name="Normal 599 3 5 3 2" xfId="7144" xr:uid="{00000000-0005-0000-0000-000032350000}"/>
    <cellStyle name="Normal 599 3 5 3 2 2" xfId="18114" xr:uid="{00000000-0005-0000-0000-000033350000}"/>
    <cellStyle name="Normal 599 3 5 3 3" xfId="7145" xr:uid="{00000000-0005-0000-0000-000034350000}"/>
    <cellStyle name="Normal 599 3 5 3 3 2" xfId="18115" xr:uid="{00000000-0005-0000-0000-000035350000}"/>
    <cellStyle name="Normal 599 3 5 3 4" xfId="18116" xr:uid="{00000000-0005-0000-0000-000036350000}"/>
    <cellStyle name="Normal 599 3 5 4" xfId="7146" xr:uid="{00000000-0005-0000-0000-000037350000}"/>
    <cellStyle name="Normal 599 3 5 4 2" xfId="18117" xr:uid="{00000000-0005-0000-0000-000038350000}"/>
    <cellStyle name="Normal 599 3 5 5" xfId="7147" xr:uid="{00000000-0005-0000-0000-000039350000}"/>
    <cellStyle name="Normal 599 3 5 5 2" xfId="18118" xr:uid="{00000000-0005-0000-0000-00003A350000}"/>
    <cellStyle name="Normal 599 3 5 6" xfId="18119" xr:uid="{00000000-0005-0000-0000-00003B350000}"/>
    <cellStyle name="Normal 599 3 6" xfId="7148" xr:uid="{00000000-0005-0000-0000-00003C350000}"/>
    <cellStyle name="Normal 599 3 6 2" xfId="7149" xr:uid="{00000000-0005-0000-0000-00003D350000}"/>
    <cellStyle name="Normal 599 3 6 2 2" xfId="7150" xr:uid="{00000000-0005-0000-0000-00003E350000}"/>
    <cellStyle name="Normal 599 3 6 2 2 2" xfId="18120" xr:uid="{00000000-0005-0000-0000-00003F350000}"/>
    <cellStyle name="Normal 599 3 6 2 3" xfId="7151" xr:uid="{00000000-0005-0000-0000-000040350000}"/>
    <cellStyle name="Normal 599 3 6 2 3 2" xfId="18121" xr:uid="{00000000-0005-0000-0000-000041350000}"/>
    <cellStyle name="Normal 599 3 6 2 4" xfId="18122" xr:uid="{00000000-0005-0000-0000-000042350000}"/>
    <cellStyle name="Normal 599 3 6 3" xfId="7152" xr:uid="{00000000-0005-0000-0000-000043350000}"/>
    <cellStyle name="Normal 599 3 6 3 2" xfId="7153" xr:uid="{00000000-0005-0000-0000-000044350000}"/>
    <cellStyle name="Normal 599 3 6 3 2 2" xfId="18123" xr:uid="{00000000-0005-0000-0000-000045350000}"/>
    <cellStyle name="Normal 599 3 6 3 3" xfId="7154" xr:uid="{00000000-0005-0000-0000-000046350000}"/>
    <cellStyle name="Normal 599 3 6 3 3 2" xfId="18124" xr:uid="{00000000-0005-0000-0000-000047350000}"/>
    <cellStyle name="Normal 599 3 6 3 4" xfId="18125" xr:uid="{00000000-0005-0000-0000-000048350000}"/>
    <cellStyle name="Normal 599 3 6 4" xfId="7155" xr:uid="{00000000-0005-0000-0000-000049350000}"/>
    <cellStyle name="Normal 599 3 6 4 2" xfId="18126" xr:uid="{00000000-0005-0000-0000-00004A350000}"/>
    <cellStyle name="Normal 599 3 6 5" xfId="7156" xr:uid="{00000000-0005-0000-0000-00004B350000}"/>
    <cellStyle name="Normal 599 3 6 5 2" xfId="18127" xr:uid="{00000000-0005-0000-0000-00004C350000}"/>
    <cellStyle name="Normal 599 3 6 6" xfId="18128" xr:uid="{00000000-0005-0000-0000-00004D350000}"/>
    <cellStyle name="Normal 599 3 7" xfId="7157" xr:uid="{00000000-0005-0000-0000-00004E350000}"/>
    <cellStyle name="Normal 599 3 7 2" xfId="7158" xr:uid="{00000000-0005-0000-0000-00004F350000}"/>
    <cellStyle name="Normal 599 3 7 2 2" xfId="18129" xr:uid="{00000000-0005-0000-0000-000050350000}"/>
    <cellStyle name="Normal 599 3 7 3" xfId="7159" xr:uid="{00000000-0005-0000-0000-000051350000}"/>
    <cellStyle name="Normal 599 3 7 3 2" xfId="18130" xr:uid="{00000000-0005-0000-0000-000052350000}"/>
    <cellStyle name="Normal 599 3 7 4" xfId="18131" xr:uid="{00000000-0005-0000-0000-000053350000}"/>
    <cellStyle name="Normal 599 3 8" xfId="7160" xr:uid="{00000000-0005-0000-0000-000054350000}"/>
    <cellStyle name="Normal 599 3 8 2" xfId="7161" xr:uid="{00000000-0005-0000-0000-000055350000}"/>
    <cellStyle name="Normal 599 3 8 2 2" xfId="18132" xr:uid="{00000000-0005-0000-0000-000056350000}"/>
    <cellStyle name="Normal 599 3 8 3" xfId="7162" xr:uid="{00000000-0005-0000-0000-000057350000}"/>
    <cellStyle name="Normal 599 3 8 3 2" xfId="18133" xr:uid="{00000000-0005-0000-0000-000058350000}"/>
    <cellStyle name="Normal 599 3 8 4" xfId="18134" xr:uid="{00000000-0005-0000-0000-000059350000}"/>
    <cellStyle name="Normal 599 3 9" xfId="7163" xr:uid="{00000000-0005-0000-0000-00005A350000}"/>
    <cellStyle name="Normal 599 3 9 2" xfId="18135" xr:uid="{00000000-0005-0000-0000-00005B350000}"/>
    <cellStyle name="Normal 599 4" xfId="7164" xr:uid="{00000000-0005-0000-0000-00005C350000}"/>
    <cellStyle name="Normal 599 4 10" xfId="18136" xr:uid="{00000000-0005-0000-0000-00005D350000}"/>
    <cellStyle name="Normal 599 4 2" xfId="7165" xr:uid="{00000000-0005-0000-0000-00005E350000}"/>
    <cellStyle name="Normal 599 4 2 2" xfId="7166" xr:uid="{00000000-0005-0000-0000-00005F350000}"/>
    <cellStyle name="Normal 599 4 2 2 2" xfId="7167" xr:uid="{00000000-0005-0000-0000-000060350000}"/>
    <cellStyle name="Normal 599 4 2 2 2 2" xfId="7168" xr:uid="{00000000-0005-0000-0000-000061350000}"/>
    <cellStyle name="Normal 599 4 2 2 2 2 2" xfId="18137" xr:uid="{00000000-0005-0000-0000-000062350000}"/>
    <cellStyle name="Normal 599 4 2 2 2 3" xfId="7169" xr:uid="{00000000-0005-0000-0000-000063350000}"/>
    <cellStyle name="Normal 599 4 2 2 2 3 2" xfId="18138" xr:uid="{00000000-0005-0000-0000-000064350000}"/>
    <cellStyle name="Normal 599 4 2 2 2 4" xfId="18139" xr:uid="{00000000-0005-0000-0000-000065350000}"/>
    <cellStyle name="Normal 599 4 2 2 3" xfId="7170" xr:uid="{00000000-0005-0000-0000-000066350000}"/>
    <cellStyle name="Normal 599 4 2 2 3 2" xfId="7171" xr:uid="{00000000-0005-0000-0000-000067350000}"/>
    <cellStyle name="Normal 599 4 2 2 3 2 2" xfId="18140" xr:uid="{00000000-0005-0000-0000-000068350000}"/>
    <cellStyle name="Normal 599 4 2 2 3 3" xfId="7172" xr:uid="{00000000-0005-0000-0000-000069350000}"/>
    <cellStyle name="Normal 599 4 2 2 3 3 2" xfId="18141" xr:uid="{00000000-0005-0000-0000-00006A350000}"/>
    <cellStyle name="Normal 599 4 2 2 3 4" xfId="18142" xr:uid="{00000000-0005-0000-0000-00006B350000}"/>
    <cellStyle name="Normal 599 4 2 2 4" xfId="7173" xr:uid="{00000000-0005-0000-0000-00006C350000}"/>
    <cellStyle name="Normal 599 4 2 2 4 2" xfId="18143" xr:uid="{00000000-0005-0000-0000-00006D350000}"/>
    <cellStyle name="Normal 599 4 2 2 5" xfId="7174" xr:uid="{00000000-0005-0000-0000-00006E350000}"/>
    <cellStyle name="Normal 599 4 2 2 5 2" xfId="18144" xr:uid="{00000000-0005-0000-0000-00006F350000}"/>
    <cellStyle name="Normal 599 4 2 2 6" xfId="18145" xr:uid="{00000000-0005-0000-0000-000070350000}"/>
    <cellStyle name="Normal 599 4 2 3" xfId="7175" xr:uid="{00000000-0005-0000-0000-000071350000}"/>
    <cellStyle name="Normal 599 4 2 3 2" xfId="7176" xr:uid="{00000000-0005-0000-0000-000072350000}"/>
    <cellStyle name="Normal 599 4 2 3 2 2" xfId="7177" xr:uid="{00000000-0005-0000-0000-000073350000}"/>
    <cellStyle name="Normal 599 4 2 3 2 2 2" xfId="18146" xr:uid="{00000000-0005-0000-0000-000074350000}"/>
    <cellStyle name="Normal 599 4 2 3 2 3" xfId="7178" xr:uid="{00000000-0005-0000-0000-000075350000}"/>
    <cellStyle name="Normal 599 4 2 3 2 3 2" xfId="18147" xr:uid="{00000000-0005-0000-0000-000076350000}"/>
    <cellStyle name="Normal 599 4 2 3 2 4" xfId="18148" xr:uid="{00000000-0005-0000-0000-000077350000}"/>
    <cellStyle name="Normal 599 4 2 3 3" xfId="7179" xr:uid="{00000000-0005-0000-0000-000078350000}"/>
    <cellStyle name="Normal 599 4 2 3 3 2" xfId="7180" xr:uid="{00000000-0005-0000-0000-000079350000}"/>
    <cellStyle name="Normal 599 4 2 3 3 2 2" xfId="18149" xr:uid="{00000000-0005-0000-0000-00007A350000}"/>
    <cellStyle name="Normal 599 4 2 3 3 3" xfId="7181" xr:uid="{00000000-0005-0000-0000-00007B350000}"/>
    <cellStyle name="Normal 599 4 2 3 3 3 2" xfId="18150" xr:uid="{00000000-0005-0000-0000-00007C350000}"/>
    <cellStyle name="Normal 599 4 2 3 3 4" xfId="18151" xr:uid="{00000000-0005-0000-0000-00007D350000}"/>
    <cellStyle name="Normal 599 4 2 3 4" xfId="7182" xr:uid="{00000000-0005-0000-0000-00007E350000}"/>
    <cellStyle name="Normal 599 4 2 3 4 2" xfId="18152" xr:uid="{00000000-0005-0000-0000-00007F350000}"/>
    <cellStyle name="Normal 599 4 2 3 5" xfId="7183" xr:uid="{00000000-0005-0000-0000-000080350000}"/>
    <cellStyle name="Normal 599 4 2 3 5 2" xfId="18153" xr:uid="{00000000-0005-0000-0000-000081350000}"/>
    <cellStyle name="Normal 599 4 2 3 6" xfId="18154" xr:uid="{00000000-0005-0000-0000-000082350000}"/>
    <cellStyle name="Normal 599 4 2 4" xfId="7184" xr:uid="{00000000-0005-0000-0000-000083350000}"/>
    <cellStyle name="Normal 599 4 2 4 2" xfId="7185" xr:uid="{00000000-0005-0000-0000-000084350000}"/>
    <cellStyle name="Normal 599 4 2 4 2 2" xfId="18155" xr:uid="{00000000-0005-0000-0000-000085350000}"/>
    <cellStyle name="Normal 599 4 2 4 3" xfId="7186" xr:uid="{00000000-0005-0000-0000-000086350000}"/>
    <cellStyle name="Normal 599 4 2 4 3 2" xfId="18156" xr:uid="{00000000-0005-0000-0000-000087350000}"/>
    <cellStyle name="Normal 599 4 2 4 4" xfId="18157" xr:uid="{00000000-0005-0000-0000-000088350000}"/>
    <cellStyle name="Normal 599 4 2 5" xfId="7187" xr:uid="{00000000-0005-0000-0000-000089350000}"/>
    <cellStyle name="Normal 599 4 2 5 2" xfId="7188" xr:uid="{00000000-0005-0000-0000-00008A350000}"/>
    <cellStyle name="Normal 599 4 2 5 2 2" xfId="18158" xr:uid="{00000000-0005-0000-0000-00008B350000}"/>
    <cellStyle name="Normal 599 4 2 5 3" xfId="7189" xr:uid="{00000000-0005-0000-0000-00008C350000}"/>
    <cellStyle name="Normal 599 4 2 5 3 2" xfId="18159" xr:uid="{00000000-0005-0000-0000-00008D350000}"/>
    <cellStyle name="Normal 599 4 2 5 4" xfId="18160" xr:uid="{00000000-0005-0000-0000-00008E350000}"/>
    <cellStyle name="Normal 599 4 2 6" xfId="7190" xr:uid="{00000000-0005-0000-0000-00008F350000}"/>
    <cellStyle name="Normal 599 4 2 6 2" xfId="18161" xr:uid="{00000000-0005-0000-0000-000090350000}"/>
    <cellStyle name="Normal 599 4 2 7" xfId="7191" xr:uid="{00000000-0005-0000-0000-000091350000}"/>
    <cellStyle name="Normal 599 4 2 7 2" xfId="18162" xr:uid="{00000000-0005-0000-0000-000092350000}"/>
    <cellStyle name="Normal 599 4 2 8" xfId="18163" xr:uid="{00000000-0005-0000-0000-000093350000}"/>
    <cellStyle name="Normal 599 4 3" xfId="7192" xr:uid="{00000000-0005-0000-0000-000094350000}"/>
    <cellStyle name="Normal 599 4 3 2" xfId="7193" xr:uid="{00000000-0005-0000-0000-000095350000}"/>
    <cellStyle name="Normal 599 4 3 2 2" xfId="7194" xr:uid="{00000000-0005-0000-0000-000096350000}"/>
    <cellStyle name="Normal 599 4 3 2 2 2" xfId="7195" xr:uid="{00000000-0005-0000-0000-000097350000}"/>
    <cellStyle name="Normal 599 4 3 2 2 2 2" xfId="18164" xr:uid="{00000000-0005-0000-0000-000098350000}"/>
    <cellStyle name="Normal 599 4 3 2 2 3" xfId="7196" xr:uid="{00000000-0005-0000-0000-000099350000}"/>
    <cellStyle name="Normal 599 4 3 2 2 3 2" xfId="18165" xr:uid="{00000000-0005-0000-0000-00009A350000}"/>
    <cellStyle name="Normal 599 4 3 2 2 4" xfId="18166" xr:uid="{00000000-0005-0000-0000-00009B350000}"/>
    <cellStyle name="Normal 599 4 3 2 3" xfId="7197" xr:uid="{00000000-0005-0000-0000-00009C350000}"/>
    <cellStyle name="Normal 599 4 3 2 3 2" xfId="7198" xr:uid="{00000000-0005-0000-0000-00009D350000}"/>
    <cellStyle name="Normal 599 4 3 2 3 2 2" xfId="18167" xr:uid="{00000000-0005-0000-0000-00009E350000}"/>
    <cellStyle name="Normal 599 4 3 2 3 3" xfId="7199" xr:uid="{00000000-0005-0000-0000-00009F350000}"/>
    <cellStyle name="Normal 599 4 3 2 3 3 2" xfId="18168" xr:uid="{00000000-0005-0000-0000-0000A0350000}"/>
    <cellStyle name="Normal 599 4 3 2 3 4" xfId="18169" xr:uid="{00000000-0005-0000-0000-0000A1350000}"/>
    <cellStyle name="Normal 599 4 3 2 4" xfId="7200" xr:uid="{00000000-0005-0000-0000-0000A2350000}"/>
    <cellStyle name="Normal 599 4 3 2 4 2" xfId="18170" xr:uid="{00000000-0005-0000-0000-0000A3350000}"/>
    <cellStyle name="Normal 599 4 3 2 5" xfId="7201" xr:uid="{00000000-0005-0000-0000-0000A4350000}"/>
    <cellStyle name="Normal 599 4 3 2 5 2" xfId="18171" xr:uid="{00000000-0005-0000-0000-0000A5350000}"/>
    <cellStyle name="Normal 599 4 3 2 6" xfId="18172" xr:uid="{00000000-0005-0000-0000-0000A6350000}"/>
    <cellStyle name="Normal 599 4 3 3" xfId="7202" xr:uid="{00000000-0005-0000-0000-0000A7350000}"/>
    <cellStyle name="Normal 599 4 3 3 2" xfId="7203" xr:uid="{00000000-0005-0000-0000-0000A8350000}"/>
    <cellStyle name="Normal 599 4 3 3 2 2" xfId="18173" xr:uid="{00000000-0005-0000-0000-0000A9350000}"/>
    <cellStyle name="Normal 599 4 3 3 3" xfId="7204" xr:uid="{00000000-0005-0000-0000-0000AA350000}"/>
    <cellStyle name="Normal 599 4 3 3 3 2" xfId="18174" xr:uid="{00000000-0005-0000-0000-0000AB350000}"/>
    <cellStyle name="Normal 599 4 3 3 4" xfId="18175" xr:uid="{00000000-0005-0000-0000-0000AC350000}"/>
    <cellStyle name="Normal 599 4 3 4" xfId="7205" xr:uid="{00000000-0005-0000-0000-0000AD350000}"/>
    <cellStyle name="Normal 599 4 3 4 2" xfId="7206" xr:uid="{00000000-0005-0000-0000-0000AE350000}"/>
    <cellStyle name="Normal 599 4 3 4 2 2" xfId="18176" xr:uid="{00000000-0005-0000-0000-0000AF350000}"/>
    <cellStyle name="Normal 599 4 3 4 3" xfId="7207" xr:uid="{00000000-0005-0000-0000-0000B0350000}"/>
    <cellStyle name="Normal 599 4 3 4 3 2" xfId="18177" xr:uid="{00000000-0005-0000-0000-0000B1350000}"/>
    <cellStyle name="Normal 599 4 3 4 4" xfId="18178" xr:uid="{00000000-0005-0000-0000-0000B2350000}"/>
    <cellStyle name="Normal 599 4 3 5" xfId="7208" xr:uid="{00000000-0005-0000-0000-0000B3350000}"/>
    <cellStyle name="Normal 599 4 3 5 2" xfId="18179" xr:uid="{00000000-0005-0000-0000-0000B4350000}"/>
    <cellStyle name="Normal 599 4 3 6" xfId="7209" xr:uid="{00000000-0005-0000-0000-0000B5350000}"/>
    <cellStyle name="Normal 599 4 3 6 2" xfId="18180" xr:uid="{00000000-0005-0000-0000-0000B6350000}"/>
    <cellStyle name="Normal 599 4 3 7" xfId="18181" xr:uid="{00000000-0005-0000-0000-0000B7350000}"/>
    <cellStyle name="Normal 599 4 4" xfId="7210" xr:uid="{00000000-0005-0000-0000-0000B8350000}"/>
    <cellStyle name="Normal 599 4 4 2" xfId="7211" xr:uid="{00000000-0005-0000-0000-0000B9350000}"/>
    <cellStyle name="Normal 599 4 4 2 2" xfId="7212" xr:uid="{00000000-0005-0000-0000-0000BA350000}"/>
    <cellStyle name="Normal 599 4 4 2 2 2" xfId="18182" xr:uid="{00000000-0005-0000-0000-0000BB350000}"/>
    <cellStyle name="Normal 599 4 4 2 3" xfId="7213" xr:uid="{00000000-0005-0000-0000-0000BC350000}"/>
    <cellStyle name="Normal 599 4 4 2 3 2" xfId="18183" xr:uid="{00000000-0005-0000-0000-0000BD350000}"/>
    <cellStyle name="Normal 599 4 4 2 4" xfId="18184" xr:uid="{00000000-0005-0000-0000-0000BE350000}"/>
    <cellStyle name="Normal 599 4 4 3" xfId="7214" xr:uid="{00000000-0005-0000-0000-0000BF350000}"/>
    <cellStyle name="Normal 599 4 4 3 2" xfId="7215" xr:uid="{00000000-0005-0000-0000-0000C0350000}"/>
    <cellStyle name="Normal 599 4 4 3 2 2" xfId="18185" xr:uid="{00000000-0005-0000-0000-0000C1350000}"/>
    <cellStyle name="Normal 599 4 4 3 3" xfId="7216" xr:uid="{00000000-0005-0000-0000-0000C2350000}"/>
    <cellStyle name="Normal 599 4 4 3 3 2" xfId="18186" xr:uid="{00000000-0005-0000-0000-0000C3350000}"/>
    <cellStyle name="Normal 599 4 4 3 4" xfId="18187" xr:uid="{00000000-0005-0000-0000-0000C4350000}"/>
    <cellStyle name="Normal 599 4 4 4" xfId="7217" xr:uid="{00000000-0005-0000-0000-0000C5350000}"/>
    <cellStyle name="Normal 599 4 4 4 2" xfId="18188" xr:uid="{00000000-0005-0000-0000-0000C6350000}"/>
    <cellStyle name="Normal 599 4 4 5" xfId="7218" xr:uid="{00000000-0005-0000-0000-0000C7350000}"/>
    <cellStyle name="Normal 599 4 4 5 2" xfId="18189" xr:uid="{00000000-0005-0000-0000-0000C8350000}"/>
    <cellStyle name="Normal 599 4 4 6" xfId="18190" xr:uid="{00000000-0005-0000-0000-0000C9350000}"/>
    <cellStyle name="Normal 599 4 5" xfId="7219" xr:uid="{00000000-0005-0000-0000-0000CA350000}"/>
    <cellStyle name="Normal 599 4 5 2" xfId="7220" xr:uid="{00000000-0005-0000-0000-0000CB350000}"/>
    <cellStyle name="Normal 599 4 5 2 2" xfId="7221" xr:uid="{00000000-0005-0000-0000-0000CC350000}"/>
    <cellStyle name="Normal 599 4 5 2 2 2" xfId="18191" xr:uid="{00000000-0005-0000-0000-0000CD350000}"/>
    <cellStyle name="Normal 599 4 5 2 3" xfId="7222" xr:uid="{00000000-0005-0000-0000-0000CE350000}"/>
    <cellStyle name="Normal 599 4 5 2 3 2" xfId="18192" xr:uid="{00000000-0005-0000-0000-0000CF350000}"/>
    <cellStyle name="Normal 599 4 5 2 4" xfId="18193" xr:uid="{00000000-0005-0000-0000-0000D0350000}"/>
    <cellStyle name="Normal 599 4 5 3" xfId="7223" xr:uid="{00000000-0005-0000-0000-0000D1350000}"/>
    <cellStyle name="Normal 599 4 5 3 2" xfId="7224" xr:uid="{00000000-0005-0000-0000-0000D2350000}"/>
    <cellStyle name="Normal 599 4 5 3 2 2" xfId="18194" xr:uid="{00000000-0005-0000-0000-0000D3350000}"/>
    <cellStyle name="Normal 599 4 5 3 3" xfId="7225" xr:uid="{00000000-0005-0000-0000-0000D4350000}"/>
    <cellStyle name="Normal 599 4 5 3 3 2" xfId="18195" xr:uid="{00000000-0005-0000-0000-0000D5350000}"/>
    <cellStyle name="Normal 599 4 5 3 4" xfId="18196" xr:uid="{00000000-0005-0000-0000-0000D6350000}"/>
    <cellStyle name="Normal 599 4 5 4" xfId="7226" xr:uid="{00000000-0005-0000-0000-0000D7350000}"/>
    <cellStyle name="Normal 599 4 5 4 2" xfId="18197" xr:uid="{00000000-0005-0000-0000-0000D8350000}"/>
    <cellStyle name="Normal 599 4 5 5" xfId="7227" xr:uid="{00000000-0005-0000-0000-0000D9350000}"/>
    <cellStyle name="Normal 599 4 5 5 2" xfId="18198" xr:uid="{00000000-0005-0000-0000-0000DA350000}"/>
    <cellStyle name="Normal 599 4 5 6" xfId="18199" xr:uid="{00000000-0005-0000-0000-0000DB350000}"/>
    <cellStyle name="Normal 599 4 6" xfId="7228" xr:uid="{00000000-0005-0000-0000-0000DC350000}"/>
    <cellStyle name="Normal 599 4 6 2" xfId="7229" xr:uid="{00000000-0005-0000-0000-0000DD350000}"/>
    <cellStyle name="Normal 599 4 6 2 2" xfId="18200" xr:uid="{00000000-0005-0000-0000-0000DE350000}"/>
    <cellStyle name="Normal 599 4 6 3" xfId="7230" xr:uid="{00000000-0005-0000-0000-0000DF350000}"/>
    <cellStyle name="Normal 599 4 6 3 2" xfId="18201" xr:uid="{00000000-0005-0000-0000-0000E0350000}"/>
    <cellStyle name="Normal 599 4 6 4" xfId="18202" xr:uid="{00000000-0005-0000-0000-0000E1350000}"/>
    <cellStyle name="Normal 599 4 7" xfId="7231" xr:uid="{00000000-0005-0000-0000-0000E2350000}"/>
    <cellStyle name="Normal 599 4 7 2" xfId="7232" xr:uid="{00000000-0005-0000-0000-0000E3350000}"/>
    <cellStyle name="Normal 599 4 7 2 2" xfId="18203" xr:uid="{00000000-0005-0000-0000-0000E4350000}"/>
    <cellStyle name="Normal 599 4 7 3" xfId="7233" xr:uid="{00000000-0005-0000-0000-0000E5350000}"/>
    <cellStyle name="Normal 599 4 7 3 2" xfId="18204" xr:uid="{00000000-0005-0000-0000-0000E6350000}"/>
    <cellStyle name="Normal 599 4 7 4" xfId="18205" xr:uid="{00000000-0005-0000-0000-0000E7350000}"/>
    <cellStyle name="Normal 599 4 8" xfId="7234" xr:uid="{00000000-0005-0000-0000-0000E8350000}"/>
    <cellStyle name="Normal 599 4 8 2" xfId="18206" xr:uid="{00000000-0005-0000-0000-0000E9350000}"/>
    <cellStyle name="Normal 599 4 9" xfId="7235" xr:uid="{00000000-0005-0000-0000-0000EA350000}"/>
    <cellStyle name="Normal 599 4 9 2" xfId="18207" xr:uid="{00000000-0005-0000-0000-0000EB350000}"/>
    <cellStyle name="Normal 599 5" xfId="7236" xr:uid="{00000000-0005-0000-0000-0000EC350000}"/>
    <cellStyle name="Normal 599 5 2" xfId="7237" xr:uid="{00000000-0005-0000-0000-0000ED350000}"/>
    <cellStyle name="Normal 599 5 2 2" xfId="7238" xr:uid="{00000000-0005-0000-0000-0000EE350000}"/>
    <cellStyle name="Normal 599 5 2 2 2" xfId="7239" xr:uid="{00000000-0005-0000-0000-0000EF350000}"/>
    <cellStyle name="Normal 599 5 2 2 2 2" xfId="18208" xr:uid="{00000000-0005-0000-0000-0000F0350000}"/>
    <cellStyle name="Normal 599 5 2 2 3" xfId="7240" xr:uid="{00000000-0005-0000-0000-0000F1350000}"/>
    <cellStyle name="Normal 599 5 2 2 3 2" xfId="18209" xr:uid="{00000000-0005-0000-0000-0000F2350000}"/>
    <cellStyle name="Normal 599 5 2 2 4" xfId="18210" xr:uid="{00000000-0005-0000-0000-0000F3350000}"/>
    <cellStyle name="Normal 599 5 2 3" xfId="7241" xr:uid="{00000000-0005-0000-0000-0000F4350000}"/>
    <cellStyle name="Normal 599 5 2 3 2" xfId="7242" xr:uid="{00000000-0005-0000-0000-0000F5350000}"/>
    <cellStyle name="Normal 599 5 2 3 2 2" xfId="18211" xr:uid="{00000000-0005-0000-0000-0000F6350000}"/>
    <cellStyle name="Normal 599 5 2 3 3" xfId="7243" xr:uid="{00000000-0005-0000-0000-0000F7350000}"/>
    <cellStyle name="Normal 599 5 2 3 3 2" xfId="18212" xr:uid="{00000000-0005-0000-0000-0000F8350000}"/>
    <cellStyle name="Normal 599 5 2 3 4" xfId="18213" xr:uid="{00000000-0005-0000-0000-0000F9350000}"/>
    <cellStyle name="Normal 599 5 2 4" xfId="7244" xr:uid="{00000000-0005-0000-0000-0000FA350000}"/>
    <cellStyle name="Normal 599 5 2 4 2" xfId="18214" xr:uid="{00000000-0005-0000-0000-0000FB350000}"/>
    <cellStyle name="Normal 599 5 2 5" xfId="7245" xr:uid="{00000000-0005-0000-0000-0000FC350000}"/>
    <cellStyle name="Normal 599 5 2 5 2" xfId="18215" xr:uid="{00000000-0005-0000-0000-0000FD350000}"/>
    <cellStyle name="Normal 599 5 2 6" xfId="18216" xr:uid="{00000000-0005-0000-0000-0000FE350000}"/>
    <cellStyle name="Normal 599 5 3" xfId="7246" xr:uid="{00000000-0005-0000-0000-0000FF350000}"/>
    <cellStyle name="Normal 599 5 3 2" xfId="7247" xr:uid="{00000000-0005-0000-0000-000000360000}"/>
    <cellStyle name="Normal 599 5 3 2 2" xfId="7248" xr:uid="{00000000-0005-0000-0000-000001360000}"/>
    <cellStyle name="Normal 599 5 3 2 2 2" xfId="18217" xr:uid="{00000000-0005-0000-0000-000002360000}"/>
    <cellStyle name="Normal 599 5 3 2 3" xfId="7249" xr:uid="{00000000-0005-0000-0000-000003360000}"/>
    <cellStyle name="Normal 599 5 3 2 3 2" xfId="18218" xr:uid="{00000000-0005-0000-0000-000004360000}"/>
    <cellStyle name="Normal 599 5 3 2 4" xfId="18219" xr:uid="{00000000-0005-0000-0000-000005360000}"/>
    <cellStyle name="Normal 599 5 3 3" xfId="7250" xr:uid="{00000000-0005-0000-0000-000006360000}"/>
    <cellStyle name="Normal 599 5 3 3 2" xfId="7251" xr:uid="{00000000-0005-0000-0000-000007360000}"/>
    <cellStyle name="Normal 599 5 3 3 2 2" xfId="18220" xr:uid="{00000000-0005-0000-0000-000008360000}"/>
    <cellStyle name="Normal 599 5 3 3 3" xfId="7252" xr:uid="{00000000-0005-0000-0000-000009360000}"/>
    <cellStyle name="Normal 599 5 3 3 3 2" xfId="18221" xr:uid="{00000000-0005-0000-0000-00000A360000}"/>
    <cellStyle name="Normal 599 5 3 3 4" xfId="18222" xr:uid="{00000000-0005-0000-0000-00000B360000}"/>
    <cellStyle name="Normal 599 5 3 4" xfId="7253" xr:uid="{00000000-0005-0000-0000-00000C360000}"/>
    <cellStyle name="Normal 599 5 3 4 2" xfId="18223" xr:uid="{00000000-0005-0000-0000-00000D360000}"/>
    <cellStyle name="Normal 599 5 3 5" xfId="7254" xr:uid="{00000000-0005-0000-0000-00000E360000}"/>
    <cellStyle name="Normal 599 5 3 5 2" xfId="18224" xr:uid="{00000000-0005-0000-0000-00000F360000}"/>
    <cellStyle name="Normal 599 5 3 6" xfId="18225" xr:uid="{00000000-0005-0000-0000-000010360000}"/>
    <cellStyle name="Normal 599 5 4" xfId="7255" xr:uid="{00000000-0005-0000-0000-000011360000}"/>
    <cellStyle name="Normal 599 5 4 2" xfId="7256" xr:uid="{00000000-0005-0000-0000-000012360000}"/>
    <cellStyle name="Normal 599 5 4 2 2" xfId="18226" xr:uid="{00000000-0005-0000-0000-000013360000}"/>
    <cellStyle name="Normal 599 5 4 3" xfId="7257" xr:uid="{00000000-0005-0000-0000-000014360000}"/>
    <cellStyle name="Normal 599 5 4 3 2" xfId="18227" xr:uid="{00000000-0005-0000-0000-000015360000}"/>
    <cellStyle name="Normal 599 5 4 4" xfId="18228" xr:uid="{00000000-0005-0000-0000-000016360000}"/>
    <cellStyle name="Normal 599 5 5" xfId="7258" xr:uid="{00000000-0005-0000-0000-000017360000}"/>
    <cellStyle name="Normal 599 5 5 2" xfId="7259" xr:uid="{00000000-0005-0000-0000-000018360000}"/>
    <cellStyle name="Normal 599 5 5 2 2" xfId="18229" xr:uid="{00000000-0005-0000-0000-000019360000}"/>
    <cellStyle name="Normal 599 5 5 3" xfId="7260" xr:uid="{00000000-0005-0000-0000-00001A360000}"/>
    <cellStyle name="Normal 599 5 5 3 2" xfId="18230" xr:uid="{00000000-0005-0000-0000-00001B360000}"/>
    <cellStyle name="Normal 599 5 5 4" xfId="18231" xr:uid="{00000000-0005-0000-0000-00001C360000}"/>
    <cellStyle name="Normal 599 5 6" xfId="7261" xr:uid="{00000000-0005-0000-0000-00001D360000}"/>
    <cellStyle name="Normal 599 5 6 2" xfId="18232" xr:uid="{00000000-0005-0000-0000-00001E360000}"/>
    <cellStyle name="Normal 599 5 7" xfId="7262" xr:uid="{00000000-0005-0000-0000-00001F360000}"/>
    <cellStyle name="Normal 599 5 7 2" xfId="18233" xr:uid="{00000000-0005-0000-0000-000020360000}"/>
    <cellStyle name="Normal 599 5 8" xfId="18234" xr:uid="{00000000-0005-0000-0000-000021360000}"/>
    <cellStyle name="Normal 599 6" xfId="7263" xr:uid="{00000000-0005-0000-0000-000022360000}"/>
    <cellStyle name="Normal 599 6 2" xfId="7264" xr:uid="{00000000-0005-0000-0000-000023360000}"/>
    <cellStyle name="Normal 599 6 2 2" xfId="7265" xr:uid="{00000000-0005-0000-0000-000024360000}"/>
    <cellStyle name="Normal 599 6 2 2 2" xfId="7266" xr:uid="{00000000-0005-0000-0000-000025360000}"/>
    <cellStyle name="Normal 599 6 2 2 2 2" xfId="18235" xr:uid="{00000000-0005-0000-0000-000026360000}"/>
    <cellStyle name="Normal 599 6 2 2 3" xfId="7267" xr:uid="{00000000-0005-0000-0000-000027360000}"/>
    <cellStyle name="Normal 599 6 2 2 3 2" xfId="18236" xr:uid="{00000000-0005-0000-0000-000028360000}"/>
    <cellStyle name="Normal 599 6 2 2 4" xfId="18237" xr:uid="{00000000-0005-0000-0000-000029360000}"/>
    <cellStyle name="Normal 599 6 2 3" xfId="7268" xr:uid="{00000000-0005-0000-0000-00002A360000}"/>
    <cellStyle name="Normal 599 6 2 3 2" xfId="7269" xr:uid="{00000000-0005-0000-0000-00002B360000}"/>
    <cellStyle name="Normal 599 6 2 3 2 2" xfId="18238" xr:uid="{00000000-0005-0000-0000-00002C360000}"/>
    <cellStyle name="Normal 599 6 2 3 3" xfId="7270" xr:uid="{00000000-0005-0000-0000-00002D360000}"/>
    <cellStyle name="Normal 599 6 2 3 3 2" xfId="18239" xr:uid="{00000000-0005-0000-0000-00002E360000}"/>
    <cellStyle name="Normal 599 6 2 3 4" xfId="18240" xr:uid="{00000000-0005-0000-0000-00002F360000}"/>
    <cellStyle name="Normal 599 6 2 4" xfId="7271" xr:uid="{00000000-0005-0000-0000-000030360000}"/>
    <cellStyle name="Normal 599 6 2 4 2" xfId="18241" xr:uid="{00000000-0005-0000-0000-000031360000}"/>
    <cellStyle name="Normal 599 6 2 5" xfId="7272" xr:uid="{00000000-0005-0000-0000-000032360000}"/>
    <cellStyle name="Normal 599 6 2 5 2" xfId="18242" xr:uid="{00000000-0005-0000-0000-000033360000}"/>
    <cellStyle name="Normal 599 6 2 6" xfId="18243" xr:uid="{00000000-0005-0000-0000-000034360000}"/>
    <cellStyle name="Normal 599 6 3" xfId="7273" xr:uid="{00000000-0005-0000-0000-000035360000}"/>
    <cellStyle name="Normal 599 6 3 2" xfId="7274" xr:uid="{00000000-0005-0000-0000-000036360000}"/>
    <cellStyle name="Normal 599 6 3 2 2" xfId="18244" xr:uid="{00000000-0005-0000-0000-000037360000}"/>
    <cellStyle name="Normal 599 6 3 3" xfId="7275" xr:uid="{00000000-0005-0000-0000-000038360000}"/>
    <cellStyle name="Normal 599 6 3 3 2" xfId="18245" xr:uid="{00000000-0005-0000-0000-000039360000}"/>
    <cellStyle name="Normal 599 6 3 4" xfId="18246" xr:uid="{00000000-0005-0000-0000-00003A360000}"/>
    <cellStyle name="Normal 599 6 4" xfId="7276" xr:uid="{00000000-0005-0000-0000-00003B360000}"/>
    <cellStyle name="Normal 599 6 4 2" xfId="7277" xr:uid="{00000000-0005-0000-0000-00003C360000}"/>
    <cellStyle name="Normal 599 6 4 2 2" xfId="18247" xr:uid="{00000000-0005-0000-0000-00003D360000}"/>
    <cellStyle name="Normal 599 6 4 3" xfId="7278" xr:uid="{00000000-0005-0000-0000-00003E360000}"/>
    <cellStyle name="Normal 599 6 4 3 2" xfId="18248" xr:uid="{00000000-0005-0000-0000-00003F360000}"/>
    <cellStyle name="Normal 599 6 4 4" xfId="18249" xr:uid="{00000000-0005-0000-0000-000040360000}"/>
    <cellStyle name="Normal 599 6 5" xfId="7279" xr:uid="{00000000-0005-0000-0000-000041360000}"/>
    <cellStyle name="Normal 599 6 5 2" xfId="18250" xr:uid="{00000000-0005-0000-0000-000042360000}"/>
    <cellStyle name="Normal 599 6 6" xfId="7280" xr:uid="{00000000-0005-0000-0000-000043360000}"/>
    <cellStyle name="Normal 599 6 6 2" xfId="18251" xr:uid="{00000000-0005-0000-0000-000044360000}"/>
    <cellStyle name="Normal 599 6 7" xfId="18252" xr:uid="{00000000-0005-0000-0000-000045360000}"/>
    <cellStyle name="Normal 599 7" xfId="7281" xr:uid="{00000000-0005-0000-0000-000046360000}"/>
    <cellStyle name="Normal 599 7 2" xfId="7282" xr:uid="{00000000-0005-0000-0000-000047360000}"/>
    <cellStyle name="Normal 599 7 2 2" xfId="7283" xr:uid="{00000000-0005-0000-0000-000048360000}"/>
    <cellStyle name="Normal 599 7 2 2 2" xfId="18253" xr:uid="{00000000-0005-0000-0000-000049360000}"/>
    <cellStyle name="Normal 599 7 2 3" xfId="7284" xr:uid="{00000000-0005-0000-0000-00004A360000}"/>
    <cellStyle name="Normal 599 7 2 3 2" xfId="18254" xr:uid="{00000000-0005-0000-0000-00004B360000}"/>
    <cellStyle name="Normal 599 7 2 4" xfId="18255" xr:uid="{00000000-0005-0000-0000-00004C360000}"/>
    <cellStyle name="Normal 599 7 3" xfId="7285" xr:uid="{00000000-0005-0000-0000-00004D360000}"/>
    <cellStyle name="Normal 599 7 3 2" xfId="7286" xr:uid="{00000000-0005-0000-0000-00004E360000}"/>
    <cellStyle name="Normal 599 7 3 2 2" xfId="18256" xr:uid="{00000000-0005-0000-0000-00004F360000}"/>
    <cellStyle name="Normal 599 7 3 3" xfId="7287" xr:uid="{00000000-0005-0000-0000-000050360000}"/>
    <cellStyle name="Normal 599 7 3 3 2" xfId="18257" xr:uid="{00000000-0005-0000-0000-000051360000}"/>
    <cellStyle name="Normal 599 7 3 4" xfId="18258" xr:uid="{00000000-0005-0000-0000-000052360000}"/>
    <cellStyle name="Normal 599 7 4" xfId="7288" xr:uid="{00000000-0005-0000-0000-000053360000}"/>
    <cellStyle name="Normal 599 7 4 2" xfId="18259" xr:uid="{00000000-0005-0000-0000-000054360000}"/>
    <cellStyle name="Normal 599 7 5" xfId="7289" xr:uid="{00000000-0005-0000-0000-000055360000}"/>
    <cellStyle name="Normal 599 7 5 2" xfId="18260" xr:uid="{00000000-0005-0000-0000-000056360000}"/>
    <cellStyle name="Normal 599 7 6" xfId="18261" xr:uid="{00000000-0005-0000-0000-000057360000}"/>
    <cellStyle name="Normal 599 8" xfId="7290" xr:uid="{00000000-0005-0000-0000-000058360000}"/>
    <cellStyle name="Normal 599 8 2" xfId="7291" xr:uid="{00000000-0005-0000-0000-000059360000}"/>
    <cellStyle name="Normal 599 8 2 2" xfId="7292" xr:uid="{00000000-0005-0000-0000-00005A360000}"/>
    <cellStyle name="Normal 599 8 2 2 2" xfId="18262" xr:uid="{00000000-0005-0000-0000-00005B360000}"/>
    <cellStyle name="Normal 599 8 2 3" xfId="7293" xr:uid="{00000000-0005-0000-0000-00005C360000}"/>
    <cellStyle name="Normal 599 8 2 3 2" xfId="18263" xr:uid="{00000000-0005-0000-0000-00005D360000}"/>
    <cellStyle name="Normal 599 8 2 4" xfId="18264" xr:uid="{00000000-0005-0000-0000-00005E360000}"/>
    <cellStyle name="Normal 599 8 3" xfId="7294" xr:uid="{00000000-0005-0000-0000-00005F360000}"/>
    <cellStyle name="Normal 599 8 3 2" xfId="7295" xr:uid="{00000000-0005-0000-0000-000060360000}"/>
    <cellStyle name="Normal 599 8 3 2 2" xfId="18265" xr:uid="{00000000-0005-0000-0000-000061360000}"/>
    <cellStyle name="Normal 599 8 3 3" xfId="7296" xr:uid="{00000000-0005-0000-0000-000062360000}"/>
    <cellStyle name="Normal 599 8 3 3 2" xfId="18266" xr:uid="{00000000-0005-0000-0000-000063360000}"/>
    <cellStyle name="Normal 599 8 3 4" xfId="18267" xr:uid="{00000000-0005-0000-0000-000064360000}"/>
    <cellStyle name="Normal 599 8 4" xfId="7297" xr:uid="{00000000-0005-0000-0000-000065360000}"/>
    <cellStyle name="Normal 599 8 4 2" xfId="18268" xr:uid="{00000000-0005-0000-0000-000066360000}"/>
    <cellStyle name="Normal 599 8 5" xfId="7298" xr:uid="{00000000-0005-0000-0000-000067360000}"/>
    <cellStyle name="Normal 599 8 5 2" xfId="18269" xr:uid="{00000000-0005-0000-0000-000068360000}"/>
    <cellStyle name="Normal 599 8 6" xfId="18270" xr:uid="{00000000-0005-0000-0000-000069360000}"/>
    <cellStyle name="Normal 599 9" xfId="7299" xr:uid="{00000000-0005-0000-0000-00006A360000}"/>
    <cellStyle name="Normal 599 9 2" xfId="7300" xr:uid="{00000000-0005-0000-0000-00006B360000}"/>
    <cellStyle name="Normal 599 9 2 2" xfId="18271" xr:uid="{00000000-0005-0000-0000-00006C360000}"/>
    <cellStyle name="Normal 599 9 3" xfId="7301" xr:uid="{00000000-0005-0000-0000-00006D360000}"/>
    <cellStyle name="Normal 599 9 3 2" xfId="18272" xr:uid="{00000000-0005-0000-0000-00006E360000}"/>
    <cellStyle name="Normal 599 9 4" xfId="18273" xr:uid="{00000000-0005-0000-0000-00006F360000}"/>
    <cellStyle name="Normal 6" xfId="218" xr:uid="{00000000-0005-0000-0000-000070360000}"/>
    <cellStyle name="Normal 6 10" xfId="11392" xr:uid="{00000000-0005-0000-0000-000071360000}"/>
    <cellStyle name="Normal 6 11" xfId="11393" xr:uid="{00000000-0005-0000-0000-000072360000}"/>
    <cellStyle name="Normal 6 12" xfId="11394" xr:uid="{00000000-0005-0000-0000-000073360000}"/>
    <cellStyle name="Normal 6 13" xfId="11395" xr:uid="{00000000-0005-0000-0000-000074360000}"/>
    <cellStyle name="Normal 6 14" xfId="11396" xr:uid="{00000000-0005-0000-0000-000075360000}"/>
    <cellStyle name="Normal 6 15" xfId="11397" xr:uid="{00000000-0005-0000-0000-000076360000}"/>
    <cellStyle name="Normal 6 16" xfId="11398" xr:uid="{00000000-0005-0000-0000-000077360000}"/>
    <cellStyle name="Normal 6 17" xfId="11399" xr:uid="{00000000-0005-0000-0000-000078360000}"/>
    <cellStyle name="Normal 6 18" xfId="11400" xr:uid="{00000000-0005-0000-0000-000079360000}"/>
    <cellStyle name="Normal 6 19" xfId="11401" xr:uid="{00000000-0005-0000-0000-00007A360000}"/>
    <cellStyle name="Normal 6 2" xfId="219" xr:uid="{00000000-0005-0000-0000-00007B360000}"/>
    <cellStyle name="Normal 6 2 2" xfId="220" xr:uid="{00000000-0005-0000-0000-00007C360000}"/>
    <cellStyle name="Normal 6 2 2 2" xfId="12445" xr:uid="{00000000-0005-0000-0000-00007D360000}"/>
    <cellStyle name="Normal 6 2 3" xfId="7302" xr:uid="{00000000-0005-0000-0000-00007E360000}"/>
    <cellStyle name="Normal 6 2 4" xfId="12444" xr:uid="{00000000-0005-0000-0000-00007F360000}"/>
    <cellStyle name="Normal 6 20" xfId="11402" xr:uid="{00000000-0005-0000-0000-000080360000}"/>
    <cellStyle name="Normal 6 21" xfId="11403" xr:uid="{00000000-0005-0000-0000-000081360000}"/>
    <cellStyle name="Normal 6 22" xfId="11404" xr:uid="{00000000-0005-0000-0000-000082360000}"/>
    <cellStyle name="Normal 6 3" xfId="221" xr:uid="{00000000-0005-0000-0000-000083360000}"/>
    <cellStyle name="Normal 6 3 2" xfId="7303" xr:uid="{00000000-0005-0000-0000-000084360000}"/>
    <cellStyle name="Normal 6 3 2 2" xfId="12447" xr:uid="{00000000-0005-0000-0000-000085360000}"/>
    <cellStyle name="Normal 6 3 3" xfId="7304" xr:uid="{00000000-0005-0000-0000-000086360000}"/>
    <cellStyle name="Normal 6 3 4" xfId="12446" xr:uid="{00000000-0005-0000-0000-000087360000}"/>
    <cellStyle name="Normal 6 4" xfId="222" xr:uid="{00000000-0005-0000-0000-000088360000}"/>
    <cellStyle name="Normal 6 4 2" xfId="223" xr:uid="{00000000-0005-0000-0000-000089360000}"/>
    <cellStyle name="Normal 6 4 2 2" xfId="12449" xr:uid="{00000000-0005-0000-0000-00008A360000}"/>
    <cellStyle name="Normal 6 4 3" xfId="7305" xr:uid="{00000000-0005-0000-0000-00008B360000}"/>
    <cellStyle name="Normal 6 4 4" xfId="7306" xr:uid="{00000000-0005-0000-0000-00008C360000}"/>
    <cellStyle name="Normal 6 4 5" xfId="12448" xr:uid="{00000000-0005-0000-0000-00008D360000}"/>
    <cellStyle name="Normal 6 5" xfId="224" xr:uid="{00000000-0005-0000-0000-00008E360000}"/>
    <cellStyle name="Normal 6 5 2" xfId="11405" xr:uid="{00000000-0005-0000-0000-00008F360000}"/>
    <cellStyle name="Normal 6 6" xfId="225" xr:uid="{00000000-0005-0000-0000-000090360000}"/>
    <cellStyle name="Normal 6 6 2" xfId="11406" xr:uid="{00000000-0005-0000-0000-000091360000}"/>
    <cellStyle name="Normal 6 7" xfId="7307" xr:uid="{00000000-0005-0000-0000-000092360000}"/>
    <cellStyle name="Normal 6 7 2" xfId="12450" xr:uid="{00000000-0005-0000-0000-000093360000}"/>
    <cellStyle name="Normal 6 8" xfId="11407" xr:uid="{00000000-0005-0000-0000-000094360000}"/>
    <cellStyle name="Normal 6 9" xfId="11408" xr:uid="{00000000-0005-0000-0000-000095360000}"/>
    <cellStyle name="Normal 60" xfId="7308" xr:uid="{00000000-0005-0000-0000-000096360000}"/>
    <cellStyle name="Normal 60 10" xfId="11409" xr:uid="{00000000-0005-0000-0000-000097360000}"/>
    <cellStyle name="Normal 60 11" xfId="11410" xr:uid="{00000000-0005-0000-0000-000098360000}"/>
    <cellStyle name="Normal 60 12" xfId="11411" xr:uid="{00000000-0005-0000-0000-000099360000}"/>
    <cellStyle name="Normal 60 13" xfId="11412" xr:uid="{00000000-0005-0000-0000-00009A360000}"/>
    <cellStyle name="Normal 60 14" xfId="11413" xr:uid="{00000000-0005-0000-0000-00009B360000}"/>
    <cellStyle name="Normal 60 15" xfId="11414" xr:uid="{00000000-0005-0000-0000-00009C360000}"/>
    <cellStyle name="Normal 60 16" xfId="11415" xr:uid="{00000000-0005-0000-0000-00009D360000}"/>
    <cellStyle name="Normal 60 17" xfId="11416" xr:uid="{00000000-0005-0000-0000-00009E360000}"/>
    <cellStyle name="Normal 60 18" xfId="11417" xr:uid="{00000000-0005-0000-0000-00009F360000}"/>
    <cellStyle name="Normal 60 19" xfId="11418" xr:uid="{00000000-0005-0000-0000-0000A0360000}"/>
    <cellStyle name="Normal 60 2" xfId="7309" xr:uid="{00000000-0005-0000-0000-0000A1360000}"/>
    <cellStyle name="Normal 60 2 2" xfId="11419" xr:uid="{00000000-0005-0000-0000-0000A2360000}"/>
    <cellStyle name="Normal 60 20" xfId="11420" xr:uid="{00000000-0005-0000-0000-0000A3360000}"/>
    <cellStyle name="Normal 60 3" xfId="7310" xr:uid="{00000000-0005-0000-0000-0000A4360000}"/>
    <cellStyle name="Normal 60 3 2" xfId="11421" xr:uid="{00000000-0005-0000-0000-0000A5360000}"/>
    <cellStyle name="Normal 60 4" xfId="11422" xr:uid="{00000000-0005-0000-0000-0000A6360000}"/>
    <cellStyle name="Normal 60 4 2" xfId="11423" xr:uid="{00000000-0005-0000-0000-0000A7360000}"/>
    <cellStyle name="Normal 60 5" xfId="11424" xr:uid="{00000000-0005-0000-0000-0000A8360000}"/>
    <cellStyle name="Normal 60 5 2" xfId="11425" xr:uid="{00000000-0005-0000-0000-0000A9360000}"/>
    <cellStyle name="Normal 60 6" xfId="11426" xr:uid="{00000000-0005-0000-0000-0000AA360000}"/>
    <cellStyle name="Normal 60 6 2" xfId="11427" xr:uid="{00000000-0005-0000-0000-0000AB360000}"/>
    <cellStyle name="Normal 60 7" xfId="11428" xr:uid="{00000000-0005-0000-0000-0000AC360000}"/>
    <cellStyle name="Normal 60 8" xfId="11429" xr:uid="{00000000-0005-0000-0000-0000AD360000}"/>
    <cellStyle name="Normal 60 9" xfId="11430" xr:uid="{00000000-0005-0000-0000-0000AE360000}"/>
    <cellStyle name="Normal 600" xfId="7311" xr:uid="{00000000-0005-0000-0000-0000AF360000}"/>
    <cellStyle name="Normal 601" xfId="7312" xr:uid="{00000000-0005-0000-0000-0000B0360000}"/>
    <cellStyle name="Normal 602" xfId="7313" xr:uid="{00000000-0005-0000-0000-0000B1360000}"/>
    <cellStyle name="Normal 602 2" xfId="10601" xr:uid="{00000000-0005-0000-0000-0000B2360000}"/>
    <cellStyle name="Normal 602 2 2" xfId="18274" xr:uid="{00000000-0005-0000-0000-0000B3360000}"/>
    <cellStyle name="Normal 603" xfId="7314" xr:uid="{00000000-0005-0000-0000-0000B4360000}"/>
    <cellStyle name="Normal 604" xfId="7315" xr:uid="{00000000-0005-0000-0000-0000B5360000}"/>
    <cellStyle name="Normal 605" xfId="7316" xr:uid="{00000000-0005-0000-0000-0000B6360000}"/>
    <cellStyle name="Normal 606" xfId="7317" xr:uid="{00000000-0005-0000-0000-0000B7360000}"/>
    <cellStyle name="Normal 607" xfId="7318" xr:uid="{00000000-0005-0000-0000-0000B8360000}"/>
    <cellStyle name="Normal 608" xfId="7319" xr:uid="{00000000-0005-0000-0000-0000B9360000}"/>
    <cellStyle name="Normal 609" xfId="7320" xr:uid="{00000000-0005-0000-0000-0000BA360000}"/>
    <cellStyle name="Normal 61" xfId="7321" xr:uid="{00000000-0005-0000-0000-0000BB360000}"/>
    <cellStyle name="Normal 61 10" xfId="11431" xr:uid="{00000000-0005-0000-0000-0000BC360000}"/>
    <cellStyle name="Normal 61 11" xfId="11432" xr:uid="{00000000-0005-0000-0000-0000BD360000}"/>
    <cellStyle name="Normal 61 12" xfId="11433" xr:uid="{00000000-0005-0000-0000-0000BE360000}"/>
    <cellStyle name="Normal 61 13" xfId="11434" xr:uid="{00000000-0005-0000-0000-0000BF360000}"/>
    <cellStyle name="Normal 61 14" xfId="11435" xr:uid="{00000000-0005-0000-0000-0000C0360000}"/>
    <cellStyle name="Normal 61 15" xfId="11436" xr:uid="{00000000-0005-0000-0000-0000C1360000}"/>
    <cellStyle name="Normal 61 16" xfId="11437" xr:uid="{00000000-0005-0000-0000-0000C2360000}"/>
    <cellStyle name="Normal 61 17" xfId="11438" xr:uid="{00000000-0005-0000-0000-0000C3360000}"/>
    <cellStyle name="Normal 61 18" xfId="11439" xr:uid="{00000000-0005-0000-0000-0000C4360000}"/>
    <cellStyle name="Normal 61 19" xfId="11440" xr:uid="{00000000-0005-0000-0000-0000C5360000}"/>
    <cellStyle name="Normal 61 2" xfId="7322" xr:uid="{00000000-0005-0000-0000-0000C6360000}"/>
    <cellStyle name="Normal 61 2 2" xfId="11441" xr:uid="{00000000-0005-0000-0000-0000C7360000}"/>
    <cellStyle name="Normal 61 20" xfId="11442" xr:uid="{00000000-0005-0000-0000-0000C8360000}"/>
    <cellStyle name="Normal 61 3" xfId="7323" xr:uid="{00000000-0005-0000-0000-0000C9360000}"/>
    <cellStyle name="Normal 61 3 2" xfId="11443" xr:uid="{00000000-0005-0000-0000-0000CA360000}"/>
    <cellStyle name="Normal 61 4" xfId="11444" xr:uid="{00000000-0005-0000-0000-0000CB360000}"/>
    <cellStyle name="Normal 61 4 2" xfId="11445" xr:uid="{00000000-0005-0000-0000-0000CC360000}"/>
    <cellStyle name="Normal 61 5" xfId="11446" xr:uid="{00000000-0005-0000-0000-0000CD360000}"/>
    <cellStyle name="Normal 61 5 2" xfId="11447" xr:uid="{00000000-0005-0000-0000-0000CE360000}"/>
    <cellStyle name="Normal 61 6" xfId="11448" xr:uid="{00000000-0005-0000-0000-0000CF360000}"/>
    <cellStyle name="Normal 61 6 2" xfId="11449" xr:uid="{00000000-0005-0000-0000-0000D0360000}"/>
    <cellStyle name="Normal 61 7" xfId="11450" xr:uid="{00000000-0005-0000-0000-0000D1360000}"/>
    <cellStyle name="Normal 61 8" xfId="11451" xr:uid="{00000000-0005-0000-0000-0000D2360000}"/>
    <cellStyle name="Normal 61 9" xfId="11452" xr:uid="{00000000-0005-0000-0000-0000D3360000}"/>
    <cellStyle name="Normal 610" xfId="7324" xr:uid="{00000000-0005-0000-0000-0000D4360000}"/>
    <cellStyle name="Normal 611" xfId="10452" xr:uid="{00000000-0005-0000-0000-0000D5360000}"/>
    <cellStyle name="Normal 612" xfId="10453" xr:uid="{00000000-0005-0000-0000-0000D6360000}"/>
    <cellStyle name="Normal 612 2" xfId="10605" xr:uid="{00000000-0005-0000-0000-0000D7360000}"/>
    <cellStyle name="Normal 612 2 2" xfId="18275" xr:uid="{00000000-0005-0000-0000-0000D8360000}"/>
    <cellStyle name="Normal 612 3" xfId="18276" xr:uid="{00000000-0005-0000-0000-0000D9360000}"/>
    <cellStyle name="Normal 613" xfId="10455" xr:uid="{00000000-0005-0000-0000-0000DA360000}"/>
    <cellStyle name="Normal 613 2" xfId="18277" xr:uid="{00000000-0005-0000-0000-0000DB360000}"/>
    <cellStyle name="Normal 614" xfId="10457" xr:uid="{00000000-0005-0000-0000-0000DC360000}"/>
    <cellStyle name="Normal 614 2" xfId="10606" xr:uid="{00000000-0005-0000-0000-0000DD360000}"/>
    <cellStyle name="Normal 614 2 2" xfId="18278" xr:uid="{00000000-0005-0000-0000-0000DE360000}"/>
    <cellStyle name="Normal 614 3" xfId="18279" xr:uid="{00000000-0005-0000-0000-0000DF360000}"/>
    <cellStyle name="Normal 615" xfId="10459" xr:uid="{00000000-0005-0000-0000-0000E0360000}"/>
    <cellStyle name="Normal 615 2" xfId="18280" xr:uid="{00000000-0005-0000-0000-0000E1360000}"/>
    <cellStyle name="Normal 616" xfId="10461" xr:uid="{00000000-0005-0000-0000-0000E2360000}"/>
    <cellStyle name="Normal 616 2" xfId="10607" xr:uid="{00000000-0005-0000-0000-0000E3360000}"/>
    <cellStyle name="Normal 616 2 2" xfId="18281" xr:uid="{00000000-0005-0000-0000-0000E4360000}"/>
    <cellStyle name="Normal 616 3" xfId="18282" xr:uid="{00000000-0005-0000-0000-0000E5360000}"/>
    <cellStyle name="Normal 617" xfId="10463" xr:uid="{00000000-0005-0000-0000-0000E6360000}"/>
    <cellStyle name="Normal 617 2" xfId="10608" xr:uid="{00000000-0005-0000-0000-0000E7360000}"/>
    <cellStyle name="Normal 617 2 2" xfId="18283" xr:uid="{00000000-0005-0000-0000-0000E8360000}"/>
    <cellStyle name="Normal 617 3" xfId="18284" xr:uid="{00000000-0005-0000-0000-0000E9360000}"/>
    <cellStyle name="Normal 618" xfId="10465" xr:uid="{00000000-0005-0000-0000-0000EA360000}"/>
    <cellStyle name="Normal 618 2" xfId="10609" xr:uid="{00000000-0005-0000-0000-0000EB360000}"/>
    <cellStyle name="Normal 618 2 2" xfId="18285" xr:uid="{00000000-0005-0000-0000-0000EC360000}"/>
    <cellStyle name="Normal 618 3" xfId="18286" xr:uid="{00000000-0005-0000-0000-0000ED360000}"/>
    <cellStyle name="Normal 619" xfId="10467" xr:uid="{00000000-0005-0000-0000-0000EE360000}"/>
    <cellStyle name="Normal 619 2" xfId="18287" xr:uid="{00000000-0005-0000-0000-0000EF360000}"/>
    <cellStyle name="Normal 62" xfId="7325" xr:uid="{00000000-0005-0000-0000-0000F0360000}"/>
    <cellStyle name="Normal 62 10" xfId="11453" xr:uid="{00000000-0005-0000-0000-0000F1360000}"/>
    <cellStyle name="Normal 62 11" xfId="11454" xr:uid="{00000000-0005-0000-0000-0000F2360000}"/>
    <cellStyle name="Normal 62 12" xfId="11455" xr:uid="{00000000-0005-0000-0000-0000F3360000}"/>
    <cellStyle name="Normal 62 13" xfId="11456" xr:uid="{00000000-0005-0000-0000-0000F4360000}"/>
    <cellStyle name="Normal 62 14" xfId="11457" xr:uid="{00000000-0005-0000-0000-0000F5360000}"/>
    <cellStyle name="Normal 62 15" xfId="11458" xr:uid="{00000000-0005-0000-0000-0000F6360000}"/>
    <cellStyle name="Normal 62 16" xfId="11459" xr:uid="{00000000-0005-0000-0000-0000F7360000}"/>
    <cellStyle name="Normal 62 17" xfId="11460" xr:uid="{00000000-0005-0000-0000-0000F8360000}"/>
    <cellStyle name="Normal 62 18" xfId="11461" xr:uid="{00000000-0005-0000-0000-0000F9360000}"/>
    <cellStyle name="Normal 62 19" xfId="11462" xr:uid="{00000000-0005-0000-0000-0000FA360000}"/>
    <cellStyle name="Normal 62 2" xfId="7326" xr:uid="{00000000-0005-0000-0000-0000FB360000}"/>
    <cellStyle name="Normal 62 2 2" xfId="11463" xr:uid="{00000000-0005-0000-0000-0000FC360000}"/>
    <cellStyle name="Normal 62 20" xfId="11464" xr:uid="{00000000-0005-0000-0000-0000FD360000}"/>
    <cellStyle name="Normal 62 3" xfId="7327" xr:uid="{00000000-0005-0000-0000-0000FE360000}"/>
    <cellStyle name="Normal 62 3 2" xfId="11465" xr:uid="{00000000-0005-0000-0000-0000FF360000}"/>
    <cellStyle name="Normal 62 4" xfId="11466" xr:uid="{00000000-0005-0000-0000-000000370000}"/>
    <cellStyle name="Normal 62 4 2" xfId="11467" xr:uid="{00000000-0005-0000-0000-000001370000}"/>
    <cellStyle name="Normal 62 5" xfId="11468" xr:uid="{00000000-0005-0000-0000-000002370000}"/>
    <cellStyle name="Normal 62 5 2" xfId="11469" xr:uid="{00000000-0005-0000-0000-000003370000}"/>
    <cellStyle name="Normal 62 6" xfId="11470" xr:uid="{00000000-0005-0000-0000-000004370000}"/>
    <cellStyle name="Normal 62 6 2" xfId="11471" xr:uid="{00000000-0005-0000-0000-000005370000}"/>
    <cellStyle name="Normal 62 7" xfId="11472" xr:uid="{00000000-0005-0000-0000-000006370000}"/>
    <cellStyle name="Normal 62 8" xfId="11473" xr:uid="{00000000-0005-0000-0000-000007370000}"/>
    <cellStyle name="Normal 62 9" xfId="11474" xr:uid="{00000000-0005-0000-0000-000008370000}"/>
    <cellStyle name="Normal 620" xfId="10511" xr:uid="{00000000-0005-0000-0000-000009370000}"/>
    <cellStyle name="Normal 620 2" xfId="18288" xr:uid="{00000000-0005-0000-0000-00000A370000}"/>
    <cellStyle name="Normal 621" xfId="10513" xr:uid="{00000000-0005-0000-0000-00000B370000}"/>
    <cellStyle name="Normal 621 2" xfId="10593" xr:uid="{00000000-0005-0000-0000-00000C370000}"/>
    <cellStyle name="Normal 621 3" xfId="18289" xr:uid="{00000000-0005-0000-0000-00000D370000}"/>
    <cellStyle name="Normal 622" xfId="10515" xr:uid="{00000000-0005-0000-0000-00000E370000}"/>
    <cellStyle name="Normal 622 2" xfId="18290" xr:uid="{00000000-0005-0000-0000-00000F370000}"/>
    <cellStyle name="Normal 623" xfId="10516" xr:uid="{00000000-0005-0000-0000-000010370000}"/>
    <cellStyle name="Normal 623 2" xfId="18291" xr:uid="{00000000-0005-0000-0000-000011370000}"/>
    <cellStyle name="Normal 624" xfId="10517" xr:uid="{00000000-0005-0000-0000-000012370000}"/>
    <cellStyle name="Normal 624 2" xfId="18292" xr:uid="{00000000-0005-0000-0000-000013370000}"/>
    <cellStyle name="Normal 625" xfId="10518" xr:uid="{00000000-0005-0000-0000-000014370000}"/>
    <cellStyle name="Normal 625 2" xfId="18293" xr:uid="{00000000-0005-0000-0000-000015370000}"/>
    <cellStyle name="Normal 626" xfId="10519" xr:uid="{00000000-0005-0000-0000-000016370000}"/>
    <cellStyle name="Normal 626 2" xfId="18294" xr:uid="{00000000-0005-0000-0000-000017370000}"/>
    <cellStyle name="Normal 627" xfId="10520" xr:uid="{00000000-0005-0000-0000-000018370000}"/>
    <cellStyle name="Normal 627 2" xfId="18295" xr:uid="{00000000-0005-0000-0000-000019370000}"/>
    <cellStyle name="Normal 628" xfId="10521" xr:uid="{00000000-0005-0000-0000-00001A370000}"/>
    <cellStyle name="Normal 628 2" xfId="18296" xr:uid="{00000000-0005-0000-0000-00001B370000}"/>
    <cellStyle name="Normal 629" xfId="10522" xr:uid="{00000000-0005-0000-0000-00001C370000}"/>
    <cellStyle name="Normal 629 2" xfId="18297" xr:uid="{00000000-0005-0000-0000-00001D370000}"/>
    <cellStyle name="Normal 63" xfId="7328" xr:uid="{00000000-0005-0000-0000-00001E370000}"/>
    <cellStyle name="Normal 63 10" xfId="11475" xr:uid="{00000000-0005-0000-0000-00001F370000}"/>
    <cellStyle name="Normal 63 11" xfId="11476" xr:uid="{00000000-0005-0000-0000-000020370000}"/>
    <cellStyle name="Normal 63 12" xfId="11477" xr:uid="{00000000-0005-0000-0000-000021370000}"/>
    <cellStyle name="Normal 63 13" xfId="11478" xr:uid="{00000000-0005-0000-0000-000022370000}"/>
    <cellStyle name="Normal 63 14" xfId="11479" xr:uid="{00000000-0005-0000-0000-000023370000}"/>
    <cellStyle name="Normal 63 15" xfId="11480" xr:uid="{00000000-0005-0000-0000-000024370000}"/>
    <cellStyle name="Normal 63 16" xfId="11481" xr:uid="{00000000-0005-0000-0000-000025370000}"/>
    <cellStyle name="Normal 63 17" xfId="11482" xr:uid="{00000000-0005-0000-0000-000026370000}"/>
    <cellStyle name="Normal 63 18" xfId="11483" xr:uid="{00000000-0005-0000-0000-000027370000}"/>
    <cellStyle name="Normal 63 19" xfId="11484" xr:uid="{00000000-0005-0000-0000-000028370000}"/>
    <cellStyle name="Normal 63 2" xfId="7329" xr:uid="{00000000-0005-0000-0000-000029370000}"/>
    <cellStyle name="Normal 63 2 2" xfId="11485" xr:uid="{00000000-0005-0000-0000-00002A370000}"/>
    <cellStyle name="Normal 63 20" xfId="11486" xr:uid="{00000000-0005-0000-0000-00002B370000}"/>
    <cellStyle name="Normal 63 3" xfId="7330" xr:uid="{00000000-0005-0000-0000-00002C370000}"/>
    <cellStyle name="Normal 63 3 2" xfId="11487" xr:uid="{00000000-0005-0000-0000-00002D370000}"/>
    <cellStyle name="Normal 63 4" xfId="11488" xr:uid="{00000000-0005-0000-0000-00002E370000}"/>
    <cellStyle name="Normal 63 4 2" xfId="11489" xr:uid="{00000000-0005-0000-0000-00002F370000}"/>
    <cellStyle name="Normal 63 5" xfId="11490" xr:uid="{00000000-0005-0000-0000-000030370000}"/>
    <cellStyle name="Normal 63 5 2" xfId="11491" xr:uid="{00000000-0005-0000-0000-000031370000}"/>
    <cellStyle name="Normal 63 6" xfId="11492" xr:uid="{00000000-0005-0000-0000-000032370000}"/>
    <cellStyle name="Normal 63 6 2" xfId="11493" xr:uid="{00000000-0005-0000-0000-000033370000}"/>
    <cellStyle name="Normal 63 7" xfId="11494" xr:uid="{00000000-0005-0000-0000-000034370000}"/>
    <cellStyle name="Normal 63 8" xfId="11495" xr:uid="{00000000-0005-0000-0000-000035370000}"/>
    <cellStyle name="Normal 63 9" xfId="11496" xr:uid="{00000000-0005-0000-0000-000036370000}"/>
    <cellStyle name="Normal 630" xfId="10523" xr:uid="{00000000-0005-0000-0000-000037370000}"/>
    <cellStyle name="Normal 630 2" xfId="18298" xr:uid="{00000000-0005-0000-0000-000038370000}"/>
    <cellStyle name="Normal 631" xfId="10469" xr:uid="{00000000-0005-0000-0000-000039370000}"/>
    <cellStyle name="Normal 631 2" xfId="18299" xr:uid="{00000000-0005-0000-0000-00003A370000}"/>
    <cellStyle name="Normal 632" xfId="10470" xr:uid="{00000000-0005-0000-0000-00003B370000}"/>
    <cellStyle name="Normal 632 2" xfId="18300" xr:uid="{00000000-0005-0000-0000-00003C370000}"/>
    <cellStyle name="Normal 633" xfId="10524" xr:uid="{00000000-0005-0000-0000-00003D370000}"/>
    <cellStyle name="Normal 633 2" xfId="18301" xr:uid="{00000000-0005-0000-0000-00003E370000}"/>
    <cellStyle name="Normal 634" xfId="10525" xr:uid="{00000000-0005-0000-0000-00003F370000}"/>
    <cellStyle name="Normal 634 2" xfId="18302" xr:uid="{00000000-0005-0000-0000-000040370000}"/>
    <cellStyle name="Normal 635" xfId="10526" xr:uid="{00000000-0005-0000-0000-000041370000}"/>
    <cellStyle name="Normal 635 2" xfId="18303" xr:uid="{00000000-0005-0000-0000-000042370000}"/>
    <cellStyle name="Normal 636" xfId="10527" xr:uid="{00000000-0005-0000-0000-000043370000}"/>
    <cellStyle name="Normal 636 2" xfId="18304" xr:uid="{00000000-0005-0000-0000-000044370000}"/>
    <cellStyle name="Normal 637" xfId="10528" xr:uid="{00000000-0005-0000-0000-000045370000}"/>
    <cellStyle name="Normal 637 2" xfId="18305" xr:uid="{00000000-0005-0000-0000-000046370000}"/>
    <cellStyle name="Normal 638" xfId="10529" xr:uid="{00000000-0005-0000-0000-000047370000}"/>
    <cellStyle name="Normal 638 2" xfId="18306" xr:uid="{00000000-0005-0000-0000-000048370000}"/>
    <cellStyle name="Normal 639" xfId="10530" xr:uid="{00000000-0005-0000-0000-000049370000}"/>
    <cellStyle name="Normal 639 2" xfId="18307" xr:uid="{00000000-0005-0000-0000-00004A370000}"/>
    <cellStyle name="Normal 64" xfId="7331" xr:uid="{00000000-0005-0000-0000-00004B370000}"/>
    <cellStyle name="Normal 64 10" xfId="11497" xr:uid="{00000000-0005-0000-0000-00004C370000}"/>
    <cellStyle name="Normal 64 11" xfId="11498" xr:uid="{00000000-0005-0000-0000-00004D370000}"/>
    <cellStyle name="Normal 64 12" xfId="11499" xr:uid="{00000000-0005-0000-0000-00004E370000}"/>
    <cellStyle name="Normal 64 13" xfId="11500" xr:uid="{00000000-0005-0000-0000-00004F370000}"/>
    <cellStyle name="Normal 64 14" xfId="11501" xr:uid="{00000000-0005-0000-0000-000050370000}"/>
    <cellStyle name="Normal 64 15" xfId="11502" xr:uid="{00000000-0005-0000-0000-000051370000}"/>
    <cellStyle name="Normal 64 16" xfId="11503" xr:uid="{00000000-0005-0000-0000-000052370000}"/>
    <cellStyle name="Normal 64 17" xfId="11504" xr:uid="{00000000-0005-0000-0000-000053370000}"/>
    <cellStyle name="Normal 64 18" xfId="11505" xr:uid="{00000000-0005-0000-0000-000054370000}"/>
    <cellStyle name="Normal 64 19" xfId="11506" xr:uid="{00000000-0005-0000-0000-000055370000}"/>
    <cellStyle name="Normal 64 2" xfId="7332" xr:uid="{00000000-0005-0000-0000-000056370000}"/>
    <cellStyle name="Normal 64 2 2" xfId="11507" xr:uid="{00000000-0005-0000-0000-000057370000}"/>
    <cellStyle name="Normal 64 20" xfId="11508" xr:uid="{00000000-0005-0000-0000-000058370000}"/>
    <cellStyle name="Normal 64 3" xfId="7333" xr:uid="{00000000-0005-0000-0000-000059370000}"/>
    <cellStyle name="Normal 64 3 2" xfId="11509" xr:uid="{00000000-0005-0000-0000-00005A370000}"/>
    <cellStyle name="Normal 64 4" xfId="11510" xr:uid="{00000000-0005-0000-0000-00005B370000}"/>
    <cellStyle name="Normal 64 4 2" xfId="11511" xr:uid="{00000000-0005-0000-0000-00005C370000}"/>
    <cellStyle name="Normal 64 5" xfId="11512" xr:uid="{00000000-0005-0000-0000-00005D370000}"/>
    <cellStyle name="Normal 64 5 2" xfId="11513" xr:uid="{00000000-0005-0000-0000-00005E370000}"/>
    <cellStyle name="Normal 64 6" xfId="11514" xr:uid="{00000000-0005-0000-0000-00005F370000}"/>
    <cellStyle name="Normal 64 6 2" xfId="11515" xr:uid="{00000000-0005-0000-0000-000060370000}"/>
    <cellStyle name="Normal 64 7" xfId="11516" xr:uid="{00000000-0005-0000-0000-000061370000}"/>
    <cellStyle name="Normal 64 8" xfId="11517" xr:uid="{00000000-0005-0000-0000-000062370000}"/>
    <cellStyle name="Normal 64 9" xfId="11518" xr:uid="{00000000-0005-0000-0000-000063370000}"/>
    <cellStyle name="Normal 640" xfId="10531" xr:uid="{00000000-0005-0000-0000-000064370000}"/>
    <cellStyle name="Normal 640 2" xfId="18308" xr:uid="{00000000-0005-0000-0000-000065370000}"/>
    <cellStyle name="Normal 641" xfId="10532" xr:uid="{00000000-0005-0000-0000-000066370000}"/>
    <cellStyle name="Normal 641 2" xfId="18309" xr:uid="{00000000-0005-0000-0000-000067370000}"/>
    <cellStyle name="Normal 642" xfId="10533" xr:uid="{00000000-0005-0000-0000-000068370000}"/>
    <cellStyle name="Normal 642 2" xfId="18310" xr:uid="{00000000-0005-0000-0000-000069370000}"/>
    <cellStyle name="Normal 643" xfId="10534" xr:uid="{00000000-0005-0000-0000-00006A370000}"/>
    <cellStyle name="Normal 643 2" xfId="18311" xr:uid="{00000000-0005-0000-0000-00006B370000}"/>
    <cellStyle name="Normal 644" xfId="10535" xr:uid="{00000000-0005-0000-0000-00006C370000}"/>
    <cellStyle name="Normal 644 2" xfId="18312" xr:uid="{00000000-0005-0000-0000-00006D370000}"/>
    <cellStyle name="Normal 645" xfId="10536" xr:uid="{00000000-0005-0000-0000-00006E370000}"/>
    <cellStyle name="Normal 645 2" xfId="18313" xr:uid="{00000000-0005-0000-0000-00006F370000}"/>
    <cellStyle name="Normal 646" xfId="10537" xr:uid="{00000000-0005-0000-0000-000070370000}"/>
    <cellStyle name="Normal 646 2" xfId="18314" xr:uid="{00000000-0005-0000-0000-000071370000}"/>
    <cellStyle name="Normal 647" xfId="10538" xr:uid="{00000000-0005-0000-0000-000072370000}"/>
    <cellStyle name="Normal 647 2" xfId="18315" xr:uid="{00000000-0005-0000-0000-000073370000}"/>
    <cellStyle name="Normal 648" xfId="10539" xr:uid="{00000000-0005-0000-0000-000074370000}"/>
    <cellStyle name="Normal 648 2" xfId="18316" xr:uid="{00000000-0005-0000-0000-000075370000}"/>
    <cellStyle name="Normal 649" xfId="10540" xr:uid="{00000000-0005-0000-0000-000076370000}"/>
    <cellStyle name="Normal 649 2" xfId="18317" xr:uid="{00000000-0005-0000-0000-000077370000}"/>
    <cellStyle name="Normal 65" xfId="7334" xr:uid="{00000000-0005-0000-0000-000078370000}"/>
    <cellStyle name="Normal 65 10" xfId="11519" xr:uid="{00000000-0005-0000-0000-000079370000}"/>
    <cellStyle name="Normal 65 11" xfId="11520" xr:uid="{00000000-0005-0000-0000-00007A370000}"/>
    <cellStyle name="Normal 65 12" xfId="11521" xr:uid="{00000000-0005-0000-0000-00007B370000}"/>
    <cellStyle name="Normal 65 13" xfId="11522" xr:uid="{00000000-0005-0000-0000-00007C370000}"/>
    <cellStyle name="Normal 65 14" xfId="11523" xr:uid="{00000000-0005-0000-0000-00007D370000}"/>
    <cellStyle name="Normal 65 15" xfId="11524" xr:uid="{00000000-0005-0000-0000-00007E370000}"/>
    <cellStyle name="Normal 65 16" xfId="11525" xr:uid="{00000000-0005-0000-0000-00007F370000}"/>
    <cellStyle name="Normal 65 17" xfId="11526" xr:uid="{00000000-0005-0000-0000-000080370000}"/>
    <cellStyle name="Normal 65 18" xfId="11527" xr:uid="{00000000-0005-0000-0000-000081370000}"/>
    <cellStyle name="Normal 65 19" xfId="11528" xr:uid="{00000000-0005-0000-0000-000082370000}"/>
    <cellStyle name="Normal 65 2" xfId="7335" xr:uid="{00000000-0005-0000-0000-000083370000}"/>
    <cellStyle name="Normal 65 2 2" xfId="11529" xr:uid="{00000000-0005-0000-0000-000084370000}"/>
    <cellStyle name="Normal 65 20" xfId="11530" xr:uid="{00000000-0005-0000-0000-000085370000}"/>
    <cellStyle name="Normal 65 3" xfId="7336" xr:uid="{00000000-0005-0000-0000-000086370000}"/>
    <cellStyle name="Normal 65 3 2" xfId="11531" xr:uid="{00000000-0005-0000-0000-000087370000}"/>
    <cellStyle name="Normal 65 4" xfId="11532" xr:uid="{00000000-0005-0000-0000-000088370000}"/>
    <cellStyle name="Normal 65 4 2" xfId="11533" xr:uid="{00000000-0005-0000-0000-000089370000}"/>
    <cellStyle name="Normal 65 5" xfId="11534" xr:uid="{00000000-0005-0000-0000-00008A370000}"/>
    <cellStyle name="Normal 65 5 2" xfId="11535" xr:uid="{00000000-0005-0000-0000-00008B370000}"/>
    <cellStyle name="Normal 65 6" xfId="11536" xr:uid="{00000000-0005-0000-0000-00008C370000}"/>
    <cellStyle name="Normal 65 6 2" xfId="11537" xr:uid="{00000000-0005-0000-0000-00008D370000}"/>
    <cellStyle name="Normal 65 7" xfId="11538" xr:uid="{00000000-0005-0000-0000-00008E370000}"/>
    <cellStyle name="Normal 65 8" xfId="11539" xr:uid="{00000000-0005-0000-0000-00008F370000}"/>
    <cellStyle name="Normal 65 9" xfId="11540" xr:uid="{00000000-0005-0000-0000-000090370000}"/>
    <cellStyle name="Normal 650" xfId="10541" xr:uid="{00000000-0005-0000-0000-000091370000}"/>
    <cellStyle name="Normal 650 2" xfId="18318" xr:uid="{00000000-0005-0000-0000-000092370000}"/>
    <cellStyle name="Normal 651" xfId="10542" xr:uid="{00000000-0005-0000-0000-000093370000}"/>
    <cellStyle name="Normal 651 2" xfId="18319" xr:uid="{00000000-0005-0000-0000-000094370000}"/>
    <cellStyle name="Normal 652" xfId="10543" xr:uid="{00000000-0005-0000-0000-000095370000}"/>
    <cellStyle name="Normal 652 2" xfId="18320" xr:uid="{00000000-0005-0000-0000-000096370000}"/>
    <cellStyle name="Normal 653" xfId="10544" xr:uid="{00000000-0005-0000-0000-000097370000}"/>
    <cellStyle name="Normal 653 2" xfId="18321" xr:uid="{00000000-0005-0000-0000-000098370000}"/>
    <cellStyle name="Normal 654" xfId="10545" xr:uid="{00000000-0005-0000-0000-000099370000}"/>
    <cellStyle name="Normal 654 2" xfId="18322" xr:uid="{00000000-0005-0000-0000-00009A370000}"/>
    <cellStyle name="Normal 655" xfId="10546" xr:uid="{00000000-0005-0000-0000-00009B370000}"/>
    <cellStyle name="Normal 655 2" xfId="18323" xr:uid="{00000000-0005-0000-0000-00009C370000}"/>
    <cellStyle name="Normal 656" xfId="10547" xr:uid="{00000000-0005-0000-0000-00009D370000}"/>
    <cellStyle name="Normal 656 2" xfId="18324" xr:uid="{00000000-0005-0000-0000-00009E370000}"/>
    <cellStyle name="Normal 657" xfId="10548" xr:uid="{00000000-0005-0000-0000-00009F370000}"/>
    <cellStyle name="Normal 657 2" xfId="18325" xr:uid="{00000000-0005-0000-0000-0000A0370000}"/>
    <cellStyle name="Normal 658" xfId="10549" xr:uid="{00000000-0005-0000-0000-0000A1370000}"/>
    <cellStyle name="Normal 658 2" xfId="18326" xr:uid="{00000000-0005-0000-0000-0000A2370000}"/>
    <cellStyle name="Normal 659" xfId="10550" xr:uid="{00000000-0005-0000-0000-0000A3370000}"/>
    <cellStyle name="Normal 659 2" xfId="18327" xr:uid="{00000000-0005-0000-0000-0000A4370000}"/>
    <cellStyle name="Normal 66" xfId="7337" xr:uid="{00000000-0005-0000-0000-0000A5370000}"/>
    <cellStyle name="Normal 66 10" xfId="11541" xr:uid="{00000000-0005-0000-0000-0000A6370000}"/>
    <cellStyle name="Normal 66 11" xfId="11542" xr:uid="{00000000-0005-0000-0000-0000A7370000}"/>
    <cellStyle name="Normal 66 12" xfId="11543" xr:uid="{00000000-0005-0000-0000-0000A8370000}"/>
    <cellStyle name="Normal 66 13" xfId="11544" xr:uid="{00000000-0005-0000-0000-0000A9370000}"/>
    <cellStyle name="Normal 66 14" xfId="11545" xr:uid="{00000000-0005-0000-0000-0000AA370000}"/>
    <cellStyle name="Normal 66 15" xfId="11546" xr:uid="{00000000-0005-0000-0000-0000AB370000}"/>
    <cellStyle name="Normal 66 16" xfId="11547" xr:uid="{00000000-0005-0000-0000-0000AC370000}"/>
    <cellStyle name="Normal 66 17" xfId="11548" xr:uid="{00000000-0005-0000-0000-0000AD370000}"/>
    <cellStyle name="Normal 66 18" xfId="11549" xr:uid="{00000000-0005-0000-0000-0000AE370000}"/>
    <cellStyle name="Normal 66 19" xfId="11550" xr:uid="{00000000-0005-0000-0000-0000AF370000}"/>
    <cellStyle name="Normal 66 2" xfId="7338" xr:uid="{00000000-0005-0000-0000-0000B0370000}"/>
    <cellStyle name="Normal 66 2 2" xfId="11551" xr:uid="{00000000-0005-0000-0000-0000B1370000}"/>
    <cellStyle name="Normal 66 20" xfId="11552" xr:uid="{00000000-0005-0000-0000-0000B2370000}"/>
    <cellStyle name="Normal 66 3" xfId="7339" xr:uid="{00000000-0005-0000-0000-0000B3370000}"/>
    <cellStyle name="Normal 66 3 2" xfId="11553" xr:uid="{00000000-0005-0000-0000-0000B4370000}"/>
    <cellStyle name="Normal 66 4" xfId="11554" xr:uid="{00000000-0005-0000-0000-0000B5370000}"/>
    <cellStyle name="Normal 66 4 2" xfId="11555" xr:uid="{00000000-0005-0000-0000-0000B6370000}"/>
    <cellStyle name="Normal 66 5" xfId="11556" xr:uid="{00000000-0005-0000-0000-0000B7370000}"/>
    <cellStyle name="Normal 66 5 2" xfId="11557" xr:uid="{00000000-0005-0000-0000-0000B8370000}"/>
    <cellStyle name="Normal 66 6" xfId="11558" xr:uid="{00000000-0005-0000-0000-0000B9370000}"/>
    <cellStyle name="Normal 66 6 2" xfId="11559" xr:uid="{00000000-0005-0000-0000-0000BA370000}"/>
    <cellStyle name="Normal 66 7" xfId="11560" xr:uid="{00000000-0005-0000-0000-0000BB370000}"/>
    <cellStyle name="Normal 66 8" xfId="11561" xr:uid="{00000000-0005-0000-0000-0000BC370000}"/>
    <cellStyle name="Normal 66 9" xfId="11562" xr:uid="{00000000-0005-0000-0000-0000BD370000}"/>
    <cellStyle name="Normal 660" xfId="10551" xr:uid="{00000000-0005-0000-0000-0000BE370000}"/>
    <cellStyle name="Normal 660 2" xfId="18328" xr:uid="{00000000-0005-0000-0000-0000BF370000}"/>
    <cellStyle name="Normal 661" xfId="10592" xr:uid="{00000000-0005-0000-0000-0000C0370000}"/>
    <cellStyle name="Normal 661 2" xfId="18329" xr:uid="{00000000-0005-0000-0000-0000C1370000}"/>
    <cellStyle name="Normal 662" xfId="10594" xr:uid="{00000000-0005-0000-0000-0000C2370000}"/>
    <cellStyle name="Normal 662 2" xfId="18330" xr:uid="{00000000-0005-0000-0000-0000C3370000}"/>
    <cellStyle name="Normal 663" xfId="10600" xr:uid="{00000000-0005-0000-0000-0000C4370000}"/>
    <cellStyle name="Normal 664" xfId="10602" xr:uid="{00000000-0005-0000-0000-0000C5370000}"/>
    <cellStyle name="Normal 665" xfId="10610" xr:uid="{00000000-0005-0000-0000-0000C6370000}"/>
    <cellStyle name="Normal 666" xfId="10611" xr:uid="{00000000-0005-0000-0000-0000C7370000}"/>
    <cellStyle name="Normal 667" xfId="10612" xr:uid="{00000000-0005-0000-0000-0000C8370000}"/>
    <cellStyle name="Normal 668" xfId="10613" xr:uid="{00000000-0005-0000-0000-0000C9370000}"/>
    <cellStyle name="Normal 669" xfId="10614" xr:uid="{00000000-0005-0000-0000-0000CA370000}"/>
    <cellStyle name="Normal 67" xfId="7340" xr:uid="{00000000-0005-0000-0000-0000CB370000}"/>
    <cellStyle name="Normal 67 10" xfId="11563" xr:uid="{00000000-0005-0000-0000-0000CC370000}"/>
    <cellStyle name="Normal 67 11" xfId="11564" xr:uid="{00000000-0005-0000-0000-0000CD370000}"/>
    <cellStyle name="Normal 67 12" xfId="11565" xr:uid="{00000000-0005-0000-0000-0000CE370000}"/>
    <cellStyle name="Normal 67 13" xfId="11566" xr:uid="{00000000-0005-0000-0000-0000CF370000}"/>
    <cellStyle name="Normal 67 14" xfId="11567" xr:uid="{00000000-0005-0000-0000-0000D0370000}"/>
    <cellStyle name="Normal 67 15" xfId="11568" xr:uid="{00000000-0005-0000-0000-0000D1370000}"/>
    <cellStyle name="Normal 67 16" xfId="11569" xr:uid="{00000000-0005-0000-0000-0000D2370000}"/>
    <cellStyle name="Normal 67 17" xfId="11570" xr:uid="{00000000-0005-0000-0000-0000D3370000}"/>
    <cellStyle name="Normal 67 18" xfId="11571" xr:uid="{00000000-0005-0000-0000-0000D4370000}"/>
    <cellStyle name="Normal 67 19" xfId="11572" xr:uid="{00000000-0005-0000-0000-0000D5370000}"/>
    <cellStyle name="Normal 67 2" xfId="7341" xr:uid="{00000000-0005-0000-0000-0000D6370000}"/>
    <cellStyle name="Normal 67 2 2" xfId="11573" xr:uid="{00000000-0005-0000-0000-0000D7370000}"/>
    <cellStyle name="Normal 67 20" xfId="11574" xr:uid="{00000000-0005-0000-0000-0000D8370000}"/>
    <cellStyle name="Normal 67 3" xfId="7342" xr:uid="{00000000-0005-0000-0000-0000D9370000}"/>
    <cellStyle name="Normal 67 3 2" xfId="11575" xr:uid="{00000000-0005-0000-0000-0000DA370000}"/>
    <cellStyle name="Normal 67 4" xfId="11576" xr:uid="{00000000-0005-0000-0000-0000DB370000}"/>
    <cellStyle name="Normal 67 4 2" xfId="11577" xr:uid="{00000000-0005-0000-0000-0000DC370000}"/>
    <cellStyle name="Normal 67 5" xfId="11578" xr:uid="{00000000-0005-0000-0000-0000DD370000}"/>
    <cellStyle name="Normal 67 5 2" xfId="11579" xr:uid="{00000000-0005-0000-0000-0000DE370000}"/>
    <cellStyle name="Normal 67 6" xfId="11580" xr:uid="{00000000-0005-0000-0000-0000DF370000}"/>
    <cellStyle name="Normal 67 6 2" xfId="11581" xr:uid="{00000000-0005-0000-0000-0000E0370000}"/>
    <cellStyle name="Normal 67 7" xfId="11582" xr:uid="{00000000-0005-0000-0000-0000E1370000}"/>
    <cellStyle name="Normal 67 8" xfId="11583" xr:uid="{00000000-0005-0000-0000-0000E2370000}"/>
    <cellStyle name="Normal 67 9" xfId="11584" xr:uid="{00000000-0005-0000-0000-0000E3370000}"/>
    <cellStyle name="Normal 670" xfId="10615" xr:uid="{00000000-0005-0000-0000-0000E4370000}"/>
    <cellStyle name="Normal 671" xfId="10616" xr:uid="{00000000-0005-0000-0000-0000E5370000}"/>
    <cellStyle name="Normal 672" xfId="10617" xr:uid="{00000000-0005-0000-0000-0000E6370000}"/>
    <cellStyle name="Normal 673" xfId="10618" xr:uid="{00000000-0005-0000-0000-0000E7370000}"/>
    <cellStyle name="Normal 674" xfId="10619" xr:uid="{00000000-0005-0000-0000-0000E8370000}"/>
    <cellStyle name="Normal 675" xfId="10620" xr:uid="{00000000-0005-0000-0000-0000E9370000}"/>
    <cellStyle name="Normal 676" xfId="10621" xr:uid="{00000000-0005-0000-0000-0000EA370000}"/>
    <cellStyle name="Normal 677" xfId="10622" xr:uid="{00000000-0005-0000-0000-0000EB370000}"/>
    <cellStyle name="Normal 678" xfId="10623" xr:uid="{00000000-0005-0000-0000-0000EC370000}"/>
    <cellStyle name="Normal 679" xfId="10624" xr:uid="{00000000-0005-0000-0000-0000ED370000}"/>
    <cellStyle name="Normal 68" xfId="7343" xr:uid="{00000000-0005-0000-0000-0000EE370000}"/>
    <cellStyle name="Normal 68 10" xfId="11585" xr:uid="{00000000-0005-0000-0000-0000EF370000}"/>
    <cellStyle name="Normal 68 11" xfId="11586" xr:uid="{00000000-0005-0000-0000-0000F0370000}"/>
    <cellStyle name="Normal 68 12" xfId="11587" xr:uid="{00000000-0005-0000-0000-0000F1370000}"/>
    <cellStyle name="Normal 68 13" xfId="11588" xr:uid="{00000000-0005-0000-0000-0000F2370000}"/>
    <cellStyle name="Normal 68 14" xfId="11589" xr:uid="{00000000-0005-0000-0000-0000F3370000}"/>
    <cellStyle name="Normal 68 15" xfId="11590" xr:uid="{00000000-0005-0000-0000-0000F4370000}"/>
    <cellStyle name="Normal 68 16" xfId="11591" xr:uid="{00000000-0005-0000-0000-0000F5370000}"/>
    <cellStyle name="Normal 68 17" xfId="11592" xr:uid="{00000000-0005-0000-0000-0000F6370000}"/>
    <cellStyle name="Normal 68 18" xfId="11593" xr:uid="{00000000-0005-0000-0000-0000F7370000}"/>
    <cellStyle name="Normal 68 19" xfId="11594" xr:uid="{00000000-0005-0000-0000-0000F8370000}"/>
    <cellStyle name="Normal 68 2" xfId="7344" xr:uid="{00000000-0005-0000-0000-0000F9370000}"/>
    <cellStyle name="Normal 68 2 2" xfId="11595" xr:uid="{00000000-0005-0000-0000-0000FA370000}"/>
    <cellStyle name="Normal 68 20" xfId="11596" xr:uid="{00000000-0005-0000-0000-0000FB370000}"/>
    <cellStyle name="Normal 68 3" xfId="7345" xr:uid="{00000000-0005-0000-0000-0000FC370000}"/>
    <cellStyle name="Normal 68 3 2" xfId="11597" xr:uid="{00000000-0005-0000-0000-0000FD370000}"/>
    <cellStyle name="Normal 68 4" xfId="11598" xr:uid="{00000000-0005-0000-0000-0000FE370000}"/>
    <cellStyle name="Normal 68 4 2" xfId="11599" xr:uid="{00000000-0005-0000-0000-0000FF370000}"/>
    <cellStyle name="Normal 68 5" xfId="11600" xr:uid="{00000000-0005-0000-0000-000000380000}"/>
    <cellStyle name="Normal 68 5 2" xfId="11601" xr:uid="{00000000-0005-0000-0000-000001380000}"/>
    <cellStyle name="Normal 68 6" xfId="11602" xr:uid="{00000000-0005-0000-0000-000002380000}"/>
    <cellStyle name="Normal 68 6 2" xfId="11603" xr:uid="{00000000-0005-0000-0000-000003380000}"/>
    <cellStyle name="Normal 68 7" xfId="11604" xr:uid="{00000000-0005-0000-0000-000004380000}"/>
    <cellStyle name="Normal 68 8" xfId="11605" xr:uid="{00000000-0005-0000-0000-000005380000}"/>
    <cellStyle name="Normal 68 9" xfId="11606" xr:uid="{00000000-0005-0000-0000-000006380000}"/>
    <cellStyle name="Normal 680" xfId="10625" xr:uid="{00000000-0005-0000-0000-000007380000}"/>
    <cellStyle name="Normal 681" xfId="10626" xr:uid="{00000000-0005-0000-0000-000008380000}"/>
    <cellStyle name="Normal 682" xfId="10627" xr:uid="{00000000-0005-0000-0000-000009380000}"/>
    <cellStyle name="Normal 683" xfId="10629" xr:uid="{00000000-0005-0000-0000-00000A380000}"/>
    <cellStyle name="Normal 684" xfId="10630" xr:uid="{00000000-0005-0000-0000-00000B380000}"/>
    <cellStyle name="Normal 685" xfId="10631" xr:uid="{00000000-0005-0000-0000-00000C380000}"/>
    <cellStyle name="Normal 686" xfId="10632" xr:uid="{00000000-0005-0000-0000-00000D380000}"/>
    <cellStyle name="Normal 687" xfId="10633" xr:uid="{00000000-0005-0000-0000-00000E380000}"/>
    <cellStyle name="Normal 688" xfId="10634" xr:uid="{00000000-0005-0000-0000-00000F380000}"/>
    <cellStyle name="Normal 689" xfId="10635" xr:uid="{00000000-0005-0000-0000-000010380000}"/>
    <cellStyle name="Normal 69" xfId="7346" xr:uid="{00000000-0005-0000-0000-000011380000}"/>
    <cellStyle name="Normal 69 10" xfId="11607" xr:uid="{00000000-0005-0000-0000-000012380000}"/>
    <cellStyle name="Normal 69 11" xfId="11608" xr:uid="{00000000-0005-0000-0000-000013380000}"/>
    <cellStyle name="Normal 69 12" xfId="11609" xr:uid="{00000000-0005-0000-0000-000014380000}"/>
    <cellStyle name="Normal 69 13" xfId="11610" xr:uid="{00000000-0005-0000-0000-000015380000}"/>
    <cellStyle name="Normal 69 14" xfId="11611" xr:uid="{00000000-0005-0000-0000-000016380000}"/>
    <cellStyle name="Normal 69 15" xfId="11612" xr:uid="{00000000-0005-0000-0000-000017380000}"/>
    <cellStyle name="Normal 69 16" xfId="11613" xr:uid="{00000000-0005-0000-0000-000018380000}"/>
    <cellStyle name="Normal 69 17" xfId="11614" xr:uid="{00000000-0005-0000-0000-000019380000}"/>
    <cellStyle name="Normal 69 18" xfId="11615" xr:uid="{00000000-0005-0000-0000-00001A380000}"/>
    <cellStyle name="Normal 69 19" xfId="11616" xr:uid="{00000000-0005-0000-0000-00001B380000}"/>
    <cellStyle name="Normal 69 2" xfId="7347" xr:uid="{00000000-0005-0000-0000-00001C380000}"/>
    <cellStyle name="Normal 69 2 2" xfId="11617" xr:uid="{00000000-0005-0000-0000-00001D380000}"/>
    <cellStyle name="Normal 69 20" xfId="11618" xr:uid="{00000000-0005-0000-0000-00001E380000}"/>
    <cellStyle name="Normal 69 3" xfId="7348" xr:uid="{00000000-0005-0000-0000-00001F380000}"/>
    <cellStyle name="Normal 69 3 10" xfId="7349" xr:uid="{00000000-0005-0000-0000-000020380000}"/>
    <cellStyle name="Normal 69 3 10 2" xfId="18331" xr:uid="{00000000-0005-0000-0000-000021380000}"/>
    <cellStyle name="Normal 69 3 11" xfId="7350" xr:uid="{00000000-0005-0000-0000-000022380000}"/>
    <cellStyle name="Normal 69 3 11 2" xfId="18332" xr:uid="{00000000-0005-0000-0000-000023380000}"/>
    <cellStyle name="Normal 69 3 12" xfId="12451" xr:uid="{00000000-0005-0000-0000-000024380000}"/>
    <cellStyle name="Normal 69 3 2" xfId="7351" xr:uid="{00000000-0005-0000-0000-000025380000}"/>
    <cellStyle name="Normal 69 3 2 2" xfId="7352" xr:uid="{00000000-0005-0000-0000-000026380000}"/>
    <cellStyle name="Normal 69 3 2 2 2" xfId="7353" xr:uid="{00000000-0005-0000-0000-000027380000}"/>
    <cellStyle name="Normal 69 3 2 2 2 2" xfId="7354" xr:uid="{00000000-0005-0000-0000-000028380000}"/>
    <cellStyle name="Normal 69 3 2 2 2 2 2" xfId="7355" xr:uid="{00000000-0005-0000-0000-000029380000}"/>
    <cellStyle name="Normal 69 3 2 2 2 2 2 2" xfId="18333" xr:uid="{00000000-0005-0000-0000-00002A380000}"/>
    <cellStyle name="Normal 69 3 2 2 2 2 3" xfId="7356" xr:uid="{00000000-0005-0000-0000-00002B380000}"/>
    <cellStyle name="Normal 69 3 2 2 2 2 3 2" xfId="18334" xr:uid="{00000000-0005-0000-0000-00002C380000}"/>
    <cellStyle name="Normal 69 3 2 2 2 2 4" xfId="18335" xr:uid="{00000000-0005-0000-0000-00002D380000}"/>
    <cellStyle name="Normal 69 3 2 2 2 3" xfId="7357" xr:uid="{00000000-0005-0000-0000-00002E380000}"/>
    <cellStyle name="Normal 69 3 2 2 2 3 2" xfId="7358" xr:uid="{00000000-0005-0000-0000-00002F380000}"/>
    <cellStyle name="Normal 69 3 2 2 2 3 2 2" xfId="18336" xr:uid="{00000000-0005-0000-0000-000030380000}"/>
    <cellStyle name="Normal 69 3 2 2 2 3 3" xfId="7359" xr:uid="{00000000-0005-0000-0000-000031380000}"/>
    <cellStyle name="Normal 69 3 2 2 2 3 3 2" xfId="18337" xr:uid="{00000000-0005-0000-0000-000032380000}"/>
    <cellStyle name="Normal 69 3 2 2 2 3 4" xfId="18338" xr:uid="{00000000-0005-0000-0000-000033380000}"/>
    <cellStyle name="Normal 69 3 2 2 2 4" xfId="7360" xr:uid="{00000000-0005-0000-0000-000034380000}"/>
    <cellStyle name="Normal 69 3 2 2 2 4 2" xfId="18339" xr:uid="{00000000-0005-0000-0000-000035380000}"/>
    <cellStyle name="Normal 69 3 2 2 2 5" xfId="7361" xr:uid="{00000000-0005-0000-0000-000036380000}"/>
    <cellStyle name="Normal 69 3 2 2 2 5 2" xfId="18340" xr:uid="{00000000-0005-0000-0000-000037380000}"/>
    <cellStyle name="Normal 69 3 2 2 2 6" xfId="18341" xr:uid="{00000000-0005-0000-0000-000038380000}"/>
    <cellStyle name="Normal 69 3 2 2 3" xfId="7362" xr:uid="{00000000-0005-0000-0000-000039380000}"/>
    <cellStyle name="Normal 69 3 2 2 3 2" xfId="7363" xr:uid="{00000000-0005-0000-0000-00003A380000}"/>
    <cellStyle name="Normal 69 3 2 2 3 2 2" xfId="7364" xr:uid="{00000000-0005-0000-0000-00003B380000}"/>
    <cellStyle name="Normal 69 3 2 2 3 2 2 2" xfId="18342" xr:uid="{00000000-0005-0000-0000-00003C380000}"/>
    <cellStyle name="Normal 69 3 2 2 3 2 3" xfId="7365" xr:uid="{00000000-0005-0000-0000-00003D380000}"/>
    <cellStyle name="Normal 69 3 2 2 3 2 3 2" xfId="18343" xr:uid="{00000000-0005-0000-0000-00003E380000}"/>
    <cellStyle name="Normal 69 3 2 2 3 2 4" xfId="18344" xr:uid="{00000000-0005-0000-0000-00003F380000}"/>
    <cellStyle name="Normal 69 3 2 2 3 3" xfId="7366" xr:uid="{00000000-0005-0000-0000-000040380000}"/>
    <cellStyle name="Normal 69 3 2 2 3 3 2" xfId="7367" xr:uid="{00000000-0005-0000-0000-000041380000}"/>
    <cellStyle name="Normal 69 3 2 2 3 3 2 2" xfId="18345" xr:uid="{00000000-0005-0000-0000-000042380000}"/>
    <cellStyle name="Normal 69 3 2 2 3 3 3" xfId="7368" xr:uid="{00000000-0005-0000-0000-000043380000}"/>
    <cellStyle name="Normal 69 3 2 2 3 3 3 2" xfId="18346" xr:uid="{00000000-0005-0000-0000-000044380000}"/>
    <cellStyle name="Normal 69 3 2 2 3 3 4" xfId="18347" xr:uid="{00000000-0005-0000-0000-000045380000}"/>
    <cellStyle name="Normal 69 3 2 2 3 4" xfId="7369" xr:uid="{00000000-0005-0000-0000-000046380000}"/>
    <cellStyle name="Normal 69 3 2 2 3 4 2" xfId="18348" xr:uid="{00000000-0005-0000-0000-000047380000}"/>
    <cellStyle name="Normal 69 3 2 2 3 5" xfId="7370" xr:uid="{00000000-0005-0000-0000-000048380000}"/>
    <cellStyle name="Normal 69 3 2 2 3 5 2" xfId="18349" xr:uid="{00000000-0005-0000-0000-000049380000}"/>
    <cellStyle name="Normal 69 3 2 2 3 6" xfId="18350" xr:uid="{00000000-0005-0000-0000-00004A380000}"/>
    <cellStyle name="Normal 69 3 2 2 4" xfId="7371" xr:uid="{00000000-0005-0000-0000-00004B380000}"/>
    <cellStyle name="Normal 69 3 2 2 4 2" xfId="7372" xr:uid="{00000000-0005-0000-0000-00004C380000}"/>
    <cellStyle name="Normal 69 3 2 2 4 2 2" xfId="18351" xr:uid="{00000000-0005-0000-0000-00004D380000}"/>
    <cellStyle name="Normal 69 3 2 2 4 3" xfId="7373" xr:uid="{00000000-0005-0000-0000-00004E380000}"/>
    <cellStyle name="Normal 69 3 2 2 4 3 2" xfId="18352" xr:uid="{00000000-0005-0000-0000-00004F380000}"/>
    <cellStyle name="Normal 69 3 2 2 4 4" xfId="18353" xr:uid="{00000000-0005-0000-0000-000050380000}"/>
    <cellStyle name="Normal 69 3 2 2 5" xfId="7374" xr:uid="{00000000-0005-0000-0000-000051380000}"/>
    <cellStyle name="Normal 69 3 2 2 5 2" xfId="7375" xr:uid="{00000000-0005-0000-0000-000052380000}"/>
    <cellStyle name="Normal 69 3 2 2 5 2 2" xfId="18354" xr:uid="{00000000-0005-0000-0000-000053380000}"/>
    <cellStyle name="Normal 69 3 2 2 5 3" xfId="7376" xr:uid="{00000000-0005-0000-0000-000054380000}"/>
    <cellStyle name="Normal 69 3 2 2 5 3 2" xfId="18355" xr:uid="{00000000-0005-0000-0000-000055380000}"/>
    <cellStyle name="Normal 69 3 2 2 5 4" xfId="18356" xr:uid="{00000000-0005-0000-0000-000056380000}"/>
    <cellStyle name="Normal 69 3 2 2 6" xfId="7377" xr:uid="{00000000-0005-0000-0000-000057380000}"/>
    <cellStyle name="Normal 69 3 2 2 6 2" xfId="18357" xr:uid="{00000000-0005-0000-0000-000058380000}"/>
    <cellStyle name="Normal 69 3 2 2 7" xfId="7378" xr:uid="{00000000-0005-0000-0000-000059380000}"/>
    <cellStyle name="Normal 69 3 2 2 7 2" xfId="18358" xr:uid="{00000000-0005-0000-0000-00005A380000}"/>
    <cellStyle name="Normal 69 3 2 2 8" xfId="18359" xr:uid="{00000000-0005-0000-0000-00005B380000}"/>
    <cellStyle name="Normal 69 3 2 3" xfId="7379" xr:uid="{00000000-0005-0000-0000-00005C380000}"/>
    <cellStyle name="Normal 69 3 2 3 2" xfId="7380" xr:uid="{00000000-0005-0000-0000-00005D380000}"/>
    <cellStyle name="Normal 69 3 2 3 2 2" xfId="7381" xr:uid="{00000000-0005-0000-0000-00005E380000}"/>
    <cellStyle name="Normal 69 3 2 3 2 2 2" xfId="18360" xr:uid="{00000000-0005-0000-0000-00005F380000}"/>
    <cellStyle name="Normal 69 3 2 3 2 3" xfId="7382" xr:uid="{00000000-0005-0000-0000-000060380000}"/>
    <cellStyle name="Normal 69 3 2 3 2 3 2" xfId="18361" xr:uid="{00000000-0005-0000-0000-000061380000}"/>
    <cellStyle name="Normal 69 3 2 3 2 4" xfId="18362" xr:uid="{00000000-0005-0000-0000-000062380000}"/>
    <cellStyle name="Normal 69 3 2 3 3" xfId="7383" xr:uid="{00000000-0005-0000-0000-000063380000}"/>
    <cellStyle name="Normal 69 3 2 3 3 2" xfId="7384" xr:uid="{00000000-0005-0000-0000-000064380000}"/>
    <cellStyle name="Normal 69 3 2 3 3 2 2" xfId="18363" xr:uid="{00000000-0005-0000-0000-000065380000}"/>
    <cellStyle name="Normal 69 3 2 3 3 3" xfId="7385" xr:uid="{00000000-0005-0000-0000-000066380000}"/>
    <cellStyle name="Normal 69 3 2 3 3 3 2" xfId="18364" xr:uid="{00000000-0005-0000-0000-000067380000}"/>
    <cellStyle name="Normal 69 3 2 3 3 4" xfId="18365" xr:uid="{00000000-0005-0000-0000-000068380000}"/>
    <cellStyle name="Normal 69 3 2 3 4" xfId="7386" xr:uid="{00000000-0005-0000-0000-000069380000}"/>
    <cellStyle name="Normal 69 3 2 3 4 2" xfId="18366" xr:uid="{00000000-0005-0000-0000-00006A380000}"/>
    <cellStyle name="Normal 69 3 2 3 5" xfId="7387" xr:uid="{00000000-0005-0000-0000-00006B380000}"/>
    <cellStyle name="Normal 69 3 2 3 5 2" xfId="18367" xr:uid="{00000000-0005-0000-0000-00006C380000}"/>
    <cellStyle name="Normal 69 3 2 3 6" xfId="18368" xr:uid="{00000000-0005-0000-0000-00006D380000}"/>
    <cellStyle name="Normal 69 3 2 4" xfId="7388" xr:uid="{00000000-0005-0000-0000-00006E380000}"/>
    <cellStyle name="Normal 69 3 2 4 2" xfId="7389" xr:uid="{00000000-0005-0000-0000-00006F380000}"/>
    <cellStyle name="Normal 69 3 2 4 2 2" xfId="7390" xr:uid="{00000000-0005-0000-0000-000070380000}"/>
    <cellStyle name="Normal 69 3 2 4 2 2 2" xfId="18369" xr:uid="{00000000-0005-0000-0000-000071380000}"/>
    <cellStyle name="Normal 69 3 2 4 2 3" xfId="7391" xr:uid="{00000000-0005-0000-0000-000072380000}"/>
    <cellStyle name="Normal 69 3 2 4 2 3 2" xfId="18370" xr:uid="{00000000-0005-0000-0000-000073380000}"/>
    <cellStyle name="Normal 69 3 2 4 2 4" xfId="18371" xr:uid="{00000000-0005-0000-0000-000074380000}"/>
    <cellStyle name="Normal 69 3 2 4 3" xfId="7392" xr:uid="{00000000-0005-0000-0000-000075380000}"/>
    <cellStyle name="Normal 69 3 2 4 3 2" xfId="7393" xr:uid="{00000000-0005-0000-0000-000076380000}"/>
    <cellStyle name="Normal 69 3 2 4 3 2 2" xfId="18372" xr:uid="{00000000-0005-0000-0000-000077380000}"/>
    <cellStyle name="Normal 69 3 2 4 3 3" xfId="7394" xr:uid="{00000000-0005-0000-0000-000078380000}"/>
    <cellStyle name="Normal 69 3 2 4 3 3 2" xfId="18373" xr:uid="{00000000-0005-0000-0000-000079380000}"/>
    <cellStyle name="Normal 69 3 2 4 3 4" xfId="18374" xr:uid="{00000000-0005-0000-0000-00007A380000}"/>
    <cellStyle name="Normal 69 3 2 4 4" xfId="7395" xr:uid="{00000000-0005-0000-0000-00007B380000}"/>
    <cellStyle name="Normal 69 3 2 4 4 2" xfId="18375" xr:uid="{00000000-0005-0000-0000-00007C380000}"/>
    <cellStyle name="Normal 69 3 2 4 5" xfId="7396" xr:uid="{00000000-0005-0000-0000-00007D380000}"/>
    <cellStyle name="Normal 69 3 2 4 5 2" xfId="18376" xr:uid="{00000000-0005-0000-0000-00007E380000}"/>
    <cellStyle name="Normal 69 3 2 4 6" xfId="18377" xr:uid="{00000000-0005-0000-0000-00007F380000}"/>
    <cellStyle name="Normal 69 3 2 5" xfId="7397" xr:uid="{00000000-0005-0000-0000-000080380000}"/>
    <cellStyle name="Normal 69 3 2 5 2" xfId="7398" xr:uid="{00000000-0005-0000-0000-000081380000}"/>
    <cellStyle name="Normal 69 3 2 5 2 2" xfId="18378" xr:uid="{00000000-0005-0000-0000-000082380000}"/>
    <cellStyle name="Normal 69 3 2 5 3" xfId="7399" xr:uid="{00000000-0005-0000-0000-000083380000}"/>
    <cellStyle name="Normal 69 3 2 5 3 2" xfId="18379" xr:uid="{00000000-0005-0000-0000-000084380000}"/>
    <cellStyle name="Normal 69 3 2 5 4" xfId="18380" xr:uid="{00000000-0005-0000-0000-000085380000}"/>
    <cellStyle name="Normal 69 3 2 6" xfId="7400" xr:uid="{00000000-0005-0000-0000-000086380000}"/>
    <cellStyle name="Normal 69 3 2 6 2" xfId="7401" xr:uid="{00000000-0005-0000-0000-000087380000}"/>
    <cellStyle name="Normal 69 3 2 6 2 2" xfId="18381" xr:uid="{00000000-0005-0000-0000-000088380000}"/>
    <cellStyle name="Normal 69 3 2 6 3" xfId="7402" xr:uid="{00000000-0005-0000-0000-000089380000}"/>
    <cellStyle name="Normal 69 3 2 6 3 2" xfId="18382" xr:uid="{00000000-0005-0000-0000-00008A380000}"/>
    <cellStyle name="Normal 69 3 2 6 4" xfId="18383" xr:uid="{00000000-0005-0000-0000-00008B380000}"/>
    <cellStyle name="Normal 69 3 2 7" xfId="7403" xr:uid="{00000000-0005-0000-0000-00008C380000}"/>
    <cellStyle name="Normal 69 3 2 7 2" xfId="18384" xr:uid="{00000000-0005-0000-0000-00008D380000}"/>
    <cellStyle name="Normal 69 3 2 8" xfId="7404" xr:uid="{00000000-0005-0000-0000-00008E380000}"/>
    <cellStyle name="Normal 69 3 2 8 2" xfId="18385" xr:uid="{00000000-0005-0000-0000-00008F380000}"/>
    <cellStyle name="Normal 69 3 2 9" xfId="12452" xr:uid="{00000000-0005-0000-0000-000090380000}"/>
    <cellStyle name="Normal 69 3 3" xfId="7405" xr:uid="{00000000-0005-0000-0000-000091380000}"/>
    <cellStyle name="Normal 69 3 3 2" xfId="7406" xr:uid="{00000000-0005-0000-0000-000092380000}"/>
    <cellStyle name="Normal 69 3 3 2 2" xfId="7407" xr:uid="{00000000-0005-0000-0000-000093380000}"/>
    <cellStyle name="Normal 69 3 3 2 2 2" xfId="7408" xr:uid="{00000000-0005-0000-0000-000094380000}"/>
    <cellStyle name="Normal 69 3 3 2 2 2 2" xfId="18386" xr:uid="{00000000-0005-0000-0000-000095380000}"/>
    <cellStyle name="Normal 69 3 3 2 2 3" xfId="7409" xr:uid="{00000000-0005-0000-0000-000096380000}"/>
    <cellStyle name="Normal 69 3 3 2 2 3 2" xfId="18387" xr:uid="{00000000-0005-0000-0000-000097380000}"/>
    <cellStyle name="Normal 69 3 3 2 2 4" xfId="18388" xr:uid="{00000000-0005-0000-0000-000098380000}"/>
    <cellStyle name="Normal 69 3 3 2 3" xfId="7410" xr:uid="{00000000-0005-0000-0000-000099380000}"/>
    <cellStyle name="Normal 69 3 3 2 3 2" xfId="7411" xr:uid="{00000000-0005-0000-0000-00009A380000}"/>
    <cellStyle name="Normal 69 3 3 2 3 2 2" xfId="18389" xr:uid="{00000000-0005-0000-0000-00009B380000}"/>
    <cellStyle name="Normal 69 3 3 2 3 3" xfId="7412" xr:uid="{00000000-0005-0000-0000-00009C380000}"/>
    <cellStyle name="Normal 69 3 3 2 3 3 2" xfId="18390" xr:uid="{00000000-0005-0000-0000-00009D380000}"/>
    <cellStyle name="Normal 69 3 3 2 3 4" xfId="18391" xr:uid="{00000000-0005-0000-0000-00009E380000}"/>
    <cellStyle name="Normal 69 3 3 2 4" xfId="7413" xr:uid="{00000000-0005-0000-0000-00009F380000}"/>
    <cellStyle name="Normal 69 3 3 2 4 2" xfId="18392" xr:uid="{00000000-0005-0000-0000-0000A0380000}"/>
    <cellStyle name="Normal 69 3 3 2 5" xfId="7414" xr:uid="{00000000-0005-0000-0000-0000A1380000}"/>
    <cellStyle name="Normal 69 3 3 2 5 2" xfId="18393" xr:uid="{00000000-0005-0000-0000-0000A2380000}"/>
    <cellStyle name="Normal 69 3 3 2 6" xfId="18394" xr:uid="{00000000-0005-0000-0000-0000A3380000}"/>
    <cellStyle name="Normal 69 3 3 3" xfId="7415" xr:uid="{00000000-0005-0000-0000-0000A4380000}"/>
    <cellStyle name="Normal 69 3 3 3 2" xfId="7416" xr:uid="{00000000-0005-0000-0000-0000A5380000}"/>
    <cellStyle name="Normal 69 3 3 3 2 2" xfId="7417" xr:uid="{00000000-0005-0000-0000-0000A6380000}"/>
    <cellStyle name="Normal 69 3 3 3 2 2 2" xfId="18395" xr:uid="{00000000-0005-0000-0000-0000A7380000}"/>
    <cellStyle name="Normal 69 3 3 3 2 3" xfId="7418" xr:uid="{00000000-0005-0000-0000-0000A8380000}"/>
    <cellStyle name="Normal 69 3 3 3 2 3 2" xfId="18396" xr:uid="{00000000-0005-0000-0000-0000A9380000}"/>
    <cellStyle name="Normal 69 3 3 3 2 4" xfId="18397" xr:uid="{00000000-0005-0000-0000-0000AA380000}"/>
    <cellStyle name="Normal 69 3 3 3 3" xfId="7419" xr:uid="{00000000-0005-0000-0000-0000AB380000}"/>
    <cellStyle name="Normal 69 3 3 3 3 2" xfId="7420" xr:uid="{00000000-0005-0000-0000-0000AC380000}"/>
    <cellStyle name="Normal 69 3 3 3 3 2 2" xfId="18398" xr:uid="{00000000-0005-0000-0000-0000AD380000}"/>
    <cellStyle name="Normal 69 3 3 3 3 3" xfId="7421" xr:uid="{00000000-0005-0000-0000-0000AE380000}"/>
    <cellStyle name="Normal 69 3 3 3 3 3 2" xfId="18399" xr:uid="{00000000-0005-0000-0000-0000AF380000}"/>
    <cellStyle name="Normal 69 3 3 3 3 4" xfId="18400" xr:uid="{00000000-0005-0000-0000-0000B0380000}"/>
    <cellStyle name="Normal 69 3 3 3 4" xfId="7422" xr:uid="{00000000-0005-0000-0000-0000B1380000}"/>
    <cellStyle name="Normal 69 3 3 3 4 2" xfId="18401" xr:uid="{00000000-0005-0000-0000-0000B2380000}"/>
    <cellStyle name="Normal 69 3 3 3 5" xfId="7423" xr:uid="{00000000-0005-0000-0000-0000B3380000}"/>
    <cellStyle name="Normal 69 3 3 3 5 2" xfId="18402" xr:uid="{00000000-0005-0000-0000-0000B4380000}"/>
    <cellStyle name="Normal 69 3 3 3 6" xfId="18403" xr:uid="{00000000-0005-0000-0000-0000B5380000}"/>
    <cellStyle name="Normal 69 3 3 4" xfId="7424" xr:uid="{00000000-0005-0000-0000-0000B6380000}"/>
    <cellStyle name="Normal 69 3 3 4 2" xfId="7425" xr:uid="{00000000-0005-0000-0000-0000B7380000}"/>
    <cellStyle name="Normal 69 3 3 4 2 2" xfId="18404" xr:uid="{00000000-0005-0000-0000-0000B8380000}"/>
    <cellStyle name="Normal 69 3 3 4 3" xfId="7426" xr:uid="{00000000-0005-0000-0000-0000B9380000}"/>
    <cellStyle name="Normal 69 3 3 4 3 2" xfId="18405" xr:uid="{00000000-0005-0000-0000-0000BA380000}"/>
    <cellStyle name="Normal 69 3 3 4 4" xfId="18406" xr:uid="{00000000-0005-0000-0000-0000BB380000}"/>
    <cellStyle name="Normal 69 3 3 5" xfId="7427" xr:uid="{00000000-0005-0000-0000-0000BC380000}"/>
    <cellStyle name="Normal 69 3 3 5 2" xfId="7428" xr:uid="{00000000-0005-0000-0000-0000BD380000}"/>
    <cellStyle name="Normal 69 3 3 5 2 2" xfId="18407" xr:uid="{00000000-0005-0000-0000-0000BE380000}"/>
    <cellStyle name="Normal 69 3 3 5 3" xfId="7429" xr:uid="{00000000-0005-0000-0000-0000BF380000}"/>
    <cellStyle name="Normal 69 3 3 5 3 2" xfId="18408" xr:uid="{00000000-0005-0000-0000-0000C0380000}"/>
    <cellStyle name="Normal 69 3 3 5 4" xfId="18409" xr:uid="{00000000-0005-0000-0000-0000C1380000}"/>
    <cellStyle name="Normal 69 3 3 6" xfId="7430" xr:uid="{00000000-0005-0000-0000-0000C2380000}"/>
    <cellStyle name="Normal 69 3 3 6 2" xfId="18410" xr:uid="{00000000-0005-0000-0000-0000C3380000}"/>
    <cellStyle name="Normal 69 3 3 7" xfId="7431" xr:uid="{00000000-0005-0000-0000-0000C4380000}"/>
    <cellStyle name="Normal 69 3 3 7 2" xfId="18411" xr:uid="{00000000-0005-0000-0000-0000C5380000}"/>
    <cellStyle name="Normal 69 3 3 8" xfId="18412" xr:uid="{00000000-0005-0000-0000-0000C6380000}"/>
    <cellStyle name="Normal 69 3 4" xfId="7432" xr:uid="{00000000-0005-0000-0000-0000C7380000}"/>
    <cellStyle name="Normal 69 3 4 2" xfId="7433" xr:uid="{00000000-0005-0000-0000-0000C8380000}"/>
    <cellStyle name="Normal 69 3 4 2 2" xfId="7434" xr:uid="{00000000-0005-0000-0000-0000C9380000}"/>
    <cellStyle name="Normal 69 3 4 2 2 2" xfId="7435" xr:uid="{00000000-0005-0000-0000-0000CA380000}"/>
    <cellStyle name="Normal 69 3 4 2 2 2 2" xfId="18413" xr:uid="{00000000-0005-0000-0000-0000CB380000}"/>
    <cellStyle name="Normal 69 3 4 2 2 3" xfId="7436" xr:uid="{00000000-0005-0000-0000-0000CC380000}"/>
    <cellStyle name="Normal 69 3 4 2 2 3 2" xfId="18414" xr:uid="{00000000-0005-0000-0000-0000CD380000}"/>
    <cellStyle name="Normal 69 3 4 2 2 4" xfId="18415" xr:uid="{00000000-0005-0000-0000-0000CE380000}"/>
    <cellStyle name="Normal 69 3 4 2 3" xfId="7437" xr:uid="{00000000-0005-0000-0000-0000CF380000}"/>
    <cellStyle name="Normal 69 3 4 2 3 2" xfId="7438" xr:uid="{00000000-0005-0000-0000-0000D0380000}"/>
    <cellStyle name="Normal 69 3 4 2 3 2 2" xfId="18416" xr:uid="{00000000-0005-0000-0000-0000D1380000}"/>
    <cellStyle name="Normal 69 3 4 2 3 3" xfId="7439" xr:uid="{00000000-0005-0000-0000-0000D2380000}"/>
    <cellStyle name="Normal 69 3 4 2 3 3 2" xfId="18417" xr:uid="{00000000-0005-0000-0000-0000D3380000}"/>
    <cellStyle name="Normal 69 3 4 2 3 4" xfId="18418" xr:uid="{00000000-0005-0000-0000-0000D4380000}"/>
    <cellStyle name="Normal 69 3 4 2 4" xfId="7440" xr:uid="{00000000-0005-0000-0000-0000D5380000}"/>
    <cellStyle name="Normal 69 3 4 2 4 2" xfId="18419" xr:uid="{00000000-0005-0000-0000-0000D6380000}"/>
    <cellStyle name="Normal 69 3 4 2 5" xfId="7441" xr:uid="{00000000-0005-0000-0000-0000D7380000}"/>
    <cellStyle name="Normal 69 3 4 2 5 2" xfId="18420" xr:uid="{00000000-0005-0000-0000-0000D8380000}"/>
    <cellStyle name="Normal 69 3 4 2 6" xfId="18421" xr:uid="{00000000-0005-0000-0000-0000D9380000}"/>
    <cellStyle name="Normal 69 3 4 3" xfId="7442" xr:uid="{00000000-0005-0000-0000-0000DA380000}"/>
    <cellStyle name="Normal 69 3 4 3 2" xfId="7443" xr:uid="{00000000-0005-0000-0000-0000DB380000}"/>
    <cellStyle name="Normal 69 3 4 3 2 2" xfId="7444" xr:uid="{00000000-0005-0000-0000-0000DC380000}"/>
    <cellStyle name="Normal 69 3 4 3 2 2 2" xfId="18422" xr:uid="{00000000-0005-0000-0000-0000DD380000}"/>
    <cellStyle name="Normal 69 3 4 3 2 3" xfId="7445" xr:uid="{00000000-0005-0000-0000-0000DE380000}"/>
    <cellStyle name="Normal 69 3 4 3 2 3 2" xfId="18423" xr:uid="{00000000-0005-0000-0000-0000DF380000}"/>
    <cellStyle name="Normal 69 3 4 3 2 4" xfId="18424" xr:uid="{00000000-0005-0000-0000-0000E0380000}"/>
    <cellStyle name="Normal 69 3 4 3 3" xfId="7446" xr:uid="{00000000-0005-0000-0000-0000E1380000}"/>
    <cellStyle name="Normal 69 3 4 3 3 2" xfId="7447" xr:uid="{00000000-0005-0000-0000-0000E2380000}"/>
    <cellStyle name="Normal 69 3 4 3 3 2 2" xfId="18425" xr:uid="{00000000-0005-0000-0000-0000E3380000}"/>
    <cellStyle name="Normal 69 3 4 3 3 3" xfId="7448" xr:uid="{00000000-0005-0000-0000-0000E4380000}"/>
    <cellStyle name="Normal 69 3 4 3 3 3 2" xfId="18426" xr:uid="{00000000-0005-0000-0000-0000E5380000}"/>
    <cellStyle name="Normal 69 3 4 3 3 4" xfId="18427" xr:uid="{00000000-0005-0000-0000-0000E6380000}"/>
    <cellStyle name="Normal 69 3 4 3 4" xfId="7449" xr:uid="{00000000-0005-0000-0000-0000E7380000}"/>
    <cellStyle name="Normal 69 3 4 3 4 2" xfId="18428" xr:uid="{00000000-0005-0000-0000-0000E8380000}"/>
    <cellStyle name="Normal 69 3 4 3 5" xfId="7450" xr:uid="{00000000-0005-0000-0000-0000E9380000}"/>
    <cellStyle name="Normal 69 3 4 3 5 2" xfId="18429" xr:uid="{00000000-0005-0000-0000-0000EA380000}"/>
    <cellStyle name="Normal 69 3 4 3 6" xfId="18430" xr:uid="{00000000-0005-0000-0000-0000EB380000}"/>
    <cellStyle name="Normal 69 3 4 4" xfId="7451" xr:uid="{00000000-0005-0000-0000-0000EC380000}"/>
    <cellStyle name="Normal 69 3 4 4 2" xfId="7452" xr:uid="{00000000-0005-0000-0000-0000ED380000}"/>
    <cellStyle name="Normal 69 3 4 4 2 2" xfId="18431" xr:uid="{00000000-0005-0000-0000-0000EE380000}"/>
    <cellStyle name="Normal 69 3 4 4 3" xfId="7453" xr:uid="{00000000-0005-0000-0000-0000EF380000}"/>
    <cellStyle name="Normal 69 3 4 4 3 2" xfId="18432" xr:uid="{00000000-0005-0000-0000-0000F0380000}"/>
    <cellStyle name="Normal 69 3 4 4 4" xfId="18433" xr:uid="{00000000-0005-0000-0000-0000F1380000}"/>
    <cellStyle name="Normal 69 3 4 5" xfId="7454" xr:uid="{00000000-0005-0000-0000-0000F2380000}"/>
    <cellStyle name="Normal 69 3 4 5 2" xfId="7455" xr:uid="{00000000-0005-0000-0000-0000F3380000}"/>
    <cellStyle name="Normal 69 3 4 5 2 2" xfId="18434" xr:uid="{00000000-0005-0000-0000-0000F4380000}"/>
    <cellStyle name="Normal 69 3 4 5 3" xfId="7456" xr:uid="{00000000-0005-0000-0000-0000F5380000}"/>
    <cellStyle name="Normal 69 3 4 5 3 2" xfId="18435" xr:uid="{00000000-0005-0000-0000-0000F6380000}"/>
    <cellStyle name="Normal 69 3 4 5 4" xfId="18436" xr:uid="{00000000-0005-0000-0000-0000F7380000}"/>
    <cellStyle name="Normal 69 3 4 6" xfId="7457" xr:uid="{00000000-0005-0000-0000-0000F8380000}"/>
    <cellStyle name="Normal 69 3 4 6 2" xfId="18437" xr:uid="{00000000-0005-0000-0000-0000F9380000}"/>
    <cellStyle name="Normal 69 3 4 7" xfId="7458" xr:uid="{00000000-0005-0000-0000-0000FA380000}"/>
    <cellStyle name="Normal 69 3 4 7 2" xfId="18438" xr:uid="{00000000-0005-0000-0000-0000FB380000}"/>
    <cellStyle name="Normal 69 3 4 8" xfId="18439" xr:uid="{00000000-0005-0000-0000-0000FC380000}"/>
    <cellStyle name="Normal 69 3 5" xfId="7459" xr:uid="{00000000-0005-0000-0000-0000FD380000}"/>
    <cellStyle name="Normal 69 3 5 2" xfId="7460" xr:uid="{00000000-0005-0000-0000-0000FE380000}"/>
    <cellStyle name="Normal 69 3 5 2 2" xfId="7461" xr:uid="{00000000-0005-0000-0000-0000FF380000}"/>
    <cellStyle name="Normal 69 3 5 2 2 2" xfId="18440" xr:uid="{00000000-0005-0000-0000-000000390000}"/>
    <cellStyle name="Normal 69 3 5 2 3" xfId="7462" xr:uid="{00000000-0005-0000-0000-000001390000}"/>
    <cellStyle name="Normal 69 3 5 2 3 2" xfId="18441" xr:uid="{00000000-0005-0000-0000-000002390000}"/>
    <cellStyle name="Normal 69 3 5 2 4" xfId="18442" xr:uid="{00000000-0005-0000-0000-000003390000}"/>
    <cellStyle name="Normal 69 3 5 3" xfId="7463" xr:uid="{00000000-0005-0000-0000-000004390000}"/>
    <cellStyle name="Normal 69 3 5 3 2" xfId="7464" xr:uid="{00000000-0005-0000-0000-000005390000}"/>
    <cellStyle name="Normal 69 3 5 3 2 2" xfId="18443" xr:uid="{00000000-0005-0000-0000-000006390000}"/>
    <cellStyle name="Normal 69 3 5 3 3" xfId="7465" xr:uid="{00000000-0005-0000-0000-000007390000}"/>
    <cellStyle name="Normal 69 3 5 3 3 2" xfId="18444" xr:uid="{00000000-0005-0000-0000-000008390000}"/>
    <cellStyle name="Normal 69 3 5 3 4" xfId="18445" xr:uid="{00000000-0005-0000-0000-000009390000}"/>
    <cellStyle name="Normal 69 3 5 4" xfId="7466" xr:uid="{00000000-0005-0000-0000-00000A390000}"/>
    <cellStyle name="Normal 69 3 5 4 2" xfId="18446" xr:uid="{00000000-0005-0000-0000-00000B390000}"/>
    <cellStyle name="Normal 69 3 5 5" xfId="7467" xr:uid="{00000000-0005-0000-0000-00000C390000}"/>
    <cellStyle name="Normal 69 3 5 5 2" xfId="18447" xr:uid="{00000000-0005-0000-0000-00000D390000}"/>
    <cellStyle name="Normal 69 3 5 6" xfId="18448" xr:uid="{00000000-0005-0000-0000-00000E390000}"/>
    <cellStyle name="Normal 69 3 6" xfId="7468" xr:uid="{00000000-0005-0000-0000-00000F390000}"/>
    <cellStyle name="Normal 69 3 6 2" xfId="7469" xr:uid="{00000000-0005-0000-0000-000010390000}"/>
    <cellStyle name="Normal 69 3 6 2 2" xfId="7470" xr:uid="{00000000-0005-0000-0000-000011390000}"/>
    <cellStyle name="Normal 69 3 6 2 2 2" xfId="18449" xr:uid="{00000000-0005-0000-0000-000012390000}"/>
    <cellStyle name="Normal 69 3 6 2 3" xfId="7471" xr:uid="{00000000-0005-0000-0000-000013390000}"/>
    <cellStyle name="Normal 69 3 6 2 3 2" xfId="18450" xr:uid="{00000000-0005-0000-0000-000014390000}"/>
    <cellStyle name="Normal 69 3 6 2 4" xfId="18451" xr:uid="{00000000-0005-0000-0000-000015390000}"/>
    <cellStyle name="Normal 69 3 6 3" xfId="7472" xr:uid="{00000000-0005-0000-0000-000016390000}"/>
    <cellStyle name="Normal 69 3 6 3 2" xfId="7473" xr:uid="{00000000-0005-0000-0000-000017390000}"/>
    <cellStyle name="Normal 69 3 6 3 2 2" xfId="18452" xr:uid="{00000000-0005-0000-0000-000018390000}"/>
    <cellStyle name="Normal 69 3 6 3 3" xfId="7474" xr:uid="{00000000-0005-0000-0000-000019390000}"/>
    <cellStyle name="Normal 69 3 6 3 3 2" xfId="18453" xr:uid="{00000000-0005-0000-0000-00001A390000}"/>
    <cellStyle name="Normal 69 3 6 3 4" xfId="18454" xr:uid="{00000000-0005-0000-0000-00001B390000}"/>
    <cellStyle name="Normal 69 3 6 4" xfId="7475" xr:uid="{00000000-0005-0000-0000-00001C390000}"/>
    <cellStyle name="Normal 69 3 6 4 2" xfId="18455" xr:uid="{00000000-0005-0000-0000-00001D390000}"/>
    <cellStyle name="Normal 69 3 6 5" xfId="7476" xr:uid="{00000000-0005-0000-0000-00001E390000}"/>
    <cellStyle name="Normal 69 3 6 5 2" xfId="18456" xr:uid="{00000000-0005-0000-0000-00001F390000}"/>
    <cellStyle name="Normal 69 3 6 6" xfId="18457" xr:uid="{00000000-0005-0000-0000-000020390000}"/>
    <cellStyle name="Normal 69 3 7" xfId="7477" xr:uid="{00000000-0005-0000-0000-000021390000}"/>
    <cellStyle name="Normal 69 3 7 2" xfId="7478" xr:uid="{00000000-0005-0000-0000-000022390000}"/>
    <cellStyle name="Normal 69 3 7 2 2" xfId="7479" xr:uid="{00000000-0005-0000-0000-000023390000}"/>
    <cellStyle name="Normal 69 3 7 2 2 2" xfId="18458" xr:uid="{00000000-0005-0000-0000-000024390000}"/>
    <cellStyle name="Normal 69 3 7 2 3" xfId="7480" xr:uid="{00000000-0005-0000-0000-000025390000}"/>
    <cellStyle name="Normal 69 3 7 2 3 2" xfId="18459" xr:uid="{00000000-0005-0000-0000-000026390000}"/>
    <cellStyle name="Normal 69 3 7 2 4" xfId="18460" xr:uid="{00000000-0005-0000-0000-000027390000}"/>
    <cellStyle name="Normal 69 3 7 3" xfId="7481" xr:uid="{00000000-0005-0000-0000-000028390000}"/>
    <cellStyle name="Normal 69 3 7 3 2" xfId="7482" xr:uid="{00000000-0005-0000-0000-000029390000}"/>
    <cellStyle name="Normal 69 3 7 3 2 2" xfId="18461" xr:uid="{00000000-0005-0000-0000-00002A390000}"/>
    <cellStyle name="Normal 69 3 7 3 3" xfId="7483" xr:uid="{00000000-0005-0000-0000-00002B390000}"/>
    <cellStyle name="Normal 69 3 7 3 3 2" xfId="18462" xr:uid="{00000000-0005-0000-0000-00002C390000}"/>
    <cellStyle name="Normal 69 3 7 3 4" xfId="18463" xr:uid="{00000000-0005-0000-0000-00002D390000}"/>
    <cellStyle name="Normal 69 3 7 4" xfId="7484" xr:uid="{00000000-0005-0000-0000-00002E390000}"/>
    <cellStyle name="Normal 69 3 7 4 2" xfId="18464" xr:uid="{00000000-0005-0000-0000-00002F390000}"/>
    <cellStyle name="Normal 69 3 7 5" xfId="7485" xr:uid="{00000000-0005-0000-0000-000030390000}"/>
    <cellStyle name="Normal 69 3 7 5 2" xfId="18465" xr:uid="{00000000-0005-0000-0000-000031390000}"/>
    <cellStyle name="Normal 69 3 7 6" xfId="18466" xr:uid="{00000000-0005-0000-0000-000032390000}"/>
    <cellStyle name="Normal 69 3 8" xfId="7486" xr:uid="{00000000-0005-0000-0000-000033390000}"/>
    <cellStyle name="Normal 69 3 8 2" xfId="7487" xr:uid="{00000000-0005-0000-0000-000034390000}"/>
    <cellStyle name="Normal 69 3 8 2 2" xfId="18467" xr:uid="{00000000-0005-0000-0000-000035390000}"/>
    <cellStyle name="Normal 69 3 8 3" xfId="7488" xr:uid="{00000000-0005-0000-0000-000036390000}"/>
    <cellStyle name="Normal 69 3 8 3 2" xfId="18468" xr:uid="{00000000-0005-0000-0000-000037390000}"/>
    <cellStyle name="Normal 69 3 8 4" xfId="18469" xr:uid="{00000000-0005-0000-0000-000038390000}"/>
    <cellStyle name="Normal 69 3 9" xfId="7489" xr:uid="{00000000-0005-0000-0000-000039390000}"/>
    <cellStyle name="Normal 69 3 9 2" xfId="7490" xr:uid="{00000000-0005-0000-0000-00003A390000}"/>
    <cellStyle name="Normal 69 3 9 2 2" xfId="18470" xr:uid="{00000000-0005-0000-0000-00003B390000}"/>
    <cellStyle name="Normal 69 3 9 3" xfId="7491" xr:uid="{00000000-0005-0000-0000-00003C390000}"/>
    <cellStyle name="Normal 69 3 9 3 2" xfId="18471" xr:uid="{00000000-0005-0000-0000-00003D390000}"/>
    <cellStyle name="Normal 69 3 9 4" xfId="18472" xr:uid="{00000000-0005-0000-0000-00003E390000}"/>
    <cellStyle name="Normal 69 4" xfId="7492" xr:uid="{00000000-0005-0000-0000-00003F390000}"/>
    <cellStyle name="Normal 69 4 2" xfId="11619" xr:uid="{00000000-0005-0000-0000-000040390000}"/>
    <cellStyle name="Normal 69 5" xfId="11620" xr:uid="{00000000-0005-0000-0000-000041390000}"/>
    <cellStyle name="Normal 69 5 2" xfId="11621" xr:uid="{00000000-0005-0000-0000-000042390000}"/>
    <cellStyle name="Normal 69 6" xfId="11622" xr:uid="{00000000-0005-0000-0000-000043390000}"/>
    <cellStyle name="Normal 69 6 2" xfId="11623" xr:uid="{00000000-0005-0000-0000-000044390000}"/>
    <cellStyle name="Normal 69 7" xfId="11624" xr:uid="{00000000-0005-0000-0000-000045390000}"/>
    <cellStyle name="Normal 69 8" xfId="11625" xr:uid="{00000000-0005-0000-0000-000046390000}"/>
    <cellStyle name="Normal 69 9" xfId="11626" xr:uid="{00000000-0005-0000-0000-000047390000}"/>
    <cellStyle name="Normal 690" xfId="10636" xr:uid="{00000000-0005-0000-0000-000048390000}"/>
    <cellStyle name="Normal 691" xfId="10637" xr:uid="{00000000-0005-0000-0000-000049390000}"/>
    <cellStyle name="Normal 692" xfId="10638" xr:uid="{00000000-0005-0000-0000-00004A390000}"/>
    <cellStyle name="Normal 693" xfId="10639" xr:uid="{00000000-0005-0000-0000-00004B390000}"/>
    <cellStyle name="Normal 694" xfId="10642" xr:uid="{00000000-0005-0000-0000-00004C390000}"/>
    <cellStyle name="Normal 695" xfId="10644" xr:uid="{00000000-0005-0000-0000-00004D390000}"/>
    <cellStyle name="Normal 696" xfId="10643" xr:uid="{00000000-0005-0000-0000-00004E390000}"/>
    <cellStyle name="Normal 697" xfId="10650" xr:uid="{00000000-0005-0000-0000-00004F390000}"/>
    <cellStyle name="Normal 698" xfId="10653" xr:uid="{00000000-0005-0000-0000-000050390000}"/>
    <cellStyle name="Normal 699" xfId="10657" xr:uid="{00000000-0005-0000-0000-000051390000}"/>
    <cellStyle name="Normal 7" xfId="226" xr:uid="{00000000-0005-0000-0000-000052390000}"/>
    <cellStyle name="Normal 7 10" xfId="12157" xr:uid="{00000000-0005-0000-0000-000053390000}"/>
    <cellStyle name="Normal 7 2" xfId="227" xr:uid="{00000000-0005-0000-0000-000054390000}"/>
    <cellStyle name="Normal 7 2 2" xfId="7493" xr:uid="{00000000-0005-0000-0000-000055390000}"/>
    <cellStyle name="Normal 7 2 2 2" xfId="12454" xr:uid="{00000000-0005-0000-0000-000056390000}"/>
    <cellStyle name="Normal 7 2 3" xfId="7494" xr:uid="{00000000-0005-0000-0000-000057390000}"/>
    <cellStyle name="Normal 7 2 3 2" xfId="12455" xr:uid="{00000000-0005-0000-0000-000058390000}"/>
    <cellStyle name="Normal 7 2 4" xfId="11627" xr:uid="{00000000-0005-0000-0000-000059390000}"/>
    <cellStyle name="Normal 7 2 4 2" xfId="12456" xr:uid="{00000000-0005-0000-0000-00005A390000}"/>
    <cellStyle name="Normal 7 2 5" xfId="11628" xr:uid="{00000000-0005-0000-0000-00005B390000}"/>
    <cellStyle name="Normal 7 2 5 2" xfId="12457" xr:uid="{00000000-0005-0000-0000-00005C390000}"/>
    <cellStyle name="Normal 7 2 6" xfId="12453" xr:uid="{00000000-0005-0000-0000-00005D390000}"/>
    <cellStyle name="Normal 7 3" xfId="7495" xr:uid="{00000000-0005-0000-0000-00005E390000}"/>
    <cellStyle name="Normal 7 3 2" xfId="7496" xr:uid="{00000000-0005-0000-0000-00005F390000}"/>
    <cellStyle name="Normal 7 3 2 2" xfId="12459" xr:uid="{00000000-0005-0000-0000-000060390000}"/>
    <cellStyle name="Normal 7 3 3" xfId="7497" xr:uid="{00000000-0005-0000-0000-000061390000}"/>
    <cellStyle name="Normal 7 3 3 2" xfId="12460" xr:uid="{00000000-0005-0000-0000-000062390000}"/>
    <cellStyle name="Normal 7 3 4" xfId="11629" xr:uid="{00000000-0005-0000-0000-000063390000}"/>
    <cellStyle name="Normal 7 3 4 2" xfId="12461" xr:uid="{00000000-0005-0000-0000-000064390000}"/>
    <cellStyle name="Normal 7 3 5" xfId="11630" xr:uid="{00000000-0005-0000-0000-000065390000}"/>
    <cellStyle name="Normal 7 3 5 2" xfId="12462" xr:uid="{00000000-0005-0000-0000-000066390000}"/>
    <cellStyle name="Normal 7 3 6" xfId="12458" xr:uid="{00000000-0005-0000-0000-000067390000}"/>
    <cellStyle name="Normal 7 4" xfId="7498" xr:uid="{00000000-0005-0000-0000-000068390000}"/>
    <cellStyle name="Normal 7 4 2" xfId="11631" xr:uid="{00000000-0005-0000-0000-000069390000}"/>
    <cellStyle name="Normal 7 4 2 2" xfId="12464" xr:uid="{00000000-0005-0000-0000-00006A390000}"/>
    <cellStyle name="Normal 7 4 3" xfId="11632" xr:uid="{00000000-0005-0000-0000-00006B390000}"/>
    <cellStyle name="Normal 7 4 3 2" xfId="12465" xr:uid="{00000000-0005-0000-0000-00006C390000}"/>
    <cellStyle name="Normal 7 4 4" xfId="11633" xr:uid="{00000000-0005-0000-0000-00006D390000}"/>
    <cellStyle name="Normal 7 4 4 2" xfId="12466" xr:uid="{00000000-0005-0000-0000-00006E390000}"/>
    <cellStyle name="Normal 7 4 5" xfId="12463" xr:uid="{00000000-0005-0000-0000-00006F390000}"/>
    <cellStyle name="Normal 7 5" xfId="7499" xr:uid="{00000000-0005-0000-0000-000070390000}"/>
    <cellStyle name="Normal 7 5 2" xfId="11634" xr:uid="{00000000-0005-0000-0000-000071390000}"/>
    <cellStyle name="Normal 7 5 2 2" xfId="12468" xr:uid="{00000000-0005-0000-0000-000072390000}"/>
    <cellStyle name="Normal 7 5 3" xfId="11635" xr:uid="{00000000-0005-0000-0000-000073390000}"/>
    <cellStyle name="Normal 7 5 3 2" xfId="12469" xr:uid="{00000000-0005-0000-0000-000074390000}"/>
    <cellStyle name="Normal 7 5 4" xfId="12467" xr:uid="{00000000-0005-0000-0000-000075390000}"/>
    <cellStyle name="Normal 7 6" xfId="7500" xr:uid="{00000000-0005-0000-0000-000076390000}"/>
    <cellStyle name="Normal 7 6 2" xfId="7501" xr:uid="{00000000-0005-0000-0000-000077390000}"/>
    <cellStyle name="Normal 7 6 2 2" xfId="18473" xr:uid="{00000000-0005-0000-0000-000078390000}"/>
    <cellStyle name="Normal 7 6 3" xfId="7502" xr:uid="{00000000-0005-0000-0000-000079390000}"/>
    <cellStyle name="Normal 7 6 3 2" xfId="18474" xr:uid="{00000000-0005-0000-0000-00007A390000}"/>
    <cellStyle name="Normal 7 6 4" xfId="12470" xr:uid="{00000000-0005-0000-0000-00007B390000}"/>
    <cellStyle name="Normal 7 7" xfId="7503" xr:uid="{00000000-0005-0000-0000-00007C390000}"/>
    <cellStyle name="Normal 7 7 2" xfId="7504" xr:uid="{00000000-0005-0000-0000-00007D390000}"/>
    <cellStyle name="Normal 7 7 2 2" xfId="18475" xr:uid="{00000000-0005-0000-0000-00007E390000}"/>
    <cellStyle name="Normal 7 7 3" xfId="7505" xr:uid="{00000000-0005-0000-0000-00007F390000}"/>
    <cellStyle name="Normal 7 7 3 2" xfId="18476" xr:uid="{00000000-0005-0000-0000-000080390000}"/>
    <cellStyle name="Normal 7 7 4" xfId="12471" xr:uid="{00000000-0005-0000-0000-000081390000}"/>
    <cellStyle name="Normal 7 8" xfId="7506" xr:uid="{00000000-0005-0000-0000-000082390000}"/>
    <cellStyle name="Normal 7 8 2" xfId="12472" xr:uid="{00000000-0005-0000-0000-000083390000}"/>
    <cellStyle name="Normal 7 9" xfId="7507" xr:uid="{00000000-0005-0000-0000-000084390000}"/>
    <cellStyle name="Normal 7 9 2" xfId="18477" xr:uid="{00000000-0005-0000-0000-000085390000}"/>
    <cellStyle name="Normal 70" xfId="7508" xr:uid="{00000000-0005-0000-0000-000086390000}"/>
    <cellStyle name="Normal 70 10" xfId="11636" xr:uid="{00000000-0005-0000-0000-000087390000}"/>
    <cellStyle name="Normal 70 11" xfId="11637" xr:uid="{00000000-0005-0000-0000-000088390000}"/>
    <cellStyle name="Normal 70 12" xfId="11638" xr:uid="{00000000-0005-0000-0000-000089390000}"/>
    <cellStyle name="Normal 70 13" xfId="11639" xr:uid="{00000000-0005-0000-0000-00008A390000}"/>
    <cellStyle name="Normal 70 14" xfId="11640" xr:uid="{00000000-0005-0000-0000-00008B390000}"/>
    <cellStyle name="Normal 70 15" xfId="11641" xr:uid="{00000000-0005-0000-0000-00008C390000}"/>
    <cellStyle name="Normal 70 16" xfId="11642" xr:uid="{00000000-0005-0000-0000-00008D390000}"/>
    <cellStyle name="Normal 70 17" xfId="11643" xr:uid="{00000000-0005-0000-0000-00008E390000}"/>
    <cellStyle name="Normal 70 18" xfId="11644" xr:uid="{00000000-0005-0000-0000-00008F390000}"/>
    <cellStyle name="Normal 70 19" xfId="11645" xr:uid="{00000000-0005-0000-0000-000090390000}"/>
    <cellStyle name="Normal 70 2" xfId="7509" xr:uid="{00000000-0005-0000-0000-000091390000}"/>
    <cellStyle name="Normal 70 2 2" xfId="11646" xr:uid="{00000000-0005-0000-0000-000092390000}"/>
    <cellStyle name="Normal 70 20" xfId="11647" xr:uid="{00000000-0005-0000-0000-000093390000}"/>
    <cellStyle name="Normal 70 3" xfId="7510" xr:uid="{00000000-0005-0000-0000-000094390000}"/>
    <cellStyle name="Normal 70 3 2" xfId="11648" xr:uid="{00000000-0005-0000-0000-000095390000}"/>
    <cellStyle name="Normal 70 4" xfId="11649" xr:uid="{00000000-0005-0000-0000-000096390000}"/>
    <cellStyle name="Normal 70 4 2" xfId="11650" xr:uid="{00000000-0005-0000-0000-000097390000}"/>
    <cellStyle name="Normal 70 5" xfId="11651" xr:uid="{00000000-0005-0000-0000-000098390000}"/>
    <cellStyle name="Normal 70 5 2" xfId="11652" xr:uid="{00000000-0005-0000-0000-000099390000}"/>
    <cellStyle name="Normal 70 6" xfId="11653" xr:uid="{00000000-0005-0000-0000-00009A390000}"/>
    <cellStyle name="Normal 70 6 2" xfId="11654" xr:uid="{00000000-0005-0000-0000-00009B390000}"/>
    <cellStyle name="Normal 70 7" xfId="11655" xr:uid="{00000000-0005-0000-0000-00009C390000}"/>
    <cellStyle name="Normal 70 8" xfId="11656" xr:uid="{00000000-0005-0000-0000-00009D390000}"/>
    <cellStyle name="Normal 70 9" xfId="11657" xr:uid="{00000000-0005-0000-0000-00009E390000}"/>
    <cellStyle name="Normal 700" xfId="10652" xr:uid="{00000000-0005-0000-0000-00009F390000}"/>
    <cellStyle name="Normal 701" xfId="10656" xr:uid="{00000000-0005-0000-0000-0000A0390000}"/>
    <cellStyle name="Normal 702" xfId="10655" xr:uid="{00000000-0005-0000-0000-0000A1390000}"/>
    <cellStyle name="Normal 703" xfId="10664" xr:uid="{00000000-0005-0000-0000-0000A2390000}"/>
    <cellStyle name="Normal 704" xfId="10661" xr:uid="{00000000-0005-0000-0000-0000A3390000}"/>
    <cellStyle name="Normal 705" xfId="10663" xr:uid="{00000000-0005-0000-0000-0000A4390000}"/>
    <cellStyle name="Normal 706" xfId="10668" xr:uid="{00000000-0005-0000-0000-0000A5390000}"/>
    <cellStyle name="Normal 707" xfId="10671" xr:uid="{00000000-0005-0000-0000-0000A6390000}"/>
    <cellStyle name="Normal 708" xfId="10672" xr:uid="{00000000-0005-0000-0000-0000A7390000}"/>
    <cellStyle name="Normal 709" xfId="12147" xr:uid="{00000000-0005-0000-0000-0000A8390000}"/>
    <cellStyle name="Normal 71" xfId="7511" xr:uid="{00000000-0005-0000-0000-0000A9390000}"/>
    <cellStyle name="Normal 71 10" xfId="11658" xr:uid="{00000000-0005-0000-0000-0000AA390000}"/>
    <cellStyle name="Normal 71 11" xfId="11659" xr:uid="{00000000-0005-0000-0000-0000AB390000}"/>
    <cellStyle name="Normal 71 12" xfId="11660" xr:uid="{00000000-0005-0000-0000-0000AC390000}"/>
    <cellStyle name="Normal 71 13" xfId="11661" xr:uid="{00000000-0005-0000-0000-0000AD390000}"/>
    <cellStyle name="Normal 71 14" xfId="11662" xr:uid="{00000000-0005-0000-0000-0000AE390000}"/>
    <cellStyle name="Normal 71 15" xfId="11663" xr:uid="{00000000-0005-0000-0000-0000AF390000}"/>
    <cellStyle name="Normal 71 16" xfId="11664" xr:uid="{00000000-0005-0000-0000-0000B0390000}"/>
    <cellStyle name="Normal 71 17" xfId="11665" xr:uid="{00000000-0005-0000-0000-0000B1390000}"/>
    <cellStyle name="Normal 71 18" xfId="11666" xr:uid="{00000000-0005-0000-0000-0000B2390000}"/>
    <cellStyle name="Normal 71 19" xfId="11667" xr:uid="{00000000-0005-0000-0000-0000B3390000}"/>
    <cellStyle name="Normal 71 2" xfId="7512" xr:uid="{00000000-0005-0000-0000-0000B4390000}"/>
    <cellStyle name="Normal 71 2 2" xfId="11668" xr:uid="{00000000-0005-0000-0000-0000B5390000}"/>
    <cellStyle name="Normal 71 20" xfId="11669" xr:uid="{00000000-0005-0000-0000-0000B6390000}"/>
    <cellStyle name="Normal 71 3" xfId="7513" xr:uid="{00000000-0005-0000-0000-0000B7390000}"/>
    <cellStyle name="Normal 71 3 2" xfId="11670" xr:uid="{00000000-0005-0000-0000-0000B8390000}"/>
    <cellStyle name="Normal 71 4" xfId="11671" xr:uid="{00000000-0005-0000-0000-0000B9390000}"/>
    <cellStyle name="Normal 71 4 2" xfId="11672" xr:uid="{00000000-0005-0000-0000-0000BA390000}"/>
    <cellStyle name="Normal 71 5" xfId="11673" xr:uid="{00000000-0005-0000-0000-0000BB390000}"/>
    <cellStyle name="Normal 71 5 2" xfId="11674" xr:uid="{00000000-0005-0000-0000-0000BC390000}"/>
    <cellStyle name="Normal 71 6" xfId="11675" xr:uid="{00000000-0005-0000-0000-0000BD390000}"/>
    <cellStyle name="Normal 71 6 2" xfId="11676" xr:uid="{00000000-0005-0000-0000-0000BE390000}"/>
    <cellStyle name="Normal 71 7" xfId="11677" xr:uid="{00000000-0005-0000-0000-0000BF390000}"/>
    <cellStyle name="Normal 71 8" xfId="11678" xr:uid="{00000000-0005-0000-0000-0000C0390000}"/>
    <cellStyle name="Normal 71 9" xfId="11679" xr:uid="{00000000-0005-0000-0000-0000C1390000}"/>
    <cellStyle name="Normal 710" xfId="12148" xr:uid="{00000000-0005-0000-0000-0000C2390000}"/>
    <cellStyle name="Normal 711" xfId="12149" xr:uid="{00000000-0005-0000-0000-0000C3390000}"/>
    <cellStyle name="Normal 712" xfId="12150" xr:uid="{00000000-0005-0000-0000-0000C4390000}"/>
    <cellStyle name="Normal 713" xfId="12151" xr:uid="{00000000-0005-0000-0000-0000C5390000}"/>
    <cellStyle name="Normal 714" xfId="12160" xr:uid="{00000000-0005-0000-0000-0000C6390000}"/>
    <cellStyle name="Normal 715" xfId="18478" xr:uid="{00000000-0005-0000-0000-0000C7390000}"/>
    <cellStyle name="Normal 716" xfId="18479" xr:uid="{00000000-0005-0000-0000-0000C8390000}"/>
    <cellStyle name="Normal 717" xfId="20889" xr:uid="{00000000-0005-0000-0000-0000C9390000}"/>
    <cellStyle name="Normal 718" xfId="20890" xr:uid="{00000000-0005-0000-0000-0000CA390000}"/>
    <cellStyle name="Normal 719" xfId="20891" xr:uid="{00000000-0005-0000-0000-0000CB390000}"/>
    <cellStyle name="Normal 72" xfId="7514" xr:uid="{00000000-0005-0000-0000-0000CC390000}"/>
    <cellStyle name="Normal 72 10" xfId="11680" xr:uid="{00000000-0005-0000-0000-0000CD390000}"/>
    <cellStyle name="Normal 72 11" xfId="11681" xr:uid="{00000000-0005-0000-0000-0000CE390000}"/>
    <cellStyle name="Normal 72 12" xfId="11682" xr:uid="{00000000-0005-0000-0000-0000CF390000}"/>
    <cellStyle name="Normal 72 13" xfId="11683" xr:uid="{00000000-0005-0000-0000-0000D0390000}"/>
    <cellStyle name="Normal 72 14" xfId="11684" xr:uid="{00000000-0005-0000-0000-0000D1390000}"/>
    <cellStyle name="Normal 72 15" xfId="11685" xr:uid="{00000000-0005-0000-0000-0000D2390000}"/>
    <cellStyle name="Normal 72 16" xfId="11686" xr:uid="{00000000-0005-0000-0000-0000D3390000}"/>
    <cellStyle name="Normal 72 17" xfId="11687" xr:uid="{00000000-0005-0000-0000-0000D4390000}"/>
    <cellStyle name="Normal 72 18" xfId="11688" xr:uid="{00000000-0005-0000-0000-0000D5390000}"/>
    <cellStyle name="Normal 72 19" xfId="11689" xr:uid="{00000000-0005-0000-0000-0000D6390000}"/>
    <cellStyle name="Normal 72 2" xfId="7515" xr:uid="{00000000-0005-0000-0000-0000D7390000}"/>
    <cellStyle name="Normal 72 2 2" xfId="11690" xr:uid="{00000000-0005-0000-0000-0000D8390000}"/>
    <cellStyle name="Normal 72 20" xfId="11691" xr:uid="{00000000-0005-0000-0000-0000D9390000}"/>
    <cellStyle name="Normal 72 3" xfId="7516" xr:uid="{00000000-0005-0000-0000-0000DA390000}"/>
    <cellStyle name="Normal 72 3 2" xfId="11692" xr:uid="{00000000-0005-0000-0000-0000DB390000}"/>
    <cellStyle name="Normal 72 4" xfId="11693" xr:uid="{00000000-0005-0000-0000-0000DC390000}"/>
    <cellStyle name="Normal 72 4 2" xfId="11694" xr:uid="{00000000-0005-0000-0000-0000DD390000}"/>
    <cellStyle name="Normal 72 5" xfId="11695" xr:uid="{00000000-0005-0000-0000-0000DE390000}"/>
    <cellStyle name="Normal 72 5 2" xfId="11696" xr:uid="{00000000-0005-0000-0000-0000DF390000}"/>
    <cellStyle name="Normal 72 6" xfId="11697" xr:uid="{00000000-0005-0000-0000-0000E0390000}"/>
    <cellStyle name="Normal 72 6 2" xfId="11698" xr:uid="{00000000-0005-0000-0000-0000E1390000}"/>
    <cellStyle name="Normal 72 7" xfId="11699" xr:uid="{00000000-0005-0000-0000-0000E2390000}"/>
    <cellStyle name="Normal 72 8" xfId="11700" xr:uid="{00000000-0005-0000-0000-0000E3390000}"/>
    <cellStyle name="Normal 72 9" xfId="11701" xr:uid="{00000000-0005-0000-0000-0000E4390000}"/>
    <cellStyle name="Normal 720" xfId="20892" xr:uid="{00000000-0005-0000-0000-0000E5390000}"/>
    <cellStyle name="Normal 721" xfId="20893" xr:uid="{00000000-0005-0000-0000-0000E6390000}"/>
    <cellStyle name="Normal 722" xfId="20899" xr:uid="{00000000-0005-0000-0000-0000E7390000}"/>
    <cellStyle name="Normal 723" xfId="20900" xr:uid="{00000000-0005-0000-0000-0000E8390000}"/>
    <cellStyle name="Normal 724" xfId="20901" xr:uid="{00000000-0005-0000-0000-0000E9390000}"/>
    <cellStyle name="Normal 725" xfId="20902" xr:uid="{00000000-0005-0000-0000-0000EA390000}"/>
    <cellStyle name="Normal 726" xfId="20903" xr:uid="{00000000-0005-0000-0000-0000EB390000}"/>
    <cellStyle name="Normal 727" xfId="20904" xr:uid="{00000000-0005-0000-0000-0000EC390000}"/>
    <cellStyle name="Normal 728" xfId="20905" xr:uid="{00000000-0005-0000-0000-0000ED390000}"/>
    <cellStyle name="Normal 729" xfId="20908" xr:uid="{00000000-0005-0000-0000-0000EE390000}"/>
    <cellStyle name="Normal 73" xfId="7517" xr:uid="{00000000-0005-0000-0000-0000EF390000}"/>
    <cellStyle name="Normal 73 10" xfId="11702" xr:uid="{00000000-0005-0000-0000-0000F0390000}"/>
    <cellStyle name="Normal 73 11" xfId="11703" xr:uid="{00000000-0005-0000-0000-0000F1390000}"/>
    <cellStyle name="Normal 73 12" xfId="11704" xr:uid="{00000000-0005-0000-0000-0000F2390000}"/>
    <cellStyle name="Normal 73 13" xfId="11705" xr:uid="{00000000-0005-0000-0000-0000F3390000}"/>
    <cellStyle name="Normal 73 14" xfId="11706" xr:uid="{00000000-0005-0000-0000-0000F4390000}"/>
    <cellStyle name="Normal 73 15" xfId="11707" xr:uid="{00000000-0005-0000-0000-0000F5390000}"/>
    <cellStyle name="Normal 73 16" xfId="11708" xr:uid="{00000000-0005-0000-0000-0000F6390000}"/>
    <cellStyle name="Normal 73 17" xfId="11709" xr:uid="{00000000-0005-0000-0000-0000F7390000}"/>
    <cellStyle name="Normal 73 18" xfId="11710" xr:uid="{00000000-0005-0000-0000-0000F8390000}"/>
    <cellStyle name="Normal 73 19" xfId="11711" xr:uid="{00000000-0005-0000-0000-0000F9390000}"/>
    <cellStyle name="Normal 73 2" xfId="7518" xr:uid="{00000000-0005-0000-0000-0000FA390000}"/>
    <cellStyle name="Normal 73 2 2" xfId="11712" xr:uid="{00000000-0005-0000-0000-0000FB390000}"/>
    <cellStyle name="Normal 73 20" xfId="11713" xr:uid="{00000000-0005-0000-0000-0000FC390000}"/>
    <cellStyle name="Normal 73 3" xfId="7519" xr:uid="{00000000-0005-0000-0000-0000FD390000}"/>
    <cellStyle name="Normal 73 3 2" xfId="11714" xr:uid="{00000000-0005-0000-0000-0000FE390000}"/>
    <cellStyle name="Normal 73 4" xfId="11715" xr:uid="{00000000-0005-0000-0000-0000FF390000}"/>
    <cellStyle name="Normal 73 4 2" xfId="11716" xr:uid="{00000000-0005-0000-0000-0000003A0000}"/>
    <cellStyle name="Normal 73 5" xfId="11717" xr:uid="{00000000-0005-0000-0000-0000013A0000}"/>
    <cellStyle name="Normal 73 5 2" xfId="11718" xr:uid="{00000000-0005-0000-0000-0000023A0000}"/>
    <cellStyle name="Normal 73 6" xfId="11719" xr:uid="{00000000-0005-0000-0000-0000033A0000}"/>
    <cellStyle name="Normal 73 6 2" xfId="11720" xr:uid="{00000000-0005-0000-0000-0000043A0000}"/>
    <cellStyle name="Normal 73 7" xfId="11721" xr:uid="{00000000-0005-0000-0000-0000053A0000}"/>
    <cellStyle name="Normal 73 8" xfId="11722" xr:uid="{00000000-0005-0000-0000-0000063A0000}"/>
    <cellStyle name="Normal 73 9" xfId="11723" xr:uid="{00000000-0005-0000-0000-0000073A0000}"/>
    <cellStyle name="Normal 730" xfId="20906" xr:uid="{00000000-0005-0000-0000-0000083A0000}"/>
    <cellStyle name="Normal 731" xfId="20907" xr:uid="{00000000-0005-0000-0000-0000093A0000}"/>
    <cellStyle name="Normal 732" xfId="20909" xr:uid="{00000000-0005-0000-0000-00000A3A0000}"/>
    <cellStyle name="Normal 733" xfId="20910" xr:uid="{665FD8D0-A735-41FC-83FE-F6DB972612A1}"/>
    <cellStyle name="Normal 734" xfId="20911" xr:uid="{C2B70ABD-934B-4715-839F-441A7F3DBE87}"/>
    <cellStyle name="Normal 74" xfId="7520" xr:uid="{00000000-0005-0000-0000-00000B3A0000}"/>
    <cellStyle name="Normal 74 10" xfId="11724" xr:uid="{00000000-0005-0000-0000-00000C3A0000}"/>
    <cellStyle name="Normal 74 11" xfId="11725" xr:uid="{00000000-0005-0000-0000-00000D3A0000}"/>
    <cellStyle name="Normal 74 12" xfId="11726" xr:uid="{00000000-0005-0000-0000-00000E3A0000}"/>
    <cellStyle name="Normal 74 13" xfId="11727" xr:uid="{00000000-0005-0000-0000-00000F3A0000}"/>
    <cellStyle name="Normal 74 14" xfId="11728" xr:uid="{00000000-0005-0000-0000-0000103A0000}"/>
    <cellStyle name="Normal 74 15" xfId="11729" xr:uid="{00000000-0005-0000-0000-0000113A0000}"/>
    <cellStyle name="Normal 74 16" xfId="11730" xr:uid="{00000000-0005-0000-0000-0000123A0000}"/>
    <cellStyle name="Normal 74 17" xfId="11731" xr:uid="{00000000-0005-0000-0000-0000133A0000}"/>
    <cellStyle name="Normal 74 18" xfId="11732" xr:uid="{00000000-0005-0000-0000-0000143A0000}"/>
    <cellStyle name="Normal 74 19" xfId="11733" xr:uid="{00000000-0005-0000-0000-0000153A0000}"/>
    <cellStyle name="Normal 74 2" xfId="7521" xr:uid="{00000000-0005-0000-0000-0000163A0000}"/>
    <cellStyle name="Normal 74 2 2" xfId="11734" xr:uid="{00000000-0005-0000-0000-0000173A0000}"/>
    <cellStyle name="Normal 74 20" xfId="11735" xr:uid="{00000000-0005-0000-0000-0000183A0000}"/>
    <cellStyle name="Normal 74 3" xfId="7522" xr:uid="{00000000-0005-0000-0000-0000193A0000}"/>
    <cellStyle name="Normal 74 3 2" xfId="11736" xr:uid="{00000000-0005-0000-0000-00001A3A0000}"/>
    <cellStyle name="Normal 74 4" xfId="11737" xr:uid="{00000000-0005-0000-0000-00001B3A0000}"/>
    <cellStyle name="Normal 74 4 2" xfId="11738" xr:uid="{00000000-0005-0000-0000-00001C3A0000}"/>
    <cellStyle name="Normal 74 5" xfId="11739" xr:uid="{00000000-0005-0000-0000-00001D3A0000}"/>
    <cellStyle name="Normal 74 5 2" xfId="11740" xr:uid="{00000000-0005-0000-0000-00001E3A0000}"/>
    <cellStyle name="Normal 74 6" xfId="11741" xr:uid="{00000000-0005-0000-0000-00001F3A0000}"/>
    <cellStyle name="Normal 74 6 2" xfId="11742" xr:uid="{00000000-0005-0000-0000-0000203A0000}"/>
    <cellStyle name="Normal 74 7" xfId="11743" xr:uid="{00000000-0005-0000-0000-0000213A0000}"/>
    <cellStyle name="Normal 74 8" xfId="11744" xr:uid="{00000000-0005-0000-0000-0000223A0000}"/>
    <cellStyle name="Normal 74 9" xfId="11745" xr:uid="{00000000-0005-0000-0000-0000233A0000}"/>
    <cellStyle name="Normal 75" xfId="7523" xr:uid="{00000000-0005-0000-0000-0000243A0000}"/>
    <cellStyle name="Normal 75 10" xfId="11746" xr:uid="{00000000-0005-0000-0000-0000253A0000}"/>
    <cellStyle name="Normal 75 11" xfId="11747" xr:uid="{00000000-0005-0000-0000-0000263A0000}"/>
    <cellStyle name="Normal 75 12" xfId="11748" xr:uid="{00000000-0005-0000-0000-0000273A0000}"/>
    <cellStyle name="Normal 75 13" xfId="11749" xr:uid="{00000000-0005-0000-0000-0000283A0000}"/>
    <cellStyle name="Normal 75 14" xfId="11750" xr:uid="{00000000-0005-0000-0000-0000293A0000}"/>
    <cellStyle name="Normal 75 15" xfId="11751" xr:uid="{00000000-0005-0000-0000-00002A3A0000}"/>
    <cellStyle name="Normal 75 16" xfId="11752" xr:uid="{00000000-0005-0000-0000-00002B3A0000}"/>
    <cellStyle name="Normal 75 17" xfId="11753" xr:uid="{00000000-0005-0000-0000-00002C3A0000}"/>
    <cellStyle name="Normal 75 18" xfId="11754" xr:uid="{00000000-0005-0000-0000-00002D3A0000}"/>
    <cellStyle name="Normal 75 19" xfId="11755" xr:uid="{00000000-0005-0000-0000-00002E3A0000}"/>
    <cellStyle name="Normal 75 2" xfId="7524" xr:uid="{00000000-0005-0000-0000-00002F3A0000}"/>
    <cellStyle name="Normal 75 2 2" xfId="11756" xr:uid="{00000000-0005-0000-0000-0000303A0000}"/>
    <cellStyle name="Normal 75 20" xfId="11757" xr:uid="{00000000-0005-0000-0000-0000313A0000}"/>
    <cellStyle name="Normal 75 3" xfId="7525" xr:uid="{00000000-0005-0000-0000-0000323A0000}"/>
    <cellStyle name="Normal 75 3 2" xfId="11758" xr:uid="{00000000-0005-0000-0000-0000333A0000}"/>
    <cellStyle name="Normal 75 4" xfId="11759" xr:uid="{00000000-0005-0000-0000-0000343A0000}"/>
    <cellStyle name="Normal 75 4 2" xfId="11760" xr:uid="{00000000-0005-0000-0000-0000353A0000}"/>
    <cellStyle name="Normal 75 5" xfId="11761" xr:uid="{00000000-0005-0000-0000-0000363A0000}"/>
    <cellStyle name="Normal 75 5 2" xfId="11762" xr:uid="{00000000-0005-0000-0000-0000373A0000}"/>
    <cellStyle name="Normal 75 6" xfId="11763" xr:uid="{00000000-0005-0000-0000-0000383A0000}"/>
    <cellStyle name="Normal 75 6 2" xfId="11764" xr:uid="{00000000-0005-0000-0000-0000393A0000}"/>
    <cellStyle name="Normal 75 7" xfId="11765" xr:uid="{00000000-0005-0000-0000-00003A3A0000}"/>
    <cellStyle name="Normal 75 8" xfId="11766" xr:uid="{00000000-0005-0000-0000-00003B3A0000}"/>
    <cellStyle name="Normal 75 9" xfId="11767" xr:uid="{00000000-0005-0000-0000-00003C3A0000}"/>
    <cellStyle name="Normal 76" xfId="7526" xr:uid="{00000000-0005-0000-0000-00003D3A0000}"/>
    <cellStyle name="Normal 76 10" xfId="7527" xr:uid="{00000000-0005-0000-0000-00003E3A0000}"/>
    <cellStyle name="Normal 76 10 2" xfId="12473" xr:uid="{00000000-0005-0000-0000-00003F3A0000}"/>
    <cellStyle name="Normal 76 11" xfId="7528" xr:uid="{00000000-0005-0000-0000-0000403A0000}"/>
    <cellStyle name="Normal 76 11 2" xfId="12474" xr:uid="{00000000-0005-0000-0000-0000413A0000}"/>
    <cellStyle name="Normal 76 12" xfId="11768" xr:uid="{00000000-0005-0000-0000-0000423A0000}"/>
    <cellStyle name="Normal 76 13" xfId="11769" xr:uid="{00000000-0005-0000-0000-0000433A0000}"/>
    <cellStyle name="Normal 76 14" xfId="11770" xr:uid="{00000000-0005-0000-0000-0000443A0000}"/>
    <cellStyle name="Normal 76 15" xfId="11771" xr:uid="{00000000-0005-0000-0000-0000453A0000}"/>
    <cellStyle name="Normal 76 16" xfId="11772" xr:uid="{00000000-0005-0000-0000-0000463A0000}"/>
    <cellStyle name="Normal 76 17" xfId="11773" xr:uid="{00000000-0005-0000-0000-0000473A0000}"/>
    <cellStyle name="Normal 76 18" xfId="11774" xr:uid="{00000000-0005-0000-0000-0000483A0000}"/>
    <cellStyle name="Normal 76 19" xfId="11775" xr:uid="{00000000-0005-0000-0000-0000493A0000}"/>
    <cellStyle name="Normal 76 2" xfId="7529" xr:uid="{00000000-0005-0000-0000-00004A3A0000}"/>
    <cellStyle name="Normal 76 2 2" xfId="7530" xr:uid="{00000000-0005-0000-0000-00004B3A0000}"/>
    <cellStyle name="Normal 76 2 2 2" xfId="7531" xr:uid="{00000000-0005-0000-0000-00004C3A0000}"/>
    <cellStyle name="Normal 76 2 2 2 2" xfId="7532" xr:uid="{00000000-0005-0000-0000-00004D3A0000}"/>
    <cellStyle name="Normal 76 2 2 2 2 2" xfId="7533" xr:uid="{00000000-0005-0000-0000-00004E3A0000}"/>
    <cellStyle name="Normal 76 2 2 2 2 2 2" xfId="18480" xr:uid="{00000000-0005-0000-0000-00004F3A0000}"/>
    <cellStyle name="Normal 76 2 2 2 2 3" xfId="7534" xr:uid="{00000000-0005-0000-0000-0000503A0000}"/>
    <cellStyle name="Normal 76 2 2 2 2 3 2" xfId="18481" xr:uid="{00000000-0005-0000-0000-0000513A0000}"/>
    <cellStyle name="Normal 76 2 2 2 2 4" xfId="18482" xr:uid="{00000000-0005-0000-0000-0000523A0000}"/>
    <cellStyle name="Normal 76 2 2 2 3" xfId="7535" xr:uid="{00000000-0005-0000-0000-0000533A0000}"/>
    <cellStyle name="Normal 76 2 2 2 3 2" xfId="7536" xr:uid="{00000000-0005-0000-0000-0000543A0000}"/>
    <cellStyle name="Normal 76 2 2 2 3 2 2" xfId="18483" xr:uid="{00000000-0005-0000-0000-0000553A0000}"/>
    <cellStyle name="Normal 76 2 2 2 3 3" xfId="7537" xr:uid="{00000000-0005-0000-0000-0000563A0000}"/>
    <cellStyle name="Normal 76 2 2 2 3 3 2" xfId="18484" xr:uid="{00000000-0005-0000-0000-0000573A0000}"/>
    <cellStyle name="Normal 76 2 2 2 3 4" xfId="18485" xr:uid="{00000000-0005-0000-0000-0000583A0000}"/>
    <cellStyle name="Normal 76 2 2 2 4" xfId="7538" xr:uid="{00000000-0005-0000-0000-0000593A0000}"/>
    <cellStyle name="Normal 76 2 2 2 4 2" xfId="18486" xr:uid="{00000000-0005-0000-0000-00005A3A0000}"/>
    <cellStyle name="Normal 76 2 2 2 5" xfId="7539" xr:uid="{00000000-0005-0000-0000-00005B3A0000}"/>
    <cellStyle name="Normal 76 2 2 2 5 2" xfId="18487" xr:uid="{00000000-0005-0000-0000-00005C3A0000}"/>
    <cellStyle name="Normal 76 2 2 2 6" xfId="18488" xr:uid="{00000000-0005-0000-0000-00005D3A0000}"/>
    <cellStyle name="Normal 76 2 2 3" xfId="7540" xr:uid="{00000000-0005-0000-0000-00005E3A0000}"/>
    <cellStyle name="Normal 76 2 2 3 2" xfId="7541" xr:uid="{00000000-0005-0000-0000-00005F3A0000}"/>
    <cellStyle name="Normal 76 2 2 3 2 2" xfId="7542" xr:uid="{00000000-0005-0000-0000-0000603A0000}"/>
    <cellStyle name="Normal 76 2 2 3 2 2 2" xfId="18489" xr:uid="{00000000-0005-0000-0000-0000613A0000}"/>
    <cellStyle name="Normal 76 2 2 3 2 3" xfId="7543" xr:uid="{00000000-0005-0000-0000-0000623A0000}"/>
    <cellStyle name="Normal 76 2 2 3 2 3 2" xfId="18490" xr:uid="{00000000-0005-0000-0000-0000633A0000}"/>
    <cellStyle name="Normal 76 2 2 3 2 4" xfId="18491" xr:uid="{00000000-0005-0000-0000-0000643A0000}"/>
    <cellStyle name="Normal 76 2 2 3 3" xfId="7544" xr:uid="{00000000-0005-0000-0000-0000653A0000}"/>
    <cellStyle name="Normal 76 2 2 3 3 2" xfId="7545" xr:uid="{00000000-0005-0000-0000-0000663A0000}"/>
    <cellStyle name="Normal 76 2 2 3 3 2 2" xfId="18492" xr:uid="{00000000-0005-0000-0000-0000673A0000}"/>
    <cellStyle name="Normal 76 2 2 3 3 3" xfId="7546" xr:uid="{00000000-0005-0000-0000-0000683A0000}"/>
    <cellStyle name="Normal 76 2 2 3 3 3 2" xfId="18493" xr:uid="{00000000-0005-0000-0000-0000693A0000}"/>
    <cellStyle name="Normal 76 2 2 3 3 4" xfId="18494" xr:uid="{00000000-0005-0000-0000-00006A3A0000}"/>
    <cellStyle name="Normal 76 2 2 3 4" xfId="7547" xr:uid="{00000000-0005-0000-0000-00006B3A0000}"/>
    <cellStyle name="Normal 76 2 2 3 4 2" xfId="18495" xr:uid="{00000000-0005-0000-0000-00006C3A0000}"/>
    <cellStyle name="Normal 76 2 2 3 5" xfId="7548" xr:uid="{00000000-0005-0000-0000-00006D3A0000}"/>
    <cellStyle name="Normal 76 2 2 3 5 2" xfId="18496" xr:uid="{00000000-0005-0000-0000-00006E3A0000}"/>
    <cellStyle name="Normal 76 2 2 3 6" xfId="18497" xr:uid="{00000000-0005-0000-0000-00006F3A0000}"/>
    <cellStyle name="Normal 76 2 2 4" xfId="7549" xr:uid="{00000000-0005-0000-0000-0000703A0000}"/>
    <cellStyle name="Normal 76 2 2 4 2" xfId="7550" xr:uid="{00000000-0005-0000-0000-0000713A0000}"/>
    <cellStyle name="Normal 76 2 2 4 2 2" xfId="18498" xr:uid="{00000000-0005-0000-0000-0000723A0000}"/>
    <cellStyle name="Normal 76 2 2 4 3" xfId="7551" xr:uid="{00000000-0005-0000-0000-0000733A0000}"/>
    <cellStyle name="Normal 76 2 2 4 3 2" xfId="18499" xr:uid="{00000000-0005-0000-0000-0000743A0000}"/>
    <cellStyle name="Normal 76 2 2 4 4" xfId="18500" xr:uid="{00000000-0005-0000-0000-0000753A0000}"/>
    <cellStyle name="Normal 76 2 2 5" xfId="7552" xr:uid="{00000000-0005-0000-0000-0000763A0000}"/>
    <cellStyle name="Normal 76 2 2 5 2" xfId="7553" xr:uid="{00000000-0005-0000-0000-0000773A0000}"/>
    <cellStyle name="Normal 76 2 2 5 2 2" xfId="18501" xr:uid="{00000000-0005-0000-0000-0000783A0000}"/>
    <cellStyle name="Normal 76 2 2 5 3" xfId="7554" xr:uid="{00000000-0005-0000-0000-0000793A0000}"/>
    <cellStyle name="Normal 76 2 2 5 3 2" xfId="18502" xr:uid="{00000000-0005-0000-0000-00007A3A0000}"/>
    <cellStyle name="Normal 76 2 2 5 4" xfId="18503" xr:uid="{00000000-0005-0000-0000-00007B3A0000}"/>
    <cellStyle name="Normal 76 2 2 6" xfId="7555" xr:uid="{00000000-0005-0000-0000-00007C3A0000}"/>
    <cellStyle name="Normal 76 2 2 6 2" xfId="18504" xr:uid="{00000000-0005-0000-0000-00007D3A0000}"/>
    <cellStyle name="Normal 76 2 2 7" xfId="7556" xr:uid="{00000000-0005-0000-0000-00007E3A0000}"/>
    <cellStyle name="Normal 76 2 2 7 2" xfId="18505" xr:uid="{00000000-0005-0000-0000-00007F3A0000}"/>
    <cellStyle name="Normal 76 2 2 8" xfId="12476" xr:uid="{00000000-0005-0000-0000-0000803A0000}"/>
    <cellStyle name="Normal 76 2 3" xfId="7557" xr:uid="{00000000-0005-0000-0000-0000813A0000}"/>
    <cellStyle name="Normal 76 2 3 2" xfId="7558" xr:uid="{00000000-0005-0000-0000-0000823A0000}"/>
    <cellStyle name="Normal 76 2 3 2 2" xfId="7559" xr:uid="{00000000-0005-0000-0000-0000833A0000}"/>
    <cellStyle name="Normal 76 2 3 2 2 2" xfId="18506" xr:uid="{00000000-0005-0000-0000-0000843A0000}"/>
    <cellStyle name="Normal 76 2 3 2 3" xfId="7560" xr:uid="{00000000-0005-0000-0000-0000853A0000}"/>
    <cellStyle name="Normal 76 2 3 2 3 2" xfId="18507" xr:uid="{00000000-0005-0000-0000-0000863A0000}"/>
    <cellStyle name="Normal 76 2 3 2 4" xfId="18508" xr:uid="{00000000-0005-0000-0000-0000873A0000}"/>
    <cellStyle name="Normal 76 2 3 3" xfId="7561" xr:uid="{00000000-0005-0000-0000-0000883A0000}"/>
    <cellStyle name="Normal 76 2 3 3 2" xfId="7562" xr:uid="{00000000-0005-0000-0000-0000893A0000}"/>
    <cellStyle name="Normal 76 2 3 3 2 2" xfId="18509" xr:uid="{00000000-0005-0000-0000-00008A3A0000}"/>
    <cellStyle name="Normal 76 2 3 3 3" xfId="7563" xr:uid="{00000000-0005-0000-0000-00008B3A0000}"/>
    <cellStyle name="Normal 76 2 3 3 3 2" xfId="18510" xr:uid="{00000000-0005-0000-0000-00008C3A0000}"/>
    <cellStyle name="Normal 76 2 3 3 4" xfId="18511" xr:uid="{00000000-0005-0000-0000-00008D3A0000}"/>
    <cellStyle name="Normal 76 2 3 4" xfId="7564" xr:uid="{00000000-0005-0000-0000-00008E3A0000}"/>
    <cellStyle name="Normal 76 2 3 4 2" xfId="18512" xr:uid="{00000000-0005-0000-0000-00008F3A0000}"/>
    <cellStyle name="Normal 76 2 3 5" xfId="7565" xr:uid="{00000000-0005-0000-0000-0000903A0000}"/>
    <cellStyle name="Normal 76 2 3 5 2" xfId="18513" xr:uid="{00000000-0005-0000-0000-0000913A0000}"/>
    <cellStyle name="Normal 76 2 3 6" xfId="18514" xr:uid="{00000000-0005-0000-0000-0000923A0000}"/>
    <cellStyle name="Normal 76 2 4" xfId="7566" xr:uid="{00000000-0005-0000-0000-0000933A0000}"/>
    <cellStyle name="Normal 76 2 4 2" xfId="7567" xr:uid="{00000000-0005-0000-0000-0000943A0000}"/>
    <cellStyle name="Normal 76 2 4 2 2" xfId="7568" xr:uid="{00000000-0005-0000-0000-0000953A0000}"/>
    <cellStyle name="Normal 76 2 4 2 2 2" xfId="18515" xr:uid="{00000000-0005-0000-0000-0000963A0000}"/>
    <cellStyle name="Normal 76 2 4 2 3" xfId="7569" xr:uid="{00000000-0005-0000-0000-0000973A0000}"/>
    <cellStyle name="Normal 76 2 4 2 3 2" xfId="18516" xr:uid="{00000000-0005-0000-0000-0000983A0000}"/>
    <cellStyle name="Normal 76 2 4 2 4" xfId="18517" xr:uid="{00000000-0005-0000-0000-0000993A0000}"/>
    <cellStyle name="Normal 76 2 4 3" xfId="7570" xr:uid="{00000000-0005-0000-0000-00009A3A0000}"/>
    <cellStyle name="Normal 76 2 4 3 2" xfId="7571" xr:uid="{00000000-0005-0000-0000-00009B3A0000}"/>
    <cellStyle name="Normal 76 2 4 3 2 2" xfId="18518" xr:uid="{00000000-0005-0000-0000-00009C3A0000}"/>
    <cellStyle name="Normal 76 2 4 3 3" xfId="7572" xr:uid="{00000000-0005-0000-0000-00009D3A0000}"/>
    <cellStyle name="Normal 76 2 4 3 3 2" xfId="18519" xr:uid="{00000000-0005-0000-0000-00009E3A0000}"/>
    <cellStyle name="Normal 76 2 4 3 4" xfId="18520" xr:uid="{00000000-0005-0000-0000-00009F3A0000}"/>
    <cellStyle name="Normal 76 2 4 4" xfId="7573" xr:uid="{00000000-0005-0000-0000-0000A03A0000}"/>
    <cellStyle name="Normal 76 2 4 4 2" xfId="18521" xr:uid="{00000000-0005-0000-0000-0000A13A0000}"/>
    <cellStyle name="Normal 76 2 4 5" xfId="7574" xr:uid="{00000000-0005-0000-0000-0000A23A0000}"/>
    <cellStyle name="Normal 76 2 4 5 2" xfId="18522" xr:uid="{00000000-0005-0000-0000-0000A33A0000}"/>
    <cellStyle name="Normal 76 2 4 6" xfId="18523" xr:uid="{00000000-0005-0000-0000-0000A43A0000}"/>
    <cellStyle name="Normal 76 2 5" xfId="7575" xr:uid="{00000000-0005-0000-0000-0000A53A0000}"/>
    <cellStyle name="Normal 76 2 5 2" xfId="7576" xr:uid="{00000000-0005-0000-0000-0000A63A0000}"/>
    <cellStyle name="Normal 76 2 5 2 2" xfId="18524" xr:uid="{00000000-0005-0000-0000-0000A73A0000}"/>
    <cellStyle name="Normal 76 2 5 3" xfId="7577" xr:uid="{00000000-0005-0000-0000-0000A83A0000}"/>
    <cellStyle name="Normal 76 2 5 3 2" xfId="18525" xr:uid="{00000000-0005-0000-0000-0000A93A0000}"/>
    <cellStyle name="Normal 76 2 5 4" xfId="18526" xr:uid="{00000000-0005-0000-0000-0000AA3A0000}"/>
    <cellStyle name="Normal 76 2 6" xfId="7578" xr:uid="{00000000-0005-0000-0000-0000AB3A0000}"/>
    <cellStyle name="Normal 76 2 6 2" xfId="7579" xr:uid="{00000000-0005-0000-0000-0000AC3A0000}"/>
    <cellStyle name="Normal 76 2 6 2 2" xfId="18527" xr:uid="{00000000-0005-0000-0000-0000AD3A0000}"/>
    <cellStyle name="Normal 76 2 6 3" xfId="7580" xr:uid="{00000000-0005-0000-0000-0000AE3A0000}"/>
    <cellStyle name="Normal 76 2 6 3 2" xfId="18528" xr:uid="{00000000-0005-0000-0000-0000AF3A0000}"/>
    <cellStyle name="Normal 76 2 6 4" xfId="18529" xr:uid="{00000000-0005-0000-0000-0000B03A0000}"/>
    <cellStyle name="Normal 76 2 7" xfId="7581" xr:uid="{00000000-0005-0000-0000-0000B13A0000}"/>
    <cellStyle name="Normal 76 2 7 2" xfId="18530" xr:uid="{00000000-0005-0000-0000-0000B23A0000}"/>
    <cellStyle name="Normal 76 2 8" xfId="7582" xr:uid="{00000000-0005-0000-0000-0000B33A0000}"/>
    <cellStyle name="Normal 76 2 8 2" xfId="18531" xr:uid="{00000000-0005-0000-0000-0000B43A0000}"/>
    <cellStyle name="Normal 76 2 9" xfId="12475" xr:uid="{00000000-0005-0000-0000-0000B53A0000}"/>
    <cellStyle name="Normal 76 20" xfId="11776" xr:uid="{00000000-0005-0000-0000-0000B63A0000}"/>
    <cellStyle name="Normal 76 3" xfId="7583" xr:uid="{00000000-0005-0000-0000-0000B73A0000}"/>
    <cellStyle name="Normal 76 3 2" xfId="7584" xr:uid="{00000000-0005-0000-0000-0000B83A0000}"/>
    <cellStyle name="Normal 76 3 2 2" xfId="7585" xr:uid="{00000000-0005-0000-0000-0000B93A0000}"/>
    <cellStyle name="Normal 76 3 2 2 2" xfId="7586" xr:uid="{00000000-0005-0000-0000-0000BA3A0000}"/>
    <cellStyle name="Normal 76 3 2 2 2 2" xfId="18532" xr:uid="{00000000-0005-0000-0000-0000BB3A0000}"/>
    <cellStyle name="Normal 76 3 2 2 3" xfId="7587" xr:uid="{00000000-0005-0000-0000-0000BC3A0000}"/>
    <cellStyle name="Normal 76 3 2 2 3 2" xfId="18533" xr:uid="{00000000-0005-0000-0000-0000BD3A0000}"/>
    <cellStyle name="Normal 76 3 2 2 4" xfId="18534" xr:uid="{00000000-0005-0000-0000-0000BE3A0000}"/>
    <cellStyle name="Normal 76 3 2 3" xfId="7588" xr:uid="{00000000-0005-0000-0000-0000BF3A0000}"/>
    <cellStyle name="Normal 76 3 2 3 2" xfId="7589" xr:uid="{00000000-0005-0000-0000-0000C03A0000}"/>
    <cellStyle name="Normal 76 3 2 3 2 2" xfId="18535" xr:uid="{00000000-0005-0000-0000-0000C13A0000}"/>
    <cellStyle name="Normal 76 3 2 3 3" xfId="7590" xr:uid="{00000000-0005-0000-0000-0000C23A0000}"/>
    <cellStyle name="Normal 76 3 2 3 3 2" xfId="18536" xr:uid="{00000000-0005-0000-0000-0000C33A0000}"/>
    <cellStyle name="Normal 76 3 2 3 4" xfId="18537" xr:uid="{00000000-0005-0000-0000-0000C43A0000}"/>
    <cellStyle name="Normal 76 3 2 4" xfId="7591" xr:uid="{00000000-0005-0000-0000-0000C53A0000}"/>
    <cellStyle name="Normal 76 3 2 4 2" xfId="18538" xr:uid="{00000000-0005-0000-0000-0000C63A0000}"/>
    <cellStyle name="Normal 76 3 2 5" xfId="7592" xr:uid="{00000000-0005-0000-0000-0000C73A0000}"/>
    <cellStyle name="Normal 76 3 2 5 2" xfId="18539" xr:uid="{00000000-0005-0000-0000-0000C83A0000}"/>
    <cellStyle name="Normal 76 3 2 6" xfId="12478" xr:uid="{00000000-0005-0000-0000-0000C93A0000}"/>
    <cellStyle name="Normal 76 3 3" xfId="7593" xr:uid="{00000000-0005-0000-0000-0000CA3A0000}"/>
    <cellStyle name="Normal 76 3 3 2" xfId="7594" xr:uid="{00000000-0005-0000-0000-0000CB3A0000}"/>
    <cellStyle name="Normal 76 3 3 2 2" xfId="7595" xr:uid="{00000000-0005-0000-0000-0000CC3A0000}"/>
    <cellStyle name="Normal 76 3 3 2 2 2" xfId="18540" xr:uid="{00000000-0005-0000-0000-0000CD3A0000}"/>
    <cellStyle name="Normal 76 3 3 2 3" xfId="7596" xr:uid="{00000000-0005-0000-0000-0000CE3A0000}"/>
    <cellStyle name="Normal 76 3 3 2 3 2" xfId="18541" xr:uid="{00000000-0005-0000-0000-0000CF3A0000}"/>
    <cellStyle name="Normal 76 3 3 2 4" xfId="18542" xr:uid="{00000000-0005-0000-0000-0000D03A0000}"/>
    <cellStyle name="Normal 76 3 3 3" xfId="7597" xr:uid="{00000000-0005-0000-0000-0000D13A0000}"/>
    <cellStyle name="Normal 76 3 3 3 2" xfId="7598" xr:uid="{00000000-0005-0000-0000-0000D23A0000}"/>
    <cellStyle name="Normal 76 3 3 3 2 2" xfId="18543" xr:uid="{00000000-0005-0000-0000-0000D33A0000}"/>
    <cellStyle name="Normal 76 3 3 3 3" xfId="7599" xr:uid="{00000000-0005-0000-0000-0000D43A0000}"/>
    <cellStyle name="Normal 76 3 3 3 3 2" xfId="18544" xr:uid="{00000000-0005-0000-0000-0000D53A0000}"/>
    <cellStyle name="Normal 76 3 3 3 4" xfId="18545" xr:uid="{00000000-0005-0000-0000-0000D63A0000}"/>
    <cellStyle name="Normal 76 3 3 4" xfId="7600" xr:uid="{00000000-0005-0000-0000-0000D73A0000}"/>
    <cellStyle name="Normal 76 3 3 4 2" xfId="18546" xr:uid="{00000000-0005-0000-0000-0000D83A0000}"/>
    <cellStyle name="Normal 76 3 3 5" xfId="7601" xr:uid="{00000000-0005-0000-0000-0000D93A0000}"/>
    <cellStyle name="Normal 76 3 3 5 2" xfId="18547" xr:uid="{00000000-0005-0000-0000-0000DA3A0000}"/>
    <cellStyle name="Normal 76 3 3 6" xfId="18548" xr:uid="{00000000-0005-0000-0000-0000DB3A0000}"/>
    <cellStyle name="Normal 76 3 4" xfId="7602" xr:uid="{00000000-0005-0000-0000-0000DC3A0000}"/>
    <cellStyle name="Normal 76 3 4 2" xfId="7603" xr:uid="{00000000-0005-0000-0000-0000DD3A0000}"/>
    <cellStyle name="Normal 76 3 4 2 2" xfId="18549" xr:uid="{00000000-0005-0000-0000-0000DE3A0000}"/>
    <cellStyle name="Normal 76 3 4 3" xfId="7604" xr:uid="{00000000-0005-0000-0000-0000DF3A0000}"/>
    <cellStyle name="Normal 76 3 4 3 2" xfId="18550" xr:uid="{00000000-0005-0000-0000-0000E03A0000}"/>
    <cellStyle name="Normal 76 3 4 4" xfId="18551" xr:uid="{00000000-0005-0000-0000-0000E13A0000}"/>
    <cellStyle name="Normal 76 3 5" xfId="7605" xr:uid="{00000000-0005-0000-0000-0000E23A0000}"/>
    <cellStyle name="Normal 76 3 5 2" xfId="7606" xr:uid="{00000000-0005-0000-0000-0000E33A0000}"/>
    <cellStyle name="Normal 76 3 5 2 2" xfId="18552" xr:uid="{00000000-0005-0000-0000-0000E43A0000}"/>
    <cellStyle name="Normal 76 3 5 3" xfId="7607" xr:uid="{00000000-0005-0000-0000-0000E53A0000}"/>
    <cellStyle name="Normal 76 3 5 3 2" xfId="18553" xr:uid="{00000000-0005-0000-0000-0000E63A0000}"/>
    <cellStyle name="Normal 76 3 5 4" xfId="18554" xr:uid="{00000000-0005-0000-0000-0000E73A0000}"/>
    <cellStyle name="Normal 76 3 6" xfId="7608" xr:uid="{00000000-0005-0000-0000-0000E83A0000}"/>
    <cellStyle name="Normal 76 3 6 2" xfId="18555" xr:uid="{00000000-0005-0000-0000-0000E93A0000}"/>
    <cellStyle name="Normal 76 3 7" xfId="7609" xr:uid="{00000000-0005-0000-0000-0000EA3A0000}"/>
    <cellStyle name="Normal 76 3 7 2" xfId="18556" xr:uid="{00000000-0005-0000-0000-0000EB3A0000}"/>
    <cellStyle name="Normal 76 3 8" xfId="12477" xr:uid="{00000000-0005-0000-0000-0000EC3A0000}"/>
    <cellStyle name="Normal 76 4" xfId="7610" xr:uid="{00000000-0005-0000-0000-0000ED3A0000}"/>
    <cellStyle name="Normal 76 4 2" xfId="7611" xr:uid="{00000000-0005-0000-0000-0000EE3A0000}"/>
    <cellStyle name="Normal 76 4 2 2" xfId="7612" xr:uid="{00000000-0005-0000-0000-0000EF3A0000}"/>
    <cellStyle name="Normal 76 4 2 2 2" xfId="7613" xr:uid="{00000000-0005-0000-0000-0000F03A0000}"/>
    <cellStyle name="Normal 76 4 2 2 2 2" xfId="18557" xr:uid="{00000000-0005-0000-0000-0000F13A0000}"/>
    <cellStyle name="Normal 76 4 2 2 3" xfId="7614" xr:uid="{00000000-0005-0000-0000-0000F23A0000}"/>
    <cellStyle name="Normal 76 4 2 2 3 2" xfId="18558" xr:uid="{00000000-0005-0000-0000-0000F33A0000}"/>
    <cellStyle name="Normal 76 4 2 2 4" xfId="18559" xr:uid="{00000000-0005-0000-0000-0000F43A0000}"/>
    <cellStyle name="Normal 76 4 2 3" xfId="7615" xr:uid="{00000000-0005-0000-0000-0000F53A0000}"/>
    <cellStyle name="Normal 76 4 2 3 2" xfId="7616" xr:uid="{00000000-0005-0000-0000-0000F63A0000}"/>
    <cellStyle name="Normal 76 4 2 3 2 2" xfId="18560" xr:uid="{00000000-0005-0000-0000-0000F73A0000}"/>
    <cellStyle name="Normal 76 4 2 3 3" xfId="7617" xr:uid="{00000000-0005-0000-0000-0000F83A0000}"/>
    <cellStyle name="Normal 76 4 2 3 3 2" xfId="18561" xr:uid="{00000000-0005-0000-0000-0000F93A0000}"/>
    <cellStyle name="Normal 76 4 2 3 4" xfId="18562" xr:uid="{00000000-0005-0000-0000-0000FA3A0000}"/>
    <cellStyle name="Normal 76 4 2 4" xfId="7618" xr:uid="{00000000-0005-0000-0000-0000FB3A0000}"/>
    <cellStyle name="Normal 76 4 2 4 2" xfId="18563" xr:uid="{00000000-0005-0000-0000-0000FC3A0000}"/>
    <cellStyle name="Normal 76 4 2 5" xfId="7619" xr:uid="{00000000-0005-0000-0000-0000FD3A0000}"/>
    <cellStyle name="Normal 76 4 2 5 2" xfId="18564" xr:uid="{00000000-0005-0000-0000-0000FE3A0000}"/>
    <cellStyle name="Normal 76 4 2 6" xfId="12480" xr:uid="{00000000-0005-0000-0000-0000FF3A0000}"/>
    <cellStyle name="Normal 76 4 3" xfId="7620" xr:uid="{00000000-0005-0000-0000-0000003B0000}"/>
    <cellStyle name="Normal 76 4 3 2" xfId="7621" xr:uid="{00000000-0005-0000-0000-0000013B0000}"/>
    <cellStyle name="Normal 76 4 3 2 2" xfId="7622" xr:uid="{00000000-0005-0000-0000-0000023B0000}"/>
    <cellStyle name="Normal 76 4 3 2 2 2" xfId="18565" xr:uid="{00000000-0005-0000-0000-0000033B0000}"/>
    <cellStyle name="Normal 76 4 3 2 3" xfId="7623" xr:uid="{00000000-0005-0000-0000-0000043B0000}"/>
    <cellStyle name="Normal 76 4 3 2 3 2" xfId="18566" xr:uid="{00000000-0005-0000-0000-0000053B0000}"/>
    <cellStyle name="Normal 76 4 3 2 4" xfId="18567" xr:uid="{00000000-0005-0000-0000-0000063B0000}"/>
    <cellStyle name="Normal 76 4 3 3" xfId="7624" xr:uid="{00000000-0005-0000-0000-0000073B0000}"/>
    <cellStyle name="Normal 76 4 3 3 2" xfId="7625" xr:uid="{00000000-0005-0000-0000-0000083B0000}"/>
    <cellStyle name="Normal 76 4 3 3 2 2" xfId="18568" xr:uid="{00000000-0005-0000-0000-0000093B0000}"/>
    <cellStyle name="Normal 76 4 3 3 3" xfId="7626" xr:uid="{00000000-0005-0000-0000-00000A3B0000}"/>
    <cellStyle name="Normal 76 4 3 3 3 2" xfId="18569" xr:uid="{00000000-0005-0000-0000-00000B3B0000}"/>
    <cellStyle name="Normal 76 4 3 3 4" xfId="18570" xr:uid="{00000000-0005-0000-0000-00000C3B0000}"/>
    <cellStyle name="Normal 76 4 3 4" xfId="7627" xr:uid="{00000000-0005-0000-0000-00000D3B0000}"/>
    <cellStyle name="Normal 76 4 3 4 2" xfId="18571" xr:uid="{00000000-0005-0000-0000-00000E3B0000}"/>
    <cellStyle name="Normal 76 4 3 5" xfId="7628" xr:uid="{00000000-0005-0000-0000-00000F3B0000}"/>
    <cellStyle name="Normal 76 4 3 5 2" xfId="18572" xr:uid="{00000000-0005-0000-0000-0000103B0000}"/>
    <cellStyle name="Normal 76 4 3 6" xfId="18573" xr:uid="{00000000-0005-0000-0000-0000113B0000}"/>
    <cellStyle name="Normal 76 4 4" xfId="7629" xr:uid="{00000000-0005-0000-0000-0000123B0000}"/>
    <cellStyle name="Normal 76 4 4 2" xfId="7630" xr:uid="{00000000-0005-0000-0000-0000133B0000}"/>
    <cellStyle name="Normal 76 4 4 2 2" xfId="18574" xr:uid="{00000000-0005-0000-0000-0000143B0000}"/>
    <cellStyle name="Normal 76 4 4 3" xfId="7631" xr:uid="{00000000-0005-0000-0000-0000153B0000}"/>
    <cellStyle name="Normal 76 4 4 3 2" xfId="18575" xr:uid="{00000000-0005-0000-0000-0000163B0000}"/>
    <cellStyle name="Normal 76 4 4 4" xfId="18576" xr:uid="{00000000-0005-0000-0000-0000173B0000}"/>
    <cellStyle name="Normal 76 4 5" xfId="7632" xr:uid="{00000000-0005-0000-0000-0000183B0000}"/>
    <cellStyle name="Normal 76 4 5 2" xfId="7633" xr:uid="{00000000-0005-0000-0000-0000193B0000}"/>
    <cellStyle name="Normal 76 4 5 2 2" xfId="18577" xr:uid="{00000000-0005-0000-0000-00001A3B0000}"/>
    <cellStyle name="Normal 76 4 5 3" xfId="7634" xr:uid="{00000000-0005-0000-0000-00001B3B0000}"/>
    <cellStyle name="Normal 76 4 5 3 2" xfId="18578" xr:uid="{00000000-0005-0000-0000-00001C3B0000}"/>
    <cellStyle name="Normal 76 4 5 4" xfId="18579" xr:uid="{00000000-0005-0000-0000-00001D3B0000}"/>
    <cellStyle name="Normal 76 4 6" xfId="7635" xr:uid="{00000000-0005-0000-0000-00001E3B0000}"/>
    <cellStyle name="Normal 76 4 6 2" xfId="18580" xr:uid="{00000000-0005-0000-0000-00001F3B0000}"/>
    <cellStyle name="Normal 76 4 7" xfId="7636" xr:uid="{00000000-0005-0000-0000-0000203B0000}"/>
    <cellStyle name="Normal 76 4 7 2" xfId="18581" xr:uid="{00000000-0005-0000-0000-0000213B0000}"/>
    <cellStyle name="Normal 76 4 8" xfId="12479" xr:uid="{00000000-0005-0000-0000-0000223B0000}"/>
    <cellStyle name="Normal 76 5" xfId="7637" xr:uid="{00000000-0005-0000-0000-0000233B0000}"/>
    <cellStyle name="Normal 76 5 2" xfId="7638" xr:uid="{00000000-0005-0000-0000-0000243B0000}"/>
    <cellStyle name="Normal 76 5 2 2" xfId="7639" xr:uid="{00000000-0005-0000-0000-0000253B0000}"/>
    <cellStyle name="Normal 76 5 2 2 2" xfId="18582" xr:uid="{00000000-0005-0000-0000-0000263B0000}"/>
    <cellStyle name="Normal 76 5 2 3" xfId="7640" xr:uid="{00000000-0005-0000-0000-0000273B0000}"/>
    <cellStyle name="Normal 76 5 2 3 2" xfId="18583" xr:uid="{00000000-0005-0000-0000-0000283B0000}"/>
    <cellStyle name="Normal 76 5 2 4" xfId="12482" xr:uid="{00000000-0005-0000-0000-0000293B0000}"/>
    <cellStyle name="Normal 76 5 3" xfId="7641" xr:uid="{00000000-0005-0000-0000-00002A3B0000}"/>
    <cellStyle name="Normal 76 5 3 2" xfId="7642" xr:uid="{00000000-0005-0000-0000-00002B3B0000}"/>
    <cellStyle name="Normal 76 5 3 2 2" xfId="18584" xr:uid="{00000000-0005-0000-0000-00002C3B0000}"/>
    <cellStyle name="Normal 76 5 3 3" xfId="7643" xr:uid="{00000000-0005-0000-0000-00002D3B0000}"/>
    <cellStyle name="Normal 76 5 3 3 2" xfId="18585" xr:uid="{00000000-0005-0000-0000-00002E3B0000}"/>
    <cellStyle name="Normal 76 5 3 4" xfId="18586" xr:uid="{00000000-0005-0000-0000-00002F3B0000}"/>
    <cellStyle name="Normal 76 5 4" xfId="7644" xr:uid="{00000000-0005-0000-0000-0000303B0000}"/>
    <cellStyle name="Normal 76 5 4 2" xfId="18587" xr:uid="{00000000-0005-0000-0000-0000313B0000}"/>
    <cellStyle name="Normal 76 5 5" xfId="7645" xr:uid="{00000000-0005-0000-0000-0000323B0000}"/>
    <cellStyle name="Normal 76 5 5 2" xfId="18588" xr:uid="{00000000-0005-0000-0000-0000333B0000}"/>
    <cellStyle name="Normal 76 5 6" xfId="12481" xr:uid="{00000000-0005-0000-0000-0000343B0000}"/>
    <cellStyle name="Normal 76 6" xfId="7646" xr:uid="{00000000-0005-0000-0000-0000353B0000}"/>
    <cellStyle name="Normal 76 6 2" xfId="7647" xr:uid="{00000000-0005-0000-0000-0000363B0000}"/>
    <cellStyle name="Normal 76 6 2 2" xfId="7648" xr:uid="{00000000-0005-0000-0000-0000373B0000}"/>
    <cellStyle name="Normal 76 6 2 2 2" xfId="18589" xr:uid="{00000000-0005-0000-0000-0000383B0000}"/>
    <cellStyle name="Normal 76 6 2 3" xfId="7649" xr:uid="{00000000-0005-0000-0000-0000393B0000}"/>
    <cellStyle name="Normal 76 6 2 3 2" xfId="18590" xr:uid="{00000000-0005-0000-0000-00003A3B0000}"/>
    <cellStyle name="Normal 76 6 2 4" xfId="12484" xr:uid="{00000000-0005-0000-0000-00003B3B0000}"/>
    <cellStyle name="Normal 76 6 3" xfId="7650" xr:uid="{00000000-0005-0000-0000-00003C3B0000}"/>
    <cellStyle name="Normal 76 6 3 2" xfId="7651" xr:uid="{00000000-0005-0000-0000-00003D3B0000}"/>
    <cellStyle name="Normal 76 6 3 2 2" xfId="18591" xr:uid="{00000000-0005-0000-0000-00003E3B0000}"/>
    <cellStyle name="Normal 76 6 3 3" xfId="7652" xr:uid="{00000000-0005-0000-0000-00003F3B0000}"/>
    <cellStyle name="Normal 76 6 3 3 2" xfId="18592" xr:uid="{00000000-0005-0000-0000-0000403B0000}"/>
    <cellStyle name="Normal 76 6 3 4" xfId="18593" xr:uid="{00000000-0005-0000-0000-0000413B0000}"/>
    <cellStyle name="Normal 76 6 4" xfId="7653" xr:uid="{00000000-0005-0000-0000-0000423B0000}"/>
    <cellStyle name="Normal 76 6 4 2" xfId="18594" xr:uid="{00000000-0005-0000-0000-0000433B0000}"/>
    <cellStyle name="Normal 76 6 5" xfId="7654" xr:uid="{00000000-0005-0000-0000-0000443B0000}"/>
    <cellStyle name="Normal 76 6 5 2" xfId="18595" xr:uid="{00000000-0005-0000-0000-0000453B0000}"/>
    <cellStyle name="Normal 76 6 6" xfId="12483" xr:uid="{00000000-0005-0000-0000-0000463B0000}"/>
    <cellStyle name="Normal 76 7" xfId="7655" xr:uid="{00000000-0005-0000-0000-0000473B0000}"/>
    <cellStyle name="Normal 76 7 2" xfId="7656" xr:uid="{00000000-0005-0000-0000-0000483B0000}"/>
    <cellStyle name="Normal 76 7 2 2" xfId="7657" xr:uid="{00000000-0005-0000-0000-0000493B0000}"/>
    <cellStyle name="Normal 76 7 2 2 2" xfId="18596" xr:uid="{00000000-0005-0000-0000-00004A3B0000}"/>
    <cellStyle name="Normal 76 7 2 3" xfId="7658" xr:uid="{00000000-0005-0000-0000-00004B3B0000}"/>
    <cellStyle name="Normal 76 7 2 3 2" xfId="18597" xr:uid="{00000000-0005-0000-0000-00004C3B0000}"/>
    <cellStyle name="Normal 76 7 2 4" xfId="18598" xr:uid="{00000000-0005-0000-0000-00004D3B0000}"/>
    <cellStyle name="Normal 76 7 3" xfId="7659" xr:uid="{00000000-0005-0000-0000-00004E3B0000}"/>
    <cellStyle name="Normal 76 7 3 2" xfId="7660" xr:uid="{00000000-0005-0000-0000-00004F3B0000}"/>
    <cellStyle name="Normal 76 7 3 2 2" xfId="18599" xr:uid="{00000000-0005-0000-0000-0000503B0000}"/>
    <cellStyle name="Normal 76 7 3 3" xfId="7661" xr:uid="{00000000-0005-0000-0000-0000513B0000}"/>
    <cellStyle name="Normal 76 7 3 3 2" xfId="18600" xr:uid="{00000000-0005-0000-0000-0000523B0000}"/>
    <cellStyle name="Normal 76 7 3 4" xfId="18601" xr:uid="{00000000-0005-0000-0000-0000533B0000}"/>
    <cellStyle name="Normal 76 7 4" xfId="7662" xr:uid="{00000000-0005-0000-0000-0000543B0000}"/>
    <cellStyle name="Normal 76 7 4 2" xfId="18602" xr:uid="{00000000-0005-0000-0000-0000553B0000}"/>
    <cellStyle name="Normal 76 7 5" xfId="7663" xr:uid="{00000000-0005-0000-0000-0000563B0000}"/>
    <cellStyle name="Normal 76 7 5 2" xfId="18603" xr:uid="{00000000-0005-0000-0000-0000573B0000}"/>
    <cellStyle name="Normal 76 7 6" xfId="12485" xr:uid="{00000000-0005-0000-0000-0000583B0000}"/>
    <cellStyle name="Normal 76 8" xfId="7664" xr:uid="{00000000-0005-0000-0000-0000593B0000}"/>
    <cellStyle name="Normal 76 8 2" xfId="7665" xr:uid="{00000000-0005-0000-0000-00005A3B0000}"/>
    <cellStyle name="Normal 76 8 2 2" xfId="18604" xr:uid="{00000000-0005-0000-0000-00005B3B0000}"/>
    <cellStyle name="Normal 76 8 3" xfId="7666" xr:uid="{00000000-0005-0000-0000-00005C3B0000}"/>
    <cellStyle name="Normal 76 8 3 2" xfId="18605" xr:uid="{00000000-0005-0000-0000-00005D3B0000}"/>
    <cellStyle name="Normal 76 8 4" xfId="12486" xr:uid="{00000000-0005-0000-0000-00005E3B0000}"/>
    <cellStyle name="Normal 76 9" xfId="7667" xr:uid="{00000000-0005-0000-0000-00005F3B0000}"/>
    <cellStyle name="Normal 76 9 2" xfId="7668" xr:uid="{00000000-0005-0000-0000-0000603B0000}"/>
    <cellStyle name="Normal 76 9 2 2" xfId="18606" xr:uid="{00000000-0005-0000-0000-0000613B0000}"/>
    <cellStyle name="Normal 76 9 3" xfId="7669" xr:uid="{00000000-0005-0000-0000-0000623B0000}"/>
    <cellStyle name="Normal 76 9 3 2" xfId="18607" xr:uid="{00000000-0005-0000-0000-0000633B0000}"/>
    <cellStyle name="Normal 76 9 4" xfId="12487" xr:uid="{00000000-0005-0000-0000-0000643B0000}"/>
    <cellStyle name="Normal 77" xfId="7670" xr:uid="{00000000-0005-0000-0000-0000653B0000}"/>
    <cellStyle name="Normal 77 10" xfId="7671" xr:uid="{00000000-0005-0000-0000-0000663B0000}"/>
    <cellStyle name="Normal 77 10 2" xfId="12488" xr:uid="{00000000-0005-0000-0000-0000673B0000}"/>
    <cellStyle name="Normal 77 11" xfId="7672" xr:uid="{00000000-0005-0000-0000-0000683B0000}"/>
    <cellStyle name="Normal 77 11 2" xfId="12489" xr:uid="{00000000-0005-0000-0000-0000693B0000}"/>
    <cellStyle name="Normal 77 12" xfId="11777" xr:uid="{00000000-0005-0000-0000-00006A3B0000}"/>
    <cellStyle name="Normal 77 13" xfId="11778" xr:uid="{00000000-0005-0000-0000-00006B3B0000}"/>
    <cellStyle name="Normal 77 14" xfId="11779" xr:uid="{00000000-0005-0000-0000-00006C3B0000}"/>
    <cellStyle name="Normal 77 15" xfId="11780" xr:uid="{00000000-0005-0000-0000-00006D3B0000}"/>
    <cellStyle name="Normal 77 16" xfId="11781" xr:uid="{00000000-0005-0000-0000-00006E3B0000}"/>
    <cellStyle name="Normal 77 17" xfId="11782" xr:uid="{00000000-0005-0000-0000-00006F3B0000}"/>
    <cellStyle name="Normal 77 18" xfId="11783" xr:uid="{00000000-0005-0000-0000-0000703B0000}"/>
    <cellStyle name="Normal 77 19" xfId="11784" xr:uid="{00000000-0005-0000-0000-0000713B0000}"/>
    <cellStyle name="Normal 77 2" xfId="7673" xr:uid="{00000000-0005-0000-0000-0000723B0000}"/>
    <cellStyle name="Normal 77 2 2" xfId="7674" xr:uid="{00000000-0005-0000-0000-0000733B0000}"/>
    <cellStyle name="Normal 77 2 2 2" xfId="7675" xr:uid="{00000000-0005-0000-0000-0000743B0000}"/>
    <cellStyle name="Normal 77 2 2 2 2" xfId="7676" xr:uid="{00000000-0005-0000-0000-0000753B0000}"/>
    <cellStyle name="Normal 77 2 2 2 2 2" xfId="7677" xr:uid="{00000000-0005-0000-0000-0000763B0000}"/>
    <cellStyle name="Normal 77 2 2 2 2 2 2" xfId="18608" xr:uid="{00000000-0005-0000-0000-0000773B0000}"/>
    <cellStyle name="Normal 77 2 2 2 2 3" xfId="7678" xr:uid="{00000000-0005-0000-0000-0000783B0000}"/>
    <cellStyle name="Normal 77 2 2 2 2 3 2" xfId="18609" xr:uid="{00000000-0005-0000-0000-0000793B0000}"/>
    <cellStyle name="Normal 77 2 2 2 2 4" xfId="18610" xr:uid="{00000000-0005-0000-0000-00007A3B0000}"/>
    <cellStyle name="Normal 77 2 2 2 3" xfId="7679" xr:uid="{00000000-0005-0000-0000-00007B3B0000}"/>
    <cellStyle name="Normal 77 2 2 2 3 2" xfId="7680" xr:uid="{00000000-0005-0000-0000-00007C3B0000}"/>
    <cellStyle name="Normal 77 2 2 2 3 2 2" xfId="18611" xr:uid="{00000000-0005-0000-0000-00007D3B0000}"/>
    <cellStyle name="Normal 77 2 2 2 3 3" xfId="7681" xr:uid="{00000000-0005-0000-0000-00007E3B0000}"/>
    <cellStyle name="Normal 77 2 2 2 3 3 2" xfId="18612" xr:uid="{00000000-0005-0000-0000-00007F3B0000}"/>
    <cellStyle name="Normal 77 2 2 2 3 4" xfId="18613" xr:uid="{00000000-0005-0000-0000-0000803B0000}"/>
    <cellStyle name="Normal 77 2 2 2 4" xfId="7682" xr:uid="{00000000-0005-0000-0000-0000813B0000}"/>
    <cellStyle name="Normal 77 2 2 2 4 2" xfId="18614" xr:uid="{00000000-0005-0000-0000-0000823B0000}"/>
    <cellStyle name="Normal 77 2 2 2 5" xfId="7683" xr:uid="{00000000-0005-0000-0000-0000833B0000}"/>
    <cellStyle name="Normal 77 2 2 2 5 2" xfId="18615" xr:uid="{00000000-0005-0000-0000-0000843B0000}"/>
    <cellStyle name="Normal 77 2 2 2 6" xfId="18616" xr:uid="{00000000-0005-0000-0000-0000853B0000}"/>
    <cellStyle name="Normal 77 2 2 3" xfId="7684" xr:uid="{00000000-0005-0000-0000-0000863B0000}"/>
    <cellStyle name="Normal 77 2 2 3 2" xfId="7685" xr:uid="{00000000-0005-0000-0000-0000873B0000}"/>
    <cellStyle name="Normal 77 2 2 3 2 2" xfId="7686" xr:uid="{00000000-0005-0000-0000-0000883B0000}"/>
    <cellStyle name="Normal 77 2 2 3 2 2 2" xfId="18617" xr:uid="{00000000-0005-0000-0000-0000893B0000}"/>
    <cellStyle name="Normal 77 2 2 3 2 3" xfId="7687" xr:uid="{00000000-0005-0000-0000-00008A3B0000}"/>
    <cellStyle name="Normal 77 2 2 3 2 3 2" xfId="18618" xr:uid="{00000000-0005-0000-0000-00008B3B0000}"/>
    <cellStyle name="Normal 77 2 2 3 2 4" xfId="18619" xr:uid="{00000000-0005-0000-0000-00008C3B0000}"/>
    <cellStyle name="Normal 77 2 2 3 3" xfId="7688" xr:uid="{00000000-0005-0000-0000-00008D3B0000}"/>
    <cellStyle name="Normal 77 2 2 3 3 2" xfId="7689" xr:uid="{00000000-0005-0000-0000-00008E3B0000}"/>
    <cellStyle name="Normal 77 2 2 3 3 2 2" xfId="18620" xr:uid="{00000000-0005-0000-0000-00008F3B0000}"/>
    <cellStyle name="Normal 77 2 2 3 3 3" xfId="7690" xr:uid="{00000000-0005-0000-0000-0000903B0000}"/>
    <cellStyle name="Normal 77 2 2 3 3 3 2" xfId="18621" xr:uid="{00000000-0005-0000-0000-0000913B0000}"/>
    <cellStyle name="Normal 77 2 2 3 3 4" xfId="18622" xr:uid="{00000000-0005-0000-0000-0000923B0000}"/>
    <cellStyle name="Normal 77 2 2 3 4" xfId="7691" xr:uid="{00000000-0005-0000-0000-0000933B0000}"/>
    <cellStyle name="Normal 77 2 2 3 4 2" xfId="18623" xr:uid="{00000000-0005-0000-0000-0000943B0000}"/>
    <cellStyle name="Normal 77 2 2 3 5" xfId="7692" xr:uid="{00000000-0005-0000-0000-0000953B0000}"/>
    <cellStyle name="Normal 77 2 2 3 5 2" xfId="18624" xr:uid="{00000000-0005-0000-0000-0000963B0000}"/>
    <cellStyle name="Normal 77 2 2 3 6" xfId="18625" xr:uid="{00000000-0005-0000-0000-0000973B0000}"/>
    <cellStyle name="Normal 77 2 2 4" xfId="7693" xr:uid="{00000000-0005-0000-0000-0000983B0000}"/>
    <cellStyle name="Normal 77 2 2 4 2" xfId="7694" xr:uid="{00000000-0005-0000-0000-0000993B0000}"/>
    <cellStyle name="Normal 77 2 2 4 2 2" xfId="18626" xr:uid="{00000000-0005-0000-0000-00009A3B0000}"/>
    <cellStyle name="Normal 77 2 2 4 3" xfId="7695" xr:uid="{00000000-0005-0000-0000-00009B3B0000}"/>
    <cellStyle name="Normal 77 2 2 4 3 2" xfId="18627" xr:uid="{00000000-0005-0000-0000-00009C3B0000}"/>
    <cellStyle name="Normal 77 2 2 4 4" xfId="18628" xr:uid="{00000000-0005-0000-0000-00009D3B0000}"/>
    <cellStyle name="Normal 77 2 2 5" xfId="7696" xr:uid="{00000000-0005-0000-0000-00009E3B0000}"/>
    <cellStyle name="Normal 77 2 2 5 2" xfId="7697" xr:uid="{00000000-0005-0000-0000-00009F3B0000}"/>
    <cellStyle name="Normal 77 2 2 5 2 2" xfId="18629" xr:uid="{00000000-0005-0000-0000-0000A03B0000}"/>
    <cellStyle name="Normal 77 2 2 5 3" xfId="7698" xr:uid="{00000000-0005-0000-0000-0000A13B0000}"/>
    <cellStyle name="Normal 77 2 2 5 3 2" xfId="18630" xr:uid="{00000000-0005-0000-0000-0000A23B0000}"/>
    <cellStyle name="Normal 77 2 2 5 4" xfId="18631" xr:uid="{00000000-0005-0000-0000-0000A33B0000}"/>
    <cellStyle name="Normal 77 2 2 6" xfId="7699" xr:uid="{00000000-0005-0000-0000-0000A43B0000}"/>
    <cellStyle name="Normal 77 2 2 6 2" xfId="18632" xr:uid="{00000000-0005-0000-0000-0000A53B0000}"/>
    <cellStyle name="Normal 77 2 2 7" xfId="7700" xr:uid="{00000000-0005-0000-0000-0000A63B0000}"/>
    <cellStyle name="Normal 77 2 2 7 2" xfId="18633" xr:uid="{00000000-0005-0000-0000-0000A73B0000}"/>
    <cellStyle name="Normal 77 2 2 8" xfId="12491" xr:uid="{00000000-0005-0000-0000-0000A83B0000}"/>
    <cellStyle name="Normal 77 2 3" xfId="7701" xr:uid="{00000000-0005-0000-0000-0000A93B0000}"/>
    <cellStyle name="Normal 77 2 3 2" xfId="7702" xr:uid="{00000000-0005-0000-0000-0000AA3B0000}"/>
    <cellStyle name="Normal 77 2 3 2 2" xfId="7703" xr:uid="{00000000-0005-0000-0000-0000AB3B0000}"/>
    <cellStyle name="Normal 77 2 3 2 2 2" xfId="18634" xr:uid="{00000000-0005-0000-0000-0000AC3B0000}"/>
    <cellStyle name="Normal 77 2 3 2 3" xfId="7704" xr:uid="{00000000-0005-0000-0000-0000AD3B0000}"/>
    <cellStyle name="Normal 77 2 3 2 3 2" xfId="18635" xr:uid="{00000000-0005-0000-0000-0000AE3B0000}"/>
    <cellStyle name="Normal 77 2 3 2 4" xfId="18636" xr:uid="{00000000-0005-0000-0000-0000AF3B0000}"/>
    <cellStyle name="Normal 77 2 3 3" xfId="7705" xr:uid="{00000000-0005-0000-0000-0000B03B0000}"/>
    <cellStyle name="Normal 77 2 3 3 2" xfId="7706" xr:uid="{00000000-0005-0000-0000-0000B13B0000}"/>
    <cellStyle name="Normal 77 2 3 3 2 2" xfId="18637" xr:uid="{00000000-0005-0000-0000-0000B23B0000}"/>
    <cellStyle name="Normal 77 2 3 3 3" xfId="7707" xr:uid="{00000000-0005-0000-0000-0000B33B0000}"/>
    <cellStyle name="Normal 77 2 3 3 3 2" xfId="18638" xr:uid="{00000000-0005-0000-0000-0000B43B0000}"/>
    <cellStyle name="Normal 77 2 3 3 4" xfId="18639" xr:uid="{00000000-0005-0000-0000-0000B53B0000}"/>
    <cellStyle name="Normal 77 2 3 4" xfId="7708" xr:uid="{00000000-0005-0000-0000-0000B63B0000}"/>
    <cellStyle name="Normal 77 2 3 4 2" xfId="18640" xr:uid="{00000000-0005-0000-0000-0000B73B0000}"/>
    <cellStyle name="Normal 77 2 3 5" xfId="7709" xr:uid="{00000000-0005-0000-0000-0000B83B0000}"/>
    <cellStyle name="Normal 77 2 3 5 2" xfId="18641" xr:uid="{00000000-0005-0000-0000-0000B93B0000}"/>
    <cellStyle name="Normal 77 2 3 6" xfId="18642" xr:uid="{00000000-0005-0000-0000-0000BA3B0000}"/>
    <cellStyle name="Normal 77 2 4" xfId="7710" xr:uid="{00000000-0005-0000-0000-0000BB3B0000}"/>
    <cellStyle name="Normal 77 2 4 2" xfId="7711" xr:uid="{00000000-0005-0000-0000-0000BC3B0000}"/>
    <cellStyle name="Normal 77 2 4 2 2" xfId="7712" xr:uid="{00000000-0005-0000-0000-0000BD3B0000}"/>
    <cellStyle name="Normal 77 2 4 2 2 2" xfId="18643" xr:uid="{00000000-0005-0000-0000-0000BE3B0000}"/>
    <cellStyle name="Normal 77 2 4 2 3" xfId="7713" xr:uid="{00000000-0005-0000-0000-0000BF3B0000}"/>
    <cellStyle name="Normal 77 2 4 2 3 2" xfId="18644" xr:uid="{00000000-0005-0000-0000-0000C03B0000}"/>
    <cellStyle name="Normal 77 2 4 2 4" xfId="18645" xr:uid="{00000000-0005-0000-0000-0000C13B0000}"/>
    <cellStyle name="Normal 77 2 4 3" xfId="7714" xr:uid="{00000000-0005-0000-0000-0000C23B0000}"/>
    <cellStyle name="Normal 77 2 4 3 2" xfId="7715" xr:uid="{00000000-0005-0000-0000-0000C33B0000}"/>
    <cellStyle name="Normal 77 2 4 3 2 2" xfId="18646" xr:uid="{00000000-0005-0000-0000-0000C43B0000}"/>
    <cellStyle name="Normal 77 2 4 3 3" xfId="7716" xr:uid="{00000000-0005-0000-0000-0000C53B0000}"/>
    <cellStyle name="Normal 77 2 4 3 3 2" xfId="18647" xr:uid="{00000000-0005-0000-0000-0000C63B0000}"/>
    <cellStyle name="Normal 77 2 4 3 4" xfId="18648" xr:uid="{00000000-0005-0000-0000-0000C73B0000}"/>
    <cellStyle name="Normal 77 2 4 4" xfId="7717" xr:uid="{00000000-0005-0000-0000-0000C83B0000}"/>
    <cellStyle name="Normal 77 2 4 4 2" xfId="18649" xr:uid="{00000000-0005-0000-0000-0000C93B0000}"/>
    <cellStyle name="Normal 77 2 4 5" xfId="7718" xr:uid="{00000000-0005-0000-0000-0000CA3B0000}"/>
    <cellStyle name="Normal 77 2 4 5 2" xfId="18650" xr:uid="{00000000-0005-0000-0000-0000CB3B0000}"/>
    <cellStyle name="Normal 77 2 4 6" xfId="18651" xr:uid="{00000000-0005-0000-0000-0000CC3B0000}"/>
    <cellStyle name="Normal 77 2 5" xfId="7719" xr:uid="{00000000-0005-0000-0000-0000CD3B0000}"/>
    <cellStyle name="Normal 77 2 5 2" xfId="7720" xr:uid="{00000000-0005-0000-0000-0000CE3B0000}"/>
    <cellStyle name="Normal 77 2 5 2 2" xfId="18652" xr:uid="{00000000-0005-0000-0000-0000CF3B0000}"/>
    <cellStyle name="Normal 77 2 5 3" xfId="7721" xr:uid="{00000000-0005-0000-0000-0000D03B0000}"/>
    <cellStyle name="Normal 77 2 5 3 2" xfId="18653" xr:uid="{00000000-0005-0000-0000-0000D13B0000}"/>
    <cellStyle name="Normal 77 2 5 4" xfId="18654" xr:uid="{00000000-0005-0000-0000-0000D23B0000}"/>
    <cellStyle name="Normal 77 2 6" xfId="7722" xr:uid="{00000000-0005-0000-0000-0000D33B0000}"/>
    <cellStyle name="Normal 77 2 6 2" xfId="7723" xr:uid="{00000000-0005-0000-0000-0000D43B0000}"/>
    <cellStyle name="Normal 77 2 6 2 2" xfId="18655" xr:uid="{00000000-0005-0000-0000-0000D53B0000}"/>
    <cellStyle name="Normal 77 2 6 3" xfId="7724" xr:uid="{00000000-0005-0000-0000-0000D63B0000}"/>
    <cellStyle name="Normal 77 2 6 3 2" xfId="18656" xr:uid="{00000000-0005-0000-0000-0000D73B0000}"/>
    <cellStyle name="Normal 77 2 6 4" xfId="18657" xr:uid="{00000000-0005-0000-0000-0000D83B0000}"/>
    <cellStyle name="Normal 77 2 7" xfId="7725" xr:uid="{00000000-0005-0000-0000-0000D93B0000}"/>
    <cellStyle name="Normal 77 2 7 2" xfId="18658" xr:uid="{00000000-0005-0000-0000-0000DA3B0000}"/>
    <cellStyle name="Normal 77 2 8" xfId="7726" xr:uid="{00000000-0005-0000-0000-0000DB3B0000}"/>
    <cellStyle name="Normal 77 2 8 2" xfId="18659" xr:uid="{00000000-0005-0000-0000-0000DC3B0000}"/>
    <cellStyle name="Normal 77 2 9" xfId="12490" xr:uid="{00000000-0005-0000-0000-0000DD3B0000}"/>
    <cellStyle name="Normal 77 20" xfId="11785" xr:uid="{00000000-0005-0000-0000-0000DE3B0000}"/>
    <cellStyle name="Normal 77 3" xfId="7727" xr:uid="{00000000-0005-0000-0000-0000DF3B0000}"/>
    <cellStyle name="Normal 77 3 2" xfId="7728" xr:uid="{00000000-0005-0000-0000-0000E03B0000}"/>
    <cellStyle name="Normal 77 3 2 2" xfId="7729" xr:uid="{00000000-0005-0000-0000-0000E13B0000}"/>
    <cellStyle name="Normal 77 3 2 2 2" xfId="7730" xr:uid="{00000000-0005-0000-0000-0000E23B0000}"/>
    <cellStyle name="Normal 77 3 2 2 2 2" xfId="18660" xr:uid="{00000000-0005-0000-0000-0000E33B0000}"/>
    <cellStyle name="Normal 77 3 2 2 3" xfId="7731" xr:uid="{00000000-0005-0000-0000-0000E43B0000}"/>
    <cellStyle name="Normal 77 3 2 2 3 2" xfId="18661" xr:uid="{00000000-0005-0000-0000-0000E53B0000}"/>
    <cellStyle name="Normal 77 3 2 2 4" xfId="18662" xr:uid="{00000000-0005-0000-0000-0000E63B0000}"/>
    <cellStyle name="Normal 77 3 2 3" xfId="7732" xr:uid="{00000000-0005-0000-0000-0000E73B0000}"/>
    <cellStyle name="Normal 77 3 2 3 2" xfId="7733" xr:uid="{00000000-0005-0000-0000-0000E83B0000}"/>
    <cellStyle name="Normal 77 3 2 3 2 2" xfId="18663" xr:uid="{00000000-0005-0000-0000-0000E93B0000}"/>
    <cellStyle name="Normal 77 3 2 3 3" xfId="7734" xr:uid="{00000000-0005-0000-0000-0000EA3B0000}"/>
    <cellStyle name="Normal 77 3 2 3 3 2" xfId="18664" xr:uid="{00000000-0005-0000-0000-0000EB3B0000}"/>
    <cellStyle name="Normal 77 3 2 3 4" xfId="18665" xr:uid="{00000000-0005-0000-0000-0000EC3B0000}"/>
    <cellStyle name="Normal 77 3 2 4" xfId="7735" xr:uid="{00000000-0005-0000-0000-0000ED3B0000}"/>
    <cellStyle name="Normal 77 3 2 4 2" xfId="18666" xr:uid="{00000000-0005-0000-0000-0000EE3B0000}"/>
    <cellStyle name="Normal 77 3 2 5" xfId="7736" xr:uid="{00000000-0005-0000-0000-0000EF3B0000}"/>
    <cellStyle name="Normal 77 3 2 5 2" xfId="18667" xr:uid="{00000000-0005-0000-0000-0000F03B0000}"/>
    <cellStyle name="Normal 77 3 2 6" xfId="12493" xr:uid="{00000000-0005-0000-0000-0000F13B0000}"/>
    <cellStyle name="Normal 77 3 3" xfId="7737" xr:uid="{00000000-0005-0000-0000-0000F23B0000}"/>
    <cellStyle name="Normal 77 3 3 2" xfId="7738" xr:uid="{00000000-0005-0000-0000-0000F33B0000}"/>
    <cellStyle name="Normal 77 3 3 2 2" xfId="7739" xr:uid="{00000000-0005-0000-0000-0000F43B0000}"/>
    <cellStyle name="Normal 77 3 3 2 2 2" xfId="18668" xr:uid="{00000000-0005-0000-0000-0000F53B0000}"/>
    <cellStyle name="Normal 77 3 3 2 3" xfId="7740" xr:uid="{00000000-0005-0000-0000-0000F63B0000}"/>
    <cellStyle name="Normal 77 3 3 2 3 2" xfId="18669" xr:uid="{00000000-0005-0000-0000-0000F73B0000}"/>
    <cellStyle name="Normal 77 3 3 2 4" xfId="18670" xr:uid="{00000000-0005-0000-0000-0000F83B0000}"/>
    <cellStyle name="Normal 77 3 3 3" xfId="7741" xr:uid="{00000000-0005-0000-0000-0000F93B0000}"/>
    <cellStyle name="Normal 77 3 3 3 2" xfId="7742" xr:uid="{00000000-0005-0000-0000-0000FA3B0000}"/>
    <cellStyle name="Normal 77 3 3 3 2 2" xfId="18671" xr:uid="{00000000-0005-0000-0000-0000FB3B0000}"/>
    <cellStyle name="Normal 77 3 3 3 3" xfId="7743" xr:uid="{00000000-0005-0000-0000-0000FC3B0000}"/>
    <cellStyle name="Normal 77 3 3 3 3 2" xfId="18672" xr:uid="{00000000-0005-0000-0000-0000FD3B0000}"/>
    <cellStyle name="Normal 77 3 3 3 4" xfId="18673" xr:uid="{00000000-0005-0000-0000-0000FE3B0000}"/>
    <cellStyle name="Normal 77 3 3 4" xfId="7744" xr:uid="{00000000-0005-0000-0000-0000FF3B0000}"/>
    <cellStyle name="Normal 77 3 3 4 2" xfId="18674" xr:uid="{00000000-0005-0000-0000-0000003C0000}"/>
    <cellStyle name="Normal 77 3 3 5" xfId="7745" xr:uid="{00000000-0005-0000-0000-0000013C0000}"/>
    <cellStyle name="Normal 77 3 3 5 2" xfId="18675" xr:uid="{00000000-0005-0000-0000-0000023C0000}"/>
    <cellStyle name="Normal 77 3 3 6" xfId="18676" xr:uid="{00000000-0005-0000-0000-0000033C0000}"/>
    <cellStyle name="Normal 77 3 4" xfId="7746" xr:uid="{00000000-0005-0000-0000-0000043C0000}"/>
    <cellStyle name="Normal 77 3 4 2" xfId="7747" xr:uid="{00000000-0005-0000-0000-0000053C0000}"/>
    <cellStyle name="Normal 77 3 4 2 2" xfId="18677" xr:uid="{00000000-0005-0000-0000-0000063C0000}"/>
    <cellStyle name="Normal 77 3 4 3" xfId="7748" xr:uid="{00000000-0005-0000-0000-0000073C0000}"/>
    <cellStyle name="Normal 77 3 4 3 2" xfId="18678" xr:uid="{00000000-0005-0000-0000-0000083C0000}"/>
    <cellStyle name="Normal 77 3 4 4" xfId="18679" xr:uid="{00000000-0005-0000-0000-0000093C0000}"/>
    <cellStyle name="Normal 77 3 5" xfId="7749" xr:uid="{00000000-0005-0000-0000-00000A3C0000}"/>
    <cellStyle name="Normal 77 3 5 2" xfId="7750" xr:uid="{00000000-0005-0000-0000-00000B3C0000}"/>
    <cellStyle name="Normal 77 3 5 2 2" xfId="18680" xr:uid="{00000000-0005-0000-0000-00000C3C0000}"/>
    <cellStyle name="Normal 77 3 5 3" xfId="7751" xr:uid="{00000000-0005-0000-0000-00000D3C0000}"/>
    <cellStyle name="Normal 77 3 5 3 2" xfId="18681" xr:uid="{00000000-0005-0000-0000-00000E3C0000}"/>
    <cellStyle name="Normal 77 3 5 4" xfId="18682" xr:uid="{00000000-0005-0000-0000-00000F3C0000}"/>
    <cellStyle name="Normal 77 3 6" xfId="7752" xr:uid="{00000000-0005-0000-0000-0000103C0000}"/>
    <cellStyle name="Normal 77 3 6 2" xfId="18683" xr:uid="{00000000-0005-0000-0000-0000113C0000}"/>
    <cellStyle name="Normal 77 3 7" xfId="7753" xr:uid="{00000000-0005-0000-0000-0000123C0000}"/>
    <cellStyle name="Normal 77 3 7 2" xfId="18684" xr:uid="{00000000-0005-0000-0000-0000133C0000}"/>
    <cellStyle name="Normal 77 3 8" xfId="12492" xr:uid="{00000000-0005-0000-0000-0000143C0000}"/>
    <cellStyle name="Normal 77 4" xfId="7754" xr:uid="{00000000-0005-0000-0000-0000153C0000}"/>
    <cellStyle name="Normal 77 4 2" xfId="7755" xr:uid="{00000000-0005-0000-0000-0000163C0000}"/>
    <cellStyle name="Normal 77 4 2 2" xfId="7756" xr:uid="{00000000-0005-0000-0000-0000173C0000}"/>
    <cellStyle name="Normal 77 4 2 2 2" xfId="7757" xr:uid="{00000000-0005-0000-0000-0000183C0000}"/>
    <cellStyle name="Normal 77 4 2 2 2 2" xfId="18685" xr:uid="{00000000-0005-0000-0000-0000193C0000}"/>
    <cellStyle name="Normal 77 4 2 2 3" xfId="7758" xr:uid="{00000000-0005-0000-0000-00001A3C0000}"/>
    <cellStyle name="Normal 77 4 2 2 3 2" xfId="18686" xr:uid="{00000000-0005-0000-0000-00001B3C0000}"/>
    <cellStyle name="Normal 77 4 2 2 4" xfId="18687" xr:uid="{00000000-0005-0000-0000-00001C3C0000}"/>
    <cellStyle name="Normal 77 4 2 3" xfId="7759" xr:uid="{00000000-0005-0000-0000-00001D3C0000}"/>
    <cellStyle name="Normal 77 4 2 3 2" xfId="7760" xr:uid="{00000000-0005-0000-0000-00001E3C0000}"/>
    <cellStyle name="Normal 77 4 2 3 2 2" xfId="18688" xr:uid="{00000000-0005-0000-0000-00001F3C0000}"/>
    <cellStyle name="Normal 77 4 2 3 3" xfId="7761" xr:uid="{00000000-0005-0000-0000-0000203C0000}"/>
    <cellStyle name="Normal 77 4 2 3 3 2" xfId="18689" xr:uid="{00000000-0005-0000-0000-0000213C0000}"/>
    <cellStyle name="Normal 77 4 2 3 4" xfId="18690" xr:uid="{00000000-0005-0000-0000-0000223C0000}"/>
    <cellStyle name="Normal 77 4 2 4" xfId="7762" xr:uid="{00000000-0005-0000-0000-0000233C0000}"/>
    <cellStyle name="Normal 77 4 2 4 2" xfId="18691" xr:uid="{00000000-0005-0000-0000-0000243C0000}"/>
    <cellStyle name="Normal 77 4 2 5" xfId="7763" xr:uid="{00000000-0005-0000-0000-0000253C0000}"/>
    <cellStyle name="Normal 77 4 2 5 2" xfId="18692" xr:uid="{00000000-0005-0000-0000-0000263C0000}"/>
    <cellStyle name="Normal 77 4 2 6" xfId="12495" xr:uid="{00000000-0005-0000-0000-0000273C0000}"/>
    <cellStyle name="Normal 77 4 3" xfId="7764" xr:uid="{00000000-0005-0000-0000-0000283C0000}"/>
    <cellStyle name="Normal 77 4 3 2" xfId="7765" xr:uid="{00000000-0005-0000-0000-0000293C0000}"/>
    <cellStyle name="Normal 77 4 3 2 2" xfId="7766" xr:uid="{00000000-0005-0000-0000-00002A3C0000}"/>
    <cellStyle name="Normal 77 4 3 2 2 2" xfId="18693" xr:uid="{00000000-0005-0000-0000-00002B3C0000}"/>
    <cellStyle name="Normal 77 4 3 2 3" xfId="7767" xr:uid="{00000000-0005-0000-0000-00002C3C0000}"/>
    <cellStyle name="Normal 77 4 3 2 3 2" xfId="18694" xr:uid="{00000000-0005-0000-0000-00002D3C0000}"/>
    <cellStyle name="Normal 77 4 3 2 4" xfId="18695" xr:uid="{00000000-0005-0000-0000-00002E3C0000}"/>
    <cellStyle name="Normal 77 4 3 3" xfId="7768" xr:uid="{00000000-0005-0000-0000-00002F3C0000}"/>
    <cellStyle name="Normal 77 4 3 3 2" xfId="7769" xr:uid="{00000000-0005-0000-0000-0000303C0000}"/>
    <cellStyle name="Normal 77 4 3 3 2 2" xfId="18696" xr:uid="{00000000-0005-0000-0000-0000313C0000}"/>
    <cellStyle name="Normal 77 4 3 3 3" xfId="7770" xr:uid="{00000000-0005-0000-0000-0000323C0000}"/>
    <cellStyle name="Normal 77 4 3 3 3 2" xfId="18697" xr:uid="{00000000-0005-0000-0000-0000333C0000}"/>
    <cellStyle name="Normal 77 4 3 3 4" xfId="18698" xr:uid="{00000000-0005-0000-0000-0000343C0000}"/>
    <cellStyle name="Normal 77 4 3 4" xfId="7771" xr:uid="{00000000-0005-0000-0000-0000353C0000}"/>
    <cellStyle name="Normal 77 4 3 4 2" xfId="18699" xr:uid="{00000000-0005-0000-0000-0000363C0000}"/>
    <cellStyle name="Normal 77 4 3 5" xfId="7772" xr:uid="{00000000-0005-0000-0000-0000373C0000}"/>
    <cellStyle name="Normal 77 4 3 5 2" xfId="18700" xr:uid="{00000000-0005-0000-0000-0000383C0000}"/>
    <cellStyle name="Normal 77 4 3 6" xfId="18701" xr:uid="{00000000-0005-0000-0000-0000393C0000}"/>
    <cellStyle name="Normal 77 4 4" xfId="7773" xr:uid="{00000000-0005-0000-0000-00003A3C0000}"/>
    <cellStyle name="Normal 77 4 4 2" xfId="7774" xr:uid="{00000000-0005-0000-0000-00003B3C0000}"/>
    <cellStyle name="Normal 77 4 4 2 2" xfId="18702" xr:uid="{00000000-0005-0000-0000-00003C3C0000}"/>
    <cellStyle name="Normal 77 4 4 3" xfId="7775" xr:uid="{00000000-0005-0000-0000-00003D3C0000}"/>
    <cellStyle name="Normal 77 4 4 3 2" xfId="18703" xr:uid="{00000000-0005-0000-0000-00003E3C0000}"/>
    <cellStyle name="Normal 77 4 4 4" xfId="18704" xr:uid="{00000000-0005-0000-0000-00003F3C0000}"/>
    <cellStyle name="Normal 77 4 5" xfId="7776" xr:uid="{00000000-0005-0000-0000-0000403C0000}"/>
    <cellStyle name="Normal 77 4 5 2" xfId="7777" xr:uid="{00000000-0005-0000-0000-0000413C0000}"/>
    <cellStyle name="Normal 77 4 5 2 2" xfId="18705" xr:uid="{00000000-0005-0000-0000-0000423C0000}"/>
    <cellStyle name="Normal 77 4 5 3" xfId="7778" xr:uid="{00000000-0005-0000-0000-0000433C0000}"/>
    <cellStyle name="Normal 77 4 5 3 2" xfId="18706" xr:uid="{00000000-0005-0000-0000-0000443C0000}"/>
    <cellStyle name="Normal 77 4 5 4" xfId="18707" xr:uid="{00000000-0005-0000-0000-0000453C0000}"/>
    <cellStyle name="Normal 77 4 6" xfId="7779" xr:uid="{00000000-0005-0000-0000-0000463C0000}"/>
    <cellStyle name="Normal 77 4 6 2" xfId="18708" xr:uid="{00000000-0005-0000-0000-0000473C0000}"/>
    <cellStyle name="Normal 77 4 7" xfId="7780" xr:uid="{00000000-0005-0000-0000-0000483C0000}"/>
    <cellStyle name="Normal 77 4 7 2" xfId="18709" xr:uid="{00000000-0005-0000-0000-0000493C0000}"/>
    <cellStyle name="Normal 77 4 8" xfId="12494" xr:uid="{00000000-0005-0000-0000-00004A3C0000}"/>
    <cellStyle name="Normal 77 5" xfId="7781" xr:uid="{00000000-0005-0000-0000-00004B3C0000}"/>
    <cellStyle name="Normal 77 5 2" xfId="7782" xr:uid="{00000000-0005-0000-0000-00004C3C0000}"/>
    <cellStyle name="Normal 77 5 2 2" xfId="7783" xr:uid="{00000000-0005-0000-0000-00004D3C0000}"/>
    <cellStyle name="Normal 77 5 2 2 2" xfId="18710" xr:uid="{00000000-0005-0000-0000-00004E3C0000}"/>
    <cellStyle name="Normal 77 5 2 3" xfId="7784" xr:uid="{00000000-0005-0000-0000-00004F3C0000}"/>
    <cellStyle name="Normal 77 5 2 3 2" xfId="18711" xr:uid="{00000000-0005-0000-0000-0000503C0000}"/>
    <cellStyle name="Normal 77 5 2 4" xfId="12497" xr:uid="{00000000-0005-0000-0000-0000513C0000}"/>
    <cellStyle name="Normal 77 5 3" xfId="7785" xr:uid="{00000000-0005-0000-0000-0000523C0000}"/>
    <cellStyle name="Normal 77 5 3 2" xfId="7786" xr:uid="{00000000-0005-0000-0000-0000533C0000}"/>
    <cellStyle name="Normal 77 5 3 2 2" xfId="18712" xr:uid="{00000000-0005-0000-0000-0000543C0000}"/>
    <cellStyle name="Normal 77 5 3 3" xfId="7787" xr:uid="{00000000-0005-0000-0000-0000553C0000}"/>
    <cellStyle name="Normal 77 5 3 3 2" xfId="18713" xr:uid="{00000000-0005-0000-0000-0000563C0000}"/>
    <cellStyle name="Normal 77 5 3 4" xfId="18714" xr:uid="{00000000-0005-0000-0000-0000573C0000}"/>
    <cellStyle name="Normal 77 5 4" xfId="7788" xr:uid="{00000000-0005-0000-0000-0000583C0000}"/>
    <cellStyle name="Normal 77 5 4 2" xfId="18715" xr:uid="{00000000-0005-0000-0000-0000593C0000}"/>
    <cellStyle name="Normal 77 5 5" xfId="7789" xr:uid="{00000000-0005-0000-0000-00005A3C0000}"/>
    <cellStyle name="Normal 77 5 5 2" xfId="18716" xr:uid="{00000000-0005-0000-0000-00005B3C0000}"/>
    <cellStyle name="Normal 77 5 6" xfId="12496" xr:uid="{00000000-0005-0000-0000-00005C3C0000}"/>
    <cellStyle name="Normal 77 6" xfId="7790" xr:uid="{00000000-0005-0000-0000-00005D3C0000}"/>
    <cellStyle name="Normal 77 6 2" xfId="7791" xr:uid="{00000000-0005-0000-0000-00005E3C0000}"/>
    <cellStyle name="Normal 77 6 2 2" xfId="7792" xr:uid="{00000000-0005-0000-0000-00005F3C0000}"/>
    <cellStyle name="Normal 77 6 2 2 2" xfId="18717" xr:uid="{00000000-0005-0000-0000-0000603C0000}"/>
    <cellStyle name="Normal 77 6 2 3" xfId="7793" xr:uid="{00000000-0005-0000-0000-0000613C0000}"/>
    <cellStyle name="Normal 77 6 2 3 2" xfId="18718" xr:uid="{00000000-0005-0000-0000-0000623C0000}"/>
    <cellStyle name="Normal 77 6 2 4" xfId="12499" xr:uid="{00000000-0005-0000-0000-0000633C0000}"/>
    <cellStyle name="Normal 77 6 3" xfId="7794" xr:uid="{00000000-0005-0000-0000-0000643C0000}"/>
    <cellStyle name="Normal 77 6 3 2" xfId="7795" xr:uid="{00000000-0005-0000-0000-0000653C0000}"/>
    <cellStyle name="Normal 77 6 3 2 2" xfId="18719" xr:uid="{00000000-0005-0000-0000-0000663C0000}"/>
    <cellStyle name="Normal 77 6 3 3" xfId="7796" xr:uid="{00000000-0005-0000-0000-0000673C0000}"/>
    <cellStyle name="Normal 77 6 3 3 2" xfId="18720" xr:uid="{00000000-0005-0000-0000-0000683C0000}"/>
    <cellStyle name="Normal 77 6 3 4" xfId="18721" xr:uid="{00000000-0005-0000-0000-0000693C0000}"/>
    <cellStyle name="Normal 77 6 4" xfId="7797" xr:uid="{00000000-0005-0000-0000-00006A3C0000}"/>
    <cellStyle name="Normal 77 6 4 2" xfId="18722" xr:uid="{00000000-0005-0000-0000-00006B3C0000}"/>
    <cellStyle name="Normal 77 6 5" xfId="7798" xr:uid="{00000000-0005-0000-0000-00006C3C0000}"/>
    <cellStyle name="Normal 77 6 5 2" xfId="18723" xr:uid="{00000000-0005-0000-0000-00006D3C0000}"/>
    <cellStyle name="Normal 77 6 6" xfId="12498" xr:uid="{00000000-0005-0000-0000-00006E3C0000}"/>
    <cellStyle name="Normal 77 7" xfId="7799" xr:uid="{00000000-0005-0000-0000-00006F3C0000}"/>
    <cellStyle name="Normal 77 7 2" xfId="7800" xr:uid="{00000000-0005-0000-0000-0000703C0000}"/>
    <cellStyle name="Normal 77 7 2 2" xfId="7801" xr:uid="{00000000-0005-0000-0000-0000713C0000}"/>
    <cellStyle name="Normal 77 7 2 2 2" xfId="18724" xr:uid="{00000000-0005-0000-0000-0000723C0000}"/>
    <cellStyle name="Normal 77 7 2 3" xfId="7802" xr:uid="{00000000-0005-0000-0000-0000733C0000}"/>
    <cellStyle name="Normal 77 7 2 3 2" xfId="18725" xr:uid="{00000000-0005-0000-0000-0000743C0000}"/>
    <cellStyle name="Normal 77 7 2 4" xfId="18726" xr:uid="{00000000-0005-0000-0000-0000753C0000}"/>
    <cellStyle name="Normal 77 7 3" xfId="7803" xr:uid="{00000000-0005-0000-0000-0000763C0000}"/>
    <cellStyle name="Normal 77 7 3 2" xfId="7804" xr:uid="{00000000-0005-0000-0000-0000773C0000}"/>
    <cellStyle name="Normal 77 7 3 2 2" xfId="18727" xr:uid="{00000000-0005-0000-0000-0000783C0000}"/>
    <cellStyle name="Normal 77 7 3 3" xfId="7805" xr:uid="{00000000-0005-0000-0000-0000793C0000}"/>
    <cellStyle name="Normal 77 7 3 3 2" xfId="18728" xr:uid="{00000000-0005-0000-0000-00007A3C0000}"/>
    <cellStyle name="Normal 77 7 3 4" xfId="18729" xr:uid="{00000000-0005-0000-0000-00007B3C0000}"/>
    <cellStyle name="Normal 77 7 4" xfId="7806" xr:uid="{00000000-0005-0000-0000-00007C3C0000}"/>
    <cellStyle name="Normal 77 7 4 2" xfId="18730" xr:uid="{00000000-0005-0000-0000-00007D3C0000}"/>
    <cellStyle name="Normal 77 7 5" xfId="7807" xr:uid="{00000000-0005-0000-0000-00007E3C0000}"/>
    <cellStyle name="Normal 77 7 5 2" xfId="18731" xr:uid="{00000000-0005-0000-0000-00007F3C0000}"/>
    <cellStyle name="Normal 77 7 6" xfId="12500" xr:uid="{00000000-0005-0000-0000-0000803C0000}"/>
    <cellStyle name="Normal 77 8" xfId="7808" xr:uid="{00000000-0005-0000-0000-0000813C0000}"/>
    <cellStyle name="Normal 77 8 2" xfId="7809" xr:uid="{00000000-0005-0000-0000-0000823C0000}"/>
    <cellStyle name="Normal 77 8 2 2" xfId="18732" xr:uid="{00000000-0005-0000-0000-0000833C0000}"/>
    <cellStyle name="Normal 77 8 3" xfId="7810" xr:uid="{00000000-0005-0000-0000-0000843C0000}"/>
    <cellStyle name="Normal 77 8 3 2" xfId="18733" xr:uid="{00000000-0005-0000-0000-0000853C0000}"/>
    <cellStyle name="Normal 77 8 4" xfId="12501" xr:uid="{00000000-0005-0000-0000-0000863C0000}"/>
    <cellStyle name="Normal 77 9" xfId="7811" xr:uid="{00000000-0005-0000-0000-0000873C0000}"/>
    <cellStyle name="Normal 77 9 2" xfId="7812" xr:uid="{00000000-0005-0000-0000-0000883C0000}"/>
    <cellStyle name="Normal 77 9 2 2" xfId="18734" xr:uid="{00000000-0005-0000-0000-0000893C0000}"/>
    <cellStyle name="Normal 77 9 3" xfId="7813" xr:uid="{00000000-0005-0000-0000-00008A3C0000}"/>
    <cellStyle name="Normal 77 9 3 2" xfId="18735" xr:uid="{00000000-0005-0000-0000-00008B3C0000}"/>
    <cellStyle name="Normal 77 9 4" xfId="12502" xr:uid="{00000000-0005-0000-0000-00008C3C0000}"/>
    <cellStyle name="Normal 78" xfId="7814" xr:uid="{00000000-0005-0000-0000-00008D3C0000}"/>
    <cellStyle name="Normal 78 10" xfId="7815" xr:uid="{00000000-0005-0000-0000-00008E3C0000}"/>
    <cellStyle name="Normal 78 10 2" xfId="12503" xr:uid="{00000000-0005-0000-0000-00008F3C0000}"/>
    <cellStyle name="Normal 78 11" xfId="7816" xr:uid="{00000000-0005-0000-0000-0000903C0000}"/>
    <cellStyle name="Normal 78 11 2" xfId="12504" xr:uid="{00000000-0005-0000-0000-0000913C0000}"/>
    <cellStyle name="Normal 78 12" xfId="11786" xr:uid="{00000000-0005-0000-0000-0000923C0000}"/>
    <cellStyle name="Normal 78 13" xfId="11787" xr:uid="{00000000-0005-0000-0000-0000933C0000}"/>
    <cellStyle name="Normal 78 14" xfId="11788" xr:uid="{00000000-0005-0000-0000-0000943C0000}"/>
    <cellStyle name="Normal 78 15" xfId="11789" xr:uid="{00000000-0005-0000-0000-0000953C0000}"/>
    <cellStyle name="Normal 78 16" xfId="11790" xr:uid="{00000000-0005-0000-0000-0000963C0000}"/>
    <cellStyle name="Normal 78 17" xfId="11791" xr:uid="{00000000-0005-0000-0000-0000973C0000}"/>
    <cellStyle name="Normal 78 18" xfId="11792" xr:uid="{00000000-0005-0000-0000-0000983C0000}"/>
    <cellStyle name="Normal 78 19" xfId="11793" xr:uid="{00000000-0005-0000-0000-0000993C0000}"/>
    <cellStyle name="Normal 78 2" xfId="7817" xr:uid="{00000000-0005-0000-0000-00009A3C0000}"/>
    <cellStyle name="Normal 78 2 2" xfId="7818" xr:uid="{00000000-0005-0000-0000-00009B3C0000}"/>
    <cellStyle name="Normal 78 2 2 2" xfId="7819" xr:uid="{00000000-0005-0000-0000-00009C3C0000}"/>
    <cellStyle name="Normal 78 2 2 2 2" xfId="7820" xr:uid="{00000000-0005-0000-0000-00009D3C0000}"/>
    <cellStyle name="Normal 78 2 2 2 2 2" xfId="7821" xr:uid="{00000000-0005-0000-0000-00009E3C0000}"/>
    <cellStyle name="Normal 78 2 2 2 2 2 2" xfId="18736" xr:uid="{00000000-0005-0000-0000-00009F3C0000}"/>
    <cellStyle name="Normal 78 2 2 2 2 3" xfId="7822" xr:uid="{00000000-0005-0000-0000-0000A03C0000}"/>
    <cellStyle name="Normal 78 2 2 2 2 3 2" xfId="18737" xr:uid="{00000000-0005-0000-0000-0000A13C0000}"/>
    <cellStyle name="Normal 78 2 2 2 2 4" xfId="18738" xr:uid="{00000000-0005-0000-0000-0000A23C0000}"/>
    <cellStyle name="Normal 78 2 2 2 3" xfId="7823" xr:uid="{00000000-0005-0000-0000-0000A33C0000}"/>
    <cellStyle name="Normal 78 2 2 2 3 2" xfId="7824" xr:uid="{00000000-0005-0000-0000-0000A43C0000}"/>
    <cellStyle name="Normal 78 2 2 2 3 2 2" xfId="18739" xr:uid="{00000000-0005-0000-0000-0000A53C0000}"/>
    <cellStyle name="Normal 78 2 2 2 3 3" xfId="7825" xr:uid="{00000000-0005-0000-0000-0000A63C0000}"/>
    <cellStyle name="Normal 78 2 2 2 3 3 2" xfId="18740" xr:uid="{00000000-0005-0000-0000-0000A73C0000}"/>
    <cellStyle name="Normal 78 2 2 2 3 4" xfId="18741" xr:uid="{00000000-0005-0000-0000-0000A83C0000}"/>
    <cellStyle name="Normal 78 2 2 2 4" xfId="7826" xr:uid="{00000000-0005-0000-0000-0000A93C0000}"/>
    <cellStyle name="Normal 78 2 2 2 4 2" xfId="18742" xr:uid="{00000000-0005-0000-0000-0000AA3C0000}"/>
    <cellStyle name="Normal 78 2 2 2 5" xfId="7827" xr:uid="{00000000-0005-0000-0000-0000AB3C0000}"/>
    <cellStyle name="Normal 78 2 2 2 5 2" xfId="18743" xr:uid="{00000000-0005-0000-0000-0000AC3C0000}"/>
    <cellStyle name="Normal 78 2 2 2 6" xfId="18744" xr:uid="{00000000-0005-0000-0000-0000AD3C0000}"/>
    <cellStyle name="Normal 78 2 2 3" xfId="7828" xr:uid="{00000000-0005-0000-0000-0000AE3C0000}"/>
    <cellStyle name="Normal 78 2 2 3 2" xfId="7829" xr:uid="{00000000-0005-0000-0000-0000AF3C0000}"/>
    <cellStyle name="Normal 78 2 2 3 2 2" xfId="7830" xr:uid="{00000000-0005-0000-0000-0000B03C0000}"/>
    <cellStyle name="Normal 78 2 2 3 2 2 2" xfId="18745" xr:uid="{00000000-0005-0000-0000-0000B13C0000}"/>
    <cellStyle name="Normal 78 2 2 3 2 3" xfId="7831" xr:uid="{00000000-0005-0000-0000-0000B23C0000}"/>
    <cellStyle name="Normal 78 2 2 3 2 3 2" xfId="18746" xr:uid="{00000000-0005-0000-0000-0000B33C0000}"/>
    <cellStyle name="Normal 78 2 2 3 2 4" xfId="18747" xr:uid="{00000000-0005-0000-0000-0000B43C0000}"/>
    <cellStyle name="Normal 78 2 2 3 3" xfId="7832" xr:uid="{00000000-0005-0000-0000-0000B53C0000}"/>
    <cellStyle name="Normal 78 2 2 3 3 2" xfId="7833" xr:uid="{00000000-0005-0000-0000-0000B63C0000}"/>
    <cellStyle name="Normal 78 2 2 3 3 2 2" xfId="18748" xr:uid="{00000000-0005-0000-0000-0000B73C0000}"/>
    <cellStyle name="Normal 78 2 2 3 3 3" xfId="7834" xr:uid="{00000000-0005-0000-0000-0000B83C0000}"/>
    <cellStyle name="Normal 78 2 2 3 3 3 2" xfId="18749" xr:uid="{00000000-0005-0000-0000-0000B93C0000}"/>
    <cellStyle name="Normal 78 2 2 3 3 4" xfId="18750" xr:uid="{00000000-0005-0000-0000-0000BA3C0000}"/>
    <cellStyle name="Normal 78 2 2 3 4" xfId="7835" xr:uid="{00000000-0005-0000-0000-0000BB3C0000}"/>
    <cellStyle name="Normal 78 2 2 3 4 2" xfId="18751" xr:uid="{00000000-0005-0000-0000-0000BC3C0000}"/>
    <cellStyle name="Normal 78 2 2 3 5" xfId="7836" xr:uid="{00000000-0005-0000-0000-0000BD3C0000}"/>
    <cellStyle name="Normal 78 2 2 3 5 2" xfId="18752" xr:uid="{00000000-0005-0000-0000-0000BE3C0000}"/>
    <cellStyle name="Normal 78 2 2 3 6" xfId="18753" xr:uid="{00000000-0005-0000-0000-0000BF3C0000}"/>
    <cellStyle name="Normal 78 2 2 4" xfId="7837" xr:uid="{00000000-0005-0000-0000-0000C03C0000}"/>
    <cellStyle name="Normal 78 2 2 4 2" xfId="7838" xr:uid="{00000000-0005-0000-0000-0000C13C0000}"/>
    <cellStyle name="Normal 78 2 2 4 2 2" xfId="18754" xr:uid="{00000000-0005-0000-0000-0000C23C0000}"/>
    <cellStyle name="Normal 78 2 2 4 3" xfId="7839" xr:uid="{00000000-0005-0000-0000-0000C33C0000}"/>
    <cellStyle name="Normal 78 2 2 4 3 2" xfId="18755" xr:uid="{00000000-0005-0000-0000-0000C43C0000}"/>
    <cellStyle name="Normal 78 2 2 4 4" xfId="18756" xr:uid="{00000000-0005-0000-0000-0000C53C0000}"/>
    <cellStyle name="Normal 78 2 2 5" xfId="7840" xr:uid="{00000000-0005-0000-0000-0000C63C0000}"/>
    <cellStyle name="Normal 78 2 2 5 2" xfId="7841" xr:uid="{00000000-0005-0000-0000-0000C73C0000}"/>
    <cellStyle name="Normal 78 2 2 5 2 2" xfId="18757" xr:uid="{00000000-0005-0000-0000-0000C83C0000}"/>
    <cellStyle name="Normal 78 2 2 5 3" xfId="7842" xr:uid="{00000000-0005-0000-0000-0000C93C0000}"/>
    <cellStyle name="Normal 78 2 2 5 3 2" xfId="18758" xr:uid="{00000000-0005-0000-0000-0000CA3C0000}"/>
    <cellStyle name="Normal 78 2 2 5 4" xfId="18759" xr:uid="{00000000-0005-0000-0000-0000CB3C0000}"/>
    <cellStyle name="Normal 78 2 2 6" xfId="7843" xr:uid="{00000000-0005-0000-0000-0000CC3C0000}"/>
    <cellStyle name="Normal 78 2 2 6 2" xfId="18760" xr:uid="{00000000-0005-0000-0000-0000CD3C0000}"/>
    <cellStyle name="Normal 78 2 2 7" xfId="7844" xr:uid="{00000000-0005-0000-0000-0000CE3C0000}"/>
    <cellStyle name="Normal 78 2 2 7 2" xfId="18761" xr:uid="{00000000-0005-0000-0000-0000CF3C0000}"/>
    <cellStyle name="Normal 78 2 2 8" xfId="12506" xr:uid="{00000000-0005-0000-0000-0000D03C0000}"/>
    <cellStyle name="Normal 78 2 3" xfId="7845" xr:uid="{00000000-0005-0000-0000-0000D13C0000}"/>
    <cellStyle name="Normal 78 2 3 2" xfId="7846" xr:uid="{00000000-0005-0000-0000-0000D23C0000}"/>
    <cellStyle name="Normal 78 2 3 2 2" xfId="7847" xr:uid="{00000000-0005-0000-0000-0000D33C0000}"/>
    <cellStyle name="Normal 78 2 3 2 2 2" xfId="18762" xr:uid="{00000000-0005-0000-0000-0000D43C0000}"/>
    <cellStyle name="Normal 78 2 3 2 3" xfId="7848" xr:uid="{00000000-0005-0000-0000-0000D53C0000}"/>
    <cellStyle name="Normal 78 2 3 2 3 2" xfId="18763" xr:uid="{00000000-0005-0000-0000-0000D63C0000}"/>
    <cellStyle name="Normal 78 2 3 2 4" xfId="18764" xr:uid="{00000000-0005-0000-0000-0000D73C0000}"/>
    <cellStyle name="Normal 78 2 3 3" xfId="7849" xr:uid="{00000000-0005-0000-0000-0000D83C0000}"/>
    <cellStyle name="Normal 78 2 3 3 2" xfId="7850" xr:uid="{00000000-0005-0000-0000-0000D93C0000}"/>
    <cellStyle name="Normal 78 2 3 3 2 2" xfId="18765" xr:uid="{00000000-0005-0000-0000-0000DA3C0000}"/>
    <cellStyle name="Normal 78 2 3 3 3" xfId="7851" xr:uid="{00000000-0005-0000-0000-0000DB3C0000}"/>
    <cellStyle name="Normal 78 2 3 3 3 2" xfId="18766" xr:uid="{00000000-0005-0000-0000-0000DC3C0000}"/>
    <cellStyle name="Normal 78 2 3 3 4" xfId="18767" xr:uid="{00000000-0005-0000-0000-0000DD3C0000}"/>
    <cellStyle name="Normal 78 2 3 4" xfId="7852" xr:uid="{00000000-0005-0000-0000-0000DE3C0000}"/>
    <cellStyle name="Normal 78 2 3 4 2" xfId="18768" xr:uid="{00000000-0005-0000-0000-0000DF3C0000}"/>
    <cellStyle name="Normal 78 2 3 5" xfId="7853" xr:uid="{00000000-0005-0000-0000-0000E03C0000}"/>
    <cellStyle name="Normal 78 2 3 5 2" xfId="18769" xr:uid="{00000000-0005-0000-0000-0000E13C0000}"/>
    <cellStyle name="Normal 78 2 3 6" xfId="18770" xr:uid="{00000000-0005-0000-0000-0000E23C0000}"/>
    <cellStyle name="Normal 78 2 4" xfId="7854" xr:uid="{00000000-0005-0000-0000-0000E33C0000}"/>
    <cellStyle name="Normal 78 2 4 2" xfId="7855" xr:uid="{00000000-0005-0000-0000-0000E43C0000}"/>
    <cellStyle name="Normal 78 2 4 2 2" xfId="7856" xr:uid="{00000000-0005-0000-0000-0000E53C0000}"/>
    <cellStyle name="Normal 78 2 4 2 2 2" xfId="18771" xr:uid="{00000000-0005-0000-0000-0000E63C0000}"/>
    <cellStyle name="Normal 78 2 4 2 3" xfId="7857" xr:uid="{00000000-0005-0000-0000-0000E73C0000}"/>
    <cellStyle name="Normal 78 2 4 2 3 2" xfId="18772" xr:uid="{00000000-0005-0000-0000-0000E83C0000}"/>
    <cellStyle name="Normal 78 2 4 2 4" xfId="18773" xr:uid="{00000000-0005-0000-0000-0000E93C0000}"/>
    <cellStyle name="Normal 78 2 4 3" xfId="7858" xr:uid="{00000000-0005-0000-0000-0000EA3C0000}"/>
    <cellStyle name="Normal 78 2 4 3 2" xfId="7859" xr:uid="{00000000-0005-0000-0000-0000EB3C0000}"/>
    <cellStyle name="Normal 78 2 4 3 2 2" xfId="18774" xr:uid="{00000000-0005-0000-0000-0000EC3C0000}"/>
    <cellStyle name="Normal 78 2 4 3 3" xfId="7860" xr:uid="{00000000-0005-0000-0000-0000ED3C0000}"/>
    <cellStyle name="Normal 78 2 4 3 3 2" xfId="18775" xr:uid="{00000000-0005-0000-0000-0000EE3C0000}"/>
    <cellStyle name="Normal 78 2 4 3 4" xfId="18776" xr:uid="{00000000-0005-0000-0000-0000EF3C0000}"/>
    <cellStyle name="Normal 78 2 4 4" xfId="7861" xr:uid="{00000000-0005-0000-0000-0000F03C0000}"/>
    <cellStyle name="Normal 78 2 4 4 2" xfId="18777" xr:uid="{00000000-0005-0000-0000-0000F13C0000}"/>
    <cellStyle name="Normal 78 2 4 5" xfId="7862" xr:uid="{00000000-0005-0000-0000-0000F23C0000}"/>
    <cellStyle name="Normal 78 2 4 5 2" xfId="18778" xr:uid="{00000000-0005-0000-0000-0000F33C0000}"/>
    <cellStyle name="Normal 78 2 4 6" xfId="18779" xr:uid="{00000000-0005-0000-0000-0000F43C0000}"/>
    <cellStyle name="Normal 78 2 5" xfId="7863" xr:uid="{00000000-0005-0000-0000-0000F53C0000}"/>
    <cellStyle name="Normal 78 2 5 2" xfId="7864" xr:uid="{00000000-0005-0000-0000-0000F63C0000}"/>
    <cellStyle name="Normal 78 2 5 2 2" xfId="18780" xr:uid="{00000000-0005-0000-0000-0000F73C0000}"/>
    <cellStyle name="Normal 78 2 5 3" xfId="7865" xr:uid="{00000000-0005-0000-0000-0000F83C0000}"/>
    <cellStyle name="Normal 78 2 5 3 2" xfId="18781" xr:uid="{00000000-0005-0000-0000-0000F93C0000}"/>
    <cellStyle name="Normal 78 2 5 4" xfId="18782" xr:uid="{00000000-0005-0000-0000-0000FA3C0000}"/>
    <cellStyle name="Normal 78 2 6" xfId="7866" xr:uid="{00000000-0005-0000-0000-0000FB3C0000}"/>
    <cellStyle name="Normal 78 2 6 2" xfId="7867" xr:uid="{00000000-0005-0000-0000-0000FC3C0000}"/>
    <cellStyle name="Normal 78 2 6 2 2" xfId="18783" xr:uid="{00000000-0005-0000-0000-0000FD3C0000}"/>
    <cellStyle name="Normal 78 2 6 3" xfId="7868" xr:uid="{00000000-0005-0000-0000-0000FE3C0000}"/>
    <cellStyle name="Normal 78 2 6 3 2" xfId="18784" xr:uid="{00000000-0005-0000-0000-0000FF3C0000}"/>
    <cellStyle name="Normal 78 2 6 4" xfId="18785" xr:uid="{00000000-0005-0000-0000-0000003D0000}"/>
    <cellStyle name="Normal 78 2 7" xfId="7869" xr:uid="{00000000-0005-0000-0000-0000013D0000}"/>
    <cellStyle name="Normal 78 2 7 2" xfId="18786" xr:uid="{00000000-0005-0000-0000-0000023D0000}"/>
    <cellStyle name="Normal 78 2 8" xfId="7870" xr:uid="{00000000-0005-0000-0000-0000033D0000}"/>
    <cellStyle name="Normal 78 2 8 2" xfId="18787" xr:uid="{00000000-0005-0000-0000-0000043D0000}"/>
    <cellStyle name="Normal 78 2 9" xfId="12505" xr:uid="{00000000-0005-0000-0000-0000053D0000}"/>
    <cellStyle name="Normal 78 20" xfId="11794" xr:uid="{00000000-0005-0000-0000-0000063D0000}"/>
    <cellStyle name="Normal 78 3" xfId="7871" xr:uid="{00000000-0005-0000-0000-0000073D0000}"/>
    <cellStyle name="Normal 78 3 2" xfId="7872" xr:uid="{00000000-0005-0000-0000-0000083D0000}"/>
    <cellStyle name="Normal 78 3 2 2" xfId="7873" xr:uid="{00000000-0005-0000-0000-0000093D0000}"/>
    <cellStyle name="Normal 78 3 2 2 2" xfId="7874" xr:uid="{00000000-0005-0000-0000-00000A3D0000}"/>
    <cellStyle name="Normal 78 3 2 2 2 2" xfId="18788" xr:uid="{00000000-0005-0000-0000-00000B3D0000}"/>
    <cellStyle name="Normal 78 3 2 2 3" xfId="7875" xr:uid="{00000000-0005-0000-0000-00000C3D0000}"/>
    <cellStyle name="Normal 78 3 2 2 3 2" xfId="18789" xr:uid="{00000000-0005-0000-0000-00000D3D0000}"/>
    <cellStyle name="Normal 78 3 2 2 4" xfId="18790" xr:uid="{00000000-0005-0000-0000-00000E3D0000}"/>
    <cellStyle name="Normal 78 3 2 3" xfId="7876" xr:uid="{00000000-0005-0000-0000-00000F3D0000}"/>
    <cellStyle name="Normal 78 3 2 3 2" xfId="7877" xr:uid="{00000000-0005-0000-0000-0000103D0000}"/>
    <cellStyle name="Normal 78 3 2 3 2 2" xfId="18791" xr:uid="{00000000-0005-0000-0000-0000113D0000}"/>
    <cellStyle name="Normal 78 3 2 3 3" xfId="7878" xr:uid="{00000000-0005-0000-0000-0000123D0000}"/>
    <cellStyle name="Normal 78 3 2 3 3 2" xfId="18792" xr:uid="{00000000-0005-0000-0000-0000133D0000}"/>
    <cellStyle name="Normal 78 3 2 3 4" xfId="18793" xr:uid="{00000000-0005-0000-0000-0000143D0000}"/>
    <cellStyle name="Normal 78 3 2 4" xfId="7879" xr:uid="{00000000-0005-0000-0000-0000153D0000}"/>
    <cellStyle name="Normal 78 3 2 4 2" xfId="18794" xr:uid="{00000000-0005-0000-0000-0000163D0000}"/>
    <cellStyle name="Normal 78 3 2 5" xfId="7880" xr:uid="{00000000-0005-0000-0000-0000173D0000}"/>
    <cellStyle name="Normal 78 3 2 5 2" xfId="18795" xr:uid="{00000000-0005-0000-0000-0000183D0000}"/>
    <cellStyle name="Normal 78 3 2 6" xfId="12508" xr:uid="{00000000-0005-0000-0000-0000193D0000}"/>
    <cellStyle name="Normal 78 3 3" xfId="7881" xr:uid="{00000000-0005-0000-0000-00001A3D0000}"/>
    <cellStyle name="Normal 78 3 3 2" xfId="7882" xr:uid="{00000000-0005-0000-0000-00001B3D0000}"/>
    <cellStyle name="Normal 78 3 3 2 2" xfId="7883" xr:uid="{00000000-0005-0000-0000-00001C3D0000}"/>
    <cellStyle name="Normal 78 3 3 2 2 2" xfId="18796" xr:uid="{00000000-0005-0000-0000-00001D3D0000}"/>
    <cellStyle name="Normal 78 3 3 2 3" xfId="7884" xr:uid="{00000000-0005-0000-0000-00001E3D0000}"/>
    <cellStyle name="Normal 78 3 3 2 3 2" xfId="18797" xr:uid="{00000000-0005-0000-0000-00001F3D0000}"/>
    <cellStyle name="Normal 78 3 3 2 4" xfId="18798" xr:uid="{00000000-0005-0000-0000-0000203D0000}"/>
    <cellStyle name="Normal 78 3 3 3" xfId="7885" xr:uid="{00000000-0005-0000-0000-0000213D0000}"/>
    <cellStyle name="Normal 78 3 3 3 2" xfId="7886" xr:uid="{00000000-0005-0000-0000-0000223D0000}"/>
    <cellStyle name="Normal 78 3 3 3 2 2" xfId="18799" xr:uid="{00000000-0005-0000-0000-0000233D0000}"/>
    <cellStyle name="Normal 78 3 3 3 3" xfId="7887" xr:uid="{00000000-0005-0000-0000-0000243D0000}"/>
    <cellStyle name="Normal 78 3 3 3 3 2" xfId="18800" xr:uid="{00000000-0005-0000-0000-0000253D0000}"/>
    <cellStyle name="Normal 78 3 3 3 4" xfId="18801" xr:uid="{00000000-0005-0000-0000-0000263D0000}"/>
    <cellStyle name="Normal 78 3 3 4" xfId="7888" xr:uid="{00000000-0005-0000-0000-0000273D0000}"/>
    <cellStyle name="Normal 78 3 3 4 2" xfId="18802" xr:uid="{00000000-0005-0000-0000-0000283D0000}"/>
    <cellStyle name="Normal 78 3 3 5" xfId="7889" xr:uid="{00000000-0005-0000-0000-0000293D0000}"/>
    <cellStyle name="Normal 78 3 3 5 2" xfId="18803" xr:uid="{00000000-0005-0000-0000-00002A3D0000}"/>
    <cellStyle name="Normal 78 3 3 6" xfId="18804" xr:uid="{00000000-0005-0000-0000-00002B3D0000}"/>
    <cellStyle name="Normal 78 3 4" xfId="7890" xr:uid="{00000000-0005-0000-0000-00002C3D0000}"/>
    <cellStyle name="Normal 78 3 4 2" xfId="7891" xr:uid="{00000000-0005-0000-0000-00002D3D0000}"/>
    <cellStyle name="Normal 78 3 4 2 2" xfId="18805" xr:uid="{00000000-0005-0000-0000-00002E3D0000}"/>
    <cellStyle name="Normal 78 3 4 3" xfId="7892" xr:uid="{00000000-0005-0000-0000-00002F3D0000}"/>
    <cellStyle name="Normal 78 3 4 3 2" xfId="18806" xr:uid="{00000000-0005-0000-0000-0000303D0000}"/>
    <cellStyle name="Normal 78 3 4 4" xfId="18807" xr:uid="{00000000-0005-0000-0000-0000313D0000}"/>
    <cellStyle name="Normal 78 3 5" xfId="7893" xr:uid="{00000000-0005-0000-0000-0000323D0000}"/>
    <cellStyle name="Normal 78 3 5 2" xfId="7894" xr:uid="{00000000-0005-0000-0000-0000333D0000}"/>
    <cellStyle name="Normal 78 3 5 2 2" xfId="18808" xr:uid="{00000000-0005-0000-0000-0000343D0000}"/>
    <cellStyle name="Normal 78 3 5 3" xfId="7895" xr:uid="{00000000-0005-0000-0000-0000353D0000}"/>
    <cellStyle name="Normal 78 3 5 3 2" xfId="18809" xr:uid="{00000000-0005-0000-0000-0000363D0000}"/>
    <cellStyle name="Normal 78 3 5 4" xfId="18810" xr:uid="{00000000-0005-0000-0000-0000373D0000}"/>
    <cellStyle name="Normal 78 3 6" xfId="7896" xr:uid="{00000000-0005-0000-0000-0000383D0000}"/>
    <cellStyle name="Normal 78 3 6 2" xfId="18811" xr:uid="{00000000-0005-0000-0000-0000393D0000}"/>
    <cellStyle name="Normal 78 3 7" xfId="7897" xr:uid="{00000000-0005-0000-0000-00003A3D0000}"/>
    <cellStyle name="Normal 78 3 7 2" xfId="18812" xr:uid="{00000000-0005-0000-0000-00003B3D0000}"/>
    <cellStyle name="Normal 78 3 8" xfId="12507" xr:uid="{00000000-0005-0000-0000-00003C3D0000}"/>
    <cellStyle name="Normal 78 4" xfId="7898" xr:uid="{00000000-0005-0000-0000-00003D3D0000}"/>
    <cellStyle name="Normal 78 4 2" xfId="7899" xr:uid="{00000000-0005-0000-0000-00003E3D0000}"/>
    <cellStyle name="Normal 78 4 2 2" xfId="7900" xr:uid="{00000000-0005-0000-0000-00003F3D0000}"/>
    <cellStyle name="Normal 78 4 2 2 2" xfId="7901" xr:uid="{00000000-0005-0000-0000-0000403D0000}"/>
    <cellStyle name="Normal 78 4 2 2 2 2" xfId="18813" xr:uid="{00000000-0005-0000-0000-0000413D0000}"/>
    <cellStyle name="Normal 78 4 2 2 3" xfId="7902" xr:uid="{00000000-0005-0000-0000-0000423D0000}"/>
    <cellStyle name="Normal 78 4 2 2 3 2" xfId="18814" xr:uid="{00000000-0005-0000-0000-0000433D0000}"/>
    <cellStyle name="Normal 78 4 2 2 4" xfId="18815" xr:uid="{00000000-0005-0000-0000-0000443D0000}"/>
    <cellStyle name="Normal 78 4 2 3" xfId="7903" xr:uid="{00000000-0005-0000-0000-0000453D0000}"/>
    <cellStyle name="Normal 78 4 2 3 2" xfId="7904" xr:uid="{00000000-0005-0000-0000-0000463D0000}"/>
    <cellStyle name="Normal 78 4 2 3 2 2" xfId="18816" xr:uid="{00000000-0005-0000-0000-0000473D0000}"/>
    <cellStyle name="Normal 78 4 2 3 3" xfId="7905" xr:uid="{00000000-0005-0000-0000-0000483D0000}"/>
    <cellStyle name="Normal 78 4 2 3 3 2" xfId="18817" xr:uid="{00000000-0005-0000-0000-0000493D0000}"/>
    <cellStyle name="Normal 78 4 2 3 4" xfId="18818" xr:uid="{00000000-0005-0000-0000-00004A3D0000}"/>
    <cellStyle name="Normal 78 4 2 4" xfId="7906" xr:uid="{00000000-0005-0000-0000-00004B3D0000}"/>
    <cellStyle name="Normal 78 4 2 4 2" xfId="18819" xr:uid="{00000000-0005-0000-0000-00004C3D0000}"/>
    <cellStyle name="Normal 78 4 2 5" xfId="7907" xr:uid="{00000000-0005-0000-0000-00004D3D0000}"/>
    <cellStyle name="Normal 78 4 2 5 2" xfId="18820" xr:uid="{00000000-0005-0000-0000-00004E3D0000}"/>
    <cellStyle name="Normal 78 4 2 6" xfId="12510" xr:uid="{00000000-0005-0000-0000-00004F3D0000}"/>
    <cellStyle name="Normal 78 4 3" xfId="7908" xr:uid="{00000000-0005-0000-0000-0000503D0000}"/>
    <cellStyle name="Normal 78 4 3 2" xfId="7909" xr:uid="{00000000-0005-0000-0000-0000513D0000}"/>
    <cellStyle name="Normal 78 4 3 2 2" xfId="7910" xr:uid="{00000000-0005-0000-0000-0000523D0000}"/>
    <cellStyle name="Normal 78 4 3 2 2 2" xfId="18821" xr:uid="{00000000-0005-0000-0000-0000533D0000}"/>
    <cellStyle name="Normal 78 4 3 2 3" xfId="7911" xr:uid="{00000000-0005-0000-0000-0000543D0000}"/>
    <cellStyle name="Normal 78 4 3 2 3 2" xfId="18822" xr:uid="{00000000-0005-0000-0000-0000553D0000}"/>
    <cellStyle name="Normal 78 4 3 2 4" xfId="18823" xr:uid="{00000000-0005-0000-0000-0000563D0000}"/>
    <cellStyle name="Normal 78 4 3 3" xfId="7912" xr:uid="{00000000-0005-0000-0000-0000573D0000}"/>
    <cellStyle name="Normal 78 4 3 3 2" xfId="7913" xr:uid="{00000000-0005-0000-0000-0000583D0000}"/>
    <cellStyle name="Normal 78 4 3 3 2 2" xfId="18824" xr:uid="{00000000-0005-0000-0000-0000593D0000}"/>
    <cellStyle name="Normal 78 4 3 3 3" xfId="7914" xr:uid="{00000000-0005-0000-0000-00005A3D0000}"/>
    <cellStyle name="Normal 78 4 3 3 3 2" xfId="18825" xr:uid="{00000000-0005-0000-0000-00005B3D0000}"/>
    <cellStyle name="Normal 78 4 3 3 4" xfId="18826" xr:uid="{00000000-0005-0000-0000-00005C3D0000}"/>
    <cellStyle name="Normal 78 4 3 4" xfId="7915" xr:uid="{00000000-0005-0000-0000-00005D3D0000}"/>
    <cellStyle name="Normal 78 4 3 4 2" xfId="18827" xr:uid="{00000000-0005-0000-0000-00005E3D0000}"/>
    <cellStyle name="Normal 78 4 3 5" xfId="7916" xr:uid="{00000000-0005-0000-0000-00005F3D0000}"/>
    <cellStyle name="Normal 78 4 3 5 2" xfId="18828" xr:uid="{00000000-0005-0000-0000-0000603D0000}"/>
    <cellStyle name="Normal 78 4 3 6" xfId="18829" xr:uid="{00000000-0005-0000-0000-0000613D0000}"/>
    <cellStyle name="Normal 78 4 4" xfId="7917" xr:uid="{00000000-0005-0000-0000-0000623D0000}"/>
    <cellStyle name="Normal 78 4 4 2" xfId="7918" xr:uid="{00000000-0005-0000-0000-0000633D0000}"/>
    <cellStyle name="Normal 78 4 4 2 2" xfId="18830" xr:uid="{00000000-0005-0000-0000-0000643D0000}"/>
    <cellStyle name="Normal 78 4 4 3" xfId="7919" xr:uid="{00000000-0005-0000-0000-0000653D0000}"/>
    <cellStyle name="Normal 78 4 4 3 2" xfId="18831" xr:uid="{00000000-0005-0000-0000-0000663D0000}"/>
    <cellStyle name="Normal 78 4 4 4" xfId="18832" xr:uid="{00000000-0005-0000-0000-0000673D0000}"/>
    <cellStyle name="Normal 78 4 5" xfId="7920" xr:uid="{00000000-0005-0000-0000-0000683D0000}"/>
    <cellStyle name="Normal 78 4 5 2" xfId="7921" xr:uid="{00000000-0005-0000-0000-0000693D0000}"/>
    <cellStyle name="Normal 78 4 5 2 2" xfId="18833" xr:uid="{00000000-0005-0000-0000-00006A3D0000}"/>
    <cellStyle name="Normal 78 4 5 3" xfId="7922" xr:uid="{00000000-0005-0000-0000-00006B3D0000}"/>
    <cellStyle name="Normal 78 4 5 3 2" xfId="18834" xr:uid="{00000000-0005-0000-0000-00006C3D0000}"/>
    <cellStyle name="Normal 78 4 5 4" xfId="18835" xr:uid="{00000000-0005-0000-0000-00006D3D0000}"/>
    <cellStyle name="Normal 78 4 6" xfId="7923" xr:uid="{00000000-0005-0000-0000-00006E3D0000}"/>
    <cellStyle name="Normal 78 4 6 2" xfId="18836" xr:uid="{00000000-0005-0000-0000-00006F3D0000}"/>
    <cellStyle name="Normal 78 4 7" xfId="7924" xr:uid="{00000000-0005-0000-0000-0000703D0000}"/>
    <cellStyle name="Normal 78 4 7 2" xfId="18837" xr:uid="{00000000-0005-0000-0000-0000713D0000}"/>
    <cellStyle name="Normal 78 4 8" xfId="12509" xr:uid="{00000000-0005-0000-0000-0000723D0000}"/>
    <cellStyle name="Normal 78 5" xfId="7925" xr:uid="{00000000-0005-0000-0000-0000733D0000}"/>
    <cellStyle name="Normal 78 5 2" xfId="7926" xr:uid="{00000000-0005-0000-0000-0000743D0000}"/>
    <cellStyle name="Normal 78 5 2 2" xfId="7927" xr:uid="{00000000-0005-0000-0000-0000753D0000}"/>
    <cellStyle name="Normal 78 5 2 2 2" xfId="18838" xr:uid="{00000000-0005-0000-0000-0000763D0000}"/>
    <cellStyle name="Normal 78 5 2 3" xfId="7928" xr:uid="{00000000-0005-0000-0000-0000773D0000}"/>
    <cellStyle name="Normal 78 5 2 3 2" xfId="18839" xr:uid="{00000000-0005-0000-0000-0000783D0000}"/>
    <cellStyle name="Normal 78 5 2 4" xfId="12512" xr:uid="{00000000-0005-0000-0000-0000793D0000}"/>
    <cellStyle name="Normal 78 5 3" xfId="7929" xr:uid="{00000000-0005-0000-0000-00007A3D0000}"/>
    <cellStyle name="Normal 78 5 3 2" xfId="7930" xr:uid="{00000000-0005-0000-0000-00007B3D0000}"/>
    <cellStyle name="Normal 78 5 3 2 2" xfId="18840" xr:uid="{00000000-0005-0000-0000-00007C3D0000}"/>
    <cellStyle name="Normal 78 5 3 3" xfId="7931" xr:uid="{00000000-0005-0000-0000-00007D3D0000}"/>
    <cellStyle name="Normal 78 5 3 3 2" xfId="18841" xr:uid="{00000000-0005-0000-0000-00007E3D0000}"/>
    <cellStyle name="Normal 78 5 3 4" xfId="18842" xr:uid="{00000000-0005-0000-0000-00007F3D0000}"/>
    <cellStyle name="Normal 78 5 4" xfId="7932" xr:uid="{00000000-0005-0000-0000-0000803D0000}"/>
    <cellStyle name="Normal 78 5 4 2" xfId="18843" xr:uid="{00000000-0005-0000-0000-0000813D0000}"/>
    <cellStyle name="Normal 78 5 5" xfId="7933" xr:uid="{00000000-0005-0000-0000-0000823D0000}"/>
    <cellStyle name="Normal 78 5 5 2" xfId="18844" xr:uid="{00000000-0005-0000-0000-0000833D0000}"/>
    <cellStyle name="Normal 78 5 6" xfId="12511" xr:uid="{00000000-0005-0000-0000-0000843D0000}"/>
    <cellStyle name="Normal 78 6" xfId="7934" xr:uid="{00000000-0005-0000-0000-0000853D0000}"/>
    <cellStyle name="Normal 78 6 2" xfId="7935" xr:uid="{00000000-0005-0000-0000-0000863D0000}"/>
    <cellStyle name="Normal 78 6 2 2" xfId="7936" xr:uid="{00000000-0005-0000-0000-0000873D0000}"/>
    <cellStyle name="Normal 78 6 2 2 2" xfId="18845" xr:uid="{00000000-0005-0000-0000-0000883D0000}"/>
    <cellStyle name="Normal 78 6 2 3" xfId="7937" xr:uid="{00000000-0005-0000-0000-0000893D0000}"/>
    <cellStyle name="Normal 78 6 2 3 2" xfId="18846" xr:uid="{00000000-0005-0000-0000-00008A3D0000}"/>
    <cellStyle name="Normal 78 6 2 4" xfId="12514" xr:uid="{00000000-0005-0000-0000-00008B3D0000}"/>
    <cellStyle name="Normal 78 6 3" xfId="7938" xr:uid="{00000000-0005-0000-0000-00008C3D0000}"/>
    <cellStyle name="Normal 78 6 3 2" xfId="7939" xr:uid="{00000000-0005-0000-0000-00008D3D0000}"/>
    <cellStyle name="Normal 78 6 3 2 2" xfId="18847" xr:uid="{00000000-0005-0000-0000-00008E3D0000}"/>
    <cellStyle name="Normal 78 6 3 3" xfId="7940" xr:uid="{00000000-0005-0000-0000-00008F3D0000}"/>
    <cellStyle name="Normal 78 6 3 3 2" xfId="18848" xr:uid="{00000000-0005-0000-0000-0000903D0000}"/>
    <cellStyle name="Normal 78 6 3 4" xfId="18849" xr:uid="{00000000-0005-0000-0000-0000913D0000}"/>
    <cellStyle name="Normal 78 6 4" xfId="7941" xr:uid="{00000000-0005-0000-0000-0000923D0000}"/>
    <cellStyle name="Normal 78 6 4 2" xfId="18850" xr:uid="{00000000-0005-0000-0000-0000933D0000}"/>
    <cellStyle name="Normal 78 6 5" xfId="7942" xr:uid="{00000000-0005-0000-0000-0000943D0000}"/>
    <cellStyle name="Normal 78 6 5 2" xfId="18851" xr:uid="{00000000-0005-0000-0000-0000953D0000}"/>
    <cellStyle name="Normal 78 6 6" xfId="12513" xr:uid="{00000000-0005-0000-0000-0000963D0000}"/>
    <cellStyle name="Normal 78 7" xfId="7943" xr:uid="{00000000-0005-0000-0000-0000973D0000}"/>
    <cellStyle name="Normal 78 7 2" xfId="7944" xr:uid="{00000000-0005-0000-0000-0000983D0000}"/>
    <cellStyle name="Normal 78 7 2 2" xfId="7945" xr:uid="{00000000-0005-0000-0000-0000993D0000}"/>
    <cellStyle name="Normal 78 7 2 2 2" xfId="18852" xr:uid="{00000000-0005-0000-0000-00009A3D0000}"/>
    <cellStyle name="Normal 78 7 2 3" xfId="7946" xr:uid="{00000000-0005-0000-0000-00009B3D0000}"/>
    <cellStyle name="Normal 78 7 2 3 2" xfId="18853" xr:uid="{00000000-0005-0000-0000-00009C3D0000}"/>
    <cellStyle name="Normal 78 7 2 4" xfId="18854" xr:uid="{00000000-0005-0000-0000-00009D3D0000}"/>
    <cellStyle name="Normal 78 7 3" xfId="7947" xr:uid="{00000000-0005-0000-0000-00009E3D0000}"/>
    <cellStyle name="Normal 78 7 3 2" xfId="7948" xr:uid="{00000000-0005-0000-0000-00009F3D0000}"/>
    <cellStyle name="Normal 78 7 3 2 2" xfId="18855" xr:uid="{00000000-0005-0000-0000-0000A03D0000}"/>
    <cellStyle name="Normal 78 7 3 3" xfId="7949" xr:uid="{00000000-0005-0000-0000-0000A13D0000}"/>
    <cellStyle name="Normal 78 7 3 3 2" xfId="18856" xr:uid="{00000000-0005-0000-0000-0000A23D0000}"/>
    <cellStyle name="Normal 78 7 3 4" xfId="18857" xr:uid="{00000000-0005-0000-0000-0000A33D0000}"/>
    <cellStyle name="Normal 78 7 4" xfId="7950" xr:uid="{00000000-0005-0000-0000-0000A43D0000}"/>
    <cellStyle name="Normal 78 7 4 2" xfId="18858" xr:uid="{00000000-0005-0000-0000-0000A53D0000}"/>
    <cellStyle name="Normal 78 7 5" xfId="7951" xr:uid="{00000000-0005-0000-0000-0000A63D0000}"/>
    <cellStyle name="Normal 78 7 5 2" xfId="18859" xr:uid="{00000000-0005-0000-0000-0000A73D0000}"/>
    <cellStyle name="Normal 78 7 6" xfId="12515" xr:uid="{00000000-0005-0000-0000-0000A83D0000}"/>
    <cellStyle name="Normal 78 8" xfId="7952" xr:uid="{00000000-0005-0000-0000-0000A93D0000}"/>
    <cellStyle name="Normal 78 8 2" xfId="7953" xr:uid="{00000000-0005-0000-0000-0000AA3D0000}"/>
    <cellStyle name="Normal 78 8 2 2" xfId="18860" xr:uid="{00000000-0005-0000-0000-0000AB3D0000}"/>
    <cellStyle name="Normal 78 8 3" xfId="7954" xr:uid="{00000000-0005-0000-0000-0000AC3D0000}"/>
    <cellStyle name="Normal 78 8 3 2" xfId="18861" xr:uid="{00000000-0005-0000-0000-0000AD3D0000}"/>
    <cellStyle name="Normal 78 8 4" xfId="12516" xr:uid="{00000000-0005-0000-0000-0000AE3D0000}"/>
    <cellStyle name="Normal 78 9" xfId="7955" xr:uid="{00000000-0005-0000-0000-0000AF3D0000}"/>
    <cellStyle name="Normal 78 9 2" xfId="7956" xr:uid="{00000000-0005-0000-0000-0000B03D0000}"/>
    <cellStyle name="Normal 78 9 2 2" xfId="18862" xr:uid="{00000000-0005-0000-0000-0000B13D0000}"/>
    <cellStyle name="Normal 78 9 3" xfId="7957" xr:uid="{00000000-0005-0000-0000-0000B23D0000}"/>
    <cellStyle name="Normal 78 9 3 2" xfId="18863" xr:uid="{00000000-0005-0000-0000-0000B33D0000}"/>
    <cellStyle name="Normal 78 9 4" xfId="12517" xr:uid="{00000000-0005-0000-0000-0000B43D0000}"/>
    <cellStyle name="Normal 79" xfId="7958" xr:uid="{00000000-0005-0000-0000-0000B53D0000}"/>
    <cellStyle name="Normal 79 10" xfId="7959" xr:uid="{00000000-0005-0000-0000-0000B63D0000}"/>
    <cellStyle name="Normal 79 10 2" xfId="12518" xr:uid="{00000000-0005-0000-0000-0000B73D0000}"/>
    <cellStyle name="Normal 79 11" xfId="7960" xr:uid="{00000000-0005-0000-0000-0000B83D0000}"/>
    <cellStyle name="Normal 79 11 2" xfId="12519" xr:uid="{00000000-0005-0000-0000-0000B93D0000}"/>
    <cellStyle name="Normal 79 12" xfId="11795" xr:uid="{00000000-0005-0000-0000-0000BA3D0000}"/>
    <cellStyle name="Normal 79 13" xfId="11796" xr:uid="{00000000-0005-0000-0000-0000BB3D0000}"/>
    <cellStyle name="Normal 79 14" xfId="11797" xr:uid="{00000000-0005-0000-0000-0000BC3D0000}"/>
    <cellStyle name="Normal 79 15" xfId="11798" xr:uid="{00000000-0005-0000-0000-0000BD3D0000}"/>
    <cellStyle name="Normal 79 16" xfId="11799" xr:uid="{00000000-0005-0000-0000-0000BE3D0000}"/>
    <cellStyle name="Normal 79 17" xfId="11800" xr:uid="{00000000-0005-0000-0000-0000BF3D0000}"/>
    <cellStyle name="Normal 79 18" xfId="11801" xr:uid="{00000000-0005-0000-0000-0000C03D0000}"/>
    <cellStyle name="Normal 79 19" xfId="11802" xr:uid="{00000000-0005-0000-0000-0000C13D0000}"/>
    <cellStyle name="Normal 79 2" xfId="7961" xr:uid="{00000000-0005-0000-0000-0000C23D0000}"/>
    <cellStyle name="Normal 79 2 2" xfId="7962" xr:uid="{00000000-0005-0000-0000-0000C33D0000}"/>
    <cellStyle name="Normal 79 2 2 2" xfId="7963" xr:uid="{00000000-0005-0000-0000-0000C43D0000}"/>
    <cellStyle name="Normal 79 2 2 2 2" xfId="7964" xr:uid="{00000000-0005-0000-0000-0000C53D0000}"/>
    <cellStyle name="Normal 79 2 2 2 2 2" xfId="7965" xr:uid="{00000000-0005-0000-0000-0000C63D0000}"/>
    <cellStyle name="Normal 79 2 2 2 2 2 2" xfId="18864" xr:uid="{00000000-0005-0000-0000-0000C73D0000}"/>
    <cellStyle name="Normal 79 2 2 2 2 3" xfId="7966" xr:uid="{00000000-0005-0000-0000-0000C83D0000}"/>
    <cellStyle name="Normal 79 2 2 2 2 3 2" xfId="18865" xr:uid="{00000000-0005-0000-0000-0000C93D0000}"/>
    <cellStyle name="Normal 79 2 2 2 2 4" xfId="18866" xr:uid="{00000000-0005-0000-0000-0000CA3D0000}"/>
    <cellStyle name="Normal 79 2 2 2 3" xfId="7967" xr:uid="{00000000-0005-0000-0000-0000CB3D0000}"/>
    <cellStyle name="Normal 79 2 2 2 3 2" xfId="7968" xr:uid="{00000000-0005-0000-0000-0000CC3D0000}"/>
    <cellStyle name="Normal 79 2 2 2 3 2 2" xfId="18867" xr:uid="{00000000-0005-0000-0000-0000CD3D0000}"/>
    <cellStyle name="Normal 79 2 2 2 3 3" xfId="7969" xr:uid="{00000000-0005-0000-0000-0000CE3D0000}"/>
    <cellStyle name="Normal 79 2 2 2 3 3 2" xfId="18868" xr:uid="{00000000-0005-0000-0000-0000CF3D0000}"/>
    <cellStyle name="Normal 79 2 2 2 3 4" xfId="18869" xr:uid="{00000000-0005-0000-0000-0000D03D0000}"/>
    <cellStyle name="Normal 79 2 2 2 4" xfId="7970" xr:uid="{00000000-0005-0000-0000-0000D13D0000}"/>
    <cellStyle name="Normal 79 2 2 2 4 2" xfId="18870" xr:uid="{00000000-0005-0000-0000-0000D23D0000}"/>
    <cellStyle name="Normal 79 2 2 2 5" xfId="7971" xr:uid="{00000000-0005-0000-0000-0000D33D0000}"/>
    <cellStyle name="Normal 79 2 2 2 5 2" xfId="18871" xr:uid="{00000000-0005-0000-0000-0000D43D0000}"/>
    <cellStyle name="Normal 79 2 2 2 6" xfId="18872" xr:uid="{00000000-0005-0000-0000-0000D53D0000}"/>
    <cellStyle name="Normal 79 2 2 3" xfId="7972" xr:uid="{00000000-0005-0000-0000-0000D63D0000}"/>
    <cellStyle name="Normal 79 2 2 3 2" xfId="7973" xr:uid="{00000000-0005-0000-0000-0000D73D0000}"/>
    <cellStyle name="Normal 79 2 2 3 2 2" xfId="7974" xr:uid="{00000000-0005-0000-0000-0000D83D0000}"/>
    <cellStyle name="Normal 79 2 2 3 2 2 2" xfId="18873" xr:uid="{00000000-0005-0000-0000-0000D93D0000}"/>
    <cellStyle name="Normal 79 2 2 3 2 3" xfId="7975" xr:uid="{00000000-0005-0000-0000-0000DA3D0000}"/>
    <cellStyle name="Normal 79 2 2 3 2 3 2" xfId="18874" xr:uid="{00000000-0005-0000-0000-0000DB3D0000}"/>
    <cellStyle name="Normal 79 2 2 3 2 4" xfId="18875" xr:uid="{00000000-0005-0000-0000-0000DC3D0000}"/>
    <cellStyle name="Normal 79 2 2 3 3" xfId="7976" xr:uid="{00000000-0005-0000-0000-0000DD3D0000}"/>
    <cellStyle name="Normal 79 2 2 3 3 2" xfId="7977" xr:uid="{00000000-0005-0000-0000-0000DE3D0000}"/>
    <cellStyle name="Normal 79 2 2 3 3 2 2" xfId="18876" xr:uid="{00000000-0005-0000-0000-0000DF3D0000}"/>
    <cellStyle name="Normal 79 2 2 3 3 3" xfId="7978" xr:uid="{00000000-0005-0000-0000-0000E03D0000}"/>
    <cellStyle name="Normal 79 2 2 3 3 3 2" xfId="18877" xr:uid="{00000000-0005-0000-0000-0000E13D0000}"/>
    <cellStyle name="Normal 79 2 2 3 3 4" xfId="18878" xr:uid="{00000000-0005-0000-0000-0000E23D0000}"/>
    <cellStyle name="Normal 79 2 2 3 4" xfId="7979" xr:uid="{00000000-0005-0000-0000-0000E33D0000}"/>
    <cellStyle name="Normal 79 2 2 3 4 2" xfId="18879" xr:uid="{00000000-0005-0000-0000-0000E43D0000}"/>
    <cellStyle name="Normal 79 2 2 3 5" xfId="7980" xr:uid="{00000000-0005-0000-0000-0000E53D0000}"/>
    <cellStyle name="Normal 79 2 2 3 5 2" xfId="18880" xr:uid="{00000000-0005-0000-0000-0000E63D0000}"/>
    <cellStyle name="Normal 79 2 2 3 6" xfId="18881" xr:uid="{00000000-0005-0000-0000-0000E73D0000}"/>
    <cellStyle name="Normal 79 2 2 4" xfId="7981" xr:uid="{00000000-0005-0000-0000-0000E83D0000}"/>
    <cellStyle name="Normal 79 2 2 4 2" xfId="7982" xr:uid="{00000000-0005-0000-0000-0000E93D0000}"/>
    <cellStyle name="Normal 79 2 2 4 2 2" xfId="18882" xr:uid="{00000000-0005-0000-0000-0000EA3D0000}"/>
    <cellStyle name="Normal 79 2 2 4 3" xfId="7983" xr:uid="{00000000-0005-0000-0000-0000EB3D0000}"/>
    <cellStyle name="Normal 79 2 2 4 3 2" xfId="18883" xr:uid="{00000000-0005-0000-0000-0000EC3D0000}"/>
    <cellStyle name="Normal 79 2 2 4 4" xfId="18884" xr:uid="{00000000-0005-0000-0000-0000ED3D0000}"/>
    <cellStyle name="Normal 79 2 2 5" xfId="7984" xr:uid="{00000000-0005-0000-0000-0000EE3D0000}"/>
    <cellStyle name="Normal 79 2 2 5 2" xfId="7985" xr:uid="{00000000-0005-0000-0000-0000EF3D0000}"/>
    <cellStyle name="Normal 79 2 2 5 2 2" xfId="18885" xr:uid="{00000000-0005-0000-0000-0000F03D0000}"/>
    <cellStyle name="Normal 79 2 2 5 3" xfId="7986" xr:uid="{00000000-0005-0000-0000-0000F13D0000}"/>
    <cellStyle name="Normal 79 2 2 5 3 2" xfId="18886" xr:uid="{00000000-0005-0000-0000-0000F23D0000}"/>
    <cellStyle name="Normal 79 2 2 5 4" xfId="18887" xr:uid="{00000000-0005-0000-0000-0000F33D0000}"/>
    <cellStyle name="Normal 79 2 2 6" xfId="7987" xr:uid="{00000000-0005-0000-0000-0000F43D0000}"/>
    <cellStyle name="Normal 79 2 2 6 2" xfId="18888" xr:uid="{00000000-0005-0000-0000-0000F53D0000}"/>
    <cellStyle name="Normal 79 2 2 7" xfId="7988" xr:uid="{00000000-0005-0000-0000-0000F63D0000}"/>
    <cellStyle name="Normal 79 2 2 7 2" xfId="18889" xr:uid="{00000000-0005-0000-0000-0000F73D0000}"/>
    <cellStyle name="Normal 79 2 2 8" xfId="12521" xr:uid="{00000000-0005-0000-0000-0000F83D0000}"/>
    <cellStyle name="Normal 79 2 3" xfId="7989" xr:uid="{00000000-0005-0000-0000-0000F93D0000}"/>
    <cellStyle name="Normal 79 2 3 2" xfId="7990" xr:uid="{00000000-0005-0000-0000-0000FA3D0000}"/>
    <cellStyle name="Normal 79 2 3 2 2" xfId="7991" xr:uid="{00000000-0005-0000-0000-0000FB3D0000}"/>
    <cellStyle name="Normal 79 2 3 2 2 2" xfId="18890" xr:uid="{00000000-0005-0000-0000-0000FC3D0000}"/>
    <cellStyle name="Normal 79 2 3 2 3" xfId="7992" xr:uid="{00000000-0005-0000-0000-0000FD3D0000}"/>
    <cellStyle name="Normal 79 2 3 2 3 2" xfId="18891" xr:uid="{00000000-0005-0000-0000-0000FE3D0000}"/>
    <cellStyle name="Normal 79 2 3 2 4" xfId="18892" xr:uid="{00000000-0005-0000-0000-0000FF3D0000}"/>
    <cellStyle name="Normal 79 2 3 3" xfId="7993" xr:uid="{00000000-0005-0000-0000-0000003E0000}"/>
    <cellStyle name="Normal 79 2 3 3 2" xfId="7994" xr:uid="{00000000-0005-0000-0000-0000013E0000}"/>
    <cellStyle name="Normal 79 2 3 3 2 2" xfId="18893" xr:uid="{00000000-0005-0000-0000-0000023E0000}"/>
    <cellStyle name="Normal 79 2 3 3 3" xfId="7995" xr:uid="{00000000-0005-0000-0000-0000033E0000}"/>
    <cellStyle name="Normal 79 2 3 3 3 2" xfId="18894" xr:uid="{00000000-0005-0000-0000-0000043E0000}"/>
    <cellStyle name="Normal 79 2 3 3 4" xfId="18895" xr:uid="{00000000-0005-0000-0000-0000053E0000}"/>
    <cellStyle name="Normal 79 2 3 4" xfId="7996" xr:uid="{00000000-0005-0000-0000-0000063E0000}"/>
    <cellStyle name="Normal 79 2 3 4 2" xfId="18896" xr:uid="{00000000-0005-0000-0000-0000073E0000}"/>
    <cellStyle name="Normal 79 2 3 5" xfId="7997" xr:uid="{00000000-0005-0000-0000-0000083E0000}"/>
    <cellStyle name="Normal 79 2 3 5 2" xfId="18897" xr:uid="{00000000-0005-0000-0000-0000093E0000}"/>
    <cellStyle name="Normal 79 2 3 6" xfId="18898" xr:uid="{00000000-0005-0000-0000-00000A3E0000}"/>
    <cellStyle name="Normal 79 2 4" xfId="7998" xr:uid="{00000000-0005-0000-0000-00000B3E0000}"/>
    <cellStyle name="Normal 79 2 4 2" xfId="7999" xr:uid="{00000000-0005-0000-0000-00000C3E0000}"/>
    <cellStyle name="Normal 79 2 4 2 2" xfId="8000" xr:uid="{00000000-0005-0000-0000-00000D3E0000}"/>
    <cellStyle name="Normal 79 2 4 2 2 2" xfId="18899" xr:uid="{00000000-0005-0000-0000-00000E3E0000}"/>
    <cellStyle name="Normal 79 2 4 2 3" xfId="8001" xr:uid="{00000000-0005-0000-0000-00000F3E0000}"/>
    <cellStyle name="Normal 79 2 4 2 3 2" xfId="18900" xr:uid="{00000000-0005-0000-0000-0000103E0000}"/>
    <cellStyle name="Normal 79 2 4 2 4" xfId="18901" xr:uid="{00000000-0005-0000-0000-0000113E0000}"/>
    <cellStyle name="Normal 79 2 4 3" xfId="8002" xr:uid="{00000000-0005-0000-0000-0000123E0000}"/>
    <cellStyle name="Normal 79 2 4 3 2" xfId="8003" xr:uid="{00000000-0005-0000-0000-0000133E0000}"/>
    <cellStyle name="Normal 79 2 4 3 2 2" xfId="18902" xr:uid="{00000000-0005-0000-0000-0000143E0000}"/>
    <cellStyle name="Normal 79 2 4 3 3" xfId="8004" xr:uid="{00000000-0005-0000-0000-0000153E0000}"/>
    <cellStyle name="Normal 79 2 4 3 3 2" xfId="18903" xr:uid="{00000000-0005-0000-0000-0000163E0000}"/>
    <cellStyle name="Normal 79 2 4 3 4" xfId="18904" xr:uid="{00000000-0005-0000-0000-0000173E0000}"/>
    <cellStyle name="Normal 79 2 4 4" xfId="8005" xr:uid="{00000000-0005-0000-0000-0000183E0000}"/>
    <cellStyle name="Normal 79 2 4 4 2" xfId="18905" xr:uid="{00000000-0005-0000-0000-0000193E0000}"/>
    <cellStyle name="Normal 79 2 4 5" xfId="8006" xr:uid="{00000000-0005-0000-0000-00001A3E0000}"/>
    <cellStyle name="Normal 79 2 4 5 2" xfId="18906" xr:uid="{00000000-0005-0000-0000-00001B3E0000}"/>
    <cellStyle name="Normal 79 2 4 6" xfId="18907" xr:uid="{00000000-0005-0000-0000-00001C3E0000}"/>
    <cellStyle name="Normal 79 2 5" xfId="8007" xr:uid="{00000000-0005-0000-0000-00001D3E0000}"/>
    <cellStyle name="Normal 79 2 5 2" xfId="8008" xr:uid="{00000000-0005-0000-0000-00001E3E0000}"/>
    <cellStyle name="Normal 79 2 5 2 2" xfId="18908" xr:uid="{00000000-0005-0000-0000-00001F3E0000}"/>
    <cellStyle name="Normal 79 2 5 3" xfId="8009" xr:uid="{00000000-0005-0000-0000-0000203E0000}"/>
    <cellStyle name="Normal 79 2 5 3 2" xfId="18909" xr:uid="{00000000-0005-0000-0000-0000213E0000}"/>
    <cellStyle name="Normal 79 2 5 4" xfId="18910" xr:uid="{00000000-0005-0000-0000-0000223E0000}"/>
    <cellStyle name="Normal 79 2 6" xfId="8010" xr:uid="{00000000-0005-0000-0000-0000233E0000}"/>
    <cellStyle name="Normal 79 2 6 2" xfId="8011" xr:uid="{00000000-0005-0000-0000-0000243E0000}"/>
    <cellStyle name="Normal 79 2 6 2 2" xfId="18911" xr:uid="{00000000-0005-0000-0000-0000253E0000}"/>
    <cellStyle name="Normal 79 2 6 3" xfId="8012" xr:uid="{00000000-0005-0000-0000-0000263E0000}"/>
    <cellStyle name="Normal 79 2 6 3 2" xfId="18912" xr:uid="{00000000-0005-0000-0000-0000273E0000}"/>
    <cellStyle name="Normal 79 2 6 4" xfId="18913" xr:uid="{00000000-0005-0000-0000-0000283E0000}"/>
    <cellStyle name="Normal 79 2 7" xfId="8013" xr:uid="{00000000-0005-0000-0000-0000293E0000}"/>
    <cellStyle name="Normal 79 2 7 2" xfId="18914" xr:uid="{00000000-0005-0000-0000-00002A3E0000}"/>
    <cellStyle name="Normal 79 2 8" xfId="8014" xr:uid="{00000000-0005-0000-0000-00002B3E0000}"/>
    <cellStyle name="Normal 79 2 8 2" xfId="18915" xr:uid="{00000000-0005-0000-0000-00002C3E0000}"/>
    <cellStyle name="Normal 79 2 9" xfId="12520" xr:uid="{00000000-0005-0000-0000-00002D3E0000}"/>
    <cellStyle name="Normal 79 20" xfId="11803" xr:uid="{00000000-0005-0000-0000-00002E3E0000}"/>
    <cellStyle name="Normal 79 3" xfId="8015" xr:uid="{00000000-0005-0000-0000-00002F3E0000}"/>
    <cellStyle name="Normal 79 3 2" xfId="8016" xr:uid="{00000000-0005-0000-0000-0000303E0000}"/>
    <cellStyle name="Normal 79 3 2 2" xfId="8017" xr:uid="{00000000-0005-0000-0000-0000313E0000}"/>
    <cellStyle name="Normal 79 3 2 2 2" xfId="8018" xr:uid="{00000000-0005-0000-0000-0000323E0000}"/>
    <cellStyle name="Normal 79 3 2 2 2 2" xfId="18916" xr:uid="{00000000-0005-0000-0000-0000333E0000}"/>
    <cellStyle name="Normal 79 3 2 2 3" xfId="8019" xr:uid="{00000000-0005-0000-0000-0000343E0000}"/>
    <cellStyle name="Normal 79 3 2 2 3 2" xfId="18917" xr:uid="{00000000-0005-0000-0000-0000353E0000}"/>
    <cellStyle name="Normal 79 3 2 2 4" xfId="18918" xr:uid="{00000000-0005-0000-0000-0000363E0000}"/>
    <cellStyle name="Normal 79 3 2 3" xfId="8020" xr:uid="{00000000-0005-0000-0000-0000373E0000}"/>
    <cellStyle name="Normal 79 3 2 3 2" xfId="8021" xr:uid="{00000000-0005-0000-0000-0000383E0000}"/>
    <cellStyle name="Normal 79 3 2 3 2 2" xfId="18919" xr:uid="{00000000-0005-0000-0000-0000393E0000}"/>
    <cellStyle name="Normal 79 3 2 3 3" xfId="8022" xr:uid="{00000000-0005-0000-0000-00003A3E0000}"/>
    <cellStyle name="Normal 79 3 2 3 3 2" xfId="18920" xr:uid="{00000000-0005-0000-0000-00003B3E0000}"/>
    <cellStyle name="Normal 79 3 2 3 4" xfId="18921" xr:uid="{00000000-0005-0000-0000-00003C3E0000}"/>
    <cellStyle name="Normal 79 3 2 4" xfId="8023" xr:uid="{00000000-0005-0000-0000-00003D3E0000}"/>
    <cellStyle name="Normal 79 3 2 4 2" xfId="18922" xr:uid="{00000000-0005-0000-0000-00003E3E0000}"/>
    <cellStyle name="Normal 79 3 2 5" xfId="8024" xr:uid="{00000000-0005-0000-0000-00003F3E0000}"/>
    <cellStyle name="Normal 79 3 2 5 2" xfId="18923" xr:uid="{00000000-0005-0000-0000-0000403E0000}"/>
    <cellStyle name="Normal 79 3 2 6" xfId="12523" xr:uid="{00000000-0005-0000-0000-0000413E0000}"/>
    <cellStyle name="Normal 79 3 3" xfId="8025" xr:uid="{00000000-0005-0000-0000-0000423E0000}"/>
    <cellStyle name="Normal 79 3 3 2" xfId="8026" xr:uid="{00000000-0005-0000-0000-0000433E0000}"/>
    <cellStyle name="Normal 79 3 3 2 2" xfId="8027" xr:uid="{00000000-0005-0000-0000-0000443E0000}"/>
    <cellStyle name="Normal 79 3 3 2 2 2" xfId="18924" xr:uid="{00000000-0005-0000-0000-0000453E0000}"/>
    <cellStyle name="Normal 79 3 3 2 3" xfId="8028" xr:uid="{00000000-0005-0000-0000-0000463E0000}"/>
    <cellStyle name="Normal 79 3 3 2 3 2" xfId="18925" xr:uid="{00000000-0005-0000-0000-0000473E0000}"/>
    <cellStyle name="Normal 79 3 3 2 4" xfId="18926" xr:uid="{00000000-0005-0000-0000-0000483E0000}"/>
    <cellStyle name="Normal 79 3 3 3" xfId="8029" xr:uid="{00000000-0005-0000-0000-0000493E0000}"/>
    <cellStyle name="Normal 79 3 3 3 2" xfId="8030" xr:uid="{00000000-0005-0000-0000-00004A3E0000}"/>
    <cellStyle name="Normal 79 3 3 3 2 2" xfId="18927" xr:uid="{00000000-0005-0000-0000-00004B3E0000}"/>
    <cellStyle name="Normal 79 3 3 3 3" xfId="8031" xr:uid="{00000000-0005-0000-0000-00004C3E0000}"/>
    <cellStyle name="Normal 79 3 3 3 3 2" xfId="18928" xr:uid="{00000000-0005-0000-0000-00004D3E0000}"/>
    <cellStyle name="Normal 79 3 3 3 4" xfId="18929" xr:uid="{00000000-0005-0000-0000-00004E3E0000}"/>
    <cellStyle name="Normal 79 3 3 4" xfId="8032" xr:uid="{00000000-0005-0000-0000-00004F3E0000}"/>
    <cellStyle name="Normal 79 3 3 4 2" xfId="18930" xr:uid="{00000000-0005-0000-0000-0000503E0000}"/>
    <cellStyle name="Normal 79 3 3 5" xfId="8033" xr:uid="{00000000-0005-0000-0000-0000513E0000}"/>
    <cellStyle name="Normal 79 3 3 5 2" xfId="18931" xr:uid="{00000000-0005-0000-0000-0000523E0000}"/>
    <cellStyle name="Normal 79 3 3 6" xfId="18932" xr:uid="{00000000-0005-0000-0000-0000533E0000}"/>
    <cellStyle name="Normal 79 3 4" xfId="8034" xr:uid="{00000000-0005-0000-0000-0000543E0000}"/>
    <cellStyle name="Normal 79 3 4 2" xfId="8035" xr:uid="{00000000-0005-0000-0000-0000553E0000}"/>
    <cellStyle name="Normal 79 3 4 2 2" xfId="18933" xr:uid="{00000000-0005-0000-0000-0000563E0000}"/>
    <cellStyle name="Normal 79 3 4 3" xfId="8036" xr:uid="{00000000-0005-0000-0000-0000573E0000}"/>
    <cellStyle name="Normal 79 3 4 3 2" xfId="18934" xr:uid="{00000000-0005-0000-0000-0000583E0000}"/>
    <cellStyle name="Normal 79 3 4 4" xfId="18935" xr:uid="{00000000-0005-0000-0000-0000593E0000}"/>
    <cellStyle name="Normal 79 3 5" xfId="8037" xr:uid="{00000000-0005-0000-0000-00005A3E0000}"/>
    <cellStyle name="Normal 79 3 5 2" xfId="8038" xr:uid="{00000000-0005-0000-0000-00005B3E0000}"/>
    <cellStyle name="Normal 79 3 5 2 2" xfId="18936" xr:uid="{00000000-0005-0000-0000-00005C3E0000}"/>
    <cellStyle name="Normal 79 3 5 3" xfId="8039" xr:uid="{00000000-0005-0000-0000-00005D3E0000}"/>
    <cellStyle name="Normal 79 3 5 3 2" xfId="18937" xr:uid="{00000000-0005-0000-0000-00005E3E0000}"/>
    <cellStyle name="Normal 79 3 5 4" xfId="18938" xr:uid="{00000000-0005-0000-0000-00005F3E0000}"/>
    <cellStyle name="Normal 79 3 6" xfId="8040" xr:uid="{00000000-0005-0000-0000-0000603E0000}"/>
    <cellStyle name="Normal 79 3 6 2" xfId="18939" xr:uid="{00000000-0005-0000-0000-0000613E0000}"/>
    <cellStyle name="Normal 79 3 7" xfId="8041" xr:uid="{00000000-0005-0000-0000-0000623E0000}"/>
    <cellStyle name="Normal 79 3 7 2" xfId="18940" xr:uid="{00000000-0005-0000-0000-0000633E0000}"/>
    <cellStyle name="Normal 79 3 8" xfId="12522" xr:uid="{00000000-0005-0000-0000-0000643E0000}"/>
    <cellStyle name="Normal 79 4" xfId="8042" xr:uid="{00000000-0005-0000-0000-0000653E0000}"/>
    <cellStyle name="Normal 79 4 2" xfId="8043" xr:uid="{00000000-0005-0000-0000-0000663E0000}"/>
    <cellStyle name="Normal 79 4 2 2" xfId="8044" xr:uid="{00000000-0005-0000-0000-0000673E0000}"/>
    <cellStyle name="Normal 79 4 2 2 2" xfId="8045" xr:uid="{00000000-0005-0000-0000-0000683E0000}"/>
    <cellStyle name="Normal 79 4 2 2 2 2" xfId="18941" xr:uid="{00000000-0005-0000-0000-0000693E0000}"/>
    <cellStyle name="Normal 79 4 2 2 3" xfId="8046" xr:uid="{00000000-0005-0000-0000-00006A3E0000}"/>
    <cellStyle name="Normal 79 4 2 2 3 2" xfId="18942" xr:uid="{00000000-0005-0000-0000-00006B3E0000}"/>
    <cellStyle name="Normal 79 4 2 2 4" xfId="18943" xr:uid="{00000000-0005-0000-0000-00006C3E0000}"/>
    <cellStyle name="Normal 79 4 2 3" xfId="8047" xr:uid="{00000000-0005-0000-0000-00006D3E0000}"/>
    <cellStyle name="Normal 79 4 2 3 2" xfId="8048" xr:uid="{00000000-0005-0000-0000-00006E3E0000}"/>
    <cellStyle name="Normal 79 4 2 3 2 2" xfId="18944" xr:uid="{00000000-0005-0000-0000-00006F3E0000}"/>
    <cellStyle name="Normal 79 4 2 3 3" xfId="8049" xr:uid="{00000000-0005-0000-0000-0000703E0000}"/>
    <cellStyle name="Normal 79 4 2 3 3 2" xfId="18945" xr:uid="{00000000-0005-0000-0000-0000713E0000}"/>
    <cellStyle name="Normal 79 4 2 3 4" xfId="18946" xr:uid="{00000000-0005-0000-0000-0000723E0000}"/>
    <cellStyle name="Normal 79 4 2 4" xfId="8050" xr:uid="{00000000-0005-0000-0000-0000733E0000}"/>
    <cellStyle name="Normal 79 4 2 4 2" xfId="18947" xr:uid="{00000000-0005-0000-0000-0000743E0000}"/>
    <cellStyle name="Normal 79 4 2 5" xfId="8051" xr:uid="{00000000-0005-0000-0000-0000753E0000}"/>
    <cellStyle name="Normal 79 4 2 5 2" xfId="18948" xr:uid="{00000000-0005-0000-0000-0000763E0000}"/>
    <cellStyle name="Normal 79 4 2 6" xfId="12525" xr:uid="{00000000-0005-0000-0000-0000773E0000}"/>
    <cellStyle name="Normal 79 4 3" xfId="8052" xr:uid="{00000000-0005-0000-0000-0000783E0000}"/>
    <cellStyle name="Normal 79 4 3 2" xfId="8053" xr:uid="{00000000-0005-0000-0000-0000793E0000}"/>
    <cellStyle name="Normal 79 4 3 2 2" xfId="8054" xr:uid="{00000000-0005-0000-0000-00007A3E0000}"/>
    <cellStyle name="Normal 79 4 3 2 2 2" xfId="18949" xr:uid="{00000000-0005-0000-0000-00007B3E0000}"/>
    <cellStyle name="Normal 79 4 3 2 3" xfId="8055" xr:uid="{00000000-0005-0000-0000-00007C3E0000}"/>
    <cellStyle name="Normal 79 4 3 2 3 2" xfId="18950" xr:uid="{00000000-0005-0000-0000-00007D3E0000}"/>
    <cellStyle name="Normal 79 4 3 2 4" xfId="18951" xr:uid="{00000000-0005-0000-0000-00007E3E0000}"/>
    <cellStyle name="Normal 79 4 3 3" xfId="8056" xr:uid="{00000000-0005-0000-0000-00007F3E0000}"/>
    <cellStyle name="Normal 79 4 3 3 2" xfId="8057" xr:uid="{00000000-0005-0000-0000-0000803E0000}"/>
    <cellStyle name="Normal 79 4 3 3 2 2" xfId="18952" xr:uid="{00000000-0005-0000-0000-0000813E0000}"/>
    <cellStyle name="Normal 79 4 3 3 3" xfId="8058" xr:uid="{00000000-0005-0000-0000-0000823E0000}"/>
    <cellStyle name="Normal 79 4 3 3 3 2" xfId="18953" xr:uid="{00000000-0005-0000-0000-0000833E0000}"/>
    <cellStyle name="Normal 79 4 3 3 4" xfId="18954" xr:uid="{00000000-0005-0000-0000-0000843E0000}"/>
    <cellStyle name="Normal 79 4 3 4" xfId="8059" xr:uid="{00000000-0005-0000-0000-0000853E0000}"/>
    <cellStyle name="Normal 79 4 3 4 2" xfId="18955" xr:uid="{00000000-0005-0000-0000-0000863E0000}"/>
    <cellStyle name="Normal 79 4 3 5" xfId="8060" xr:uid="{00000000-0005-0000-0000-0000873E0000}"/>
    <cellStyle name="Normal 79 4 3 5 2" xfId="18956" xr:uid="{00000000-0005-0000-0000-0000883E0000}"/>
    <cellStyle name="Normal 79 4 3 6" xfId="18957" xr:uid="{00000000-0005-0000-0000-0000893E0000}"/>
    <cellStyle name="Normal 79 4 4" xfId="8061" xr:uid="{00000000-0005-0000-0000-00008A3E0000}"/>
    <cellStyle name="Normal 79 4 4 2" xfId="8062" xr:uid="{00000000-0005-0000-0000-00008B3E0000}"/>
    <cellStyle name="Normal 79 4 4 2 2" xfId="18958" xr:uid="{00000000-0005-0000-0000-00008C3E0000}"/>
    <cellStyle name="Normal 79 4 4 3" xfId="8063" xr:uid="{00000000-0005-0000-0000-00008D3E0000}"/>
    <cellStyle name="Normal 79 4 4 3 2" xfId="18959" xr:uid="{00000000-0005-0000-0000-00008E3E0000}"/>
    <cellStyle name="Normal 79 4 4 4" xfId="18960" xr:uid="{00000000-0005-0000-0000-00008F3E0000}"/>
    <cellStyle name="Normal 79 4 5" xfId="8064" xr:uid="{00000000-0005-0000-0000-0000903E0000}"/>
    <cellStyle name="Normal 79 4 5 2" xfId="8065" xr:uid="{00000000-0005-0000-0000-0000913E0000}"/>
    <cellStyle name="Normal 79 4 5 2 2" xfId="18961" xr:uid="{00000000-0005-0000-0000-0000923E0000}"/>
    <cellStyle name="Normal 79 4 5 3" xfId="8066" xr:uid="{00000000-0005-0000-0000-0000933E0000}"/>
    <cellStyle name="Normal 79 4 5 3 2" xfId="18962" xr:uid="{00000000-0005-0000-0000-0000943E0000}"/>
    <cellStyle name="Normal 79 4 5 4" xfId="18963" xr:uid="{00000000-0005-0000-0000-0000953E0000}"/>
    <cellStyle name="Normal 79 4 6" xfId="8067" xr:uid="{00000000-0005-0000-0000-0000963E0000}"/>
    <cellStyle name="Normal 79 4 6 2" xfId="18964" xr:uid="{00000000-0005-0000-0000-0000973E0000}"/>
    <cellStyle name="Normal 79 4 7" xfId="8068" xr:uid="{00000000-0005-0000-0000-0000983E0000}"/>
    <cellStyle name="Normal 79 4 7 2" xfId="18965" xr:uid="{00000000-0005-0000-0000-0000993E0000}"/>
    <cellStyle name="Normal 79 4 8" xfId="12524" xr:uid="{00000000-0005-0000-0000-00009A3E0000}"/>
    <cellStyle name="Normal 79 5" xfId="8069" xr:uid="{00000000-0005-0000-0000-00009B3E0000}"/>
    <cellStyle name="Normal 79 5 2" xfId="8070" xr:uid="{00000000-0005-0000-0000-00009C3E0000}"/>
    <cellStyle name="Normal 79 5 2 2" xfId="8071" xr:uid="{00000000-0005-0000-0000-00009D3E0000}"/>
    <cellStyle name="Normal 79 5 2 2 2" xfId="18966" xr:uid="{00000000-0005-0000-0000-00009E3E0000}"/>
    <cellStyle name="Normal 79 5 2 3" xfId="8072" xr:uid="{00000000-0005-0000-0000-00009F3E0000}"/>
    <cellStyle name="Normal 79 5 2 3 2" xfId="18967" xr:uid="{00000000-0005-0000-0000-0000A03E0000}"/>
    <cellStyle name="Normal 79 5 2 4" xfId="12527" xr:uid="{00000000-0005-0000-0000-0000A13E0000}"/>
    <cellStyle name="Normal 79 5 3" xfId="8073" xr:uid="{00000000-0005-0000-0000-0000A23E0000}"/>
    <cellStyle name="Normal 79 5 3 2" xfId="8074" xr:uid="{00000000-0005-0000-0000-0000A33E0000}"/>
    <cellStyle name="Normal 79 5 3 2 2" xfId="18968" xr:uid="{00000000-0005-0000-0000-0000A43E0000}"/>
    <cellStyle name="Normal 79 5 3 3" xfId="8075" xr:uid="{00000000-0005-0000-0000-0000A53E0000}"/>
    <cellStyle name="Normal 79 5 3 3 2" xfId="18969" xr:uid="{00000000-0005-0000-0000-0000A63E0000}"/>
    <cellStyle name="Normal 79 5 3 4" xfId="18970" xr:uid="{00000000-0005-0000-0000-0000A73E0000}"/>
    <cellStyle name="Normal 79 5 4" xfId="8076" xr:uid="{00000000-0005-0000-0000-0000A83E0000}"/>
    <cellStyle name="Normal 79 5 4 2" xfId="18971" xr:uid="{00000000-0005-0000-0000-0000A93E0000}"/>
    <cellStyle name="Normal 79 5 5" xfId="8077" xr:uid="{00000000-0005-0000-0000-0000AA3E0000}"/>
    <cellStyle name="Normal 79 5 5 2" xfId="18972" xr:uid="{00000000-0005-0000-0000-0000AB3E0000}"/>
    <cellStyle name="Normal 79 5 6" xfId="12526" xr:uid="{00000000-0005-0000-0000-0000AC3E0000}"/>
    <cellStyle name="Normal 79 6" xfId="8078" xr:uid="{00000000-0005-0000-0000-0000AD3E0000}"/>
    <cellStyle name="Normal 79 6 2" xfId="8079" xr:uid="{00000000-0005-0000-0000-0000AE3E0000}"/>
    <cellStyle name="Normal 79 6 2 2" xfId="8080" xr:uid="{00000000-0005-0000-0000-0000AF3E0000}"/>
    <cellStyle name="Normal 79 6 2 2 2" xfId="18973" xr:uid="{00000000-0005-0000-0000-0000B03E0000}"/>
    <cellStyle name="Normal 79 6 2 3" xfId="8081" xr:uid="{00000000-0005-0000-0000-0000B13E0000}"/>
    <cellStyle name="Normal 79 6 2 3 2" xfId="18974" xr:uid="{00000000-0005-0000-0000-0000B23E0000}"/>
    <cellStyle name="Normal 79 6 2 4" xfId="12529" xr:uid="{00000000-0005-0000-0000-0000B33E0000}"/>
    <cellStyle name="Normal 79 6 3" xfId="8082" xr:uid="{00000000-0005-0000-0000-0000B43E0000}"/>
    <cellStyle name="Normal 79 6 3 2" xfId="8083" xr:uid="{00000000-0005-0000-0000-0000B53E0000}"/>
    <cellStyle name="Normal 79 6 3 2 2" xfId="18975" xr:uid="{00000000-0005-0000-0000-0000B63E0000}"/>
    <cellStyle name="Normal 79 6 3 3" xfId="8084" xr:uid="{00000000-0005-0000-0000-0000B73E0000}"/>
    <cellStyle name="Normal 79 6 3 3 2" xfId="18976" xr:uid="{00000000-0005-0000-0000-0000B83E0000}"/>
    <cellStyle name="Normal 79 6 3 4" xfId="18977" xr:uid="{00000000-0005-0000-0000-0000B93E0000}"/>
    <cellStyle name="Normal 79 6 4" xfId="8085" xr:uid="{00000000-0005-0000-0000-0000BA3E0000}"/>
    <cellStyle name="Normal 79 6 4 2" xfId="18978" xr:uid="{00000000-0005-0000-0000-0000BB3E0000}"/>
    <cellStyle name="Normal 79 6 5" xfId="8086" xr:uid="{00000000-0005-0000-0000-0000BC3E0000}"/>
    <cellStyle name="Normal 79 6 5 2" xfId="18979" xr:uid="{00000000-0005-0000-0000-0000BD3E0000}"/>
    <cellStyle name="Normal 79 6 6" xfId="12528" xr:uid="{00000000-0005-0000-0000-0000BE3E0000}"/>
    <cellStyle name="Normal 79 7" xfId="8087" xr:uid="{00000000-0005-0000-0000-0000BF3E0000}"/>
    <cellStyle name="Normal 79 7 2" xfId="8088" xr:uid="{00000000-0005-0000-0000-0000C03E0000}"/>
    <cellStyle name="Normal 79 7 2 2" xfId="8089" xr:uid="{00000000-0005-0000-0000-0000C13E0000}"/>
    <cellStyle name="Normal 79 7 2 2 2" xfId="18980" xr:uid="{00000000-0005-0000-0000-0000C23E0000}"/>
    <cellStyle name="Normal 79 7 2 3" xfId="8090" xr:uid="{00000000-0005-0000-0000-0000C33E0000}"/>
    <cellStyle name="Normal 79 7 2 3 2" xfId="18981" xr:uid="{00000000-0005-0000-0000-0000C43E0000}"/>
    <cellStyle name="Normal 79 7 2 4" xfId="18982" xr:uid="{00000000-0005-0000-0000-0000C53E0000}"/>
    <cellStyle name="Normal 79 7 3" xfId="8091" xr:uid="{00000000-0005-0000-0000-0000C63E0000}"/>
    <cellStyle name="Normal 79 7 3 2" xfId="8092" xr:uid="{00000000-0005-0000-0000-0000C73E0000}"/>
    <cellStyle name="Normal 79 7 3 2 2" xfId="18983" xr:uid="{00000000-0005-0000-0000-0000C83E0000}"/>
    <cellStyle name="Normal 79 7 3 3" xfId="8093" xr:uid="{00000000-0005-0000-0000-0000C93E0000}"/>
    <cellStyle name="Normal 79 7 3 3 2" xfId="18984" xr:uid="{00000000-0005-0000-0000-0000CA3E0000}"/>
    <cellStyle name="Normal 79 7 3 4" xfId="18985" xr:uid="{00000000-0005-0000-0000-0000CB3E0000}"/>
    <cellStyle name="Normal 79 7 4" xfId="8094" xr:uid="{00000000-0005-0000-0000-0000CC3E0000}"/>
    <cellStyle name="Normal 79 7 4 2" xfId="18986" xr:uid="{00000000-0005-0000-0000-0000CD3E0000}"/>
    <cellStyle name="Normal 79 7 5" xfId="8095" xr:uid="{00000000-0005-0000-0000-0000CE3E0000}"/>
    <cellStyle name="Normal 79 7 5 2" xfId="18987" xr:uid="{00000000-0005-0000-0000-0000CF3E0000}"/>
    <cellStyle name="Normal 79 7 6" xfId="12530" xr:uid="{00000000-0005-0000-0000-0000D03E0000}"/>
    <cellStyle name="Normal 79 8" xfId="8096" xr:uid="{00000000-0005-0000-0000-0000D13E0000}"/>
    <cellStyle name="Normal 79 8 2" xfId="8097" xr:uid="{00000000-0005-0000-0000-0000D23E0000}"/>
    <cellStyle name="Normal 79 8 2 2" xfId="18988" xr:uid="{00000000-0005-0000-0000-0000D33E0000}"/>
    <cellStyle name="Normal 79 8 3" xfId="8098" xr:uid="{00000000-0005-0000-0000-0000D43E0000}"/>
    <cellStyle name="Normal 79 8 3 2" xfId="18989" xr:uid="{00000000-0005-0000-0000-0000D53E0000}"/>
    <cellStyle name="Normal 79 8 4" xfId="12531" xr:uid="{00000000-0005-0000-0000-0000D63E0000}"/>
    <cellStyle name="Normal 79 9" xfId="8099" xr:uid="{00000000-0005-0000-0000-0000D73E0000}"/>
    <cellStyle name="Normal 79 9 2" xfId="8100" xr:uid="{00000000-0005-0000-0000-0000D83E0000}"/>
    <cellStyle name="Normal 79 9 2 2" xfId="18990" xr:uid="{00000000-0005-0000-0000-0000D93E0000}"/>
    <cellStyle name="Normal 79 9 3" xfId="8101" xr:uid="{00000000-0005-0000-0000-0000DA3E0000}"/>
    <cellStyle name="Normal 79 9 3 2" xfId="18991" xr:uid="{00000000-0005-0000-0000-0000DB3E0000}"/>
    <cellStyle name="Normal 79 9 4" xfId="12532" xr:uid="{00000000-0005-0000-0000-0000DC3E0000}"/>
    <cellStyle name="Normal 8" xfId="228" xr:uid="{00000000-0005-0000-0000-0000DD3E0000}"/>
    <cellStyle name="Normal 8 2" xfId="8102" xr:uid="{00000000-0005-0000-0000-0000DE3E0000}"/>
    <cellStyle name="Normal 8 2 2" xfId="8103" xr:uid="{00000000-0005-0000-0000-0000DF3E0000}"/>
    <cellStyle name="Normal 8 2 3" xfId="8104" xr:uid="{00000000-0005-0000-0000-0000E03E0000}"/>
    <cellStyle name="Normal 8 3" xfId="8105" xr:uid="{00000000-0005-0000-0000-0000E13E0000}"/>
    <cellStyle name="Normal 8 3 2" xfId="8106" xr:uid="{00000000-0005-0000-0000-0000E23E0000}"/>
    <cellStyle name="Normal 8 3 3" xfId="8107" xr:uid="{00000000-0005-0000-0000-0000E33E0000}"/>
    <cellStyle name="Normal 8 4" xfId="8108" xr:uid="{00000000-0005-0000-0000-0000E43E0000}"/>
    <cellStyle name="Normal 8 5" xfId="8109" xr:uid="{00000000-0005-0000-0000-0000E53E0000}"/>
    <cellStyle name="Normal 80" xfId="8110" xr:uid="{00000000-0005-0000-0000-0000E63E0000}"/>
    <cellStyle name="Normal 80 10" xfId="11804" xr:uid="{00000000-0005-0000-0000-0000E73E0000}"/>
    <cellStyle name="Normal 80 11" xfId="11805" xr:uid="{00000000-0005-0000-0000-0000E83E0000}"/>
    <cellStyle name="Normal 80 12" xfId="11806" xr:uid="{00000000-0005-0000-0000-0000E93E0000}"/>
    <cellStyle name="Normal 80 13" xfId="11807" xr:uid="{00000000-0005-0000-0000-0000EA3E0000}"/>
    <cellStyle name="Normal 80 14" xfId="11808" xr:uid="{00000000-0005-0000-0000-0000EB3E0000}"/>
    <cellStyle name="Normal 80 15" xfId="11809" xr:uid="{00000000-0005-0000-0000-0000EC3E0000}"/>
    <cellStyle name="Normal 80 16" xfId="11810" xr:uid="{00000000-0005-0000-0000-0000ED3E0000}"/>
    <cellStyle name="Normal 80 17" xfId="11811" xr:uid="{00000000-0005-0000-0000-0000EE3E0000}"/>
    <cellStyle name="Normal 80 18" xfId="11812" xr:uid="{00000000-0005-0000-0000-0000EF3E0000}"/>
    <cellStyle name="Normal 80 19" xfId="11813" xr:uid="{00000000-0005-0000-0000-0000F03E0000}"/>
    <cellStyle name="Normal 80 2" xfId="8111" xr:uid="{00000000-0005-0000-0000-0000F13E0000}"/>
    <cellStyle name="Normal 80 2 2" xfId="11814" xr:uid="{00000000-0005-0000-0000-0000F23E0000}"/>
    <cellStyle name="Normal 80 20" xfId="11815" xr:uid="{00000000-0005-0000-0000-0000F33E0000}"/>
    <cellStyle name="Normal 80 3" xfId="8112" xr:uid="{00000000-0005-0000-0000-0000F43E0000}"/>
    <cellStyle name="Normal 80 3 2" xfId="11816" xr:uid="{00000000-0005-0000-0000-0000F53E0000}"/>
    <cellStyle name="Normal 80 4" xfId="11817" xr:uid="{00000000-0005-0000-0000-0000F63E0000}"/>
    <cellStyle name="Normal 80 4 2" xfId="11818" xr:uid="{00000000-0005-0000-0000-0000F73E0000}"/>
    <cellStyle name="Normal 80 5" xfId="11819" xr:uid="{00000000-0005-0000-0000-0000F83E0000}"/>
    <cellStyle name="Normal 80 5 2" xfId="11820" xr:uid="{00000000-0005-0000-0000-0000F93E0000}"/>
    <cellStyle name="Normal 80 6" xfId="11821" xr:uid="{00000000-0005-0000-0000-0000FA3E0000}"/>
    <cellStyle name="Normal 80 6 2" xfId="11822" xr:uid="{00000000-0005-0000-0000-0000FB3E0000}"/>
    <cellStyle name="Normal 80 7" xfId="11823" xr:uid="{00000000-0005-0000-0000-0000FC3E0000}"/>
    <cellStyle name="Normal 80 8" xfId="11824" xr:uid="{00000000-0005-0000-0000-0000FD3E0000}"/>
    <cellStyle name="Normal 80 9" xfId="11825" xr:uid="{00000000-0005-0000-0000-0000FE3E0000}"/>
    <cellStyle name="Normal 81" xfId="8113" xr:uid="{00000000-0005-0000-0000-0000FF3E0000}"/>
    <cellStyle name="Normal 81 10" xfId="11826" xr:uid="{00000000-0005-0000-0000-0000003F0000}"/>
    <cellStyle name="Normal 81 11" xfId="11827" xr:uid="{00000000-0005-0000-0000-0000013F0000}"/>
    <cellStyle name="Normal 81 12" xfId="11828" xr:uid="{00000000-0005-0000-0000-0000023F0000}"/>
    <cellStyle name="Normal 81 13" xfId="11829" xr:uid="{00000000-0005-0000-0000-0000033F0000}"/>
    <cellStyle name="Normal 81 14" xfId="11830" xr:uid="{00000000-0005-0000-0000-0000043F0000}"/>
    <cellStyle name="Normal 81 15" xfId="11831" xr:uid="{00000000-0005-0000-0000-0000053F0000}"/>
    <cellStyle name="Normal 81 16" xfId="11832" xr:uid="{00000000-0005-0000-0000-0000063F0000}"/>
    <cellStyle name="Normal 81 17" xfId="11833" xr:uid="{00000000-0005-0000-0000-0000073F0000}"/>
    <cellStyle name="Normal 81 18" xfId="11834" xr:uid="{00000000-0005-0000-0000-0000083F0000}"/>
    <cellStyle name="Normal 81 19" xfId="11835" xr:uid="{00000000-0005-0000-0000-0000093F0000}"/>
    <cellStyle name="Normal 81 2" xfId="8114" xr:uid="{00000000-0005-0000-0000-00000A3F0000}"/>
    <cellStyle name="Normal 81 2 2" xfId="11836" xr:uid="{00000000-0005-0000-0000-00000B3F0000}"/>
    <cellStyle name="Normal 81 20" xfId="11837" xr:uid="{00000000-0005-0000-0000-00000C3F0000}"/>
    <cellStyle name="Normal 81 3" xfId="8115" xr:uid="{00000000-0005-0000-0000-00000D3F0000}"/>
    <cellStyle name="Normal 81 3 2" xfId="11838" xr:uid="{00000000-0005-0000-0000-00000E3F0000}"/>
    <cellStyle name="Normal 81 4" xfId="11839" xr:uid="{00000000-0005-0000-0000-00000F3F0000}"/>
    <cellStyle name="Normal 81 4 2" xfId="11840" xr:uid="{00000000-0005-0000-0000-0000103F0000}"/>
    <cellStyle name="Normal 81 5" xfId="11841" xr:uid="{00000000-0005-0000-0000-0000113F0000}"/>
    <cellStyle name="Normal 81 5 2" xfId="11842" xr:uid="{00000000-0005-0000-0000-0000123F0000}"/>
    <cellStyle name="Normal 81 6" xfId="11843" xr:uid="{00000000-0005-0000-0000-0000133F0000}"/>
    <cellStyle name="Normal 81 6 2" xfId="11844" xr:uid="{00000000-0005-0000-0000-0000143F0000}"/>
    <cellStyle name="Normal 81 7" xfId="11845" xr:uid="{00000000-0005-0000-0000-0000153F0000}"/>
    <cellStyle name="Normal 81 8" xfId="11846" xr:uid="{00000000-0005-0000-0000-0000163F0000}"/>
    <cellStyle name="Normal 81 9" xfId="11847" xr:uid="{00000000-0005-0000-0000-0000173F0000}"/>
    <cellStyle name="Normal 82" xfId="8116" xr:uid="{00000000-0005-0000-0000-0000183F0000}"/>
    <cellStyle name="Normal 82 10" xfId="11848" xr:uid="{00000000-0005-0000-0000-0000193F0000}"/>
    <cellStyle name="Normal 82 11" xfId="11849" xr:uid="{00000000-0005-0000-0000-00001A3F0000}"/>
    <cellStyle name="Normal 82 12" xfId="11850" xr:uid="{00000000-0005-0000-0000-00001B3F0000}"/>
    <cellStyle name="Normal 82 13" xfId="11851" xr:uid="{00000000-0005-0000-0000-00001C3F0000}"/>
    <cellStyle name="Normal 82 14" xfId="11852" xr:uid="{00000000-0005-0000-0000-00001D3F0000}"/>
    <cellStyle name="Normal 82 15" xfId="11853" xr:uid="{00000000-0005-0000-0000-00001E3F0000}"/>
    <cellStyle name="Normal 82 16" xfId="11854" xr:uid="{00000000-0005-0000-0000-00001F3F0000}"/>
    <cellStyle name="Normal 82 17" xfId="11855" xr:uid="{00000000-0005-0000-0000-0000203F0000}"/>
    <cellStyle name="Normal 82 18" xfId="11856" xr:uid="{00000000-0005-0000-0000-0000213F0000}"/>
    <cellStyle name="Normal 82 19" xfId="11857" xr:uid="{00000000-0005-0000-0000-0000223F0000}"/>
    <cellStyle name="Normal 82 2" xfId="8117" xr:uid="{00000000-0005-0000-0000-0000233F0000}"/>
    <cellStyle name="Normal 82 2 2" xfId="11858" xr:uid="{00000000-0005-0000-0000-0000243F0000}"/>
    <cellStyle name="Normal 82 20" xfId="11859" xr:uid="{00000000-0005-0000-0000-0000253F0000}"/>
    <cellStyle name="Normal 82 3" xfId="8118" xr:uid="{00000000-0005-0000-0000-0000263F0000}"/>
    <cellStyle name="Normal 82 3 2" xfId="11860" xr:uid="{00000000-0005-0000-0000-0000273F0000}"/>
    <cellStyle name="Normal 82 4" xfId="11861" xr:uid="{00000000-0005-0000-0000-0000283F0000}"/>
    <cellStyle name="Normal 82 4 2" xfId="11862" xr:uid="{00000000-0005-0000-0000-0000293F0000}"/>
    <cellStyle name="Normal 82 5" xfId="11863" xr:uid="{00000000-0005-0000-0000-00002A3F0000}"/>
    <cellStyle name="Normal 82 5 2" xfId="11864" xr:uid="{00000000-0005-0000-0000-00002B3F0000}"/>
    <cellStyle name="Normal 82 6" xfId="11865" xr:uid="{00000000-0005-0000-0000-00002C3F0000}"/>
    <cellStyle name="Normal 82 6 2" xfId="11866" xr:uid="{00000000-0005-0000-0000-00002D3F0000}"/>
    <cellStyle name="Normal 82 7" xfId="11867" xr:uid="{00000000-0005-0000-0000-00002E3F0000}"/>
    <cellStyle name="Normal 82 8" xfId="11868" xr:uid="{00000000-0005-0000-0000-00002F3F0000}"/>
    <cellStyle name="Normal 82 9" xfId="11869" xr:uid="{00000000-0005-0000-0000-0000303F0000}"/>
    <cellStyle name="Normal 83" xfId="8119" xr:uid="{00000000-0005-0000-0000-0000313F0000}"/>
    <cellStyle name="Normal 83 10" xfId="11870" xr:uid="{00000000-0005-0000-0000-0000323F0000}"/>
    <cellStyle name="Normal 83 11" xfId="11871" xr:uid="{00000000-0005-0000-0000-0000333F0000}"/>
    <cellStyle name="Normal 83 12" xfId="11872" xr:uid="{00000000-0005-0000-0000-0000343F0000}"/>
    <cellStyle name="Normal 83 13" xfId="11873" xr:uid="{00000000-0005-0000-0000-0000353F0000}"/>
    <cellStyle name="Normal 83 14" xfId="11874" xr:uid="{00000000-0005-0000-0000-0000363F0000}"/>
    <cellStyle name="Normal 83 15" xfId="11875" xr:uid="{00000000-0005-0000-0000-0000373F0000}"/>
    <cellStyle name="Normal 83 16" xfId="11876" xr:uid="{00000000-0005-0000-0000-0000383F0000}"/>
    <cellStyle name="Normal 83 17" xfId="11877" xr:uid="{00000000-0005-0000-0000-0000393F0000}"/>
    <cellStyle name="Normal 83 18" xfId="11878" xr:uid="{00000000-0005-0000-0000-00003A3F0000}"/>
    <cellStyle name="Normal 83 19" xfId="11879" xr:uid="{00000000-0005-0000-0000-00003B3F0000}"/>
    <cellStyle name="Normal 83 2" xfId="8120" xr:uid="{00000000-0005-0000-0000-00003C3F0000}"/>
    <cellStyle name="Normal 83 2 2" xfId="11880" xr:uid="{00000000-0005-0000-0000-00003D3F0000}"/>
    <cellStyle name="Normal 83 20" xfId="11881" xr:uid="{00000000-0005-0000-0000-00003E3F0000}"/>
    <cellStyle name="Normal 83 3" xfId="8121" xr:uid="{00000000-0005-0000-0000-00003F3F0000}"/>
    <cellStyle name="Normal 83 3 2" xfId="11882" xr:uid="{00000000-0005-0000-0000-0000403F0000}"/>
    <cellStyle name="Normal 83 4" xfId="11883" xr:uid="{00000000-0005-0000-0000-0000413F0000}"/>
    <cellStyle name="Normal 83 4 2" xfId="11884" xr:uid="{00000000-0005-0000-0000-0000423F0000}"/>
    <cellStyle name="Normal 83 5" xfId="11885" xr:uid="{00000000-0005-0000-0000-0000433F0000}"/>
    <cellStyle name="Normal 83 5 2" xfId="11886" xr:uid="{00000000-0005-0000-0000-0000443F0000}"/>
    <cellStyle name="Normal 83 6" xfId="11887" xr:uid="{00000000-0005-0000-0000-0000453F0000}"/>
    <cellStyle name="Normal 83 6 2" xfId="11888" xr:uid="{00000000-0005-0000-0000-0000463F0000}"/>
    <cellStyle name="Normal 83 7" xfId="11889" xr:uid="{00000000-0005-0000-0000-0000473F0000}"/>
    <cellStyle name="Normal 83 8" xfId="11890" xr:uid="{00000000-0005-0000-0000-0000483F0000}"/>
    <cellStyle name="Normal 83 9" xfId="11891" xr:uid="{00000000-0005-0000-0000-0000493F0000}"/>
    <cellStyle name="Normal 84" xfId="8122" xr:uid="{00000000-0005-0000-0000-00004A3F0000}"/>
    <cellStyle name="Normal 84 10" xfId="8123" xr:uid="{00000000-0005-0000-0000-00004B3F0000}"/>
    <cellStyle name="Normal 84 10 2" xfId="12533" xr:uid="{00000000-0005-0000-0000-00004C3F0000}"/>
    <cellStyle name="Normal 84 11" xfId="8124" xr:uid="{00000000-0005-0000-0000-00004D3F0000}"/>
    <cellStyle name="Normal 84 11 2" xfId="12534" xr:uid="{00000000-0005-0000-0000-00004E3F0000}"/>
    <cellStyle name="Normal 84 12" xfId="11892" xr:uid="{00000000-0005-0000-0000-00004F3F0000}"/>
    <cellStyle name="Normal 84 13" xfId="11893" xr:uid="{00000000-0005-0000-0000-0000503F0000}"/>
    <cellStyle name="Normal 84 14" xfId="11894" xr:uid="{00000000-0005-0000-0000-0000513F0000}"/>
    <cellStyle name="Normal 84 15" xfId="11895" xr:uid="{00000000-0005-0000-0000-0000523F0000}"/>
    <cellStyle name="Normal 84 16" xfId="11896" xr:uid="{00000000-0005-0000-0000-0000533F0000}"/>
    <cellStyle name="Normal 84 17" xfId="11897" xr:uid="{00000000-0005-0000-0000-0000543F0000}"/>
    <cellStyle name="Normal 84 18" xfId="11898" xr:uid="{00000000-0005-0000-0000-0000553F0000}"/>
    <cellStyle name="Normal 84 19" xfId="11899" xr:uid="{00000000-0005-0000-0000-0000563F0000}"/>
    <cellStyle name="Normal 84 2" xfId="8125" xr:uid="{00000000-0005-0000-0000-0000573F0000}"/>
    <cellStyle name="Normal 84 2 2" xfId="8126" xr:uid="{00000000-0005-0000-0000-0000583F0000}"/>
    <cellStyle name="Normal 84 2 2 2" xfId="8127" xr:uid="{00000000-0005-0000-0000-0000593F0000}"/>
    <cellStyle name="Normal 84 2 2 2 2" xfId="8128" xr:uid="{00000000-0005-0000-0000-00005A3F0000}"/>
    <cellStyle name="Normal 84 2 2 2 2 2" xfId="8129" xr:uid="{00000000-0005-0000-0000-00005B3F0000}"/>
    <cellStyle name="Normal 84 2 2 2 2 2 2" xfId="18992" xr:uid="{00000000-0005-0000-0000-00005C3F0000}"/>
    <cellStyle name="Normal 84 2 2 2 2 3" xfId="8130" xr:uid="{00000000-0005-0000-0000-00005D3F0000}"/>
    <cellStyle name="Normal 84 2 2 2 2 3 2" xfId="18993" xr:uid="{00000000-0005-0000-0000-00005E3F0000}"/>
    <cellStyle name="Normal 84 2 2 2 2 4" xfId="18994" xr:uid="{00000000-0005-0000-0000-00005F3F0000}"/>
    <cellStyle name="Normal 84 2 2 2 3" xfId="8131" xr:uid="{00000000-0005-0000-0000-0000603F0000}"/>
    <cellStyle name="Normal 84 2 2 2 3 2" xfId="8132" xr:uid="{00000000-0005-0000-0000-0000613F0000}"/>
    <cellStyle name="Normal 84 2 2 2 3 2 2" xfId="18995" xr:uid="{00000000-0005-0000-0000-0000623F0000}"/>
    <cellStyle name="Normal 84 2 2 2 3 3" xfId="8133" xr:uid="{00000000-0005-0000-0000-0000633F0000}"/>
    <cellStyle name="Normal 84 2 2 2 3 3 2" xfId="18996" xr:uid="{00000000-0005-0000-0000-0000643F0000}"/>
    <cellStyle name="Normal 84 2 2 2 3 4" xfId="18997" xr:uid="{00000000-0005-0000-0000-0000653F0000}"/>
    <cellStyle name="Normal 84 2 2 2 4" xfId="8134" xr:uid="{00000000-0005-0000-0000-0000663F0000}"/>
    <cellStyle name="Normal 84 2 2 2 4 2" xfId="18998" xr:uid="{00000000-0005-0000-0000-0000673F0000}"/>
    <cellStyle name="Normal 84 2 2 2 5" xfId="8135" xr:uid="{00000000-0005-0000-0000-0000683F0000}"/>
    <cellStyle name="Normal 84 2 2 2 5 2" xfId="18999" xr:uid="{00000000-0005-0000-0000-0000693F0000}"/>
    <cellStyle name="Normal 84 2 2 2 6" xfId="19000" xr:uid="{00000000-0005-0000-0000-00006A3F0000}"/>
    <cellStyle name="Normal 84 2 2 3" xfId="8136" xr:uid="{00000000-0005-0000-0000-00006B3F0000}"/>
    <cellStyle name="Normal 84 2 2 3 2" xfId="8137" xr:uid="{00000000-0005-0000-0000-00006C3F0000}"/>
    <cellStyle name="Normal 84 2 2 3 2 2" xfId="8138" xr:uid="{00000000-0005-0000-0000-00006D3F0000}"/>
    <cellStyle name="Normal 84 2 2 3 2 2 2" xfId="19001" xr:uid="{00000000-0005-0000-0000-00006E3F0000}"/>
    <cellStyle name="Normal 84 2 2 3 2 3" xfId="8139" xr:uid="{00000000-0005-0000-0000-00006F3F0000}"/>
    <cellStyle name="Normal 84 2 2 3 2 3 2" xfId="19002" xr:uid="{00000000-0005-0000-0000-0000703F0000}"/>
    <cellStyle name="Normal 84 2 2 3 2 4" xfId="19003" xr:uid="{00000000-0005-0000-0000-0000713F0000}"/>
    <cellStyle name="Normal 84 2 2 3 3" xfId="8140" xr:uid="{00000000-0005-0000-0000-0000723F0000}"/>
    <cellStyle name="Normal 84 2 2 3 3 2" xfId="8141" xr:uid="{00000000-0005-0000-0000-0000733F0000}"/>
    <cellStyle name="Normal 84 2 2 3 3 2 2" xfId="19004" xr:uid="{00000000-0005-0000-0000-0000743F0000}"/>
    <cellStyle name="Normal 84 2 2 3 3 3" xfId="8142" xr:uid="{00000000-0005-0000-0000-0000753F0000}"/>
    <cellStyle name="Normal 84 2 2 3 3 3 2" xfId="19005" xr:uid="{00000000-0005-0000-0000-0000763F0000}"/>
    <cellStyle name="Normal 84 2 2 3 3 4" xfId="19006" xr:uid="{00000000-0005-0000-0000-0000773F0000}"/>
    <cellStyle name="Normal 84 2 2 3 4" xfId="8143" xr:uid="{00000000-0005-0000-0000-0000783F0000}"/>
    <cellStyle name="Normal 84 2 2 3 4 2" xfId="19007" xr:uid="{00000000-0005-0000-0000-0000793F0000}"/>
    <cellStyle name="Normal 84 2 2 3 5" xfId="8144" xr:uid="{00000000-0005-0000-0000-00007A3F0000}"/>
    <cellStyle name="Normal 84 2 2 3 5 2" xfId="19008" xr:uid="{00000000-0005-0000-0000-00007B3F0000}"/>
    <cellStyle name="Normal 84 2 2 3 6" xfId="19009" xr:uid="{00000000-0005-0000-0000-00007C3F0000}"/>
    <cellStyle name="Normal 84 2 2 4" xfId="8145" xr:uid="{00000000-0005-0000-0000-00007D3F0000}"/>
    <cellStyle name="Normal 84 2 2 4 2" xfId="8146" xr:uid="{00000000-0005-0000-0000-00007E3F0000}"/>
    <cellStyle name="Normal 84 2 2 4 2 2" xfId="19010" xr:uid="{00000000-0005-0000-0000-00007F3F0000}"/>
    <cellStyle name="Normal 84 2 2 4 3" xfId="8147" xr:uid="{00000000-0005-0000-0000-0000803F0000}"/>
    <cellStyle name="Normal 84 2 2 4 3 2" xfId="19011" xr:uid="{00000000-0005-0000-0000-0000813F0000}"/>
    <cellStyle name="Normal 84 2 2 4 4" xfId="19012" xr:uid="{00000000-0005-0000-0000-0000823F0000}"/>
    <cellStyle name="Normal 84 2 2 5" xfId="8148" xr:uid="{00000000-0005-0000-0000-0000833F0000}"/>
    <cellStyle name="Normal 84 2 2 5 2" xfId="8149" xr:uid="{00000000-0005-0000-0000-0000843F0000}"/>
    <cellStyle name="Normal 84 2 2 5 2 2" xfId="19013" xr:uid="{00000000-0005-0000-0000-0000853F0000}"/>
    <cellStyle name="Normal 84 2 2 5 3" xfId="8150" xr:uid="{00000000-0005-0000-0000-0000863F0000}"/>
    <cellStyle name="Normal 84 2 2 5 3 2" xfId="19014" xr:uid="{00000000-0005-0000-0000-0000873F0000}"/>
    <cellStyle name="Normal 84 2 2 5 4" xfId="19015" xr:uid="{00000000-0005-0000-0000-0000883F0000}"/>
    <cellStyle name="Normal 84 2 2 6" xfId="8151" xr:uid="{00000000-0005-0000-0000-0000893F0000}"/>
    <cellStyle name="Normal 84 2 2 6 2" xfId="19016" xr:uid="{00000000-0005-0000-0000-00008A3F0000}"/>
    <cellStyle name="Normal 84 2 2 7" xfId="8152" xr:uid="{00000000-0005-0000-0000-00008B3F0000}"/>
    <cellStyle name="Normal 84 2 2 7 2" xfId="19017" xr:uid="{00000000-0005-0000-0000-00008C3F0000}"/>
    <cellStyle name="Normal 84 2 2 8" xfId="12536" xr:uid="{00000000-0005-0000-0000-00008D3F0000}"/>
    <cellStyle name="Normal 84 2 3" xfId="8153" xr:uid="{00000000-0005-0000-0000-00008E3F0000}"/>
    <cellStyle name="Normal 84 2 3 2" xfId="8154" xr:uid="{00000000-0005-0000-0000-00008F3F0000}"/>
    <cellStyle name="Normal 84 2 3 2 2" xfId="8155" xr:uid="{00000000-0005-0000-0000-0000903F0000}"/>
    <cellStyle name="Normal 84 2 3 2 2 2" xfId="19018" xr:uid="{00000000-0005-0000-0000-0000913F0000}"/>
    <cellStyle name="Normal 84 2 3 2 3" xfId="8156" xr:uid="{00000000-0005-0000-0000-0000923F0000}"/>
    <cellStyle name="Normal 84 2 3 2 3 2" xfId="19019" xr:uid="{00000000-0005-0000-0000-0000933F0000}"/>
    <cellStyle name="Normal 84 2 3 2 4" xfId="19020" xr:uid="{00000000-0005-0000-0000-0000943F0000}"/>
    <cellStyle name="Normal 84 2 3 3" xfId="8157" xr:uid="{00000000-0005-0000-0000-0000953F0000}"/>
    <cellStyle name="Normal 84 2 3 3 2" xfId="8158" xr:uid="{00000000-0005-0000-0000-0000963F0000}"/>
    <cellStyle name="Normal 84 2 3 3 2 2" xfId="19021" xr:uid="{00000000-0005-0000-0000-0000973F0000}"/>
    <cellStyle name="Normal 84 2 3 3 3" xfId="8159" xr:uid="{00000000-0005-0000-0000-0000983F0000}"/>
    <cellStyle name="Normal 84 2 3 3 3 2" xfId="19022" xr:uid="{00000000-0005-0000-0000-0000993F0000}"/>
    <cellStyle name="Normal 84 2 3 3 4" xfId="19023" xr:uid="{00000000-0005-0000-0000-00009A3F0000}"/>
    <cellStyle name="Normal 84 2 3 4" xfId="8160" xr:uid="{00000000-0005-0000-0000-00009B3F0000}"/>
    <cellStyle name="Normal 84 2 3 4 2" xfId="19024" xr:uid="{00000000-0005-0000-0000-00009C3F0000}"/>
    <cellStyle name="Normal 84 2 3 5" xfId="8161" xr:uid="{00000000-0005-0000-0000-00009D3F0000}"/>
    <cellStyle name="Normal 84 2 3 5 2" xfId="19025" xr:uid="{00000000-0005-0000-0000-00009E3F0000}"/>
    <cellStyle name="Normal 84 2 3 6" xfId="19026" xr:uid="{00000000-0005-0000-0000-00009F3F0000}"/>
    <cellStyle name="Normal 84 2 4" xfId="8162" xr:uid="{00000000-0005-0000-0000-0000A03F0000}"/>
    <cellStyle name="Normal 84 2 4 2" xfId="8163" xr:uid="{00000000-0005-0000-0000-0000A13F0000}"/>
    <cellStyle name="Normal 84 2 4 2 2" xfId="8164" xr:uid="{00000000-0005-0000-0000-0000A23F0000}"/>
    <cellStyle name="Normal 84 2 4 2 2 2" xfId="19027" xr:uid="{00000000-0005-0000-0000-0000A33F0000}"/>
    <cellStyle name="Normal 84 2 4 2 3" xfId="8165" xr:uid="{00000000-0005-0000-0000-0000A43F0000}"/>
    <cellStyle name="Normal 84 2 4 2 3 2" xfId="19028" xr:uid="{00000000-0005-0000-0000-0000A53F0000}"/>
    <cellStyle name="Normal 84 2 4 2 4" xfId="19029" xr:uid="{00000000-0005-0000-0000-0000A63F0000}"/>
    <cellStyle name="Normal 84 2 4 3" xfId="8166" xr:uid="{00000000-0005-0000-0000-0000A73F0000}"/>
    <cellStyle name="Normal 84 2 4 3 2" xfId="8167" xr:uid="{00000000-0005-0000-0000-0000A83F0000}"/>
    <cellStyle name="Normal 84 2 4 3 2 2" xfId="19030" xr:uid="{00000000-0005-0000-0000-0000A93F0000}"/>
    <cellStyle name="Normal 84 2 4 3 3" xfId="8168" xr:uid="{00000000-0005-0000-0000-0000AA3F0000}"/>
    <cellStyle name="Normal 84 2 4 3 3 2" xfId="19031" xr:uid="{00000000-0005-0000-0000-0000AB3F0000}"/>
    <cellStyle name="Normal 84 2 4 3 4" xfId="19032" xr:uid="{00000000-0005-0000-0000-0000AC3F0000}"/>
    <cellStyle name="Normal 84 2 4 4" xfId="8169" xr:uid="{00000000-0005-0000-0000-0000AD3F0000}"/>
    <cellStyle name="Normal 84 2 4 4 2" xfId="19033" xr:uid="{00000000-0005-0000-0000-0000AE3F0000}"/>
    <cellStyle name="Normal 84 2 4 5" xfId="8170" xr:uid="{00000000-0005-0000-0000-0000AF3F0000}"/>
    <cellStyle name="Normal 84 2 4 5 2" xfId="19034" xr:uid="{00000000-0005-0000-0000-0000B03F0000}"/>
    <cellStyle name="Normal 84 2 4 6" xfId="19035" xr:uid="{00000000-0005-0000-0000-0000B13F0000}"/>
    <cellStyle name="Normal 84 2 5" xfId="8171" xr:uid="{00000000-0005-0000-0000-0000B23F0000}"/>
    <cellStyle name="Normal 84 2 5 2" xfId="8172" xr:uid="{00000000-0005-0000-0000-0000B33F0000}"/>
    <cellStyle name="Normal 84 2 5 2 2" xfId="19036" xr:uid="{00000000-0005-0000-0000-0000B43F0000}"/>
    <cellStyle name="Normal 84 2 5 3" xfId="8173" xr:uid="{00000000-0005-0000-0000-0000B53F0000}"/>
    <cellStyle name="Normal 84 2 5 3 2" xfId="19037" xr:uid="{00000000-0005-0000-0000-0000B63F0000}"/>
    <cellStyle name="Normal 84 2 5 4" xfId="19038" xr:uid="{00000000-0005-0000-0000-0000B73F0000}"/>
    <cellStyle name="Normal 84 2 6" xfId="8174" xr:uid="{00000000-0005-0000-0000-0000B83F0000}"/>
    <cellStyle name="Normal 84 2 6 2" xfId="8175" xr:uid="{00000000-0005-0000-0000-0000B93F0000}"/>
    <cellStyle name="Normal 84 2 6 2 2" xfId="19039" xr:uid="{00000000-0005-0000-0000-0000BA3F0000}"/>
    <cellStyle name="Normal 84 2 6 3" xfId="8176" xr:uid="{00000000-0005-0000-0000-0000BB3F0000}"/>
    <cellStyle name="Normal 84 2 6 3 2" xfId="19040" xr:uid="{00000000-0005-0000-0000-0000BC3F0000}"/>
    <cellStyle name="Normal 84 2 6 4" xfId="19041" xr:uid="{00000000-0005-0000-0000-0000BD3F0000}"/>
    <cellStyle name="Normal 84 2 7" xfId="8177" xr:uid="{00000000-0005-0000-0000-0000BE3F0000}"/>
    <cellStyle name="Normal 84 2 7 2" xfId="19042" xr:uid="{00000000-0005-0000-0000-0000BF3F0000}"/>
    <cellStyle name="Normal 84 2 8" xfId="8178" xr:uid="{00000000-0005-0000-0000-0000C03F0000}"/>
    <cellStyle name="Normal 84 2 8 2" xfId="19043" xr:uid="{00000000-0005-0000-0000-0000C13F0000}"/>
    <cellStyle name="Normal 84 2 9" xfId="12535" xr:uid="{00000000-0005-0000-0000-0000C23F0000}"/>
    <cellStyle name="Normal 84 20" xfId="11900" xr:uid="{00000000-0005-0000-0000-0000C33F0000}"/>
    <cellStyle name="Normal 84 3" xfId="8179" xr:uid="{00000000-0005-0000-0000-0000C43F0000}"/>
    <cellStyle name="Normal 84 3 2" xfId="8180" xr:uid="{00000000-0005-0000-0000-0000C53F0000}"/>
    <cellStyle name="Normal 84 3 2 2" xfId="8181" xr:uid="{00000000-0005-0000-0000-0000C63F0000}"/>
    <cellStyle name="Normal 84 3 2 2 2" xfId="8182" xr:uid="{00000000-0005-0000-0000-0000C73F0000}"/>
    <cellStyle name="Normal 84 3 2 2 2 2" xfId="19044" xr:uid="{00000000-0005-0000-0000-0000C83F0000}"/>
    <cellStyle name="Normal 84 3 2 2 3" xfId="8183" xr:uid="{00000000-0005-0000-0000-0000C93F0000}"/>
    <cellStyle name="Normal 84 3 2 2 3 2" xfId="19045" xr:uid="{00000000-0005-0000-0000-0000CA3F0000}"/>
    <cellStyle name="Normal 84 3 2 2 4" xfId="19046" xr:uid="{00000000-0005-0000-0000-0000CB3F0000}"/>
    <cellStyle name="Normal 84 3 2 3" xfId="8184" xr:uid="{00000000-0005-0000-0000-0000CC3F0000}"/>
    <cellStyle name="Normal 84 3 2 3 2" xfId="8185" xr:uid="{00000000-0005-0000-0000-0000CD3F0000}"/>
    <cellStyle name="Normal 84 3 2 3 2 2" xfId="19047" xr:uid="{00000000-0005-0000-0000-0000CE3F0000}"/>
    <cellStyle name="Normal 84 3 2 3 3" xfId="8186" xr:uid="{00000000-0005-0000-0000-0000CF3F0000}"/>
    <cellStyle name="Normal 84 3 2 3 3 2" xfId="19048" xr:uid="{00000000-0005-0000-0000-0000D03F0000}"/>
    <cellStyle name="Normal 84 3 2 3 4" xfId="19049" xr:uid="{00000000-0005-0000-0000-0000D13F0000}"/>
    <cellStyle name="Normal 84 3 2 4" xfId="8187" xr:uid="{00000000-0005-0000-0000-0000D23F0000}"/>
    <cellStyle name="Normal 84 3 2 4 2" xfId="19050" xr:uid="{00000000-0005-0000-0000-0000D33F0000}"/>
    <cellStyle name="Normal 84 3 2 5" xfId="8188" xr:uid="{00000000-0005-0000-0000-0000D43F0000}"/>
    <cellStyle name="Normal 84 3 2 5 2" xfId="19051" xr:uid="{00000000-0005-0000-0000-0000D53F0000}"/>
    <cellStyle name="Normal 84 3 2 6" xfId="12538" xr:uid="{00000000-0005-0000-0000-0000D63F0000}"/>
    <cellStyle name="Normal 84 3 3" xfId="8189" xr:uid="{00000000-0005-0000-0000-0000D73F0000}"/>
    <cellStyle name="Normal 84 3 3 2" xfId="8190" xr:uid="{00000000-0005-0000-0000-0000D83F0000}"/>
    <cellStyle name="Normal 84 3 3 2 2" xfId="8191" xr:uid="{00000000-0005-0000-0000-0000D93F0000}"/>
    <cellStyle name="Normal 84 3 3 2 2 2" xfId="19052" xr:uid="{00000000-0005-0000-0000-0000DA3F0000}"/>
    <cellStyle name="Normal 84 3 3 2 3" xfId="8192" xr:uid="{00000000-0005-0000-0000-0000DB3F0000}"/>
    <cellStyle name="Normal 84 3 3 2 3 2" xfId="19053" xr:uid="{00000000-0005-0000-0000-0000DC3F0000}"/>
    <cellStyle name="Normal 84 3 3 2 4" xfId="19054" xr:uid="{00000000-0005-0000-0000-0000DD3F0000}"/>
    <cellStyle name="Normal 84 3 3 3" xfId="8193" xr:uid="{00000000-0005-0000-0000-0000DE3F0000}"/>
    <cellStyle name="Normal 84 3 3 3 2" xfId="8194" xr:uid="{00000000-0005-0000-0000-0000DF3F0000}"/>
    <cellStyle name="Normal 84 3 3 3 2 2" xfId="19055" xr:uid="{00000000-0005-0000-0000-0000E03F0000}"/>
    <cellStyle name="Normal 84 3 3 3 3" xfId="8195" xr:uid="{00000000-0005-0000-0000-0000E13F0000}"/>
    <cellStyle name="Normal 84 3 3 3 3 2" xfId="19056" xr:uid="{00000000-0005-0000-0000-0000E23F0000}"/>
    <cellStyle name="Normal 84 3 3 3 4" xfId="19057" xr:uid="{00000000-0005-0000-0000-0000E33F0000}"/>
    <cellStyle name="Normal 84 3 3 4" xfId="8196" xr:uid="{00000000-0005-0000-0000-0000E43F0000}"/>
    <cellStyle name="Normal 84 3 3 4 2" xfId="19058" xr:uid="{00000000-0005-0000-0000-0000E53F0000}"/>
    <cellStyle name="Normal 84 3 3 5" xfId="8197" xr:uid="{00000000-0005-0000-0000-0000E63F0000}"/>
    <cellStyle name="Normal 84 3 3 5 2" xfId="19059" xr:uid="{00000000-0005-0000-0000-0000E73F0000}"/>
    <cellStyle name="Normal 84 3 3 6" xfId="19060" xr:uid="{00000000-0005-0000-0000-0000E83F0000}"/>
    <cellStyle name="Normal 84 3 4" xfId="8198" xr:uid="{00000000-0005-0000-0000-0000E93F0000}"/>
    <cellStyle name="Normal 84 3 4 2" xfId="8199" xr:uid="{00000000-0005-0000-0000-0000EA3F0000}"/>
    <cellStyle name="Normal 84 3 4 2 2" xfId="19061" xr:uid="{00000000-0005-0000-0000-0000EB3F0000}"/>
    <cellStyle name="Normal 84 3 4 3" xfId="8200" xr:uid="{00000000-0005-0000-0000-0000EC3F0000}"/>
    <cellStyle name="Normal 84 3 4 3 2" xfId="19062" xr:uid="{00000000-0005-0000-0000-0000ED3F0000}"/>
    <cellStyle name="Normal 84 3 4 4" xfId="19063" xr:uid="{00000000-0005-0000-0000-0000EE3F0000}"/>
    <cellStyle name="Normal 84 3 5" xfId="8201" xr:uid="{00000000-0005-0000-0000-0000EF3F0000}"/>
    <cellStyle name="Normal 84 3 5 2" xfId="8202" xr:uid="{00000000-0005-0000-0000-0000F03F0000}"/>
    <cellStyle name="Normal 84 3 5 2 2" xfId="19064" xr:uid="{00000000-0005-0000-0000-0000F13F0000}"/>
    <cellStyle name="Normal 84 3 5 3" xfId="8203" xr:uid="{00000000-0005-0000-0000-0000F23F0000}"/>
    <cellStyle name="Normal 84 3 5 3 2" xfId="19065" xr:uid="{00000000-0005-0000-0000-0000F33F0000}"/>
    <cellStyle name="Normal 84 3 5 4" xfId="19066" xr:uid="{00000000-0005-0000-0000-0000F43F0000}"/>
    <cellStyle name="Normal 84 3 6" xfId="8204" xr:uid="{00000000-0005-0000-0000-0000F53F0000}"/>
    <cellStyle name="Normal 84 3 6 2" xfId="19067" xr:uid="{00000000-0005-0000-0000-0000F63F0000}"/>
    <cellStyle name="Normal 84 3 7" xfId="8205" xr:uid="{00000000-0005-0000-0000-0000F73F0000}"/>
    <cellStyle name="Normal 84 3 7 2" xfId="19068" xr:uid="{00000000-0005-0000-0000-0000F83F0000}"/>
    <cellStyle name="Normal 84 3 8" xfId="12537" xr:uid="{00000000-0005-0000-0000-0000F93F0000}"/>
    <cellStyle name="Normal 84 4" xfId="8206" xr:uid="{00000000-0005-0000-0000-0000FA3F0000}"/>
    <cellStyle name="Normal 84 4 2" xfId="8207" xr:uid="{00000000-0005-0000-0000-0000FB3F0000}"/>
    <cellStyle name="Normal 84 4 2 2" xfId="8208" xr:uid="{00000000-0005-0000-0000-0000FC3F0000}"/>
    <cellStyle name="Normal 84 4 2 2 2" xfId="8209" xr:uid="{00000000-0005-0000-0000-0000FD3F0000}"/>
    <cellStyle name="Normal 84 4 2 2 2 2" xfId="19069" xr:uid="{00000000-0005-0000-0000-0000FE3F0000}"/>
    <cellStyle name="Normal 84 4 2 2 3" xfId="8210" xr:uid="{00000000-0005-0000-0000-0000FF3F0000}"/>
    <cellStyle name="Normal 84 4 2 2 3 2" xfId="19070" xr:uid="{00000000-0005-0000-0000-000000400000}"/>
    <cellStyle name="Normal 84 4 2 2 4" xfId="19071" xr:uid="{00000000-0005-0000-0000-000001400000}"/>
    <cellStyle name="Normal 84 4 2 3" xfId="8211" xr:uid="{00000000-0005-0000-0000-000002400000}"/>
    <cellStyle name="Normal 84 4 2 3 2" xfId="8212" xr:uid="{00000000-0005-0000-0000-000003400000}"/>
    <cellStyle name="Normal 84 4 2 3 2 2" xfId="19072" xr:uid="{00000000-0005-0000-0000-000004400000}"/>
    <cellStyle name="Normal 84 4 2 3 3" xfId="8213" xr:uid="{00000000-0005-0000-0000-000005400000}"/>
    <cellStyle name="Normal 84 4 2 3 3 2" xfId="19073" xr:uid="{00000000-0005-0000-0000-000006400000}"/>
    <cellStyle name="Normal 84 4 2 3 4" xfId="19074" xr:uid="{00000000-0005-0000-0000-000007400000}"/>
    <cellStyle name="Normal 84 4 2 4" xfId="8214" xr:uid="{00000000-0005-0000-0000-000008400000}"/>
    <cellStyle name="Normal 84 4 2 4 2" xfId="19075" xr:uid="{00000000-0005-0000-0000-000009400000}"/>
    <cellStyle name="Normal 84 4 2 5" xfId="8215" xr:uid="{00000000-0005-0000-0000-00000A400000}"/>
    <cellStyle name="Normal 84 4 2 5 2" xfId="19076" xr:uid="{00000000-0005-0000-0000-00000B400000}"/>
    <cellStyle name="Normal 84 4 2 6" xfId="12540" xr:uid="{00000000-0005-0000-0000-00000C400000}"/>
    <cellStyle name="Normal 84 4 3" xfId="8216" xr:uid="{00000000-0005-0000-0000-00000D400000}"/>
    <cellStyle name="Normal 84 4 3 2" xfId="8217" xr:uid="{00000000-0005-0000-0000-00000E400000}"/>
    <cellStyle name="Normal 84 4 3 2 2" xfId="8218" xr:uid="{00000000-0005-0000-0000-00000F400000}"/>
    <cellStyle name="Normal 84 4 3 2 2 2" xfId="19077" xr:uid="{00000000-0005-0000-0000-000010400000}"/>
    <cellStyle name="Normal 84 4 3 2 3" xfId="8219" xr:uid="{00000000-0005-0000-0000-000011400000}"/>
    <cellStyle name="Normal 84 4 3 2 3 2" xfId="19078" xr:uid="{00000000-0005-0000-0000-000012400000}"/>
    <cellStyle name="Normal 84 4 3 2 4" xfId="19079" xr:uid="{00000000-0005-0000-0000-000013400000}"/>
    <cellStyle name="Normal 84 4 3 3" xfId="8220" xr:uid="{00000000-0005-0000-0000-000014400000}"/>
    <cellStyle name="Normal 84 4 3 3 2" xfId="8221" xr:uid="{00000000-0005-0000-0000-000015400000}"/>
    <cellStyle name="Normal 84 4 3 3 2 2" xfId="19080" xr:uid="{00000000-0005-0000-0000-000016400000}"/>
    <cellStyle name="Normal 84 4 3 3 3" xfId="8222" xr:uid="{00000000-0005-0000-0000-000017400000}"/>
    <cellStyle name="Normal 84 4 3 3 3 2" xfId="19081" xr:uid="{00000000-0005-0000-0000-000018400000}"/>
    <cellStyle name="Normal 84 4 3 3 4" xfId="19082" xr:uid="{00000000-0005-0000-0000-000019400000}"/>
    <cellStyle name="Normal 84 4 3 4" xfId="8223" xr:uid="{00000000-0005-0000-0000-00001A400000}"/>
    <cellStyle name="Normal 84 4 3 4 2" xfId="19083" xr:uid="{00000000-0005-0000-0000-00001B400000}"/>
    <cellStyle name="Normal 84 4 3 5" xfId="8224" xr:uid="{00000000-0005-0000-0000-00001C400000}"/>
    <cellStyle name="Normal 84 4 3 5 2" xfId="19084" xr:uid="{00000000-0005-0000-0000-00001D400000}"/>
    <cellStyle name="Normal 84 4 3 6" xfId="19085" xr:uid="{00000000-0005-0000-0000-00001E400000}"/>
    <cellStyle name="Normal 84 4 4" xfId="8225" xr:uid="{00000000-0005-0000-0000-00001F400000}"/>
    <cellStyle name="Normal 84 4 4 2" xfId="8226" xr:uid="{00000000-0005-0000-0000-000020400000}"/>
    <cellStyle name="Normal 84 4 4 2 2" xfId="19086" xr:uid="{00000000-0005-0000-0000-000021400000}"/>
    <cellStyle name="Normal 84 4 4 3" xfId="8227" xr:uid="{00000000-0005-0000-0000-000022400000}"/>
    <cellStyle name="Normal 84 4 4 3 2" xfId="19087" xr:uid="{00000000-0005-0000-0000-000023400000}"/>
    <cellStyle name="Normal 84 4 4 4" xfId="19088" xr:uid="{00000000-0005-0000-0000-000024400000}"/>
    <cellStyle name="Normal 84 4 5" xfId="8228" xr:uid="{00000000-0005-0000-0000-000025400000}"/>
    <cellStyle name="Normal 84 4 5 2" xfId="8229" xr:uid="{00000000-0005-0000-0000-000026400000}"/>
    <cellStyle name="Normal 84 4 5 2 2" xfId="19089" xr:uid="{00000000-0005-0000-0000-000027400000}"/>
    <cellStyle name="Normal 84 4 5 3" xfId="8230" xr:uid="{00000000-0005-0000-0000-000028400000}"/>
    <cellStyle name="Normal 84 4 5 3 2" xfId="19090" xr:uid="{00000000-0005-0000-0000-000029400000}"/>
    <cellStyle name="Normal 84 4 5 4" xfId="19091" xr:uid="{00000000-0005-0000-0000-00002A400000}"/>
    <cellStyle name="Normal 84 4 6" xfId="8231" xr:uid="{00000000-0005-0000-0000-00002B400000}"/>
    <cellStyle name="Normal 84 4 6 2" xfId="19092" xr:uid="{00000000-0005-0000-0000-00002C400000}"/>
    <cellStyle name="Normal 84 4 7" xfId="8232" xr:uid="{00000000-0005-0000-0000-00002D400000}"/>
    <cellStyle name="Normal 84 4 7 2" xfId="19093" xr:uid="{00000000-0005-0000-0000-00002E400000}"/>
    <cellStyle name="Normal 84 4 8" xfId="12539" xr:uid="{00000000-0005-0000-0000-00002F400000}"/>
    <cellStyle name="Normal 84 5" xfId="8233" xr:uid="{00000000-0005-0000-0000-000030400000}"/>
    <cellStyle name="Normal 84 5 2" xfId="8234" xr:uid="{00000000-0005-0000-0000-000031400000}"/>
    <cellStyle name="Normal 84 5 2 2" xfId="8235" xr:uid="{00000000-0005-0000-0000-000032400000}"/>
    <cellStyle name="Normal 84 5 2 2 2" xfId="19094" xr:uid="{00000000-0005-0000-0000-000033400000}"/>
    <cellStyle name="Normal 84 5 2 3" xfId="8236" xr:uid="{00000000-0005-0000-0000-000034400000}"/>
    <cellStyle name="Normal 84 5 2 3 2" xfId="19095" xr:uid="{00000000-0005-0000-0000-000035400000}"/>
    <cellStyle name="Normal 84 5 2 4" xfId="12542" xr:uid="{00000000-0005-0000-0000-000036400000}"/>
    <cellStyle name="Normal 84 5 3" xfId="8237" xr:uid="{00000000-0005-0000-0000-000037400000}"/>
    <cellStyle name="Normal 84 5 3 2" xfId="8238" xr:uid="{00000000-0005-0000-0000-000038400000}"/>
    <cellStyle name="Normal 84 5 3 2 2" xfId="19096" xr:uid="{00000000-0005-0000-0000-000039400000}"/>
    <cellStyle name="Normal 84 5 3 3" xfId="8239" xr:uid="{00000000-0005-0000-0000-00003A400000}"/>
    <cellStyle name="Normal 84 5 3 3 2" xfId="19097" xr:uid="{00000000-0005-0000-0000-00003B400000}"/>
    <cellStyle name="Normal 84 5 3 4" xfId="19098" xr:uid="{00000000-0005-0000-0000-00003C400000}"/>
    <cellStyle name="Normal 84 5 4" xfId="8240" xr:uid="{00000000-0005-0000-0000-00003D400000}"/>
    <cellStyle name="Normal 84 5 4 2" xfId="19099" xr:uid="{00000000-0005-0000-0000-00003E400000}"/>
    <cellStyle name="Normal 84 5 5" xfId="8241" xr:uid="{00000000-0005-0000-0000-00003F400000}"/>
    <cellStyle name="Normal 84 5 5 2" xfId="19100" xr:uid="{00000000-0005-0000-0000-000040400000}"/>
    <cellStyle name="Normal 84 5 6" xfId="12541" xr:uid="{00000000-0005-0000-0000-000041400000}"/>
    <cellStyle name="Normal 84 6" xfId="8242" xr:uid="{00000000-0005-0000-0000-000042400000}"/>
    <cellStyle name="Normal 84 6 2" xfId="8243" xr:uid="{00000000-0005-0000-0000-000043400000}"/>
    <cellStyle name="Normal 84 6 2 2" xfId="8244" xr:uid="{00000000-0005-0000-0000-000044400000}"/>
    <cellStyle name="Normal 84 6 2 2 2" xfId="19101" xr:uid="{00000000-0005-0000-0000-000045400000}"/>
    <cellStyle name="Normal 84 6 2 3" xfId="8245" xr:uid="{00000000-0005-0000-0000-000046400000}"/>
    <cellStyle name="Normal 84 6 2 3 2" xfId="19102" xr:uid="{00000000-0005-0000-0000-000047400000}"/>
    <cellStyle name="Normal 84 6 2 4" xfId="12544" xr:uid="{00000000-0005-0000-0000-000048400000}"/>
    <cellStyle name="Normal 84 6 3" xfId="8246" xr:uid="{00000000-0005-0000-0000-000049400000}"/>
    <cellStyle name="Normal 84 6 3 2" xfId="8247" xr:uid="{00000000-0005-0000-0000-00004A400000}"/>
    <cellStyle name="Normal 84 6 3 2 2" xfId="19103" xr:uid="{00000000-0005-0000-0000-00004B400000}"/>
    <cellStyle name="Normal 84 6 3 3" xfId="8248" xr:uid="{00000000-0005-0000-0000-00004C400000}"/>
    <cellStyle name="Normal 84 6 3 3 2" xfId="19104" xr:uid="{00000000-0005-0000-0000-00004D400000}"/>
    <cellStyle name="Normal 84 6 3 4" xfId="19105" xr:uid="{00000000-0005-0000-0000-00004E400000}"/>
    <cellStyle name="Normal 84 6 4" xfId="8249" xr:uid="{00000000-0005-0000-0000-00004F400000}"/>
    <cellStyle name="Normal 84 6 4 2" xfId="19106" xr:uid="{00000000-0005-0000-0000-000050400000}"/>
    <cellStyle name="Normal 84 6 5" xfId="8250" xr:uid="{00000000-0005-0000-0000-000051400000}"/>
    <cellStyle name="Normal 84 6 5 2" xfId="19107" xr:uid="{00000000-0005-0000-0000-000052400000}"/>
    <cellStyle name="Normal 84 6 6" xfId="12543" xr:uid="{00000000-0005-0000-0000-000053400000}"/>
    <cellStyle name="Normal 84 7" xfId="8251" xr:uid="{00000000-0005-0000-0000-000054400000}"/>
    <cellStyle name="Normal 84 7 2" xfId="8252" xr:uid="{00000000-0005-0000-0000-000055400000}"/>
    <cellStyle name="Normal 84 7 2 2" xfId="8253" xr:uid="{00000000-0005-0000-0000-000056400000}"/>
    <cellStyle name="Normal 84 7 2 2 2" xfId="19108" xr:uid="{00000000-0005-0000-0000-000057400000}"/>
    <cellStyle name="Normal 84 7 2 3" xfId="8254" xr:uid="{00000000-0005-0000-0000-000058400000}"/>
    <cellStyle name="Normal 84 7 2 3 2" xfId="19109" xr:uid="{00000000-0005-0000-0000-000059400000}"/>
    <cellStyle name="Normal 84 7 2 4" xfId="19110" xr:uid="{00000000-0005-0000-0000-00005A400000}"/>
    <cellStyle name="Normal 84 7 3" xfId="8255" xr:uid="{00000000-0005-0000-0000-00005B400000}"/>
    <cellStyle name="Normal 84 7 3 2" xfId="8256" xr:uid="{00000000-0005-0000-0000-00005C400000}"/>
    <cellStyle name="Normal 84 7 3 2 2" xfId="19111" xr:uid="{00000000-0005-0000-0000-00005D400000}"/>
    <cellStyle name="Normal 84 7 3 3" xfId="8257" xr:uid="{00000000-0005-0000-0000-00005E400000}"/>
    <cellStyle name="Normal 84 7 3 3 2" xfId="19112" xr:uid="{00000000-0005-0000-0000-00005F400000}"/>
    <cellStyle name="Normal 84 7 3 4" xfId="19113" xr:uid="{00000000-0005-0000-0000-000060400000}"/>
    <cellStyle name="Normal 84 7 4" xfId="8258" xr:uid="{00000000-0005-0000-0000-000061400000}"/>
    <cellStyle name="Normal 84 7 4 2" xfId="19114" xr:uid="{00000000-0005-0000-0000-000062400000}"/>
    <cellStyle name="Normal 84 7 5" xfId="8259" xr:uid="{00000000-0005-0000-0000-000063400000}"/>
    <cellStyle name="Normal 84 7 5 2" xfId="19115" xr:uid="{00000000-0005-0000-0000-000064400000}"/>
    <cellStyle name="Normal 84 7 6" xfId="12545" xr:uid="{00000000-0005-0000-0000-000065400000}"/>
    <cellStyle name="Normal 84 8" xfId="8260" xr:uid="{00000000-0005-0000-0000-000066400000}"/>
    <cellStyle name="Normal 84 8 2" xfId="8261" xr:uid="{00000000-0005-0000-0000-000067400000}"/>
    <cellStyle name="Normal 84 8 2 2" xfId="19116" xr:uid="{00000000-0005-0000-0000-000068400000}"/>
    <cellStyle name="Normal 84 8 3" xfId="8262" xr:uid="{00000000-0005-0000-0000-000069400000}"/>
    <cellStyle name="Normal 84 8 3 2" xfId="19117" xr:uid="{00000000-0005-0000-0000-00006A400000}"/>
    <cellStyle name="Normal 84 8 4" xfId="12546" xr:uid="{00000000-0005-0000-0000-00006B400000}"/>
    <cellStyle name="Normal 84 9" xfId="8263" xr:uid="{00000000-0005-0000-0000-00006C400000}"/>
    <cellStyle name="Normal 84 9 2" xfId="8264" xr:uid="{00000000-0005-0000-0000-00006D400000}"/>
    <cellStyle name="Normal 84 9 2 2" xfId="19118" xr:uid="{00000000-0005-0000-0000-00006E400000}"/>
    <cellStyle name="Normal 84 9 3" xfId="8265" xr:uid="{00000000-0005-0000-0000-00006F400000}"/>
    <cellStyle name="Normal 84 9 3 2" xfId="19119" xr:uid="{00000000-0005-0000-0000-000070400000}"/>
    <cellStyle name="Normal 84 9 4" xfId="12547" xr:uid="{00000000-0005-0000-0000-000071400000}"/>
    <cellStyle name="Normal 85" xfId="8266" xr:uid="{00000000-0005-0000-0000-000072400000}"/>
    <cellStyle name="Normal 85 10" xfId="11901" xr:uid="{00000000-0005-0000-0000-000073400000}"/>
    <cellStyle name="Normal 85 11" xfId="11902" xr:uid="{00000000-0005-0000-0000-000074400000}"/>
    <cellStyle name="Normal 85 12" xfId="11903" xr:uid="{00000000-0005-0000-0000-000075400000}"/>
    <cellStyle name="Normal 85 13" xfId="11904" xr:uid="{00000000-0005-0000-0000-000076400000}"/>
    <cellStyle name="Normal 85 14" xfId="11905" xr:uid="{00000000-0005-0000-0000-000077400000}"/>
    <cellStyle name="Normal 85 15" xfId="11906" xr:uid="{00000000-0005-0000-0000-000078400000}"/>
    <cellStyle name="Normal 85 16" xfId="11907" xr:uid="{00000000-0005-0000-0000-000079400000}"/>
    <cellStyle name="Normal 85 17" xfId="11908" xr:uid="{00000000-0005-0000-0000-00007A400000}"/>
    <cellStyle name="Normal 85 18" xfId="11909" xr:uid="{00000000-0005-0000-0000-00007B400000}"/>
    <cellStyle name="Normal 85 19" xfId="11910" xr:uid="{00000000-0005-0000-0000-00007C400000}"/>
    <cellStyle name="Normal 85 2" xfId="8267" xr:uid="{00000000-0005-0000-0000-00007D400000}"/>
    <cellStyle name="Normal 85 2 2" xfId="11911" xr:uid="{00000000-0005-0000-0000-00007E400000}"/>
    <cellStyle name="Normal 85 20" xfId="11912" xr:uid="{00000000-0005-0000-0000-00007F400000}"/>
    <cellStyle name="Normal 85 3" xfId="8268" xr:uid="{00000000-0005-0000-0000-000080400000}"/>
    <cellStyle name="Normal 85 3 2" xfId="11913" xr:uid="{00000000-0005-0000-0000-000081400000}"/>
    <cellStyle name="Normal 85 4" xfId="11914" xr:uid="{00000000-0005-0000-0000-000082400000}"/>
    <cellStyle name="Normal 85 4 2" xfId="11915" xr:uid="{00000000-0005-0000-0000-000083400000}"/>
    <cellStyle name="Normal 85 5" xfId="11916" xr:uid="{00000000-0005-0000-0000-000084400000}"/>
    <cellStyle name="Normal 85 5 2" xfId="11917" xr:uid="{00000000-0005-0000-0000-000085400000}"/>
    <cellStyle name="Normal 85 6" xfId="11918" xr:uid="{00000000-0005-0000-0000-000086400000}"/>
    <cellStyle name="Normal 85 6 2" xfId="11919" xr:uid="{00000000-0005-0000-0000-000087400000}"/>
    <cellStyle name="Normal 85 7" xfId="11920" xr:uid="{00000000-0005-0000-0000-000088400000}"/>
    <cellStyle name="Normal 85 8" xfId="11921" xr:uid="{00000000-0005-0000-0000-000089400000}"/>
    <cellStyle name="Normal 85 9" xfId="11922" xr:uid="{00000000-0005-0000-0000-00008A400000}"/>
    <cellStyle name="Normal 86" xfId="8269" xr:uid="{00000000-0005-0000-0000-00008B400000}"/>
    <cellStyle name="Normal 86 10" xfId="11923" xr:uid="{00000000-0005-0000-0000-00008C400000}"/>
    <cellStyle name="Normal 86 11" xfId="11924" xr:uid="{00000000-0005-0000-0000-00008D400000}"/>
    <cellStyle name="Normal 86 12" xfId="11925" xr:uid="{00000000-0005-0000-0000-00008E400000}"/>
    <cellStyle name="Normal 86 13" xfId="11926" xr:uid="{00000000-0005-0000-0000-00008F400000}"/>
    <cellStyle name="Normal 86 14" xfId="11927" xr:uid="{00000000-0005-0000-0000-000090400000}"/>
    <cellStyle name="Normal 86 15" xfId="11928" xr:uid="{00000000-0005-0000-0000-000091400000}"/>
    <cellStyle name="Normal 86 16" xfId="11929" xr:uid="{00000000-0005-0000-0000-000092400000}"/>
    <cellStyle name="Normal 86 17" xfId="11930" xr:uid="{00000000-0005-0000-0000-000093400000}"/>
    <cellStyle name="Normal 86 18" xfId="11931" xr:uid="{00000000-0005-0000-0000-000094400000}"/>
    <cellStyle name="Normal 86 19" xfId="11932" xr:uid="{00000000-0005-0000-0000-000095400000}"/>
    <cellStyle name="Normal 86 2" xfId="8270" xr:uid="{00000000-0005-0000-0000-000096400000}"/>
    <cellStyle name="Normal 86 2 2" xfId="11933" xr:uid="{00000000-0005-0000-0000-000097400000}"/>
    <cellStyle name="Normal 86 20" xfId="11934" xr:uid="{00000000-0005-0000-0000-000098400000}"/>
    <cellStyle name="Normal 86 3" xfId="8271" xr:uid="{00000000-0005-0000-0000-000099400000}"/>
    <cellStyle name="Normal 86 3 2" xfId="11935" xr:uid="{00000000-0005-0000-0000-00009A400000}"/>
    <cellStyle name="Normal 86 4" xfId="11936" xr:uid="{00000000-0005-0000-0000-00009B400000}"/>
    <cellStyle name="Normal 86 4 2" xfId="11937" xr:uid="{00000000-0005-0000-0000-00009C400000}"/>
    <cellStyle name="Normal 86 5" xfId="11938" xr:uid="{00000000-0005-0000-0000-00009D400000}"/>
    <cellStyle name="Normal 86 5 2" xfId="11939" xr:uid="{00000000-0005-0000-0000-00009E400000}"/>
    <cellStyle name="Normal 86 6" xfId="11940" xr:uid="{00000000-0005-0000-0000-00009F400000}"/>
    <cellStyle name="Normal 86 6 2" xfId="11941" xr:uid="{00000000-0005-0000-0000-0000A0400000}"/>
    <cellStyle name="Normal 86 7" xfId="11942" xr:uid="{00000000-0005-0000-0000-0000A1400000}"/>
    <cellStyle name="Normal 86 8" xfId="11943" xr:uid="{00000000-0005-0000-0000-0000A2400000}"/>
    <cellStyle name="Normal 86 9" xfId="11944" xr:uid="{00000000-0005-0000-0000-0000A3400000}"/>
    <cellStyle name="Normal 87" xfId="8272" xr:uid="{00000000-0005-0000-0000-0000A4400000}"/>
    <cellStyle name="Normal 87 10" xfId="11945" xr:uid="{00000000-0005-0000-0000-0000A5400000}"/>
    <cellStyle name="Normal 87 11" xfId="11946" xr:uid="{00000000-0005-0000-0000-0000A6400000}"/>
    <cellStyle name="Normal 87 12" xfId="11947" xr:uid="{00000000-0005-0000-0000-0000A7400000}"/>
    <cellStyle name="Normal 87 13" xfId="11948" xr:uid="{00000000-0005-0000-0000-0000A8400000}"/>
    <cellStyle name="Normal 87 14" xfId="11949" xr:uid="{00000000-0005-0000-0000-0000A9400000}"/>
    <cellStyle name="Normal 87 15" xfId="11950" xr:uid="{00000000-0005-0000-0000-0000AA400000}"/>
    <cellStyle name="Normal 87 16" xfId="11951" xr:uid="{00000000-0005-0000-0000-0000AB400000}"/>
    <cellStyle name="Normal 87 17" xfId="11952" xr:uid="{00000000-0005-0000-0000-0000AC400000}"/>
    <cellStyle name="Normal 87 18" xfId="11953" xr:uid="{00000000-0005-0000-0000-0000AD400000}"/>
    <cellStyle name="Normal 87 19" xfId="11954" xr:uid="{00000000-0005-0000-0000-0000AE400000}"/>
    <cellStyle name="Normal 87 2" xfId="8273" xr:uid="{00000000-0005-0000-0000-0000AF400000}"/>
    <cellStyle name="Normal 87 2 2" xfId="11955" xr:uid="{00000000-0005-0000-0000-0000B0400000}"/>
    <cellStyle name="Normal 87 20" xfId="11956" xr:uid="{00000000-0005-0000-0000-0000B1400000}"/>
    <cellStyle name="Normal 87 3" xfId="8274" xr:uid="{00000000-0005-0000-0000-0000B2400000}"/>
    <cellStyle name="Normal 87 3 2" xfId="11957" xr:uid="{00000000-0005-0000-0000-0000B3400000}"/>
    <cellStyle name="Normal 87 4" xfId="11958" xr:uid="{00000000-0005-0000-0000-0000B4400000}"/>
    <cellStyle name="Normal 87 4 2" xfId="11959" xr:uid="{00000000-0005-0000-0000-0000B5400000}"/>
    <cellStyle name="Normal 87 5" xfId="11960" xr:uid="{00000000-0005-0000-0000-0000B6400000}"/>
    <cellStyle name="Normal 87 5 2" xfId="11961" xr:uid="{00000000-0005-0000-0000-0000B7400000}"/>
    <cellStyle name="Normal 87 6" xfId="11962" xr:uid="{00000000-0005-0000-0000-0000B8400000}"/>
    <cellStyle name="Normal 87 6 2" xfId="11963" xr:uid="{00000000-0005-0000-0000-0000B9400000}"/>
    <cellStyle name="Normal 87 7" xfId="11964" xr:uid="{00000000-0005-0000-0000-0000BA400000}"/>
    <cellStyle name="Normal 87 8" xfId="11965" xr:uid="{00000000-0005-0000-0000-0000BB400000}"/>
    <cellStyle name="Normal 87 9" xfId="11966" xr:uid="{00000000-0005-0000-0000-0000BC400000}"/>
    <cellStyle name="Normal 88" xfId="8275" xr:uid="{00000000-0005-0000-0000-0000BD400000}"/>
    <cellStyle name="Normal 88 10" xfId="11967" xr:uid="{00000000-0005-0000-0000-0000BE400000}"/>
    <cellStyle name="Normal 88 11" xfId="11968" xr:uid="{00000000-0005-0000-0000-0000BF400000}"/>
    <cellStyle name="Normal 88 12" xfId="11969" xr:uid="{00000000-0005-0000-0000-0000C0400000}"/>
    <cellStyle name="Normal 88 13" xfId="11970" xr:uid="{00000000-0005-0000-0000-0000C1400000}"/>
    <cellStyle name="Normal 88 14" xfId="11971" xr:uid="{00000000-0005-0000-0000-0000C2400000}"/>
    <cellStyle name="Normal 88 15" xfId="11972" xr:uid="{00000000-0005-0000-0000-0000C3400000}"/>
    <cellStyle name="Normal 88 16" xfId="11973" xr:uid="{00000000-0005-0000-0000-0000C4400000}"/>
    <cellStyle name="Normal 88 17" xfId="11974" xr:uid="{00000000-0005-0000-0000-0000C5400000}"/>
    <cellStyle name="Normal 88 18" xfId="11975" xr:uid="{00000000-0005-0000-0000-0000C6400000}"/>
    <cellStyle name="Normal 88 19" xfId="11976" xr:uid="{00000000-0005-0000-0000-0000C7400000}"/>
    <cellStyle name="Normal 88 2" xfId="11977" xr:uid="{00000000-0005-0000-0000-0000C8400000}"/>
    <cellStyle name="Normal 88 2 2" xfId="11978" xr:uid="{00000000-0005-0000-0000-0000C9400000}"/>
    <cellStyle name="Normal 88 20" xfId="11979" xr:uid="{00000000-0005-0000-0000-0000CA400000}"/>
    <cellStyle name="Normal 88 3" xfId="11980" xr:uid="{00000000-0005-0000-0000-0000CB400000}"/>
    <cellStyle name="Normal 88 3 2" xfId="11981" xr:uid="{00000000-0005-0000-0000-0000CC400000}"/>
    <cellStyle name="Normal 88 4" xfId="11982" xr:uid="{00000000-0005-0000-0000-0000CD400000}"/>
    <cellStyle name="Normal 88 4 2" xfId="11983" xr:uid="{00000000-0005-0000-0000-0000CE400000}"/>
    <cellStyle name="Normal 88 5" xfId="11984" xr:uid="{00000000-0005-0000-0000-0000CF400000}"/>
    <cellStyle name="Normal 88 5 2" xfId="11985" xr:uid="{00000000-0005-0000-0000-0000D0400000}"/>
    <cellStyle name="Normal 88 6" xfId="11986" xr:uid="{00000000-0005-0000-0000-0000D1400000}"/>
    <cellStyle name="Normal 88 6 2" xfId="11987" xr:uid="{00000000-0005-0000-0000-0000D2400000}"/>
    <cellStyle name="Normal 88 7" xfId="11988" xr:uid="{00000000-0005-0000-0000-0000D3400000}"/>
    <cellStyle name="Normal 88 8" xfId="11989" xr:uid="{00000000-0005-0000-0000-0000D4400000}"/>
    <cellStyle name="Normal 88 9" xfId="11990" xr:uid="{00000000-0005-0000-0000-0000D5400000}"/>
    <cellStyle name="Normal 89" xfId="8276" xr:uid="{00000000-0005-0000-0000-0000D6400000}"/>
    <cellStyle name="Normal 89 10" xfId="11991" xr:uid="{00000000-0005-0000-0000-0000D7400000}"/>
    <cellStyle name="Normal 89 11" xfId="11992" xr:uid="{00000000-0005-0000-0000-0000D8400000}"/>
    <cellStyle name="Normal 89 12" xfId="11993" xr:uid="{00000000-0005-0000-0000-0000D9400000}"/>
    <cellStyle name="Normal 89 13" xfId="11994" xr:uid="{00000000-0005-0000-0000-0000DA400000}"/>
    <cellStyle name="Normal 89 14" xfId="11995" xr:uid="{00000000-0005-0000-0000-0000DB400000}"/>
    <cellStyle name="Normal 89 15" xfId="11996" xr:uid="{00000000-0005-0000-0000-0000DC400000}"/>
    <cellStyle name="Normal 89 16" xfId="11997" xr:uid="{00000000-0005-0000-0000-0000DD400000}"/>
    <cellStyle name="Normal 89 17" xfId="11998" xr:uid="{00000000-0005-0000-0000-0000DE400000}"/>
    <cellStyle name="Normal 89 18" xfId="11999" xr:uid="{00000000-0005-0000-0000-0000DF400000}"/>
    <cellStyle name="Normal 89 19" xfId="12000" xr:uid="{00000000-0005-0000-0000-0000E0400000}"/>
    <cellStyle name="Normal 89 2" xfId="12001" xr:uid="{00000000-0005-0000-0000-0000E1400000}"/>
    <cellStyle name="Normal 89 2 2" xfId="12002" xr:uid="{00000000-0005-0000-0000-0000E2400000}"/>
    <cellStyle name="Normal 89 20" xfId="12003" xr:uid="{00000000-0005-0000-0000-0000E3400000}"/>
    <cellStyle name="Normal 89 3" xfId="12004" xr:uid="{00000000-0005-0000-0000-0000E4400000}"/>
    <cellStyle name="Normal 89 3 2" xfId="12005" xr:uid="{00000000-0005-0000-0000-0000E5400000}"/>
    <cellStyle name="Normal 89 4" xfId="12006" xr:uid="{00000000-0005-0000-0000-0000E6400000}"/>
    <cellStyle name="Normal 89 4 2" xfId="12007" xr:uid="{00000000-0005-0000-0000-0000E7400000}"/>
    <cellStyle name="Normal 89 5" xfId="12008" xr:uid="{00000000-0005-0000-0000-0000E8400000}"/>
    <cellStyle name="Normal 89 5 2" xfId="12009" xr:uid="{00000000-0005-0000-0000-0000E9400000}"/>
    <cellStyle name="Normal 89 6" xfId="12010" xr:uid="{00000000-0005-0000-0000-0000EA400000}"/>
    <cellStyle name="Normal 89 6 2" xfId="12011" xr:uid="{00000000-0005-0000-0000-0000EB400000}"/>
    <cellStyle name="Normal 89 7" xfId="12012" xr:uid="{00000000-0005-0000-0000-0000EC400000}"/>
    <cellStyle name="Normal 89 8" xfId="12013" xr:uid="{00000000-0005-0000-0000-0000ED400000}"/>
    <cellStyle name="Normal 89 9" xfId="12014" xr:uid="{00000000-0005-0000-0000-0000EE400000}"/>
    <cellStyle name="Normal 9" xfId="229" xr:uid="{00000000-0005-0000-0000-0000EF400000}"/>
    <cellStyle name="Normal 9 2" xfId="8277" xr:uid="{00000000-0005-0000-0000-0000F0400000}"/>
    <cellStyle name="Normal 9 2 2" xfId="8278" xr:uid="{00000000-0005-0000-0000-0000F1400000}"/>
    <cellStyle name="Normal 9 2 3" xfId="8279" xr:uid="{00000000-0005-0000-0000-0000F2400000}"/>
    <cellStyle name="Normal 9 3" xfId="8280" xr:uid="{00000000-0005-0000-0000-0000F3400000}"/>
    <cellStyle name="Normal 9 3 2" xfId="8281" xr:uid="{00000000-0005-0000-0000-0000F4400000}"/>
    <cellStyle name="Normal 9 3 3" xfId="8282" xr:uid="{00000000-0005-0000-0000-0000F5400000}"/>
    <cellStyle name="Normal 9 4" xfId="8283" xr:uid="{00000000-0005-0000-0000-0000F6400000}"/>
    <cellStyle name="Normal 9 5" xfId="8284" xr:uid="{00000000-0005-0000-0000-0000F7400000}"/>
    <cellStyle name="Normal 90" xfId="8285" xr:uid="{00000000-0005-0000-0000-0000F8400000}"/>
    <cellStyle name="Normal 90 10" xfId="12015" xr:uid="{00000000-0005-0000-0000-0000F9400000}"/>
    <cellStyle name="Normal 90 11" xfId="12016" xr:uid="{00000000-0005-0000-0000-0000FA400000}"/>
    <cellStyle name="Normal 90 12" xfId="12017" xr:uid="{00000000-0005-0000-0000-0000FB400000}"/>
    <cellStyle name="Normal 90 13" xfId="12018" xr:uid="{00000000-0005-0000-0000-0000FC400000}"/>
    <cellStyle name="Normal 90 14" xfId="12019" xr:uid="{00000000-0005-0000-0000-0000FD400000}"/>
    <cellStyle name="Normal 90 15" xfId="12020" xr:uid="{00000000-0005-0000-0000-0000FE400000}"/>
    <cellStyle name="Normal 90 16" xfId="12021" xr:uid="{00000000-0005-0000-0000-0000FF400000}"/>
    <cellStyle name="Normal 90 17" xfId="12022" xr:uid="{00000000-0005-0000-0000-000000410000}"/>
    <cellStyle name="Normal 90 18" xfId="12023" xr:uid="{00000000-0005-0000-0000-000001410000}"/>
    <cellStyle name="Normal 90 19" xfId="12024" xr:uid="{00000000-0005-0000-0000-000002410000}"/>
    <cellStyle name="Normal 90 2" xfId="12025" xr:uid="{00000000-0005-0000-0000-000003410000}"/>
    <cellStyle name="Normal 90 2 2" xfId="12026" xr:uid="{00000000-0005-0000-0000-000004410000}"/>
    <cellStyle name="Normal 90 20" xfId="12027" xr:uid="{00000000-0005-0000-0000-000005410000}"/>
    <cellStyle name="Normal 90 3" xfId="12028" xr:uid="{00000000-0005-0000-0000-000006410000}"/>
    <cellStyle name="Normal 90 3 2" xfId="12029" xr:uid="{00000000-0005-0000-0000-000007410000}"/>
    <cellStyle name="Normal 90 4" xfId="12030" xr:uid="{00000000-0005-0000-0000-000008410000}"/>
    <cellStyle name="Normal 90 4 2" xfId="12031" xr:uid="{00000000-0005-0000-0000-000009410000}"/>
    <cellStyle name="Normal 90 5" xfId="12032" xr:uid="{00000000-0005-0000-0000-00000A410000}"/>
    <cellStyle name="Normal 90 5 2" xfId="12033" xr:uid="{00000000-0005-0000-0000-00000B410000}"/>
    <cellStyle name="Normal 90 6" xfId="12034" xr:uid="{00000000-0005-0000-0000-00000C410000}"/>
    <cellStyle name="Normal 90 6 2" xfId="12035" xr:uid="{00000000-0005-0000-0000-00000D410000}"/>
    <cellStyle name="Normal 90 7" xfId="12036" xr:uid="{00000000-0005-0000-0000-00000E410000}"/>
    <cellStyle name="Normal 90 8" xfId="12037" xr:uid="{00000000-0005-0000-0000-00000F410000}"/>
    <cellStyle name="Normal 90 9" xfId="12038" xr:uid="{00000000-0005-0000-0000-000010410000}"/>
    <cellStyle name="Normal 91" xfId="8286" xr:uid="{00000000-0005-0000-0000-000011410000}"/>
    <cellStyle name="Normal 91 2" xfId="12039" xr:uid="{00000000-0005-0000-0000-000012410000}"/>
    <cellStyle name="Normal 91 2 2" xfId="12040" xr:uid="{00000000-0005-0000-0000-000013410000}"/>
    <cellStyle name="Normal 91 2 2 2" xfId="12552" xr:uid="{00000000-0005-0000-0000-000014410000}"/>
    <cellStyle name="Normal 91 2 3" xfId="12041" xr:uid="{00000000-0005-0000-0000-000015410000}"/>
    <cellStyle name="Normal 91 2 3 2" xfId="12553" xr:uid="{00000000-0005-0000-0000-000016410000}"/>
    <cellStyle name="Normal 91 2 4" xfId="12042" xr:uid="{00000000-0005-0000-0000-000017410000}"/>
    <cellStyle name="Normal 91 2 4 2" xfId="12554" xr:uid="{00000000-0005-0000-0000-000018410000}"/>
    <cellStyle name="Normal 91 2 5" xfId="12551" xr:uid="{00000000-0005-0000-0000-000019410000}"/>
    <cellStyle name="Normal 91 3" xfId="12043" xr:uid="{00000000-0005-0000-0000-00001A410000}"/>
    <cellStyle name="Normal 91 3 2" xfId="12044" xr:uid="{00000000-0005-0000-0000-00001B410000}"/>
    <cellStyle name="Normal 91 3 2 2" xfId="12556" xr:uid="{00000000-0005-0000-0000-00001C410000}"/>
    <cellStyle name="Normal 91 3 3" xfId="12045" xr:uid="{00000000-0005-0000-0000-00001D410000}"/>
    <cellStyle name="Normal 91 3 3 2" xfId="12557" xr:uid="{00000000-0005-0000-0000-00001E410000}"/>
    <cellStyle name="Normal 91 3 4" xfId="12046" xr:uid="{00000000-0005-0000-0000-00001F410000}"/>
    <cellStyle name="Normal 91 3 4 2" xfId="12558" xr:uid="{00000000-0005-0000-0000-000020410000}"/>
    <cellStyle name="Normal 91 3 5" xfId="12555" xr:uid="{00000000-0005-0000-0000-000021410000}"/>
    <cellStyle name="Normal 91 4" xfId="12047" xr:uid="{00000000-0005-0000-0000-000022410000}"/>
    <cellStyle name="Normal 91 4 2" xfId="12048" xr:uid="{00000000-0005-0000-0000-000023410000}"/>
    <cellStyle name="Normal 91 4 2 2" xfId="12560" xr:uid="{00000000-0005-0000-0000-000024410000}"/>
    <cellStyle name="Normal 91 4 3" xfId="12049" xr:uid="{00000000-0005-0000-0000-000025410000}"/>
    <cellStyle name="Normal 91 4 3 2" xfId="12561" xr:uid="{00000000-0005-0000-0000-000026410000}"/>
    <cellStyle name="Normal 91 4 4" xfId="12050" xr:uid="{00000000-0005-0000-0000-000027410000}"/>
    <cellStyle name="Normal 91 4 4 2" xfId="12562" xr:uid="{00000000-0005-0000-0000-000028410000}"/>
    <cellStyle name="Normal 91 4 5" xfId="12559" xr:uid="{00000000-0005-0000-0000-000029410000}"/>
    <cellStyle name="Normal 91 5" xfId="12051" xr:uid="{00000000-0005-0000-0000-00002A410000}"/>
    <cellStyle name="Normal 91 5 2" xfId="12052" xr:uid="{00000000-0005-0000-0000-00002B410000}"/>
    <cellStyle name="Normal 91 5 2 2" xfId="12564" xr:uid="{00000000-0005-0000-0000-00002C410000}"/>
    <cellStyle name="Normal 91 5 3" xfId="12053" xr:uid="{00000000-0005-0000-0000-00002D410000}"/>
    <cellStyle name="Normal 91 5 3 2" xfId="12565" xr:uid="{00000000-0005-0000-0000-00002E410000}"/>
    <cellStyle name="Normal 91 5 4" xfId="12054" xr:uid="{00000000-0005-0000-0000-00002F410000}"/>
    <cellStyle name="Normal 91 5 4 2" xfId="12566" xr:uid="{00000000-0005-0000-0000-000030410000}"/>
    <cellStyle name="Normal 91 5 5" xfId="12563" xr:uid="{00000000-0005-0000-0000-000031410000}"/>
    <cellStyle name="Normal 91 6" xfId="12055" xr:uid="{00000000-0005-0000-0000-000032410000}"/>
    <cellStyle name="Normal 91 6 2" xfId="12056" xr:uid="{00000000-0005-0000-0000-000033410000}"/>
    <cellStyle name="Normal 91 6 2 2" xfId="12568" xr:uid="{00000000-0005-0000-0000-000034410000}"/>
    <cellStyle name="Normal 91 6 3" xfId="12057" xr:uid="{00000000-0005-0000-0000-000035410000}"/>
    <cellStyle name="Normal 91 6 3 2" xfId="12569" xr:uid="{00000000-0005-0000-0000-000036410000}"/>
    <cellStyle name="Normal 91 6 4" xfId="12567" xr:uid="{00000000-0005-0000-0000-000037410000}"/>
    <cellStyle name="Normal 91 7" xfId="12058" xr:uid="{00000000-0005-0000-0000-000038410000}"/>
    <cellStyle name="Normal 91 8" xfId="12550" xr:uid="{00000000-0005-0000-0000-000039410000}"/>
    <cellStyle name="Normal 92" xfId="8287" xr:uid="{00000000-0005-0000-0000-00003A410000}"/>
    <cellStyle name="Normal 92 10" xfId="12059" xr:uid="{00000000-0005-0000-0000-00003B410000}"/>
    <cellStyle name="Normal 92 11" xfId="12060" xr:uid="{00000000-0005-0000-0000-00003C410000}"/>
    <cellStyle name="Normal 92 12" xfId="12061" xr:uid="{00000000-0005-0000-0000-00003D410000}"/>
    <cellStyle name="Normal 92 13" xfId="12062" xr:uid="{00000000-0005-0000-0000-00003E410000}"/>
    <cellStyle name="Normal 92 14" xfId="12063" xr:uid="{00000000-0005-0000-0000-00003F410000}"/>
    <cellStyle name="Normal 92 15" xfId="12064" xr:uid="{00000000-0005-0000-0000-000040410000}"/>
    <cellStyle name="Normal 92 16" xfId="12065" xr:uid="{00000000-0005-0000-0000-000041410000}"/>
    <cellStyle name="Normal 92 17" xfId="12066" xr:uid="{00000000-0005-0000-0000-000042410000}"/>
    <cellStyle name="Normal 92 18" xfId="12067" xr:uid="{00000000-0005-0000-0000-000043410000}"/>
    <cellStyle name="Normal 92 19" xfId="12068" xr:uid="{00000000-0005-0000-0000-000044410000}"/>
    <cellStyle name="Normal 92 2" xfId="12069" xr:uid="{00000000-0005-0000-0000-000045410000}"/>
    <cellStyle name="Normal 92 2 2" xfId="12070" xr:uid="{00000000-0005-0000-0000-000046410000}"/>
    <cellStyle name="Normal 92 20" xfId="12071" xr:uid="{00000000-0005-0000-0000-000047410000}"/>
    <cellStyle name="Normal 92 3" xfId="12072" xr:uid="{00000000-0005-0000-0000-000048410000}"/>
    <cellStyle name="Normal 92 3 2" xfId="12073" xr:uid="{00000000-0005-0000-0000-000049410000}"/>
    <cellStyle name="Normal 92 4" xfId="12074" xr:uid="{00000000-0005-0000-0000-00004A410000}"/>
    <cellStyle name="Normal 92 4 2" xfId="12075" xr:uid="{00000000-0005-0000-0000-00004B410000}"/>
    <cellStyle name="Normal 92 5" xfId="12076" xr:uid="{00000000-0005-0000-0000-00004C410000}"/>
    <cellStyle name="Normal 92 5 2" xfId="12077" xr:uid="{00000000-0005-0000-0000-00004D410000}"/>
    <cellStyle name="Normal 92 6" xfId="12078" xr:uid="{00000000-0005-0000-0000-00004E410000}"/>
    <cellStyle name="Normal 92 6 2" xfId="12079" xr:uid="{00000000-0005-0000-0000-00004F410000}"/>
    <cellStyle name="Normal 92 7" xfId="12080" xr:uid="{00000000-0005-0000-0000-000050410000}"/>
    <cellStyle name="Normal 92 8" xfId="12081" xr:uid="{00000000-0005-0000-0000-000051410000}"/>
    <cellStyle name="Normal 92 9" xfId="12082" xr:uid="{00000000-0005-0000-0000-000052410000}"/>
    <cellStyle name="Normal 93" xfId="8288" xr:uid="{00000000-0005-0000-0000-000053410000}"/>
    <cellStyle name="Normal 93 2" xfId="12083" xr:uid="{00000000-0005-0000-0000-000054410000}"/>
    <cellStyle name="Normal 93 2 2" xfId="12572" xr:uid="{00000000-0005-0000-0000-000055410000}"/>
    <cellStyle name="Normal 93 3" xfId="12084" xr:uid="{00000000-0005-0000-0000-000056410000}"/>
    <cellStyle name="Normal 93 3 2" xfId="12573" xr:uid="{00000000-0005-0000-0000-000057410000}"/>
    <cellStyle name="Normal 93 4" xfId="12085" xr:uid="{00000000-0005-0000-0000-000058410000}"/>
    <cellStyle name="Normal 93 4 2" xfId="12574" xr:uid="{00000000-0005-0000-0000-000059410000}"/>
    <cellStyle name="Normal 93 5" xfId="12086" xr:uid="{00000000-0005-0000-0000-00005A410000}"/>
    <cellStyle name="Normal 93 5 2" xfId="12575" xr:uid="{00000000-0005-0000-0000-00005B410000}"/>
    <cellStyle name="Normal 93 6" xfId="12087" xr:uid="{00000000-0005-0000-0000-00005C410000}"/>
    <cellStyle name="Normal 93 6 2" xfId="12576" xr:uid="{00000000-0005-0000-0000-00005D410000}"/>
    <cellStyle name="Normal 93 7" xfId="12088" xr:uid="{00000000-0005-0000-0000-00005E410000}"/>
    <cellStyle name="Normal 93 7 2" xfId="12577" xr:uid="{00000000-0005-0000-0000-00005F410000}"/>
    <cellStyle name="Normal 93 8" xfId="12089" xr:uid="{00000000-0005-0000-0000-000060410000}"/>
    <cellStyle name="Normal 93 8 2" xfId="12578" xr:uid="{00000000-0005-0000-0000-000061410000}"/>
    <cellStyle name="Normal 93 9" xfId="12571" xr:uid="{00000000-0005-0000-0000-000062410000}"/>
    <cellStyle name="Normal 94" xfId="8289" xr:uid="{00000000-0005-0000-0000-000063410000}"/>
    <cellStyle name="Normal 94 2" xfId="12090" xr:uid="{00000000-0005-0000-0000-000064410000}"/>
    <cellStyle name="Normal 94 2 2" xfId="12580" xr:uid="{00000000-0005-0000-0000-000065410000}"/>
    <cellStyle name="Normal 94 3" xfId="12091" xr:uid="{00000000-0005-0000-0000-000066410000}"/>
    <cellStyle name="Normal 94 3 2" xfId="12581" xr:uid="{00000000-0005-0000-0000-000067410000}"/>
    <cellStyle name="Normal 94 4" xfId="12092" xr:uid="{00000000-0005-0000-0000-000068410000}"/>
    <cellStyle name="Normal 94 4 2" xfId="12582" xr:uid="{00000000-0005-0000-0000-000069410000}"/>
    <cellStyle name="Normal 94 5" xfId="12093" xr:uid="{00000000-0005-0000-0000-00006A410000}"/>
    <cellStyle name="Normal 94 5 2" xfId="12583" xr:uid="{00000000-0005-0000-0000-00006B410000}"/>
    <cellStyle name="Normal 94 6" xfId="12094" xr:uid="{00000000-0005-0000-0000-00006C410000}"/>
    <cellStyle name="Normal 94 6 2" xfId="12584" xr:uid="{00000000-0005-0000-0000-00006D410000}"/>
    <cellStyle name="Normal 94 7" xfId="12095" xr:uid="{00000000-0005-0000-0000-00006E410000}"/>
    <cellStyle name="Normal 94 7 2" xfId="12585" xr:uid="{00000000-0005-0000-0000-00006F410000}"/>
    <cellStyle name="Normal 94 8" xfId="12096" xr:uid="{00000000-0005-0000-0000-000070410000}"/>
    <cellStyle name="Normal 94 8 2" xfId="12586" xr:uid="{00000000-0005-0000-0000-000071410000}"/>
    <cellStyle name="Normal 94 9" xfId="12579" xr:uid="{00000000-0005-0000-0000-000072410000}"/>
    <cellStyle name="Normal 95" xfId="8290" xr:uid="{00000000-0005-0000-0000-000073410000}"/>
    <cellStyle name="Normal 95 2" xfId="12097" xr:uid="{00000000-0005-0000-0000-000074410000}"/>
    <cellStyle name="Normal 95 2 2" xfId="12588" xr:uid="{00000000-0005-0000-0000-000075410000}"/>
    <cellStyle name="Normal 95 3" xfId="12098" xr:uid="{00000000-0005-0000-0000-000076410000}"/>
    <cellStyle name="Normal 95 3 2" xfId="12589" xr:uid="{00000000-0005-0000-0000-000077410000}"/>
    <cellStyle name="Normal 95 4" xfId="12099" xr:uid="{00000000-0005-0000-0000-000078410000}"/>
    <cellStyle name="Normal 95 4 2" xfId="12590" xr:uid="{00000000-0005-0000-0000-000079410000}"/>
    <cellStyle name="Normal 95 5" xfId="12100" xr:uid="{00000000-0005-0000-0000-00007A410000}"/>
    <cellStyle name="Normal 95 5 2" xfId="12591" xr:uid="{00000000-0005-0000-0000-00007B410000}"/>
    <cellStyle name="Normal 95 6" xfId="12101" xr:uid="{00000000-0005-0000-0000-00007C410000}"/>
    <cellStyle name="Normal 95 6 2" xfId="12592" xr:uid="{00000000-0005-0000-0000-00007D410000}"/>
    <cellStyle name="Normal 95 7" xfId="12102" xr:uid="{00000000-0005-0000-0000-00007E410000}"/>
    <cellStyle name="Normal 95 7 2" xfId="12593" xr:uid="{00000000-0005-0000-0000-00007F410000}"/>
    <cellStyle name="Normal 95 8" xfId="12103" xr:uid="{00000000-0005-0000-0000-000080410000}"/>
    <cellStyle name="Normal 95 8 2" xfId="12594" xr:uid="{00000000-0005-0000-0000-000081410000}"/>
    <cellStyle name="Normal 95 9" xfId="12587" xr:uid="{00000000-0005-0000-0000-000082410000}"/>
    <cellStyle name="Normal 96" xfId="8291" xr:uid="{00000000-0005-0000-0000-000083410000}"/>
    <cellStyle name="Normal 96 2" xfId="12104" xr:uid="{00000000-0005-0000-0000-000084410000}"/>
    <cellStyle name="Normal 96 2 2" xfId="12596" xr:uid="{00000000-0005-0000-0000-000085410000}"/>
    <cellStyle name="Normal 96 3" xfId="12105" xr:uid="{00000000-0005-0000-0000-000086410000}"/>
    <cellStyle name="Normal 96 3 2" xfId="12597" xr:uid="{00000000-0005-0000-0000-000087410000}"/>
    <cellStyle name="Normal 96 4" xfId="12106" xr:uid="{00000000-0005-0000-0000-000088410000}"/>
    <cellStyle name="Normal 96 4 2" xfId="12598" xr:uid="{00000000-0005-0000-0000-000089410000}"/>
    <cellStyle name="Normal 96 5" xfId="12107" xr:uid="{00000000-0005-0000-0000-00008A410000}"/>
    <cellStyle name="Normal 96 5 2" xfId="12599" xr:uid="{00000000-0005-0000-0000-00008B410000}"/>
    <cellStyle name="Normal 96 6" xfId="12108" xr:uid="{00000000-0005-0000-0000-00008C410000}"/>
    <cellStyle name="Normal 96 6 2" xfId="12600" xr:uid="{00000000-0005-0000-0000-00008D410000}"/>
    <cellStyle name="Normal 96 7" xfId="12109" xr:uid="{00000000-0005-0000-0000-00008E410000}"/>
    <cellStyle name="Normal 96 7 2" xfId="12601" xr:uid="{00000000-0005-0000-0000-00008F410000}"/>
    <cellStyle name="Normal 96 8" xfId="12110" xr:uid="{00000000-0005-0000-0000-000090410000}"/>
    <cellStyle name="Normal 96 8 2" xfId="12602" xr:uid="{00000000-0005-0000-0000-000091410000}"/>
    <cellStyle name="Normal 96 9" xfId="12595" xr:uid="{00000000-0005-0000-0000-000092410000}"/>
    <cellStyle name="Normal 97" xfId="8292" xr:uid="{00000000-0005-0000-0000-000093410000}"/>
    <cellStyle name="Normal 97 2" xfId="12111" xr:uid="{00000000-0005-0000-0000-000094410000}"/>
    <cellStyle name="Normal 97 2 2" xfId="12604" xr:uid="{00000000-0005-0000-0000-000095410000}"/>
    <cellStyle name="Normal 97 3" xfId="12112" xr:uid="{00000000-0005-0000-0000-000096410000}"/>
    <cellStyle name="Normal 97 3 2" xfId="12605" xr:uid="{00000000-0005-0000-0000-000097410000}"/>
    <cellStyle name="Normal 97 4" xfId="12113" xr:uid="{00000000-0005-0000-0000-000098410000}"/>
    <cellStyle name="Normal 97 4 2" xfId="12606" xr:uid="{00000000-0005-0000-0000-000099410000}"/>
    <cellStyle name="Normal 97 5" xfId="12114" xr:uid="{00000000-0005-0000-0000-00009A410000}"/>
    <cellStyle name="Normal 97 5 2" xfId="12607" xr:uid="{00000000-0005-0000-0000-00009B410000}"/>
    <cellStyle name="Normal 97 6" xfId="12115" xr:uid="{00000000-0005-0000-0000-00009C410000}"/>
    <cellStyle name="Normal 97 7" xfId="12603" xr:uid="{00000000-0005-0000-0000-00009D410000}"/>
    <cellStyle name="Normal 98" xfId="8293" xr:uid="{00000000-0005-0000-0000-00009E410000}"/>
    <cellStyle name="Normal 98 2" xfId="12116" xr:uid="{00000000-0005-0000-0000-00009F410000}"/>
    <cellStyle name="Normal 98 2 2" xfId="12609" xr:uid="{00000000-0005-0000-0000-0000A0410000}"/>
    <cellStyle name="Normal 98 3" xfId="12117" xr:uid="{00000000-0005-0000-0000-0000A1410000}"/>
    <cellStyle name="Normal 98 3 2" xfId="12610" xr:uid="{00000000-0005-0000-0000-0000A2410000}"/>
    <cellStyle name="Normal 98 4" xfId="12118" xr:uid="{00000000-0005-0000-0000-0000A3410000}"/>
    <cellStyle name="Normal 98 4 2" xfId="12611" xr:uid="{00000000-0005-0000-0000-0000A4410000}"/>
    <cellStyle name="Normal 98 5" xfId="12119" xr:uid="{00000000-0005-0000-0000-0000A5410000}"/>
    <cellStyle name="Normal 98 5 2" xfId="12612" xr:uid="{00000000-0005-0000-0000-0000A6410000}"/>
    <cellStyle name="Normal 98 6" xfId="12608" xr:uid="{00000000-0005-0000-0000-0000A7410000}"/>
    <cellStyle name="Normal 99" xfId="8294" xr:uid="{00000000-0005-0000-0000-0000A8410000}"/>
    <cellStyle name="Normal 99 2" xfId="12120" xr:uid="{00000000-0005-0000-0000-0000A9410000}"/>
    <cellStyle name="Normal 99 2 2" xfId="12614" xr:uid="{00000000-0005-0000-0000-0000AA410000}"/>
    <cellStyle name="Normal 99 3" xfId="12121" xr:uid="{00000000-0005-0000-0000-0000AB410000}"/>
    <cellStyle name="Normal 99 3 2" xfId="12615" xr:uid="{00000000-0005-0000-0000-0000AC410000}"/>
    <cellStyle name="Normal 99 4" xfId="12122" xr:uid="{00000000-0005-0000-0000-0000AD410000}"/>
    <cellStyle name="Normal 99 4 2" xfId="12616" xr:uid="{00000000-0005-0000-0000-0000AE410000}"/>
    <cellStyle name="Normal 99 5" xfId="12123" xr:uid="{00000000-0005-0000-0000-0000AF410000}"/>
    <cellStyle name="Normal 99 5 2" xfId="12617" xr:uid="{00000000-0005-0000-0000-0000B0410000}"/>
    <cellStyle name="Normal 99 6" xfId="12124" xr:uid="{00000000-0005-0000-0000-0000B1410000}"/>
    <cellStyle name="Normal 99 7" xfId="12613" xr:uid="{00000000-0005-0000-0000-0000B2410000}"/>
    <cellStyle name="Normal_P02-MU-MJ3-PUMP-003" xfId="20897" xr:uid="{00000000-0005-0000-0000-0000B3410000}"/>
    <cellStyle name="Normal_Sheet1" xfId="10628" xr:uid="{00000000-0005-0000-0000-0000B4410000}"/>
    <cellStyle name="Normal_Water Recovery System LS" xfId="20894" xr:uid="{00000000-0005-0000-0000-0000B5410000}"/>
    <cellStyle name="NormalCentered" xfId="8295" xr:uid="{00000000-0005-0000-0000-0000B6410000}"/>
    <cellStyle name="Note 2" xfId="8296" xr:uid="{00000000-0005-0000-0000-0000B7410000}"/>
    <cellStyle name="Note 2 2" xfId="8297" xr:uid="{00000000-0005-0000-0000-0000B8410000}"/>
    <cellStyle name="Note 2 2 2" xfId="12125" xr:uid="{00000000-0005-0000-0000-0000B9410000}"/>
    <cellStyle name="Note 2 3" xfId="12126" xr:uid="{00000000-0005-0000-0000-0000BA410000}"/>
    <cellStyle name="Note 3" xfId="10514" xr:uid="{00000000-0005-0000-0000-0000BB410000}"/>
    <cellStyle name="Note 3 2" xfId="10595" xr:uid="{00000000-0005-0000-0000-0000BC410000}"/>
    <cellStyle name="Note 3 2 2" xfId="12127" xr:uid="{00000000-0005-0000-0000-0000BD410000}"/>
    <cellStyle name="Note 3 2 2 2" xfId="12128" xr:uid="{00000000-0005-0000-0000-0000BE410000}"/>
    <cellStyle name="Note 3 2 2 2 2" xfId="12129" xr:uid="{00000000-0005-0000-0000-0000BF410000}"/>
    <cellStyle name="Note 3 2 2 2 2 2" xfId="12675" xr:uid="{00000000-0005-0000-0000-0000C0410000}"/>
    <cellStyle name="Note 3 2 2 2 2 3" xfId="12709" xr:uid="{00000000-0005-0000-0000-0000C1410000}"/>
    <cellStyle name="Note 3 2 2 2 3" xfId="12660" xr:uid="{00000000-0005-0000-0000-0000C2410000}"/>
    <cellStyle name="Note 3 2 2 2 4" xfId="12698" xr:uid="{00000000-0005-0000-0000-0000C3410000}"/>
    <cellStyle name="Note 3 2 2 3" xfId="12130" xr:uid="{00000000-0005-0000-0000-0000C4410000}"/>
    <cellStyle name="Note 3 2 2 3 2" xfId="12676" xr:uid="{00000000-0005-0000-0000-0000C5410000}"/>
    <cellStyle name="Note 3 2 2 3 3" xfId="12710" xr:uid="{00000000-0005-0000-0000-0000C6410000}"/>
    <cellStyle name="Note 3 2 2 4" xfId="12630" xr:uid="{00000000-0005-0000-0000-0000C7410000}"/>
    <cellStyle name="Note 3 2 2 5" xfId="12693" xr:uid="{00000000-0005-0000-0000-0000C8410000}"/>
    <cellStyle name="Note 3 2 3" xfId="12131" xr:uid="{00000000-0005-0000-0000-0000C9410000}"/>
    <cellStyle name="Note 3 2 3 2" xfId="12132" xr:uid="{00000000-0005-0000-0000-0000CA410000}"/>
    <cellStyle name="Note 3 2 3 2 2" xfId="12677" xr:uid="{00000000-0005-0000-0000-0000CB410000}"/>
    <cellStyle name="Note 3 2 3 2 3" xfId="12711" xr:uid="{00000000-0005-0000-0000-0000CC410000}"/>
    <cellStyle name="Note 3 2 3 3" xfId="12661" xr:uid="{00000000-0005-0000-0000-0000CD410000}"/>
    <cellStyle name="Note 3 2 3 4" xfId="12699" xr:uid="{00000000-0005-0000-0000-0000CE410000}"/>
    <cellStyle name="Note 3 2 4" xfId="12133" xr:uid="{00000000-0005-0000-0000-0000CF410000}"/>
    <cellStyle name="Note 3 2 4 2" xfId="12678" xr:uid="{00000000-0005-0000-0000-0000D0410000}"/>
    <cellStyle name="Note 3 2 4 3" xfId="12712" xr:uid="{00000000-0005-0000-0000-0000D1410000}"/>
    <cellStyle name="Note 3 2 5" xfId="12629" xr:uid="{00000000-0005-0000-0000-0000D2410000}"/>
    <cellStyle name="Note 3 2 6" xfId="12692" xr:uid="{00000000-0005-0000-0000-0000D3410000}"/>
    <cellStyle name="Note 3 3" xfId="12134" xr:uid="{00000000-0005-0000-0000-0000D4410000}"/>
    <cellStyle name="Note 3 3 2" xfId="12135" xr:uid="{00000000-0005-0000-0000-0000D5410000}"/>
    <cellStyle name="Note 3 3 2 2" xfId="12136" xr:uid="{00000000-0005-0000-0000-0000D6410000}"/>
    <cellStyle name="Note 3 3 2 2 2" xfId="12679" xr:uid="{00000000-0005-0000-0000-0000D7410000}"/>
    <cellStyle name="Note 3 3 2 2 3" xfId="12713" xr:uid="{00000000-0005-0000-0000-0000D8410000}"/>
    <cellStyle name="Note 3 3 2 3" xfId="12662" xr:uid="{00000000-0005-0000-0000-0000D9410000}"/>
    <cellStyle name="Note 3 3 2 4" xfId="12700" xr:uid="{00000000-0005-0000-0000-0000DA410000}"/>
    <cellStyle name="Note 3 3 3" xfId="12137" xr:uid="{00000000-0005-0000-0000-0000DB410000}"/>
    <cellStyle name="Note 3 3 3 2" xfId="12680" xr:uid="{00000000-0005-0000-0000-0000DC410000}"/>
    <cellStyle name="Note 3 3 3 3" xfId="12714" xr:uid="{00000000-0005-0000-0000-0000DD410000}"/>
    <cellStyle name="Note 3 3 4" xfId="12631" xr:uid="{00000000-0005-0000-0000-0000DE410000}"/>
    <cellStyle name="Note 3 3 5" xfId="12694" xr:uid="{00000000-0005-0000-0000-0000DF410000}"/>
    <cellStyle name="Note 3 4" xfId="12138" xr:uid="{00000000-0005-0000-0000-0000E0410000}"/>
    <cellStyle name="Note 3 4 2" xfId="12139" xr:uid="{00000000-0005-0000-0000-0000E1410000}"/>
    <cellStyle name="Note 3 4 2 2" xfId="12681" xr:uid="{00000000-0005-0000-0000-0000E2410000}"/>
    <cellStyle name="Note 3 4 2 3" xfId="12715" xr:uid="{00000000-0005-0000-0000-0000E3410000}"/>
    <cellStyle name="Note 3 4 3" xfId="12663" xr:uid="{00000000-0005-0000-0000-0000E4410000}"/>
    <cellStyle name="Note 3 4 4" xfId="12701" xr:uid="{00000000-0005-0000-0000-0000E5410000}"/>
    <cellStyle name="Note 3 5" xfId="12140" xr:uid="{00000000-0005-0000-0000-0000E6410000}"/>
    <cellStyle name="Note 3 5 2" xfId="12682" xr:uid="{00000000-0005-0000-0000-0000E7410000}"/>
    <cellStyle name="Note 3 5 3" xfId="12716" xr:uid="{00000000-0005-0000-0000-0000E8410000}"/>
    <cellStyle name="Note 3 6" xfId="12628" xr:uid="{00000000-0005-0000-0000-0000E9410000}"/>
    <cellStyle name="Note 3 7" xfId="12691" xr:uid="{00000000-0005-0000-0000-0000EA410000}"/>
    <cellStyle name="Note 4" xfId="10596" xr:uid="{00000000-0005-0000-0000-0000EB410000}"/>
    <cellStyle name="Note 4 2" xfId="10597" xr:uid="{00000000-0005-0000-0000-0000EC410000}"/>
    <cellStyle name="Note 4 2 2" xfId="12141" xr:uid="{00000000-0005-0000-0000-0000ED410000}"/>
    <cellStyle name="Note 4 2 2 2" xfId="12142" xr:uid="{00000000-0005-0000-0000-0000EE410000}"/>
    <cellStyle name="Note 4 2 2 2 2" xfId="12683" xr:uid="{00000000-0005-0000-0000-0000EF410000}"/>
    <cellStyle name="Note 4 2 2 2 3" xfId="12717" xr:uid="{00000000-0005-0000-0000-0000F0410000}"/>
    <cellStyle name="Note 4 2 2 3" xfId="12664" xr:uid="{00000000-0005-0000-0000-0000F1410000}"/>
    <cellStyle name="Note 4 2 2 4" xfId="12702" xr:uid="{00000000-0005-0000-0000-0000F2410000}"/>
    <cellStyle name="Note 4 2 3" xfId="12143" xr:uid="{00000000-0005-0000-0000-0000F3410000}"/>
    <cellStyle name="Note 4 2 3 2" xfId="12684" xr:uid="{00000000-0005-0000-0000-0000F4410000}"/>
    <cellStyle name="Note 4 2 3 3" xfId="12718" xr:uid="{00000000-0005-0000-0000-0000F5410000}"/>
    <cellStyle name="Note 4 2 4" xfId="12633" xr:uid="{00000000-0005-0000-0000-0000F6410000}"/>
    <cellStyle name="Note 4 2 5" xfId="12696" xr:uid="{00000000-0005-0000-0000-0000F7410000}"/>
    <cellStyle name="Note 4 3" xfId="12144" xr:uid="{00000000-0005-0000-0000-0000F8410000}"/>
    <cellStyle name="Note 4 3 2" xfId="12145" xr:uid="{00000000-0005-0000-0000-0000F9410000}"/>
    <cellStyle name="Note 4 3 2 2" xfId="12685" xr:uid="{00000000-0005-0000-0000-0000FA410000}"/>
    <cellStyle name="Note 4 3 2 3" xfId="12719" xr:uid="{00000000-0005-0000-0000-0000FB410000}"/>
    <cellStyle name="Note 4 3 3" xfId="12665" xr:uid="{00000000-0005-0000-0000-0000FC410000}"/>
    <cellStyle name="Note 4 3 4" xfId="12703" xr:uid="{00000000-0005-0000-0000-0000FD410000}"/>
    <cellStyle name="Note 4 4" xfId="12146" xr:uid="{00000000-0005-0000-0000-0000FE410000}"/>
    <cellStyle name="Note 4 4 2" xfId="12686" xr:uid="{00000000-0005-0000-0000-0000FF410000}"/>
    <cellStyle name="Note 4 4 3" xfId="12720" xr:uid="{00000000-0005-0000-0000-000000420000}"/>
    <cellStyle name="Note 4 5" xfId="12632" xr:uid="{00000000-0005-0000-0000-000001420000}"/>
    <cellStyle name="Note 4 6" xfId="12695" xr:uid="{00000000-0005-0000-0000-000002420000}"/>
    <cellStyle name="Note 5" xfId="10598" xr:uid="{00000000-0005-0000-0000-000003420000}"/>
    <cellStyle name="Note 5 2" xfId="10599" xr:uid="{00000000-0005-0000-0000-000004420000}"/>
    <cellStyle name="Note 6" xfId="10640" xr:uid="{00000000-0005-0000-0000-000005420000}"/>
    <cellStyle name="Œ…‹æØ‚è [0.00]_Region Orders (2)" xfId="8298" xr:uid="{00000000-0005-0000-0000-000006420000}"/>
    <cellStyle name="Œ…‹æØ‚è_Region Orders (2)" xfId="8299" xr:uid="{00000000-0005-0000-0000-000007420000}"/>
    <cellStyle name="Output" xfId="10480" builtinId="21" customBuiltin="1"/>
    <cellStyle name="Output 2" xfId="8300" xr:uid="{00000000-0005-0000-0000-000009420000}"/>
    <cellStyle name="per.style" xfId="8301" xr:uid="{00000000-0005-0000-0000-00000A420000}"/>
    <cellStyle name="Percent" xfId="20898" builtinId="5"/>
    <cellStyle name="Percent (0)" xfId="8302" xr:uid="{00000000-0005-0000-0000-00000C420000}"/>
    <cellStyle name="Percent (0) 2" xfId="8303" xr:uid="{00000000-0005-0000-0000-00000D420000}"/>
    <cellStyle name="Percent (0) 3" xfId="8304" xr:uid="{00000000-0005-0000-0000-00000E420000}"/>
    <cellStyle name="Percent [2]" xfId="8305" xr:uid="{00000000-0005-0000-0000-00000F420000}"/>
    <cellStyle name="Percent [2] 2" xfId="8306" xr:uid="{00000000-0005-0000-0000-000010420000}"/>
    <cellStyle name="Percent [2] 2 2" xfId="8307" xr:uid="{00000000-0005-0000-0000-000011420000}"/>
    <cellStyle name="Percent [2] 2 2 2" xfId="8308" xr:uid="{00000000-0005-0000-0000-000012420000}"/>
    <cellStyle name="Percent [2] 2 2 3" xfId="8309" xr:uid="{00000000-0005-0000-0000-000013420000}"/>
    <cellStyle name="Percent [2] 2 3" xfId="8310" xr:uid="{00000000-0005-0000-0000-000014420000}"/>
    <cellStyle name="Percent [2] 2 3 2" xfId="8311" xr:uid="{00000000-0005-0000-0000-000015420000}"/>
    <cellStyle name="Percent [2] 2 3 3" xfId="8312" xr:uid="{00000000-0005-0000-0000-000016420000}"/>
    <cellStyle name="Percent [2] 2 4" xfId="8313" xr:uid="{00000000-0005-0000-0000-000017420000}"/>
    <cellStyle name="Percent [2] 2 5" xfId="8314" xr:uid="{00000000-0005-0000-0000-000018420000}"/>
    <cellStyle name="Percent [2] 3" xfId="8315" xr:uid="{00000000-0005-0000-0000-000019420000}"/>
    <cellStyle name="Percent [2] 3 2" xfId="8316" xr:uid="{00000000-0005-0000-0000-00001A420000}"/>
    <cellStyle name="Percent [2] 3 2 2" xfId="8317" xr:uid="{00000000-0005-0000-0000-00001B420000}"/>
    <cellStyle name="Percent [2] 3 2 3" xfId="8318" xr:uid="{00000000-0005-0000-0000-00001C420000}"/>
    <cellStyle name="Percent [2] 3 3" xfId="8319" xr:uid="{00000000-0005-0000-0000-00001D420000}"/>
    <cellStyle name="Percent [2] 3 3 2" xfId="8320" xr:uid="{00000000-0005-0000-0000-00001E420000}"/>
    <cellStyle name="Percent [2] 3 3 3" xfId="8321" xr:uid="{00000000-0005-0000-0000-00001F420000}"/>
    <cellStyle name="Percent [2] 3 4" xfId="8322" xr:uid="{00000000-0005-0000-0000-000020420000}"/>
    <cellStyle name="Percent [2] 3 5" xfId="8323" xr:uid="{00000000-0005-0000-0000-000021420000}"/>
    <cellStyle name="Percent [2] 4" xfId="8324" xr:uid="{00000000-0005-0000-0000-000022420000}"/>
    <cellStyle name="Percent [2] 4 2" xfId="8325" xr:uid="{00000000-0005-0000-0000-000023420000}"/>
    <cellStyle name="Percent [2] 4 3" xfId="8326" xr:uid="{00000000-0005-0000-0000-000024420000}"/>
    <cellStyle name="Percent [2] 5" xfId="8327" xr:uid="{00000000-0005-0000-0000-000025420000}"/>
    <cellStyle name="Percent [2] 5 2" xfId="8328" xr:uid="{00000000-0005-0000-0000-000026420000}"/>
    <cellStyle name="Percent [2] 5 3" xfId="8329" xr:uid="{00000000-0005-0000-0000-000027420000}"/>
    <cellStyle name="Percent [2] 6" xfId="8330" xr:uid="{00000000-0005-0000-0000-000028420000}"/>
    <cellStyle name="Percent [2] 7" xfId="8331" xr:uid="{00000000-0005-0000-0000-000029420000}"/>
    <cellStyle name="Percent [2] 8" xfId="8332" xr:uid="{00000000-0005-0000-0000-00002A420000}"/>
    <cellStyle name="Percent 10" xfId="8333" xr:uid="{00000000-0005-0000-0000-00002B420000}"/>
    <cellStyle name="Percent 10 2" xfId="8334" xr:uid="{00000000-0005-0000-0000-00002C420000}"/>
    <cellStyle name="Percent 10 3" xfId="8335" xr:uid="{00000000-0005-0000-0000-00002D420000}"/>
    <cellStyle name="Percent 100" xfId="10660" xr:uid="{00000000-0005-0000-0000-00002E420000}"/>
    <cellStyle name="Percent 101" xfId="10662" xr:uid="{00000000-0005-0000-0000-00002F420000}"/>
    <cellStyle name="Percent 102" xfId="10665" xr:uid="{00000000-0005-0000-0000-000030420000}"/>
    <cellStyle name="Percent 103" xfId="10666" xr:uid="{00000000-0005-0000-0000-000031420000}"/>
    <cellStyle name="Percent 104" xfId="10667" xr:uid="{00000000-0005-0000-0000-000032420000}"/>
    <cellStyle name="Percent 105" xfId="10669" xr:uid="{00000000-0005-0000-0000-000033420000}"/>
    <cellStyle name="Percent 106" xfId="10670" xr:uid="{00000000-0005-0000-0000-000034420000}"/>
    <cellStyle name="Percent 107" xfId="10673" xr:uid="{00000000-0005-0000-0000-000035420000}"/>
    <cellStyle name="Percent 108" xfId="10674" xr:uid="{00000000-0005-0000-0000-000036420000}"/>
    <cellStyle name="Percent 109" xfId="12153" xr:uid="{00000000-0005-0000-0000-000037420000}"/>
    <cellStyle name="Percent 11" xfId="8336" xr:uid="{00000000-0005-0000-0000-000038420000}"/>
    <cellStyle name="Percent 11 2" xfId="8337" xr:uid="{00000000-0005-0000-0000-000039420000}"/>
    <cellStyle name="Percent 11 3" xfId="8338" xr:uid="{00000000-0005-0000-0000-00003A420000}"/>
    <cellStyle name="Percent 110" xfId="12158" xr:uid="{00000000-0005-0000-0000-00003B420000}"/>
    <cellStyle name="Percent 111" xfId="20896" xr:uid="{00000000-0005-0000-0000-00003C420000}"/>
    <cellStyle name="Percent 12" xfId="8339" xr:uid="{00000000-0005-0000-0000-00003D420000}"/>
    <cellStyle name="Percent 12 2" xfId="8340" xr:uid="{00000000-0005-0000-0000-00003E420000}"/>
    <cellStyle name="Percent 12 3" xfId="8341" xr:uid="{00000000-0005-0000-0000-00003F420000}"/>
    <cellStyle name="Percent 13" xfId="8342" xr:uid="{00000000-0005-0000-0000-000040420000}"/>
    <cellStyle name="Percent 13 2" xfId="8343" xr:uid="{00000000-0005-0000-0000-000041420000}"/>
    <cellStyle name="Percent 13 3" xfId="8344" xr:uid="{00000000-0005-0000-0000-000042420000}"/>
    <cellStyle name="Percent 14" xfId="8345" xr:uid="{00000000-0005-0000-0000-000043420000}"/>
    <cellStyle name="Percent 14 2" xfId="8346" xr:uid="{00000000-0005-0000-0000-000044420000}"/>
    <cellStyle name="Percent 14 3" xfId="8347" xr:uid="{00000000-0005-0000-0000-000045420000}"/>
    <cellStyle name="Percent 15" xfId="8348" xr:uid="{00000000-0005-0000-0000-000046420000}"/>
    <cellStyle name="Percent 15 3" xfId="8349" xr:uid="{00000000-0005-0000-0000-000047420000}"/>
    <cellStyle name="Percent 15 3 2" xfId="8350" xr:uid="{00000000-0005-0000-0000-000048420000}"/>
    <cellStyle name="Percent 15 3 3" xfId="8351" xr:uid="{00000000-0005-0000-0000-000049420000}"/>
    <cellStyle name="Percent 15 3 4" xfId="10451" xr:uid="{00000000-0005-0000-0000-00004A420000}"/>
    <cellStyle name="Percent 16" xfId="8352" xr:uid="{00000000-0005-0000-0000-00004B420000}"/>
    <cellStyle name="Percent 17" xfId="8353" xr:uid="{00000000-0005-0000-0000-00004C420000}"/>
    <cellStyle name="Percent 18" xfId="8354" xr:uid="{00000000-0005-0000-0000-00004D420000}"/>
    <cellStyle name="Percent 19" xfId="8355" xr:uid="{00000000-0005-0000-0000-00004E420000}"/>
    <cellStyle name="Percent 2" xfId="230" xr:uid="{00000000-0005-0000-0000-00004F420000}"/>
    <cellStyle name="Percent 2 10" xfId="8356" xr:uid="{00000000-0005-0000-0000-000050420000}"/>
    <cellStyle name="Percent 2 11" xfId="8357" xr:uid="{00000000-0005-0000-0000-000051420000}"/>
    <cellStyle name="Percent 2 12" xfId="8358" xr:uid="{00000000-0005-0000-0000-000052420000}"/>
    <cellStyle name="Percent 2 13" xfId="8359" xr:uid="{00000000-0005-0000-0000-000053420000}"/>
    <cellStyle name="Percent 2 14" xfId="8360" xr:uid="{00000000-0005-0000-0000-000054420000}"/>
    <cellStyle name="Percent 2 15" xfId="8361" xr:uid="{00000000-0005-0000-0000-000055420000}"/>
    <cellStyle name="Percent 2 16" xfId="8362" xr:uid="{00000000-0005-0000-0000-000056420000}"/>
    <cellStyle name="Percent 2 17" xfId="8363" xr:uid="{00000000-0005-0000-0000-000057420000}"/>
    <cellStyle name="Percent 2 18" xfId="8364" xr:uid="{00000000-0005-0000-0000-000058420000}"/>
    <cellStyle name="Percent 2 19" xfId="8365" xr:uid="{00000000-0005-0000-0000-000059420000}"/>
    <cellStyle name="Percent 2 2" xfId="231" xr:uid="{00000000-0005-0000-0000-00005A420000}"/>
    <cellStyle name="Percent 2 2 2" xfId="8366" xr:uid="{00000000-0005-0000-0000-00005B420000}"/>
    <cellStyle name="Percent 2 2 3" xfId="8367" xr:uid="{00000000-0005-0000-0000-00005C420000}"/>
    <cellStyle name="Percent 2 20" xfId="8368" xr:uid="{00000000-0005-0000-0000-00005D420000}"/>
    <cellStyle name="Percent 2 21" xfId="8369" xr:uid="{00000000-0005-0000-0000-00005E420000}"/>
    <cellStyle name="Percent 2 22" xfId="8370" xr:uid="{00000000-0005-0000-0000-00005F420000}"/>
    <cellStyle name="Percent 2 23" xfId="8371" xr:uid="{00000000-0005-0000-0000-000060420000}"/>
    <cellStyle name="Percent 2 24" xfId="8372" xr:uid="{00000000-0005-0000-0000-000061420000}"/>
    <cellStyle name="Percent 2 25" xfId="8373" xr:uid="{00000000-0005-0000-0000-000062420000}"/>
    <cellStyle name="Percent 2 26" xfId="8374" xr:uid="{00000000-0005-0000-0000-000063420000}"/>
    <cellStyle name="Percent 2 27" xfId="8375" xr:uid="{00000000-0005-0000-0000-000064420000}"/>
    <cellStyle name="Percent 2 28" xfId="8376" xr:uid="{00000000-0005-0000-0000-000065420000}"/>
    <cellStyle name="Percent 2 29" xfId="8377" xr:uid="{00000000-0005-0000-0000-000066420000}"/>
    <cellStyle name="Percent 2 3" xfId="8378" xr:uid="{00000000-0005-0000-0000-000067420000}"/>
    <cellStyle name="Percent 2 30" xfId="8379" xr:uid="{00000000-0005-0000-0000-000068420000}"/>
    <cellStyle name="Percent 2 31" xfId="8380" xr:uid="{00000000-0005-0000-0000-000069420000}"/>
    <cellStyle name="Percent 2 4" xfId="8381" xr:uid="{00000000-0005-0000-0000-00006A420000}"/>
    <cellStyle name="Percent 2 4 2" xfId="8382" xr:uid="{00000000-0005-0000-0000-00006B420000}"/>
    <cellStyle name="Percent 2 5" xfId="8383" xr:uid="{00000000-0005-0000-0000-00006C420000}"/>
    <cellStyle name="Percent 2 6" xfId="8384" xr:uid="{00000000-0005-0000-0000-00006D420000}"/>
    <cellStyle name="Percent 2 7" xfId="8385" xr:uid="{00000000-0005-0000-0000-00006E420000}"/>
    <cellStyle name="Percent 2 8" xfId="8386" xr:uid="{00000000-0005-0000-0000-00006F420000}"/>
    <cellStyle name="Percent 2 9" xfId="8387" xr:uid="{00000000-0005-0000-0000-000070420000}"/>
    <cellStyle name="Percent 20" xfId="8388" xr:uid="{00000000-0005-0000-0000-000071420000}"/>
    <cellStyle name="Percent 20 2" xfId="8389" xr:uid="{00000000-0005-0000-0000-000072420000}"/>
    <cellStyle name="Percent 21" xfId="8390" xr:uid="{00000000-0005-0000-0000-000073420000}"/>
    <cellStyle name="Percent 21 2" xfId="8391" xr:uid="{00000000-0005-0000-0000-000074420000}"/>
    <cellStyle name="Percent 21 3" xfId="8392" xr:uid="{00000000-0005-0000-0000-000075420000}"/>
    <cellStyle name="Percent 22" xfId="8393" xr:uid="{00000000-0005-0000-0000-000076420000}"/>
    <cellStyle name="Percent 23" xfId="8394" xr:uid="{00000000-0005-0000-0000-000077420000}"/>
    <cellStyle name="Percent 24" xfId="8395" xr:uid="{00000000-0005-0000-0000-000078420000}"/>
    <cellStyle name="Percent 25" xfId="8396" xr:uid="{00000000-0005-0000-0000-000079420000}"/>
    <cellStyle name="Percent 26" xfId="8397" xr:uid="{00000000-0005-0000-0000-00007A420000}"/>
    <cellStyle name="Percent 27" xfId="8398" xr:uid="{00000000-0005-0000-0000-00007B420000}"/>
    <cellStyle name="Percent 28" xfId="8399" xr:uid="{00000000-0005-0000-0000-00007C420000}"/>
    <cellStyle name="Percent 29" xfId="8400" xr:uid="{00000000-0005-0000-0000-00007D420000}"/>
    <cellStyle name="Percent 3" xfId="232" xr:uid="{00000000-0005-0000-0000-00007E420000}"/>
    <cellStyle name="Percent 3 2" xfId="8401" xr:uid="{00000000-0005-0000-0000-00007F420000}"/>
    <cellStyle name="Percent 3 2 10" xfId="8402" xr:uid="{00000000-0005-0000-0000-000080420000}"/>
    <cellStyle name="Percent 3 2 10 2" xfId="8403" xr:uid="{00000000-0005-0000-0000-000081420000}"/>
    <cellStyle name="Percent 3 2 10 2 2" xfId="8404" xr:uid="{00000000-0005-0000-0000-000082420000}"/>
    <cellStyle name="Percent 3 2 10 2 2 2" xfId="19120" xr:uid="{00000000-0005-0000-0000-000083420000}"/>
    <cellStyle name="Percent 3 2 10 2 3" xfId="8405" xr:uid="{00000000-0005-0000-0000-000084420000}"/>
    <cellStyle name="Percent 3 2 10 2 3 2" xfId="19121" xr:uid="{00000000-0005-0000-0000-000085420000}"/>
    <cellStyle name="Percent 3 2 10 2 4" xfId="19122" xr:uid="{00000000-0005-0000-0000-000086420000}"/>
    <cellStyle name="Percent 3 2 10 3" xfId="8406" xr:uid="{00000000-0005-0000-0000-000087420000}"/>
    <cellStyle name="Percent 3 2 10 3 2" xfId="8407" xr:uid="{00000000-0005-0000-0000-000088420000}"/>
    <cellStyle name="Percent 3 2 10 3 2 2" xfId="19123" xr:uid="{00000000-0005-0000-0000-000089420000}"/>
    <cellStyle name="Percent 3 2 10 3 3" xfId="8408" xr:uid="{00000000-0005-0000-0000-00008A420000}"/>
    <cellStyle name="Percent 3 2 10 3 3 2" xfId="19124" xr:uid="{00000000-0005-0000-0000-00008B420000}"/>
    <cellStyle name="Percent 3 2 10 3 4" xfId="19125" xr:uid="{00000000-0005-0000-0000-00008C420000}"/>
    <cellStyle name="Percent 3 2 10 4" xfId="8409" xr:uid="{00000000-0005-0000-0000-00008D420000}"/>
    <cellStyle name="Percent 3 2 10 4 2" xfId="19126" xr:uid="{00000000-0005-0000-0000-00008E420000}"/>
    <cellStyle name="Percent 3 2 10 5" xfId="8410" xr:uid="{00000000-0005-0000-0000-00008F420000}"/>
    <cellStyle name="Percent 3 2 10 5 2" xfId="19127" xr:uid="{00000000-0005-0000-0000-000090420000}"/>
    <cellStyle name="Percent 3 2 10 6" xfId="19128" xr:uid="{00000000-0005-0000-0000-000091420000}"/>
    <cellStyle name="Percent 3 2 2" xfId="8411" xr:uid="{00000000-0005-0000-0000-000092420000}"/>
    <cellStyle name="Percent 3 2 2 2" xfId="8412" xr:uid="{00000000-0005-0000-0000-000093420000}"/>
    <cellStyle name="Percent 3 2 2 2 10" xfId="8413" xr:uid="{00000000-0005-0000-0000-000094420000}"/>
    <cellStyle name="Percent 3 2 2 2 10 2" xfId="19129" xr:uid="{00000000-0005-0000-0000-000095420000}"/>
    <cellStyle name="Percent 3 2 2 2 11" xfId="8414" xr:uid="{00000000-0005-0000-0000-000096420000}"/>
    <cellStyle name="Percent 3 2 2 2 11 2" xfId="19130" xr:uid="{00000000-0005-0000-0000-000097420000}"/>
    <cellStyle name="Percent 3 2 2 2 12" xfId="19131" xr:uid="{00000000-0005-0000-0000-000098420000}"/>
    <cellStyle name="Percent 3 2 2 2 2" xfId="8415" xr:uid="{00000000-0005-0000-0000-000099420000}"/>
    <cellStyle name="Percent 3 2 2 2 2 10" xfId="8416" xr:uid="{00000000-0005-0000-0000-00009A420000}"/>
    <cellStyle name="Percent 3 2 2 2 2 10 2" xfId="19132" xr:uid="{00000000-0005-0000-0000-00009B420000}"/>
    <cellStyle name="Percent 3 2 2 2 2 11" xfId="19133" xr:uid="{00000000-0005-0000-0000-00009C420000}"/>
    <cellStyle name="Percent 3 2 2 2 2 2" xfId="8417" xr:uid="{00000000-0005-0000-0000-00009D420000}"/>
    <cellStyle name="Percent 3 2 2 2 2 2 10" xfId="19134" xr:uid="{00000000-0005-0000-0000-00009E420000}"/>
    <cellStyle name="Percent 3 2 2 2 2 2 2" xfId="8418" xr:uid="{00000000-0005-0000-0000-00009F420000}"/>
    <cellStyle name="Percent 3 2 2 2 2 2 2 2" xfId="8419" xr:uid="{00000000-0005-0000-0000-0000A0420000}"/>
    <cellStyle name="Percent 3 2 2 2 2 2 2 2 2" xfId="8420" xr:uid="{00000000-0005-0000-0000-0000A1420000}"/>
    <cellStyle name="Percent 3 2 2 2 2 2 2 2 2 2" xfId="8421" xr:uid="{00000000-0005-0000-0000-0000A2420000}"/>
    <cellStyle name="Percent 3 2 2 2 2 2 2 2 2 2 2" xfId="19135" xr:uid="{00000000-0005-0000-0000-0000A3420000}"/>
    <cellStyle name="Percent 3 2 2 2 2 2 2 2 2 3" xfId="8422" xr:uid="{00000000-0005-0000-0000-0000A4420000}"/>
    <cellStyle name="Percent 3 2 2 2 2 2 2 2 2 3 2" xfId="19136" xr:uid="{00000000-0005-0000-0000-0000A5420000}"/>
    <cellStyle name="Percent 3 2 2 2 2 2 2 2 2 4" xfId="19137" xr:uid="{00000000-0005-0000-0000-0000A6420000}"/>
    <cellStyle name="Percent 3 2 2 2 2 2 2 2 3" xfId="8423" xr:uid="{00000000-0005-0000-0000-0000A7420000}"/>
    <cellStyle name="Percent 3 2 2 2 2 2 2 2 3 2" xfId="8424" xr:uid="{00000000-0005-0000-0000-0000A8420000}"/>
    <cellStyle name="Percent 3 2 2 2 2 2 2 2 3 2 2" xfId="19138" xr:uid="{00000000-0005-0000-0000-0000A9420000}"/>
    <cellStyle name="Percent 3 2 2 2 2 2 2 2 3 3" xfId="8425" xr:uid="{00000000-0005-0000-0000-0000AA420000}"/>
    <cellStyle name="Percent 3 2 2 2 2 2 2 2 3 3 2" xfId="19139" xr:uid="{00000000-0005-0000-0000-0000AB420000}"/>
    <cellStyle name="Percent 3 2 2 2 2 2 2 2 3 4" xfId="19140" xr:uid="{00000000-0005-0000-0000-0000AC420000}"/>
    <cellStyle name="Percent 3 2 2 2 2 2 2 2 4" xfId="8426" xr:uid="{00000000-0005-0000-0000-0000AD420000}"/>
    <cellStyle name="Percent 3 2 2 2 2 2 2 2 4 2" xfId="19141" xr:uid="{00000000-0005-0000-0000-0000AE420000}"/>
    <cellStyle name="Percent 3 2 2 2 2 2 2 2 5" xfId="8427" xr:uid="{00000000-0005-0000-0000-0000AF420000}"/>
    <cellStyle name="Percent 3 2 2 2 2 2 2 2 5 2" xfId="19142" xr:uid="{00000000-0005-0000-0000-0000B0420000}"/>
    <cellStyle name="Percent 3 2 2 2 2 2 2 2 6" xfId="19143" xr:uid="{00000000-0005-0000-0000-0000B1420000}"/>
    <cellStyle name="Percent 3 2 2 2 2 2 2 3" xfId="8428" xr:uid="{00000000-0005-0000-0000-0000B2420000}"/>
    <cellStyle name="Percent 3 2 2 2 2 2 2 3 2" xfId="8429" xr:uid="{00000000-0005-0000-0000-0000B3420000}"/>
    <cellStyle name="Percent 3 2 2 2 2 2 2 3 2 2" xfId="8430" xr:uid="{00000000-0005-0000-0000-0000B4420000}"/>
    <cellStyle name="Percent 3 2 2 2 2 2 2 3 2 2 2" xfId="19144" xr:uid="{00000000-0005-0000-0000-0000B5420000}"/>
    <cellStyle name="Percent 3 2 2 2 2 2 2 3 2 3" xfId="8431" xr:uid="{00000000-0005-0000-0000-0000B6420000}"/>
    <cellStyle name="Percent 3 2 2 2 2 2 2 3 2 3 2" xfId="19145" xr:uid="{00000000-0005-0000-0000-0000B7420000}"/>
    <cellStyle name="Percent 3 2 2 2 2 2 2 3 2 4" xfId="19146" xr:uid="{00000000-0005-0000-0000-0000B8420000}"/>
    <cellStyle name="Percent 3 2 2 2 2 2 2 3 3" xfId="8432" xr:uid="{00000000-0005-0000-0000-0000B9420000}"/>
    <cellStyle name="Percent 3 2 2 2 2 2 2 3 3 2" xfId="8433" xr:uid="{00000000-0005-0000-0000-0000BA420000}"/>
    <cellStyle name="Percent 3 2 2 2 2 2 2 3 3 2 2" xfId="19147" xr:uid="{00000000-0005-0000-0000-0000BB420000}"/>
    <cellStyle name="Percent 3 2 2 2 2 2 2 3 3 3" xfId="8434" xr:uid="{00000000-0005-0000-0000-0000BC420000}"/>
    <cellStyle name="Percent 3 2 2 2 2 2 2 3 3 3 2" xfId="19148" xr:uid="{00000000-0005-0000-0000-0000BD420000}"/>
    <cellStyle name="Percent 3 2 2 2 2 2 2 3 3 4" xfId="19149" xr:uid="{00000000-0005-0000-0000-0000BE420000}"/>
    <cellStyle name="Percent 3 2 2 2 2 2 2 3 4" xfId="8435" xr:uid="{00000000-0005-0000-0000-0000BF420000}"/>
    <cellStyle name="Percent 3 2 2 2 2 2 2 3 4 2" xfId="19150" xr:uid="{00000000-0005-0000-0000-0000C0420000}"/>
    <cellStyle name="Percent 3 2 2 2 2 2 2 3 5" xfId="8436" xr:uid="{00000000-0005-0000-0000-0000C1420000}"/>
    <cellStyle name="Percent 3 2 2 2 2 2 2 3 5 2" xfId="19151" xr:uid="{00000000-0005-0000-0000-0000C2420000}"/>
    <cellStyle name="Percent 3 2 2 2 2 2 2 3 6" xfId="19152" xr:uid="{00000000-0005-0000-0000-0000C3420000}"/>
    <cellStyle name="Percent 3 2 2 2 2 2 2 4" xfId="8437" xr:uid="{00000000-0005-0000-0000-0000C4420000}"/>
    <cellStyle name="Percent 3 2 2 2 2 2 2 4 2" xfId="8438" xr:uid="{00000000-0005-0000-0000-0000C5420000}"/>
    <cellStyle name="Percent 3 2 2 2 2 2 2 4 2 2" xfId="19153" xr:uid="{00000000-0005-0000-0000-0000C6420000}"/>
    <cellStyle name="Percent 3 2 2 2 2 2 2 4 3" xfId="8439" xr:uid="{00000000-0005-0000-0000-0000C7420000}"/>
    <cellStyle name="Percent 3 2 2 2 2 2 2 4 3 2" xfId="19154" xr:uid="{00000000-0005-0000-0000-0000C8420000}"/>
    <cellStyle name="Percent 3 2 2 2 2 2 2 4 4" xfId="19155" xr:uid="{00000000-0005-0000-0000-0000C9420000}"/>
    <cellStyle name="Percent 3 2 2 2 2 2 2 5" xfId="8440" xr:uid="{00000000-0005-0000-0000-0000CA420000}"/>
    <cellStyle name="Percent 3 2 2 2 2 2 2 5 2" xfId="8441" xr:uid="{00000000-0005-0000-0000-0000CB420000}"/>
    <cellStyle name="Percent 3 2 2 2 2 2 2 5 2 2" xfId="19156" xr:uid="{00000000-0005-0000-0000-0000CC420000}"/>
    <cellStyle name="Percent 3 2 2 2 2 2 2 5 3" xfId="8442" xr:uid="{00000000-0005-0000-0000-0000CD420000}"/>
    <cellStyle name="Percent 3 2 2 2 2 2 2 5 3 2" xfId="19157" xr:uid="{00000000-0005-0000-0000-0000CE420000}"/>
    <cellStyle name="Percent 3 2 2 2 2 2 2 5 4" xfId="19158" xr:uid="{00000000-0005-0000-0000-0000CF420000}"/>
    <cellStyle name="Percent 3 2 2 2 2 2 2 6" xfId="8443" xr:uid="{00000000-0005-0000-0000-0000D0420000}"/>
    <cellStyle name="Percent 3 2 2 2 2 2 2 6 2" xfId="19159" xr:uid="{00000000-0005-0000-0000-0000D1420000}"/>
    <cellStyle name="Percent 3 2 2 2 2 2 2 7" xfId="8444" xr:uid="{00000000-0005-0000-0000-0000D2420000}"/>
    <cellStyle name="Percent 3 2 2 2 2 2 2 7 2" xfId="19160" xr:uid="{00000000-0005-0000-0000-0000D3420000}"/>
    <cellStyle name="Percent 3 2 2 2 2 2 2 8" xfId="19161" xr:uid="{00000000-0005-0000-0000-0000D4420000}"/>
    <cellStyle name="Percent 3 2 2 2 2 2 3" xfId="8445" xr:uid="{00000000-0005-0000-0000-0000D5420000}"/>
    <cellStyle name="Percent 3 2 2 2 2 2 3 2" xfId="8446" xr:uid="{00000000-0005-0000-0000-0000D6420000}"/>
    <cellStyle name="Percent 3 2 2 2 2 2 3 2 2" xfId="8447" xr:uid="{00000000-0005-0000-0000-0000D7420000}"/>
    <cellStyle name="Percent 3 2 2 2 2 2 3 2 2 2" xfId="8448" xr:uid="{00000000-0005-0000-0000-0000D8420000}"/>
    <cellStyle name="Percent 3 2 2 2 2 2 3 2 2 2 2" xfId="19162" xr:uid="{00000000-0005-0000-0000-0000D9420000}"/>
    <cellStyle name="Percent 3 2 2 2 2 2 3 2 2 3" xfId="8449" xr:uid="{00000000-0005-0000-0000-0000DA420000}"/>
    <cellStyle name="Percent 3 2 2 2 2 2 3 2 2 3 2" xfId="19163" xr:uid="{00000000-0005-0000-0000-0000DB420000}"/>
    <cellStyle name="Percent 3 2 2 2 2 2 3 2 2 4" xfId="19164" xr:uid="{00000000-0005-0000-0000-0000DC420000}"/>
    <cellStyle name="Percent 3 2 2 2 2 2 3 2 3" xfId="8450" xr:uid="{00000000-0005-0000-0000-0000DD420000}"/>
    <cellStyle name="Percent 3 2 2 2 2 2 3 2 3 2" xfId="8451" xr:uid="{00000000-0005-0000-0000-0000DE420000}"/>
    <cellStyle name="Percent 3 2 2 2 2 2 3 2 3 2 2" xfId="19165" xr:uid="{00000000-0005-0000-0000-0000DF420000}"/>
    <cellStyle name="Percent 3 2 2 2 2 2 3 2 3 3" xfId="8452" xr:uid="{00000000-0005-0000-0000-0000E0420000}"/>
    <cellStyle name="Percent 3 2 2 2 2 2 3 2 3 3 2" xfId="19166" xr:uid="{00000000-0005-0000-0000-0000E1420000}"/>
    <cellStyle name="Percent 3 2 2 2 2 2 3 2 3 4" xfId="19167" xr:uid="{00000000-0005-0000-0000-0000E2420000}"/>
    <cellStyle name="Percent 3 2 2 2 2 2 3 2 4" xfId="8453" xr:uid="{00000000-0005-0000-0000-0000E3420000}"/>
    <cellStyle name="Percent 3 2 2 2 2 2 3 2 4 2" xfId="19168" xr:uid="{00000000-0005-0000-0000-0000E4420000}"/>
    <cellStyle name="Percent 3 2 2 2 2 2 3 2 5" xfId="8454" xr:uid="{00000000-0005-0000-0000-0000E5420000}"/>
    <cellStyle name="Percent 3 2 2 2 2 2 3 2 5 2" xfId="19169" xr:uid="{00000000-0005-0000-0000-0000E6420000}"/>
    <cellStyle name="Percent 3 2 2 2 2 2 3 2 6" xfId="19170" xr:uid="{00000000-0005-0000-0000-0000E7420000}"/>
    <cellStyle name="Percent 3 2 2 2 2 2 3 3" xfId="8455" xr:uid="{00000000-0005-0000-0000-0000E8420000}"/>
    <cellStyle name="Percent 3 2 2 2 2 2 3 3 2" xfId="8456" xr:uid="{00000000-0005-0000-0000-0000E9420000}"/>
    <cellStyle name="Percent 3 2 2 2 2 2 3 3 2 2" xfId="19171" xr:uid="{00000000-0005-0000-0000-0000EA420000}"/>
    <cellStyle name="Percent 3 2 2 2 2 2 3 3 3" xfId="8457" xr:uid="{00000000-0005-0000-0000-0000EB420000}"/>
    <cellStyle name="Percent 3 2 2 2 2 2 3 3 3 2" xfId="19172" xr:uid="{00000000-0005-0000-0000-0000EC420000}"/>
    <cellStyle name="Percent 3 2 2 2 2 2 3 3 4" xfId="19173" xr:uid="{00000000-0005-0000-0000-0000ED420000}"/>
    <cellStyle name="Percent 3 2 2 2 2 2 3 4" xfId="8458" xr:uid="{00000000-0005-0000-0000-0000EE420000}"/>
    <cellStyle name="Percent 3 2 2 2 2 2 3 4 2" xfId="8459" xr:uid="{00000000-0005-0000-0000-0000EF420000}"/>
    <cellStyle name="Percent 3 2 2 2 2 2 3 4 2 2" xfId="19174" xr:uid="{00000000-0005-0000-0000-0000F0420000}"/>
    <cellStyle name="Percent 3 2 2 2 2 2 3 4 3" xfId="8460" xr:uid="{00000000-0005-0000-0000-0000F1420000}"/>
    <cellStyle name="Percent 3 2 2 2 2 2 3 4 3 2" xfId="19175" xr:uid="{00000000-0005-0000-0000-0000F2420000}"/>
    <cellStyle name="Percent 3 2 2 2 2 2 3 4 4" xfId="19176" xr:uid="{00000000-0005-0000-0000-0000F3420000}"/>
    <cellStyle name="Percent 3 2 2 2 2 2 3 5" xfId="8461" xr:uid="{00000000-0005-0000-0000-0000F4420000}"/>
    <cellStyle name="Percent 3 2 2 2 2 2 3 5 2" xfId="19177" xr:uid="{00000000-0005-0000-0000-0000F5420000}"/>
    <cellStyle name="Percent 3 2 2 2 2 2 3 6" xfId="8462" xr:uid="{00000000-0005-0000-0000-0000F6420000}"/>
    <cellStyle name="Percent 3 2 2 2 2 2 3 6 2" xfId="19178" xr:uid="{00000000-0005-0000-0000-0000F7420000}"/>
    <cellStyle name="Percent 3 2 2 2 2 2 3 7" xfId="19179" xr:uid="{00000000-0005-0000-0000-0000F8420000}"/>
    <cellStyle name="Percent 3 2 2 2 2 2 4" xfId="8463" xr:uid="{00000000-0005-0000-0000-0000F9420000}"/>
    <cellStyle name="Percent 3 2 2 2 2 2 4 2" xfId="8464" xr:uid="{00000000-0005-0000-0000-0000FA420000}"/>
    <cellStyle name="Percent 3 2 2 2 2 2 4 2 2" xfId="8465" xr:uid="{00000000-0005-0000-0000-0000FB420000}"/>
    <cellStyle name="Percent 3 2 2 2 2 2 4 2 2 2" xfId="19180" xr:uid="{00000000-0005-0000-0000-0000FC420000}"/>
    <cellStyle name="Percent 3 2 2 2 2 2 4 2 3" xfId="8466" xr:uid="{00000000-0005-0000-0000-0000FD420000}"/>
    <cellStyle name="Percent 3 2 2 2 2 2 4 2 3 2" xfId="19181" xr:uid="{00000000-0005-0000-0000-0000FE420000}"/>
    <cellStyle name="Percent 3 2 2 2 2 2 4 2 4" xfId="19182" xr:uid="{00000000-0005-0000-0000-0000FF420000}"/>
    <cellStyle name="Percent 3 2 2 2 2 2 4 3" xfId="8467" xr:uid="{00000000-0005-0000-0000-000000430000}"/>
    <cellStyle name="Percent 3 2 2 2 2 2 4 3 2" xfId="8468" xr:uid="{00000000-0005-0000-0000-000001430000}"/>
    <cellStyle name="Percent 3 2 2 2 2 2 4 3 2 2" xfId="19183" xr:uid="{00000000-0005-0000-0000-000002430000}"/>
    <cellStyle name="Percent 3 2 2 2 2 2 4 3 3" xfId="8469" xr:uid="{00000000-0005-0000-0000-000003430000}"/>
    <cellStyle name="Percent 3 2 2 2 2 2 4 3 3 2" xfId="19184" xr:uid="{00000000-0005-0000-0000-000004430000}"/>
    <cellStyle name="Percent 3 2 2 2 2 2 4 3 4" xfId="19185" xr:uid="{00000000-0005-0000-0000-000005430000}"/>
    <cellStyle name="Percent 3 2 2 2 2 2 4 4" xfId="8470" xr:uid="{00000000-0005-0000-0000-000006430000}"/>
    <cellStyle name="Percent 3 2 2 2 2 2 4 4 2" xfId="19186" xr:uid="{00000000-0005-0000-0000-000007430000}"/>
    <cellStyle name="Percent 3 2 2 2 2 2 4 5" xfId="8471" xr:uid="{00000000-0005-0000-0000-000008430000}"/>
    <cellStyle name="Percent 3 2 2 2 2 2 4 5 2" xfId="19187" xr:uid="{00000000-0005-0000-0000-000009430000}"/>
    <cellStyle name="Percent 3 2 2 2 2 2 4 6" xfId="19188" xr:uid="{00000000-0005-0000-0000-00000A430000}"/>
    <cellStyle name="Percent 3 2 2 2 2 2 5" xfId="8472" xr:uid="{00000000-0005-0000-0000-00000B430000}"/>
    <cellStyle name="Percent 3 2 2 2 2 2 5 2" xfId="8473" xr:uid="{00000000-0005-0000-0000-00000C430000}"/>
    <cellStyle name="Percent 3 2 2 2 2 2 5 2 2" xfId="8474" xr:uid="{00000000-0005-0000-0000-00000D430000}"/>
    <cellStyle name="Percent 3 2 2 2 2 2 5 2 2 2" xfId="19189" xr:uid="{00000000-0005-0000-0000-00000E430000}"/>
    <cellStyle name="Percent 3 2 2 2 2 2 5 2 3" xfId="8475" xr:uid="{00000000-0005-0000-0000-00000F430000}"/>
    <cellStyle name="Percent 3 2 2 2 2 2 5 2 3 2" xfId="19190" xr:uid="{00000000-0005-0000-0000-000010430000}"/>
    <cellStyle name="Percent 3 2 2 2 2 2 5 2 4" xfId="19191" xr:uid="{00000000-0005-0000-0000-000011430000}"/>
    <cellStyle name="Percent 3 2 2 2 2 2 5 3" xfId="8476" xr:uid="{00000000-0005-0000-0000-000012430000}"/>
    <cellStyle name="Percent 3 2 2 2 2 2 5 3 2" xfId="8477" xr:uid="{00000000-0005-0000-0000-000013430000}"/>
    <cellStyle name="Percent 3 2 2 2 2 2 5 3 2 2" xfId="19192" xr:uid="{00000000-0005-0000-0000-000014430000}"/>
    <cellStyle name="Percent 3 2 2 2 2 2 5 3 3" xfId="8478" xr:uid="{00000000-0005-0000-0000-000015430000}"/>
    <cellStyle name="Percent 3 2 2 2 2 2 5 3 3 2" xfId="19193" xr:uid="{00000000-0005-0000-0000-000016430000}"/>
    <cellStyle name="Percent 3 2 2 2 2 2 5 3 4" xfId="19194" xr:uid="{00000000-0005-0000-0000-000017430000}"/>
    <cellStyle name="Percent 3 2 2 2 2 2 5 4" xfId="8479" xr:uid="{00000000-0005-0000-0000-000018430000}"/>
    <cellStyle name="Percent 3 2 2 2 2 2 5 4 2" xfId="19195" xr:uid="{00000000-0005-0000-0000-000019430000}"/>
    <cellStyle name="Percent 3 2 2 2 2 2 5 5" xfId="8480" xr:uid="{00000000-0005-0000-0000-00001A430000}"/>
    <cellStyle name="Percent 3 2 2 2 2 2 5 5 2" xfId="19196" xr:uid="{00000000-0005-0000-0000-00001B430000}"/>
    <cellStyle name="Percent 3 2 2 2 2 2 5 6" xfId="19197" xr:uid="{00000000-0005-0000-0000-00001C430000}"/>
    <cellStyle name="Percent 3 2 2 2 2 2 6" xfId="8481" xr:uid="{00000000-0005-0000-0000-00001D430000}"/>
    <cellStyle name="Percent 3 2 2 2 2 2 6 2" xfId="8482" xr:uid="{00000000-0005-0000-0000-00001E430000}"/>
    <cellStyle name="Percent 3 2 2 2 2 2 6 2 2" xfId="19198" xr:uid="{00000000-0005-0000-0000-00001F430000}"/>
    <cellStyle name="Percent 3 2 2 2 2 2 6 3" xfId="8483" xr:uid="{00000000-0005-0000-0000-000020430000}"/>
    <cellStyle name="Percent 3 2 2 2 2 2 6 3 2" xfId="19199" xr:uid="{00000000-0005-0000-0000-000021430000}"/>
    <cellStyle name="Percent 3 2 2 2 2 2 6 4" xfId="19200" xr:uid="{00000000-0005-0000-0000-000022430000}"/>
    <cellStyle name="Percent 3 2 2 2 2 2 7" xfId="8484" xr:uid="{00000000-0005-0000-0000-000023430000}"/>
    <cellStyle name="Percent 3 2 2 2 2 2 7 2" xfId="8485" xr:uid="{00000000-0005-0000-0000-000024430000}"/>
    <cellStyle name="Percent 3 2 2 2 2 2 7 2 2" xfId="19201" xr:uid="{00000000-0005-0000-0000-000025430000}"/>
    <cellStyle name="Percent 3 2 2 2 2 2 7 3" xfId="8486" xr:uid="{00000000-0005-0000-0000-000026430000}"/>
    <cellStyle name="Percent 3 2 2 2 2 2 7 3 2" xfId="19202" xr:uid="{00000000-0005-0000-0000-000027430000}"/>
    <cellStyle name="Percent 3 2 2 2 2 2 7 4" xfId="19203" xr:uid="{00000000-0005-0000-0000-000028430000}"/>
    <cellStyle name="Percent 3 2 2 2 2 2 8" xfId="8487" xr:uid="{00000000-0005-0000-0000-000029430000}"/>
    <cellStyle name="Percent 3 2 2 2 2 2 8 2" xfId="19204" xr:uid="{00000000-0005-0000-0000-00002A430000}"/>
    <cellStyle name="Percent 3 2 2 2 2 2 9" xfId="8488" xr:uid="{00000000-0005-0000-0000-00002B430000}"/>
    <cellStyle name="Percent 3 2 2 2 2 2 9 2" xfId="19205" xr:uid="{00000000-0005-0000-0000-00002C430000}"/>
    <cellStyle name="Percent 3 2 2 2 2 3" xfId="8489" xr:uid="{00000000-0005-0000-0000-00002D430000}"/>
    <cellStyle name="Percent 3 2 2 2 2 3 2" xfId="8490" xr:uid="{00000000-0005-0000-0000-00002E430000}"/>
    <cellStyle name="Percent 3 2 2 2 2 3 2 2" xfId="8491" xr:uid="{00000000-0005-0000-0000-00002F430000}"/>
    <cellStyle name="Percent 3 2 2 2 2 3 2 2 2" xfId="8492" xr:uid="{00000000-0005-0000-0000-000030430000}"/>
    <cellStyle name="Percent 3 2 2 2 2 3 2 2 2 2" xfId="19206" xr:uid="{00000000-0005-0000-0000-000031430000}"/>
    <cellStyle name="Percent 3 2 2 2 2 3 2 2 3" xfId="8493" xr:uid="{00000000-0005-0000-0000-000032430000}"/>
    <cellStyle name="Percent 3 2 2 2 2 3 2 2 3 2" xfId="19207" xr:uid="{00000000-0005-0000-0000-000033430000}"/>
    <cellStyle name="Percent 3 2 2 2 2 3 2 2 4" xfId="19208" xr:uid="{00000000-0005-0000-0000-000034430000}"/>
    <cellStyle name="Percent 3 2 2 2 2 3 2 3" xfId="8494" xr:uid="{00000000-0005-0000-0000-000035430000}"/>
    <cellStyle name="Percent 3 2 2 2 2 3 2 3 2" xfId="8495" xr:uid="{00000000-0005-0000-0000-000036430000}"/>
    <cellStyle name="Percent 3 2 2 2 2 3 2 3 2 2" xfId="19209" xr:uid="{00000000-0005-0000-0000-000037430000}"/>
    <cellStyle name="Percent 3 2 2 2 2 3 2 3 3" xfId="8496" xr:uid="{00000000-0005-0000-0000-000038430000}"/>
    <cellStyle name="Percent 3 2 2 2 2 3 2 3 3 2" xfId="19210" xr:uid="{00000000-0005-0000-0000-000039430000}"/>
    <cellStyle name="Percent 3 2 2 2 2 3 2 3 4" xfId="19211" xr:uid="{00000000-0005-0000-0000-00003A430000}"/>
    <cellStyle name="Percent 3 2 2 2 2 3 2 4" xfId="8497" xr:uid="{00000000-0005-0000-0000-00003B430000}"/>
    <cellStyle name="Percent 3 2 2 2 2 3 2 4 2" xfId="19212" xr:uid="{00000000-0005-0000-0000-00003C430000}"/>
    <cellStyle name="Percent 3 2 2 2 2 3 2 5" xfId="8498" xr:uid="{00000000-0005-0000-0000-00003D430000}"/>
    <cellStyle name="Percent 3 2 2 2 2 3 2 5 2" xfId="19213" xr:uid="{00000000-0005-0000-0000-00003E430000}"/>
    <cellStyle name="Percent 3 2 2 2 2 3 2 6" xfId="19214" xr:uid="{00000000-0005-0000-0000-00003F430000}"/>
    <cellStyle name="Percent 3 2 2 2 2 3 3" xfId="8499" xr:uid="{00000000-0005-0000-0000-000040430000}"/>
    <cellStyle name="Percent 3 2 2 2 2 3 3 2" xfId="8500" xr:uid="{00000000-0005-0000-0000-000041430000}"/>
    <cellStyle name="Percent 3 2 2 2 2 3 3 2 2" xfId="8501" xr:uid="{00000000-0005-0000-0000-000042430000}"/>
    <cellStyle name="Percent 3 2 2 2 2 3 3 2 2 2" xfId="19215" xr:uid="{00000000-0005-0000-0000-000043430000}"/>
    <cellStyle name="Percent 3 2 2 2 2 3 3 2 3" xfId="8502" xr:uid="{00000000-0005-0000-0000-000044430000}"/>
    <cellStyle name="Percent 3 2 2 2 2 3 3 2 3 2" xfId="19216" xr:uid="{00000000-0005-0000-0000-000045430000}"/>
    <cellStyle name="Percent 3 2 2 2 2 3 3 2 4" xfId="19217" xr:uid="{00000000-0005-0000-0000-000046430000}"/>
    <cellStyle name="Percent 3 2 2 2 2 3 3 3" xfId="8503" xr:uid="{00000000-0005-0000-0000-000047430000}"/>
    <cellStyle name="Percent 3 2 2 2 2 3 3 3 2" xfId="8504" xr:uid="{00000000-0005-0000-0000-000048430000}"/>
    <cellStyle name="Percent 3 2 2 2 2 3 3 3 2 2" xfId="19218" xr:uid="{00000000-0005-0000-0000-000049430000}"/>
    <cellStyle name="Percent 3 2 2 2 2 3 3 3 3" xfId="8505" xr:uid="{00000000-0005-0000-0000-00004A430000}"/>
    <cellStyle name="Percent 3 2 2 2 2 3 3 3 3 2" xfId="19219" xr:uid="{00000000-0005-0000-0000-00004B430000}"/>
    <cellStyle name="Percent 3 2 2 2 2 3 3 3 4" xfId="19220" xr:uid="{00000000-0005-0000-0000-00004C430000}"/>
    <cellStyle name="Percent 3 2 2 2 2 3 3 4" xfId="8506" xr:uid="{00000000-0005-0000-0000-00004D430000}"/>
    <cellStyle name="Percent 3 2 2 2 2 3 3 4 2" xfId="19221" xr:uid="{00000000-0005-0000-0000-00004E430000}"/>
    <cellStyle name="Percent 3 2 2 2 2 3 3 5" xfId="8507" xr:uid="{00000000-0005-0000-0000-00004F430000}"/>
    <cellStyle name="Percent 3 2 2 2 2 3 3 5 2" xfId="19222" xr:uid="{00000000-0005-0000-0000-000050430000}"/>
    <cellStyle name="Percent 3 2 2 2 2 3 3 6" xfId="19223" xr:uid="{00000000-0005-0000-0000-000051430000}"/>
    <cellStyle name="Percent 3 2 2 2 2 3 4" xfId="8508" xr:uid="{00000000-0005-0000-0000-000052430000}"/>
    <cellStyle name="Percent 3 2 2 2 2 3 4 2" xfId="8509" xr:uid="{00000000-0005-0000-0000-000053430000}"/>
    <cellStyle name="Percent 3 2 2 2 2 3 4 2 2" xfId="19224" xr:uid="{00000000-0005-0000-0000-000054430000}"/>
    <cellStyle name="Percent 3 2 2 2 2 3 4 3" xfId="8510" xr:uid="{00000000-0005-0000-0000-000055430000}"/>
    <cellStyle name="Percent 3 2 2 2 2 3 4 3 2" xfId="19225" xr:uid="{00000000-0005-0000-0000-000056430000}"/>
    <cellStyle name="Percent 3 2 2 2 2 3 4 4" xfId="19226" xr:uid="{00000000-0005-0000-0000-000057430000}"/>
    <cellStyle name="Percent 3 2 2 2 2 3 5" xfId="8511" xr:uid="{00000000-0005-0000-0000-000058430000}"/>
    <cellStyle name="Percent 3 2 2 2 2 3 5 2" xfId="8512" xr:uid="{00000000-0005-0000-0000-000059430000}"/>
    <cellStyle name="Percent 3 2 2 2 2 3 5 2 2" xfId="19227" xr:uid="{00000000-0005-0000-0000-00005A430000}"/>
    <cellStyle name="Percent 3 2 2 2 2 3 5 3" xfId="8513" xr:uid="{00000000-0005-0000-0000-00005B430000}"/>
    <cellStyle name="Percent 3 2 2 2 2 3 5 3 2" xfId="19228" xr:uid="{00000000-0005-0000-0000-00005C430000}"/>
    <cellStyle name="Percent 3 2 2 2 2 3 5 4" xfId="19229" xr:uid="{00000000-0005-0000-0000-00005D430000}"/>
    <cellStyle name="Percent 3 2 2 2 2 3 6" xfId="8514" xr:uid="{00000000-0005-0000-0000-00005E430000}"/>
    <cellStyle name="Percent 3 2 2 2 2 3 6 2" xfId="19230" xr:uid="{00000000-0005-0000-0000-00005F430000}"/>
    <cellStyle name="Percent 3 2 2 2 2 3 7" xfId="8515" xr:uid="{00000000-0005-0000-0000-000060430000}"/>
    <cellStyle name="Percent 3 2 2 2 2 3 7 2" xfId="19231" xr:uid="{00000000-0005-0000-0000-000061430000}"/>
    <cellStyle name="Percent 3 2 2 2 2 3 8" xfId="19232" xr:uid="{00000000-0005-0000-0000-000062430000}"/>
    <cellStyle name="Percent 3 2 2 2 2 4" xfId="8516" xr:uid="{00000000-0005-0000-0000-000063430000}"/>
    <cellStyle name="Percent 3 2 2 2 2 4 2" xfId="8517" xr:uid="{00000000-0005-0000-0000-000064430000}"/>
    <cellStyle name="Percent 3 2 2 2 2 4 2 2" xfId="8518" xr:uid="{00000000-0005-0000-0000-000065430000}"/>
    <cellStyle name="Percent 3 2 2 2 2 4 2 2 2" xfId="8519" xr:uid="{00000000-0005-0000-0000-000066430000}"/>
    <cellStyle name="Percent 3 2 2 2 2 4 2 2 2 2" xfId="19233" xr:uid="{00000000-0005-0000-0000-000067430000}"/>
    <cellStyle name="Percent 3 2 2 2 2 4 2 2 3" xfId="8520" xr:uid="{00000000-0005-0000-0000-000068430000}"/>
    <cellStyle name="Percent 3 2 2 2 2 4 2 2 3 2" xfId="19234" xr:uid="{00000000-0005-0000-0000-000069430000}"/>
    <cellStyle name="Percent 3 2 2 2 2 4 2 2 4" xfId="19235" xr:uid="{00000000-0005-0000-0000-00006A430000}"/>
    <cellStyle name="Percent 3 2 2 2 2 4 2 3" xfId="8521" xr:uid="{00000000-0005-0000-0000-00006B430000}"/>
    <cellStyle name="Percent 3 2 2 2 2 4 2 3 2" xfId="8522" xr:uid="{00000000-0005-0000-0000-00006C430000}"/>
    <cellStyle name="Percent 3 2 2 2 2 4 2 3 2 2" xfId="19236" xr:uid="{00000000-0005-0000-0000-00006D430000}"/>
    <cellStyle name="Percent 3 2 2 2 2 4 2 3 3" xfId="8523" xr:uid="{00000000-0005-0000-0000-00006E430000}"/>
    <cellStyle name="Percent 3 2 2 2 2 4 2 3 3 2" xfId="19237" xr:uid="{00000000-0005-0000-0000-00006F430000}"/>
    <cellStyle name="Percent 3 2 2 2 2 4 2 3 4" xfId="19238" xr:uid="{00000000-0005-0000-0000-000070430000}"/>
    <cellStyle name="Percent 3 2 2 2 2 4 2 4" xfId="8524" xr:uid="{00000000-0005-0000-0000-000071430000}"/>
    <cellStyle name="Percent 3 2 2 2 2 4 2 4 2" xfId="19239" xr:uid="{00000000-0005-0000-0000-000072430000}"/>
    <cellStyle name="Percent 3 2 2 2 2 4 2 5" xfId="8525" xr:uid="{00000000-0005-0000-0000-000073430000}"/>
    <cellStyle name="Percent 3 2 2 2 2 4 2 5 2" xfId="19240" xr:uid="{00000000-0005-0000-0000-000074430000}"/>
    <cellStyle name="Percent 3 2 2 2 2 4 2 6" xfId="19241" xr:uid="{00000000-0005-0000-0000-000075430000}"/>
    <cellStyle name="Percent 3 2 2 2 2 4 3" xfId="8526" xr:uid="{00000000-0005-0000-0000-000076430000}"/>
    <cellStyle name="Percent 3 2 2 2 2 4 3 2" xfId="8527" xr:uid="{00000000-0005-0000-0000-000077430000}"/>
    <cellStyle name="Percent 3 2 2 2 2 4 3 2 2" xfId="19242" xr:uid="{00000000-0005-0000-0000-000078430000}"/>
    <cellStyle name="Percent 3 2 2 2 2 4 3 3" xfId="8528" xr:uid="{00000000-0005-0000-0000-000079430000}"/>
    <cellStyle name="Percent 3 2 2 2 2 4 3 3 2" xfId="19243" xr:uid="{00000000-0005-0000-0000-00007A430000}"/>
    <cellStyle name="Percent 3 2 2 2 2 4 3 4" xfId="19244" xr:uid="{00000000-0005-0000-0000-00007B430000}"/>
    <cellStyle name="Percent 3 2 2 2 2 4 4" xfId="8529" xr:uid="{00000000-0005-0000-0000-00007C430000}"/>
    <cellStyle name="Percent 3 2 2 2 2 4 4 2" xfId="8530" xr:uid="{00000000-0005-0000-0000-00007D430000}"/>
    <cellStyle name="Percent 3 2 2 2 2 4 4 2 2" xfId="19245" xr:uid="{00000000-0005-0000-0000-00007E430000}"/>
    <cellStyle name="Percent 3 2 2 2 2 4 4 3" xfId="8531" xr:uid="{00000000-0005-0000-0000-00007F430000}"/>
    <cellStyle name="Percent 3 2 2 2 2 4 4 3 2" xfId="19246" xr:uid="{00000000-0005-0000-0000-000080430000}"/>
    <cellStyle name="Percent 3 2 2 2 2 4 4 4" xfId="19247" xr:uid="{00000000-0005-0000-0000-000081430000}"/>
    <cellStyle name="Percent 3 2 2 2 2 4 5" xfId="8532" xr:uid="{00000000-0005-0000-0000-000082430000}"/>
    <cellStyle name="Percent 3 2 2 2 2 4 5 2" xfId="19248" xr:uid="{00000000-0005-0000-0000-000083430000}"/>
    <cellStyle name="Percent 3 2 2 2 2 4 6" xfId="8533" xr:uid="{00000000-0005-0000-0000-000084430000}"/>
    <cellStyle name="Percent 3 2 2 2 2 4 6 2" xfId="19249" xr:uid="{00000000-0005-0000-0000-000085430000}"/>
    <cellStyle name="Percent 3 2 2 2 2 4 7" xfId="19250" xr:uid="{00000000-0005-0000-0000-000086430000}"/>
    <cellStyle name="Percent 3 2 2 2 2 5" xfId="8534" xr:uid="{00000000-0005-0000-0000-000087430000}"/>
    <cellStyle name="Percent 3 2 2 2 2 5 2" xfId="8535" xr:uid="{00000000-0005-0000-0000-000088430000}"/>
    <cellStyle name="Percent 3 2 2 2 2 5 2 2" xfId="8536" xr:uid="{00000000-0005-0000-0000-000089430000}"/>
    <cellStyle name="Percent 3 2 2 2 2 5 2 2 2" xfId="19251" xr:uid="{00000000-0005-0000-0000-00008A430000}"/>
    <cellStyle name="Percent 3 2 2 2 2 5 2 3" xfId="8537" xr:uid="{00000000-0005-0000-0000-00008B430000}"/>
    <cellStyle name="Percent 3 2 2 2 2 5 2 3 2" xfId="19252" xr:uid="{00000000-0005-0000-0000-00008C430000}"/>
    <cellStyle name="Percent 3 2 2 2 2 5 2 4" xfId="19253" xr:uid="{00000000-0005-0000-0000-00008D430000}"/>
    <cellStyle name="Percent 3 2 2 2 2 5 3" xfId="8538" xr:uid="{00000000-0005-0000-0000-00008E430000}"/>
    <cellStyle name="Percent 3 2 2 2 2 5 3 2" xfId="8539" xr:uid="{00000000-0005-0000-0000-00008F430000}"/>
    <cellStyle name="Percent 3 2 2 2 2 5 3 2 2" xfId="19254" xr:uid="{00000000-0005-0000-0000-000090430000}"/>
    <cellStyle name="Percent 3 2 2 2 2 5 3 3" xfId="8540" xr:uid="{00000000-0005-0000-0000-000091430000}"/>
    <cellStyle name="Percent 3 2 2 2 2 5 3 3 2" xfId="19255" xr:uid="{00000000-0005-0000-0000-000092430000}"/>
    <cellStyle name="Percent 3 2 2 2 2 5 3 4" xfId="19256" xr:uid="{00000000-0005-0000-0000-000093430000}"/>
    <cellStyle name="Percent 3 2 2 2 2 5 4" xfId="8541" xr:uid="{00000000-0005-0000-0000-000094430000}"/>
    <cellStyle name="Percent 3 2 2 2 2 5 4 2" xfId="19257" xr:uid="{00000000-0005-0000-0000-000095430000}"/>
    <cellStyle name="Percent 3 2 2 2 2 5 5" xfId="8542" xr:uid="{00000000-0005-0000-0000-000096430000}"/>
    <cellStyle name="Percent 3 2 2 2 2 5 5 2" xfId="19258" xr:uid="{00000000-0005-0000-0000-000097430000}"/>
    <cellStyle name="Percent 3 2 2 2 2 5 6" xfId="19259" xr:uid="{00000000-0005-0000-0000-000098430000}"/>
    <cellStyle name="Percent 3 2 2 2 2 6" xfId="8543" xr:uid="{00000000-0005-0000-0000-000099430000}"/>
    <cellStyle name="Percent 3 2 2 2 2 6 2" xfId="8544" xr:uid="{00000000-0005-0000-0000-00009A430000}"/>
    <cellStyle name="Percent 3 2 2 2 2 6 2 2" xfId="8545" xr:uid="{00000000-0005-0000-0000-00009B430000}"/>
    <cellStyle name="Percent 3 2 2 2 2 6 2 2 2" xfId="19260" xr:uid="{00000000-0005-0000-0000-00009C430000}"/>
    <cellStyle name="Percent 3 2 2 2 2 6 2 3" xfId="8546" xr:uid="{00000000-0005-0000-0000-00009D430000}"/>
    <cellStyle name="Percent 3 2 2 2 2 6 2 3 2" xfId="19261" xr:uid="{00000000-0005-0000-0000-00009E430000}"/>
    <cellStyle name="Percent 3 2 2 2 2 6 2 4" xfId="19262" xr:uid="{00000000-0005-0000-0000-00009F430000}"/>
    <cellStyle name="Percent 3 2 2 2 2 6 3" xfId="8547" xr:uid="{00000000-0005-0000-0000-0000A0430000}"/>
    <cellStyle name="Percent 3 2 2 2 2 6 3 2" xfId="8548" xr:uid="{00000000-0005-0000-0000-0000A1430000}"/>
    <cellStyle name="Percent 3 2 2 2 2 6 3 2 2" xfId="19263" xr:uid="{00000000-0005-0000-0000-0000A2430000}"/>
    <cellStyle name="Percent 3 2 2 2 2 6 3 3" xfId="8549" xr:uid="{00000000-0005-0000-0000-0000A3430000}"/>
    <cellStyle name="Percent 3 2 2 2 2 6 3 3 2" xfId="19264" xr:uid="{00000000-0005-0000-0000-0000A4430000}"/>
    <cellStyle name="Percent 3 2 2 2 2 6 3 4" xfId="19265" xr:uid="{00000000-0005-0000-0000-0000A5430000}"/>
    <cellStyle name="Percent 3 2 2 2 2 6 4" xfId="8550" xr:uid="{00000000-0005-0000-0000-0000A6430000}"/>
    <cellStyle name="Percent 3 2 2 2 2 6 4 2" xfId="19266" xr:uid="{00000000-0005-0000-0000-0000A7430000}"/>
    <cellStyle name="Percent 3 2 2 2 2 6 5" xfId="8551" xr:uid="{00000000-0005-0000-0000-0000A8430000}"/>
    <cellStyle name="Percent 3 2 2 2 2 6 5 2" xfId="19267" xr:uid="{00000000-0005-0000-0000-0000A9430000}"/>
    <cellStyle name="Percent 3 2 2 2 2 6 6" xfId="19268" xr:uid="{00000000-0005-0000-0000-0000AA430000}"/>
    <cellStyle name="Percent 3 2 2 2 2 7" xfId="8552" xr:uid="{00000000-0005-0000-0000-0000AB430000}"/>
    <cellStyle name="Percent 3 2 2 2 2 7 2" xfId="8553" xr:uid="{00000000-0005-0000-0000-0000AC430000}"/>
    <cellStyle name="Percent 3 2 2 2 2 7 2 2" xfId="19269" xr:uid="{00000000-0005-0000-0000-0000AD430000}"/>
    <cellStyle name="Percent 3 2 2 2 2 7 3" xfId="8554" xr:uid="{00000000-0005-0000-0000-0000AE430000}"/>
    <cellStyle name="Percent 3 2 2 2 2 7 3 2" xfId="19270" xr:uid="{00000000-0005-0000-0000-0000AF430000}"/>
    <cellStyle name="Percent 3 2 2 2 2 7 4" xfId="19271" xr:uid="{00000000-0005-0000-0000-0000B0430000}"/>
    <cellStyle name="Percent 3 2 2 2 2 8" xfId="8555" xr:uid="{00000000-0005-0000-0000-0000B1430000}"/>
    <cellStyle name="Percent 3 2 2 2 2 8 2" xfId="8556" xr:uid="{00000000-0005-0000-0000-0000B2430000}"/>
    <cellStyle name="Percent 3 2 2 2 2 8 2 2" xfId="19272" xr:uid="{00000000-0005-0000-0000-0000B3430000}"/>
    <cellStyle name="Percent 3 2 2 2 2 8 3" xfId="8557" xr:uid="{00000000-0005-0000-0000-0000B4430000}"/>
    <cellStyle name="Percent 3 2 2 2 2 8 3 2" xfId="19273" xr:uid="{00000000-0005-0000-0000-0000B5430000}"/>
    <cellStyle name="Percent 3 2 2 2 2 8 4" xfId="19274" xr:uid="{00000000-0005-0000-0000-0000B6430000}"/>
    <cellStyle name="Percent 3 2 2 2 2 9" xfId="8558" xr:uid="{00000000-0005-0000-0000-0000B7430000}"/>
    <cellStyle name="Percent 3 2 2 2 2 9 2" xfId="19275" xr:uid="{00000000-0005-0000-0000-0000B8430000}"/>
    <cellStyle name="Percent 3 2 2 2 3" xfId="8559" xr:uid="{00000000-0005-0000-0000-0000B9430000}"/>
    <cellStyle name="Percent 3 2 2 2 3 10" xfId="19276" xr:uid="{00000000-0005-0000-0000-0000BA430000}"/>
    <cellStyle name="Percent 3 2 2 2 3 2" xfId="8560" xr:uid="{00000000-0005-0000-0000-0000BB430000}"/>
    <cellStyle name="Percent 3 2 2 2 3 2 2" xfId="8561" xr:uid="{00000000-0005-0000-0000-0000BC430000}"/>
    <cellStyle name="Percent 3 2 2 2 3 2 2 2" xfId="8562" xr:uid="{00000000-0005-0000-0000-0000BD430000}"/>
    <cellStyle name="Percent 3 2 2 2 3 2 2 2 2" xfId="8563" xr:uid="{00000000-0005-0000-0000-0000BE430000}"/>
    <cellStyle name="Percent 3 2 2 2 3 2 2 2 2 2" xfId="19277" xr:uid="{00000000-0005-0000-0000-0000BF430000}"/>
    <cellStyle name="Percent 3 2 2 2 3 2 2 2 3" xfId="8564" xr:uid="{00000000-0005-0000-0000-0000C0430000}"/>
    <cellStyle name="Percent 3 2 2 2 3 2 2 2 3 2" xfId="19278" xr:uid="{00000000-0005-0000-0000-0000C1430000}"/>
    <cellStyle name="Percent 3 2 2 2 3 2 2 2 4" xfId="19279" xr:uid="{00000000-0005-0000-0000-0000C2430000}"/>
    <cellStyle name="Percent 3 2 2 2 3 2 2 3" xfId="8565" xr:uid="{00000000-0005-0000-0000-0000C3430000}"/>
    <cellStyle name="Percent 3 2 2 2 3 2 2 3 2" xfId="8566" xr:uid="{00000000-0005-0000-0000-0000C4430000}"/>
    <cellStyle name="Percent 3 2 2 2 3 2 2 3 2 2" xfId="19280" xr:uid="{00000000-0005-0000-0000-0000C5430000}"/>
    <cellStyle name="Percent 3 2 2 2 3 2 2 3 3" xfId="8567" xr:uid="{00000000-0005-0000-0000-0000C6430000}"/>
    <cellStyle name="Percent 3 2 2 2 3 2 2 3 3 2" xfId="19281" xr:uid="{00000000-0005-0000-0000-0000C7430000}"/>
    <cellStyle name="Percent 3 2 2 2 3 2 2 3 4" xfId="19282" xr:uid="{00000000-0005-0000-0000-0000C8430000}"/>
    <cellStyle name="Percent 3 2 2 2 3 2 2 4" xfId="8568" xr:uid="{00000000-0005-0000-0000-0000C9430000}"/>
    <cellStyle name="Percent 3 2 2 2 3 2 2 4 2" xfId="19283" xr:uid="{00000000-0005-0000-0000-0000CA430000}"/>
    <cellStyle name="Percent 3 2 2 2 3 2 2 5" xfId="8569" xr:uid="{00000000-0005-0000-0000-0000CB430000}"/>
    <cellStyle name="Percent 3 2 2 2 3 2 2 5 2" xfId="19284" xr:uid="{00000000-0005-0000-0000-0000CC430000}"/>
    <cellStyle name="Percent 3 2 2 2 3 2 2 6" xfId="19285" xr:uid="{00000000-0005-0000-0000-0000CD430000}"/>
    <cellStyle name="Percent 3 2 2 2 3 2 3" xfId="8570" xr:uid="{00000000-0005-0000-0000-0000CE430000}"/>
    <cellStyle name="Percent 3 2 2 2 3 2 3 2" xfId="8571" xr:uid="{00000000-0005-0000-0000-0000CF430000}"/>
    <cellStyle name="Percent 3 2 2 2 3 2 3 2 2" xfId="8572" xr:uid="{00000000-0005-0000-0000-0000D0430000}"/>
    <cellStyle name="Percent 3 2 2 2 3 2 3 2 2 2" xfId="19286" xr:uid="{00000000-0005-0000-0000-0000D1430000}"/>
    <cellStyle name="Percent 3 2 2 2 3 2 3 2 3" xfId="8573" xr:uid="{00000000-0005-0000-0000-0000D2430000}"/>
    <cellStyle name="Percent 3 2 2 2 3 2 3 2 3 2" xfId="19287" xr:uid="{00000000-0005-0000-0000-0000D3430000}"/>
    <cellStyle name="Percent 3 2 2 2 3 2 3 2 4" xfId="19288" xr:uid="{00000000-0005-0000-0000-0000D4430000}"/>
    <cellStyle name="Percent 3 2 2 2 3 2 3 3" xfId="8574" xr:uid="{00000000-0005-0000-0000-0000D5430000}"/>
    <cellStyle name="Percent 3 2 2 2 3 2 3 3 2" xfId="8575" xr:uid="{00000000-0005-0000-0000-0000D6430000}"/>
    <cellStyle name="Percent 3 2 2 2 3 2 3 3 2 2" xfId="19289" xr:uid="{00000000-0005-0000-0000-0000D7430000}"/>
    <cellStyle name="Percent 3 2 2 2 3 2 3 3 3" xfId="8576" xr:uid="{00000000-0005-0000-0000-0000D8430000}"/>
    <cellStyle name="Percent 3 2 2 2 3 2 3 3 3 2" xfId="19290" xr:uid="{00000000-0005-0000-0000-0000D9430000}"/>
    <cellStyle name="Percent 3 2 2 2 3 2 3 3 4" xfId="19291" xr:uid="{00000000-0005-0000-0000-0000DA430000}"/>
    <cellStyle name="Percent 3 2 2 2 3 2 3 4" xfId="8577" xr:uid="{00000000-0005-0000-0000-0000DB430000}"/>
    <cellStyle name="Percent 3 2 2 2 3 2 3 4 2" xfId="19292" xr:uid="{00000000-0005-0000-0000-0000DC430000}"/>
    <cellStyle name="Percent 3 2 2 2 3 2 3 5" xfId="8578" xr:uid="{00000000-0005-0000-0000-0000DD430000}"/>
    <cellStyle name="Percent 3 2 2 2 3 2 3 5 2" xfId="19293" xr:uid="{00000000-0005-0000-0000-0000DE430000}"/>
    <cellStyle name="Percent 3 2 2 2 3 2 3 6" xfId="19294" xr:uid="{00000000-0005-0000-0000-0000DF430000}"/>
    <cellStyle name="Percent 3 2 2 2 3 2 4" xfId="8579" xr:uid="{00000000-0005-0000-0000-0000E0430000}"/>
    <cellStyle name="Percent 3 2 2 2 3 2 4 2" xfId="8580" xr:uid="{00000000-0005-0000-0000-0000E1430000}"/>
    <cellStyle name="Percent 3 2 2 2 3 2 4 2 2" xfId="19295" xr:uid="{00000000-0005-0000-0000-0000E2430000}"/>
    <cellStyle name="Percent 3 2 2 2 3 2 4 3" xfId="8581" xr:uid="{00000000-0005-0000-0000-0000E3430000}"/>
    <cellStyle name="Percent 3 2 2 2 3 2 4 3 2" xfId="19296" xr:uid="{00000000-0005-0000-0000-0000E4430000}"/>
    <cellStyle name="Percent 3 2 2 2 3 2 4 4" xfId="19297" xr:uid="{00000000-0005-0000-0000-0000E5430000}"/>
    <cellStyle name="Percent 3 2 2 2 3 2 5" xfId="8582" xr:uid="{00000000-0005-0000-0000-0000E6430000}"/>
    <cellStyle name="Percent 3 2 2 2 3 2 5 2" xfId="8583" xr:uid="{00000000-0005-0000-0000-0000E7430000}"/>
    <cellStyle name="Percent 3 2 2 2 3 2 5 2 2" xfId="19298" xr:uid="{00000000-0005-0000-0000-0000E8430000}"/>
    <cellStyle name="Percent 3 2 2 2 3 2 5 3" xfId="8584" xr:uid="{00000000-0005-0000-0000-0000E9430000}"/>
    <cellStyle name="Percent 3 2 2 2 3 2 5 3 2" xfId="19299" xr:uid="{00000000-0005-0000-0000-0000EA430000}"/>
    <cellStyle name="Percent 3 2 2 2 3 2 5 4" xfId="19300" xr:uid="{00000000-0005-0000-0000-0000EB430000}"/>
    <cellStyle name="Percent 3 2 2 2 3 2 6" xfId="8585" xr:uid="{00000000-0005-0000-0000-0000EC430000}"/>
    <cellStyle name="Percent 3 2 2 2 3 2 6 2" xfId="19301" xr:uid="{00000000-0005-0000-0000-0000ED430000}"/>
    <cellStyle name="Percent 3 2 2 2 3 2 7" xfId="8586" xr:uid="{00000000-0005-0000-0000-0000EE430000}"/>
    <cellStyle name="Percent 3 2 2 2 3 2 7 2" xfId="19302" xr:uid="{00000000-0005-0000-0000-0000EF430000}"/>
    <cellStyle name="Percent 3 2 2 2 3 2 8" xfId="19303" xr:uid="{00000000-0005-0000-0000-0000F0430000}"/>
    <cellStyle name="Percent 3 2 2 2 3 3" xfId="8587" xr:uid="{00000000-0005-0000-0000-0000F1430000}"/>
    <cellStyle name="Percent 3 2 2 2 3 3 2" xfId="8588" xr:uid="{00000000-0005-0000-0000-0000F2430000}"/>
    <cellStyle name="Percent 3 2 2 2 3 3 2 2" xfId="8589" xr:uid="{00000000-0005-0000-0000-0000F3430000}"/>
    <cellStyle name="Percent 3 2 2 2 3 3 2 2 2" xfId="8590" xr:uid="{00000000-0005-0000-0000-0000F4430000}"/>
    <cellStyle name="Percent 3 2 2 2 3 3 2 2 2 2" xfId="19304" xr:uid="{00000000-0005-0000-0000-0000F5430000}"/>
    <cellStyle name="Percent 3 2 2 2 3 3 2 2 3" xfId="8591" xr:uid="{00000000-0005-0000-0000-0000F6430000}"/>
    <cellStyle name="Percent 3 2 2 2 3 3 2 2 3 2" xfId="19305" xr:uid="{00000000-0005-0000-0000-0000F7430000}"/>
    <cellStyle name="Percent 3 2 2 2 3 3 2 2 4" xfId="19306" xr:uid="{00000000-0005-0000-0000-0000F8430000}"/>
    <cellStyle name="Percent 3 2 2 2 3 3 2 3" xfId="8592" xr:uid="{00000000-0005-0000-0000-0000F9430000}"/>
    <cellStyle name="Percent 3 2 2 2 3 3 2 3 2" xfId="8593" xr:uid="{00000000-0005-0000-0000-0000FA430000}"/>
    <cellStyle name="Percent 3 2 2 2 3 3 2 3 2 2" xfId="19307" xr:uid="{00000000-0005-0000-0000-0000FB430000}"/>
    <cellStyle name="Percent 3 2 2 2 3 3 2 3 3" xfId="8594" xr:uid="{00000000-0005-0000-0000-0000FC430000}"/>
    <cellStyle name="Percent 3 2 2 2 3 3 2 3 3 2" xfId="19308" xr:uid="{00000000-0005-0000-0000-0000FD430000}"/>
    <cellStyle name="Percent 3 2 2 2 3 3 2 3 4" xfId="19309" xr:uid="{00000000-0005-0000-0000-0000FE430000}"/>
    <cellStyle name="Percent 3 2 2 2 3 3 2 4" xfId="8595" xr:uid="{00000000-0005-0000-0000-0000FF430000}"/>
    <cellStyle name="Percent 3 2 2 2 3 3 2 4 2" xfId="19310" xr:uid="{00000000-0005-0000-0000-000000440000}"/>
    <cellStyle name="Percent 3 2 2 2 3 3 2 5" xfId="8596" xr:uid="{00000000-0005-0000-0000-000001440000}"/>
    <cellStyle name="Percent 3 2 2 2 3 3 2 5 2" xfId="19311" xr:uid="{00000000-0005-0000-0000-000002440000}"/>
    <cellStyle name="Percent 3 2 2 2 3 3 2 6" xfId="19312" xr:uid="{00000000-0005-0000-0000-000003440000}"/>
    <cellStyle name="Percent 3 2 2 2 3 3 3" xfId="8597" xr:uid="{00000000-0005-0000-0000-000004440000}"/>
    <cellStyle name="Percent 3 2 2 2 3 3 3 2" xfId="8598" xr:uid="{00000000-0005-0000-0000-000005440000}"/>
    <cellStyle name="Percent 3 2 2 2 3 3 3 2 2" xfId="19313" xr:uid="{00000000-0005-0000-0000-000006440000}"/>
    <cellStyle name="Percent 3 2 2 2 3 3 3 3" xfId="8599" xr:uid="{00000000-0005-0000-0000-000007440000}"/>
    <cellStyle name="Percent 3 2 2 2 3 3 3 3 2" xfId="19314" xr:uid="{00000000-0005-0000-0000-000008440000}"/>
    <cellStyle name="Percent 3 2 2 2 3 3 3 4" xfId="19315" xr:uid="{00000000-0005-0000-0000-000009440000}"/>
    <cellStyle name="Percent 3 2 2 2 3 3 4" xfId="8600" xr:uid="{00000000-0005-0000-0000-00000A440000}"/>
    <cellStyle name="Percent 3 2 2 2 3 3 4 2" xfId="8601" xr:uid="{00000000-0005-0000-0000-00000B440000}"/>
    <cellStyle name="Percent 3 2 2 2 3 3 4 2 2" xfId="19316" xr:uid="{00000000-0005-0000-0000-00000C440000}"/>
    <cellStyle name="Percent 3 2 2 2 3 3 4 3" xfId="8602" xr:uid="{00000000-0005-0000-0000-00000D440000}"/>
    <cellStyle name="Percent 3 2 2 2 3 3 4 3 2" xfId="19317" xr:uid="{00000000-0005-0000-0000-00000E440000}"/>
    <cellStyle name="Percent 3 2 2 2 3 3 4 4" xfId="19318" xr:uid="{00000000-0005-0000-0000-00000F440000}"/>
    <cellStyle name="Percent 3 2 2 2 3 3 5" xfId="8603" xr:uid="{00000000-0005-0000-0000-000010440000}"/>
    <cellStyle name="Percent 3 2 2 2 3 3 5 2" xfId="19319" xr:uid="{00000000-0005-0000-0000-000011440000}"/>
    <cellStyle name="Percent 3 2 2 2 3 3 6" xfId="8604" xr:uid="{00000000-0005-0000-0000-000012440000}"/>
    <cellStyle name="Percent 3 2 2 2 3 3 6 2" xfId="19320" xr:uid="{00000000-0005-0000-0000-000013440000}"/>
    <cellStyle name="Percent 3 2 2 2 3 3 7" xfId="19321" xr:uid="{00000000-0005-0000-0000-000014440000}"/>
    <cellStyle name="Percent 3 2 2 2 3 4" xfId="8605" xr:uid="{00000000-0005-0000-0000-000015440000}"/>
    <cellStyle name="Percent 3 2 2 2 3 4 2" xfId="8606" xr:uid="{00000000-0005-0000-0000-000016440000}"/>
    <cellStyle name="Percent 3 2 2 2 3 4 2 2" xfId="8607" xr:uid="{00000000-0005-0000-0000-000017440000}"/>
    <cellStyle name="Percent 3 2 2 2 3 4 2 2 2" xfId="19322" xr:uid="{00000000-0005-0000-0000-000018440000}"/>
    <cellStyle name="Percent 3 2 2 2 3 4 2 3" xfId="8608" xr:uid="{00000000-0005-0000-0000-000019440000}"/>
    <cellStyle name="Percent 3 2 2 2 3 4 2 3 2" xfId="19323" xr:uid="{00000000-0005-0000-0000-00001A440000}"/>
    <cellStyle name="Percent 3 2 2 2 3 4 2 4" xfId="19324" xr:uid="{00000000-0005-0000-0000-00001B440000}"/>
    <cellStyle name="Percent 3 2 2 2 3 4 3" xfId="8609" xr:uid="{00000000-0005-0000-0000-00001C440000}"/>
    <cellStyle name="Percent 3 2 2 2 3 4 3 2" xfId="8610" xr:uid="{00000000-0005-0000-0000-00001D440000}"/>
    <cellStyle name="Percent 3 2 2 2 3 4 3 2 2" xfId="19325" xr:uid="{00000000-0005-0000-0000-00001E440000}"/>
    <cellStyle name="Percent 3 2 2 2 3 4 3 3" xfId="8611" xr:uid="{00000000-0005-0000-0000-00001F440000}"/>
    <cellStyle name="Percent 3 2 2 2 3 4 3 3 2" xfId="19326" xr:uid="{00000000-0005-0000-0000-000020440000}"/>
    <cellStyle name="Percent 3 2 2 2 3 4 3 4" xfId="19327" xr:uid="{00000000-0005-0000-0000-000021440000}"/>
    <cellStyle name="Percent 3 2 2 2 3 4 4" xfId="8612" xr:uid="{00000000-0005-0000-0000-000022440000}"/>
    <cellStyle name="Percent 3 2 2 2 3 4 4 2" xfId="19328" xr:uid="{00000000-0005-0000-0000-000023440000}"/>
    <cellStyle name="Percent 3 2 2 2 3 4 5" xfId="8613" xr:uid="{00000000-0005-0000-0000-000024440000}"/>
    <cellStyle name="Percent 3 2 2 2 3 4 5 2" xfId="19329" xr:uid="{00000000-0005-0000-0000-000025440000}"/>
    <cellStyle name="Percent 3 2 2 2 3 4 6" xfId="19330" xr:uid="{00000000-0005-0000-0000-000026440000}"/>
    <cellStyle name="Percent 3 2 2 2 3 5" xfId="8614" xr:uid="{00000000-0005-0000-0000-000027440000}"/>
    <cellStyle name="Percent 3 2 2 2 3 5 2" xfId="8615" xr:uid="{00000000-0005-0000-0000-000028440000}"/>
    <cellStyle name="Percent 3 2 2 2 3 5 2 2" xfId="8616" xr:uid="{00000000-0005-0000-0000-000029440000}"/>
    <cellStyle name="Percent 3 2 2 2 3 5 2 2 2" xfId="19331" xr:uid="{00000000-0005-0000-0000-00002A440000}"/>
    <cellStyle name="Percent 3 2 2 2 3 5 2 3" xfId="8617" xr:uid="{00000000-0005-0000-0000-00002B440000}"/>
    <cellStyle name="Percent 3 2 2 2 3 5 2 3 2" xfId="19332" xr:uid="{00000000-0005-0000-0000-00002C440000}"/>
    <cellStyle name="Percent 3 2 2 2 3 5 2 4" xfId="19333" xr:uid="{00000000-0005-0000-0000-00002D440000}"/>
    <cellStyle name="Percent 3 2 2 2 3 5 3" xfId="8618" xr:uid="{00000000-0005-0000-0000-00002E440000}"/>
    <cellStyle name="Percent 3 2 2 2 3 5 3 2" xfId="8619" xr:uid="{00000000-0005-0000-0000-00002F440000}"/>
    <cellStyle name="Percent 3 2 2 2 3 5 3 2 2" xfId="19334" xr:uid="{00000000-0005-0000-0000-000030440000}"/>
    <cellStyle name="Percent 3 2 2 2 3 5 3 3" xfId="8620" xr:uid="{00000000-0005-0000-0000-000031440000}"/>
    <cellStyle name="Percent 3 2 2 2 3 5 3 3 2" xfId="19335" xr:uid="{00000000-0005-0000-0000-000032440000}"/>
    <cellStyle name="Percent 3 2 2 2 3 5 3 4" xfId="19336" xr:uid="{00000000-0005-0000-0000-000033440000}"/>
    <cellStyle name="Percent 3 2 2 2 3 5 4" xfId="8621" xr:uid="{00000000-0005-0000-0000-000034440000}"/>
    <cellStyle name="Percent 3 2 2 2 3 5 4 2" xfId="19337" xr:uid="{00000000-0005-0000-0000-000035440000}"/>
    <cellStyle name="Percent 3 2 2 2 3 5 5" xfId="8622" xr:uid="{00000000-0005-0000-0000-000036440000}"/>
    <cellStyle name="Percent 3 2 2 2 3 5 5 2" xfId="19338" xr:uid="{00000000-0005-0000-0000-000037440000}"/>
    <cellStyle name="Percent 3 2 2 2 3 5 6" xfId="19339" xr:uid="{00000000-0005-0000-0000-000038440000}"/>
    <cellStyle name="Percent 3 2 2 2 3 6" xfId="8623" xr:uid="{00000000-0005-0000-0000-000039440000}"/>
    <cellStyle name="Percent 3 2 2 2 3 6 2" xfId="8624" xr:uid="{00000000-0005-0000-0000-00003A440000}"/>
    <cellStyle name="Percent 3 2 2 2 3 6 2 2" xfId="19340" xr:uid="{00000000-0005-0000-0000-00003B440000}"/>
    <cellStyle name="Percent 3 2 2 2 3 6 3" xfId="8625" xr:uid="{00000000-0005-0000-0000-00003C440000}"/>
    <cellStyle name="Percent 3 2 2 2 3 6 3 2" xfId="19341" xr:uid="{00000000-0005-0000-0000-00003D440000}"/>
    <cellStyle name="Percent 3 2 2 2 3 6 4" xfId="19342" xr:uid="{00000000-0005-0000-0000-00003E440000}"/>
    <cellStyle name="Percent 3 2 2 2 3 7" xfId="8626" xr:uid="{00000000-0005-0000-0000-00003F440000}"/>
    <cellStyle name="Percent 3 2 2 2 3 7 2" xfId="8627" xr:uid="{00000000-0005-0000-0000-000040440000}"/>
    <cellStyle name="Percent 3 2 2 2 3 7 2 2" xfId="19343" xr:uid="{00000000-0005-0000-0000-000041440000}"/>
    <cellStyle name="Percent 3 2 2 2 3 7 3" xfId="8628" xr:uid="{00000000-0005-0000-0000-000042440000}"/>
    <cellStyle name="Percent 3 2 2 2 3 7 3 2" xfId="19344" xr:uid="{00000000-0005-0000-0000-000043440000}"/>
    <cellStyle name="Percent 3 2 2 2 3 7 4" xfId="19345" xr:uid="{00000000-0005-0000-0000-000044440000}"/>
    <cellStyle name="Percent 3 2 2 2 3 8" xfId="8629" xr:uid="{00000000-0005-0000-0000-000045440000}"/>
    <cellStyle name="Percent 3 2 2 2 3 8 2" xfId="19346" xr:uid="{00000000-0005-0000-0000-000046440000}"/>
    <cellStyle name="Percent 3 2 2 2 3 9" xfId="8630" xr:uid="{00000000-0005-0000-0000-000047440000}"/>
    <cellStyle name="Percent 3 2 2 2 3 9 2" xfId="19347" xr:uid="{00000000-0005-0000-0000-000048440000}"/>
    <cellStyle name="Percent 3 2 2 2 4" xfId="8631" xr:uid="{00000000-0005-0000-0000-000049440000}"/>
    <cellStyle name="Percent 3 2 2 2 4 2" xfId="8632" xr:uid="{00000000-0005-0000-0000-00004A440000}"/>
    <cellStyle name="Percent 3 2 2 2 4 2 2" xfId="8633" xr:uid="{00000000-0005-0000-0000-00004B440000}"/>
    <cellStyle name="Percent 3 2 2 2 4 2 2 2" xfId="8634" xr:uid="{00000000-0005-0000-0000-00004C440000}"/>
    <cellStyle name="Percent 3 2 2 2 4 2 2 2 2" xfId="19348" xr:uid="{00000000-0005-0000-0000-00004D440000}"/>
    <cellStyle name="Percent 3 2 2 2 4 2 2 3" xfId="8635" xr:uid="{00000000-0005-0000-0000-00004E440000}"/>
    <cellStyle name="Percent 3 2 2 2 4 2 2 3 2" xfId="19349" xr:uid="{00000000-0005-0000-0000-00004F440000}"/>
    <cellStyle name="Percent 3 2 2 2 4 2 2 4" xfId="19350" xr:uid="{00000000-0005-0000-0000-000050440000}"/>
    <cellStyle name="Percent 3 2 2 2 4 2 3" xfId="8636" xr:uid="{00000000-0005-0000-0000-000051440000}"/>
    <cellStyle name="Percent 3 2 2 2 4 2 3 2" xfId="8637" xr:uid="{00000000-0005-0000-0000-000052440000}"/>
    <cellStyle name="Percent 3 2 2 2 4 2 3 2 2" xfId="19351" xr:uid="{00000000-0005-0000-0000-000053440000}"/>
    <cellStyle name="Percent 3 2 2 2 4 2 3 3" xfId="8638" xr:uid="{00000000-0005-0000-0000-000054440000}"/>
    <cellStyle name="Percent 3 2 2 2 4 2 3 3 2" xfId="19352" xr:uid="{00000000-0005-0000-0000-000055440000}"/>
    <cellStyle name="Percent 3 2 2 2 4 2 3 4" xfId="19353" xr:uid="{00000000-0005-0000-0000-000056440000}"/>
    <cellStyle name="Percent 3 2 2 2 4 2 4" xfId="8639" xr:uid="{00000000-0005-0000-0000-000057440000}"/>
    <cellStyle name="Percent 3 2 2 2 4 2 4 2" xfId="19354" xr:uid="{00000000-0005-0000-0000-000058440000}"/>
    <cellStyle name="Percent 3 2 2 2 4 2 5" xfId="8640" xr:uid="{00000000-0005-0000-0000-000059440000}"/>
    <cellStyle name="Percent 3 2 2 2 4 2 5 2" xfId="19355" xr:uid="{00000000-0005-0000-0000-00005A440000}"/>
    <cellStyle name="Percent 3 2 2 2 4 2 6" xfId="19356" xr:uid="{00000000-0005-0000-0000-00005B440000}"/>
    <cellStyle name="Percent 3 2 2 2 4 3" xfId="8641" xr:uid="{00000000-0005-0000-0000-00005C440000}"/>
    <cellStyle name="Percent 3 2 2 2 4 3 2" xfId="8642" xr:uid="{00000000-0005-0000-0000-00005D440000}"/>
    <cellStyle name="Percent 3 2 2 2 4 3 2 2" xfId="8643" xr:uid="{00000000-0005-0000-0000-00005E440000}"/>
    <cellStyle name="Percent 3 2 2 2 4 3 2 2 2" xfId="19357" xr:uid="{00000000-0005-0000-0000-00005F440000}"/>
    <cellStyle name="Percent 3 2 2 2 4 3 2 3" xfId="8644" xr:uid="{00000000-0005-0000-0000-000060440000}"/>
    <cellStyle name="Percent 3 2 2 2 4 3 2 3 2" xfId="19358" xr:uid="{00000000-0005-0000-0000-000061440000}"/>
    <cellStyle name="Percent 3 2 2 2 4 3 2 4" xfId="19359" xr:uid="{00000000-0005-0000-0000-000062440000}"/>
    <cellStyle name="Percent 3 2 2 2 4 3 3" xfId="8645" xr:uid="{00000000-0005-0000-0000-000063440000}"/>
    <cellStyle name="Percent 3 2 2 2 4 3 3 2" xfId="8646" xr:uid="{00000000-0005-0000-0000-000064440000}"/>
    <cellStyle name="Percent 3 2 2 2 4 3 3 2 2" xfId="19360" xr:uid="{00000000-0005-0000-0000-000065440000}"/>
    <cellStyle name="Percent 3 2 2 2 4 3 3 3" xfId="8647" xr:uid="{00000000-0005-0000-0000-000066440000}"/>
    <cellStyle name="Percent 3 2 2 2 4 3 3 3 2" xfId="19361" xr:uid="{00000000-0005-0000-0000-000067440000}"/>
    <cellStyle name="Percent 3 2 2 2 4 3 3 4" xfId="19362" xr:uid="{00000000-0005-0000-0000-000068440000}"/>
    <cellStyle name="Percent 3 2 2 2 4 3 4" xfId="8648" xr:uid="{00000000-0005-0000-0000-000069440000}"/>
    <cellStyle name="Percent 3 2 2 2 4 3 4 2" xfId="19363" xr:uid="{00000000-0005-0000-0000-00006A440000}"/>
    <cellStyle name="Percent 3 2 2 2 4 3 5" xfId="8649" xr:uid="{00000000-0005-0000-0000-00006B440000}"/>
    <cellStyle name="Percent 3 2 2 2 4 3 5 2" xfId="19364" xr:uid="{00000000-0005-0000-0000-00006C440000}"/>
    <cellStyle name="Percent 3 2 2 2 4 3 6" xfId="19365" xr:uid="{00000000-0005-0000-0000-00006D440000}"/>
    <cellStyle name="Percent 3 2 2 2 4 4" xfId="8650" xr:uid="{00000000-0005-0000-0000-00006E440000}"/>
    <cellStyle name="Percent 3 2 2 2 4 4 2" xfId="8651" xr:uid="{00000000-0005-0000-0000-00006F440000}"/>
    <cellStyle name="Percent 3 2 2 2 4 4 2 2" xfId="19366" xr:uid="{00000000-0005-0000-0000-000070440000}"/>
    <cellStyle name="Percent 3 2 2 2 4 4 3" xfId="8652" xr:uid="{00000000-0005-0000-0000-000071440000}"/>
    <cellStyle name="Percent 3 2 2 2 4 4 3 2" xfId="19367" xr:uid="{00000000-0005-0000-0000-000072440000}"/>
    <cellStyle name="Percent 3 2 2 2 4 4 4" xfId="19368" xr:uid="{00000000-0005-0000-0000-000073440000}"/>
    <cellStyle name="Percent 3 2 2 2 4 5" xfId="8653" xr:uid="{00000000-0005-0000-0000-000074440000}"/>
    <cellStyle name="Percent 3 2 2 2 4 5 2" xfId="8654" xr:uid="{00000000-0005-0000-0000-000075440000}"/>
    <cellStyle name="Percent 3 2 2 2 4 5 2 2" xfId="19369" xr:uid="{00000000-0005-0000-0000-000076440000}"/>
    <cellStyle name="Percent 3 2 2 2 4 5 3" xfId="8655" xr:uid="{00000000-0005-0000-0000-000077440000}"/>
    <cellStyle name="Percent 3 2 2 2 4 5 3 2" xfId="19370" xr:uid="{00000000-0005-0000-0000-000078440000}"/>
    <cellStyle name="Percent 3 2 2 2 4 5 4" xfId="19371" xr:uid="{00000000-0005-0000-0000-000079440000}"/>
    <cellStyle name="Percent 3 2 2 2 4 6" xfId="8656" xr:uid="{00000000-0005-0000-0000-00007A440000}"/>
    <cellStyle name="Percent 3 2 2 2 4 6 2" xfId="19372" xr:uid="{00000000-0005-0000-0000-00007B440000}"/>
    <cellStyle name="Percent 3 2 2 2 4 7" xfId="8657" xr:uid="{00000000-0005-0000-0000-00007C440000}"/>
    <cellStyle name="Percent 3 2 2 2 4 7 2" xfId="19373" xr:uid="{00000000-0005-0000-0000-00007D440000}"/>
    <cellStyle name="Percent 3 2 2 2 4 8" xfId="19374" xr:uid="{00000000-0005-0000-0000-00007E440000}"/>
    <cellStyle name="Percent 3 2 2 2 5" xfId="8658" xr:uid="{00000000-0005-0000-0000-00007F440000}"/>
    <cellStyle name="Percent 3 2 2 2 5 2" xfId="8659" xr:uid="{00000000-0005-0000-0000-000080440000}"/>
    <cellStyle name="Percent 3 2 2 2 5 2 2" xfId="8660" xr:uid="{00000000-0005-0000-0000-000081440000}"/>
    <cellStyle name="Percent 3 2 2 2 5 2 2 2" xfId="8661" xr:uid="{00000000-0005-0000-0000-000082440000}"/>
    <cellStyle name="Percent 3 2 2 2 5 2 2 2 2" xfId="19375" xr:uid="{00000000-0005-0000-0000-000083440000}"/>
    <cellStyle name="Percent 3 2 2 2 5 2 2 3" xfId="8662" xr:uid="{00000000-0005-0000-0000-000084440000}"/>
    <cellStyle name="Percent 3 2 2 2 5 2 2 3 2" xfId="19376" xr:uid="{00000000-0005-0000-0000-000085440000}"/>
    <cellStyle name="Percent 3 2 2 2 5 2 2 4" xfId="19377" xr:uid="{00000000-0005-0000-0000-000086440000}"/>
    <cellStyle name="Percent 3 2 2 2 5 2 3" xfId="8663" xr:uid="{00000000-0005-0000-0000-000087440000}"/>
    <cellStyle name="Percent 3 2 2 2 5 2 3 2" xfId="8664" xr:uid="{00000000-0005-0000-0000-000088440000}"/>
    <cellStyle name="Percent 3 2 2 2 5 2 3 2 2" xfId="19378" xr:uid="{00000000-0005-0000-0000-000089440000}"/>
    <cellStyle name="Percent 3 2 2 2 5 2 3 3" xfId="8665" xr:uid="{00000000-0005-0000-0000-00008A440000}"/>
    <cellStyle name="Percent 3 2 2 2 5 2 3 3 2" xfId="19379" xr:uid="{00000000-0005-0000-0000-00008B440000}"/>
    <cellStyle name="Percent 3 2 2 2 5 2 3 4" xfId="19380" xr:uid="{00000000-0005-0000-0000-00008C440000}"/>
    <cellStyle name="Percent 3 2 2 2 5 2 4" xfId="8666" xr:uid="{00000000-0005-0000-0000-00008D440000}"/>
    <cellStyle name="Percent 3 2 2 2 5 2 4 2" xfId="19381" xr:uid="{00000000-0005-0000-0000-00008E440000}"/>
    <cellStyle name="Percent 3 2 2 2 5 2 5" xfId="8667" xr:uid="{00000000-0005-0000-0000-00008F440000}"/>
    <cellStyle name="Percent 3 2 2 2 5 2 5 2" xfId="19382" xr:uid="{00000000-0005-0000-0000-000090440000}"/>
    <cellStyle name="Percent 3 2 2 2 5 2 6" xfId="19383" xr:uid="{00000000-0005-0000-0000-000091440000}"/>
    <cellStyle name="Percent 3 2 2 2 5 3" xfId="8668" xr:uid="{00000000-0005-0000-0000-000092440000}"/>
    <cellStyle name="Percent 3 2 2 2 5 3 2" xfId="8669" xr:uid="{00000000-0005-0000-0000-000093440000}"/>
    <cellStyle name="Percent 3 2 2 2 5 3 2 2" xfId="19384" xr:uid="{00000000-0005-0000-0000-000094440000}"/>
    <cellStyle name="Percent 3 2 2 2 5 3 3" xfId="8670" xr:uid="{00000000-0005-0000-0000-000095440000}"/>
    <cellStyle name="Percent 3 2 2 2 5 3 3 2" xfId="19385" xr:uid="{00000000-0005-0000-0000-000096440000}"/>
    <cellStyle name="Percent 3 2 2 2 5 3 4" xfId="19386" xr:uid="{00000000-0005-0000-0000-000097440000}"/>
    <cellStyle name="Percent 3 2 2 2 5 4" xfId="8671" xr:uid="{00000000-0005-0000-0000-000098440000}"/>
    <cellStyle name="Percent 3 2 2 2 5 4 2" xfId="8672" xr:uid="{00000000-0005-0000-0000-000099440000}"/>
    <cellStyle name="Percent 3 2 2 2 5 4 2 2" xfId="19387" xr:uid="{00000000-0005-0000-0000-00009A440000}"/>
    <cellStyle name="Percent 3 2 2 2 5 4 3" xfId="8673" xr:uid="{00000000-0005-0000-0000-00009B440000}"/>
    <cellStyle name="Percent 3 2 2 2 5 4 3 2" xfId="19388" xr:uid="{00000000-0005-0000-0000-00009C440000}"/>
    <cellStyle name="Percent 3 2 2 2 5 4 4" xfId="19389" xr:uid="{00000000-0005-0000-0000-00009D440000}"/>
    <cellStyle name="Percent 3 2 2 2 5 5" xfId="8674" xr:uid="{00000000-0005-0000-0000-00009E440000}"/>
    <cellStyle name="Percent 3 2 2 2 5 5 2" xfId="19390" xr:uid="{00000000-0005-0000-0000-00009F440000}"/>
    <cellStyle name="Percent 3 2 2 2 5 6" xfId="8675" xr:uid="{00000000-0005-0000-0000-0000A0440000}"/>
    <cellStyle name="Percent 3 2 2 2 5 6 2" xfId="19391" xr:uid="{00000000-0005-0000-0000-0000A1440000}"/>
    <cellStyle name="Percent 3 2 2 2 5 7" xfId="19392" xr:uid="{00000000-0005-0000-0000-0000A2440000}"/>
    <cellStyle name="Percent 3 2 2 2 6" xfId="8676" xr:uid="{00000000-0005-0000-0000-0000A3440000}"/>
    <cellStyle name="Percent 3 2 2 2 6 2" xfId="8677" xr:uid="{00000000-0005-0000-0000-0000A4440000}"/>
    <cellStyle name="Percent 3 2 2 2 6 2 2" xfId="8678" xr:uid="{00000000-0005-0000-0000-0000A5440000}"/>
    <cellStyle name="Percent 3 2 2 2 6 2 2 2" xfId="19393" xr:uid="{00000000-0005-0000-0000-0000A6440000}"/>
    <cellStyle name="Percent 3 2 2 2 6 2 3" xfId="8679" xr:uid="{00000000-0005-0000-0000-0000A7440000}"/>
    <cellStyle name="Percent 3 2 2 2 6 2 3 2" xfId="19394" xr:uid="{00000000-0005-0000-0000-0000A8440000}"/>
    <cellStyle name="Percent 3 2 2 2 6 2 4" xfId="19395" xr:uid="{00000000-0005-0000-0000-0000A9440000}"/>
    <cellStyle name="Percent 3 2 2 2 6 3" xfId="8680" xr:uid="{00000000-0005-0000-0000-0000AA440000}"/>
    <cellStyle name="Percent 3 2 2 2 6 3 2" xfId="8681" xr:uid="{00000000-0005-0000-0000-0000AB440000}"/>
    <cellStyle name="Percent 3 2 2 2 6 3 2 2" xfId="19396" xr:uid="{00000000-0005-0000-0000-0000AC440000}"/>
    <cellStyle name="Percent 3 2 2 2 6 3 3" xfId="8682" xr:uid="{00000000-0005-0000-0000-0000AD440000}"/>
    <cellStyle name="Percent 3 2 2 2 6 3 3 2" xfId="19397" xr:uid="{00000000-0005-0000-0000-0000AE440000}"/>
    <cellStyle name="Percent 3 2 2 2 6 3 4" xfId="19398" xr:uid="{00000000-0005-0000-0000-0000AF440000}"/>
    <cellStyle name="Percent 3 2 2 2 6 4" xfId="8683" xr:uid="{00000000-0005-0000-0000-0000B0440000}"/>
    <cellStyle name="Percent 3 2 2 2 6 4 2" xfId="19399" xr:uid="{00000000-0005-0000-0000-0000B1440000}"/>
    <cellStyle name="Percent 3 2 2 2 6 5" xfId="8684" xr:uid="{00000000-0005-0000-0000-0000B2440000}"/>
    <cellStyle name="Percent 3 2 2 2 6 5 2" xfId="19400" xr:uid="{00000000-0005-0000-0000-0000B3440000}"/>
    <cellStyle name="Percent 3 2 2 2 6 6" xfId="19401" xr:uid="{00000000-0005-0000-0000-0000B4440000}"/>
    <cellStyle name="Percent 3 2 2 2 7" xfId="8685" xr:uid="{00000000-0005-0000-0000-0000B5440000}"/>
    <cellStyle name="Percent 3 2 2 2 7 2" xfId="8686" xr:uid="{00000000-0005-0000-0000-0000B6440000}"/>
    <cellStyle name="Percent 3 2 2 2 7 2 2" xfId="8687" xr:uid="{00000000-0005-0000-0000-0000B7440000}"/>
    <cellStyle name="Percent 3 2 2 2 7 2 2 2" xfId="19402" xr:uid="{00000000-0005-0000-0000-0000B8440000}"/>
    <cellStyle name="Percent 3 2 2 2 7 2 3" xfId="8688" xr:uid="{00000000-0005-0000-0000-0000B9440000}"/>
    <cellStyle name="Percent 3 2 2 2 7 2 3 2" xfId="19403" xr:uid="{00000000-0005-0000-0000-0000BA440000}"/>
    <cellStyle name="Percent 3 2 2 2 7 2 4" xfId="19404" xr:uid="{00000000-0005-0000-0000-0000BB440000}"/>
    <cellStyle name="Percent 3 2 2 2 7 3" xfId="8689" xr:uid="{00000000-0005-0000-0000-0000BC440000}"/>
    <cellStyle name="Percent 3 2 2 2 7 3 2" xfId="8690" xr:uid="{00000000-0005-0000-0000-0000BD440000}"/>
    <cellStyle name="Percent 3 2 2 2 7 3 2 2" xfId="19405" xr:uid="{00000000-0005-0000-0000-0000BE440000}"/>
    <cellStyle name="Percent 3 2 2 2 7 3 3" xfId="8691" xr:uid="{00000000-0005-0000-0000-0000BF440000}"/>
    <cellStyle name="Percent 3 2 2 2 7 3 3 2" xfId="19406" xr:uid="{00000000-0005-0000-0000-0000C0440000}"/>
    <cellStyle name="Percent 3 2 2 2 7 3 4" xfId="19407" xr:uid="{00000000-0005-0000-0000-0000C1440000}"/>
    <cellStyle name="Percent 3 2 2 2 7 4" xfId="8692" xr:uid="{00000000-0005-0000-0000-0000C2440000}"/>
    <cellStyle name="Percent 3 2 2 2 7 4 2" xfId="19408" xr:uid="{00000000-0005-0000-0000-0000C3440000}"/>
    <cellStyle name="Percent 3 2 2 2 7 5" xfId="8693" xr:uid="{00000000-0005-0000-0000-0000C4440000}"/>
    <cellStyle name="Percent 3 2 2 2 7 5 2" xfId="19409" xr:uid="{00000000-0005-0000-0000-0000C5440000}"/>
    <cellStyle name="Percent 3 2 2 2 7 6" xfId="19410" xr:uid="{00000000-0005-0000-0000-0000C6440000}"/>
    <cellStyle name="Percent 3 2 2 2 8" xfId="8694" xr:uid="{00000000-0005-0000-0000-0000C7440000}"/>
    <cellStyle name="Percent 3 2 2 2 8 2" xfId="8695" xr:uid="{00000000-0005-0000-0000-0000C8440000}"/>
    <cellStyle name="Percent 3 2 2 2 8 2 2" xfId="19411" xr:uid="{00000000-0005-0000-0000-0000C9440000}"/>
    <cellStyle name="Percent 3 2 2 2 8 3" xfId="8696" xr:uid="{00000000-0005-0000-0000-0000CA440000}"/>
    <cellStyle name="Percent 3 2 2 2 8 3 2" xfId="19412" xr:uid="{00000000-0005-0000-0000-0000CB440000}"/>
    <cellStyle name="Percent 3 2 2 2 8 4" xfId="19413" xr:uid="{00000000-0005-0000-0000-0000CC440000}"/>
    <cellStyle name="Percent 3 2 2 2 9" xfId="8697" xr:uid="{00000000-0005-0000-0000-0000CD440000}"/>
    <cellStyle name="Percent 3 2 2 2 9 2" xfId="8698" xr:uid="{00000000-0005-0000-0000-0000CE440000}"/>
    <cellStyle name="Percent 3 2 2 2 9 2 2" xfId="19414" xr:uid="{00000000-0005-0000-0000-0000CF440000}"/>
    <cellStyle name="Percent 3 2 2 2 9 3" xfId="8699" xr:uid="{00000000-0005-0000-0000-0000D0440000}"/>
    <cellStyle name="Percent 3 2 2 2 9 3 2" xfId="19415" xr:uid="{00000000-0005-0000-0000-0000D1440000}"/>
    <cellStyle name="Percent 3 2 2 2 9 4" xfId="19416" xr:uid="{00000000-0005-0000-0000-0000D2440000}"/>
    <cellStyle name="Percent 3 2 2 3" xfId="8700" xr:uid="{00000000-0005-0000-0000-0000D3440000}"/>
    <cellStyle name="Percent 3 2 2 3 10" xfId="8701" xr:uid="{00000000-0005-0000-0000-0000D4440000}"/>
    <cellStyle name="Percent 3 2 2 3 10 2" xfId="19417" xr:uid="{00000000-0005-0000-0000-0000D5440000}"/>
    <cellStyle name="Percent 3 2 2 3 11" xfId="19418" xr:uid="{00000000-0005-0000-0000-0000D6440000}"/>
    <cellStyle name="Percent 3 2 2 3 2" xfId="8702" xr:uid="{00000000-0005-0000-0000-0000D7440000}"/>
    <cellStyle name="Percent 3 2 2 3 2 10" xfId="19419" xr:uid="{00000000-0005-0000-0000-0000D8440000}"/>
    <cellStyle name="Percent 3 2 2 3 2 2" xfId="8703" xr:uid="{00000000-0005-0000-0000-0000D9440000}"/>
    <cellStyle name="Percent 3 2 2 3 2 2 2" xfId="8704" xr:uid="{00000000-0005-0000-0000-0000DA440000}"/>
    <cellStyle name="Percent 3 2 2 3 2 2 2 2" xfId="8705" xr:uid="{00000000-0005-0000-0000-0000DB440000}"/>
    <cellStyle name="Percent 3 2 2 3 2 2 2 2 2" xfId="8706" xr:uid="{00000000-0005-0000-0000-0000DC440000}"/>
    <cellStyle name="Percent 3 2 2 3 2 2 2 2 2 2" xfId="19420" xr:uid="{00000000-0005-0000-0000-0000DD440000}"/>
    <cellStyle name="Percent 3 2 2 3 2 2 2 2 3" xfId="8707" xr:uid="{00000000-0005-0000-0000-0000DE440000}"/>
    <cellStyle name="Percent 3 2 2 3 2 2 2 2 3 2" xfId="19421" xr:uid="{00000000-0005-0000-0000-0000DF440000}"/>
    <cellStyle name="Percent 3 2 2 3 2 2 2 2 4" xfId="19422" xr:uid="{00000000-0005-0000-0000-0000E0440000}"/>
    <cellStyle name="Percent 3 2 2 3 2 2 2 3" xfId="8708" xr:uid="{00000000-0005-0000-0000-0000E1440000}"/>
    <cellStyle name="Percent 3 2 2 3 2 2 2 3 2" xfId="8709" xr:uid="{00000000-0005-0000-0000-0000E2440000}"/>
    <cellStyle name="Percent 3 2 2 3 2 2 2 3 2 2" xfId="19423" xr:uid="{00000000-0005-0000-0000-0000E3440000}"/>
    <cellStyle name="Percent 3 2 2 3 2 2 2 3 3" xfId="8710" xr:uid="{00000000-0005-0000-0000-0000E4440000}"/>
    <cellStyle name="Percent 3 2 2 3 2 2 2 3 3 2" xfId="19424" xr:uid="{00000000-0005-0000-0000-0000E5440000}"/>
    <cellStyle name="Percent 3 2 2 3 2 2 2 3 4" xfId="19425" xr:uid="{00000000-0005-0000-0000-0000E6440000}"/>
    <cellStyle name="Percent 3 2 2 3 2 2 2 4" xfId="8711" xr:uid="{00000000-0005-0000-0000-0000E7440000}"/>
    <cellStyle name="Percent 3 2 2 3 2 2 2 4 2" xfId="19426" xr:uid="{00000000-0005-0000-0000-0000E8440000}"/>
    <cellStyle name="Percent 3 2 2 3 2 2 2 5" xfId="8712" xr:uid="{00000000-0005-0000-0000-0000E9440000}"/>
    <cellStyle name="Percent 3 2 2 3 2 2 2 5 2" xfId="19427" xr:uid="{00000000-0005-0000-0000-0000EA440000}"/>
    <cellStyle name="Percent 3 2 2 3 2 2 2 6" xfId="19428" xr:uid="{00000000-0005-0000-0000-0000EB440000}"/>
    <cellStyle name="Percent 3 2 2 3 2 2 3" xfId="8713" xr:uid="{00000000-0005-0000-0000-0000EC440000}"/>
    <cellStyle name="Percent 3 2 2 3 2 2 3 2" xfId="8714" xr:uid="{00000000-0005-0000-0000-0000ED440000}"/>
    <cellStyle name="Percent 3 2 2 3 2 2 3 2 2" xfId="8715" xr:uid="{00000000-0005-0000-0000-0000EE440000}"/>
    <cellStyle name="Percent 3 2 2 3 2 2 3 2 2 2" xfId="19429" xr:uid="{00000000-0005-0000-0000-0000EF440000}"/>
    <cellStyle name="Percent 3 2 2 3 2 2 3 2 3" xfId="8716" xr:uid="{00000000-0005-0000-0000-0000F0440000}"/>
    <cellStyle name="Percent 3 2 2 3 2 2 3 2 3 2" xfId="19430" xr:uid="{00000000-0005-0000-0000-0000F1440000}"/>
    <cellStyle name="Percent 3 2 2 3 2 2 3 2 4" xfId="19431" xr:uid="{00000000-0005-0000-0000-0000F2440000}"/>
    <cellStyle name="Percent 3 2 2 3 2 2 3 3" xfId="8717" xr:uid="{00000000-0005-0000-0000-0000F3440000}"/>
    <cellStyle name="Percent 3 2 2 3 2 2 3 3 2" xfId="8718" xr:uid="{00000000-0005-0000-0000-0000F4440000}"/>
    <cellStyle name="Percent 3 2 2 3 2 2 3 3 2 2" xfId="19432" xr:uid="{00000000-0005-0000-0000-0000F5440000}"/>
    <cellStyle name="Percent 3 2 2 3 2 2 3 3 3" xfId="8719" xr:uid="{00000000-0005-0000-0000-0000F6440000}"/>
    <cellStyle name="Percent 3 2 2 3 2 2 3 3 3 2" xfId="19433" xr:uid="{00000000-0005-0000-0000-0000F7440000}"/>
    <cellStyle name="Percent 3 2 2 3 2 2 3 3 4" xfId="19434" xr:uid="{00000000-0005-0000-0000-0000F8440000}"/>
    <cellStyle name="Percent 3 2 2 3 2 2 3 4" xfId="8720" xr:uid="{00000000-0005-0000-0000-0000F9440000}"/>
    <cellStyle name="Percent 3 2 2 3 2 2 3 4 2" xfId="19435" xr:uid="{00000000-0005-0000-0000-0000FA440000}"/>
    <cellStyle name="Percent 3 2 2 3 2 2 3 5" xfId="8721" xr:uid="{00000000-0005-0000-0000-0000FB440000}"/>
    <cellStyle name="Percent 3 2 2 3 2 2 3 5 2" xfId="19436" xr:uid="{00000000-0005-0000-0000-0000FC440000}"/>
    <cellStyle name="Percent 3 2 2 3 2 2 3 6" xfId="19437" xr:uid="{00000000-0005-0000-0000-0000FD440000}"/>
    <cellStyle name="Percent 3 2 2 3 2 2 4" xfId="8722" xr:uid="{00000000-0005-0000-0000-0000FE440000}"/>
    <cellStyle name="Percent 3 2 2 3 2 2 4 2" xfId="8723" xr:uid="{00000000-0005-0000-0000-0000FF440000}"/>
    <cellStyle name="Percent 3 2 2 3 2 2 4 2 2" xfId="19438" xr:uid="{00000000-0005-0000-0000-000000450000}"/>
    <cellStyle name="Percent 3 2 2 3 2 2 4 3" xfId="8724" xr:uid="{00000000-0005-0000-0000-000001450000}"/>
    <cellStyle name="Percent 3 2 2 3 2 2 4 3 2" xfId="19439" xr:uid="{00000000-0005-0000-0000-000002450000}"/>
    <cellStyle name="Percent 3 2 2 3 2 2 4 4" xfId="19440" xr:uid="{00000000-0005-0000-0000-000003450000}"/>
    <cellStyle name="Percent 3 2 2 3 2 2 5" xfId="8725" xr:uid="{00000000-0005-0000-0000-000004450000}"/>
    <cellStyle name="Percent 3 2 2 3 2 2 5 2" xfId="8726" xr:uid="{00000000-0005-0000-0000-000005450000}"/>
    <cellStyle name="Percent 3 2 2 3 2 2 5 2 2" xfId="19441" xr:uid="{00000000-0005-0000-0000-000006450000}"/>
    <cellStyle name="Percent 3 2 2 3 2 2 5 3" xfId="8727" xr:uid="{00000000-0005-0000-0000-000007450000}"/>
    <cellStyle name="Percent 3 2 2 3 2 2 5 3 2" xfId="19442" xr:uid="{00000000-0005-0000-0000-000008450000}"/>
    <cellStyle name="Percent 3 2 2 3 2 2 5 4" xfId="19443" xr:uid="{00000000-0005-0000-0000-000009450000}"/>
    <cellStyle name="Percent 3 2 2 3 2 2 6" xfId="8728" xr:uid="{00000000-0005-0000-0000-00000A450000}"/>
    <cellStyle name="Percent 3 2 2 3 2 2 6 2" xfId="19444" xr:uid="{00000000-0005-0000-0000-00000B450000}"/>
    <cellStyle name="Percent 3 2 2 3 2 2 7" xfId="8729" xr:uid="{00000000-0005-0000-0000-00000C450000}"/>
    <cellStyle name="Percent 3 2 2 3 2 2 7 2" xfId="19445" xr:uid="{00000000-0005-0000-0000-00000D450000}"/>
    <cellStyle name="Percent 3 2 2 3 2 2 8" xfId="19446" xr:uid="{00000000-0005-0000-0000-00000E450000}"/>
    <cellStyle name="Percent 3 2 2 3 2 3" xfId="8730" xr:uid="{00000000-0005-0000-0000-00000F450000}"/>
    <cellStyle name="Percent 3 2 2 3 2 3 2" xfId="8731" xr:uid="{00000000-0005-0000-0000-000010450000}"/>
    <cellStyle name="Percent 3 2 2 3 2 3 2 2" xfId="8732" xr:uid="{00000000-0005-0000-0000-000011450000}"/>
    <cellStyle name="Percent 3 2 2 3 2 3 2 2 2" xfId="8733" xr:uid="{00000000-0005-0000-0000-000012450000}"/>
    <cellStyle name="Percent 3 2 2 3 2 3 2 2 2 2" xfId="19447" xr:uid="{00000000-0005-0000-0000-000013450000}"/>
    <cellStyle name="Percent 3 2 2 3 2 3 2 2 3" xfId="8734" xr:uid="{00000000-0005-0000-0000-000014450000}"/>
    <cellStyle name="Percent 3 2 2 3 2 3 2 2 3 2" xfId="19448" xr:uid="{00000000-0005-0000-0000-000015450000}"/>
    <cellStyle name="Percent 3 2 2 3 2 3 2 2 4" xfId="19449" xr:uid="{00000000-0005-0000-0000-000016450000}"/>
    <cellStyle name="Percent 3 2 2 3 2 3 2 3" xfId="8735" xr:uid="{00000000-0005-0000-0000-000017450000}"/>
    <cellStyle name="Percent 3 2 2 3 2 3 2 3 2" xfId="8736" xr:uid="{00000000-0005-0000-0000-000018450000}"/>
    <cellStyle name="Percent 3 2 2 3 2 3 2 3 2 2" xfId="19450" xr:uid="{00000000-0005-0000-0000-000019450000}"/>
    <cellStyle name="Percent 3 2 2 3 2 3 2 3 3" xfId="8737" xr:uid="{00000000-0005-0000-0000-00001A450000}"/>
    <cellStyle name="Percent 3 2 2 3 2 3 2 3 3 2" xfId="19451" xr:uid="{00000000-0005-0000-0000-00001B450000}"/>
    <cellStyle name="Percent 3 2 2 3 2 3 2 3 4" xfId="19452" xr:uid="{00000000-0005-0000-0000-00001C450000}"/>
    <cellStyle name="Percent 3 2 2 3 2 3 2 4" xfId="8738" xr:uid="{00000000-0005-0000-0000-00001D450000}"/>
    <cellStyle name="Percent 3 2 2 3 2 3 2 4 2" xfId="19453" xr:uid="{00000000-0005-0000-0000-00001E450000}"/>
    <cellStyle name="Percent 3 2 2 3 2 3 2 5" xfId="8739" xr:uid="{00000000-0005-0000-0000-00001F450000}"/>
    <cellStyle name="Percent 3 2 2 3 2 3 2 5 2" xfId="19454" xr:uid="{00000000-0005-0000-0000-000020450000}"/>
    <cellStyle name="Percent 3 2 2 3 2 3 2 6" xfId="19455" xr:uid="{00000000-0005-0000-0000-000021450000}"/>
    <cellStyle name="Percent 3 2 2 3 2 3 3" xfId="8740" xr:uid="{00000000-0005-0000-0000-000022450000}"/>
    <cellStyle name="Percent 3 2 2 3 2 3 3 2" xfId="8741" xr:uid="{00000000-0005-0000-0000-000023450000}"/>
    <cellStyle name="Percent 3 2 2 3 2 3 3 2 2" xfId="19456" xr:uid="{00000000-0005-0000-0000-000024450000}"/>
    <cellStyle name="Percent 3 2 2 3 2 3 3 3" xfId="8742" xr:uid="{00000000-0005-0000-0000-000025450000}"/>
    <cellStyle name="Percent 3 2 2 3 2 3 3 3 2" xfId="19457" xr:uid="{00000000-0005-0000-0000-000026450000}"/>
    <cellStyle name="Percent 3 2 2 3 2 3 3 4" xfId="19458" xr:uid="{00000000-0005-0000-0000-000027450000}"/>
    <cellStyle name="Percent 3 2 2 3 2 3 4" xfId="8743" xr:uid="{00000000-0005-0000-0000-000028450000}"/>
    <cellStyle name="Percent 3 2 2 3 2 3 4 2" xfId="8744" xr:uid="{00000000-0005-0000-0000-000029450000}"/>
    <cellStyle name="Percent 3 2 2 3 2 3 4 2 2" xfId="19459" xr:uid="{00000000-0005-0000-0000-00002A450000}"/>
    <cellStyle name="Percent 3 2 2 3 2 3 4 3" xfId="8745" xr:uid="{00000000-0005-0000-0000-00002B450000}"/>
    <cellStyle name="Percent 3 2 2 3 2 3 4 3 2" xfId="19460" xr:uid="{00000000-0005-0000-0000-00002C450000}"/>
    <cellStyle name="Percent 3 2 2 3 2 3 4 4" xfId="19461" xr:uid="{00000000-0005-0000-0000-00002D450000}"/>
    <cellStyle name="Percent 3 2 2 3 2 3 5" xfId="8746" xr:uid="{00000000-0005-0000-0000-00002E450000}"/>
    <cellStyle name="Percent 3 2 2 3 2 3 5 2" xfId="19462" xr:uid="{00000000-0005-0000-0000-00002F450000}"/>
    <cellStyle name="Percent 3 2 2 3 2 3 6" xfId="8747" xr:uid="{00000000-0005-0000-0000-000030450000}"/>
    <cellStyle name="Percent 3 2 2 3 2 3 6 2" xfId="19463" xr:uid="{00000000-0005-0000-0000-000031450000}"/>
    <cellStyle name="Percent 3 2 2 3 2 3 7" xfId="19464" xr:uid="{00000000-0005-0000-0000-000032450000}"/>
    <cellStyle name="Percent 3 2 2 3 2 4" xfId="8748" xr:uid="{00000000-0005-0000-0000-000033450000}"/>
    <cellStyle name="Percent 3 2 2 3 2 4 2" xfId="8749" xr:uid="{00000000-0005-0000-0000-000034450000}"/>
    <cellStyle name="Percent 3 2 2 3 2 4 2 2" xfId="8750" xr:uid="{00000000-0005-0000-0000-000035450000}"/>
    <cellStyle name="Percent 3 2 2 3 2 4 2 2 2" xfId="19465" xr:uid="{00000000-0005-0000-0000-000036450000}"/>
    <cellStyle name="Percent 3 2 2 3 2 4 2 3" xfId="8751" xr:uid="{00000000-0005-0000-0000-000037450000}"/>
    <cellStyle name="Percent 3 2 2 3 2 4 2 3 2" xfId="19466" xr:uid="{00000000-0005-0000-0000-000038450000}"/>
    <cellStyle name="Percent 3 2 2 3 2 4 2 4" xfId="19467" xr:uid="{00000000-0005-0000-0000-000039450000}"/>
    <cellStyle name="Percent 3 2 2 3 2 4 3" xfId="8752" xr:uid="{00000000-0005-0000-0000-00003A450000}"/>
    <cellStyle name="Percent 3 2 2 3 2 4 3 2" xfId="8753" xr:uid="{00000000-0005-0000-0000-00003B450000}"/>
    <cellStyle name="Percent 3 2 2 3 2 4 3 2 2" xfId="19468" xr:uid="{00000000-0005-0000-0000-00003C450000}"/>
    <cellStyle name="Percent 3 2 2 3 2 4 3 3" xfId="8754" xr:uid="{00000000-0005-0000-0000-00003D450000}"/>
    <cellStyle name="Percent 3 2 2 3 2 4 3 3 2" xfId="19469" xr:uid="{00000000-0005-0000-0000-00003E450000}"/>
    <cellStyle name="Percent 3 2 2 3 2 4 3 4" xfId="19470" xr:uid="{00000000-0005-0000-0000-00003F450000}"/>
    <cellStyle name="Percent 3 2 2 3 2 4 4" xfId="8755" xr:uid="{00000000-0005-0000-0000-000040450000}"/>
    <cellStyle name="Percent 3 2 2 3 2 4 4 2" xfId="19471" xr:uid="{00000000-0005-0000-0000-000041450000}"/>
    <cellStyle name="Percent 3 2 2 3 2 4 5" xfId="8756" xr:uid="{00000000-0005-0000-0000-000042450000}"/>
    <cellStyle name="Percent 3 2 2 3 2 4 5 2" xfId="19472" xr:uid="{00000000-0005-0000-0000-000043450000}"/>
    <cellStyle name="Percent 3 2 2 3 2 4 6" xfId="19473" xr:uid="{00000000-0005-0000-0000-000044450000}"/>
    <cellStyle name="Percent 3 2 2 3 2 5" xfId="8757" xr:uid="{00000000-0005-0000-0000-000045450000}"/>
    <cellStyle name="Percent 3 2 2 3 2 5 2" xfId="8758" xr:uid="{00000000-0005-0000-0000-000046450000}"/>
    <cellStyle name="Percent 3 2 2 3 2 5 2 2" xfId="8759" xr:uid="{00000000-0005-0000-0000-000047450000}"/>
    <cellStyle name="Percent 3 2 2 3 2 5 2 2 2" xfId="19474" xr:uid="{00000000-0005-0000-0000-000048450000}"/>
    <cellStyle name="Percent 3 2 2 3 2 5 2 3" xfId="8760" xr:uid="{00000000-0005-0000-0000-000049450000}"/>
    <cellStyle name="Percent 3 2 2 3 2 5 2 3 2" xfId="19475" xr:uid="{00000000-0005-0000-0000-00004A450000}"/>
    <cellStyle name="Percent 3 2 2 3 2 5 2 4" xfId="19476" xr:uid="{00000000-0005-0000-0000-00004B450000}"/>
    <cellStyle name="Percent 3 2 2 3 2 5 3" xfId="8761" xr:uid="{00000000-0005-0000-0000-00004C450000}"/>
    <cellStyle name="Percent 3 2 2 3 2 5 3 2" xfId="8762" xr:uid="{00000000-0005-0000-0000-00004D450000}"/>
    <cellStyle name="Percent 3 2 2 3 2 5 3 2 2" xfId="19477" xr:uid="{00000000-0005-0000-0000-00004E450000}"/>
    <cellStyle name="Percent 3 2 2 3 2 5 3 3" xfId="8763" xr:uid="{00000000-0005-0000-0000-00004F450000}"/>
    <cellStyle name="Percent 3 2 2 3 2 5 3 3 2" xfId="19478" xr:uid="{00000000-0005-0000-0000-000050450000}"/>
    <cellStyle name="Percent 3 2 2 3 2 5 3 4" xfId="19479" xr:uid="{00000000-0005-0000-0000-000051450000}"/>
    <cellStyle name="Percent 3 2 2 3 2 5 4" xfId="8764" xr:uid="{00000000-0005-0000-0000-000052450000}"/>
    <cellStyle name="Percent 3 2 2 3 2 5 4 2" xfId="19480" xr:uid="{00000000-0005-0000-0000-000053450000}"/>
    <cellStyle name="Percent 3 2 2 3 2 5 5" xfId="8765" xr:uid="{00000000-0005-0000-0000-000054450000}"/>
    <cellStyle name="Percent 3 2 2 3 2 5 5 2" xfId="19481" xr:uid="{00000000-0005-0000-0000-000055450000}"/>
    <cellStyle name="Percent 3 2 2 3 2 5 6" xfId="19482" xr:uid="{00000000-0005-0000-0000-000056450000}"/>
    <cellStyle name="Percent 3 2 2 3 2 6" xfId="8766" xr:uid="{00000000-0005-0000-0000-000057450000}"/>
    <cellStyle name="Percent 3 2 2 3 2 6 2" xfId="8767" xr:uid="{00000000-0005-0000-0000-000058450000}"/>
    <cellStyle name="Percent 3 2 2 3 2 6 2 2" xfId="19483" xr:uid="{00000000-0005-0000-0000-000059450000}"/>
    <cellStyle name="Percent 3 2 2 3 2 6 3" xfId="8768" xr:uid="{00000000-0005-0000-0000-00005A450000}"/>
    <cellStyle name="Percent 3 2 2 3 2 6 3 2" xfId="19484" xr:uid="{00000000-0005-0000-0000-00005B450000}"/>
    <cellStyle name="Percent 3 2 2 3 2 6 4" xfId="19485" xr:uid="{00000000-0005-0000-0000-00005C450000}"/>
    <cellStyle name="Percent 3 2 2 3 2 7" xfId="8769" xr:uid="{00000000-0005-0000-0000-00005D450000}"/>
    <cellStyle name="Percent 3 2 2 3 2 7 2" xfId="8770" xr:uid="{00000000-0005-0000-0000-00005E450000}"/>
    <cellStyle name="Percent 3 2 2 3 2 7 2 2" xfId="19486" xr:uid="{00000000-0005-0000-0000-00005F450000}"/>
    <cellStyle name="Percent 3 2 2 3 2 7 3" xfId="8771" xr:uid="{00000000-0005-0000-0000-000060450000}"/>
    <cellStyle name="Percent 3 2 2 3 2 7 3 2" xfId="19487" xr:uid="{00000000-0005-0000-0000-000061450000}"/>
    <cellStyle name="Percent 3 2 2 3 2 7 4" xfId="19488" xr:uid="{00000000-0005-0000-0000-000062450000}"/>
    <cellStyle name="Percent 3 2 2 3 2 8" xfId="8772" xr:uid="{00000000-0005-0000-0000-000063450000}"/>
    <cellStyle name="Percent 3 2 2 3 2 8 2" xfId="19489" xr:uid="{00000000-0005-0000-0000-000064450000}"/>
    <cellStyle name="Percent 3 2 2 3 2 9" xfId="8773" xr:uid="{00000000-0005-0000-0000-000065450000}"/>
    <cellStyle name="Percent 3 2 2 3 2 9 2" xfId="19490" xr:uid="{00000000-0005-0000-0000-000066450000}"/>
    <cellStyle name="Percent 3 2 2 3 3" xfId="8774" xr:uid="{00000000-0005-0000-0000-000067450000}"/>
    <cellStyle name="Percent 3 2 2 3 3 2" xfId="8775" xr:uid="{00000000-0005-0000-0000-000068450000}"/>
    <cellStyle name="Percent 3 2 2 3 3 2 2" xfId="8776" xr:uid="{00000000-0005-0000-0000-000069450000}"/>
    <cellStyle name="Percent 3 2 2 3 3 2 2 2" xfId="8777" xr:uid="{00000000-0005-0000-0000-00006A450000}"/>
    <cellStyle name="Percent 3 2 2 3 3 2 2 2 2" xfId="19491" xr:uid="{00000000-0005-0000-0000-00006B450000}"/>
    <cellStyle name="Percent 3 2 2 3 3 2 2 3" xfId="8778" xr:uid="{00000000-0005-0000-0000-00006C450000}"/>
    <cellStyle name="Percent 3 2 2 3 3 2 2 3 2" xfId="19492" xr:uid="{00000000-0005-0000-0000-00006D450000}"/>
    <cellStyle name="Percent 3 2 2 3 3 2 2 4" xfId="19493" xr:uid="{00000000-0005-0000-0000-00006E450000}"/>
    <cellStyle name="Percent 3 2 2 3 3 2 3" xfId="8779" xr:uid="{00000000-0005-0000-0000-00006F450000}"/>
    <cellStyle name="Percent 3 2 2 3 3 2 3 2" xfId="8780" xr:uid="{00000000-0005-0000-0000-000070450000}"/>
    <cellStyle name="Percent 3 2 2 3 3 2 3 2 2" xfId="19494" xr:uid="{00000000-0005-0000-0000-000071450000}"/>
    <cellStyle name="Percent 3 2 2 3 3 2 3 3" xfId="8781" xr:uid="{00000000-0005-0000-0000-000072450000}"/>
    <cellStyle name="Percent 3 2 2 3 3 2 3 3 2" xfId="19495" xr:uid="{00000000-0005-0000-0000-000073450000}"/>
    <cellStyle name="Percent 3 2 2 3 3 2 3 4" xfId="19496" xr:uid="{00000000-0005-0000-0000-000074450000}"/>
    <cellStyle name="Percent 3 2 2 3 3 2 4" xfId="8782" xr:uid="{00000000-0005-0000-0000-000075450000}"/>
    <cellStyle name="Percent 3 2 2 3 3 2 4 2" xfId="19497" xr:uid="{00000000-0005-0000-0000-000076450000}"/>
    <cellStyle name="Percent 3 2 2 3 3 2 5" xfId="8783" xr:uid="{00000000-0005-0000-0000-000077450000}"/>
    <cellStyle name="Percent 3 2 2 3 3 2 5 2" xfId="19498" xr:uid="{00000000-0005-0000-0000-000078450000}"/>
    <cellStyle name="Percent 3 2 2 3 3 2 6" xfId="19499" xr:uid="{00000000-0005-0000-0000-000079450000}"/>
    <cellStyle name="Percent 3 2 2 3 3 3" xfId="8784" xr:uid="{00000000-0005-0000-0000-00007A450000}"/>
    <cellStyle name="Percent 3 2 2 3 3 3 2" xfId="8785" xr:uid="{00000000-0005-0000-0000-00007B450000}"/>
    <cellStyle name="Percent 3 2 2 3 3 3 2 2" xfId="8786" xr:uid="{00000000-0005-0000-0000-00007C450000}"/>
    <cellStyle name="Percent 3 2 2 3 3 3 2 2 2" xfId="19500" xr:uid="{00000000-0005-0000-0000-00007D450000}"/>
    <cellStyle name="Percent 3 2 2 3 3 3 2 3" xfId="8787" xr:uid="{00000000-0005-0000-0000-00007E450000}"/>
    <cellStyle name="Percent 3 2 2 3 3 3 2 3 2" xfId="19501" xr:uid="{00000000-0005-0000-0000-00007F450000}"/>
    <cellStyle name="Percent 3 2 2 3 3 3 2 4" xfId="19502" xr:uid="{00000000-0005-0000-0000-000080450000}"/>
    <cellStyle name="Percent 3 2 2 3 3 3 3" xfId="8788" xr:uid="{00000000-0005-0000-0000-000081450000}"/>
    <cellStyle name="Percent 3 2 2 3 3 3 3 2" xfId="8789" xr:uid="{00000000-0005-0000-0000-000082450000}"/>
    <cellStyle name="Percent 3 2 2 3 3 3 3 2 2" xfId="19503" xr:uid="{00000000-0005-0000-0000-000083450000}"/>
    <cellStyle name="Percent 3 2 2 3 3 3 3 3" xfId="8790" xr:uid="{00000000-0005-0000-0000-000084450000}"/>
    <cellStyle name="Percent 3 2 2 3 3 3 3 3 2" xfId="19504" xr:uid="{00000000-0005-0000-0000-000085450000}"/>
    <cellStyle name="Percent 3 2 2 3 3 3 3 4" xfId="19505" xr:uid="{00000000-0005-0000-0000-000086450000}"/>
    <cellStyle name="Percent 3 2 2 3 3 3 4" xfId="8791" xr:uid="{00000000-0005-0000-0000-000087450000}"/>
    <cellStyle name="Percent 3 2 2 3 3 3 4 2" xfId="19506" xr:uid="{00000000-0005-0000-0000-000088450000}"/>
    <cellStyle name="Percent 3 2 2 3 3 3 5" xfId="8792" xr:uid="{00000000-0005-0000-0000-000089450000}"/>
    <cellStyle name="Percent 3 2 2 3 3 3 5 2" xfId="19507" xr:uid="{00000000-0005-0000-0000-00008A450000}"/>
    <cellStyle name="Percent 3 2 2 3 3 3 6" xfId="19508" xr:uid="{00000000-0005-0000-0000-00008B450000}"/>
    <cellStyle name="Percent 3 2 2 3 3 4" xfId="8793" xr:uid="{00000000-0005-0000-0000-00008C450000}"/>
    <cellStyle name="Percent 3 2 2 3 3 4 2" xfId="8794" xr:uid="{00000000-0005-0000-0000-00008D450000}"/>
    <cellStyle name="Percent 3 2 2 3 3 4 2 2" xfId="19509" xr:uid="{00000000-0005-0000-0000-00008E450000}"/>
    <cellStyle name="Percent 3 2 2 3 3 4 3" xfId="8795" xr:uid="{00000000-0005-0000-0000-00008F450000}"/>
    <cellStyle name="Percent 3 2 2 3 3 4 3 2" xfId="19510" xr:uid="{00000000-0005-0000-0000-000090450000}"/>
    <cellStyle name="Percent 3 2 2 3 3 4 4" xfId="19511" xr:uid="{00000000-0005-0000-0000-000091450000}"/>
    <cellStyle name="Percent 3 2 2 3 3 5" xfId="8796" xr:uid="{00000000-0005-0000-0000-000092450000}"/>
    <cellStyle name="Percent 3 2 2 3 3 5 2" xfId="8797" xr:uid="{00000000-0005-0000-0000-000093450000}"/>
    <cellStyle name="Percent 3 2 2 3 3 5 2 2" xfId="19512" xr:uid="{00000000-0005-0000-0000-000094450000}"/>
    <cellStyle name="Percent 3 2 2 3 3 5 3" xfId="8798" xr:uid="{00000000-0005-0000-0000-000095450000}"/>
    <cellStyle name="Percent 3 2 2 3 3 5 3 2" xfId="19513" xr:uid="{00000000-0005-0000-0000-000096450000}"/>
    <cellStyle name="Percent 3 2 2 3 3 5 4" xfId="19514" xr:uid="{00000000-0005-0000-0000-000097450000}"/>
    <cellStyle name="Percent 3 2 2 3 3 6" xfId="8799" xr:uid="{00000000-0005-0000-0000-000098450000}"/>
    <cellStyle name="Percent 3 2 2 3 3 6 2" xfId="19515" xr:uid="{00000000-0005-0000-0000-000099450000}"/>
    <cellStyle name="Percent 3 2 2 3 3 7" xfId="8800" xr:uid="{00000000-0005-0000-0000-00009A450000}"/>
    <cellStyle name="Percent 3 2 2 3 3 7 2" xfId="19516" xr:uid="{00000000-0005-0000-0000-00009B450000}"/>
    <cellStyle name="Percent 3 2 2 3 3 8" xfId="19517" xr:uid="{00000000-0005-0000-0000-00009C450000}"/>
    <cellStyle name="Percent 3 2 2 3 4" xfId="8801" xr:uid="{00000000-0005-0000-0000-00009D450000}"/>
    <cellStyle name="Percent 3 2 2 3 4 2" xfId="8802" xr:uid="{00000000-0005-0000-0000-00009E450000}"/>
    <cellStyle name="Percent 3 2 2 3 4 2 2" xfId="8803" xr:uid="{00000000-0005-0000-0000-00009F450000}"/>
    <cellStyle name="Percent 3 2 2 3 4 2 2 2" xfId="8804" xr:uid="{00000000-0005-0000-0000-0000A0450000}"/>
    <cellStyle name="Percent 3 2 2 3 4 2 2 2 2" xfId="19518" xr:uid="{00000000-0005-0000-0000-0000A1450000}"/>
    <cellStyle name="Percent 3 2 2 3 4 2 2 3" xfId="8805" xr:uid="{00000000-0005-0000-0000-0000A2450000}"/>
    <cellStyle name="Percent 3 2 2 3 4 2 2 3 2" xfId="19519" xr:uid="{00000000-0005-0000-0000-0000A3450000}"/>
    <cellStyle name="Percent 3 2 2 3 4 2 2 4" xfId="19520" xr:uid="{00000000-0005-0000-0000-0000A4450000}"/>
    <cellStyle name="Percent 3 2 2 3 4 2 3" xfId="8806" xr:uid="{00000000-0005-0000-0000-0000A5450000}"/>
    <cellStyle name="Percent 3 2 2 3 4 2 3 2" xfId="8807" xr:uid="{00000000-0005-0000-0000-0000A6450000}"/>
    <cellStyle name="Percent 3 2 2 3 4 2 3 2 2" xfId="19521" xr:uid="{00000000-0005-0000-0000-0000A7450000}"/>
    <cellStyle name="Percent 3 2 2 3 4 2 3 3" xfId="8808" xr:uid="{00000000-0005-0000-0000-0000A8450000}"/>
    <cellStyle name="Percent 3 2 2 3 4 2 3 3 2" xfId="19522" xr:uid="{00000000-0005-0000-0000-0000A9450000}"/>
    <cellStyle name="Percent 3 2 2 3 4 2 3 4" xfId="19523" xr:uid="{00000000-0005-0000-0000-0000AA450000}"/>
    <cellStyle name="Percent 3 2 2 3 4 2 4" xfId="8809" xr:uid="{00000000-0005-0000-0000-0000AB450000}"/>
    <cellStyle name="Percent 3 2 2 3 4 2 4 2" xfId="19524" xr:uid="{00000000-0005-0000-0000-0000AC450000}"/>
    <cellStyle name="Percent 3 2 2 3 4 2 5" xfId="8810" xr:uid="{00000000-0005-0000-0000-0000AD450000}"/>
    <cellStyle name="Percent 3 2 2 3 4 2 5 2" xfId="19525" xr:uid="{00000000-0005-0000-0000-0000AE450000}"/>
    <cellStyle name="Percent 3 2 2 3 4 2 6" xfId="19526" xr:uid="{00000000-0005-0000-0000-0000AF450000}"/>
    <cellStyle name="Percent 3 2 2 3 4 3" xfId="8811" xr:uid="{00000000-0005-0000-0000-0000B0450000}"/>
    <cellStyle name="Percent 3 2 2 3 4 3 2" xfId="8812" xr:uid="{00000000-0005-0000-0000-0000B1450000}"/>
    <cellStyle name="Percent 3 2 2 3 4 3 2 2" xfId="19527" xr:uid="{00000000-0005-0000-0000-0000B2450000}"/>
    <cellStyle name="Percent 3 2 2 3 4 3 3" xfId="8813" xr:uid="{00000000-0005-0000-0000-0000B3450000}"/>
    <cellStyle name="Percent 3 2 2 3 4 3 3 2" xfId="19528" xr:uid="{00000000-0005-0000-0000-0000B4450000}"/>
    <cellStyle name="Percent 3 2 2 3 4 3 4" xfId="19529" xr:uid="{00000000-0005-0000-0000-0000B5450000}"/>
    <cellStyle name="Percent 3 2 2 3 4 4" xfId="8814" xr:uid="{00000000-0005-0000-0000-0000B6450000}"/>
    <cellStyle name="Percent 3 2 2 3 4 4 2" xfId="8815" xr:uid="{00000000-0005-0000-0000-0000B7450000}"/>
    <cellStyle name="Percent 3 2 2 3 4 4 2 2" xfId="19530" xr:uid="{00000000-0005-0000-0000-0000B8450000}"/>
    <cellStyle name="Percent 3 2 2 3 4 4 3" xfId="8816" xr:uid="{00000000-0005-0000-0000-0000B9450000}"/>
    <cellStyle name="Percent 3 2 2 3 4 4 3 2" xfId="19531" xr:uid="{00000000-0005-0000-0000-0000BA450000}"/>
    <cellStyle name="Percent 3 2 2 3 4 4 4" xfId="19532" xr:uid="{00000000-0005-0000-0000-0000BB450000}"/>
    <cellStyle name="Percent 3 2 2 3 4 5" xfId="8817" xr:uid="{00000000-0005-0000-0000-0000BC450000}"/>
    <cellStyle name="Percent 3 2 2 3 4 5 2" xfId="19533" xr:uid="{00000000-0005-0000-0000-0000BD450000}"/>
    <cellStyle name="Percent 3 2 2 3 4 6" xfId="8818" xr:uid="{00000000-0005-0000-0000-0000BE450000}"/>
    <cellStyle name="Percent 3 2 2 3 4 6 2" xfId="19534" xr:uid="{00000000-0005-0000-0000-0000BF450000}"/>
    <cellStyle name="Percent 3 2 2 3 4 7" xfId="19535" xr:uid="{00000000-0005-0000-0000-0000C0450000}"/>
    <cellStyle name="Percent 3 2 2 3 5" xfId="8819" xr:uid="{00000000-0005-0000-0000-0000C1450000}"/>
    <cellStyle name="Percent 3 2 2 3 5 2" xfId="8820" xr:uid="{00000000-0005-0000-0000-0000C2450000}"/>
    <cellStyle name="Percent 3 2 2 3 5 2 2" xfId="8821" xr:uid="{00000000-0005-0000-0000-0000C3450000}"/>
    <cellStyle name="Percent 3 2 2 3 5 2 2 2" xfId="19536" xr:uid="{00000000-0005-0000-0000-0000C4450000}"/>
    <cellStyle name="Percent 3 2 2 3 5 2 3" xfId="8822" xr:uid="{00000000-0005-0000-0000-0000C5450000}"/>
    <cellStyle name="Percent 3 2 2 3 5 2 3 2" xfId="19537" xr:uid="{00000000-0005-0000-0000-0000C6450000}"/>
    <cellStyle name="Percent 3 2 2 3 5 2 4" xfId="19538" xr:uid="{00000000-0005-0000-0000-0000C7450000}"/>
    <cellStyle name="Percent 3 2 2 3 5 3" xfId="8823" xr:uid="{00000000-0005-0000-0000-0000C8450000}"/>
    <cellStyle name="Percent 3 2 2 3 5 3 2" xfId="8824" xr:uid="{00000000-0005-0000-0000-0000C9450000}"/>
    <cellStyle name="Percent 3 2 2 3 5 3 2 2" xfId="19539" xr:uid="{00000000-0005-0000-0000-0000CA450000}"/>
    <cellStyle name="Percent 3 2 2 3 5 3 3" xfId="8825" xr:uid="{00000000-0005-0000-0000-0000CB450000}"/>
    <cellStyle name="Percent 3 2 2 3 5 3 3 2" xfId="19540" xr:uid="{00000000-0005-0000-0000-0000CC450000}"/>
    <cellStyle name="Percent 3 2 2 3 5 3 4" xfId="19541" xr:uid="{00000000-0005-0000-0000-0000CD450000}"/>
    <cellStyle name="Percent 3 2 2 3 5 4" xfId="8826" xr:uid="{00000000-0005-0000-0000-0000CE450000}"/>
    <cellStyle name="Percent 3 2 2 3 5 4 2" xfId="19542" xr:uid="{00000000-0005-0000-0000-0000CF450000}"/>
    <cellStyle name="Percent 3 2 2 3 5 5" xfId="8827" xr:uid="{00000000-0005-0000-0000-0000D0450000}"/>
    <cellStyle name="Percent 3 2 2 3 5 5 2" xfId="19543" xr:uid="{00000000-0005-0000-0000-0000D1450000}"/>
    <cellStyle name="Percent 3 2 2 3 5 6" xfId="19544" xr:uid="{00000000-0005-0000-0000-0000D2450000}"/>
    <cellStyle name="Percent 3 2 2 3 6" xfId="8828" xr:uid="{00000000-0005-0000-0000-0000D3450000}"/>
    <cellStyle name="Percent 3 2 2 3 6 2" xfId="8829" xr:uid="{00000000-0005-0000-0000-0000D4450000}"/>
    <cellStyle name="Percent 3 2 2 3 6 2 2" xfId="8830" xr:uid="{00000000-0005-0000-0000-0000D5450000}"/>
    <cellStyle name="Percent 3 2 2 3 6 2 2 2" xfId="19545" xr:uid="{00000000-0005-0000-0000-0000D6450000}"/>
    <cellStyle name="Percent 3 2 2 3 6 2 3" xfId="8831" xr:uid="{00000000-0005-0000-0000-0000D7450000}"/>
    <cellStyle name="Percent 3 2 2 3 6 2 3 2" xfId="19546" xr:uid="{00000000-0005-0000-0000-0000D8450000}"/>
    <cellStyle name="Percent 3 2 2 3 6 2 4" xfId="19547" xr:uid="{00000000-0005-0000-0000-0000D9450000}"/>
    <cellStyle name="Percent 3 2 2 3 6 3" xfId="8832" xr:uid="{00000000-0005-0000-0000-0000DA450000}"/>
    <cellStyle name="Percent 3 2 2 3 6 3 2" xfId="8833" xr:uid="{00000000-0005-0000-0000-0000DB450000}"/>
    <cellStyle name="Percent 3 2 2 3 6 3 2 2" xfId="19548" xr:uid="{00000000-0005-0000-0000-0000DC450000}"/>
    <cellStyle name="Percent 3 2 2 3 6 3 3" xfId="8834" xr:uid="{00000000-0005-0000-0000-0000DD450000}"/>
    <cellStyle name="Percent 3 2 2 3 6 3 3 2" xfId="19549" xr:uid="{00000000-0005-0000-0000-0000DE450000}"/>
    <cellStyle name="Percent 3 2 2 3 6 3 4" xfId="19550" xr:uid="{00000000-0005-0000-0000-0000DF450000}"/>
    <cellStyle name="Percent 3 2 2 3 6 4" xfId="8835" xr:uid="{00000000-0005-0000-0000-0000E0450000}"/>
    <cellStyle name="Percent 3 2 2 3 6 4 2" xfId="19551" xr:uid="{00000000-0005-0000-0000-0000E1450000}"/>
    <cellStyle name="Percent 3 2 2 3 6 5" xfId="8836" xr:uid="{00000000-0005-0000-0000-0000E2450000}"/>
    <cellStyle name="Percent 3 2 2 3 6 5 2" xfId="19552" xr:uid="{00000000-0005-0000-0000-0000E3450000}"/>
    <cellStyle name="Percent 3 2 2 3 6 6" xfId="19553" xr:uid="{00000000-0005-0000-0000-0000E4450000}"/>
    <cellStyle name="Percent 3 2 2 3 7" xfId="8837" xr:uid="{00000000-0005-0000-0000-0000E5450000}"/>
    <cellStyle name="Percent 3 2 2 3 7 2" xfId="8838" xr:uid="{00000000-0005-0000-0000-0000E6450000}"/>
    <cellStyle name="Percent 3 2 2 3 7 2 2" xfId="19554" xr:uid="{00000000-0005-0000-0000-0000E7450000}"/>
    <cellStyle name="Percent 3 2 2 3 7 3" xfId="8839" xr:uid="{00000000-0005-0000-0000-0000E8450000}"/>
    <cellStyle name="Percent 3 2 2 3 7 3 2" xfId="19555" xr:uid="{00000000-0005-0000-0000-0000E9450000}"/>
    <cellStyle name="Percent 3 2 2 3 7 4" xfId="19556" xr:uid="{00000000-0005-0000-0000-0000EA450000}"/>
    <cellStyle name="Percent 3 2 2 3 8" xfId="8840" xr:uid="{00000000-0005-0000-0000-0000EB450000}"/>
    <cellStyle name="Percent 3 2 2 3 8 2" xfId="8841" xr:uid="{00000000-0005-0000-0000-0000EC450000}"/>
    <cellStyle name="Percent 3 2 2 3 8 2 2" xfId="19557" xr:uid="{00000000-0005-0000-0000-0000ED450000}"/>
    <cellStyle name="Percent 3 2 2 3 8 3" xfId="8842" xr:uid="{00000000-0005-0000-0000-0000EE450000}"/>
    <cellStyle name="Percent 3 2 2 3 8 3 2" xfId="19558" xr:uid="{00000000-0005-0000-0000-0000EF450000}"/>
    <cellStyle name="Percent 3 2 2 3 8 4" xfId="19559" xr:uid="{00000000-0005-0000-0000-0000F0450000}"/>
    <cellStyle name="Percent 3 2 2 3 9" xfId="8843" xr:uid="{00000000-0005-0000-0000-0000F1450000}"/>
    <cellStyle name="Percent 3 2 2 3 9 2" xfId="19560" xr:uid="{00000000-0005-0000-0000-0000F2450000}"/>
    <cellStyle name="Percent 3 2 2 4" xfId="8844" xr:uid="{00000000-0005-0000-0000-0000F3450000}"/>
    <cellStyle name="Percent 3 2 2 4 10" xfId="19561" xr:uid="{00000000-0005-0000-0000-0000F4450000}"/>
    <cellStyle name="Percent 3 2 2 4 2" xfId="8845" xr:uid="{00000000-0005-0000-0000-0000F5450000}"/>
    <cellStyle name="Percent 3 2 2 4 2 2" xfId="8846" xr:uid="{00000000-0005-0000-0000-0000F6450000}"/>
    <cellStyle name="Percent 3 2 2 4 2 2 2" xfId="8847" xr:uid="{00000000-0005-0000-0000-0000F7450000}"/>
    <cellStyle name="Percent 3 2 2 4 2 2 2 2" xfId="8848" xr:uid="{00000000-0005-0000-0000-0000F8450000}"/>
    <cellStyle name="Percent 3 2 2 4 2 2 2 2 2" xfId="19562" xr:uid="{00000000-0005-0000-0000-0000F9450000}"/>
    <cellStyle name="Percent 3 2 2 4 2 2 2 3" xfId="8849" xr:uid="{00000000-0005-0000-0000-0000FA450000}"/>
    <cellStyle name="Percent 3 2 2 4 2 2 2 3 2" xfId="19563" xr:uid="{00000000-0005-0000-0000-0000FB450000}"/>
    <cellStyle name="Percent 3 2 2 4 2 2 2 4" xfId="19564" xr:uid="{00000000-0005-0000-0000-0000FC450000}"/>
    <cellStyle name="Percent 3 2 2 4 2 2 3" xfId="8850" xr:uid="{00000000-0005-0000-0000-0000FD450000}"/>
    <cellStyle name="Percent 3 2 2 4 2 2 3 2" xfId="8851" xr:uid="{00000000-0005-0000-0000-0000FE450000}"/>
    <cellStyle name="Percent 3 2 2 4 2 2 3 2 2" xfId="19565" xr:uid="{00000000-0005-0000-0000-0000FF450000}"/>
    <cellStyle name="Percent 3 2 2 4 2 2 3 3" xfId="8852" xr:uid="{00000000-0005-0000-0000-000000460000}"/>
    <cellStyle name="Percent 3 2 2 4 2 2 3 3 2" xfId="19566" xr:uid="{00000000-0005-0000-0000-000001460000}"/>
    <cellStyle name="Percent 3 2 2 4 2 2 3 4" xfId="19567" xr:uid="{00000000-0005-0000-0000-000002460000}"/>
    <cellStyle name="Percent 3 2 2 4 2 2 4" xfId="8853" xr:uid="{00000000-0005-0000-0000-000003460000}"/>
    <cellStyle name="Percent 3 2 2 4 2 2 4 2" xfId="19568" xr:uid="{00000000-0005-0000-0000-000004460000}"/>
    <cellStyle name="Percent 3 2 2 4 2 2 5" xfId="8854" xr:uid="{00000000-0005-0000-0000-000005460000}"/>
    <cellStyle name="Percent 3 2 2 4 2 2 5 2" xfId="19569" xr:uid="{00000000-0005-0000-0000-000006460000}"/>
    <cellStyle name="Percent 3 2 2 4 2 2 6" xfId="19570" xr:uid="{00000000-0005-0000-0000-000007460000}"/>
    <cellStyle name="Percent 3 2 2 4 2 3" xfId="8855" xr:uid="{00000000-0005-0000-0000-000008460000}"/>
    <cellStyle name="Percent 3 2 2 4 2 3 2" xfId="8856" xr:uid="{00000000-0005-0000-0000-000009460000}"/>
    <cellStyle name="Percent 3 2 2 4 2 3 2 2" xfId="8857" xr:uid="{00000000-0005-0000-0000-00000A460000}"/>
    <cellStyle name="Percent 3 2 2 4 2 3 2 2 2" xfId="19571" xr:uid="{00000000-0005-0000-0000-00000B460000}"/>
    <cellStyle name="Percent 3 2 2 4 2 3 2 3" xfId="8858" xr:uid="{00000000-0005-0000-0000-00000C460000}"/>
    <cellStyle name="Percent 3 2 2 4 2 3 2 3 2" xfId="19572" xr:uid="{00000000-0005-0000-0000-00000D460000}"/>
    <cellStyle name="Percent 3 2 2 4 2 3 2 4" xfId="19573" xr:uid="{00000000-0005-0000-0000-00000E460000}"/>
    <cellStyle name="Percent 3 2 2 4 2 3 3" xfId="8859" xr:uid="{00000000-0005-0000-0000-00000F460000}"/>
    <cellStyle name="Percent 3 2 2 4 2 3 3 2" xfId="8860" xr:uid="{00000000-0005-0000-0000-000010460000}"/>
    <cellStyle name="Percent 3 2 2 4 2 3 3 2 2" xfId="19574" xr:uid="{00000000-0005-0000-0000-000011460000}"/>
    <cellStyle name="Percent 3 2 2 4 2 3 3 3" xfId="8861" xr:uid="{00000000-0005-0000-0000-000012460000}"/>
    <cellStyle name="Percent 3 2 2 4 2 3 3 3 2" xfId="19575" xr:uid="{00000000-0005-0000-0000-000013460000}"/>
    <cellStyle name="Percent 3 2 2 4 2 3 3 4" xfId="19576" xr:uid="{00000000-0005-0000-0000-000014460000}"/>
    <cellStyle name="Percent 3 2 2 4 2 3 4" xfId="8862" xr:uid="{00000000-0005-0000-0000-000015460000}"/>
    <cellStyle name="Percent 3 2 2 4 2 3 4 2" xfId="19577" xr:uid="{00000000-0005-0000-0000-000016460000}"/>
    <cellStyle name="Percent 3 2 2 4 2 3 5" xfId="8863" xr:uid="{00000000-0005-0000-0000-000017460000}"/>
    <cellStyle name="Percent 3 2 2 4 2 3 5 2" xfId="19578" xr:uid="{00000000-0005-0000-0000-000018460000}"/>
    <cellStyle name="Percent 3 2 2 4 2 3 6" xfId="19579" xr:uid="{00000000-0005-0000-0000-000019460000}"/>
    <cellStyle name="Percent 3 2 2 4 2 4" xfId="8864" xr:uid="{00000000-0005-0000-0000-00001A460000}"/>
    <cellStyle name="Percent 3 2 2 4 2 4 2" xfId="8865" xr:uid="{00000000-0005-0000-0000-00001B460000}"/>
    <cellStyle name="Percent 3 2 2 4 2 4 2 2" xfId="19580" xr:uid="{00000000-0005-0000-0000-00001C460000}"/>
    <cellStyle name="Percent 3 2 2 4 2 4 3" xfId="8866" xr:uid="{00000000-0005-0000-0000-00001D460000}"/>
    <cellStyle name="Percent 3 2 2 4 2 4 3 2" xfId="19581" xr:uid="{00000000-0005-0000-0000-00001E460000}"/>
    <cellStyle name="Percent 3 2 2 4 2 4 4" xfId="19582" xr:uid="{00000000-0005-0000-0000-00001F460000}"/>
    <cellStyle name="Percent 3 2 2 4 2 5" xfId="8867" xr:uid="{00000000-0005-0000-0000-000020460000}"/>
    <cellStyle name="Percent 3 2 2 4 2 5 2" xfId="8868" xr:uid="{00000000-0005-0000-0000-000021460000}"/>
    <cellStyle name="Percent 3 2 2 4 2 5 2 2" xfId="19583" xr:uid="{00000000-0005-0000-0000-000022460000}"/>
    <cellStyle name="Percent 3 2 2 4 2 5 3" xfId="8869" xr:uid="{00000000-0005-0000-0000-000023460000}"/>
    <cellStyle name="Percent 3 2 2 4 2 5 3 2" xfId="19584" xr:uid="{00000000-0005-0000-0000-000024460000}"/>
    <cellStyle name="Percent 3 2 2 4 2 5 4" xfId="19585" xr:uid="{00000000-0005-0000-0000-000025460000}"/>
    <cellStyle name="Percent 3 2 2 4 2 6" xfId="8870" xr:uid="{00000000-0005-0000-0000-000026460000}"/>
    <cellStyle name="Percent 3 2 2 4 2 6 2" xfId="19586" xr:uid="{00000000-0005-0000-0000-000027460000}"/>
    <cellStyle name="Percent 3 2 2 4 2 7" xfId="8871" xr:uid="{00000000-0005-0000-0000-000028460000}"/>
    <cellStyle name="Percent 3 2 2 4 2 7 2" xfId="19587" xr:uid="{00000000-0005-0000-0000-000029460000}"/>
    <cellStyle name="Percent 3 2 2 4 2 8" xfId="19588" xr:uid="{00000000-0005-0000-0000-00002A460000}"/>
    <cellStyle name="Percent 3 2 2 4 3" xfId="8872" xr:uid="{00000000-0005-0000-0000-00002B460000}"/>
    <cellStyle name="Percent 3 2 2 4 3 2" xfId="8873" xr:uid="{00000000-0005-0000-0000-00002C460000}"/>
    <cellStyle name="Percent 3 2 2 4 3 2 2" xfId="8874" xr:uid="{00000000-0005-0000-0000-00002D460000}"/>
    <cellStyle name="Percent 3 2 2 4 3 2 2 2" xfId="8875" xr:uid="{00000000-0005-0000-0000-00002E460000}"/>
    <cellStyle name="Percent 3 2 2 4 3 2 2 2 2" xfId="19589" xr:uid="{00000000-0005-0000-0000-00002F460000}"/>
    <cellStyle name="Percent 3 2 2 4 3 2 2 3" xfId="8876" xr:uid="{00000000-0005-0000-0000-000030460000}"/>
    <cellStyle name="Percent 3 2 2 4 3 2 2 3 2" xfId="19590" xr:uid="{00000000-0005-0000-0000-000031460000}"/>
    <cellStyle name="Percent 3 2 2 4 3 2 2 4" xfId="19591" xr:uid="{00000000-0005-0000-0000-000032460000}"/>
    <cellStyle name="Percent 3 2 2 4 3 2 3" xfId="8877" xr:uid="{00000000-0005-0000-0000-000033460000}"/>
    <cellStyle name="Percent 3 2 2 4 3 2 3 2" xfId="8878" xr:uid="{00000000-0005-0000-0000-000034460000}"/>
    <cellStyle name="Percent 3 2 2 4 3 2 3 2 2" xfId="19592" xr:uid="{00000000-0005-0000-0000-000035460000}"/>
    <cellStyle name="Percent 3 2 2 4 3 2 3 3" xfId="8879" xr:uid="{00000000-0005-0000-0000-000036460000}"/>
    <cellStyle name="Percent 3 2 2 4 3 2 3 3 2" xfId="19593" xr:uid="{00000000-0005-0000-0000-000037460000}"/>
    <cellStyle name="Percent 3 2 2 4 3 2 3 4" xfId="19594" xr:uid="{00000000-0005-0000-0000-000038460000}"/>
    <cellStyle name="Percent 3 2 2 4 3 2 4" xfId="8880" xr:uid="{00000000-0005-0000-0000-000039460000}"/>
    <cellStyle name="Percent 3 2 2 4 3 2 4 2" xfId="19595" xr:uid="{00000000-0005-0000-0000-00003A460000}"/>
    <cellStyle name="Percent 3 2 2 4 3 2 5" xfId="8881" xr:uid="{00000000-0005-0000-0000-00003B460000}"/>
    <cellStyle name="Percent 3 2 2 4 3 2 5 2" xfId="19596" xr:uid="{00000000-0005-0000-0000-00003C460000}"/>
    <cellStyle name="Percent 3 2 2 4 3 2 6" xfId="19597" xr:uid="{00000000-0005-0000-0000-00003D460000}"/>
    <cellStyle name="Percent 3 2 2 4 3 3" xfId="8882" xr:uid="{00000000-0005-0000-0000-00003E460000}"/>
    <cellStyle name="Percent 3 2 2 4 3 3 2" xfId="8883" xr:uid="{00000000-0005-0000-0000-00003F460000}"/>
    <cellStyle name="Percent 3 2 2 4 3 3 2 2" xfId="19598" xr:uid="{00000000-0005-0000-0000-000040460000}"/>
    <cellStyle name="Percent 3 2 2 4 3 3 3" xfId="8884" xr:uid="{00000000-0005-0000-0000-000041460000}"/>
    <cellStyle name="Percent 3 2 2 4 3 3 3 2" xfId="19599" xr:uid="{00000000-0005-0000-0000-000042460000}"/>
    <cellStyle name="Percent 3 2 2 4 3 3 4" xfId="19600" xr:uid="{00000000-0005-0000-0000-000043460000}"/>
    <cellStyle name="Percent 3 2 2 4 3 4" xfId="8885" xr:uid="{00000000-0005-0000-0000-000044460000}"/>
    <cellStyle name="Percent 3 2 2 4 3 4 2" xfId="8886" xr:uid="{00000000-0005-0000-0000-000045460000}"/>
    <cellStyle name="Percent 3 2 2 4 3 4 2 2" xfId="19601" xr:uid="{00000000-0005-0000-0000-000046460000}"/>
    <cellStyle name="Percent 3 2 2 4 3 4 3" xfId="8887" xr:uid="{00000000-0005-0000-0000-000047460000}"/>
    <cellStyle name="Percent 3 2 2 4 3 4 3 2" xfId="19602" xr:uid="{00000000-0005-0000-0000-000048460000}"/>
    <cellStyle name="Percent 3 2 2 4 3 4 4" xfId="19603" xr:uid="{00000000-0005-0000-0000-000049460000}"/>
    <cellStyle name="Percent 3 2 2 4 3 5" xfId="8888" xr:uid="{00000000-0005-0000-0000-00004A460000}"/>
    <cellStyle name="Percent 3 2 2 4 3 5 2" xfId="19604" xr:uid="{00000000-0005-0000-0000-00004B460000}"/>
    <cellStyle name="Percent 3 2 2 4 3 6" xfId="8889" xr:uid="{00000000-0005-0000-0000-00004C460000}"/>
    <cellStyle name="Percent 3 2 2 4 3 6 2" xfId="19605" xr:uid="{00000000-0005-0000-0000-00004D460000}"/>
    <cellStyle name="Percent 3 2 2 4 3 7" xfId="19606" xr:uid="{00000000-0005-0000-0000-00004E460000}"/>
    <cellStyle name="Percent 3 2 2 4 4" xfId="8890" xr:uid="{00000000-0005-0000-0000-00004F460000}"/>
    <cellStyle name="Percent 3 2 2 4 4 2" xfId="8891" xr:uid="{00000000-0005-0000-0000-000050460000}"/>
    <cellStyle name="Percent 3 2 2 4 4 2 2" xfId="8892" xr:uid="{00000000-0005-0000-0000-000051460000}"/>
    <cellStyle name="Percent 3 2 2 4 4 2 2 2" xfId="19607" xr:uid="{00000000-0005-0000-0000-000052460000}"/>
    <cellStyle name="Percent 3 2 2 4 4 2 3" xfId="8893" xr:uid="{00000000-0005-0000-0000-000053460000}"/>
    <cellStyle name="Percent 3 2 2 4 4 2 3 2" xfId="19608" xr:uid="{00000000-0005-0000-0000-000054460000}"/>
    <cellStyle name="Percent 3 2 2 4 4 2 4" xfId="19609" xr:uid="{00000000-0005-0000-0000-000055460000}"/>
    <cellStyle name="Percent 3 2 2 4 4 3" xfId="8894" xr:uid="{00000000-0005-0000-0000-000056460000}"/>
    <cellStyle name="Percent 3 2 2 4 4 3 2" xfId="8895" xr:uid="{00000000-0005-0000-0000-000057460000}"/>
    <cellStyle name="Percent 3 2 2 4 4 3 2 2" xfId="19610" xr:uid="{00000000-0005-0000-0000-000058460000}"/>
    <cellStyle name="Percent 3 2 2 4 4 3 3" xfId="8896" xr:uid="{00000000-0005-0000-0000-000059460000}"/>
    <cellStyle name="Percent 3 2 2 4 4 3 3 2" xfId="19611" xr:uid="{00000000-0005-0000-0000-00005A460000}"/>
    <cellStyle name="Percent 3 2 2 4 4 3 4" xfId="19612" xr:uid="{00000000-0005-0000-0000-00005B460000}"/>
    <cellStyle name="Percent 3 2 2 4 4 4" xfId="8897" xr:uid="{00000000-0005-0000-0000-00005C460000}"/>
    <cellStyle name="Percent 3 2 2 4 4 4 2" xfId="19613" xr:uid="{00000000-0005-0000-0000-00005D460000}"/>
    <cellStyle name="Percent 3 2 2 4 4 5" xfId="8898" xr:uid="{00000000-0005-0000-0000-00005E460000}"/>
    <cellStyle name="Percent 3 2 2 4 4 5 2" xfId="19614" xr:uid="{00000000-0005-0000-0000-00005F460000}"/>
    <cellStyle name="Percent 3 2 2 4 4 6" xfId="19615" xr:uid="{00000000-0005-0000-0000-000060460000}"/>
    <cellStyle name="Percent 3 2 2 4 5" xfId="8899" xr:uid="{00000000-0005-0000-0000-000061460000}"/>
    <cellStyle name="Percent 3 2 2 4 5 2" xfId="8900" xr:uid="{00000000-0005-0000-0000-000062460000}"/>
    <cellStyle name="Percent 3 2 2 4 5 2 2" xfId="8901" xr:uid="{00000000-0005-0000-0000-000063460000}"/>
    <cellStyle name="Percent 3 2 2 4 5 2 2 2" xfId="19616" xr:uid="{00000000-0005-0000-0000-000064460000}"/>
    <cellStyle name="Percent 3 2 2 4 5 2 3" xfId="8902" xr:uid="{00000000-0005-0000-0000-000065460000}"/>
    <cellStyle name="Percent 3 2 2 4 5 2 3 2" xfId="19617" xr:uid="{00000000-0005-0000-0000-000066460000}"/>
    <cellStyle name="Percent 3 2 2 4 5 2 4" xfId="19618" xr:uid="{00000000-0005-0000-0000-000067460000}"/>
    <cellStyle name="Percent 3 2 2 4 5 3" xfId="8903" xr:uid="{00000000-0005-0000-0000-000068460000}"/>
    <cellStyle name="Percent 3 2 2 4 5 3 2" xfId="8904" xr:uid="{00000000-0005-0000-0000-000069460000}"/>
    <cellStyle name="Percent 3 2 2 4 5 3 2 2" xfId="19619" xr:uid="{00000000-0005-0000-0000-00006A460000}"/>
    <cellStyle name="Percent 3 2 2 4 5 3 3" xfId="8905" xr:uid="{00000000-0005-0000-0000-00006B460000}"/>
    <cellStyle name="Percent 3 2 2 4 5 3 3 2" xfId="19620" xr:uid="{00000000-0005-0000-0000-00006C460000}"/>
    <cellStyle name="Percent 3 2 2 4 5 3 4" xfId="19621" xr:uid="{00000000-0005-0000-0000-00006D460000}"/>
    <cellStyle name="Percent 3 2 2 4 5 4" xfId="8906" xr:uid="{00000000-0005-0000-0000-00006E460000}"/>
    <cellStyle name="Percent 3 2 2 4 5 4 2" xfId="19622" xr:uid="{00000000-0005-0000-0000-00006F460000}"/>
    <cellStyle name="Percent 3 2 2 4 5 5" xfId="8907" xr:uid="{00000000-0005-0000-0000-000070460000}"/>
    <cellStyle name="Percent 3 2 2 4 5 5 2" xfId="19623" xr:uid="{00000000-0005-0000-0000-000071460000}"/>
    <cellStyle name="Percent 3 2 2 4 5 6" xfId="19624" xr:uid="{00000000-0005-0000-0000-000072460000}"/>
    <cellStyle name="Percent 3 2 2 4 6" xfId="8908" xr:uid="{00000000-0005-0000-0000-000073460000}"/>
    <cellStyle name="Percent 3 2 2 4 6 2" xfId="8909" xr:uid="{00000000-0005-0000-0000-000074460000}"/>
    <cellStyle name="Percent 3 2 2 4 6 2 2" xfId="19625" xr:uid="{00000000-0005-0000-0000-000075460000}"/>
    <cellStyle name="Percent 3 2 2 4 6 3" xfId="8910" xr:uid="{00000000-0005-0000-0000-000076460000}"/>
    <cellStyle name="Percent 3 2 2 4 6 3 2" xfId="19626" xr:uid="{00000000-0005-0000-0000-000077460000}"/>
    <cellStyle name="Percent 3 2 2 4 6 4" xfId="19627" xr:uid="{00000000-0005-0000-0000-000078460000}"/>
    <cellStyle name="Percent 3 2 2 4 7" xfId="8911" xr:uid="{00000000-0005-0000-0000-000079460000}"/>
    <cellStyle name="Percent 3 2 2 4 7 2" xfId="8912" xr:uid="{00000000-0005-0000-0000-00007A460000}"/>
    <cellStyle name="Percent 3 2 2 4 7 2 2" xfId="19628" xr:uid="{00000000-0005-0000-0000-00007B460000}"/>
    <cellStyle name="Percent 3 2 2 4 7 3" xfId="8913" xr:uid="{00000000-0005-0000-0000-00007C460000}"/>
    <cellStyle name="Percent 3 2 2 4 7 3 2" xfId="19629" xr:uid="{00000000-0005-0000-0000-00007D460000}"/>
    <cellStyle name="Percent 3 2 2 4 7 4" xfId="19630" xr:uid="{00000000-0005-0000-0000-00007E460000}"/>
    <cellStyle name="Percent 3 2 2 4 8" xfId="8914" xr:uid="{00000000-0005-0000-0000-00007F460000}"/>
    <cellStyle name="Percent 3 2 2 4 8 2" xfId="19631" xr:uid="{00000000-0005-0000-0000-000080460000}"/>
    <cellStyle name="Percent 3 2 2 4 9" xfId="8915" xr:uid="{00000000-0005-0000-0000-000081460000}"/>
    <cellStyle name="Percent 3 2 2 4 9 2" xfId="19632" xr:uid="{00000000-0005-0000-0000-000082460000}"/>
    <cellStyle name="Percent 3 2 2 5" xfId="8916" xr:uid="{00000000-0005-0000-0000-000083460000}"/>
    <cellStyle name="Percent 3 2 2 5 2" xfId="8917" xr:uid="{00000000-0005-0000-0000-000084460000}"/>
    <cellStyle name="Percent 3 2 2 5 2 2" xfId="8918" xr:uid="{00000000-0005-0000-0000-000085460000}"/>
    <cellStyle name="Percent 3 2 2 5 2 2 2" xfId="8919" xr:uid="{00000000-0005-0000-0000-000086460000}"/>
    <cellStyle name="Percent 3 2 2 5 2 2 2 2" xfId="19633" xr:uid="{00000000-0005-0000-0000-000087460000}"/>
    <cellStyle name="Percent 3 2 2 5 2 2 3" xfId="8920" xr:uid="{00000000-0005-0000-0000-000088460000}"/>
    <cellStyle name="Percent 3 2 2 5 2 2 3 2" xfId="19634" xr:uid="{00000000-0005-0000-0000-000089460000}"/>
    <cellStyle name="Percent 3 2 2 5 2 2 4" xfId="19635" xr:uid="{00000000-0005-0000-0000-00008A460000}"/>
    <cellStyle name="Percent 3 2 2 5 2 3" xfId="8921" xr:uid="{00000000-0005-0000-0000-00008B460000}"/>
    <cellStyle name="Percent 3 2 2 5 2 3 2" xfId="8922" xr:uid="{00000000-0005-0000-0000-00008C460000}"/>
    <cellStyle name="Percent 3 2 2 5 2 3 2 2" xfId="19636" xr:uid="{00000000-0005-0000-0000-00008D460000}"/>
    <cellStyle name="Percent 3 2 2 5 2 3 3" xfId="8923" xr:uid="{00000000-0005-0000-0000-00008E460000}"/>
    <cellStyle name="Percent 3 2 2 5 2 3 3 2" xfId="19637" xr:uid="{00000000-0005-0000-0000-00008F460000}"/>
    <cellStyle name="Percent 3 2 2 5 2 3 4" xfId="19638" xr:uid="{00000000-0005-0000-0000-000090460000}"/>
    <cellStyle name="Percent 3 2 2 5 2 4" xfId="8924" xr:uid="{00000000-0005-0000-0000-000091460000}"/>
    <cellStyle name="Percent 3 2 2 5 2 4 2" xfId="19639" xr:uid="{00000000-0005-0000-0000-000092460000}"/>
    <cellStyle name="Percent 3 2 2 5 2 5" xfId="8925" xr:uid="{00000000-0005-0000-0000-000093460000}"/>
    <cellStyle name="Percent 3 2 2 5 2 5 2" xfId="19640" xr:uid="{00000000-0005-0000-0000-000094460000}"/>
    <cellStyle name="Percent 3 2 2 5 2 6" xfId="19641" xr:uid="{00000000-0005-0000-0000-000095460000}"/>
    <cellStyle name="Percent 3 2 2 5 3" xfId="8926" xr:uid="{00000000-0005-0000-0000-000096460000}"/>
    <cellStyle name="Percent 3 2 2 5 3 2" xfId="8927" xr:uid="{00000000-0005-0000-0000-000097460000}"/>
    <cellStyle name="Percent 3 2 2 5 3 2 2" xfId="8928" xr:uid="{00000000-0005-0000-0000-000098460000}"/>
    <cellStyle name="Percent 3 2 2 5 3 2 2 2" xfId="19642" xr:uid="{00000000-0005-0000-0000-000099460000}"/>
    <cellStyle name="Percent 3 2 2 5 3 2 3" xfId="8929" xr:uid="{00000000-0005-0000-0000-00009A460000}"/>
    <cellStyle name="Percent 3 2 2 5 3 2 3 2" xfId="19643" xr:uid="{00000000-0005-0000-0000-00009B460000}"/>
    <cellStyle name="Percent 3 2 2 5 3 2 4" xfId="19644" xr:uid="{00000000-0005-0000-0000-00009C460000}"/>
    <cellStyle name="Percent 3 2 2 5 3 3" xfId="8930" xr:uid="{00000000-0005-0000-0000-00009D460000}"/>
    <cellStyle name="Percent 3 2 2 5 3 3 2" xfId="8931" xr:uid="{00000000-0005-0000-0000-00009E460000}"/>
    <cellStyle name="Percent 3 2 2 5 3 3 2 2" xfId="19645" xr:uid="{00000000-0005-0000-0000-00009F460000}"/>
    <cellStyle name="Percent 3 2 2 5 3 3 3" xfId="8932" xr:uid="{00000000-0005-0000-0000-0000A0460000}"/>
    <cellStyle name="Percent 3 2 2 5 3 3 3 2" xfId="19646" xr:uid="{00000000-0005-0000-0000-0000A1460000}"/>
    <cellStyle name="Percent 3 2 2 5 3 3 4" xfId="19647" xr:uid="{00000000-0005-0000-0000-0000A2460000}"/>
    <cellStyle name="Percent 3 2 2 5 3 4" xfId="8933" xr:uid="{00000000-0005-0000-0000-0000A3460000}"/>
    <cellStyle name="Percent 3 2 2 5 3 4 2" xfId="19648" xr:uid="{00000000-0005-0000-0000-0000A4460000}"/>
    <cellStyle name="Percent 3 2 2 5 3 5" xfId="8934" xr:uid="{00000000-0005-0000-0000-0000A5460000}"/>
    <cellStyle name="Percent 3 2 2 5 3 5 2" xfId="19649" xr:uid="{00000000-0005-0000-0000-0000A6460000}"/>
    <cellStyle name="Percent 3 2 2 5 3 6" xfId="19650" xr:uid="{00000000-0005-0000-0000-0000A7460000}"/>
    <cellStyle name="Percent 3 2 2 5 4" xfId="8935" xr:uid="{00000000-0005-0000-0000-0000A8460000}"/>
    <cellStyle name="Percent 3 2 2 5 4 2" xfId="8936" xr:uid="{00000000-0005-0000-0000-0000A9460000}"/>
    <cellStyle name="Percent 3 2 2 5 4 2 2" xfId="19651" xr:uid="{00000000-0005-0000-0000-0000AA460000}"/>
    <cellStyle name="Percent 3 2 2 5 4 3" xfId="8937" xr:uid="{00000000-0005-0000-0000-0000AB460000}"/>
    <cellStyle name="Percent 3 2 2 5 4 3 2" xfId="19652" xr:uid="{00000000-0005-0000-0000-0000AC460000}"/>
    <cellStyle name="Percent 3 2 2 5 4 4" xfId="19653" xr:uid="{00000000-0005-0000-0000-0000AD460000}"/>
    <cellStyle name="Percent 3 2 2 5 5" xfId="8938" xr:uid="{00000000-0005-0000-0000-0000AE460000}"/>
    <cellStyle name="Percent 3 2 2 5 5 2" xfId="8939" xr:uid="{00000000-0005-0000-0000-0000AF460000}"/>
    <cellStyle name="Percent 3 2 2 5 5 2 2" xfId="19654" xr:uid="{00000000-0005-0000-0000-0000B0460000}"/>
    <cellStyle name="Percent 3 2 2 5 5 3" xfId="8940" xr:uid="{00000000-0005-0000-0000-0000B1460000}"/>
    <cellStyle name="Percent 3 2 2 5 5 3 2" xfId="19655" xr:uid="{00000000-0005-0000-0000-0000B2460000}"/>
    <cellStyle name="Percent 3 2 2 5 5 4" xfId="19656" xr:uid="{00000000-0005-0000-0000-0000B3460000}"/>
    <cellStyle name="Percent 3 2 2 5 6" xfId="8941" xr:uid="{00000000-0005-0000-0000-0000B4460000}"/>
    <cellStyle name="Percent 3 2 2 5 6 2" xfId="19657" xr:uid="{00000000-0005-0000-0000-0000B5460000}"/>
    <cellStyle name="Percent 3 2 2 5 7" xfId="8942" xr:uid="{00000000-0005-0000-0000-0000B6460000}"/>
    <cellStyle name="Percent 3 2 2 5 7 2" xfId="19658" xr:uid="{00000000-0005-0000-0000-0000B7460000}"/>
    <cellStyle name="Percent 3 2 2 5 8" xfId="19659" xr:uid="{00000000-0005-0000-0000-0000B8460000}"/>
    <cellStyle name="Percent 3 2 2 6" xfId="8943" xr:uid="{00000000-0005-0000-0000-0000B9460000}"/>
    <cellStyle name="Percent 3 2 2 6 2" xfId="8944" xr:uid="{00000000-0005-0000-0000-0000BA460000}"/>
    <cellStyle name="Percent 3 2 2 6 2 2" xfId="8945" xr:uid="{00000000-0005-0000-0000-0000BB460000}"/>
    <cellStyle name="Percent 3 2 2 6 2 2 2" xfId="8946" xr:uid="{00000000-0005-0000-0000-0000BC460000}"/>
    <cellStyle name="Percent 3 2 2 6 2 2 2 2" xfId="19660" xr:uid="{00000000-0005-0000-0000-0000BD460000}"/>
    <cellStyle name="Percent 3 2 2 6 2 2 3" xfId="8947" xr:uid="{00000000-0005-0000-0000-0000BE460000}"/>
    <cellStyle name="Percent 3 2 2 6 2 2 3 2" xfId="19661" xr:uid="{00000000-0005-0000-0000-0000BF460000}"/>
    <cellStyle name="Percent 3 2 2 6 2 2 4" xfId="19662" xr:uid="{00000000-0005-0000-0000-0000C0460000}"/>
    <cellStyle name="Percent 3 2 2 6 2 3" xfId="8948" xr:uid="{00000000-0005-0000-0000-0000C1460000}"/>
    <cellStyle name="Percent 3 2 2 6 2 3 2" xfId="8949" xr:uid="{00000000-0005-0000-0000-0000C2460000}"/>
    <cellStyle name="Percent 3 2 2 6 2 3 2 2" xfId="19663" xr:uid="{00000000-0005-0000-0000-0000C3460000}"/>
    <cellStyle name="Percent 3 2 2 6 2 3 3" xfId="8950" xr:uid="{00000000-0005-0000-0000-0000C4460000}"/>
    <cellStyle name="Percent 3 2 2 6 2 3 3 2" xfId="19664" xr:uid="{00000000-0005-0000-0000-0000C5460000}"/>
    <cellStyle name="Percent 3 2 2 6 2 3 4" xfId="19665" xr:uid="{00000000-0005-0000-0000-0000C6460000}"/>
    <cellStyle name="Percent 3 2 2 6 2 4" xfId="8951" xr:uid="{00000000-0005-0000-0000-0000C7460000}"/>
    <cellStyle name="Percent 3 2 2 6 2 4 2" xfId="19666" xr:uid="{00000000-0005-0000-0000-0000C8460000}"/>
    <cellStyle name="Percent 3 2 2 6 2 5" xfId="8952" xr:uid="{00000000-0005-0000-0000-0000C9460000}"/>
    <cellStyle name="Percent 3 2 2 6 2 5 2" xfId="19667" xr:uid="{00000000-0005-0000-0000-0000CA460000}"/>
    <cellStyle name="Percent 3 2 2 6 2 6" xfId="19668" xr:uid="{00000000-0005-0000-0000-0000CB460000}"/>
    <cellStyle name="Percent 3 2 2 6 3" xfId="8953" xr:uid="{00000000-0005-0000-0000-0000CC460000}"/>
    <cellStyle name="Percent 3 2 2 6 3 2" xfId="8954" xr:uid="{00000000-0005-0000-0000-0000CD460000}"/>
    <cellStyle name="Percent 3 2 2 6 3 2 2" xfId="19669" xr:uid="{00000000-0005-0000-0000-0000CE460000}"/>
    <cellStyle name="Percent 3 2 2 6 3 3" xfId="8955" xr:uid="{00000000-0005-0000-0000-0000CF460000}"/>
    <cellStyle name="Percent 3 2 2 6 3 3 2" xfId="19670" xr:uid="{00000000-0005-0000-0000-0000D0460000}"/>
    <cellStyle name="Percent 3 2 2 6 3 4" xfId="19671" xr:uid="{00000000-0005-0000-0000-0000D1460000}"/>
    <cellStyle name="Percent 3 2 2 6 4" xfId="8956" xr:uid="{00000000-0005-0000-0000-0000D2460000}"/>
    <cellStyle name="Percent 3 2 2 6 4 2" xfId="8957" xr:uid="{00000000-0005-0000-0000-0000D3460000}"/>
    <cellStyle name="Percent 3 2 2 6 4 2 2" xfId="19672" xr:uid="{00000000-0005-0000-0000-0000D4460000}"/>
    <cellStyle name="Percent 3 2 2 6 4 3" xfId="8958" xr:uid="{00000000-0005-0000-0000-0000D5460000}"/>
    <cellStyle name="Percent 3 2 2 6 4 3 2" xfId="19673" xr:uid="{00000000-0005-0000-0000-0000D6460000}"/>
    <cellStyle name="Percent 3 2 2 6 4 4" xfId="19674" xr:uid="{00000000-0005-0000-0000-0000D7460000}"/>
    <cellStyle name="Percent 3 2 2 6 5" xfId="8959" xr:uid="{00000000-0005-0000-0000-0000D8460000}"/>
    <cellStyle name="Percent 3 2 2 6 5 2" xfId="19675" xr:uid="{00000000-0005-0000-0000-0000D9460000}"/>
    <cellStyle name="Percent 3 2 2 6 6" xfId="8960" xr:uid="{00000000-0005-0000-0000-0000DA460000}"/>
    <cellStyle name="Percent 3 2 2 6 6 2" xfId="19676" xr:uid="{00000000-0005-0000-0000-0000DB460000}"/>
    <cellStyle name="Percent 3 2 2 6 7" xfId="19677" xr:uid="{00000000-0005-0000-0000-0000DC460000}"/>
    <cellStyle name="Percent 3 2 2 7" xfId="8961" xr:uid="{00000000-0005-0000-0000-0000DD460000}"/>
    <cellStyle name="Percent 3 2 2 7 2" xfId="8962" xr:uid="{00000000-0005-0000-0000-0000DE460000}"/>
    <cellStyle name="Percent 3 2 2 7 2 2" xfId="8963" xr:uid="{00000000-0005-0000-0000-0000DF460000}"/>
    <cellStyle name="Percent 3 2 2 7 2 2 2" xfId="19678" xr:uid="{00000000-0005-0000-0000-0000E0460000}"/>
    <cellStyle name="Percent 3 2 2 7 2 3" xfId="8964" xr:uid="{00000000-0005-0000-0000-0000E1460000}"/>
    <cellStyle name="Percent 3 2 2 7 2 3 2" xfId="19679" xr:uid="{00000000-0005-0000-0000-0000E2460000}"/>
    <cellStyle name="Percent 3 2 2 7 2 4" xfId="19680" xr:uid="{00000000-0005-0000-0000-0000E3460000}"/>
    <cellStyle name="Percent 3 2 2 7 3" xfId="8965" xr:uid="{00000000-0005-0000-0000-0000E4460000}"/>
    <cellStyle name="Percent 3 2 2 7 3 2" xfId="8966" xr:uid="{00000000-0005-0000-0000-0000E5460000}"/>
    <cellStyle name="Percent 3 2 2 7 3 2 2" xfId="19681" xr:uid="{00000000-0005-0000-0000-0000E6460000}"/>
    <cellStyle name="Percent 3 2 2 7 3 3" xfId="8967" xr:uid="{00000000-0005-0000-0000-0000E7460000}"/>
    <cellStyle name="Percent 3 2 2 7 3 3 2" xfId="19682" xr:uid="{00000000-0005-0000-0000-0000E8460000}"/>
    <cellStyle name="Percent 3 2 2 7 3 4" xfId="19683" xr:uid="{00000000-0005-0000-0000-0000E9460000}"/>
    <cellStyle name="Percent 3 2 2 7 4" xfId="8968" xr:uid="{00000000-0005-0000-0000-0000EA460000}"/>
    <cellStyle name="Percent 3 2 2 7 4 2" xfId="19684" xr:uid="{00000000-0005-0000-0000-0000EB460000}"/>
    <cellStyle name="Percent 3 2 2 7 5" xfId="8969" xr:uid="{00000000-0005-0000-0000-0000EC460000}"/>
    <cellStyle name="Percent 3 2 2 7 5 2" xfId="19685" xr:uid="{00000000-0005-0000-0000-0000ED460000}"/>
    <cellStyle name="Percent 3 2 2 7 6" xfId="19686" xr:uid="{00000000-0005-0000-0000-0000EE460000}"/>
    <cellStyle name="Percent 3 2 2 8" xfId="8970" xr:uid="{00000000-0005-0000-0000-0000EF460000}"/>
    <cellStyle name="Percent 3 2 2 8 2" xfId="8971" xr:uid="{00000000-0005-0000-0000-0000F0460000}"/>
    <cellStyle name="Percent 3 2 2 8 2 2" xfId="8972" xr:uid="{00000000-0005-0000-0000-0000F1460000}"/>
    <cellStyle name="Percent 3 2 2 8 2 2 2" xfId="19687" xr:uid="{00000000-0005-0000-0000-0000F2460000}"/>
    <cellStyle name="Percent 3 2 2 8 2 3" xfId="8973" xr:uid="{00000000-0005-0000-0000-0000F3460000}"/>
    <cellStyle name="Percent 3 2 2 8 2 3 2" xfId="19688" xr:uid="{00000000-0005-0000-0000-0000F4460000}"/>
    <cellStyle name="Percent 3 2 2 8 2 4" xfId="19689" xr:uid="{00000000-0005-0000-0000-0000F5460000}"/>
    <cellStyle name="Percent 3 2 2 8 3" xfId="8974" xr:uid="{00000000-0005-0000-0000-0000F6460000}"/>
    <cellStyle name="Percent 3 2 2 8 3 2" xfId="8975" xr:uid="{00000000-0005-0000-0000-0000F7460000}"/>
    <cellStyle name="Percent 3 2 2 8 3 2 2" xfId="19690" xr:uid="{00000000-0005-0000-0000-0000F8460000}"/>
    <cellStyle name="Percent 3 2 2 8 3 3" xfId="8976" xr:uid="{00000000-0005-0000-0000-0000F9460000}"/>
    <cellStyle name="Percent 3 2 2 8 3 3 2" xfId="19691" xr:uid="{00000000-0005-0000-0000-0000FA460000}"/>
    <cellStyle name="Percent 3 2 2 8 3 4" xfId="19692" xr:uid="{00000000-0005-0000-0000-0000FB460000}"/>
    <cellStyle name="Percent 3 2 2 8 4" xfId="8977" xr:uid="{00000000-0005-0000-0000-0000FC460000}"/>
    <cellStyle name="Percent 3 2 2 8 4 2" xfId="19693" xr:uid="{00000000-0005-0000-0000-0000FD460000}"/>
    <cellStyle name="Percent 3 2 2 8 5" xfId="8978" xr:uid="{00000000-0005-0000-0000-0000FE460000}"/>
    <cellStyle name="Percent 3 2 2 8 5 2" xfId="19694" xr:uid="{00000000-0005-0000-0000-0000FF460000}"/>
    <cellStyle name="Percent 3 2 2 8 6" xfId="19695" xr:uid="{00000000-0005-0000-0000-000000470000}"/>
    <cellStyle name="Percent 3 2 3" xfId="8979" xr:uid="{00000000-0005-0000-0000-000001470000}"/>
    <cellStyle name="Percent 3 2 3 2" xfId="8980" xr:uid="{00000000-0005-0000-0000-000002470000}"/>
    <cellStyle name="Percent 3 2 3 2 10" xfId="8981" xr:uid="{00000000-0005-0000-0000-000003470000}"/>
    <cellStyle name="Percent 3 2 3 2 10 2" xfId="19696" xr:uid="{00000000-0005-0000-0000-000004470000}"/>
    <cellStyle name="Percent 3 2 3 2 11" xfId="8982" xr:uid="{00000000-0005-0000-0000-000005470000}"/>
    <cellStyle name="Percent 3 2 3 2 11 2" xfId="19697" xr:uid="{00000000-0005-0000-0000-000006470000}"/>
    <cellStyle name="Percent 3 2 3 2 12" xfId="19698" xr:uid="{00000000-0005-0000-0000-000007470000}"/>
    <cellStyle name="Percent 3 2 3 2 2" xfId="8983" xr:uid="{00000000-0005-0000-0000-000008470000}"/>
    <cellStyle name="Percent 3 2 3 2 2 10" xfId="8984" xr:uid="{00000000-0005-0000-0000-000009470000}"/>
    <cellStyle name="Percent 3 2 3 2 2 10 2" xfId="19699" xr:uid="{00000000-0005-0000-0000-00000A470000}"/>
    <cellStyle name="Percent 3 2 3 2 2 11" xfId="19700" xr:uid="{00000000-0005-0000-0000-00000B470000}"/>
    <cellStyle name="Percent 3 2 3 2 2 2" xfId="8985" xr:uid="{00000000-0005-0000-0000-00000C470000}"/>
    <cellStyle name="Percent 3 2 3 2 2 2 10" xfId="19701" xr:uid="{00000000-0005-0000-0000-00000D470000}"/>
    <cellStyle name="Percent 3 2 3 2 2 2 2" xfId="8986" xr:uid="{00000000-0005-0000-0000-00000E470000}"/>
    <cellStyle name="Percent 3 2 3 2 2 2 2 2" xfId="8987" xr:uid="{00000000-0005-0000-0000-00000F470000}"/>
    <cellStyle name="Percent 3 2 3 2 2 2 2 2 2" xfId="8988" xr:uid="{00000000-0005-0000-0000-000010470000}"/>
    <cellStyle name="Percent 3 2 3 2 2 2 2 2 2 2" xfId="8989" xr:uid="{00000000-0005-0000-0000-000011470000}"/>
    <cellStyle name="Percent 3 2 3 2 2 2 2 2 2 2 2" xfId="19702" xr:uid="{00000000-0005-0000-0000-000012470000}"/>
    <cellStyle name="Percent 3 2 3 2 2 2 2 2 2 3" xfId="8990" xr:uid="{00000000-0005-0000-0000-000013470000}"/>
    <cellStyle name="Percent 3 2 3 2 2 2 2 2 2 3 2" xfId="19703" xr:uid="{00000000-0005-0000-0000-000014470000}"/>
    <cellStyle name="Percent 3 2 3 2 2 2 2 2 2 4" xfId="19704" xr:uid="{00000000-0005-0000-0000-000015470000}"/>
    <cellStyle name="Percent 3 2 3 2 2 2 2 2 3" xfId="8991" xr:uid="{00000000-0005-0000-0000-000016470000}"/>
    <cellStyle name="Percent 3 2 3 2 2 2 2 2 3 2" xfId="8992" xr:uid="{00000000-0005-0000-0000-000017470000}"/>
    <cellStyle name="Percent 3 2 3 2 2 2 2 2 3 2 2" xfId="19705" xr:uid="{00000000-0005-0000-0000-000018470000}"/>
    <cellStyle name="Percent 3 2 3 2 2 2 2 2 3 3" xfId="8993" xr:uid="{00000000-0005-0000-0000-000019470000}"/>
    <cellStyle name="Percent 3 2 3 2 2 2 2 2 3 3 2" xfId="19706" xr:uid="{00000000-0005-0000-0000-00001A470000}"/>
    <cellStyle name="Percent 3 2 3 2 2 2 2 2 3 4" xfId="19707" xr:uid="{00000000-0005-0000-0000-00001B470000}"/>
    <cellStyle name="Percent 3 2 3 2 2 2 2 2 4" xfId="8994" xr:uid="{00000000-0005-0000-0000-00001C470000}"/>
    <cellStyle name="Percent 3 2 3 2 2 2 2 2 4 2" xfId="19708" xr:uid="{00000000-0005-0000-0000-00001D470000}"/>
    <cellStyle name="Percent 3 2 3 2 2 2 2 2 5" xfId="8995" xr:uid="{00000000-0005-0000-0000-00001E470000}"/>
    <cellStyle name="Percent 3 2 3 2 2 2 2 2 5 2" xfId="19709" xr:uid="{00000000-0005-0000-0000-00001F470000}"/>
    <cellStyle name="Percent 3 2 3 2 2 2 2 2 6" xfId="19710" xr:uid="{00000000-0005-0000-0000-000020470000}"/>
    <cellStyle name="Percent 3 2 3 2 2 2 2 3" xfId="8996" xr:uid="{00000000-0005-0000-0000-000021470000}"/>
    <cellStyle name="Percent 3 2 3 2 2 2 2 3 2" xfId="8997" xr:uid="{00000000-0005-0000-0000-000022470000}"/>
    <cellStyle name="Percent 3 2 3 2 2 2 2 3 2 2" xfId="8998" xr:uid="{00000000-0005-0000-0000-000023470000}"/>
    <cellStyle name="Percent 3 2 3 2 2 2 2 3 2 2 2" xfId="19711" xr:uid="{00000000-0005-0000-0000-000024470000}"/>
    <cellStyle name="Percent 3 2 3 2 2 2 2 3 2 3" xfId="8999" xr:uid="{00000000-0005-0000-0000-000025470000}"/>
    <cellStyle name="Percent 3 2 3 2 2 2 2 3 2 3 2" xfId="19712" xr:uid="{00000000-0005-0000-0000-000026470000}"/>
    <cellStyle name="Percent 3 2 3 2 2 2 2 3 2 4" xfId="19713" xr:uid="{00000000-0005-0000-0000-000027470000}"/>
    <cellStyle name="Percent 3 2 3 2 2 2 2 3 3" xfId="9000" xr:uid="{00000000-0005-0000-0000-000028470000}"/>
    <cellStyle name="Percent 3 2 3 2 2 2 2 3 3 2" xfId="9001" xr:uid="{00000000-0005-0000-0000-000029470000}"/>
    <cellStyle name="Percent 3 2 3 2 2 2 2 3 3 2 2" xfId="19714" xr:uid="{00000000-0005-0000-0000-00002A470000}"/>
    <cellStyle name="Percent 3 2 3 2 2 2 2 3 3 3" xfId="9002" xr:uid="{00000000-0005-0000-0000-00002B470000}"/>
    <cellStyle name="Percent 3 2 3 2 2 2 2 3 3 3 2" xfId="19715" xr:uid="{00000000-0005-0000-0000-00002C470000}"/>
    <cellStyle name="Percent 3 2 3 2 2 2 2 3 3 4" xfId="19716" xr:uid="{00000000-0005-0000-0000-00002D470000}"/>
    <cellStyle name="Percent 3 2 3 2 2 2 2 3 4" xfId="9003" xr:uid="{00000000-0005-0000-0000-00002E470000}"/>
    <cellStyle name="Percent 3 2 3 2 2 2 2 3 4 2" xfId="19717" xr:uid="{00000000-0005-0000-0000-00002F470000}"/>
    <cellStyle name="Percent 3 2 3 2 2 2 2 3 5" xfId="9004" xr:uid="{00000000-0005-0000-0000-000030470000}"/>
    <cellStyle name="Percent 3 2 3 2 2 2 2 3 5 2" xfId="19718" xr:uid="{00000000-0005-0000-0000-000031470000}"/>
    <cellStyle name="Percent 3 2 3 2 2 2 2 3 6" xfId="19719" xr:uid="{00000000-0005-0000-0000-000032470000}"/>
    <cellStyle name="Percent 3 2 3 2 2 2 2 4" xfId="9005" xr:uid="{00000000-0005-0000-0000-000033470000}"/>
    <cellStyle name="Percent 3 2 3 2 2 2 2 4 2" xfId="9006" xr:uid="{00000000-0005-0000-0000-000034470000}"/>
    <cellStyle name="Percent 3 2 3 2 2 2 2 4 2 2" xfId="19720" xr:uid="{00000000-0005-0000-0000-000035470000}"/>
    <cellStyle name="Percent 3 2 3 2 2 2 2 4 3" xfId="9007" xr:uid="{00000000-0005-0000-0000-000036470000}"/>
    <cellStyle name="Percent 3 2 3 2 2 2 2 4 3 2" xfId="19721" xr:uid="{00000000-0005-0000-0000-000037470000}"/>
    <cellStyle name="Percent 3 2 3 2 2 2 2 4 4" xfId="19722" xr:uid="{00000000-0005-0000-0000-000038470000}"/>
    <cellStyle name="Percent 3 2 3 2 2 2 2 5" xfId="9008" xr:uid="{00000000-0005-0000-0000-000039470000}"/>
    <cellStyle name="Percent 3 2 3 2 2 2 2 5 2" xfId="9009" xr:uid="{00000000-0005-0000-0000-00003A470000}"/>
    <cellStyle name="Percent 3 2 3 2 2 2 2 5 2 2" xfId="19723" xr:uid="{00000000-0005-0000-0000-00003B470000}"/>
    <cellStyle name="Percent 3 2 3 2 2 2 2 5 3" xfId="9010" xr:uid="{00000000-0005-0000-0000-00003C470000}"/>
    <cellStyle name="Percent 3 2 3 2 2 2 2 5 3 2" xfId="19724" xr:uid="{00000000-0005-0000-0000-00003D470000}"/>
    <cellStyle name="Percent 3 2 3 2 2 2 2 5 4" xfId="19725" xr:uid="{00000000-0005-0000-0000-00003E470000}"/>
    <cellStyle name="Percent 3 2 3 2 2 2 2 6" xfId="9011" xr:uid="{00000000-0005-0000-0000-00003F470000}"/>
    <cellStyle name="Percent 3 2 3 2 2 2 2 6 2" xfId="19726" xr:uid="{00000000-0005-0000-0000-000040470000}"/>
    <cellStyle name="Percent 3 2 3 2 2 2 2 7" xfId="9012" xr:uid="{00000000-0005-0000-0000-000041470000}"/>
    <cellStyle name="Percent 3 2 3 2 2 2 2 7 2" xfId="19727" xr:uid="{00000000-0005-0000-0000-000042470000}"/>
    <cellStyle name="Percent 3 2 3 2 2 2 2 8" xfId="19728" xr:uid="{00000000-0005-0000-0000-000043470000}"/>
    <cellStyle name="Percent 3 2 3 2 2 2 3" xfId="9013" xr:uid="{00000000-0005-0000-0000-000044470000}"/>
    <cellStyle name="Percent 3 2 3 2 2 2 3 2" xfId="9014" xr:uid="{00000000-0005-0000-0000-000045470000}"/>
    <cellStyle name="Percent 3 2 3 2 2 2 3 2 2" xfId="9015" xr:uid="{00000000-0005-0000-0000-000046470000}"/>
    <cellStyle name="Percent 3 2 3 2 2 2 3 2 2 2" xfId="9016" xr:uid="{00000000-0005-0000-0000-000047470000}"/>
    <cellStyle name="Percent 3 2 3 2 2 2 3 2 2 2 2" xfId="19729" xr:uid="{00000000-0005-0000-0000-000048470000}"/>
    <cellStyle name="Percent 3 2 3 2 2 2 3 2 2 3" xfId="9017" xr:uid="{00000000-0005-0000-0000-000049470000}"/>
    <cellStyle name="Percent 3 2 3 2 2 2 3 2 2 3 2" xfId="19730" xr:uid="{00000000-0005-0000-0000-00004A470000}"/>
    <cellStyle name="Percent 3 2 3 2 2 2 3 2 2 4" xfId="19731" xr:uid="{00000000-0005-0000-0000-00004B470000}"/>
    <cellStyle name="Percent 3 2 3 2 2 2 3 2 3" xfId="9018" xr:uid="{00000000-0005-0000-0000-00004C470000}"/>
    <cellStyle name="Percent 3 2 3 2 2 2 3 2 3 2" xfId="9019" xr:uid="{00000000-0005-0000-0000-00004D470000}"/>
    <cellStyle name="Percent 3 2 3 2 2 2 3 2 3 2 2" xfId="19732" xr:uid="{00000000-0005-0000-0000-00004E470000}"/>
    <cellStyle name="Percent 3 2 3 2 2 2 3 2 3 3" xfId="9020" xr:uid="{00000000-0005-0000-0000-00004F470000}"/>
    <cellStyle name="Percent 3 2 3 2 2 2 3 2 3 3 2" xfId="19733" xr:uid="{00000000-0005-0000-0000-000050470000}"/>
    <cellStyle name="Percent 3 2 3 2 2 2 3 2 3 4" xfId="19734" xr:uid="{00000000-0005-0000-0000-000051470000}"/>
    <cellStyle name="Percent 3 2 3 2 2 2 3 2 4" xfId="9021" xr:uid="{00000000-0005-0000-0000-000052470000}"/>
    <cellStyle name="Percent 3 2 3 2 2 2 3 2 4 2" xfId="19735" xr:uid="{00000000-0005-0000-0000-000053470000}"/>
    <cellStyle name="Percent 3 2 3 2 2 2 3 2 5" xfId="9022" xr:uid="{00000000-0005-0000-0000-000054470000}"/>
    <cellStyle name="Percent 3 2 3 2 2 2 3 2 5 2" xfId="19736" xr:uid="{00000000-0005-0000-0000-000055470000}"/>
    <cellStyle name="Percent 3 2 3 2 2 2 3 2 6" xfId="19737" xr:uid="{00000000-0005-0000-0000-000056470000}"/>
    <cellStyle name="Percent 3 2 3 2 2 2 3 3" xfId="9023" xr:uid="{00000000-0005-0000-0000-000057470000}"/>
    <cellStyle name="Percent 3 2 3 2 2 2 3 3 2" xfId="9024" xr:uid="{00000000-0005-0000-0000-000058470000}"/>
    <cellStyle name="Percent 3 2 3 2 2 2 3 3 2 2" xfId="19738" xr:uid="{00000000-0005-0000-0000-000059470000}"/>
    <cellStyle name="Percent 3 2 3 2 2 2 3 3 3" xfId="9025" xr:uid="{00000000-0005-0000-0000-00005A470000}"/>
    <cellStyle name="Percent 3 2 3 2 2 2 3 3 3 2" xfId="19739" xr:uid="{00000000-0005-0000-0000-00005B470000}"/>
    <cellStyle name="Percent 3 2 3 2 2 2 3 3 4" xfId="19740" xr:uid="{00000000-0005-0000-0000-00005C470000}"/>
    <cellStyle name="Percent 3 2 3 2 2 2 3 4" xfId="9026" xr:uid="{00000000-0005-0000-0000-00005D470000}"/>
    <cellStyle name="Percent 3 2 3 2 2 2 3 4 2" xfId="9027" xr:uid="{00000000-0005-0000-0000-00005E470000}"/>
    <cellStyle name="Percent 3 2 3 2 2 2 3 4 2 2" xfId="19741" xr:uid="{00000000-0005-0000-0000-00005F470000}"/>
    <cellStyle name="Percent 3 2 3 2 2 2 3 4 3" xfId="9028" xr:uid="{00000000-0005-0000-0000-000060470000}"/>
    <cellStyle name="Percent 3 2 3 2 2 2 3 4 3 2" xfId="19742" xr:uid="{00000000-0005-0000-0000-000061470000}"/>
    <cellStyle name="Percent 3 2 3 2 2 2 3 4 4" xfId="19743" xr:uid="{00000000-0005-0000-0000-000062470000}"/>
    <cellStyle name="Percent 3 2 3 2 2 2 3 5" xfId="9029" xr:uid="{00000000-0005-0000-0000-000063470000}"/>
    <cellStyle name="Percent 3 2 3 2 2 2 3 5 2" xfId="19744" xr:uid="{00000000-0005-0000-0000-000064470000}"/>
    <cellStyle name="Percent 3 2 3 2 2 2 3 6" xfId="9030" xr:uid="{00000000-0005-0000-0000-000065470000}"/>
    <cellStyle name="Percent 3 2 3 2 2 2 3 6 2" xfId="19745" xr:uid="{00000000-0005-0000-0000-000066470000}"/>
    <cellStyle name="Percent 3 2 3 2 2 2 3 7" xfId="19746" xr:uid="{00000000-0005-0000-0000-000067470000}"/>
    <cellStyle name="Percent 3 2 3 2 2 2 4" xfId="9031" xr:uid="{00000000-0005-0000-0000-000068470000}"/>
    <cellStyle name="Percent 3 2 3 2 2 2 4 2" xfId="9032" xr:uid="{00000000-0005-0000-0000-000069470000}"/>
    <cellStyle name="Percent 3 2 3 2 2 2 4 2 2" xfId="9033" xr:uid="{00000000-0005-0000-0000-00006A470000}"/>
    <cellStyle name="Percent 3 2 3 2 2 2 4 2 2 2" xfId="19747" xr:uid="{00000000-0005-0000-0000-00006B470000}"/>
    <cellStyle name="Percent 3 2 3 2 2 2 4 2 3" xfId="9034" xr:uid="{00000000-0005-0000-0000-00006C470000}"/>
    <cellStyle name="Percent 3 2 3 2 2 2 4 2 3 2" xfId="19748" xr:uid="{00000000-0005-0000-0000-00006D470000}"/>
    <cellStyle name="Percent 3 2 3 2 2 2 4 2 4" xfId="19749" xr:uid="{00000000-0005-0000-0000-00006E470000}"/>
    <cellStyle name="Percent 3 2 3 2 2 2 4 3" xfId="9035" xr:uid="{00000000-0005-0000-0000-00006F470000}"/>
    <cellStyle name="Percent 3 2 3 2 2 2 4 3 2" xfId="9036" xr:uid="{00000000-0005-0000-0000-000070470000}"/>
    <cellStyle name="Percent 3 2 3 2 2 2 4 3 2 2" xfId="19750" xr:uid="{00000000-0005-0000-0000-000071470000}"/>
    <cellStyle name="Percent 3 2 3 2 2 2 4 3 3" xfId="9037" xr:uid="{00000000-0005-0000-0000-000072470000}"/>
    <cellStyle name="Percent 3 2 3 2 2 2 4 3 3 2" xfId="19751" xr:uid="{00000000-0005-0000-0000-000073470000}"/>
    <cellStyle name="Percent 3 2 3 2 2 2 4 3 4" xfId="19752" xr:uid="{00000000-0005-0000-0000-000074470000}"/>
    <cellStyle name="Percent 3 2 3 2 2 2 4 4" xfId="9038" xr:uid="{00000000-0005-0000-0000-000075470000}"/>
    <cellStyle name="Percent 3 2 3 2 2 2 4 4 2" xfId="19753" xr:uid="{00000000-0005-0000-0000-000076470000}"/>
    <cellStyle name="Percent 3 2 3 2 2 2 4 5" xfId="9039" xr:uid="{00000000-0005-0000-0000-000077470000}"/>
    <cellStyle name="Percent 3 2 3 2 2 2 4 5 2" xfId="19754" xr:uid="{00000000-0005-0000-0000-000078470000}"/>
    <cellStyle name="Percent 3 2 3 2 2 2 4 6" xfId="19755" xr:uid="{00000000-0005-0000-0000-000079470000}"/>
    <cellStyle name="Percent 3 2 3 2 2 2 5" xfId="9040" xr:uid="{00000000-0005-0000-0000-00007A470000}"/>
    <cellStyle name="Percent 3 2 3 2 2 2 5 2" xfId="9041" xr:uid="{00000000-0005-0000-0000-00007B470000}"/>
    <cellStyle name="Percent 3 2 3 2 2 2 5 2 2" xfId="9042" xr:uid="{00000000-0005-0000-0000-00007C470000}"/>
    <cellStyle name="Percent 3 2 3 2 2 2 5 2 2 2" xfId="19756" xr:uid="{00000000-0005-0000-0000-00007D470000}"/>
    <cellStyle name="Percent 3 2 3 2 2 2 5 2 3" xfId="9043" xr:uid="{00000000-0005-0000-0000-00007E470000}"/>
    <cellStyle name="Percent 3 2 3 2 2 2 5 2 3 2" xfId="19757" xr:uid="{00000000-0005-0000-0000-00007F470000}"/>
    <cellStyle name="Percent 3 2 3 2 2 2 5 2 4" xfId="19758" xr:uid="{00000000-0005-0000-0000-000080470000}"/>
    <cellStyle name="Percent 3 2 3 2 2 2 5 3" xfId="9044" xr:uid="{00000000-0005-0000-0000-000081470000}"/>
    <cellStyle name="Percent 3 2 3 2 2 2 5 3 2" xfId="9045" xr:uid="{00000000-0005-0000-0000-000082470000}"/>
    <cellStyle name="Percent 3 2 3 2 2 2 5 3 2 2" xfId="19759" xr:uid="{00000000-0005-0000-0000-000083470000}"/>
    <cellStyle name="Percent 3 2 3 2 2 2 5 3 3" xfId="9046" xr:uid="{00000000-0005-0000-0000-000084470000}"/>
    <cellStyle name="Percent 3 2 3 2 2 2 5 3 3 2" xfId="19760" xr:uid="{00000000-0005-0000-0000-000085470000}"/>
    <cellStyle name="Percent 3 2 3 2 2 2 5 3 4" xfId="19761" xr:uid="{00000000-0005-0000-0000-000086470000}"/>
    <cellStyle name="Percent 3 2 3 2 2 2 5 4" xfId="9047" xr:uid="{00000000-0005-0000-0000-000087470000}"/>
    <cellStyle name="Percent 3 2 3 2 2 2 5 4 2" xfId="19762" xr:uid="{00000000-0005-0000-0000-000088470000}"/>
    <cellStyle name="Percent 3 2 3 2 2 2 5 5" xfId="9048" xr:uid="{00000000-0005-0000-0000-000089470000}"/>
    <cellStyle name="Percent 3 2 3 2 2 2 5 5 2" xfId="19763" xr:uid="{00000000-0005-0000-0000-00008A470000}"/>
    <cellStyle name="Percent 3 2 3 2 2 2 5 6" xfId="19764" xr:uid="{00000000-0005-0000-0000-00008B470000}"/>
    <cellStyle name="Percent 3 2 3 2 2 2 6" xfId="9049" xr:uid="{00000000-0005-0000-0000-00008C470000}"/>
    <cellStyle name="Percent 3 2 3 2 2 2 6 2" xfId="9050" xr:uid="{00000000-0005-0000-0000-00008D470000}"/>
    <cellStyle name="Percent 3 2 3 2 2 2 6 2 2" xfId="19765" xr:uid="{00000000-0005-0000-0000-00008E470000}"/>
    <cellStyle name="Percent 3 2 3 2 2 2 6 3" xfId="9051" xr:uid="{00000000-0005-0000-0000-00008F470000}"/>
    <cellStyle name="Percent 3 2 3 2 2 2 6 3 2" xfId="19766" xr:uid="{00000000-0005-0000-0000-000090470000}"/>
    <cellStyle name="Percent 3 2 3 2 2 2 6 4" xfId="19767" xr:uid="{00000000-0005-0000-0000-000091470000}"/>
    <cellStyle name="Percent 3 2 3 2 2 2 7" xfId="9052" xr:uid="{00000000-0005-0000-0000-000092470000}"/>
    <cellStyle name="Percent 3 2 3 2 2 2 7 2" xfId="9053" xr:uid="{00000000-0005-0000-0000-000093470000}"/>
    <cellStyle name="Percent 3 2 3 2 2 2 7 2 2" xfId="19768" xr:uid="{00000000-0005-0000-0000-000094470000}"/>
    <cellStyle name="Percent 3 2 3 2 2 2 7 3" xfId="9054" xr:uid="{00000000-0005-0000-0000-000095470000}"/>
    <cellStyle name="Percent 3 2 3 2 2 2 7 3 2" xfId="19769" xr:uid="{00000000-0005-0000-0000-000096470000}"/>
    <cellStyle name="Percent 3 2 3 2 2 2 7 4" xfId="19770" xr:uid="{00000000-0005-0000-0000-000097470000}"/>
    <cellStyle name="Percent 3 2 3 2 2 2 8" xfId="9055" xr:uid="{00000000-0005-0000-0000-000098470000}"/>
    <cellStyle name="Percent 3 2 3 2 2 2 8 2" xfId="19771" xr:uid="{00000000-0005-0000-0000-000099470000}"/>
    <cellStyle name="Percent 3 2 3 2 2 2 9" xfId="9056" xr:uid="{00000000-0005-0000-0000-00009A470000}"/>
    <cellStyle name="Percent 3 2 3 2 2 2 9 2" xfId="19772" xr:uid="{00000000-0005-0000-0000-00009B470000}"/>
    <cellStyle name="Percent 3 2 3 2 2 3" xfId="9057" xr:uid="{00000000-0005-0000-0000-00009C470000}"/>
    <cellStyle name="Percent 3 2 3 2 2 3 2" xfId="9058" xr:uid="{00000000-0005-0000-0000-00009D470000}"/>
    <cellStyle name="Percent 3 2 3 2 2 3 2 2" xfId="9059" xr:uid="{00000000-0005-0000-0000-00009E470000}"/>
    <cellStyle name="Percent 3 2 3 2 2 3 2 2 2" xfId="9060" xr:uid="{00000000-0005-0000-0000-00009F470000}"/>
    <cellStyle name="Percent 3 2 3 2 2 3 2 2 2 2" xfId="19773" xr:uid="{00000000-0005-0000-0000-0000A0470000}"/>
    <cellStyle name="Percent 3 2 3 2 2 3 2 2 3" xfId="9061" xr:uid="{00000000-0005-0000-0000-0000A1470000}"/>
    <cellStyle name="Percent 3 2 3 2 2 3 2 2 3 2" xfId="19774" xr:uid="{00000000-0005-0000-0000-0000A2470000}"/>
    <cellStyle name="Percent 3 2 3 2 2 3 2 2 4" xfId="19775" xr:uid="{00000000-0005-0000-0000-0000A3470000}"/>
    <cellStyle name="Percent 3 2 3 2 2 3 2 3" xfId="9062" xr:uid="{00000000-0005-0000-0000-0000A4470000}"/>
    <cellStyle name="Percent 3 2 3 2 2 3 2 3 2" xfId="9063" xr:uid="{00000000-0005-0000-0000-0000A5470000}"/>
    <cellStyle name="Percent 3 2 3 2 2 3 2 3 2 2" xfId="19776" xr:uid="{00000000-0005-0000-0000-0000A6470000}"/>
    <cellStyle name="Percent 3 2 3 2 2 3 2 3 3" xfId="9064" xr:uid="{00000000-0005-0000-0000-0000A7470000}"/>
    <cellStyle name="Percent 3 2 3 2 2 3 2 3 3 2" xfId="19777" xr:uid="{00000000-0005-0000-0000-0000A8470000}"/>
    <cellStyle name="Percent 3 2 3 2 2 3 2 3 4" xfId="19778" xr:uid="{00000000-0005-0000-0000-0000A9470000}"/>
    <cellStyle name="Percent 3 2 3 2 2 3 2 4" xfId="9065" xr:uid="{00000000-0005-0000-0000-0000AA470000}"/>
    <cellStyle name="Percent 3 2 3 2 2 3 2 4 2" xfId="19779" xr:uid="{00000000-0005-0000-0000-0000AB470000}"/>
    <cellStyle name="Percent 3 2 3 2 2 3 2 5" xfId="9066" xr:uid="{00000000-0005-0000-0000-0000AC470000}"/>
    <cellStyle name="Percent 3 2 3 2 2 3 2 5 2" xfId="19780" xr:uid="{00000000-0005-0000-0000-0000AD470000}"/>
    <cellStyle name="Percent 3 2 3 2 2 3 2 6" xfId="19781" xr:uid="{00000000-0005-0000-0000-0000AE470000}"/>
    <cellStyle name="Percent 3 2 3 2 2 3 3" xfId="9067" xr:uid="{00000000-0005-0000-0000-0000AF470000}"/>
    <cellStyle name="Percent 3 2 3 2 2 3 3 2" xfId="9068" xr:uid="{00000000-0005-0000-0000-0000B0470000}"/>
    <cellStyle name="Percent 3 2 3 2 2 3 3 2 2" xfId="9069" xr:uid="{00000000-0005-0000-0000-0000B1470000}"/>
    <cellStyle name="Percent 3 2 3 2 2 3 3 2 2 2" xfId="19782" xr:uid="{00000000-0005-0000-0000-0000B2470000}"/>
    <cellStyle name="Percent 3 2 3 2 2 3 3 2 3" xfId="9070" xr:uid="{00000000-0005-0000-0000-0000B3470000}"/>
    <cellStyle name="Percent 3 2 3 2 2 3 3 2 3 2" xfId="19783" xr:uid="{00000000-0005-0000-0000-0000B4470000}"/>
    <cellStyle name="Percent 3 2 3 2 2 3 3 2 4" xfId="19784" xr:uid="{00000000-0005-0000-0000-0000B5470000}"/>
    <cellStyle name="Percent 3 2 3 2 2 3 3 3" xfId="9071" xr:uid="{00000000-0005-0000-0000-0000B6470000}"/>
    <cellStyle name="Percent 3 2 3 2 2 3 3 3 2" xfId="9072" xr:uid="{00000000-0005-0000-0000-0000B7470000}"/>
    <cellStyle name="Percent 3 2 3 2 2 3 3 3 2 2" xfId="19785" xr:uid="{00000000-0005-0000-0000-0000B8470000}"/>
    <cellStyle name="Percent 3 2 3 2 2 3 3 3 3" xfId="9073" xr:uid="{00000000-0005-0000-0000-0000B9470000}"/>
    <cellStyle name="Percent 3 2 3 2 2 3 3 3 3 2" xfId="19786" xr:uid="{00000000-0005-0000-0000-0000BA470000}"/>
    <cellStyle name="Percent 3 2 3 2 2 3 3 3 4" xfId="19787" xr:uid="{00000000-0005-0000-0000-0000BB470000}"/>
    <cellStyle name="Percent 3 2 3 2 2 3 3 4" xfId="9074" xr:uid="{00000000-0005-0000-0000-0000BC470000}"/>
    <cellStyle name="Percent 3 2 3 2 2 3 3 4 2" xfId="19788" xr:uid="{00000000-0005-0000-0000-0000BD470000}"/>
    <cellStyle name="Percent 3 2 3 2 2 3 3 5" xfId="9075" xr:uid="{00000000-0005-0000-0000-0000BE470000}"/>
    <cellStyle name="Percent 3 2 3 2 2 3 3 5 2" xfId="19789" xr:uid="{00000000-0005-0000-0000-0000BF470000}"/>
    <cellStyle name="Percent 3 2 3 2 2 3 3 6" xfId="19790" xr:uid="{00000000-0005-0000-0000-0000C0470000}"/>
    <cellStyle name="Percent 3 2 3 2 2 3 4" xfId="9076" xr:uid="{00000000-0005-0000-0000-0000C1470000}"/>
    <cellStyle name="Percent 3 2 3 2 2 3 4 2" xfId="9077" xr:uid="{00000000-0005-0000-0000-0000C2470000}"/>
    <cellStyle name="Percent 3 2 3 2 2 3 4 2 2" xfId="19791" xr:uid="{00000000-0005-0000-0000-0000C3470000}"/>
    <cellStyle name="Percent 3 2 3 2 2 3 4 3" xfId="9078" xr:uid="{00000000-0005-0000-0000-0000C4470000}"/>
    <cellStyle name="Percent 3 2 3 2 2 3 4 3 2" xfId="19792" xr:uid="{00000000-0005-0000-0000-0000C5470000}"/>
    <cellStyle name="Percent 3 2 3 2 2 3 4 4" xfId="19793" xr:uid="{00000000-0005-0000-0000-0000C6470000}"/>
    <cellStyle name="Percent 3 2 3 2 2 3 5" xfId="9079" xr:uid="{00000000-0005-0000-0000-0000C7470000}"/>
    <cellStyle name="Percent 3 2 3 2 2 3 5 2" xfId="9080" xr:uid="{00000000-0005-0000-0000-0000C8470000}"/>
    <cellStyle name="Percent 3 2 3 2 2 3 5 2 2" xfId="19794" xr:uid="{00000000-0005-0000-0000-0000C9470000}"/>
    <cellStyle name="Percent 3 2 3 2 2 3 5 3" xfId="9081" xr:uid="{00000000-0005-0000-0000-0000CA470000}"/>
    <cellStyle name="Percent 3 2 3 2 2 3 5 3 2" xfId="19795" xr:uid="{00000000-0005-0000-0000-0000CB470000}"/>
    <cellStyle name="Percent 3 2 3 2 2 3 5 4" xfId="19796" xr:uid="{00000000-0005-0000-0000-0000CC470000}"/>
    <cellStyle name="Percent 3 2 3 2 2 3 6" xfId="9082" xr:uid="{00000000-0005-0000-0000-0000CD470000}"/>
    <cellStyle name="Percent 3 2 3 2 2 3 6 2" xfId="19797" xr:uid="{00000000-0005-0000-0000-0000CE470000}"/>
    <cellStyle name="Percent 3 2 3 2 2 3 7" xfId="9083" xr:uid="{00000000-0005-0000-0000-0000CF470000}"/>
    <cellStyle name="Percent 3 2 3 2 2 3 7 2" xfId="19798" xr:uid="{00000000-0005-0000-0000-0000D0470000}"/>
    <cellStyle name="Percent 3 2 3 2 2 3 8" xfId="19799" xr:uid="{00000000-0005-0000-0000-0000D1470000}"/>
    <cellStyle name="Percent 3 2 3 2 2 4" xfId="9084" xr:uid="{00000000-0005-0000-0000-0000D2470000}"/>
    <cellStyle name="Percent 3 2 3 2 2 4 2" xfId="9085" xr:uid="{00000000-0005-0000-0000-0000D3470000}"/>
    <cellStyle name="Percent 3 2 3 2 2 4 2 2" xfId="9086" xr:uid="{00000000-0005-0000-0000-0000D4470000}"/>
    <cellStyle name="Percent 3 2 3 2 2 4 2 2 2" xfId="9087" xr:uid="{00000000-0005-0000-0000-0000D5470000}"/>
    <cellStyle name="Percent 3 2 3 2 2 4 2 2 2 2" xfId="19800" xr:uid="{00000000-0005-0000-0000-0000D6470000}"/>
    <cellStyle name="Percent 3 2 3 2 2 4 2 2 3" xfId="9088" xr:uid="{00000000-0005-0000-0000-0000D7470000}"/>
    <cellStyle name="Percent 3 2 3 2 2 4 2 2 3 2" xfId="19801" xr:uid="{00000000-0005-0000-0000-0000D8470000}"/>
    <cellStyle name="Percent 3 2 3 2 2 4 2 2 4" xfId="19802" xr:uid="{00000000-0005-0000-0000-0000D9470000}"/>
    <cellStyle name="Percent 3 2 3 2 2 4 2 3" xfId="9089" xr:uid="{00000000-0005-0000-0000-0000DA470000}"/>
    <cellStyle name="Percent 3 2 3 2 2 4 2 3 2" xfId="9090" xr:uid="{00000000-0005-0000-0000-0000DB470000}"/>
    <cellStyle name="Percent 3 2 3 2 2 4 2 3 2 2" xfId="19803" xr:uid="{00000000-0005-0000-0000-0000DC470000}"/>
    <cellStyle name="Percent 3 2 3 2 2 4 2 3 3" xfId="9091" xr:uid="{00000000-0005-0000-0000-0000DD470000}"/>
    <cellStyle name="Percent 3 2 3 2 2 4 2 3 3 2" xfId="19804" xr:uid="{00000000-0005-0000-0000-0000DE470000}"/>
    <cellStyle name="Percent 3 2 3 2 2 4 2 3 4" xfId="19805" xr:uid="{00000000-0005-0000-0000-0000DF470000}"/>
    <cellStyle name="Percent 3 2 3 2 2 4 2 4" xfId="9092" xr:uid="{00000000-0005-0000-0000-0000E0470000}"/>
    <cellStyle name="Percent 3 2 3 2 2 4 2 4 2" xfId="19806" xr:uid="{00000000-0005-0000-0000-0000E1470000}"/>
    <cellStyle name="Percent 3 2 3 2 2 4 2 5" xfId="9093" xr:uid="{00000000-0005-0000-0000-0000E2470000}"/>
    <cellStyle name="Percent 3 2 3 2 2 4 2 5 2" xfId="19807" xr:uid="{00000000-0005-0000-0000-0000E3470000}"/>
    <cellStyle name="Percent 3 2 3 2 2 4 2 6" xfId="19808" xr:uid="{00000000-0005-0000-0000-0000E4470000}"/>
    <cellStyle name="Percent 3 2 3 2 2 4 3" xfId="9094" xr:uid="{00000000-0005-0000-0000-0000E5470000}"/>
    <cellStyle name="Percent 3 2 3 2 2 4 3 2" xfId="9095" xr:uid="{00000000-0005-0000-0000-0000E6470000}"/>
    <cellStyle name="Percent 3 2 3 2 2 4 3 2 2" xfId="19809" xr:uid="{00000000-0005-0000-0000-0000E7470000}"/>
    <cellStyle name="Percent 3 2 3 2 2 4 3 3" xfId="9096" xr:uid="{00000000-0005-0000-0000-0000E8470000}"/>
    <cellStyle name="Percent 3 2 3 2 2 4 3 3 2" xfId="19810" xr:uid="{00000000-0005-0000-0000-0000E9470000}"/>
    <cellStyle name="Percent 3 2 3 2 2 4 3 4" xfId="19811" xr:uid="{00000000-0005-0000-0000-0000EA470000}"/>
    <cellStyle name="Percent 3 2 3 2 2 4 4" xfId="9097" xr:uid="{00000000-0005-0000-0000-0000EB470000}"/>
    <cellStyle name="Percent 3 2 3 2 2 4 4 2" xfId="9098" xr:uid="{00000000-0005-0000-0000-0000EC470000}"/>
    <cellStyle name="Percent 3 2 3 2 2 4 4 2 2" xfId="19812" xr:uid="{00000000-0005-0000-0000-0000ED470000}"/>
    <cellStyle name="Percent 3 2 3 2 2 4 4 3" xfId="9099" xr:uid="{00000000-0005-0000-0000-0000EE470000}"/>
    <cellStyle name="Percent 3 2 3 2 2 4 4 3 2" xfId="19813" xr:uid="{00000000-0005-0000-0000-0000EF470000}"/>
    <cellStyle name="Percent 3 2 3 2 2 4 4 4" xfId="19814" xr:uid="{00000000-0005-0000-0000-0000F0470000}"/>
    <cellStyle name="Percent 3 2 3 2 2 4 5" xfId="9100" xr:uid="{00000000-0005-0000-0000-0000F1470000}"/>
    <cellStyle name="Percent 3 2 3 2 2 4 5 2" xfId="19815" xr:uid="{00000000-0005-0000-0000-0000F2470000}"/>
    <cellStyle name="Percent 3 2 3 2 2 4 6" xfId="9101" xr:uid="{00000000-0005-0000-0000-0000F3470000}"/>
    <cellStyle name="Percent 3 2 3 2 2 4 6 2" xfId="19816" xr:uid="{00000000-0005-0000-0000-0000F4470000}"/>
    <cellStyle name="Percent 3 2 3 2 2 4 7" xfId="19817" xr:uid="{00000000-0005-0000-0000-0000F5470000}"/>
    <cellStyle name="Percent 3 2 3 2 2 5" xfId="9102" xr:uid="{00000000-0005-0000-0000-0000F6470000}"/>
    <cellStyle name="Percent 3 2 3 2 2 5 2" xfId="9103" xr:uid="{00000000-0005-0000-0000-0000F7470000}"/>
    <cellStyle name="Percent 3 2 3 2 2 5 2 2" xfId="9104" xr:uid="{00000000-0005-0000-0000-0000F8470000}"/>
    <cellStyle name="Percent 3 2 3 2 2 5 2 2 2" xfId="19818" xr:uid="{00000000-0005-0000-0000-0000F9470000}"/>
    <cellStyle name="Percent 3 2 3 2 2 5 2 3" xfId="9105" xr:uid="{00000000-0005-0000-0000-0000FA470000}"/>
    <cellStyle name="Percent 3 2 3 2 2 5 2 3 2" xfId="19819" xr:uid="{00000000-0005-0000-0000-0000FB470000}"/>
    <cellStyle name="Percent 3 2 3 2 2 5 2 4" xfId="19820" xr:uid="{00000000-0005-0000-0000-0000FC470000}"/>
    <cellStyle name="Percent 3 2 3 2 2 5 3" xfId="9106" xr:uid="{00000000-0005-0000-0000-0000FD470000}"/>
    <cellStyle name="Percent 3 2 3 2 2 5 3 2" xfId="9107" xr:uid="{00000000-0005-0000-0000-0000FE470000}"/>
    <cellStyle name="Percent 3 2 3 2 2 5 3 2 2" xfId="19821" xr:uid="{00000000-0005-0000-0000-0000FF470000}"/>
    <cellStyle name="Percent 3 2 3 2 2 5 3 3" xfId="9108" xr:uid="{00000000-0005-0000-0000-000000480000}"/>
    <cellStyle name="Percent 3 2 3 2 2 5 3 3 2" xfId="19822" xr:uid="{00000000-0005-0000-0000-000001480000}"/>
    <cellStyle name="Percent 3 2 3 2 2 5 3 4" xfId="19823" xr:uid="{00000000-0005-0000-0000-000002480000}"/>
    <cellStyle name="Percent 3 2 3 2 2 5 4" xfId="9109" xr:uid="{00000000-0005-0000-0000-000003480000}"/>
    <cellStyle name="Percent 3 2 3 2 2 5 4 2" xfId="19824" xr:uid="{00000000-0005-0000-0000-000004480000}"/>
    <cellStyle name="Percent 3 2 3 2 2 5 5" xfId="9110" xr:uid="{00000000-0005-0000-0000-000005480000}"/>
    <cellStyle name="Percent 3 2 3 2 2 5 5 2" xfId="19825" xr:uid="{00000000-0005-0000-0000-000006480000}"/>
    <cellStyle name="Percent 3 2 3 2 2 5 6" xfId="19826" xr:uid="{00000000-0005-0000-0000-000007480000}"/>
    <cellStyle name="Percent 3 2 3 2 2 6" xfId="9111" xr:uid="{00000000-0005-0000-0000-000008480000}"/>
    <cellStyle name="Percent 3 2 3 2 2 6 2" xfId="9112" xr:uid="{00000000-0005-0000-0000-000009480000}"/>
    <cellStyle name="Percent 3 2 3 2 2 6 2 2" xfId="9113" xr:uid="{00000000-0005-0000-0000-00000A480000}"/>
    <cellStyle name="Percent 3 2 3 2 2 6 2 2 2" xfId="19827" xr:uid="{00000000-0005-0000-0000-00000B480000}"/>
    <cellStyle name="Percent 3 2 3 2 2 6 2 3" xfId="9114" xr:uid="{00000000-0005-0000-0000-00000C480000}"/>
    <cellStyle name="Percent 3 2 3 2 2 6 2 3 2" xfId="19828" xr:uid="{00000000-0005-0000-0000-00000D480000}"/>
    <cellStyle name="Percent 3 2 3 2 2 6 2 4" xfId="19829" xr:uid="{00000000-0005-0000-0000-00000E480000}"/>
    <cellStyle name="Percent 3 2 3 2 2 6 3" xfId="9115" xr:uid="{00000000-0005-0000-0000-00000F480000}"/>
    <cellStyle name="Percent 3 2 3 2 2 6 3 2" xfId="9116" xr:uid="{00000000-0005-0000-0000-000010480000}"/>
    <cellStyle name="Percent 3 2 3 2 2 6 3 2 2" xfId="19830" xr:uid="{00000000-0005-0000-0000-000011480000}"/>
    <cellStyle name="Percent 3 2 3 2 2 6 3 3" xfId="9117" xr:uid="{00000000-0005-0000-0000-000012480000}"/>
    <cellStyle name="Percent 3 2 3 2 2 6 3 3 2" xfId="19831" xr:uid="{00000000-0005-0000-0000-000013480000}"/>
    <cellStyle name="Percent 3 2 3 2 2 6 3 4" xfId="19832" xr:uid="{00000000-0005-0000-0000-000014480000}"/>
    <cellStyle name="Percent 3 2 3 2 2 6 4" xfId="9118" xr:uid="{00000000-0005-0000-0000-000015480000}"/>
    <cellStyle name="Percent 3 2 3 2 2 6 4 2" xfId="19833" xr:uid="{00000000-0005-0000-0000-000016480000}"/>
    <cellStyle name="Percent 3 2 3 2 2 6 5" xfId="9119" xr:uid="{00000000-0005-0000-0000-000017480000}"/>
    <cellStyle name="Percent 3 2 3 2 2 6 5 2" xfId="19834" xr:uid="{00000000-0005-0000-0000-000018480000}"/>
    <cellStyle name="Percent 3 2 3 2 2 6 6" xfId="19835" xr:uid="{00000000-0005-0000-0000-000019480000}"/>
    <cellStyle name="Percent 3 2 3 2 2 7" xfId="9120" xr:uid="{00000000-0005-0000-0000-00001A480000}"/>
    <cellStyle name="Percent 3 2 3 2 2 7 2" xfId="9121" xr:uid="{00000000-0005-0000-0000-00001B480000}"/>
    <cellStyle name="Percent 3 2 3 2 2 7 2 2" xfId="19836" xr:uid="{00000000-0005-0000-0000-00001C480000}"/>
    <cellStyle name="Percent 3 2 3 2 2 7 3" xfId="9122" xr:uid="{00000000-0005-0000-0000-00001D480000}"/>
    <cellStyle name="Percent 3 2 3 2 2 7 3 2" xfId="19837" xr:uid="{00000000-0005-0000-0000-00001E480000}"/>
    <cellStyle name="Percent 3 2 3 2 2 7 4" xfId="19838" xr:uid="{00000000-0005-0000-0000-00001F480000}"/>
    <cellStyle name="Percent 3 2 3 2 2 8" xfId="9123" xr:uid="{00000000-0005-0000-0000-000020480000}"/>
    <cellStyle name="Percent 3 2 3 2 2 8 2" xfId="9124" xr:uid="{00000000-0005-0000-0000-000021480000}"/>
    <cellStyle name="Percent 3 2 3 2 2 8 2 2" xfId="19839" xr:uid="{00000000-0005-0000-0000-000022480000}"/>
    <cellStyle name="Percent 3 2 3 2 2 8 3" xfId="9125" xr:uid="{00000000-0005-0000-0000-000023480000}"/>
    <cellStyle name="Percent 3 2 3 2 2 8 3 2" xfId="19840" xr:uid="{00000000-0005-0000-0000-000024480000}"/>
    <cellStyle name="Percent 3 2 3 2 2 8 4" xfId="19841" xr:uid="{00000000-0005-0000-0000-000025480000}"/>
    <cellStyle name="Percent 3 2 3 2 2 9" xfId="9126" xr:uid="{00000000-0005-0000-0000-000026480000}"/>
    <cellStyle name="Percent 3 2 3 2 2 9 2" xfId="19842" xr:uid="{00000000-0005-0000-0000-000027480000}"/>
    <cellStyle name="Percent 3 2 3 2 3" xfId="9127" xr:uid="{00000000-0005-0000-0000-000028480000}"/>
    <cellStyle name="Percent 3 2 3 2 3 10" xfId="19843" xr:uid="{00000000-0005-0000-0000-000029480000}"/>
    <cellStyle name="Percent 3 2 3 2 3 2" xfId="9128" xr:uid="{00000000-0005-0000-0000-00002A480000}"/>
    <cellStyle name="Percent 3 2 3 2 3 2 2" xfId="9129" xr:uid="{00000000-0005-0000-0000-00002B480000}"/>
    <cellStyle name="Percent 3 2 3 2 3 2 2 2" xfId="9130" xr:uid="{00000000-0005-0000-0000-00002C480000}"/>
    <cellStyle name="Percent 3 2 3 2 3 2 2 2 2" xfId="9131" xr:uid="{00000000-0005-0000-0000-00002D480000}"/>
    <cellStyle name="Percent 3 2 3 2 3 2 2 2 2 2" xfId="19844" xr:uid="{00000000-0005-0000-0000-00002E480000}"/>
    <cellStyle name="Percent 3 2 3 2 3 2 2 2 3" xfId="9132" xr:uid="{00000000-0005-0000-0000-00002F480000}"/>
    <cellStyle name="Percent 3 2 3 2 3 2 2 2 3 2" xfId="19845" xr:uid="{00000000-0005-0000-0000-000030480000}"/>
    <cellStyle name="Percent 3 2 3 2 3 2 2 2 4" xfId="19846" xr:uid="{00000000-0005-0000-0000-000031480000}"/>
    <cellStyle name="Percent 3 2 3 2 3 2 2 3" xfId="9133" xr:uid="{00000000-0005-0000-0000-000032480000}"/>
    <cellStyle name="Percent 3 2 3 2 3 2 2 3 2" xfId="9134" xr:uid="{00000000-0005-0000-0000-000033480000}"/>
    <cellStyle name="Percent 3 2 3 2 3 2 2 3 2 2" xfId="19847" xr:uid="{00000000-0005-0000-0000-000034480000}"/>
    <cellStyle name="Percent 3 2 3 2 3 2 2 3 3" xfId="9135" xr:uid="{00000000-0005-0000-0000-000035480000}"/>
    <cellStyle name="Percent 3 2 3 2 3 2 2 3 3 2" xfId="19848" xr:uid="{00000000-0005-0000-0000-000036480000}"/>
    <cellStyle name="Percent 3 2 3 2 3 2 2 3 4" xfId="19849" xr:uid="{00000000-0005-0000-0000-000037480000}"/>
    <cellStyle name="Percent 3 2 3 2 3 2 2 4" xfId="9136" xr:uid="{00000000-0005-0000-0000-000038480000}"/>
    <cellStyle name="Percent 3 2 3 2 3 2 2 4 2" xfId="19850" xr:uid="{00000000-0005-0000-0000-000039480000}"/>
    <cellStyle name="Percent 3 2 3 2 3 2 2 5" xfId="9137" xr:uid="{00000000-0005-0000-0000-00003A480000}"/>
    <cellStyle name="Percent 3 2 3 2 3 2 2 5 2" xfId="19851" xr:uid="{00000000-0005-0000-0000-00003B480000}"/>
    <cellStyle name="Percent 3 2 3 2 3 2 2 6" xfId="19852" xr:uid="{00000000-0005-0000-0000-00003C480000}"/>
    <cellStyle name="Percent 3 2 3 2 3 2 3" xfId="9138" xr:uid="{00000000-0005-0000-0000-00003D480000}"/>
    <cellStyle name="Percent 3 2 3 2 3 2 3 2" xfId="9139" xr:uid="{00000000-0005-0000-0000-00003E480000}"/>
    <cellStyle name="Percent 3 2 3 2 3 2 3 2 2" xfId="9140" xr:uid="{00000000-0005-0000-0000-00003F480000}"/>
    <cellStyle name="Percent 3 2 3 2 3 2 3 2 2 2" xfId="19853" xr:uid="{00000000-0005-0000-0000-000040480000}"/>
    <cellStyle name="Percent 3 2 3 2 3 2 3 2 3" xfId="9141" xr:uid="{00000000-0005-0000-0000-000041480000}"/>
    <cellStyle name="Percent 3 2 3 2 3 2 3 2 3 2" xfId="19854" xr:uid="{00000000-0005-0000-0000-000042480000}"/>
    <cellStyle name="Percent 3 2 3 2 3 2 3 2 4" xfId="19855" xr:uid="{00000000-0005-0000-0000-000043480000}"/>
    <cellStyle name="Percent 3 2 3 2 3 2 3 3" xfId="9142" xr:uid="{00000000-0005-0000-0000-000044480000}"/>
    <cellStyle name="Percent 3 2 3 2 3 2 3 3 2" xfId="9143" xr:uid="{00000000-0005-0000-0000-000045480000}"/>
    <cellStyle name="Percent 3 2 3 2 3 2 3 3 2 2" xfId="19856" xr:uid="{00000000-0005-0000-0000-000046480000}"/>
    <cellStyle name="Percent 3 2 3 2 3 2 3 3 3" xfId="9144" xr:uid="{00000000-0005-0000-0000-000047480000}"/>
    <cellStyle name="Percent 3 2 3 2 3 2 3 3 3 2" xfId="19857" xr:uid="{00000000-0005-0000-0000-000048480000}"/>
    <cellStyle name="Percent 3 2 3 2 3 2 3 3 4" xfId="19858" xr:uid="{00000000-0005-0000-0000-000049480000}"/>
    <cellStyle name="Percent 3 2 3 2 3 2 3 4" xfId="9145" xr:uid="{00000000-0005-0000-0000-00004A480000}"/>
    <cellStyle name="Percent 3 2 3 2 3 2 3 4 2" xfId="19859" xr:uid="{00000000-0005-0000-0000-00004B480000}"/>
    <cellStyle name="Percent 3 2 3 2 3 2 3 5" xfId="9146" xr:uid="{00000000-0005-0000-0000-00004C480000}"/>
    <cellStyle name="Percent 3 2 3 2 3 2 3 5 2" xfId="19860" xr:uid="{00000000-0005-0000-0000-00004D480000}"/>
    <cellStyle name="Percent 3 2 3 2 3 2 3 6" xfId="19861" xr:uid="{00000000-0005-0000-0000-00004E480000}"/>
    <cellStyle name="Percent 3 2 3 2 3 2 4" xfId="9147" xr:uid="{00000000-0005-0000-0000-00004F480000}"/>
    <cellStyle name="Percent 3 2 3 2 3 2 4 2" xfId="9148" xr:uid="{00000000-0005-0000-0000-000050480000}"/>
    <cellStyle name="Percent 3 2 3 2 3 2 4 2 2" xfId="19862" xr:uid="{00000000-0005-0000-0000-000051480000}"/>
    <cellStyle name="Percent 3 2 3 2 3 2 4 3" xfId="9149" xr:uid="{00000000-0005-0000-0000-000052480000}"/>
    <cellStyle name="Percent 3 2 3 2 3 2 4 3 2" xfId="19863" xr:uid="{00000000-0005-0000-0000-000053480000}"/>
    <cellStyle name="Percent 3 2 3 2 3 2 4 4" xfId="19864" xr:uid="{00000000-0005-0000-0000-000054480000}"/>
    <cellStyle name="Percent 3 2 3 2 3 2 5" xfId="9150" xr:uid="{00000000-0005-0000-0000-000055480000}"/>
    <cellStyle name="Percent 3 2 3 2 3 2 5 2" xfId="9151" xr:uid="{00000000-0005-0000-0000-000056480000}"/>
    <cellStyle name="Percent 3 2 3 2 3 2 5 2 2" xfId="19865" xr:uid="{00000000-0005-0000-0000-000057480000}"/>
    <cellStyle name="Percent 3 2 3 2 3 2 5 3" xfId="9152" xr:uid="{00000000-0005-0000-0000-000058480000}"/>
    <cellStyle name="Percent 3 2 3 2 3 2 5 3 2" xfId="19866" xr:uid="{00000000-0005-0000-0000-000059480000}"/>
    <cellStyle name="Percent 3 2 3 2 3 2 5 4" xfId="19867" xr:uid="{00000000-0005-0000-0000-00005A480000}"/>
    <cellStyle name="Percent 3 2 3 2 3 2 6" xfId="9153" xr:uid="{00000000-0005-0000-0000-00005B480000}"/>
    <cellStyle name="Percent 3 2 3 2 3 2 6 2" xfId="19868" xr:uid="{00000000-0005-0000-0000-00005C480000}"/>
    <cellStyle name="Percent 3 2 3 2 3 2 7" xfId="9154" xr:uid="{00000000-0005-0000-0000-00005D480000}"/>
    <cellStyle name="Percent 3 2 3 2 3 2 7 2" xfId="19869" xr:uid="{00000000-0005-0000-0000-00005E480000}"/>
    <cellStyle name="Percent 3 2 3 2 3 2 8" xfId="19870" xr:uid="{00000000-0005-0000-0000-00005F480000}"/>
    <cellStyle name="Percent 3 2 3 2 3 3" xfId="9155" xr:uid="{00000000-0005-0000-0000-000060480000}"/>
    <cellStyle name="Percent 3 2 3 2 3 3 2" xfId="9156" xr:uid="{00000000-0005-0000-0000-000061480000}"/>
    <cellStyle name="Percent 3 2 3 2 3 3 2 2" xfId="9157" xr:uid="{00000000-0005-0000-0000-000062480000}"/>
    <cellStyle name="Percent 3 2 3 2 3 3 2 2 2" xfId="9158" xr:uid="{00000000-0005-0000-0000-000063480000}"/>
    <cellStyle name="Percent 3 2 3 2 3 3 2 2 2 2" xfId="19871" xr:uid="{00000000-0005-0000-0000-000064480000}"/>
    <cellStyle name="Percent 3 2 3 2 3 3 2 2 3" xfId="9159" xr:uid="{00000000-0005-0000-0000-000065480000}"/>
    <cellStyle name="Percent 3 2 3 2 3 3 2 2 3 2" xfId="19872" xr:uid="{00000000-0005-0000-0000-000066480000}"/>
    <cellStyle name="Percent 3 2 3 2 3 3 2 2 4" xfId="19873" xr:uid="{00000000-0005-0000-0000-000067480000}"/>
    <cellStyle name="Percent 3 2 3 2 3 3 2 3" xfId="9160" xr:uid="{00000000-0005-0000-0000-000068480000}"/>
    <cellStyle name="Percent 3 2 3 2 3 3 2 3 2" xfId="9161" xr:uid="{00000000-0005-0000-0000-000069480000}"/>
    <cellStyle name="Percent 3 2 3 2 3 3 2 3 2 2" xfId="19874" xr:uid="{00000000-0005-0000-0000-00006A480000}"/>
    <cellStyle name="Percent 3 2 3 2 3 3 2 3 3" xfId="9162" xr:uid="{00000000-0005-0000-0000-00006B480000}"/>
    <cellStyle name="Percent 3 2 3 2 3 3 2 3 3 2" xfId="19875" xr:uid="{00000000-0005-0000-0000-00006C480000}"/>
    <cellStyle name="Percent 3 2 3 2 3 3 2 3 4" xfId="19876" xr:uid="{00000000-0005-0000-0000-00006D480000}"/>
    <cellStyle name="Percent 3 2 3 2 3 3 2 4" xfId="9163" xr:uid="{00000000-0005-0000-0000-00006E480000}"/>
    <cellStyle name="Percent 3 2 3 2 3 3 2 4 2" xfId="19877" xr:uid="{00000000-0005-0000-0000-00006F480000}"/>
    <cellStyle name="Percent 3 2 3 2 3 3 2 5" xfId="9164" xr:uid="{00000000-0005-0000-0000-000070480000}"/>
    <cellStyle name="Percent 3 2 3 2 3 3 2 5 2" xfId="19878" xr:uid="{00000000-0005-0000-0000-000071480000}"/>
    <cellStyle name="Percent 3 2 3 2 3 3 2 6" xfId="19879" xr:uid="{00000000-0005-0000-0000-000072480000}"/>
    <cellStyle name="Percent 3 2 3 2 3 3 3" xfId="9165" xr:uid="{00000000-0005-0000-0000-000073480000}"/>
    <cellStyle name="Percent 3 2 3 2 3 3 3 2" xfId="9166" xr:uid="{00000000-0005-0000-0000-000074480000}"/>
    <cellStyle name="Percent 3 2 3 2 3 3 3 2 2" xfId="19880" xr:uid="{00000000-0005-0000-0000-000075480000}"/>
    <cellStyle name="Percent 3 2 3 2 3 3 3 3" xfId="9167" xr:uid="{00000000-0005-0000-0000-000076480000}"/>
    <cellStyle name="Percent 3 2 3 2 3 3 3 3 2" xfId="19881" xr:uid="{00000000-0005-0000-0000-000077480000}"/>
    <cellStyle name="Percent 3 2 3 2 3 3 3 4" xfId="19882" xr:uid="{00000000-0005-0000-0000-000078480000}"/>
    <cellStyle name="Percent 3 2 3 2 3 3 4" xfId="9168" xr:uid="{00000000-0005-0000-0000-000079480000}"/>
    <cellStyle name="Percent 3 2 3 2 3 3 4 2" xfId="9169" xr:uid="{00000000-0005-0000-0000-00007A480000}"/>
    <cellStyle name="Percent 3 2 3 2 3 3 4 2 2" xfId="19883" xr:uid="{00000000-0005-0000-0000-00007B480000}"/>
    <cellStyle name="Percent 3 2 3 2 3 3 4 3" xfId="9170" xr:uid="{00000000-0005-0000-0000-00007C480000}"/>
    <cellStyle name="Percent 3 2 3 2 3 3 4 3 2" xfId="19884" xr:uid="{00000000-0005-0000-0000-00007D480000}"/>
    <cellStyle name="Percent 3 2 3 2 3 3 4 4" xfId="19885" xr:uid="{00000000-0005-0000-0000-00007E480000}"/>
    <cellStyle name="Percent 3 2 3 2 3 3 5" xfId="9171" xr:uid="{00000000-0005-0000-0000-00007F480000}"/>
    <cellStyle name="Percent 3 2 3 2 3 3 5 2" xfId="19886" xr:uid="{00000000-0005-0000-0000-000080480000}"/>
    <cellStyle name="Percent 3 2 3 2 3 3 6" xfId="9172" xr:uid="{00000000-0005-0000-0000-000081480000}"/>
    <cellStyle name="Percent 3 2 3 2 3 3 6 2" xfId="19887" xr:uid="{00000000-0005-0000-0000-000082480000}"/>
    <cellStyle name="Percent 3 2 3 2 3 3 7" xfId="19888" xr:uid="{00000000-0005-0000-0000-000083480000}"/>
    <cellStyle name="Percent 3 2 3 2 3 4" xfId="9173" xr:uid="{00000000-0005-0000-0000-000084480000}"/>
    <cellStyle name="Percent 3 2 3 2 3 4 2" xfId="9174" xr:uid="{00000000-0005-0000-0000-000085480000}"/>
    <cellStyle name="Percent 3 2 3 2 3 4 2 2" xfId="9175" xr:uid="{00000000-0005-0000-0000-000086480000}"/>
    <cellStyle name="Percent 3 2 3 2 3 4 2 2 2" xfId="19889" xr:uid="{00000000-0005-0000-0000-000087480000}"/>
    <cellStyle name="Percent 3 2 3 2 3 4 2 3" xfId="9176" xr:uid="{00000000-0005-0000-0000-000088480000}"/>
    <cellStyle name="Percent 3 2 3 2 3 4 2 3 2" xfId="19890" xr:uid="{00000000-0005-0000-0000-000089480000}"/>
    <cellStyle name="Percent 3 2 3 2 3 4 2 4" xfId="19891" xr:uid="{00000000-0005-0000-0000-00008A480000}"/>
    <cellStyle name="Percent 3 2 3 2 3 4 3" xfId="9177" xr:uid="{00000000-0005-0000-0000-00008B480000}"/>
    <cellStyle name="Percent 3 2 3 2 3 4 3 2" xfId="9178" xr:uid="{00000000-0005-0000-0000-00008C480000}"/>
    <cellStyle name="Percent 3 2 3 2 3 4 3 2 2" xfId="19892" xr:uid="{00000000-0005-0000-0000-00008D480000}"/>
    <cellStyle name="Percent 3 2 3 2 3 4 3 3" xfId="9179" xr:uid="{00000000-0005-0000-0000-00008E480000}"/>
    <cellStyle name="Percent 3 2 3 2 3 4 3 3 2" xfId="19893" xr:uid="{00000000-0005-0000-0000-00008F480000}"/>
    <cellStyle name="Percent 3 2 3 2 3 4 3 4" xfId="19894" xr:uid="{00000000-0005-0000-0000-000090480000}"/>
    <cellStyle name="Percent 3 2 3 2 3 4 4" xfId="9180" xr:uid="{00000000-0005-0000-0000-000091480000}"/>
    <cellStyle name="Percent 3 2 3 2 3 4 4 2" xfId="19895" xr:uid="{00000000-0005-0000-0000-000092480000}"/>
    <cellStyle name="Percent 3 2 3 2 3 4 5" xfId="9181" xr:uid="{00000000-0005-0000-0000-000093480000}"/>
    <cellStyle name="Percent 3 2 3 2 3 4 5 2" xfId="19896" xr:uid="{00000000-0005-0000-0000-000094480000}"/>
    <cellStyle name="Percent 3 2 3 2 3 4 6" xfId="19897" xr:uid="{00000000-0005-0000-0000-000095480000}"/>
    <cellStyle name="Percent 3 2 3 2 3 5" xfId="9182" xr:uid="{00000000-0005-0000-0000-000096480000}"/>
    <cellStyle name="Percent 3 2 3 2 3 5 2" xfId="9183" xr:uid="{00000000-0005-0000-0000-000097480000}"/>
    <cellStyle name="Percent 3 2 3 2 3 5 2 2" xfId="9184" xr:uid="{00000000-0005-0000-0000-000098480000}"/>
    <cellStyle name="Percent 3 2 3 2 3 5 2 2 2" xfId="19898" xr:uid="{00000000-0005-0000-0000-000099480000}"/>
    <cellStyle name="Percent 3 2 3 2 3 5 2 3" xfId="9185" xr:uid="{00000000-0005-0000-0000-00009A480000}"/>
    <cellStyle name="Percent 3 2 3 2 3 5 2 3 2" xfId="19899" xr:uid="{00000000-0005-0000-0000-00009B480000}"/>
    <cellStyle name="Percent 3 2 3 2 3 5 2 4" xfId="19900" xr:uid="{00000000-0005-0000-0000-00009C480000}"/>
    <cellStyle name="Percent 3 2 3 2 3 5 3" xfId="9186" xr:uid="{00000000-0005-0000-0000-00009D480000}"/>
    <cellStyle name="Percent 3 2 3 2 3 5 3 2" xfId="9187" xr:uid="{00000000-0005-0000-0000-00009E480000}"/>
    <cellStyle name="Percent 3 2 3 2 3 5 3 2 2" xfId="19901" xr:uid="{00000000-0005-0000-0000-00009F480000}"/>
    <cellStyle name="Percent 3 2 3 2 3 5 3 3" xfId="9188" xr:uid="{00000000-0005-0000-0000-0000A0480000}"/>
    <cellStyle name="Percent 3 2 3 2 3 5 3 3 2" xfId="19902" xr:uid="{00000000-0005-0000-0000-0000A1480000}"/>
    <cellStyle name="Percent 3 2 3 2 3 5 3 4" xfId="19903" xr:uid="{00000000-0005-0000-0000-0000A2480000}"/>
    <cellStyle name="Percent 3 2 3 2 3 5 4" xfId="9189" xr:uid="{00000000-0005-0000-0000-0000A3480000}"/>
    <cellStyle name="Percent 3 2 3 2 3 5 4 2" xfId="19904" xr:uid="{00000000-0005-0000-0000-0000A4480000}"/>
    <cellStyle name="Percent 3 2 3 2 3 5 5" xfId="9190" xr:uid="{00000000-0005-0000-0000-0000A5480000}"/>
    <cellStyle name="Percent 3 2 3 2 3 5 5 2" xfId="19905" xr:uid="{00000000-0005-0000-0000-0000A6480000}"/>
    <cellStyle name="Percent 3 2 3 2 3 5 6" xfId="19906" xr:uid="{00000000-0005-0000-0000-0000A7480000}"/>
    <cellStyle name="Percent 3 2 3 2 3 6" xfId="9191" xr:uid="{00000000-0005-0000-0000-0000A8480000}"/>
    <cellStyle name="Percent 3 2 3 2 3 6 2" xfId="9192" xr:uid="{00000000-0005-0000-0000-0000A9480000}"/>
    <cellStyle name="Percent 3 2 3 2 3 6 2 2" xfId="19907" xr:uid="{00000000-0005-0000-0000-0000AA480000}"/>
    <cellStyle name="Percent 3 2 3 2 3 6 3" xfId="9193" xr:uid="{00000000-0005-0000-0000-0000AB480000}"/>
    <cellStyle name="Percent 3 2 3 2 3 6 3 2" xfId="19908" xr:uid="{00000000-0005-0000-0000-0000AC480000}"/>
    <cellStyle name="Percent 3 2 3 2 3 6 4" xfId="19909" xr:uid="{00000000-0005-0000-0000-0000AD480000}"/>
    <cellStyle name="Percent 3 2 3 2 3 7" xfId="9194" xr:uid="{00000000-0005-0000-0000-0000AE480000}"/>
    <cellStyle name="Percent 3 2 3 2 3 7 2" xfId="9195" xr:uid="{00000000-0005-0000-0000-0000AF480000}"/>
    <cellStyle name="Percent 3 2 3 2 3 7 2 2" xfId="19910" xr:uid="{00000000-0005-0000-0000-0000B0480000}"/>
    <cellStyle name="Percent 3 2 3 2 3 7 3" xfId="9196" xr:uid="{00000000-0005-0000-0000-0000B1480000}"/>
    <cellStyle name="Percent 3 2 3 2 3 7 3 2" xfId="19911" xr:uid="{00000000-0005-0000-0000-0000B2480000}"/>
    <cellStyle name="Percent 3 2 3 2 3 7 4" xfId="19912" xr:uid="{00000000-0005-0000-0000-0000B3480000}"/>
    <cellStyle name="Percent 3 2 3 2 3 8" xfId="9197" xr:uid="{00000000-0005-0000-0000-0000B4480000}"/>
    <cellStyle name="Percent 3 2 3 2 3 8 2" xfId="19913" xr:uid="{00000000-0005-0000-0000-0000B5480000}"/>
    <cellStyle name="Percent 3 2 3 2 3 9" xfId="9198" xr:uid="{00000000-0005-0000-0000-0000B6480000}"/>
    <cellStyle name="Percent 3 2 3 2 3 9 2" xfId="19914" xr:uid="{00000000-0005-0000-0000-0000B7480000}"/>
    <cellStyle name="Percent 3 2 3 2 4" xfId="9199" xr:uid="{00000000-0005-0000-0000-0000B8480000}"/>
    <cellStyle name="Percent 3 2 3 2 4 2" xfId="9200" xr:uid="{00000000-0005-0000-0000-0000B9480000}"/>
    <cellStyle name="Percent 3 2 3 2 4 2 2" xfId="9201" xr:uid="{00000000-0005-0000-0000-0000BA480000}"/>
    <cellStyle name="Percent 3 2 3 2 4 2 2 2" xfId="9202" xr:uid="{00000000-0005-0000-0000-0000BB480000}"/>
    <cellStyle name="Percent 3 2 3 2 4 2 2 2 2" xfId="19915" xr:uid="{00000000-0005-0000-0000-0000BC480000}"/>
    <cellStyle name="Percent 3 2 3 2 4 2 2 3" xfId="9203" xr:uid="{00000000-0005-0000-0000-0000BD480000}"/>
    <cellStyle name="Percent 3 2 3 2 4 2 2 3 2" xfId="19916" xr:uid="{00000000-0005-0000-0000-0000BE480000}"/>
    <cellStyle name="Percent 3 2 3 2 4 2 2 4" xfId="19917" xr:uid="{00000000-0005-0000-0000-0000BF480000}"/>
    <cellStyle name="Percent 3 2 3 2 4 2 3" xfId="9204" xr:uid="{00000000-0005-0000-0000-0000C0480000}"/>
    <cellStyle name="Percent 3 2 3 2 4 2 3 2" xfId="9205" xr:uid="{00000000-0005-0000-0000-0000C1480000}"/>
    <cellStyle name="Percent 3 2 3 2 4 2 3 2 2" xfId="19918" xr:uid="{00000000-0005-0000-0000-0000C2480000}"/>
    <cellStyle name="Percent 3 2 3 2 4 2 3 3" xfId="9206" xr:uid="{00000000-0005-0000-0000-0000C3480000}"/>
    <cellStyle name="Percent 3 2 3 2 4 2 3 3 2" xfId="19919" xr:uid="{00000000-0005-0000-0000-0000C4480000}"/>
    <cellStyle name="Percent 3 2 3 2 4 2 3 4" xfId="19920" xr:uid="{00000000-0005-0000-0000-0000C5480000}"/>
    <cellStyle name="Percent 3 2 3 2 4 2 4" xfId="9207" xr:uid="{00000000-0005-0000-0000-0000C6480000}"/>
    <cellStyle name="Percent 3 2 3 2 4 2 4 2" xfId="19921" xr:uid="{00000000-0005-0000-0000-0000C7480000}"/>
    <cellStyle name="Percent 3 2 3 2 4 2 5" xfId="9208" xr:uid="{00000000-0005-0000-0000-0000C8480000}"/>
    <cellStyle name="Percent 3 2 3 2 4 2 5 2" xfId="19922" xr:uid="{00000000-0005-0000-0000-0000C9480000}"/>
    <cellStyle name="Percent 3 2 3 2 4 2 6" xfId="19923" xr:uid="{00000000-0005-0000-0000-0000CA480000}"/>
    <cellStyle name="Percent 3 2 3 2 4 3" xfId="9209" xr:uid="{00000000-0005-0000-0000-0000CB480000}"/>
    <cellStyle name="Percent 3 2 3 2 4 3 2" xfId="9210" xr:uid="{00000000-0005-0000-0000-0000CC480000}"/>
    <cellStyle name="Percent 3 2 3 2 4 3 2 2" xfId="9211" xr:uid="{00000000-0005-0000-0000-0000CD480000}"/>
    <cellStyle name="Percent 3 2 3 2 4 3 2 2 2" xfId="19924" xr:uid="{00000000-0005-0000-0000-0000CE480000}"/>
    <cellStyle name="Percent 3 2 3 2 4 3 2 3" xfId="9212" xr:uid="{00000000-0005-0000-0000-0000CF480000}"/>
    <cellStyle name="Percent 3 2 3 2 4 3 2 3 2" xfId="19925" xr:uid="{00000000-0005-0000-0000-0000D0480000}"/>
    <cellStyle name="Percent 3 2 3 2 4 3 2 4" xfId="19926" xr:uid="{00000000-0005-0000-0000-0000D1480000}"/>
    <cellStyle name="Percent 3 2 3 2 4 3 3" xfId="9213" xr:uid="{00000000-0005-0000-0000-0000D2480000}"/>
    <cellStyle name="Percent 3 2 3 2 4 3 3 2" xfId="9214" xr:uid="{00000000-0005-0000-0000-0000D3480000}"/>
    <cellStyle name="Percent 3 2 3 2 4 3 3 2 2" xfId="19927" xr:uid="{00000000-0005-0000-0000-0000D4480000}"/>
    <cellStyle name="Percent 3 2 3 2 4 3 3 3" xfId="9215" xr:uid="{00000000-0005-0000-0000-0000D5480000}"/>
    <cellStyle name="Percent 3 2 3 2 4 3 3 3 2" xfId="19928" xr:uid="{00000000-0005-0000-0000-0000D6480000}"/>
    <cellStyle name="Percent 3 2 3 2 4 3 3 4" xfId="19929" xr:uid="{00000000-0005-0000-0000-0000D7480000}"/>
    <cellStyle name="Percent 3 2 3 2 4 3 4" xfId="9216" xr:uid="{00000000-0005-0000-0000-0000D8480000}"/>
    <cellStyle name="Percent 3 2 3 2 4 3 4 2" xfId="19930" xr:uid="{00000000-0005-0000-0000-0000D9480000}"/>
    <cellStyle name="Percent 3 2 3 2 4 3 5" xfId="9217" xr:uid="{00000000-0005-0000-0000-0000DA480000}"/>
    <cellStyle name="Percent 3 2 3 2 4 3 5 2" xfId="19931" xr:uid="{00000000-0005-0000-0000-0000DB480000}"/>
    <cellStyle name="Percent 3 2 3 2 4 3 6" xfId="19932" xr:uid="{00000000-0005-0000-0000-0000DC480000}"/>
    <cellStyle name="Percent 3 2 3 2 4 4" xfId="9218" xr:uid="{00000000-0005-0000-0000-0000DD480000}"/>
    <cellStyle name="Percent 3 2 3 2 4 4 2" xfId="9219" xr:uid="{00000000-0005-0000-0000-0000DE480000}"/>
    <cellStyle name="Percent 3 2 3 2 4 4 2 2" xfId="19933" xr:uid="{00000000-0005-0000-0000-0000DF480000}"/>
    <cellStyle name="Percent 3 2 3 2 4 4 3" xfId="9220" xr:uid="{00000000-0005-0000-0000-0000E0480000}"/>
    <cellStyle name="Percent 3 2 3 2 4 4 3 2" xfId="19934" xr:uid="{00000000-0005-0000-0000-0000E1480000}"/>
    <cellStyle name="Percent 3 2 3 2 4 4 4" xfId="19935" xr:uid="{00000000-0005-0000-0000-0000E2480000}"/>
    <cellStyle name="Percent 3 2 3 2 4 5" xfId="9221" xr:uid="{00000000-0005-0000-0000-0000E3480000}"/>
    <cellStyle name="Percent 3 2 3 2 4 5 2" xfId="9222" xr:uid="{00000000-0005-0000-0000-0000E4480000}"/>
    <cellStyle name="Percent 3 2 3 2 4 5 2 2" xfId="19936" xr:uid="{00000000-0005-0000-0000-0000E5480000}"/>
    <cellStyle name="Percent 3 2 3 2 4 5 3" xfId="9223" xr:uid="{00000000-0005-0000-0000-0000E6480000}"/>
    <cellStyle name="Percent 3 2 3 2 4 5 3 2" xfId="19937" xr:uid="{00000000-0005-0000-0000-0000E7480000}"/>
    <cellStyle name="Percent 3 2 3 2 4 5 4" xfId="19938" xr:uid="{00000000-0005-0000-0000-0000E8480000}"/>
    <cellStyle name="Percent 3 2 3 2 4 6" xfId="9224" xr:uid="{00000000-0005-0000-0000-0000E9480000}"/>
    <cellStyle name="Percent 3 2 3 2 4 6 2" xfId="19939" xr:uid="{00000000-0005-0000-0000-0000EA480000}"/>
    <cellStyle name="Percent 3 2 3 2 4 7" xfId="9225" xr:uid="{00000000-0005-0000-0000-0000EB480000}"/>
    <cellStyle name="Percent 3 2 3 2 4 7 2" xfId="19940" xr:uid="{00000000-0005-0000-0000-0000EC480000}"/>
    <cellStyle name="Percent 3 2 3 2 4 8" xfId="19941" xr:uid="{00000000-0005-0000-0000-0000ED480000}"/>
    <cellStyle name="Percent 3 2 3 2 5" xfId="9226" xr:uid="{00000000-0005-0000-0000-0000EE480000}"/>
    <cellStyle name="Percent 3 2 3 2 5 2" xfId="9227" xr:uid="{00000000-0005-0000-0000-0000EF480000}"/>
    <cellStyle name="Percent 3 2 3 2 5 2 2" xfId="9228" xr:uid="{00000000-0005-0000-0000-0000F0480000}"/>
    <cellStyle name="Percent 3 2 3 2 5 2 2 2" xfId="9229" xr:uid="{00000000-0005-0000-0000-0000F1480000}"/>
    <cellStyle name="Percent 3 2 3 2 5 2 2 2 2" xfId="19942" xr:uid="{00000000-0005-0000-0000-0000F2480000}"/>
    <cellStyle name="Percent 3 2 3 2 5 2 2 3" xfId="9230" xr:uid="{00000000-0005-0000-0000-0000F3480000}"/>
    <cellStyle name="Percent 3 2 3 2 5 2 2 3 2" xfId="19943" xr:uid="{00000000-0005-0000-0000-0000F4480000}"/>
    <cellStyle name="Percent 3 2 3 2 5 2 2 4" xfId="19944" xr:uid="{00000000-0005-0000-0000-0000F5480000}"/>
    <cellStyle name="Percent 3 2 3 2 5 2 3" xfId="9231" xr:uid="{00000000-0005-0000-0000-0000F6480000}"/>
    <cellStyle name="Percent 3 2 3 2 5 2 3 2" xfId="9232" xr:uid="{00000000-0005-0000-0000-0000F7480000}"/>
    <cellStyle name="Percent 3 2 3 2 5 2 3 2 2" xfId="19945" xr:uid="{00000000-0005-0000-0000-0000F8480000}"/>
    <cellStyle name="Percent 3 2 3 2 5 2 3 3" xfId="9233" xr:uid="{00000000-0005-0000-0000-0000F9480000}"/>
    <cellStyle name="Percent 3 2 3 2 5 2 3 3 2" xfId="19946" xr:uid="{00000000-0005-0000-0000-0000FA480000}"/>
    <cellStyle name="Percent 3 2 3 2 5 2 3 4" xfId="19947" xr:uid="{00000000-0005-0000-0000-0000FB480000}"/>
    <cellStyle name="Percent 3 2 3 2 5 2 4" xfId="9234" xr:uid="{00000000-0005-0000-0000-0000FC480000}"/>
    <cellStyle name="Percent 3 2 3 2 5 2 4 2" xfId="19948" xr:uid="{00000000-0005-0000-0000-0000FD480000}"/>
    <cellStyle name="Percent 3 2 3 2 5 2 5" xfId="9235" xr:uid="{00000000-0005-0000-0000-0000FE480000}"/>
    <cellStyle name="Percent 3 2 3 2 5 2 5 2" xfId="19949" xr:uid="{00000000-0005-0000-0000-0000FF480000}"/>
    <cellStyle name="Percent 3 2 3 2 5 2 6" xfId="19950" xr:uid="{00000000-0005-0000-0000-000000490000}"/>
    <cellStyle name="Percent 3 2 3 2 5 3" xfId="9236" xr:uid="{00000000-0005-0000-0000-000001490000}"/>
    <cellStyle name="Percent 3 2 3 2 5 3 2" xfId="9237" xr:uid="{00000000-0005-0000-0000-000002490000}"/>
    <cellStyle name="Percent 3 2 3 2 5 3 2 2" xfId="19951" xr:uid="{00000000-0005-0000-0000-000003490000}"/>
    <cellStyle name="Percent 3 2 3 2 5 3 3" xfId="9238" xr:uid="{00000000-0005-0000-0000-000004490000}"/>
    <cellStyle name="Percent 3 2 3 2 5 3 3 2" xfId="19952" xr:uid="{00000000-0005-0000-0000-000005490000}"/>
    <cellStyle name="Percent 3 2 3 2 5 3 4" xfId="19953" xr:uid="{00000000-0005-0000-0000-000006490000}"/>
    <cellStyle name="Percent 3 2 3 2 5 4" xfId="9239" xr:uid="{00000000-0005-0000-0000-000007490000}"/>
    <cellStyle name="Percent 3 2 3 2 5 4 2" xfId="9240" xr:uid="{00000000-0005-0000-0000-000008490000}"/>
    <cellStyle name="Percent 3 2 3 2 5 4 2 2" xfId="19954" xr:uid="{00000000-0005-0000-0000-000009490000}"/>
    <cellStyle name="Percent 3 2 3 2 5 4 3" xfId="9241" xr:uid="{00000000-0005-0000-0000-00000A490000}"/>
    <cellStyle name="Percent 3 2 3 2 5 4 3 2" xfId="19955" xr:uid="{00000000-0005-0000-0000-00000B490000}"/>
    <cellStyle name="Percent 3 2 3 2 5 4 4" xfId="19956" xr:uid="{00000000-0005-0000-0000-00000C490000}"/>
    <cellStyle name="Percent 3 2 3 2 5 5" xfId="9242" xr:uid="{00000000-0005-0000-0000-00000D490000}"/>
    <cellStyle name="Percent 3 2 3 2 5 5 2" xfId="19957" xr:uid="{00000000-0005-0000-0000-00000E490000}"/>
    <cellStyle name="Percent 3 2 3 2 5 6" xfId="9243" xr:uid="{00000000-0005-0000-0000-00000F490000}"/>
    <cellStyle name="Percent 3 2 3 2 5 6 2" xfId="19958" xr:uid="{00000000-0005-0000-0000-000010490000}"/>
    <cellStyle name="Percent 3 2 3 2 5 7" xfId="19959" xr:uid="{00000000-0005-0000-0000-000011490000}"/>
    <cellStyle name="Percent 3 2 3 2 6" xfId="9244" xr:uid="{00000000-0005-0000-0000-000012490000}"/>
    <cellStyle name="Percent 3 2 3 2 6 2" xfId="9245" xr:uid="{00000000-0005-0000-0000-000013490000}"/>
    <cellStyle name="Percent 3 2 3 2 6 2 2" xfId="9246" xr:uid="{00000000-0005-0000-0000-000014490000}"/>
    <cellStyle name="Percent 3 2 3 2 6 2 2 2" xfId="19960" xr:uid="{00000000-0005-0000-0000-000015490000}"/>
    <cellStyle name="Percent 3 2 3 2 6 2 3" xfId="9247" xr:uid="{00000000-0005-0000-0000-000016490000}"/>
    <cellStyle name="Percent 3 2 3 2 6 2 3 2" xfId="19961" xr:uid="{00000000-0005-0000-0000-000017490000}"/>
    <cellStyle name="Percent 3 2 3 2 6 2 4" xfId="19962" xr:uid="{00000000-0005-0000-0000-000018490000}"/>
    <cellStyle name="Percent 3 2 3 2 6 3" xfId="9248" xr:uid="{00000000-0005-0000-0000-000019490000}"/>
    <cellStyle name="Percent 3 2 3 2 6 3 2" xfId="9249" xr:uid="{00000000-0005-0000-0000-00001A490000}"/>
    <cellStyle name="Percent 3 2 3 2 6 3 2 2" xfId="19963" xr:uid="{00000000-0005-0000-0000-00001B490000}"/>
    <cellStyle name="Percent 3 2 3 2 6 3 3" xfId="9250" xr:uid="{00000000-0005-0000-0000-00001C490000}"/>
    <cellStyle name="Percent 3 2 3 2 6 3 3 2" xfId="19964" xr:uid="{00000000-0005-0000-0000-00001D490000}"/>
    <cellStyle name="Percent 3 2 3 2 6 3 4" xfId="19965" xr:uid="{00000000-0005-0000-0000-00001E490000}"/>
    <cellStyle name="Percent 3 2 3 2 6 4" xfId="9251" xr:uid="{00000000-0005-0000-0000-00001F490000}"/>
    <cellStyle name="Percent 3 2 3 2 6 4 2" xfId="19966" xr:uid="{00000000-0005-0000-0000-000020490000}"/>
    <cellStyle name="Percent 3 2 3 2 6 5" xfId="9252" xr:uid="{00000000-0005-0000-0000-000021490000}"/>
    <cellStyle name="Percent 3 2 3 2 6 5 2" xfId="19967" xr:uid="{00000000-0005-0000-0000-000022490000}"/>
    <cellStyle name="Percent 3 2 3 2 6 6" xfId="19968" xr:uid="{00000000-0005-0000-0000-000023490000}"/>
    <cellStyle name="Percent 3 2 3 2 7" xfId="9253" xr:uid="{00000000-0005-0000-0000-000024490000}"/>
    <cellStyle name="Percent 3 2 3 2 7 2" xfId="9254" xr:uid="{00000000-0005-0000-0000-000025490000}"/>
    <cellStyle name="Percent 3 2 3 2 7 2 2" xfId="9255" xr:uid="{00000000-0005-0000-0000-000026490000}"/>
    <cellStyle name="Percent 3 2 3 2 7 2 2 2" xfId="19969" xr:uid="{00000000-0005-0000-0000-000027490000}"/>
    <cellStyle name="Percent 3 2 3 2 7 2 3" xfId="9256" xr:uid="{00000000-0005-0000-0000-000028490000}"/>
    <cellStyle name="Percent 3 2 3 2 7 2 3 2" xfId="19970" xr:uid="{00000000-0005-0000-0000-000029490000}"/>
    <cellStyle name="Percent 3 2 3 2 7 2 4" xfId="19971" xr:uid="{00000000-0005-0000-0000-00002A490000}"/>
    <cellStyle name="Percent 3 2 3 2 7 3" xfId="9257" xr:uid="{00000000-0005-0000-0000-00002B490000}"/>
    <cellStyle name="Percent 3 2 3 2 7 3 2" xfId="9258" xr:uid="{00000000-0005-0000-0000-00002C490000}"/>
    <cellStyle name="Percent 3 2 3 2 7 3 2 2" xfId="19972" xr:uid="{00000000-0005-0000-0000-00002D490000}"/>
    <cellStyle name="Percent 3 2 3 2 7 3 3" xfId="9259" xr:uid="{00000000-0005-0000-0000-00002E490000}"/>
    <cellStyle name="Percent 3 2 3 2 7 3 3 2" xfId="19973" xr:uid="{00000000-0005-0000-0000-00002F490000}"/>
    <cellStyle name="Percent 3 2 3 2 7 3 4" xfId="19974" xr:uid="{00000000-0005-0000-0000-000030490000}"/>
    <cellStyle name="Percent 3 2 3 2 7 4" xfId="9260" xr:uid="{00000000-0005-0000-0000-000031490000}"/>
    <cellStyle name="Percent 3 2 3 2 7 4 2" xfId="19975" xr:uid="{00000000-0005-0000-0000-000032490000}"/>
    <cellStyle name="Percent 3 2 3 2 7 5" xfId="9261" xr:uid="{00000000-0005-0000-0000-000033490000}"/>
    <cellStyle name="Percent 3 2 3 2 7 5 2" xfId="19976" xr:uid="{00000000-0005-0000-0000-000034490000}"/>
    <cellStyle name="Percent 3 2 3 2 7 6" xfId="19977" xr:uid="{00000000-0005-0000-0000-000035490000}"/>
    <cellStyle name="Percent 3 2 3 2 8" xfId="9262" xr:uid="{00000000-0005-0000-0000-000036490000}"/>
    <cellStyle name="Percent 3 2 3 2 8 2" xfId="9263" xr:uid="{00000000-0005-0000-0000-000037490000}"/>
    <cellStyle name="Percent 3 2 3 2 8 2 2" xfId="19978" xr:uid="{00000000-0005-0000-0000-000038490000}"/>
    <cellStyle name="Percent 3 2 3 2 8 3" xfId="9264" xr:uid="{00000000-0005-0000-0000-000039490000}"/>
    <cellStyle name="Percent 3 2 3 2 8 3 2" xfId="19979" xr:uid="{00000000-0005-0000-0000-00003A490000}"/>
    <cellStyle name="Percent 3 2 3 2 8 4" xfId="19980" xr:uid="{00000000-0005-0000-0000-00003B490000}"/>
    <cellStyle name="Percent 3 2 3 2 9" xfId="9265" xr:uid="{00000000-0005-0000-0000-00003C490000}"/>
    <cellStyle name="Percent 3 2 3 2 9 2" xfId="9266" xr:uid="{00000000-0005-0000-0000-00003D490000}"/>
    <cellStyle name="Percent 3 2 3 2 9 2 2" xfId="19981" xr:uid="{00000000-0005-0000-0000-00003E490000}"/>
    <cellStyle name="Percent 3 2 3 2 9 3" xfId="9267" xr:uid="{00000000-0005-0000-0000-00003F490000}"/>
    <cellStyle name="Percent 3 2 3 2 9 3 2" xfId="19982" xr:uid="{00000000-0005-0000-0000-000040490000}"/>
    <cellStyle name="Percent 3 2 3 2 9 4" xfId="19983" xr:uid="{00000000-0005-0000-0000-000041490000}"/>
    <cellStyle name="Percent 3 2 3 3" xfId="9268" xr:uid="{00000000-0005-0000-0000-000042490000}"/>
    <cellStyle name="Percent 3 2 3 3 10" xfId="9269" xr:uid="{00000000-0005-0000-0000-000043490000}"/>
    <cellStyle name="Percent 3 2 3 3 10 2" xfId="19984" xr:uid="{00000000-0005-0000-0000-000044490000}"/>
    <cellStyle name="Percent 3 2 3 3 11" xfId="19985" xr:uid="{00000000-0005-0000-0000-000045490000}"/>
    <cellStyle name="Percent 3 2 3 3 2" xfId="9270" xr:uid="{00000000-0005-0000-0000-000046490000}"/>
    <cellStyle name="Percent 3 2 3 3 2 10" xfId="19986" xr:uid="{00000000-0005-0000-0000-000047490000}"/>
    <cellStyle name="Percent 3 2 3 3 2 2" xfId="9271" xr:uid="{00000000-0005-0000-0000-000048490000}"/>
    <cellStyle name="Percent 3 2 3 3 2 2 2" xfId="9272" xr:uid="{00000000-0005-0000-0000-000049490000}"/>
    <cellStyle name="Percent 3 2 3 3 2 2 2 2" xfId="9273" xr:uid="{00000000-0005-0000-0000-00004A490000}"/>
    <cellStyle name="Percent 3 2 3 3 2 2 2 2 2" xfId="9274" xr:uid="{00000000-0005-0000-0000-00004B490000}"/>
    <cellStyle name="Percent 3 2 3 3 2 2 2 2 2 2" xfId="19987" xr:uid="{00000000-0005-0000-0000-00004C490000}"/>
    <cellStyle name="Percent 3 2 3 3 2 2 2 2 3" xfId="9275" xr:uid="{00000000-0005-0000-0000-00004D490000}"/>
    <cellStyle name="Percent 3 2 3 3 2 2 2 2 3 2" xfId="19988" xr:uid="{00000000-0005-0000-0000-00004E490000}"/>
    <cellStyle name="Percent 3 2 3 3 2 2 2 2 4" xfId="19989" xr:uid="{00000000-0005-0000-0000-00004F490000}"/>
    <cellStyle name="Percent 3 2 3 3 2 2 2 3" xfId="9276" xr:uid="{00000000-0005-0000-0000-000050490000}"/>
    <cellStyle name="Percent 3 2 3 3 2 2 2 3 2" xfId="9277" xr:uid="{00000000-0005-0000-0000-000051490000}"/>
    <cellStyle name="Percent 3 2 3 3 2 2 2 3 2 2" xfId="19990" xr:uid="{00000000-0005-0000-0000-000052490000}"/>
    <cellStyle name="Percent 3 2 3 3 2 2 2 3 3" xfId="9278" xr:uid="{00000000-0005-0000-0000-000053490000}"/>
    <cellStyle name="Percent 3 2 3 3 2 2 2 3 3 2" xfId="19991" xr:uid="{00000000-0005-0000-0000-000054490000}"/>
    <cellStyle name="Percent 3 2 3 3 2 2 2 3 4" xfId="19992" xr:uid="{00000000-0005-0000-0000-000055490000}"/>
    <cellStyle name="Percent 3 2 3 3 2 2 2 4" xfId="9279" xr:uid="{00000000-0005-0000-0000-000056490000}"/>
    <cellStyle name="Percent 3 2 3 3 2 2 2 4 2" xfId="19993" xr:uid="{00000000-0005-0000-0000-000057490000}"/>
    <cellStyle name="Percent 3 2 3 3 2 2 2 5" xfId="9280" xr:uid="{00000000-0005-0000-0000-000058490000}"/>
    <cellStyle name="Percent 3 2 3 3 2 2 2 5 2" xfId="19994" xr:uid="{00000000-0005-0000-0000-000059490000}"/>
    <cellStyle name="Percent 3 2 3 3 2 2 2 6" xfId="19995" xr:uid="{00000000-0005-0000-0000-00005A490000}"/>
    <cellStyle name="Percent 3 2 3 3 2 2 3" xfId="9281" xr:uid="{00000000-0005-0000-0000-00005B490000}"/>
    <cellStyle name="Percent 3 2 3 3 2 2 3 2" xfId="9282" xr:uid="{00000000-0005-0000-0000-00005C490000}"/>
    <cellStyle name="Percent 3 2 3 3 2 2 3 2 2" xfId="9283" xr:uid="{00000000-0005-0000-0000-00005D490000}"/>
    <cellStyle name="Percent 3 2 3 3 2 2 3 2 2 2" xfId="19996" xr:uid="{00000000-0005-0000-0000-00005E490000}"/>
    <cellStyle name="Percent 3 2 3 3 2 2 3 2 3" xfId="9284" xr:uid="{00000000-0005-0000-0000-00005F490000}"/>
    <cellStyle name="Percent 3 2 3 3 2 2 3 2 3 2" xfId="19997" xr:uid="{00000000-0005-0000-0000-000060490000}"/>
    <cellStyle name="Percent 3 2 3 3 2 2 3 2 4" xfId="19998" xr:uid="{00000000-0005-0000-0000-000061490000}"/>
    <cellStyle name="Percent 3 2 3 3 2 2 3 3" xfId="9285" xr:uid="{00000000-0005-0000-0000-000062490000}"/>
    <cellStyle name="Percent 3 2 3 3 2 2 3 3 2" xfId="9286" xr:uid="{00000000-0005-0000-0000-000063490000}"/>
    <cellStyle name="Percent 3 2 3 3 2 2 3 3 2 2" xfId="19999" xr:uid="{00000000-0005-0000-0000-000064490000}"/>
    <cellStyle name="Percent 3 2 3 3 2 2 3 3 3" xfId="9287" xr:uid="{00000000-0005-0000-0000-000065490000}"/>
    <cellStyle name="Percent 3 2 3 3 2 2 3 3 3 2" xfId="20000" xr:uid="{00000000-0005-0000-0000-000066490000}"/>
    <cellStyle name="Percent 3 2 3 3 2 2 3 3 4" xfId="20001" xr:uid="{00000000-0005-0000-0000-000067490000}"/>
    <cellStyle name="Percent 3 2 3 3 2 2 3 4" xfId="9288" xr:uid="{00000000-0005-0000-0000-000068490000}"/>
    <cellStyle name="Percent 3 2 3 3 2 2 3 4 2" xfId="20002" xr:uid="{00000000-0005-0000-0000-000069490000}"/>
    <cellStyle name="Percent 3 2 3 3 2 2 3 5" xfId="9289" xr:uid="{00000000-0005-0000-0000-00006A490000}"/>
    <cellStyle name="Percent 3 2 3 3 2 2 3 5 2" xfId="20003" xr:uid="{00000000-0005-0000-0000-00006B490000}"/>
    <cellStyle name="Percent 3 2 3 3 2 2 3 6" xfId="20004" xr:uid="{00000000-0005-0000-0000-00006C490000}"/>
    <cellStyle name="Percent 3 2 3 3 2 2 4" xfId="9290" xr:uid="{00000000-0005-0000-0000-00006D490000}"/>
    <cellStyle name="Percent 3 2 3 3 2 2 4 2" xfId="9291" xr:uid="{00000000-0005-0000-0000-00006E490000}"/>
    <cellStyle name="Percent 3 2 3 3 2 2 4 2 2" xfId="20005" xr:uid="{00000000-0005-0000-0000-00006F490000}"/>
    <cellStyle name="Percent 3 2 3 3 2 2 4 3" xfId="9292" xr:uid="{00000000-0005-0000-0000-000070490000}"/>
    <cellStyle name="Percent 3 2 3 3 2 2 4 3 2" xfId="20006" xr:uid="{00000000-0005-0000-0000-000071490000}"/>
    <cellStyle name="Percent 3 2 3 3 2 2 4 4" xfId="20007" xr:uid="{00000000-0005-0000-0000-000072490000}"/>
    <cellStyle name="Percent 3 2 3 3 2 2 5" xfId="9293" xr:uid="{00000000-0005-0000-0000-000073490000}"/>
    <cellStyle name="Percent 3 2 3 3 2 2 5 2" xfId="9294" xr:uid="{00000000-0005-0000-0000-000074490000}"/>
    <cellStyle name="Percent 3 2 3 3 2 2 5 2 2" xfId="20008" xr:uid="{00000000-0005-0000-0000-000075490000}"/>
    <cellStyle name="Percent 3 2 3 3 2 2 5 3" xfId="9295" xr:uid="{00000000-0005-0000-0000-000076490000}"/>
    <cellStyle name="Percent 3 2 3 3 2 2 5 3 2" xfId="20009" xr:uid="{00000000-0005-0000-0000-000077490000}"/>
    <cellStyle name="Percent 3 2 3 3 2 2 5 4" xfId="20010" xr:uid="{00000000-0005-0000-0000-000078490000}"/>
    <cellStyle name="Percent 3 2 3 3 2 2 6" xfId="9296" xr:uid="{00000000-0005-0000-0000-000079490000}"/>
    <cellStyle name="Percent 3 2 3 3 2 2 6 2" xfId="20011" xr:uid="{00000000-0005-0000-0000-00007A490000}"/>
    <cellStyle name="Percent 3 2 3 3 2 2 7" xfId="9297" xr:uid="{00000000-0005-0000-0000-00007B490000}"/>
    <cellStyle name="Percent 3 2 3 3 2 2 7 2" xfId="20012" xr:uid="{00000000-0005-0000-0000-00007C490000}"/>
    <cellStyle name="Percent 3 2 3 3 2 2 8" xfId="20013" xr:uid="{00000000-0005-0000-0000-00007D490000}"/>
    <cellStyle name="Percent 3 2 3 3 2 3" xfId="9298" xr:uid="{00000000-0005-0000-0000-00007E490000}"/>
    <cellStyle name="Percent 3 2 3 3 2 3 2" xfId="9299" xr:uid="{00000000-0005-0000-0000-00007F490000}"/>
    <cellStyle name="Percent 3 2 3 3 2 3 2 2" xfId="9300" xr:uid="{00000000-0005-0000-0000-000080490000}"/>
    <cellStyle name="Percent 3 2 3 3 2 3 2 2 2" xfId="9301" xr:uid="{00000000-0005-0000-0000-000081490000}"/>
    <cellStyle name="Percent 3 2 3 3 2 3 2 2 2 2" xfId="20014" xr:uid="{00000000-0005-0000-0000-000082490000}"/>
    <cellStyle name="Percent 3 2 3 3 2 3 2 2 3" xfId="9302" xr:uid="{00000000-0005-0000-0000-000083490000}"/>
    <cellStyle name="Percent 3 2 3 3 2 3 2 2 3 2" xfId="20015" xr:uid="{00000000-0005-0000-0000-000084490000}"/>
    <cellStyle name="Percent 3 2 3 3 2 3 2 2 4" xfId="20016" xr:uid="{00000000-0005-0000-0000-000085490000}"/>
    <cellStyle name="Percent 3 2 3 3 2 3 2 3" xfId="9303" xr:uid="{00000000-0005-0000-0000-000086490000}"/>
    <cellStyle name="Percent 3 2 3 3 2 3 2 3 2" xfId="9304" xr:uid="{00000000-0005-0000-0000-000087490000}"/>
    <cellStyle name="Percent 3 2 3 3 2 3 2 3 2 2" xfId="20017" xr:uid="{00000000-0005-0000-0000-000088490000}"/>
    <cellStyle name="Percent 3 2 3 3 2 3 2 3 3" xfId="9305" xr:uid="{00000000-0005-0000-0000-000089490000}"/>
    <cellStyle name="Percent 3 2 3 3 2 3 2 3 3 2" xfId="20018" xr:uid="{00000000-0005-0000-0000-00008A490000}"/>
    <cellStyle name="Percent 3 2 3 3 2 3 2 3 4" xfId="20019" xr:uid="{00000000-0005-0000-0000-00008B490000}"/>
    <cellStyle name="Percent 3 2 3 3 2 3 2 4" xfId="9306" xr:uid="{00000000-0005-0000-0000-00008C490000}"/>
    <cellStyle name="Percent 3 2 3 3 2 3 2 4 2" xfId="20020" xr:uid="{00000000-0005-0000-0000-00008D490000}"/>
    <cellStyle name="Percent 3 2 3 3 2 3 2 5" xfId="9307" xr:uid="{00000000-0005-0000-0000-00008E490000}"/>
    <cellStyle name="Percent 3 2 3 3 2 3 2 5 2" xfId="20021" xr:uid="{00000000-0005-0000-0000-00008F490000}"/>
    <cellStyle name="Percent 3 2 3 3 2 3 2 6" xfId="20022" xr:uid="{00000000-0005-0000-0000-000090490000}"/>
    <cellStyle name="Percent 3 2 3 3 2 3 3" xfId="9308" xr:uid="{00000000-0005-0000-0000-000091490000}"/>
    <cellStyle name="Percent 3 2 3 3 2 3 3 2" xfId="9309" xr:uid="{00000000-0005-0000-0000-000092490000}"/>
    <cellStyle name="Percent 3 2 3 3 2 3 3 2 2" xfId="20023" xr:uid="{00000000-0005-0000-0000-000093490000}"/>
    <cellStyle name="Percent 3 2 3 3 2 3 3 3" xfId="9310" xr:uid="{00000000-0005-0000-0000-000094490000}"/>
    <cellStyle name="Percent 3 2 3 3 2 3 3 3 2" xfId="20024" xr:uid="{00000000-0005-0000-0000-000095490000}"/>
    <cellStyle name="Percent 3 2 3 3 2 3 3 4" xfId="20025" xr:uid="{00000000-0005-0000-0000-000096490000}"/>
    <cellStyle name="Percent 3 2 3 3 2 3 4" xfId="9311" xr:uid="{00000000-0005-0000-0000-000097490000}"/>
    <cellStyle name="Percent 3 2 3 3 2 3 4 2" xfId="9312" xr:uid="{00000000-0005-0000-0000-000098490000}"/>
    <cellStyle name="Percent 3 2 3 3 2 3 4 2 2" xfId="20026" xr:uid="{00000000-0005-0000-0000-000099490000}"/>
    <cellStyle name="Percent 3 2 3 3 2 3 4 3" xfId="9313" xr:uid="{00000000-0005-0000-0000-00009A490000}"/>
    <cellStyle name="Percent 3 2 3 3 2 3 4 3 2" xfId="20027" xr:uid="{00000000-0005-0000-0000-00009B490000}"/>
    <cellStyle name="Percent 3 2 3 3 2 3 4 4" xfId="20028" xr:uid="{00000000-0005-0000-0000-00009C490000}"/>
    <cellStyle name="Percent 3 2 3 3 2 3 5" xfId="9314" xr:uid="{00000000-0005-0000-0000-00009D490000}"/>
    <cellStyle name="Percent 3 2 3 3 2 3 5 2" xfId="20029" xr:uid="{00000000-0005-0000-0000-00009E490000}"/>
    <cellStyle name="Percent 3 2 3 3 2 3 6" xfId="9315" xr:uid="{00000000-0005-0000-0000-00009F490000}"/>
    <cellStyle name="Percent 3 2 3 3 2 3 6 2" xfId="20030" xr:uid="{00000000-0005-0000-0000-0000A0490000}"/>
    <cellStyle name="Percent 3 2 3 3 2 3 7" xfId="20031" xr:uid="{00000000-0005-0000-0000-0000A1490000}"/>
    <cellStyle name="Percent 3 2 3 3 2 4" xfId="9316" xr:uid="{00000000-0005-0000-0000-0000A2490000}"/>
    <cellStyle name="Percent 3 2 3 3 2 4 2" xfId="9317" xr:uid="{00000000-0005-0000-0000-0000A3490000}"/>
    <cellStyle name="Percent 3 2 3 3 2 4 2 2" xfId="9318" xr:uid="{00000000-0005-0000-0000-0000A4490000}"/>
    <cellStyle name="Percent 3 2 3 3 2 4 2 2 2" xfId="20032" xr:uid="{00000000-0005-0000-0000-0000A5490000}"/>
    <cellStyle name="Percent 3 2 3 3 2 4 2 3" xfId="9319" xr:uid="{00000000-0005-0000-0000-0000A6490000}"/>
    <cellStyle name="Percent 3 2 3 3 2 4 2 3 2" xfId="20033" xr:uid="{00000000-0005-0000-0000-0000A7490000}"/>
    <cellStyle name="Percent 3 2 3 3 2 4 2 4" xfId="20034" xr:uid="{00000000-0005-0000-0000-0000A8490000}"/>
    <cellStyle name="Percent 3 2 3 3 2 4 3" xfId="9320" xr:uid="{00000000-0005-0000-0000-0000A9490000}"/>
    <cellStyle name="Percent 3 2 3 3 2 4 3 2" xfId="9321" xr:uid="{00000000-0005-0000-0000-0000AA490000}"/>
    <cellStyle name="Percent 3 2 3 3 2 4 3 2 2" xfId="20035" xr:uid="{00000000-0005-0000-0000-0000AB490000}"/>
    <cellStyle name="Percent 3 2 3 3 2 4 3 3" xfId="9322" xr:uid="{00000000-0005-0000-0000-0000AC490000}"/>
    <cellStyle name="Percent 3 2 3 3 2 4 3 3 2" xfId="20036" xr:uid="{00000000-0005-0000-0000-0000AD490000}"/>
    <cellStyle name="Percent 3 2 3 3 2 4 3 4" xfId="20037" xr:uid="{00000000-0005-0000-0000-0000AE490000}"/>
    <cellStyle name="Percent 3 2 3 3 2 4 4" xfId="9323" xr:uid="{00000000-0005-0000-0000-0000AF490000}"/>
    <cellStyle name="Percent 3 2 3 3 2 4 4 2" xfId="20038" xr:uid="{00000000-0005-0000-0000-0000B0490000}"/>
    <cellStyle name="Percent 3 2 3 3 2 4 5" xfId="9324" xr:uid="{00000000-0005-0000-0000-0000B1490000}"/>
    <cellStyle name="Percent 3 2 3 3 2 4 5 2" xfId="20039" xr:uid="{00000000-0005-0000-0000-0000B2490000}"/>
    <cellStyle name="Percent 3 2 3 3 2 4 6" xfId="20040" xr:uid="{00000000-0005-0000-0000-0000B3490000}"/>
    <cellStyle name="Percent 3 2 3 3 2 5" xfId="9325" xr:uid="{00000000-0005-0000-0000-0000B4490000}"/>
    <cellStyle name="Percent 3 2 3 3 2 5 2" xfId="9326" xr:uid="{00000000-0005-0000-0000-0000B5490000}"/>
    <cellStyle name="Percent 3 2 3 3 2 5 2 2" xfId="9327" xr:uid="{00000000-0005-0000-0000-0000B6490000}"/>
    <cellStyle name="Percent 3 2 3 3 2 5 2 2 2" xfId="20041" xr:uid="{00000000-0005-0000-0000-0000B7490000}"/>
    <cellStyle name="Percent 3 2 3 3 2 5 2 3" xfId="9328" xr:uid="{00000000-0005-0000-0000-0000B8490000}"/>
    <cellStyle name="Percent 3 2 3 3 2 5 2 3 2" xfId="20042" xr:uid="{00000000-0005-0000-0000-0000B9490000}"/>
    <cellStyle name="Percent 3 2 3 3 2 5 2 4" xfId="20043" xr:uid="{00000000-0005-0000-0000-0000BA490000}"/>
    <cellStyle name="Percent 3 2 3 3 2 5 3" xfId="9329" xr:uid="{00000000-0005-0000-0000-0000BB490000}"/>
    <cellStyle name="Percent 3 2 3 3 2 5 3 2" xfId="9330" xr:uid="{00000000-0005-0000-0000-0000BC490000}"/>
    <cellStyle name="Percent 3 2 3 3 2 5 3 2 2" xfId="20044" xr:uid="{00000000-0005-0000-0000-0000BD490000}"/>
    <cellStyle name="Percent 3 2 3 3 2 5 3 3" xfId="9331" xr:uid="{00000000-0005-0000-0000-0000BE490000}"/>
    <cellStyle name="Percent 3 2 3 3 2 5 3 3 2" xfId="20045" xr:uid="{00000000-0005-0000-0000-0000BF490000}"/>
    <cellStyle name="Percent 3 2 3 3 2 5 3 4" xfId="20046" xr:uid="{00000000-0005-0000-0000-0000C0490000}"/>
    <cellStyle name="Percent 3 2 3 3 2 5 4" xfId="9332" xr:uid="{00000000-0005-0000-0000-0000C1490000}"/>
    <cellStyle name="Percent 3 2 3 3 2 5 4 2" xfId="20047" xr:uid="{00000000-0005-0000-0000-0000C2490000}"/>
    <cellStyle name="Percent 3 2 3 3 2 5 5" xfId="9333" xr:uid="{00000000-0005-0000-0000-0000C3490000}"/>
    <cellStyle name="Percent 3 2 3 3 2 5 5 2" xfId="20048" xr:uid="{00000000-0005-0000-0000-0000C4490000}"/>
    <cellStyle name="Percent 3 2 3 3 2 5 6" xfId="20049" xr:uid="{00000000-0005-0000-0000-0000C5490000}"/>
    <cellStyle name="Percent 3 2 3 3 2 6" xfId="9334" xr:uid="{00000000-0005-0000-0000-0000C6490000}"/>
    <cellStyle name="Percent 3 2 3 3 2 6 2" xfId="9335" xr:uid="{00000000-0005-0000-0000-0000C7490000}"/>
    <cellStyle name="Percent 3 2 3 3 2 6 2 2" xfId="20050" xr:uid="{00000000-0005-0000-0000-0000C8490000}"/>
    <cellStyle name="Percent 3 2 3 3 2 6 3" xfId="9336" xr:uid="{00000000-0005-0000-0000-0000C9490000}"/>
    <cellStyle name="Percent 3 2 3 3 2 6 3 2" xfId="20051" xr:uid="{00000000-0005-0000-0000-0000CA490000}"/>
    <cellStyle name="Percent 3 2 3 3 2 6 4" xfId="20052" xr:uid="{00000000-0005-0000-0000-0000CB490000}"/>
    <cellStyle name="Percent 3 2 3 3 2 7" xfId="9337" xr:uid="{00000000-0005-0000-0000-0000CC490000}"/>
    <cellStyle name="Percent 3 2 3 3 2 7 2" xfId="9338" xr:uid="{00000000-0005-0000-0000-0000CD490000}"/>
    <cellStyle name="Percent 3 2 3 3 2 7 2 2" xfId="20053" xr:uid="{00000000-0005-0000-0000-0000CE490000}"/>
    <cellStyle name="Percent 3 2 3 3 2 7 3" xfId="9339" xr:uid="{00000000-0005-0000-0000-0000CF490000}"/>
    <cellStyle name="Percent 3 2 3 3 2 7 3 2" xfId="20054" xr:uid="{00000000-0005-0000-0000-0000D0490000}"/>
    <cellStyle name="Percent 3 2 3 3 2 7 4" xfId="20055" xr:uid="{00000000-0005-0000-0000-0000D1490000}"/>
    <cellStyle name="Percent 3 2 3 3 2 8" xfId="9340" xr:uid="{00000000-0005-0000-0000-0000D2490000}"/>
    <cellStyle name="Percent 3 2 3 3 2 8 2" xfId="20056" xr:uid="{00000000-0005-0000-0000-0000D3490000}"/>
    <cellStyle name="Percent 3 2 3 3 2 9" xfId="9341" xr:uid="{00000000-0005-0000-0000-0000D4490000}"/>
    <cellStyle name="Percent 3 2 3 3 2 9 2" xfId="20057" xr:uid="{00000000-0005-0000-0000-0000D5490000}"/>
    <cellStyle name="Percent 3 2 3 3 3" xfId="9342" xr:uid="{00000000-0005-0000-0000-0000D6490000}"/>
    <cellStyle name="Percent 3 2 3 3 3 2" xfId="9343" xr:uid="{00000000-0005-0000-0000-0000D7490000}"/>
    <cellStyle name="Percent 3 2 3 3 3 2 2" xfId="9344" xr:uid="{00000000-0005-0000-0000-0000D8490000}"/>
    <cellStyle name="Percent 3 2 3 3 3 2 2 2" xfId="9345" xr:uid="{00000000-0005-0000-0000-0000D9490000}"/>
    <cellStyle name="Percent 3 2 3 3 3 2 2 2 2" xfId="20058" xr:uid="{00000000-0005-0000-0000-0000DA490000}"/>
    <cellStyle name="Percent 3 2 3 3 3 2 2 3" xfId="9346" xr:uid="{00000000-0005-0000-0000-0000DB490000}"/>
    <cellStyle name="Percent 3 2 3 3 3 2 2 3 2" xfId="20059" xr:uid="{00000000-0005-0000-0000-0000DC490000}"/>
    <cellStyle name="Percent 3 2 3 3 3 2 2 4" xfId="20060" xr:uid="{00000000-0005-0000-0000-0000DD490000}"/>
    <cellStyle name="Percent 3 2 3 3 3 2 3" xfId="9347" xr:uid="{00000000-0005-0000-0000-0000DE490000}"/>
    <cellStyle name="Percent 3 2 3 3 3 2 3 2" xfId="9348" xr:uid="{00000000-0005-0000-0000-0000DF490000}"/>
    <cellStyle name="Percent 3 2 3 3 3 2 3 2 2" xfId="20061" xr:uid="{00000000-0005-0000-0000-0000E0490000}"/>
    <cellStyle name="Percent 3 2 3 3 3 2 3 3" xfId="9349" xr:uid="{00000000-0005-0000-0000-0000E1490000}"/>
    <cellStyle name="Percent 3 2 3 3 3 2 3 3 2" xfId="20062" xr:uid="{00000000-0005-0000-0000-0000E2490000}"/>
    <cellStyle name="Percent 3 2 3 3 3 2 3 4" xfId="20063" xr:uid="{00000000-0005-0000-0000-0000E3490000}"/>
    <cellStyle name="Percent 3 2 3 3 3 2 4" xfId="9350" xr:uid="{00000000-0005-0000-0000-0000E4490000}"/>
    <cellStyle name="Percent 3 2 3 3 3 2 4 2" xfId="20064" xr:uid="{00000000-0005-0000-0000-0000E5490000}"/>
    <cellStyle name="Percent 3 2 3 3 3 2 5" xfId="9351" xr:uid="{00000000-0005-0000-0000-0000E6490000}"/>
    <cellStyle name="Percent 3 2 3 3 3 2 5 2" xfId="20065" xr:uid="{00000000-0005-0000-0000-0000E7490000}"/>
    <cellStyle name="Percent 3 2 3 3 3 2 6" xfId="20066" xr:uid="{00000000-0005-0000-0000-0000E8490000}"/>
    <cellStyle name="Percent 3 2 3 3 3 3" xfId="9352" xr:uid="{00000000-0005-0000-0000-0000E9490000}"/>
    <cellStyle name="Percent 3 2 3 3 3 3 2" xfId="9353" xr:uid="{00000000-0005-0000-0000-0000EA490000}"/>
    <cellStyle name="Percent 3 2 3 3 3 3 2 2" xfId="9354" xr:uid="{00000000-0005-0000-0000-0000EB490000}"/>
    <cellStyle name="Percent 3 2 3 3 3 3 2 2 2" xfId="20067" xr:uid="{00000000-0005-0000-0000-0000EC490000}"/>
    <cellStyle name="Percent 3 2 3 3 3 3 2 3" xfId="9355" xr:uid="{00000000-0005-0000-0000-0000ED490000}"/>
    <cellStyle name="Percent 3 2 3 3 3 3 2 3 2" xfId="20068" xr:uid="{00000000-0005-0000-0000-0000EE490000}"/>
    <cellStyle name="Percent 3 2 3 3 3 3 2 4" xfId="20069" xr:uid="{00000000-0005-0000-0000-0000EF490000}"/>
    <cellStyle name="Percent 3 2 3 3 3 3 3" xfId="9356" xr:uid="{00000000-0005-0000-0000-0000F0490000}"/>
    <cellStyle name="Percent 3 2 3 3 3 3 3 2" xfId="9357" xr:uid="{00000000-0005-0000-0000-0000F1490000}"/>
    <cellStyle name="Percent 3 2 3 3 3 3 3 2 2" xfId="20070" xr:uid="{00000000-0005-0000-0000-0000F2490000}"/>
    <cellStyle name="Percent 3 2 3 3 3 3 3 3" xfId="9358" xr:uid="{00000000-0005-0000-0000-0000F3490000}"/>
    <cellStyle name="Percent 3 2 3 3 3 3 3 3 2" xfId="20071" xr:uid="{00000000-0005-0000-0000-0000F4490000}"/>
    <cellStyle name="Percent 3 2 3 3 3 3 3 4" xfId="20072" xr:uid="{00000000-0005-0000-0000-0000F5490000}"/>
    <cellStyle name="Percent 3 2 3 3 3 3 4" xfId="9359" xr:uid="{00000000-0005-0000-0000-0000F6490000}"/>
    <cellStyle name="Percent 3 2 3 3 3 3 4 2" xfId="20073" xr:uid="{00000000-0005-0000-0000-0000F7490000}"/>
    <cellStyle name="Percent 3 2 3 3 3 3 5" xfId="9360" xr:uid="{00000000-0005-0000-0000-0000F8490000}"/>
    <cellStyle name="Percent 3 2 3 3 3 3 5 2" xfId="20074" xr:uid="{00000000-0005-0000-0000-0000F9490000}"/>
    <cellStyle name="Percent 3 2 3 3 3 3 6" xfId="20075" xr:uid="{00000000-0005-0000-0000-0000FA490000}"/>
    <cellStyle name="Percent 3 2 3 3 3 4" xfId="9361" xr:uid="{00000000-0005-0000-0000-0000FB490000}"/>
    <cellStyle name="Percent 3 2 3 3 3 4 2" xfId="9362" xr:uid="{00000000-0005-0000-0000-0000FC490000}"/>
    <cellStyle name="Percent 3 2 3 3 3 4 2 2" xfId="20076" xr:uid="{00000000-0005-0000-0000-0000FD490000}"/>
    <cellStyle name="Percent 3 2 3 3 3 4 3" xfId="9363" xr:uid="{00000000-0005-0000-0000-0000FE490000}"/>
    <cellStyle name="Percent 3 2 3 3 3 4 3 2" xfId="20077" xr:uid="{00000000-0005-0000-0000-0000FF490000}"/>
    <cellStyle name="Percent 3 2 3 3 3 4 4" xfId="20078" xr:uid="{00000000-0005-0000-0000-0000004A0000}"/>
    <cellStyle name="Percent 3 2 3 3 3 5" xfId="9364" xr:uid="{00000000-0005-0000-0000-0000014A0000}"/>
    <cellStyle name="Percent 3 2 3 3 3 5 2" xfId="9365" xr:uid="{00000000-0005-0000-0000-0000024A0000}"/>
    <cellStyle name="Percent 3 2 3 3 3 5 2 2" xfId="20079" xr:uid="{00000000-0005-0000-0000-0000034A0000}"/>
    <cellStyle name="Percent 3 2 3 3 3 5 3" xfId="9366" xr:uid="{00000000-0005-0000-0000-0000044A0000}"/>
    <cellStyle name="Percent 3 2 3 3 3 5 3 2" xfId="20080" xr:uid="{00000000-0005-0000-0000-0000054A0000}"/>
    <cellStyle name="Percent 3 2 3 3 3 5 4" xfId="20081" xr:uid="{00000000-0005-0000-0000-0000064A0000}"/>
    <cellStyle name="Percent 3 2 3 3 3 6" xfId="9367" xr:uid="{00000000-0005-0000-0000-0000074A0000}"/>
    <cellStyle name="Percent 3 2 3 3 3 6 2" xfId="20082" xr:uid="{00000000-0005-0000-0000-0000084A0000}"/>
    <cellStyle name="Percent 3 2 3 3 3 7" xfId="9368" xr:uid="{00000000-0005-0000-0000-0000094A0000}"/>
    <cellStyle name="Percent 3 2 3 3 3 7 2" xfId="20083" xr:uid="{00000000-0005-0000-0000-00000A4A0000}"/>
    <cellStyle name="Percent 3 2 3 3 3 8" xfId="20084" xr:uid="{00000000-0005-0000-0000-00000B4A0000}"/>
    <cellStyle name="Percent 3 2 3 3 4" xfId="9369" xr:uid="{00000000-0005-0000-0000-00000C4A0000}"/>
    <cellStyle name="Percent 3 2 3 3 4 2" xfId="9370" xr:uid="{00000000-0005-0000-0000-00000D4A0000}"/>
    <cellStyle name="Percent 3 2 3 3 4 2 2" xfId="9371" xr:uid="{00000000-0005-0000-0000-00000E4A0000}"/>
    <cellStyle name="Percent 3 2 3 3 4 2 2 2" xfId="9372" xr:uid="{00000000-0005-0000-0000-00000F4A0000}"/>
    <cellStyle name="Percent 3 2 3 3 4 2 2 2 2" xfId="20085" xr:uid="{00000000-0005-0000-0000-0000104A0000}"/>
    <cellStyle name="Percent 3 2 3 3 4 2 2 3" xfId="9373" xr:uid="{00000000-0005-0000-0000-0000114A0000}"/>
    <cellStyle name="Percent 3 2 3 3 4 2 2 3 2" xfId="20086" xr:uid="{00000000-0005-0000-0000-0000124A0000}"/>
    <cellStyle name="Percent 3 2 3 3 4 2 2 4" xfId="20087" xr:uid="{00000000-0005-0000-0000-0000134A0000}"/>
    <cellStyle name="Percent 3 2 3 3 4 2 3" xfId="9374" xr:uid="{00000000-0005-0000-0000-0000144A0000}"/>
    <cellStyle name="Percent 3 2 3 3 4 2 3 2" xfId="9375" xr:uid="{00000000-0005-0000-0000-0000154A0000}"/>
    <cellStyle name="Percent 3 2 3 3 4 2 3 2 2" xfId="20088" xr:uid="{00000000-0005-0000-0000-0000164A0000}"/>
    <cellStyle name="Percent 3 2 3 3 4 2 3 3" xfId="9376" xr:uid="{00000000-0005-0000-0000-0000174A0000}"/>
    <cellStyle name="Percent 3 2 3 3 4 2 3 3 2" xfId="20089" xr:uid="{00000000-0005-0000-0000-0000184A0000}"/>
    <cellStyle name="Percent 3 2 3 3 4 2 3 4" xfId="20090" xr:uid="{00000000-0005-0000-0000-0000194A0000}"/>
    <cellStyle name="Percent 3 2 3 3 4 2 4" xfId="9377" xr:uid="{00000000-0005-0000-0000-00001A4A0000}"/>
    <cellStyle name="Percent 3 2 3 3 4 2 4 2" xfId="20091" xr:uid="{00000000-0005-0000-0000-00001B4A0000}"/>
    <cellStyle name="Percent 3 2 3 3 4 2 5" xfId="9378" xr:uid="{00000000-0005-0000-0000-00001C4A0000}"/>
    <cellStyle name="Percent 3 2 3 3 4 2 5 2" xfId="20092" xr:uid="{00000000-0005-0000-0000-00001D4A0000}"/>
    <cellStyle name="Percent 3 2 3 3 4 2 6" xfId="20093" xr:uid="{00000000-0005-0000-0000-00001E4A0000}"/>
    <cellStyle name="Percent 3 2 3 3 4 3" xfId="9379" xr:uid="{00000000-0005-0000-0000-00001F4A0000}"/>
    <cellStyle name="Percent 3 2 3 3 4 3 2" xfId="9380" xr:uid="{00000000-0005-0000-0000-0000204A0000}"/>
    <cellStyle name="Percent 3 2 3 3 4 3 2 2" xfId="20094" xr:uid="{00000000-0005-0000-0000-0000214A0000}"/>
    <cellStyle name="Percent 3 2 3 3 4 3 3" xfId="9381" xr:uid="{00000000-0005-0000-0000-0000224A0000}"/>
    <cellStyle name="Percent 3 2 3 3 4 3 3 2" xfId="20095" xr:uid="{00000000-0005-0000-0000-0000234A0000}"/>
    <cellStyle name="Percent 3 2 3 3 4 3 4" xfId="20096" xr:uid="{00000000-0005-0000-0000-0000244A0000}"/>
    <cellStyle name="Percent 3 2 3 3 4 4" xfId="9382" xr:uid="{00000000-0005-0000-0000-0000254A0000}"/>
    <cellStyle name="Percent 3 2 3 3 4 4 2" xfId="9383" xr:uid="{00000000-0005-0000-0000-0000264A0000}"/>
    <cellStyle name="Percent 3 2 3 3 4 4 2 2" xfId="20097" xr:uid="{00000000-0005-0000-0000-0000274A0000}"/>
    <cellStyle name="Percent 3 2 3 3 4 4 3" xfId="9384" xr:uid="{00000000-0005-0000-0000-0000284A0000}"/>
    <cellStyle name="Percent 3 2 3 3 4 4 3 2" xfId="20098" xr:uid="{00000000-0005-0000-0000-0000294A0000}"/>
    <cellStyle name="Percent 3 2 3 3 4 4 4" xfId="20099" xr:uid="{00000000-0005-0000-0000-00002A4A0000}"/>
    <cellStyle name="Percent 3 2 3 3 4 5" xfId="9385" xr:uid="{00000000-0005-0000-0000-00002B4A0000}"/>
    <cellStyle name="Percent 3 2 3 3 4 5 2" xfId="20100" xr:uid="{00000000-0005-0000-0000-00002C4A0000}"/>
    <cellStyle name="Percent 3 2 3 3 4 6" xfId="9386" xr:uid="{00000000-0005-0000-0000-00002D4A0000}"/>
    <cellStyle name="Percent 3 2 3 3 4 6 2" xfId="20101" xr:uid="{00000000-0005-0000-0000-00002E4A0000}"/>
    <cellStyle name="Percent 3 2 3 3 4 7" xfId="20102" xr:uid="{00000000-0005-0000-0000-00002F4A0000}"/>
    <cellStyle name="Percent 3 2 3 3 5" xfId="9387" xr:uid="{00000000-0005-0000-0000-0000304A0000}"/>
    <cellStyle name="Percent 3 2 3 3 5 2" xfId="9388" xr:uid="{00000000-0005-0000-0000-0000314A0000}"/>
    <cellStyle name="Percent 3 2 3 3 5 2 2" xfId="9389" xr:uid="{00000000-0005-0000-0000-0000324A0000}"/>
    <cellStyle name="Percent 3 2 3 3 5 2 2 2" xfId="20103" xr:uid="{00000000-0005-0000-0000-0000334A0000}"/>
    <cellStyle name="Percent 3 2 3 3 5 2 3" xfId="9390" xr:uid="{00000000-0005-0000-0000-0000344A0000}"/>
    <cellStyle name="Percent 3 2 3 3 5 2 3 2" xfId="20104" xr:uid="{00000000-0005-0000-0000-0000354A0000}"/>
    <cellStyle name="Percent 3 2 3 3 5 2 4" xfId="20105" xr:uid="{00000000-0005-0000-0000-0000364A0000}"/>
    <cellStyle name="Percent 3 2 3 3 5 3" xfId="9391" xr:uid="{00000000-0005-0000-0000-0000374A0000}"/>
    <cellStyle name="Percent 3 2 3 3 5 3 2" xfId="9392" xr:uid="{00000000-0005-0000-0000-0000384A0000}"/>
    <cellStyle name="Percent 3 2 3 3 5 3 2 2" xfId="20106" xr:uid="{00000000-0005-0000-0000-0000394A0000}"/>
    <cellStyle name="Percent 3 2 3 3 5 3 3" xfId="9393" xr:uid="{00000000-0005-0000-0000-00003A4A0000}"/>
    <cellStyle name="Percent 3 2 3 3 5 3 3 2" xfId="20107" xr:uid="{00000000-0005-0000-0000-00003B4A0000}"/>
    <cellStyle name="Percent 3 2 3 3 5 3 4" xfId="20108" xr:uid="{00000000-0005-0000-0000-00003C4A0000}"/>
    <cellStyle name="Percent 3 2 3 3 5 4" xfId="9394" xr:uid="{00000000-0005-0000-0000-00003D4A0000}"/>
    <cellStyle name="Percent 3 2 3 3 5 4 2" xfId="20109" xr:uid="{00000000-0005-0000-0000-00003E4A0000}"/>
    <cellStyle name="Percent 3 2 3 3 5 5" xfId="9395" xr:uid="{00000000-0005-0000-0000-00003F4A0000}"/>
    <cellStyle name="Percent 3 2 3 3 5 5 2" xfId="20110" xr:uid="{00000000-0005-0000-0000-0000404A0000}"/>
    <cellStyle name="Percent 3 2 3 3 5 6" xfId="20111" xr:uid="{00000000-0005-0000-0000-0000414A0000}"/>
    <cellStyle name="Percent 3 2 3 3 6" xfId="9396" xr:uid="{00000000-0005-0000-0000-0000424A0000}"/>
    <cellStyle name="Percent 3 2 3 3 6 2" xfId="9397" xr:uid="{00000000-0005-0000-0000-0000434A0000}"/>
    <cellStyle name="Percent 3 2 3 3 6 2 2" xfId="9398" xr:uid="{00000000-0005-0000-0000-0000444A0000}"/>
    <cellStyle name="Percent 3 2 3 3 6 2 2 2" xfId="20112" xr:uid="{00000000-0005-0000-0000-0000454A0000}"/>
    <cellStyle name="Percent 3 2 3 3 6 2 3" xfId="9399" xr:uid="{00000000-0005-0000-0000-0000464A0000}"/>
    <cellStyle name="Percent 3 2 3 3 6 2 3 2" xfId="20113" xr:uid="{00000000-0005-0000-0000-0000474A0000}"/>
    <cellStyle name="Percent 3 2 3 3 6 2 4" xfId="20114" xr:uid="{00000000-0005-0000-0000-0000484A0000}"/>
    <cellStyle name="Percent 3 2 3 3 6 3" xfId="9400" xr:uid="{00000000-0005-0000-0000-0000494A0000}"/>
    <cellStyle name="Percent 3 2 3 3 6 3 2" xfId="9401" xr:uid="{00000000-0005-0000-0000-00004A4A0000}"/>
    <cellStyle name="Percent 3 2 3 3 6 3 2 2" xfId="20115" xr:uid="{00000000-0005-0000-0000-00004B4A0000}"/>
    <cellStyle name="Percent 3 2 3 3 6 3 3" xfId="9402" xr:uid="{00000000-0005-0000-0000-00004C4A0000}"/>
    <cellStyle name="Percent 3 2 3 3 6 3 3 2" xfId="20116" xr:uid="{00000000-0005-0000-0000-00004D4A0000}"/>
    <cellStyle name="Percent 3 2 3 3 6 3 4" xfId="20117" xr:uid="{00000000-0005-0000-0000-00004E4A0000}"/>
    <cellStyle name="Percent 3 2 3 3 6 4" xfId="9403" xr:uid="{00000000-0005-0000-0000-00004F4A0000}"/>
    <cellStyle name="Percent 3 2 3 3 6 4 2" xfId="20118" xr:uid="{00000000-0005-0000-0000-0000504A0000}"/>
    <cellStyle name="Percent 3 2 3 3 6 5" xfId="9404" xr:uid="{00000000-0005-0000-0000-0000514A0000}"/>
    <cellStyle name="Percent 3 2 3 3 6 5 2" xfId="20119" xr:uid="{00000000-0005-0000-0000-0000524A0000}"/>
    <cellStyle name="Percent 3 2 3 3 6 6" xfId="20120" xr:uid="{00000000-0005-0000-0000-0000534A0000}"/>
    <cellStyle name="Percent 3 2 3 3 7" xfId="9405" xr:uid="{00000000-0005-0000-0000-0000544A0000}"/>
    <cellStyle name="Percent 3 2 3 3 7 2" xfId="9406" xr:uid="{00000000-0005-0000-0000-0000554A0000}"/>
    <cellStyle name="Percent 3 2 3 3 7 2 2" xfId="20121" xr:uid="{00000000-0005-0000-0000-0000564A0000}"/>
    <cellStyle name="Percent 3 2 3 3 7 3" xfId="9407" xr:uid="{00000000-0005-0000-0000-0000574A0000}"/>
    <cellStyle name="Percent 3 2 3 3 7 3 2" xfId="20122" xr:uid="{00000000-0005-0000-0000-0000584A0000}"/>
    <cellStyle name="Percent 3 2 3 3 7 4" xfId="20123" xr:uid="{00000000-0005-0000-0000-0000594A0000}"/>
    <cellStyle name="Percent 3 2 3 3 8" xfId="9408" xr:uid="{00000000-0005-0000-0000-00005A4A0000}"/>
    <cellStyle name="Percent 3 2 3 3 8 2" xfId="9409" xr:uid="{00000000-0005-0000-0000-00005B4A0000}"/>
    <cellStyle name="Percent 3 2 3 3 8 2 2" xfId="20124" xr:uid="{00000000-0005-0000-0000-00005C4A0000}"/>
    <cellStyle name="Percent 3 2 3 3 8 3" xfId="9410" xr:uid="{00000000-0005-0000-0000-00005D4A0000}"/>
    <cellStyle name="Percent 3 2 3 3 8 3 2" xfId="20125" xr:uid="{00000000-0005-0000-0000-00005E4A0000}"/>
    <cellStyle name="Percent 3 2 3 3 8 4" xfId="20126" xr:uid="{00000000-0005-0000-0000-00005F4A0000}"/>
    <cellStyle name="Percent 3 2 3 3 9" xfId="9411" xr:uid="{00000000-0005-0000-0000-0000604A0000}"/>
    <cellStyle name="Percent 3 2 3 3 9 2" xfId="20127" xr:uid="{00000000-0005-0000-0000-0000614A0000}"/>
    <cellStyle name="Percent 3 2 3 4" xfId="9412" xr:uid="{00000000-0005-0000-0000-0000624A0000}"/>
    <cellStyle name="Percent 3 2 3 4 10" xfId="20128" xr:uid="{00000000-0005-0000-0000-0000634A0000}"/>
    <cellStyle name="Percent 3 2 3 4 2" xfId="9413" xr:uid="{00000000-0005-0000-0000-0000644A0000}"/>
    <cellStyle name="Percent 3 2 3 4 2 2" xfId="9414" xr:uid="{00000000-0005-0000-0000-0000654A0000}"/>
    <cellStyle name="Percent 3 2 3 4 2 2 2" xfId="9415" xr:uid="{00000000-0005-0000-0000-0000664A0000}"/>
    <cellStyle name="Percent 3 2 3 4 2 2 2 2" xfId="9416" xr:uid="{00000000-0005-0000-0000-0000674A0000}"/>
    <cellStyle name="Percent 3 2 3 4 2 2 2 2 2" xfId="20129" xr:uid="{00000000-0005-0000-0000-0000684A0000}"/>
    <cellStyle name="Percent 3 2 3 4 2 2 2 3" xfId="9417" xr:uid="{00000000-0005-0000-0000-0000694A0000}"/>
    <cellStyle name="Percent 3 2 3 4 2 2 2 3 2" xfId="20130" xr:uid="{00000000-0005-0000-0000-00006A4A0000}"/>
    <cellStyle name="Percent 3 2 3 4 2 2 2 4" xfId="20131" xr:uid="{00000000-0005-0000-0000-00006B4A0000}"/>
    <cellStyle name="Percent 3 2 3 4 2 2 3" xfId="9418" xr:uid="{00000000-0005-0000-0000-00006C4A0000}"/>
    <cellStyle name="Percent 3 2 3 4 2 2 3 2" xfId="9419" xr:uid="{00000000-0005-0000-0000-00006D4A0000}"/>
    <cellStyle name="Percent 3 2 3 4 2 2 3 2 2" xfId="20132" xr:uid="{00000000-0005-0000-0000-00006E4A0000}"/>
    <cellStyle name="Percent 3 2 3 4 2 2 3 3" xfId="9420" xr:uid="{00000000-0005-0000-0000-00006F4A0000}"/>
    <cellStyle name="Percent 3 2 3 4 2 2 3 3 2" xfId="20133" xr:uid="{00000000-0005-0000-0000-0000704A0000}"/>
    <cellStyle name="Percent 3 2 3 4 2 2 3 4" xfId="20134" xr:uid="{00000000-0005-0000-0000-0000714A0000}"/>
    <cellStyle name="Percent 3 2 3 4 2 2 4" xfId="9421" xr:uid="{00000000-0005-0000-0000-0000724A0000}"/>
    <cellStyle name="Percent 3 2 3 4 2 2 4 2" xfId="20135" xr:uid="{00000000-0005-0000-0000-0000734A0000}"/>
    <cellStyle name="Percent 3 2 3 4 2 2 5" xfId="9422" xr:uid="{00000000-0005-0000-0000-0000744A0000}"/>
    <cellStyle name="Percent 3 2 3 4 2 2 5 2" xfId="20136" xr:uid="{00000000-0005-0000-0000-0000754A0000}"/>
    <cellStyle name="Percent 3 2 3 4 2 2 6" xfId="20137" xr:uid="{00000000-0005-0000-0000-0000764A0000}"/>
    <cellStyle name="Percent 3 2 3 4 2 3" xfId="9423" xr:uid="{00000000-0005-0000-0000-0000774A0000}"/>
    <cellStyle name="Percent 3 2 3 4 2 3 2" xfId="9424" xr:uid="{00000000-0005-0000-0000-0000784A0000}"/>
    <cellStyle name="Percent 3 2 3 4 2 3 2 2" xfId="9425" xr:uid="{00000000-0005-0000-0000-0000794A0000}"/>
    <cellStyle name="Percent 3 2 3 4 2 3 2 2 2" xfId="20138" xr:uid="{00000000-0005-0000-0000-00007A4A0000}"/>
    <cellStyle name="Percent 3 2 3 4 2 3 2 3" xfId="9426" xr:uid="{00000000-0005-0000-0000-00007B4A0000}"/>
    <cellStyle name="Percent 3 2 3 4 2 3 2 3 2" xfId="20139" xr:uid="{00000000-0005-0000-0000-00007C4A0000}"/>
    <cellStyle name="Percent 3 2 3 4 2 3 2 4" xfId="20140" xr:uid="{00000000-0005-0000-0000-00007D4A0000}"/>
    <cellStyle name="Percent 3 2 3 4 2 3 3" xfId="9427" xr:uid="{00000000-0005-0000-0000-00007E4A0000}"/>
    <cellStyle name="Percent 3 2 3 4 2 3 3 2" xfId="9428" xr:uid="{00000000-0005-0000-0000-00007F4A0000}"/>
    <cellStyle name="Percent 3 2 3 4 2 3 3 2 2" xfId="20141" xr:uid="{00000000-0005-0000-0000-0000804A0000}"/>
    <cellStyle name="Percent 3 2 3 4 2 3 3 3" xfId="9429" xr:uid="{00000000-0005-0000-0000-0000814A0000}"/>
    <cellStyle name="Percent 3 2 3 4 2 3 3 3 2" xfId="20142" xr:uid="{00000000-0005-0000-0000-0000824A0000}"/>
    <cellStyle name="Percent 3 2 3 4 2 3 3 4" xfId="20143" xr:uid="{00000000-0005-0000-0000-0000834A0000}"/>
    <cellStyle name="Percent 3 2 3 4 2 3 4" xfId="9430" xr:uid="{00000000-0005-0000-0000-0000844A0000}"/>
    <cellStyle name="Percent 3 2 3 4 2 3 4 2" xfId="20144" xr:uid="{00000000-0005-0000-0000-0000854A0000}"/>
    <cellStyle name="Percent 3 2 3 4 2 3 5" xfId="9431" xr:uid="{00000000-0005-0000-0000-0000864A0000}"/>
    <cellStyle name="Percent 3 2 3 4 2 3 5 2" xfId="20145" xr:uid="{00000000-0005-0000-0000-0000874A0000}"/>
    <cellStyle name="Percent 3 2 3 4 2 3 6" xfId="20146" xr:uid="{00000000-0005-0000-0000-0000884A0000}"/>
    <cellStyle name="Percent 3 2 3 4 2 4" xfId="9432" xr:uid="{00000000-0005-0000-0000-0000894A0000}"/>
    <cellStyle name="Percent 3 2 3 4 2 4 2" xfId="9433" xr:uid="{00000000-0005-0000-0000-00008A4A0000}"/>
    <cellStyle name="Percent 3 2 3 4 2 4 2 2" xfId="20147" xr:uid="{00000000-0005-0000-0000-00008B4A0000}"/>
    <cellStyle name="Percent 3 2 3 4 2 4 3" xfId="9434" xr:uid="{00000000-0005-0000-0000-00008C4A0000}"/>
    <cellStyle name="Percent 3 2 3 4 2 4 3 2" xfId="20148" xr:uid="{00000000-0005-0000-0000-00008D4A0000}"/>
    <cellStyle name="Percent 3 2 3 4 2 4 4" xfId="20149" xr:uid="{00000000-0005-0000-0000-00008E4A0000}"/>
    <cellStyle name="Percent 3 2 3 4 2 5" xfId="9435" xr:uid="{00000000-0005-0000-0000-00008F4A0000}"/>
    <cellStyle name="Percent 3 2 3 4 2 5 2" xfId="9436" xr:uid="{00000000-0005-0000-0000-0000904A0000}"/>
    <cellStyle name="Percent 3 2 3 4 2 5 2 2" xfId="20150" xr:uid="{00000000-0005-0000-0000-0000914A0000}"/>
    <cellStyle name="Percent 3 2 3 4 2 5 3" xfId="9437" xr:uid="{00000000-0005-0000-0000-0000924A0000}"/>
    <cellStyle name="Percent 3 2 3 4 2 5 3 2" xfId="20151" xr:uid="{00000000-0005-0000-0000-0000934A0000}"/>
    <cellStyle name="Percent 3 2 3 4 2 5 4" xfId="20152" xr:uid="{00000000-0005-0000-0000-0000944A0000}"/>
    <cellStyle name="Percent 3 2 3 4 2 6" xfId="9438" xr:uid="{00000000-0005-0000-0000-0000954A0000}"/>
    <cellStyle name="Percent 3 2 3 4 2 6 2" xfId="20153" xr:uid="{00000000-0005-0000-0000-0000964A0000}"/>
    <cellStyle name="Percent 3 2 3 4 2 7" xfId="9439" xr:uid="{00000000-0005-0000-0000-0000974A0000}"/>
    <cellStyle name="Percent 3 2 3 4 2 7 2" xfId="20154" xr:uid="{00000000-0005-0000-0000-0000984A0000}"/>
    <cellStyle name="Percent 3 2 3 4 2 8" xfId="20155" xr:uid="{00000000-0005-0000-0000-0000994A0000}"/>
    <cellStyle name="Percent 3 2 3 4 3" xfId="9440" xr:uid="{00000000-0005-0000-0000-00009A4A0000}"/>
    <cellStyle name="Percent 3 2 3 4 3 2" xfId="9441" xr:uid="{00000000-0005-0000-0000-00009B4A0000}"/>
    <cellStyle name="Percent 3 2 3 4 3 2 2" xfId="9442" xr:uid="{00000000-0005-0000-0000-00009C4A0000}"/>
    <cellStyle name="Percent 3 2 3 4 3 2 2 2" xfId="9443" xr:uid="{00000000-0005-0000-0000-00009D4A0000}"/>
    <cellStyle name="Percent 3 2 3 4 3 2 2 2 2" xfId="20156" xr:uid="{00000000-0005-0000-0000-00009E4A0000}"/>
    <cellStyle name="Percent 3 2 3 4 3 2 2 3" xfId="9444" xr:uid="{00000000-0005-0000-0000-00009F4A0000}"/>
    <cellStyle name="Percent 3 2 3 4 3 2 2 3 2" xfId="20157" xr:uid="{00000000-0005-0000-0000-0000A04A0000}"/>
    <cellStyle name="Percent 3 2 3 4 3 2 2 4" xfId="20158" xr:uid="{00000000-0005-0000-0000-0000A14A0000}"/>
    <cellStyle name="Percent 3 2 3 4 3 2 3" xfId="9445" xr:uid="{00000000-0005-0000-0000-0000A24A0000}"/>
    <cellStyle name="Percent 3 2 3 4 3 2 3 2" xfId="9446" xr:uid="{00000000-0005-0000-0000-0000A34A0000}"/>
    <cellStyle name="Percent 3 2 3 4 3 2 3 2 2" xfId="20159" xr:uid="{00000000-0005-0000-0000-0000A44A0000}"/>
    <cellStyle name="Percent 3 2 3 4 3 2 3 3" xfId="9447" xr:uid="{00000000-0005-0000-0000-0000A54A0000}"/>
    <cellStyle name="Percent 3 2 3 4 3 2 3 3 2" xfId="20160" xr:uid="{00000000-0005-0000-0000-0000A64A0000}"/>
    <cellStyle name="Percent 3 2 3 4 3 2 3 4" xfId="20161" xr:uid="{00000000-0005-0000-0000-0000A74A0000}"/>
    <cellStyle name="Percent 3 2 3 4 3 2 4" xfId="9448" xr:uid="{00000000-0005-0000-0000-0000A84A0000}"/>
    <cellStyle name="Percent 3 2 3 4 3 2 4 2" xfId="20162" xr:uid="{00000000-0005-0000-0000-0000A94A0000}"/>
    <cellStyle name="Percent 3 2 3 4 3 2 5" xfId="9449" xr:uid="{00000000-0005-0000-0000-0000AA4A0000}"/>
    <cellStyle name="Percent 3 2 3 4 3 2 5 2" xfId="20163" xr:uid="{00000000-0005-0000-0000-0000AB4A0000}"/>
    <cellStyle name="Percent 3 2 3 4 3 2 6" xfId="20164" xr:uid="{00000000-0005-0000-0000-0000AC4A0000}"/>
    <cellStyle name="Percent 3 2 3 4 3 3" xfId="9450" xr:uid="{00000000-0005-0000-0000-0000AD4A0000}"/>
    <cellStyle name="Percent 3 2 3 4 3 3 2" xfId="9451" xr:uid="{00000000-0005-0000-0000-0000AE4A0000}"/>
    <cellStyle name="Percent 3 2 3 4 3 3 2 2" xfId="20165" xr:uid="{00000000-0005-0000-0000-0000AF4A0000}"/>
    <cellStyle name="Percent 3 2 3 4 3 3 3" xfId="9452" xr:uid="{00000000-0005-0000-0000-0000B04A0000}"/>
    <cellStyle name="Percent 3 2 3 4 3 3 3 2" xfId="20166" xr:uid="{00000000-0005-0000-0000-0000B14A0000}"/>
    <cellStyle name="Percent 3 2 3 4 3 3 4" xfId="20167" xr:uid="{00000000-0005-0000-0000-0000B24A0000}"/>
    <cellStyle name="Percent 3 2 3 4 3 4" xfId="9453" xr:uid="{00000000-0005-0000-0000-0000B34A0000}"/>
    <cellStyle name="Percent 3 2 3 4 3 4 2" xfId="9454" xr:uid="{00000000-0005-0000-0000-0000B44A0000}"/>
    <cellStyle name="Percent 3 2 3 4 3 4 2 2" xfId="20168" xr:uid="{00000000-0005-0000-0000-0000B54A0000}"/>
    <cellStyle name="Percent 3 2 3 4 3 4 3" xfId="9455" xr:uid="{00000000-0005-0000-0000-0000B64A0000}"/>
    <cellStyle name="Percent 3 2 3 4 3 4 3 2" xfId="20169" xr:uid="{00000000-0005-0000-0000-0000B74A0000}"/>
    <cellStyle name="Percent 3 2 3 4 3 4 4" xfId="20170" xr:uid="{00000000-0005-0000-0000-0000B84A0000}"/>
    <cellStyle name="Percent 3 2 3 4 3 5" xfId="9456" xr:uid="{00000000-0005-0000-0000-0000B94A0000}"/>
    <cellStyle name="Percent 3 2 3 4 3 5 2" xfId="20171" xr:uid="{00000000-0005-0000-0000-0000BA4A0000}"/>
    <cellStyle name="Percent 3 2 3 4 3 6" xfId="9457" xr:uid="{00000000-0005-0000-0000-0000BB4A0000}"/>
    <cellStyle name="Percent 3 2 3 4 3 6 2" xfId="20172" xr:uid="{00000000-0005-0000-0000-0000BC4A0000}"/>
    <cellStyle name="Percent 3 2 3 4 3 7" xfId="20173" xr:uid="{00000000-0005-0000-0000-0000BD4A0000}"/>
    <cellStyle name="Percent 3 2 3 4 4" xfId="9458" xr:uid="{00000000-0005-0000-0000-0000BE4A0000}"/>
    <cellStyle name="Percent 3 2 3 4 4 2" xfId="9459" xr:uid="{00000000-0005-0000-0000-0000BF4A0000}"/>
    <cellStyle name="Percent 3 2 3 4 4 2 2" xfId="9460" xr:uid="{00000000-0005-0000-0000-0000C04A0000}"/>
    <cellStyle name="Percent 3 2 3 4 4 2 2 2" xfId="20174" xr:uid="{00000000-0005-0000-0000-0000C14A0000}"/>
    <cellStyle name="Percent 3 2 3 4 4 2 3" xfId="9461" xr:uid="{00000000-0005-0000-0000-0000C24A0000}"/>
    <cellStyle name="Percent 3 2 3 4 4 2 3 2" xfId="20175" xr:uid="{00000000-0005-0000-0000-0000C34A0000}"/>
    <cellStyle name="Percent 3 2 3 4 4 2 4" xfId="20176" xr:uid="{00000000-0005-0000-0000-0000C44A0000}"/>
    <cellStyle name="Percent 3 2 3 4 4 3" xfId="9462" xr:uid="{00000000-0005-0000-0000-0000C54A0000}"/>
    <cellStyle name="Percent 3 2 3 4 4 3 2" xfId="9463" xr:uid="{00000000-0005-0000-0000-0000C64A0000}"/>
    <cellStyle name="Percent 3 2 3 4 4 3 2 2" xfId="20177" xr:uid="{00000000-0005-0000-0000-0000C74A0000}"/>
    <cellStyle name="Percent 3 2 3 4 4 3 3" xfId="9464" xr:uid="{00000000-0005-0000-0000-0000C84A0000}"/>
    <cellStyle name="Percent 3 2 3 4 4 3 3 2" xfId="20178" xr:uid="{00000000-0005-0000-0000-0000C94A0000}"/>
    <cellStyle name="Percent 3 2 3 4 4 3 4" xfId="20179" xr:uid="{00000000-0005-0000-0000-0000CA4A0000}"/>
    <cellStyle name="Percent 3 2 3 4 4 4" xfId="9465" xr:uid="{00000000-0005-0000-0000-0000CB4A0000}"/>
    <cellStyle name="Percent 3 2 3 4 4 4 2" xfId="20180" xr:uid="{00000000-0005-0000-0000-0000CC4A0000}"/>
    <cellStyle name="Percent 3 2 3 4 4 5" xfId="9466" xr:uid="{00000000-0005-0000-0000-0000CD4A0000}"/>
    <cellStyle name="Percent 3 2 3 4 4 5 2" xfId="20181" xr:uid="{00000000-0005-0000-0000-0000CE4A0000}"/>
    <cellStyle name="Percent 3 2 3 4 4 6" xfId="20182" xr:uid="{00000000-0005-0000-0000-0000CF4A0000}"/>
    <cellStyle name="Percent 3 2 3 4 5" xfId="9467" xr:uid="{00000000-0005-0000-0000-0000D04A0000}"/>
    <cellStyle name="Percent 3 2 3 4 5 2" xfId="9468" xr:uid="{00000000-0005-0000-0000-0000D14A0000}"/>
    <cellStyle name="Percent 3 2 3 4 5 2 2" xfId="9469" xr:uid="{00000000-0005-0000-0000-0000D24A0000}"/>
    <cellStyle name="Percent 3 2 3 4 5 2 2 2" xfId="20183" xr:uid="{00000000-0005-0000-0000-0000D34A0000}"/>
    <cellStyle name="Percent 3 2 3 4 5 2 3" xfId="9470" xr:uid="{00000000-0005-0000-0000-0000D44A0000}"/>
    <cellStyle name="Percent 3 2 3 4 5 2 3 2" xfId="20184" xr:uid="{00000000-0005-0000-0000-0000D54A0000}"/>
    <cellStyle name="Percent 3 2 3 4 5 2 4" xfId="20185" xr:uid="{00000000-0005-0000-0000-0000D64A0000}"/>
    <cellStyle name="Percent 3 2 3 4 5 3" xfId="9471" xr:uid="{00000000-0005-0000-0000-0000D74A0000}"/>
    <cellStyle name="Percent 3 2 3 4 5 3 2" xfId="9472" xr:uid="{00000000-0005-0000-0000-0000D84A0000}"/>
    <cellStyle name="Percent 3 2 3 4 5 3 2 2" xfId="20186" xr:uid="{00000000-0005-0000-0000-0000D94A0000}"/>
    <cellStyle name="Percent 3 2 3 4 5 3 3" xfId="9473" xr:uid="{00000000-0005-0000-0000-0000DA4A0000}"/>
    <cellStyle name="Percent 3 2 3 4 5 3 3 2" xfId="20187" xr:uid="{00000000-0005-0000-0000-0000DB4A0000}"/>
    <cellStyle name="Percent 3 2 3 4 5 3 4" xfId="20188" xr:uid="{00000000-0005-0000-0000-0000DC4A0000}"/>
    <cellStyle name="Percent 3 2 3 4 5 4" xfId="9474" xr:uid="{00000000-0005-0000-0000-0000DD4A0000}"/>
    <cellStyle name="Percent 3 2 3 4 5 4 2" xfId="20189" xr:uid="{00000000-0005-0000-0000-0000DE4A0000}"/>
    <cellStyle name="Percent 3 2 3 4 5 5" xfId="9475" xr:uid="{00000000-0005-0000-0000-0000DF4A0000}"/>
    <cellStyle name="Percent 3 2 3 4 5 5 2" xfId="20190" xr:uid="{00000000-0005-0000-0000-0000E04A0000}"/>
    <cellStyle name="Percent 3 2 3 4 5 6" xfId="20191" xr:uid="{00000000-0005-0000-0000-0000E14A0000}"/>
    <cellStyle name="Percent 3 2 3 4 6" xfId="9476" xr:uid="{00000000-0005-0000-0000-0000E24A0000}"/>
    <cellStyle name="Percent 3 2 3 4 6 2" xfId="9477" xr:uid="{00000000-0005-0000-0000-0000E34A0000}"/>
    <cellStyle name="Percent 3 2 3 4 6 2 2" xfId="20192" xr:uid="{00000000-0005-0000-0000-0000E44A0000}"/>
    <cellStyle name="Percent 3 2 3 4 6 3" xfId="9478" xr:uid="{00000000-0005-0000-0000-0000E54A0000}"/>
    <cellStyle name="Percent 3 2 3 4 6 3 2" xfId="20193" xr:uid="{00000000-0005-0000-0000-0000E64A0000}"/>
    <cellStyle name="Percent 3 2 3 4 6 4" xfId="20194" xr:uid="{00000000-0005-0000-0000-0000E74A0000}"/>
    <cellStyle name="Percent 3 2 3 4 7" xfId="9479" xr:uid="{00000000-0005-0000-0000-0000E84A0000}"/>
    <cellStyle name="Percent 3 2 3 4 7 2" xfId="9480" xr:uid="{00000000-0005-0000-0000-0000E94A0000}"/>
    <cellStyle name="Percent 3 2 3 4 7 2 2" xfId="20195" xr:uid="{00000000-0005-0000-0000-0000EA4A0000}"/>
    <cellStyle name="Percent 3 2 3 4 7 3" xfId="9481" xr:uid="{00000000-0005-0000-0000-0000EB4A0000}"/>
    <cellStyle name="Percent 3 2 3 4 7 3 2" xfId="20196" xr:uid="{00000000-0005-0000-0000-0000EC4A0000}"/>
    <cellStyle name="Percent 3 2 3 4 7 4" xfId="20197" xr:uid="{00000000-0005-0000-0000-0000ED4A0000}"/>
    <cellStyle name="Percent 3 2 3 4 8" xfId="9482" xr:uid="{00000000-0005-0000-0000-0000EE4A0000}"/>
    <cellStyle name="Percent 3 2 3 4 8 2" xfId="20198" xr:uid="{00000000-0005-0000-0000-0000EF4A0000}"/>
    <cellStyle name="Percent 3 2 3 4 9" xfId="9483" xr:uid="{00000000-0005-0000-0000-0000F04A0000}"/>
    <cellStyle name="Percent 3 2 3 4 9 2" xfId="20199" xr:uid="{00000000-0005-0000-0000-0000F14A0000}"/>
    <cellStyle name="Percent 3 2 3 5" xfId="9484" xr:uid="{00000000-0005-0000-0000-0000F24A0000}"/>
    <cellStyle name="Percent 3 2 3 5 2" xfId="9485" xr:uid="{00000000-0005-0000-0000-0000F34A0000}"/>
    <cellStyle name="Percent 3 2 3 5 2 2" xfId="9486" xr:uid="{00000000-0005-0000-0000-0000F44A0000}"/>
    <cellStyle name="Percent 3 2 3 5 2 2 2" xfId="9487" xr:uid="{00000000-0005-0000-0000-0000F54A0000}"/>
    <cellStyle name="Percent 3 2 3 5 2 2 2 2" xfId="20200" xr:uid="{00000000-0005-0000-0000-0000F64A0000}"/>
    <cellStyle name="Percent 3 2 3 5 2 2 3" xfId="9488" xr:uid="{00000000-0005-0000-0000-0000F74A0000}"/>
    <cellStyle name="Percent 3 2 3 5 2 2 3 2" xfId="20201" xr:uid="{00000000-0005-0000-0000-0000F84A0000}"/>
    <cellStyle name="Percent 3 2 3 5 2 2 4" xfId="20202" xr:uid="{00000000-0005-0000-0000-0000F94A0000}"/>
    <cellStyle name="Percent 3 2 3 5 2 3" xfId="9489" xr:uid="{00000000-0005-0000-0000-0000FA4A0000}"/>
    <cellStyle name="Percent 3 2 3 5 2 3 2" xfId="9490" xr:uid="{00000000-0005-0000-0000-0000FB4A0000}"/>
    <cellStyle name="Percent 3 2 3 5 2 3 2 2" xfId="20203" xr:uid="{00000000-0005-0000-0000-0000FC4A0000}"/>
    <cellStyle name="Percent 3 2 3 5 2 3 3" xfId="9491" xr:uid="{00000000-0005-0000-0000-0000FD4A0000}"/>
    <cellStyle name="Percent 3 2 3 5 2 3 3 2" xfId="20204" xr:uid="{00000000-0005-0000-0000-0000FE4A0000}"/>
    <cellStyle name="Percent 3 2 3 5 2 3 4" xfId="20205" xr:uid="{00000000-0005-0000-0000-0000FF4A0000}"/>
    <cellStyle name="Percent 3 2 3 5 2 4" xfId="9492" xr:uid="{00000000-0005-0000-0000-0000004B0000}"/>
    <cellStyle name="Percent 3 2 3 5 2 4 2" xfId="20206" xr:uid="{00000000-0005-0000-0000-0000014B0000}"/>
    <cellStyle name="Percent 3 2 3 5 2 5" xfId="9493" xr:uid="{00000000-0005-0000-0000-0000024B0000}"/>
    <cellStyle name="Percent 3 2 3 5 2 5 2" xfId="20207" xr:uid="{00000000-0005-0000-0000-0000034B0000}"/>
    <cellStyle name="Percent 3 2 3 5 2 6" xfId="20208" xr:uid="{00000000-0005-0000-0000-0000044B0000}"/>
    <cellStyle name="Percent 3 2 3 5 3" xfId="9494" xr:uid="{00000000-0005-0000-0000-0000054B0000}"/>
    <cellStyle name="Percent 3 2 3 5 3 2" xfId="9495" xr:uid="{00000000-0005-0000-0000-0000064B0000}"/>
    <cellStyle name="Percent 3 2 3 5 3 2 2" xfId="9496" xr:uid="{00000000-0005-0000-0000-0000074B0000}"/>
    <cellStyle name="Percent 3 2 3 5 3 2 2 2" xfId="20209" xr:uid="{00000000-0005-0000-0000-0000084B0000}"/>
    <cellStyle name="Percent 3 2 3 5 3 2 3" xfId="9497" xr:uid="{00000000-0005-0000-0000-0000094B0000}"/>
    <cellStyle name="Percent 3 2 3 5 3 2 3 2" xfId="20210" xr:uid="{00000000-0005-0000-0000-00000A4B0000}"/>
    <cellStyle name="Percent 3 2 3 5 3 2 4" xfId="20211" xr:uid="{00000000-0005-0000-0000-00000B4B0000}"/>
    <cellStyle name="Percent 3 2 3 5 3 3" xfId="9498" xr:uid="{00000000-0005-0000-0000-00000C4B0000}"/>
    <cellStyle name="Percent 3 2 3 5 3 3 2" xfId="9499" xr:uid="{00000000-0005-0000-0000-00000D4B0000}"/>
    <cellStyle name="Percent 3 2 3 5 3 3 2 2" xfId="20212" xr:uid="{00000000-0005-0000-0000-00000E4B0000}"/>
    <cellStyle name="Percent 3 2 3 5 3 3 3" xfId="9500" xr:uid="{00000000-0005-0000-0000-00000F4B0000}"/>
    <cellStyle name="Percent 3 2 3 5 3 3 3 2" xfId="20213" xr:uid="{00000000-0005-0000-0000-0000104B0000}"/>
    <cellStyle name="Percent 3 2 3 5 3 3 4" xfId="20214" xr:uid="{00000000-0005-0000-0000-0000114B0000}"/>
    <cellStyle name="Percent 3 2 3 5 3 4" xfId="9501" xr:uid="{00000000-0005-0000-0000-0000124B0000}"/>
    <cellStyle name="Percent 3 2 3 5 3 4 2" xfId="20215" xr:uid="{00000000-0005-0000-0000-0000134B0000}"/>
    <cellStyle name="Percent 3 2 3 5 3 5" xfId="9502" xr:uid="{00000000-0005-0000-0000-0000144B0000}"/>
    <cellStyle name="Percent 3 2 3 5 3 5 2" xfId="20216" xr:uid="{00000000-0005-0000-0000-0000154B0000}"/>
    <cellStyle name="Percent 3 2 3 5 3 6" xfId="20217" xr:uid="{00000000-0005-0000-0000-0000164B0000}"/>
    <cellStyle name="Percent 3 2 3 5 4" xfId="9503" xr:uid="{00000000-0005-0000-0000-0000174B0000}"/>
    <cellStyle name="Percent 3 2 3 5 4 2" xfId="9504" xr:uid="{00000000-0005-0000-0000-0000184B0000}"/>
    <cellStyle name="Percent 3 2 3 5 4 2 2" xfId="20218" xr:uid="{00000000-0005-0000-0000-0000194B0000}"/>
    <cellStyle name="Percent 3 2 3 5 4 3" xfId="9505" xr:uid="{00000000-0005-0000-0000-00001A4B0000}"/>
    <cellStyle name="Percent 3 2 3 5 4 3 2" xfId="20219" xr:uid="{00000000-0005-0000-0000-00001B4B0000}"/>
    <cellStyle name="Percent 3 2 3 5 4 4" xfId="20220" xr:uid="{00000000-0005-0000-0000-00001C4B0000}"/>
    <cellStyle name="Percent 3 2 3 5 5" xfId="9506" xr:uid="{00000000-0005-0000-0000-00001D4B0000}"/>
    <cellStyle name="Percent 3 2 3 5 5 2" xfId="9507" xr:uid="{00000000-0005-0000-0000-00001E4B0000}"/>
    <cellStyle name="Percent 3 2 3 5 5 2 2" xfId="20221" xr:uid="{00000000-0005-0000-0000-00001F4B0000}"/>
    <cellStyle name="Percent 3 2 3 5 5 3" xfId="9508" xr:uid="{00000000-0005-0000-0000-0000204B0000}"/>
    <cellStyle name="Percent 3 2 3 5 5 3 2" xfId="20222" xr:uid="{00000000-0005-0000-0000-0000214B0000}"/>
    <cellStyle name="Percent 3 2 3 5 5 4" xfId="20223" xr:uid="{00000000-0005-0000-0000-0000224B0000}"/>
    <cellStyle name="Percent 3 2 3 5 6" xfId="9509" xr:uid="{00000000-0005-0000-0000-0000234B0000}"/>
    <cellStyle name="Percent 3 2 3 5 6 2" xfId="20224" xr:uid="{00000000-0005-0000-0000-0000244B0000}"/>
    <cellStyle name="Percent 3 2 3 5 7" xfId="9510" xr:uid="{00000000-0005-0000-0000-0000254B0000}"/>
    <cellStyle name="Percent 3 2 3 5 7 2" xfId="20225" xr:uid="{00000000-0005-0000-0000-0000264B0000}"/>
    <cellStyle name="Percent 3 2 3 5 8" xfId="20226" xr:uid="{00000000-0005-0000-0000-0000274B0000}"/>
    <cellStyle name="Percent 3 2 3 6" xfId="9511" xr:uid="{00000000-0005-0000-0000-0000284B0000}"/>
    <cellStyle name="Percent 3 2 3 6 2" xfId="9512" xr:uid="{00000000-0005-0000-0000-0000294B0000}"/>
    <cellStyle name="Percent 3 2 3 6 2 2" xfId="9513" xr:uid="{00000000-0005-0000-0000-00002A4B0000}"/>
    <cellStyle name="Percent 3 2 3 6 2 2 2" xfId="9514" xr:uid="{00000000-0005-0000-0000-00002B4B0000}"/>
    <cellStyle name="Percent 3 2 3 6 2 2 2 2" xfId="20227" xr:uid="{00000000-0005-0000-0000-00002C4B0000}"/>
    <cellStyle name="Percent 3 2 3 6 2 2 3" xfId="9515" xr:uid="{00000000-0005-0000-0000-00002D4B0000}"/>
    <cellStyle name="Percent 3 2 3 6 2 2 3 2" xfId="20228" xr:uid="{00000000-0005-0000-0000-00002E4B0000}"/>
    <cellStyle name="Percent 3 2 3 6 2 2 4" xfId="20229" xr:uid="{00000000-0005-0000-0000-00002F4B0000}"/>
    <cellStyle name="Percent 3 2 3 6 2 3" xfId="9516" xr:uid="{00000000-0005-0000-0000-0000304B0000}"/>
    <cellStyle name="Percent 3 2 3 6 2 3 2" xfId="9517" xr:uid="{00000000-0005-0000-0000-0000314B0000}"/>
    <cellStyle name="Percent 3 2 3 6 2 3 2 2" xfId="20230" xr:uid="{00000000-0005-0000-0000-0000324B0000}"/>
    <cellStyle name="Percent 3 2 3 6 2 3 3" xfId="9518" xr:uid="{00000000-0005-0000-0000-0000334B0000}"/>
    <cellStyle name="Percent 3 2 3 6 2 3 3 2" xfId="20231" xr:uid="{00000000-0005-0000-0000-0000344B0000}"/>
    <cellStyle name="Percent 3 2 3 6 2 3 4" xfId="20232" xr:uid="{00000000-0005-0000-0000-0000354B0000}"/>
    <cellStyle name="Percent 3 2 3 6 2 4" xfId="9519" xr:uid="{00000000-0005-0000-0000-0000364B0000}"/>
    <cellStyle name="Percent 3 2 3 6 2 4 2" xfId="20233" xr:uid="{00000000-0005-0000-0000-0000374B0000}"/>
    <cellStyle name="Percent 3 2 3 6 2 5" xfId="9520" xr:uid="{00000000-0005-0000-0000-0000384B0000}"/>
    <cellStyle name="Percent 3 2 3 6 2 5 2" xfId="20234" xr:uid="{00000000-0005-0000-0000-0000394B0000}"/>
    <cellStyle name="Percent 3 2 3 6 2 6" xfId="20235" xr:uid="{00000000-0005-0000-0000-00003A4B0000}"/>
    <cellStyle name="Percent 3 2 3 6 3" xfId="9521" xr:uid="{00000000-0005-0000-0000-00003B4B0000}"/>
    <cellStyle name="Percent 3 2 3 6 3 2" xfId="9522" xr:uid="{00000000-0005-0000-0000-00003C4B0000}"/>
    <cellStyle name="Percent 3 2 3 6 3 2 2" xfId="20236" xr:uid="{00000000-0005-0000-0000-00003D4B0000}"/>
    <cellStyle name="Percent 3 2 3 6 3 3" xfId="9523" xr:uid="{00000000-0005-0000-0000-00003E4B0000}"/>
    <cellStyle name="Percent 3 2 3 6 3 3 2" xfId="20237" xr:uid="{00000000-0005-0000-0000-00003F4B0000}"/>
    <cellStyle name="Percent 3 2 3 6 3 4" xfId="20238" xr:uid="{00000000-0005-0000-0000-0000404B0000}"/>
    <cellStyle name="Percent 3 2 3 6 4" xfId="9524" xr:uid="{00000000-0005-0000-0000-0000414B0000}"/>
    <cellStyle name="Percent 3 2 3 6 4 2" xfId="9525" xr:uid="{00000000-0005-0000-0000-0000424B0000}"/>
    <cellStyle name="Percent 3 2 3 6 4 2 2" xfId="20239" xr:uid="{00000000-0005-0000-0000-0000434B0000}"/>
    <cellStyle name="Percent 3 2 3 6 4 3" xfId="9526" xr:uid="{00000000-0005-0000-0000-0000444B0000}"/>
    <cellStyle name="Percent 3 2 3 6 4 3 2" xfId="20240" xr:uid="{00000000-0005-0000-0000-0000454B0000}"/>
    <cellStyle name="Percent 3 2 3 6 4 4" xfId="20241" xr:uid="{00000000-0005-0000-0000-0000464B0000}"/>
    <cellStyle name="Percent 3 2 3 6 5" xfId="9527" xr:uid="{00000000-0005-0000-0000-0000474B0000}"/>
    <cellStyle name="Percent 3 2 3 6 5 2" xfId="20242" xr:uid="{00000000-0005-0000-0000-0000484B0000}"/>
    <cellStyle name="Percent 3 2 3 6 6" xfId="9528" xr:uid="{00000000-0005-0000-0000-0000494B0000}"/>
    <cellStyle name="Percent 3 2 3 6 6 2" xfId="20243" xr:uid="{00000000-0005-0000-0000-00004A4B0000}"/>
    <cellStyle name="Percent 3 2 3 6 7" xfId="20244" xr:uid="{00000000-0005-0000-0000-00004B4B0000}"/>
    <cellStyle name="Percent 3 2 3 7" xfId="9529" xr:uid="{00000000-0005-0000-0000-00004C4B0000}"/>
    <cellStyle name="Percent 3 2 3 7 2" xfId="9530" xr:uid="{00000000-0005-0000-0000-00004D4B0000}"/>
    <cellStyle name="Percent 3 2 3 7 2 2" xfId="9531" xr:uid="{00000000-0005-0000-0000-00004E4B0000}"/>
    <cellStyle name="Percent 3 2 3 7 2 2 2" xfId="20245" xr:uid="{00000000-0005-0000-0000-00004F4B0000}"/>
    <cellStyle name="Percent 3 2 3 7 2 3" xfId="9532" xr:uid="{00000000-0005-0000-0000-0000504B0000}"/>
    <cellStyle name="Percent 3 2 3 7 2 3 2" xfId="20246" xr:uid="{00000000-0005-0000-0000-0000514B0000}"/>
    <cellStyle name="Percent 3 2 3 7 2 4" xfId="20247" xr:uid="{00000000-0005-0000-0000-0000524B0000}"/>
    <cellStyle name="Percent 3 2 3 7 3" xfId="9533" xr:uid="{00000000-0005-0000-0000-0000534B0000}"/>
    <cellStyle name="Percent 3 2 3 7 3 2" xfId="9534" xr:uid="{00000000-0005-0000-0000-0000544B0000}"/>
    <cellStyle name="Percent 3 2 3 7 3 2 2" xfId="20248" xr:uid="{00000000-0005-0000-0000-0000554B0000}"/>
    <cellStyle name="Percent 3 2 3 7 3 3" xfId="9535" xr:uid="{00000000-0005-0000-0000-0000564B0000}"/>
    <cellStyle name="Percent 3 2 3 7 3 3 2" xfId="20249" xr:uid="{00000000-0005-0000-0000-0000574B0000}"/>
    <cellStyle name="Percent 3 2 3 7 3 4" xfId="20250" xr:uid="{00000000-0005-0000-0000-0000584B0000}"/>
    <cellStyle name="Percent 3 2 3 7 4" xfId="9536" xr:uid="{00000000-0005-0000-0000-0000594B0000}"/>
    <cellStyle name="Percent 3 2 3 7 4 2" xfId="20251" xr:uid="{00000000-0005-0000-0000-00005A4B0000}"/>
    <cellStyle name="Percent 3 2 3 7 5" xfId="9537" xr:uid="{00000000-0005-0000-0000-00005B4B0000}"/>
    <cellStyle name="Percent 3 2 3 7 5 2" xfId="20252" xr:uid="{00000000-0005-0000-0000-00005C4B0000}"/>
    <cellStyle name="Percent 3 2 3 7 6" xfId="20253" xr:uid="{00000000-0005-0000-0000-00005D4B0000}"/>
    <cellStyle name="Percent 3 2 3 8" xfId="9538" xr:uid="{00000000-0005-0000-0000-00005E4B0000}"/>
    <cellStyle name="Percent 3 2 3 8 2" xfId="9539" xr:uid="{00000000-0005-0000-0000-00005F4B0000}"/>
    <cellStyle name="Percent 3 2 3 8 2 2" xfId="9540" xr:uid="{00000000-0005-0000-0000-0000604B0000}"/>
    <cellStyle name="Percent 3 2 3 8 2 2 2" xfId="20254" xr:uid="{00000000-0005-0000-0000-0000614B0000}"/>
    <cellStyle name="Percent 3 2 3 8 2 3" xfId="9541" xr:uid="{00000000-0005-0000-0000-0000624B0000}"/>
    <cellStyle name="Percent 3 2 3 8 2 3 2" xfId="20255" xr:uid="{00000000-0005-0000-0000-0000634B0000}"/>
    <cellStyle name="Percent 3 2 3 8 2 4" xfId="20256" xr:uid="{00000000-0005-0000-0000-0000644B0000}"/>
    <cellStyle name="Percent 3 2 3 8 3" xfId="9542" xr:uid="{00000000-0005-0000-0000-0000654B0000}"/>
    <cellStyle name="Percent 3 2 3 8 3 2" xfId="9543" xr:uid="{00000000-0005-0000-0000-0000664B0000}"/>
    <cellStyle name="Percent 3 2 3 8 3 2 2" xfId="20257" xr:uid="{00000000-0005-0000-0000-0000674B0000}"/>
    <cellStyle name="Percent 3 2 3 8 3 3" xfId="9544" xr:uid="{00000000-0005-0000-0000-0000684B0000}"/>
    <cellStyle name="Percent 3 2 3 8 3 3 2" xfId="20258" xr:uid="{00000000-0005-0000-0000-0000694B0000}"/>
    <cellStyle name="Percent 3 2 3 8 3 4" xfId="20259" xr:uid="{00000000-0005-0000-0000-00006A4B0000}"/>
    <cellStyle name="Percent 3 2 3 8 4" xfId="9545" xr:uid="{00000000-0005-0000-0000-00006B4B0000}"/>
    <cellStyle name="Percent 3 2 3 8 4 2" xfId="20260" xr:uid="{00000000-0005-0000-0000-00006C4B0000}"/>
    <cellStyle name="Percent 3 2 3 8 5" xfId="9546" xr:uid="{00000000-0005-0000-0000-00006D4B0000}"/>
    <cellStyle name="Percent 3 2 3 8 5 2" xfId="20261" xr:uid="{00000000-0005-0000-0000-00006E4B0000}"/>
    <cellStyle name="Percent 3 2 3 8 6" xfId="20262" xr:uid="{00000000-0005-0000-0000-00006F4B0000}"/>
    <cellStyle name="Percent 3 2 4" xfId="9547" xr:uid="{00000000-0005-0000-0000-0000704B0000}"/>
    <cellStyle name="Percent 3 2 4 10" xfId="9548" xr:uid="{00000000-0005-0000-0000-0000714B0000}"/>
    <cellStyle name="Percent 3 2 4 10 2" xfId="20263" xr:uid="{00000000-0005-0000-0000-0000724B0000}"/>
    <cellStyle name="Percent 3 2 4 11" xfId="9549" xr:uid="{00000000-0005-0000-0000-0000734B0000}"/>
    <cellStyle name="Percent 3 2 4 11 2" xfId="20264" xr:uid="{00000000-0005-0000-0000-0000744B0000}"/>
    <cellStyle name="Percent 3 2 4 12" xfId="20265" xr:uid="{00000000-0005-0000-0000-0000754B0000}"/>
    <cellStyle name="Percent 3 2 4 2" xfId="9550" xr:uid="{00000000-0005-0000-0000-0000764B0000}"/>
    <cellStyle name="Percent 3 2 4 2 10" xfId="9551" xr:uid="{00000000-0005-0000-0000-0000774B0000}"/>
    <cellStyle name="Percent 3 2 4 2 10 2" xfId="20266" xr:uid="{00000000-0005-0000-0000-0000784B0000}"/>
    <cellStyle name="Percent 3 2 4 2 11" xfId="20267" xr:uid="{00000000-0005-0000-0000-0000794B0000}"/>
    <cellStyle name="Percent 3 2 4 2 2" xfId="9552" xr:uid="{00000000-0005-0000-0000-00007A4B0000}"/>
    <cellStyle name="Percent 3 2 4 2 2 10" xfId="20268" xr:uid="{00000000-0005-0000-0000-00007B4B0000}"/>
    <cellStyle name="Percent 3 2 4 2 2 2" xfId="9553" xr:uid="{00000000-0005-0000-0000-00007C4B0000}"/>
    <cellStyle name="Percent 3 2 4 2 2 2 2" xfId="9554" xr:uid="{00000000-0005-0000-0000-00007D4B0000}"/>
    <cellStyle name="Percent 3 2 4 2 2 2 2 2" xfId="9555" xr:uid="{00000000-0005-0000-0000-00007E4B0000}"/>
    <cellStyle name="Percent 3 2 4 2 2 2 2 2 2" xfId="9556" xr:uid="{00000000-0005-0000-0000-00007F4B0000}"/>
    <cellStyle name="Percent 3 2 4 2 2 2 2 2 2 2" xfId="20269" xr:uid="{00000000-0005-0000-0000-0000804B0000}"/>
    <cellStyle name="Percent 3 2 4 2 2 2 2 2 3" xfId="9557" xr:uid="{00000000-0005-0000-0000-0000814B0000}"/>
    <cellStyle name="Percent 3 2 4 2 2 2 2 2 3 2" xfId="20270" xr:uid="{00000000-0005-0000-0000-0000824B0000}"/>
    <cellStyle name="Percent 3 2 4 2 2 2 2 2 4" xfId="20271" xr:uid="{00000000-0005-0000-0000-0000834B0000}"/>
    <cellStyle name="Percent 3 2 4 2 2 2 2 3" xfId="9558" xr:uid="{00000000-0005-0000-0000-0000844B0000}"/>
    <cellStyle name="Percent 3 2 4 2 2 2 2 3 2" xfId="9559" xr:uid="{00000000-0005-0000-0000-0000854B0000}"/>
    <cellStyle name="Percent 3 2 4 2 2 2 2 3 2 2" xfId="20272" xr:uid="{00000000-0005-0000-0000-0000864B0000}"/>
    <cellStyle name="Percent 3 2 4 2 2 2 2 3 3" xfId="9560" xr:uid="{00000000-0005-0000-0000-0000874B0000}"/>
    <cellStyle name="Percent 3 2 4 2 2 2 2 3 3 2" xfId="20273" xr:uid="{00000000-0005-0000-0000-0000884B0000}"/>
    <cellStyle name="Percent 3 2 4 2 2 2 2 3 4" xfId="20274" xr:uid="{00000000-0005-0000-0000-0000894B0000}"/>
    <cellStyle name="Percent 3 2 4 2 2 2 2 4" xfId="9561" xr:uid="{00000000-0005-0000-0000-00008A4B0000}"/>
    <cellStyle name="Percent 3 2 4 2 2 2 2 4 2" xfId="20275" xr:uid="{00000000-0005-0000-0000-00008B4B0000}"/>
    <cellStyle name="Percent 3 2 4 2 2 2 2 5" xfId="9562" xr:uid="{00000000-0005-0000-0000-00008C4B0000}"/>
    <cellStyle name="Percent 3 2 4 2 2 2 2 5 2" xfId="20276" xr:uid="{00000000-0005-0000-0000-00008D4B0000}"/>
    <cellStyle name="Percent 3 2 4 2 2 2 2 6" xfId="20277" xr:uid="{00000000-0005-0000-0000-00008E4B0000}"/>
    <cellStyle name="Percent 3 2 4 2 2 2 3" xfId="9563" xr:uid="{00000000-0005-0000-0000-00008F4B0000}"/>
    <cellStyle name="Percent 3 2 4 2 2 2 3 2" xfId="9564" xr:uid="{00000000-0005-0000-0000-0000904B0000}"/>
    <cellStyle name="Percent 3 2 4 2 2 2 3 2 2" xfId="9565" xr:uid="{00000000-0005-0000-0000-0000914B0000}"/>
    <cellStyle name="Percent 3 2 4 2 2 2 3 2 2 2" xfId="20278" xr:uid="{00000000-0005-0000-0000-0000924B0000}"/>
    <cellStyle name="Percent 3 2 4 2 2 2 3 2 3" xfId="9566" xr:uid="{00000000-0005-0000-0000-0000934B0000}"/>
    <cellStyle name="Percent 3 2 4 2 2 2 3 2 3 2" xfId="20279" xr:uid="{00000000-0005-0000-0000-0000944B0000}"/>
    <cellStyle name="Percent 3 2 4 2 2 2 3 2 4" xfId="20280" xr:uid="{00000000-0005-0000-0000-0000954B0000}"/>
    <cellStyle name="Percent 3 2 4 2 2 2 3 3" xfId="9567" xr:uid="{00000000-0005-0000-0000-0000964B0000}"/>
    <cellStyle name="Percent 3 2 4 2 2 2 3 3 2" xfId="9568" xr:uid="{00000000-0005-0000-0000-0000974B0000}"/>
    <cellStyle name="Percent 3 2 4 2 2 2 3 3 2 2" xfId="20281" xr:uid="{00000000-0005-0000-0000-0000984B0000}"/>
    <cellStyle name="Percent 3 2 4 2 2 2 3 3 3" xfId="9569" xr:uid="{00000000-0005-0000-0000-0000994B0000}"/>
    <cellStyle name="Percent 3 2 4 2 2 2 3 3 3 2" xfId="20282" xr:uid="{00000000-0005-0000-0000-00009A4B0000}"/>
    <cellStyle name="Percent 3 2 4 2 2 2 3 3 4" xfId="20283" xr:uid="{00000000-0005-0000-0000-00009B4B0000}"/>
    <cellStyle name="Percent 3 2 4 2 2 2 3 4" xfId="9570" xr:uid="{00000000-0005-0000-0000-00009C4B0000}"/>
    <cellStyle name="Percent 3 2 4 2 2 2 3 4 2" xfId="20284" xr:uid="{00000000-0005-0000-0000-00009D4B0000}"/>
    <cellStyle name="Percent 3 2 4 2 2 2 3 5" xfId="9571" xr:uid="{00000000-0005-0000-0000-00009E4B0000}"/>
    <cellStyle name="Percent 3 2 4 2 2 2 3 5 2" xfId="20285" xr:uid="{00000000-0005-0000-0000-00009F4B0000}"/>
    <cellStyle name="Percent 3 2 4 2 2 2 3 6" xfId="20286" xr:uid="{00000000-0005-0000-0000-0000A04B0000}"/>
    <cellStyle name="Percent 3 2 4 2 2 2 4" xfId="9572" xr:uid="{00000000-0005-0000-0000-0000A14B0000}"/>
    <cellStyle name="Percent 3 2 4 2 2 2 4 2" xfId="9573" xr:uid="{00000000-0005-0000-0000-0000A24B0000}"/>
    <cellStyle name="Percent 3 2 4 2 2 2 4 2 2" xfId="20287" xr:uid="{00000000-0005-0000-0000-0000A34B0000}"/>
    <cellStyle name="Percent 3 2 4 2 2 2 4 3" xfId="9574" xr:uid="{00000000-0005-0000-0000-0000A44B0000}"/>
    <cellStyle name="Percent 3 2 4 2 2 2 4 3 2" xfId="20288" xr:uid="{00000000-0005-0000-0000-0000A54B0000}"/>
    <cellStyle name="Percent 3 2 4 2 2 2 4 4" xfId="20289" xr:uid="{00000000-0005-0000-0000-0000A64B0000}"/>
    <cellStyle name="Percent 3 2 4 2 2 2 5" xfId="9575" xr:uid="{00000000-0005-0000-0000-0000A74B0000}"/>
    <cellStyle name="Percent 3 2 4 2 2 2 5 2" xfId="9576" xr:uid="{00000000-0005-0000-0000-0000A84B0000}"/>
    <cellStyle name="Percent 3 2 4 2 2 2 5 2 2" xfId="20290" xr:uid="{00000000-0005-0000-0000-0000A94B0000}"/>
    <cellStyle name="Percent 3 2 4 2 2 2 5 3" xfId="9577" xr:uid="{00000000-0005-0000-0000-0000AA4B0000}"/>
    <cellStyle name="Percent 3 2 4 2 2 2 5 3 2" xfId="20291" xr:uid="{00000000-0005-0000-0000-0000AB4B0000}"/>
    <cellStyle name="Percent 3 2 4 2 2 2 5 4" xfId="20292" xr:uid="{00000000-0005-0000-0000-0000AC4B0000}"/>
    <cellStyle name="Percent 3 2 4 2 2 2 6" xfId="9578" xr:uid="{00000000-0005-0000-0000-0000AD4B0000}"/>
    <cellStyle name="Percent 3 2 4 2 2 2 6 2" xfId="20293" xr:uid="{00000000-0005-0000-0000-0000AE4B0000}"/>
    <cellStyle name="Percent 3 2 4 2 2 2 7" xfId="9579" xr:uid="{00000000-0005-0000-0000-0000AF4B0000}"/>
    <cellStyle name="Percent 3 2 4 2 2 2 7 2" xfId="20294" xr:uid="{00000000-0005-0000-0000-0000B04B0000}"/>
    <cellStyle name="Percent 3 2 4 2 2 2 8" xfId="20295" xr:uid="{00000000-0005-0000-0000-0000B14B0000}"/>
    <cellStyle name="Percent 3 2 4 2 2 3" xfId="9580" xr:uid="{00000000-0005-0000-0000-0000B24B0000}"/>
    <cellStyle name="Percent 3 2 4 2 2 3 2" xfId="9581" xr:uid="{00000000-0005-0000-0000-0000B34B0000}"/>
    <cellStyle name="Percent 3 2 4 2 2 3 2 2" xfId="9582" xr:uid="{00000000-0005-0000-0000-0000B44B0000}"/>
    <cellStyle name="Percent 3 2 4 2 2 3 2 2 2" xfId="9583" xr:uid="{00000000-0005-0000-0000-0000B54B0000}"/>
    <cellStyle name="Percent 3 2 4 2 2 3 2 2 2 2" xfId="20296" xr:uid="{00000000-0005-0000-0000-0000B64B0000}"/>
    <cellStyle name="Percent 3 2 4 2 2 3 2 2 3" xfId="9584" xr:uid="{00000000-0005-0000-0000-0000B74B0000}"/>
    <cellStyle name="Percent 3 2 4 2 2 3 2 2 3 2" xfId="20297" xr:uid="{00000000-0005-0000-0000-0000B84B0000}"/>
    <cellStyle name="Percent 3 2 4 2 2 3 2 2 4" xfId="20298" xr:uid="{00000000-0005-0000-0000-0000B94B0000}"/>
    <cellStyle name="Percent 3 2 4 2 2 3 2 3" xfId="9585" xr:uid="{00000000-0005-0000-0000-0000BA4B0000}"/>
    <cellStyle name="Percent 3 2 4 2 2 3 2 3 2" xfId="9586" xr:uid="{00000000-0005-0000-0000-0000BB4B0000}"/>
    <cellStyle name="Percent 3 2 4 2 2 3 2 3 2 2" xfId="20299" xr:uid="{00000000-0005-0000-0000-0000BC4B0000}"/>
    <cellStyle name="Percent 3 2 4 2 2 3 2 3 3" xfId="9587" xr:uid="{00000000-0005-0000-0000-0000BD4B0000}"/>
    <cellStyle name="Percent 3 2 4 2 2 3 2 3 3 2" xfId="20300" xr:uid="{00000000-0005-0000-0000-0000BE4B0000}"/>
    <cellStyle name="Percent 3 2 4 2 2 3 2 3 4" xfId="20301" xr:uid="{00000000-0005-0000-0000-0000BF4B0000}"/>
    <cellStyle name="Percent 3 2 4 2 2 3 2 4" xfId="9588" xr:uid="{00000000-0005-0000-0000-0000C04B0000}"/>
    <cellStyle name="Percent 3 2 4 2 2 3 2 4 2" xfId="20302" xr:uid="{00000000-0005-0000-0000-0000C14B0000}"/>
    <cellStyle name="Percent 3 2 4 2 2 3 2 5" xfId="9589" xr:uid="{00000000-0005-0000-0000-0000C24B0000}"/>
    <cellStyle name="Percent 3 2 4 2 2 3 2 5 2" xfId="20303" xr:uid="{00000000-0005-0000-0000-0000C34B0000}"/>
    <cellStyle name="Percent 3 2 4 2 2 3 2 6" xfId="20304" xr:uid="{00000000-0005-0000-0000-0000C44B0000}"/>
    <cellStyle name="Percent 3 2 4 2 2 3 3" xfId="9590" xr:uid="{00000000-0005-0000-0000-0000C54B0000}"/>
    <cellStyle name="Percent 3 2 4 2 2 3 3 2" xfId="9591" xr:uid="{00000000-0005-0000-0000-0000C64B0000}"/>
    <cellStyle name="Percent 3 2 4 2 2 3 3 2 2" xfId="20305" xr:uid="{00000000-0005-0000-0000-0000C74B0000}"/>
    <cellStyle name="Percent 3 2 4 2 2 3 3 3" xfId="9592" xr:uid="{00000000-0005-0000-0000-0000C84B0000}"/>
    <cellStyle name="Percent 3 2 4 2 2 3 3 3 2" xfId="20306" xr:uid="{00000000-0005-0000-0000-0000C94B0000}"/>
    <cellStyle name="Percent 3 2 4 2 2 3 3 4" xfId="20307" xr:uid="{00000000-0005-0000-0000-0000CA4B0000}"/>
    <cellStyle name="Percent 3 2 4 2 2 3 4" xfId="9593" xr:uid="{00000000-0005-0000-0000-0000CB4B0000}"/>
    <cellStyle name="Percent 3 2 4 2 2 3 4 2" xfId="9594" xr:uid="{00000000-0005-0000-0000-0000CC4B0000}"/>
    <cellStyle name="Percent 3 2 4 2 2 3 4 2 2" xfId="20308" xr:uid="{00000000-0005-0000-0000-0000CD4B0000}"/>
    <cellStyle name="Percent 3 2 4 2 2 3 4 3" xfId="9595" xr:uid="{00000000-0005-0000-0000-0000CE4B0000}"/>
    <cellStyle name="Percent 3 2 4 2 2 3 4 3 2" xfId="20309" xr:uid="{00000000-0005-0000-0000-0000CF4B0000}"/>
    <cellStyle name="Percent 3 2 4 2 2 3 4 4" xfId="20310" xr:uid="{00000000-0005-0000-0000-0000D04B0000}"/>
    <cellStyle name="Percent 3 2 4 2 2 3 5" xfId="9596" xr:uid="{00000000-0005-0000-0000-0000D14B0000}"/>
    <cellStyle name="Percent 3 2 4 2 2 3 5 2" xfId="20311" xr:uid="{00000000-0005-0000-0000-0000D24B0000}"/>
    <cellStyle name="Percent 3 2 4 2 2 3 6" xfId="9597" xr:uid="{00000000-0005-0000-0000-0000D34B0000}"/>
    <cellStyle name="Percent 3 2 4 2 2 3 6 2" xfId="20312" xr:uid="{00000000-0005-0000-0000-0000D44B0000}"/>
    <cellStyle name="Percent 3 2 4 2 2 3 7" xfId="20313" xr:uid="{00000000-0005-0000-0000-0000D54B0000}"/>
    <cellStyle name="Percent 3 2 4 2 2 4" xfId="9598" xr:uid="{00000000-0005-0000-0000-0000D64B0000}"/>
    <cellStyle name="Percent 3 2 4 2 2 4 2" xfId="9599" xr:uid="{00000000-0005-0000-0000-0000D74B0000}"/>
    <cellStyle name="Percent 3 2 4 2 2 4 2 2" xfId="9600" xr:uid="{00000000-0005-0000-0000-0000D84B0000}"/>
    <cellStyle name="Percent 3 2 4 2 2 4 2 2 2" xfId="20314" xr:uid="{00000000-0005-0000-0000-0000D94B0000}"/>
    <cellStyle name="Percent 3 2 4 2 2 4 2 3" xfId="9601" xr:uid="{00000000-0005-0000-0000-0000DA4B0000}"/>
    <cellStyle name="Percent 3 2 4 2 2 4 2 3 2" xfId="20315" xr:uid="{00000000-0005-0000-0000-0000DB4B0000}"/>
    <cellStyle name="Percent 3 2 4 2 2 4 2 4" xfId="20316" xr:uid="{00000000-0005-0000-0000-0000DC4B0000}"/>
    <cellStyle name="Percent 3 2 4 2 2 4 3" xfId="9602" xr:uid="{00000000-0005-0000-0000-0000DD4B0000}"/>
    <cellStyle name="Percent 3 2 4 2 2 4 3 2" xfId="9603" xr:uid="{00000000-0005-0000-0000-0000DE4B0000}"/>
    <cellStyle name="Percent 3 2 4 2 2 4 3 2 2" xfId="20317" xr:uid="{00000000-0005-0000-0000-0000DF4B0000}"/>
    <cellStyle name="Percent 3 2 4 2 2 4 3 3" xfId="9604" xr:uid="{00000000-0005-0000-0000-0000E04B0000}"/>
    <cellStyle name="Percent 3 2 4 2 2 4 3 3 2" xfId="20318" xr:uid="{00000000-0005-0000-0000-0000E14B0000}"/>
    <cellStyle name="Percent 3 2 4 2 2 4 3 4" xfId="20319" xr:uid="{00000000-0005-0000-0000-0000E24B0000}"/>
    <cellStyle name="Percent 3 2 4 2 2 4 4" xfId="9605" xr:uid="{00000000-0005-0000-0000-0000E34B0000}"/>
    <cellStyle name="Percent 3 2 4 2 2 4 4 2" xfId="20320" xr:uid="{00000000-0005-0000-0000-0000E44B0000}"/>
    <cellStyle name="Percent 3 2 4 2 2 4 5" xfId="9606" xr:uid="{00000000-0005-0000-0000-0000E54B0000}"/>
    <cellStyle name="Percent 3 2 4 2 2 4 5 2" xfId="20321" xr:uid="{00000000-0005-0000-0000-0000E64B0000}"/>
    <cellStyle name="Percent 3 2 4 2 2 4 6" xfId="20322" xr:uid="{00000000-0005-0000-0000-0000E74B0000}"/>
    <cellStyle name="Percent 3 2 4 2 2 5" xfId="9607" xr:uid="{00000000-0005-0000-0000-0000E84B0000}"/>
    <cellStyle name="Percent 3 2 4 2 2 5 2" xfId="9608" xr:uid="{00000000-0005-0000-0000-0000E94B0000}"/>
    <cellStyle name="Percent 3 2 4 2 2 5 2 2" xfId="9609" xr:uid="{00000000-0005-0000-0000-0000EA4B0000}"/>
    <cellStyle name="Percent 3 2 4 2 2 5 2 2 2" xfId="20323" xr:uid="{00000000-0005-0000-0000-0000EB4B0000}"/>
    <cellStyle name="Percent 3 2 4 2 2 5 2 3" xfId="9610" xr:uid="{00000000-0005-0000-0000-0000EC4B0000}"/>
    <cellStyle name="Percent 3 2 4 2 2 5 2 3 2" xfId="20324" xr:uid="{00000000-0005-0000-0000-0000ED4B0000}"/>
    <cellStyle name="Percent 3 2 4 2 2 5 2 4" xfId="20325" xr:uid="{00000000-0005-0000-0000-0000EE4B0000}"/>
    <cellStyle name="Percent 3 2 4 2 2 5 3" xfId="9611" xr:uid="{00000000-0005-0000-0000-0000EF4B0000}"/>
    <cellStyle name="Percent 3 2 4 2 2 5 3 2" xfId="9612" xr:uid="{00000000-0005-0000-0000-0000F04B0000}"/>
    <cellStyle name="Percent 3 2 4 2 2 5 3 2 2" xfId="20326" xr:uid="{00000000-0005-0000-0000-0000F14B0000}"/>
    <cellStyle name="Percent 3 2 4 2 2 5 3 3" xfId="9613" xr:uid="{00000000-0005-0000-0000-0000F24B0000}"/>
    <cellStyle name="Percent 3 2 4 2 2 5 3 3 2" xfId="20327" xr:uid="{00000000-0005-0000-0000-0000F34B0000}"/>
    <cellStyle name="Percent 3 2 4 2 2 5 3 4" xfId="20328" xr:uid="{00000000-0005-0000-0000-0000F44B0000}"/>
    <cellStyle name="Percent 3 2 4 2 2 5 4" xfId="9614" xr:uid="{00000000-0005-0000-0000-0000F54B0000}"/>
    <cellStyle name="Percent 3 2 4 2 2 5 4 2" xfId="20329" xr:uid="{00000000-0005-0000-0000-0000F64B0000}"/>
    <cellStyle name="Percent 3 2 4 2 2 5 5" xfId="9615" xr:uid="{00000000-0005-0000-0000-0000F74B0000}"/>
    <cellStyle name="Percent 3 2 4 2 2 5 5 2" xfId="20330" xr:uid="{00000000-0005-0000-0000-0000F84B0000}"/>
    <cellStyle name="Percent 3 2 4 2 2 5 6" xfId="20331" xr:uid="{00000000-0005-0000-0000-0000F94B0000}"/>
    <cellStyle name="Percent 3 2 4 2 2 6" xfId="9616" xr:uid="{00000000-0005-0000-0000-0000FA4B0000}"/>
    <cellStyle name="Percent 3 2 4 2 2 6 2" xfId="9617" xr:uid="{00000000-0005-0000-0000-0000FB4B0000}"/>
    <cellStyle name="Percent 3 2 4 2 2 6 2 2" xfId="20332" xr:uid="{00000000-0005-0000-0000-0000FC4B0000}"/>
    <cellStyle name="Percent 3 2 4 2 2 6 3" xfId="9618" xr:uid="{00000000-0005-0000-0000-0000FD4B0000}"/>
    <cellStyle name="Percent 3 2 4 2 2 6 3 2" xfId="20333" xr:uid="{00000000-0005-0000-0000-0000FE4B0000}"/>
    <cellStyle name="Percent 3 2 4 2 2 6 4" xfId="20334" xr:uid="{00000000-0005-0000-0000-0000FF4B0000}"/>
    <cellStyle name="Percent 3 2 4 2 2 7" xfId="9619" xr:uid="{00000000-0005-0000-0000-0000004C0000}"/>
    <cellStyle name="Percent 3 2 4 2 2 7 2" xfId="9620" xr:uid="{00000000-0005-0000-0000-0000014C0000}"/>
    <cellStyle name="Percent 3 2 4 2 2 7 2 2" xfId="20335" xr:uid="{00000000-0005-0000-0000-0000024C0000}"/>
    <cellStyle name="Percent 3 2 4 2 2 7 3" xfId="9621" xr:uid="{00000000-0005-0000-0000-0000034C0000}"/>
    <cellStyle name="Percent 3 2 4 2 2 7 3 2" xfId="20336" xr:uid="{00000000-0005-0000-0000-0000044C0000}"/>
    <cellStyle name="Percent 3 2 4 2 2 7 4" xfId="20337" xr:uid="{00000000-0005-0000-0000-0000054C0000}"/>
    <cellStyle name="Percent 3 2 4 2 2 8" xfId="9622" xr:uid="{00000000-0005-0000-0000-0000064C0000}"/>
    <cellStyle name="Percent 3 2 4 2 2 8 2" xfId="20338" xr:uid="{00000000-0005-0000-0000-0000074C0000}"/>
    <cellStyle name="Percent 3 2 4 2 2 9" xfId="9623" xr:uid="{00000000-0005-0000-0000-0000084C0000}"/>
    <cellStyle name="Percent 3 2 4 2 2 9 2" xfId="20339" xr:uid="{00000000-0005-0000-0000-0000094C0000}"/>
    <cellStyle name="Percent 3 2 4 2 3" xfId="9624" xr:uid="{00000000-0005-0000-0000-00000A4C0000}"/>
    <cellStyle name="Percent 3 2 4 2 3 2" xfId="9625" xr:uid="{00000000-0005-0000-0000-00000B4C0000}"/>
    <cellStyle name="Percent 3 2 4 2 3 2 2" xfId="9626" xr:uid="{00000000-0005-0000-0000-00000C4C0000}"/>
    <cellStyle name="Percent 3 2 4 2 3 2 2 2" xfId="9627" xr:uid="{00000000-0005-0000-0000-00000D4C0000}"/>
    <cellStyle name="Percent 3 2 4 2 3 2 2 2 2" xfId="20340" xr:uid="{00000000-0005-0000-0000-00000E4C0000}"/>
    <cellStyle name="Percent 3 2 4 2 3 2 2 3" xfId="9628" xr:uid="{00000000-0005-0000-0000-00000F4C0000}"/>
    <cellStyle name="Percent 3 2 4 2 3 2 2 3 2" xfId="20341" xr:uid="{00000000-0005-0000-0000-0000104C0000}"/>
    <cellStyle name="Percent 3 2 4 2 3 2 2 4" xfId="20342" xr:uid="{00000000-0005-0000-0000-0000114C0000}"/>
    <cellStyle name="Percent 3 2 4 2 3 2 3" xfId="9629" xr:uid="{00000000-0005-0000-0000-0000124C0000}"/>
    <cellStyle name="Percent 3 2 4 2 3 2 3 2" xfId="9630" xr:uid="{00000000-0005-0000-0000-0000134C0000}"/>
    <cellStyle name="Percent 3 2 4 2 3 2 3 2 2" xfId="20343" xr:uid="{00000000-0005-0000-0000-0000144C0000}"/>
    <cellStyle name="Percent 3 2 4 2 3 2 3 3" xfId="9631" xr:uid="{00000000-0005-0000-0000-0000154C0000}"/>
    <cellStyle name="Percent 3 2 4 2 3 2 3 3 2" xfId="20344" xr:uid="{00000000-0005-0000-0000-0000164C0000}"/>
    <cellStyle name="Percent 3 2 4 2 3 2 3 4" xfId="20345" xr:uid="{00000000-0005-0000-0000-0000174C0000}"/>
    <cellStyle name="Percent 3 2 4 2 3 2 4" xfId="9632" xr:uid="{00000000-0005-0000-0000-0000184C0000}"/>
    <cellStyle name="Percent 3 2 4 2 3 2 4 2" xfId="20346" xr:uid="{00000000-0005-0000-0000-0000194C0000}"/>
    <cellStyle name="Percent 3 2 4 2 3 2 5" xfId="9633" xr:uid="{00000000-0005-0000-0000-00001A4C0000}"/>
    <cellStyle name="Percent 3 2 4 2 3 2 5 2" xfId="20347" xr:uid="{00000000-0005-0000-0000-00001B4C0000}"/>
    <cellStyle name="Percent 3 2 4 2 3 2 6" xfId="20348" xr:uid="{00000000-0005-0000-0000-00001C4C0000}"/>
    <cellStyle name="Percent 3 2 4 2 3 3" xfId="9634" xr:uid="{00000000-0005-0000-0000-00001D4C0000}"/>
    <cellStyle name="Percent 3 2 4 2 3 3 2" xfId="9635" xr:uid="{00000000-0005-0000-0000-00001E4C0000}"/>
    <cellStyle name="Percent 3 2 4 2 3 3 2 2" xfId="9636" xr:uid="{00000000-0005-0000-0000-00001F4C0000}"/>
    <cellStyle name="Percent 3 2 4 2 3 3 2 2 2" xfId="20349" xr:uid="{00000000-0005-0000-0000-0000204C0000}"/>
    <cellStyle name="Percent 3 2 4 2 3 3 2 3" xfId="9637" xr:uid="{00000000-0005-0000-0000-0000214C0000}"/>
    <cellStyle name="Percent 3 2 4 2 3 3 2 3 2" xfId="20350" xr:uid="{00000000-0005-0000-0000-0000224C0000}"/>
    <cellStyle name="Percent 3 2 4 2 3 3 2 4" xfId="20351" xr:uid="{00000000-0005-0000-0000-0000234C0000}"/>
    <cellStyle name="Percent 3 2 4 2 3 3 3" xfId="9638" xr:uid="{00000000-0005-0000-0000-0000244C0000}"/>
    <cellStyle name="Percent 3 2 4 2 3 3 3 2" xfId="9639" xr:uid="{00000000-0005-0000-0000-0000254C0000}"/>
    <cellStyle name="Percent 3 2 4 2 3 3 3 2 2" xfId="20352" xr:uid="{00000000-0005-0000-0000-0000264C0000}"/>
    <cellStyle name="Percent 3 2 4 2 3 3 3 3" xfId="9640" xr:uid="{00000000-0005-0000-0000-0000274C0000}"/>
    <cellStyle name="Percent 3 2 4 2 3 3 3 3 2" xfId="20353" xr:uid="{00000000-0005-0000-0000-0000284C0000}"/>
    <cellStyle name="Percent 3 2 4 2 3 3 3 4" xfId="20354" xr:uid="{00000000-0005-0000-0000-0000294C0000}"/>
    <cellStyle name="Percent 3 2 4 2 3 3 4" xfId="9641" xr:uid="{00000000-0005-0000-0000-00002A4C0000}"/>
    <cellStyle name="Percent 3 2 4 2 3 3 4 2" xfId="20355" xr:uid="{00000000-0005-0000-0000-00002B4C0000}"/>
    <cellStyle name="Percent 3 2 4 2 3 3 5" xfId="9642" xr:uid="{00000000-0005-0000-0000-00002C4C0000}"/>
    <cellStyle name="Percent 3 2 4 2 3 3 5 2" xfId="20356" xr:uid="{00000000-0005-0000-0000-00002D4C0000}"/>
    <cellStyle name="Percent 3 2 4 2 3 3 6" xfId="20357" xr:uid="{00000000-0005-0000-0000-00002E4C0000}"/>
    <cellStyle name="Percent 3 2 4 2 3 4" xfId="9643" xr:uid="{00000000-0005-0000-0000-00002F4C0000}"/>
    <cellStyle name="Percent 3 2 4 2 3 4 2" xfId="9644" xr:uid="{00000000-0005-0000-0000-0000304C0000}"/>
    <cellStyle name="Percent 3 2 4 2 3 4 2 2" xfId="20358" xr:uid="{00000000-0005-0000-0000-0000314C0000}"/>
    <cellStyle name="Percent 3 2 4 2 3 4 3" xfId="9645" xr:uid="{00000000-0005-0000-0000-0000324C0000}"/>
    <cellStyle name="Percent 3 2 4 2 3 4 3 2" xfId="20359" xr:uid="{00000000-0005-0000-0000-0000334C0000}"/>
    <cellStyle name="Percent 3 2 4 2 3 4 4" xfId="20360" xr:uid="{00000000-0005-0000-0000-0000344C0000}"/>
    <cellStyle name="Percent 3 2 4 2 3 5" xfId="9646" xr:uid="{00000000-0005-0000-0000-0000354C0000}"/>
    <cellStyle name="Percent 3 2 4 2 3 5 2" xfId="9647" xr:uid="{00000000-0005-0000-0000-0000364C0000}"/>
    <cellStyle name="Percent 3 2 4 2 3 5 2 2" xfId="20361" xr:uid="{00000000-0005-0000-0000-0000374C0000}"/>
    <cellStyle name="Percent 3 2 4 2 3 5 3" xfId="9648" xr:uid="{00000000-0005-0000-0000-0000384C0000}"/>
    <cellStyle name="Percent 3 2 4 2 3 5 3 2" xfId="20362" xr:uid="{00000000-0005-0000-0000-0000394C0000}"/>
    <cellStyle name="Percent 3 2 4 2 3 5 4" xfId="20363" xr:uid="{00000000-0005-0000-0000-00003A4C0000}"/>
    <cellStyle name="Percent 3 2 4 2 3 6" xfId="9649" xr:uid="{00000000-0005-0000-0000-00003B4C0000}"/>
    <cellStyle name="Percent 3 2 4 2 3 6 2" xfId="20364" xr:uid="{00000000-0005-0000-0000-00003C4C0000}"/>
    <cellStyle name="Percent 3 2 4 2 3 7" xfId="9650" xr:uid="{00000000-0005-0000-0000-00003D4C0000}"/>
    <cellStyle name="Percent 3 2 4 2 3 7 2" xfId="20365" xr:uid="{00000000-0005-0000-0000-00003E4C0000}"/>
    <cellStyle name="Percent 3 2 4 2 3 8" xfId="20366" xr:uid="{00000000-0005-0000-0000-00003F4C0000}"/>
    <cellStyle name="Percent 3 2 4 2 4" xfId="9651" xr:uid="{00000000-0005-0000-0000-0000404C0000}"/>
    <cellStyle name="Percent 3 2 4 2 4 2" xfId="9652" xr:uid="{00000000-0005-0000-0000-0000414C0000}"/>
    <cellStyle name="Percent 3 2 4 2 4 2 2" xfId="9653" xr:uid="{00000000-0005-0000-0000-0000424C0000}"/>
    <cellStyle name="Percent 3 2 4 2 4 2 2 2" xfId="9654" xr:uid="{00000000-0005-0000-0000-0000434C0000}"/>
    <cellStyle name="Percent 3 2 4 2 4 2 2 2 2" xfId="20367" xr:uid="{00000000-0005-0000-0000-0000444C0000}"/>
    <cellStyle name="Percent 3 2 4 2 4 2 2 3" xfId="9655" xr:uid="{00000000-0005-0000-0000-0000454C0000}"/>
    <cellStyle name="Percent 3 2 4 2 4 2 2 3 2" xfId="20368" xr:uid="{00000000-0005-0000-0000-0000464C0000}"/>
    <cellStyle name="Percent 3 2 4 2 4 2 2 4" xfId="20369" xr:uid="{00000000-0005-0000-0000-0000474C0000}"/>
    <cellStyle name="Percent 3 2 4 2 4 2 3" xfId="9656" xr:uid="{00000000-0005-0000-0000-0000484C0000}"/>
    <cellStyle name="Percent 3 2 4 2 4 2 3 2" xfId="9657" xr:uid="{00000000-0005-0000-0000-0000494C0000}"/>
    <cellStyle name="Percent 3 2 4 2 4 2 3 2 2" xfId="20370" xr:uid="{00000000-0005-0000-0000-00004A4C0000}"/>
    <cellStyle name="Percent 3 2 4 2 4 2 3 3" xfId="9658" xr:uid="{00000000-0005-0000-0000-00004B4C0000}"/>
    <cellStyle name="Percent 3 2 4 2 4 2 3 3 2" xfId="20371" xr:uid="{00000000-0005-0000-0000-00004C4C0000}"/>
    <cellStyle name="Percent 3 2 4 2 4 2 3 4" xfId="20372" xr:uid="{00000000-0005-0000-0000-00004D4C0000}"/>
    <cellStyle name="Percent 3 2 4 2 4 2 4" xfId="9659" xr:uid="{00000000-0005-0000-0000-00004E4C0000}"/>
    <cellStyle name="Percent 3 2 4 2 4 2 4 2" xfId="20373" xr:uid="{00000000-0005-0000-0000-00004F4C0000}"/>
    <cellStyle name="Percent 3 2 4 2 4 2 5" xfId="9660" xr:uid="{00000000-0005-0000-0000-0000504C0000}"/>
    <cellStyle name="Percent 3 2 4 2 4 2 5 2" xfId="20374" xr:uid="{00000000-0005-0000-0000-0000514C0000}"/>
    <cellStyle name="Percent 3 2 4 2 4 2 6" xfId="20375" xr:uid="{00000000-0005-0000-0000-0000524C0000}"/>
    <cellStyle name="Percent 3 2 4 2 4 3" xfId="9661" xr:uid="{00000000-0005-0000-0000-0000534C0000}"/>
    <cellStyle name="Percent 3 2 4 2 4 3 2" xfId="9662" xr:uid="{00000000-0005-0000-0000-0000544C0000}"/>
    <cellStyle name="Percent 3 2 4 2 4 3 2 2" xfId="20376" xr:uid="{00000000-0005-0000-0000-0000554C0000}"/>
    <cellStyle name="Percent 3 2 4 2 4 3 3" xfId="9663" xr:uid="{00000000-0005-0000-0000-0000564C0000}"/>
    <cellStyle name="Percent 3 2 4 2 4 3 3 2" xfId="20377" xr:uid="{00000000-0005-0000-0000-0000574C0000}"/>
    <cellStyle name="Percent 3 2 4 2 4 3 4" xfId="20378" xr:uid="{00000000-0005-0000-0000-0000584C0000}"/>
    <cellStyle name="Percent 3 2 4 2 4 4" xfId="9664" xr:uid="{00000000-0005-0000-0000-0000594C0000}"/>
    <cellStyle name="Percent 3 2 4 2 4 4 2" xfId="9665" xr:uid="{00000000-0005-0000-0000-00005A4C0000}"/>
    <cellStyle name="Percent 3 2 4 2 4 4 2 2" xfId="20379" xr:uid="{00000000-0005-0000-0000-00005B4C0000}"/>
    <cellStyle name="Percent 3 2 4 2 4 4 3" xfId="9666" xr:uid="{00000000-0005-0000-0000-00005C4C0000}"/>
    <cellStyle name="Percent 3 2 4 2 4 4 3 2" xfId="20380" xr:uid="{00000000-0005-0000-0000-00005D4C0000}"/>
    <cellStyle name="Percent 3 2 4 2 4 4 4" xfId="20381" xr:uid="{00000000-0005-0000-0000-00005E4C0000}"/>
    <cellStyle name="Percent 3 2 4 2 4 5" xfId="9667" xr:uid="{00000000-0005-0000-0000-00005F4C0000}"/>
    <cellStyle name="Percent 3 2 4 2 4 5 2" xfId="20382" xr:uid="{00000000-0005-0000-0000-0000604C0000}"/>
    <cellStyle name="Percent 3 2 4 2 4 6" xfId="9668" xr:uid="{00000000-0005-0000-0000-0000614C0000}"/>
    <cellStyle name="Percent 3 2 4 2 4 6 2" xfId="20383" xr:uid="{00000000-0005-0000-0000-0000624C0000}"/>
    <cellStyle name="Percent 3 2 4 2 4 7" xfId="20384" xr:uid="{00000000-0005-0000-0000-0000634C0000}"/>
    <cellStyle name="Percent 3 2 4 2 5" xfId="9669" xr:uid="{00000000-0005-0000-0000-0000644C0000}"/>
    <cellStyle name="Percent 3 2 4 2 5 2" xfId="9670" xr:uid="{00000000-0005-0000-0000-0000654C0000}"/>
    <cellStyle name="Percent 3 2 4 2 5 2 2" xfId="9671" xr:uid="{00000000-0005-0000-0000-0000664C0000}"/>
    <cellStyle name="Percent 3 2 4 2 5 2 2 2" xfId="20385" xr:uid="{00000000-0005-0000-0000-0000674C0000}"/>
    <cellStyle name="Percent 3 2 4 2 5 2 3" xfId="9672" xr:uid="{00000000-0005-0000-0000-0000684C0000}"/>
    <cellStyle name="Percent 3 2 4 2 5 2 3 2" xfId="20386" xr:uid="{00000000-0005-0000-0000-0000694C0000}"/>
    <cellStyle name="Percent 3 2 4 2 5 2 4" xfId="20387" xr:uid="{00000000-0005-0000-0000-00006A4C0000}"/>
    <cellStyle name="Percent 3 2 4 2 5 3" xfId="9673" xr:uid="{00000000-0005-0000-0000-00006B4C0000}"/>
    <cellStyle name="Percent 3 2 4 2 5 3 2" xfId="9674" xr:uid="{00000000-0005-0000-0000-00006C4C0000}"/>
    <cellStyle name="Percent 3 2 4 2 5 3 2 2" xfId="20388" xr:uid="{00000000-0005-0000-0000-00006D4C0000}"/>
    <cellStyle name="Percent 3 2 4 2 5 3 3" xfId="9675" xr:uid="{00000000-0005-0000-0000-00006E4C0000}"/>
    <cellStyle name="Percent 3 2 4 2 5 3 3 2" xfId="20389" xr:uid="{00000000-0005-0000-0000-00006F4C0000}"/>
    <cellStyle name="Percent 3 2 4 2 5 3 4" xfId="20390" xr:uid="{00000000-0005-0000-0000-0000704C0000}"/>
    <cellStyle name="Percent 3 2 4 2 5 4" xfId="9676" xr:uid="{00000000-0005-0000-0000-0000714C0000}"/>
    <cellStyle name="Percent 3 2 4 2 5 4 2" xfId="20391" xr:uid="{00000000-0005-0000-0000-0000724C0000}"/>
    <cellStyle name="Percent 3 2 4 2 5 5" xfId="9677" xr:uid="{00000000-0005-0000-0000-0000734C0000}"/>
    <cellStyle name="Percent 3 2 4 2 5 5 2" xfId="20392" xr:uid="{00000000-0005-0000-0000-0000744C0000}"/>
    <cellStyle name="Percent 3 2 4 2 5 6" xfId="20393" xr:uid="{00000000-0005-0000-0000-0000754C0000}"/>
    <cellStyle name="Percent 3 2 4 2 6" xfId="9678" xr:uid="{00000000-0005-0000-0000-0000764C0000}"/>
    <cellStyle name="Percent 3 2 4 2 6 2" xfId="9679" xr:uid="{00000000-0005-0000-0000-0000774C0000}"/>
    <cellStyle name="Percent 3 2 4 2 6 2 2" xfId="9680" xr:uid="{00000000-0005-0000-0000-0000784C0000}"/>
    <cellStyle name="Percent 3 2 4 2 6 2 2 2" xfId="20394" xr:uid="{00000000-0005-0000-0000-0000794C0000}"/>
    <cellStyle name="Percent 3 2 4 2 6 2 3" xfId="9681" xr:uid="{00000000-0005-0000-0000-00007A4C0000}"/>
    <cellStyle name="Percent 3 2 4 2 6 2 3 2" xfId="20395" xr:uid="{00000000-0005-0000-0000-00007B4C0000}"/>
    <cellStyle name="Percent 3 2 4 2 6 2 4" xfId="20396" xr:uid="{00000000-0005-0000-0000-00007C4C0000}"/>
    <cellStyle name="Percent 3 2 4 2 6 3" xfId="9682" xr:uid="{00000000-0005-0000-0000-00007D4C0000}"/>
    <cellStyle name="Percent 3 2 4 2 6 3 2" xfId="9683" xr:uid="{00000000-0005-0000-0000-00007E4C0000}"/>
    <cellStyle name="Percent 3 2 4 2 6 3 2 2" xfId="20397" xr:uid="{00000000-0005-0000-0000-00007F4C0000}"/>
    <cellStyle name="Percent 3 2 4 2 6 3 3" xfId="9684" xr:uid="{00000000-0005-0000-0000-0000804C0000}"/>
    <cellStyle name="Percent 3 2 4 2 6 3 3 2" xfId="20398" xr:uid="{00000000-0005-0000-0000-0000814C0000}"/>
    <cellStyle name="Percent 3 2 4 2 6 3 4" xfId="20399" xr:uid="{00000000-0005-0000-0000-0000824C0000}"/>
    <cellStyle name="Percent 3 2 4 2 6 4" xfId="9685" xr:uid="{00000000-0005-0000-0000-0000834C0000}"/>
    <cellStyle name="Percent 3 2 4 2 6 4 2" xfId="20400" xr:uid="{00000000-0005-0000-0000-0000844C0000}"/>
    <cellStyle name="Percent 3 2 4 2 6 5" xfId="9686" xr:uid="{00000000-0005-0000-0000-0000854C0000}"/>
    <cellStyle name="Percent 3 2 4 2 6 5 2" xfId="20401" xr:uid="{00000000-0005-0000-0000-0000864C0000}"/>
    <cellStyle name="Percent 3 2 4 2 6 6" xfId="20402" xr:uid="{00000000-0005-0000-0000-0000874C0000}"/>
    <cellStyle name="Percent 3 2 4 2 7" xfId="9687" xr:uid="{00000000-0005-0000-0000-0000884C0000}"/>
    <cellStyle name="Percent 3 2 4 2 7 2" xfId="9688" xr:uid="{00000000-0005-0000-0000-0000894C0000}"/>
    <cellStyle name="Percent 3 2 4 2 7 2 2" xfId="20403" xr:uid="{00000000-0005-0000-0000-00008A4C0000}"/>
    <cellStyle name="Percent 3 2 4 2 7 3" xfId="9689" xr:uid="{00000000-0005-0000-0000-00008B4C0000}"/>
    <cellStyle name="Percent 3 2 4 2 7 3 2" xfId="20404" xr:uid="{00000000-0005-0000-0000-00008C4C0000}"/>
    <cellStyle name="Percent 3 2 4 2 7 4" xfId="20405" xr:uid="{00000000-0005-0000-0000-00008D4C0000}"/>
    <cellStyle name="Percent 3 2 4 2 8" xfId="9690" xr:uid="{00000000-0005-0000-0000-00008E4C0000}"/>
    <cellStyle name="Percent 3 2 4 2 8 2" xfId="9691" xr:uid="{00000000-0005-0000-0000-00008F4C0000}"/>
    <cellStyle name="Percent 3 2 4 2 8 2 2" xfId="20406" xr:uid="{00000000-0005-0000-0000-0000904C0000}"/>
    <cellStyle name="Percent 3 2 4 2 8 3" xfId="9692" xr:uid="{00000000-0005-0000-0000-0000914C0000}"/>
    <cellStyle name="Percent 3 2 4 2 8 3 2" xfId="20407" xr:uid="{00000000-0005-0000-0000-0000924C0000}"/>
    <cellStyle name="Percent 3 2 4 2 8 4" xfId="20408" xr:uid="{00000000-0005-0000-0000-0000934C0000}"/>
    <cellStyle name="Percent 3 2 4 2 9" xfId="9693" xr:uid="{00000000-0005-0000-0000-0000944C0000}"/>
    <cellStyle name="Percent 3 2 4 2 9 2" xfId="20409" xr:uid="{00000000-0005-0000-0000-0000954C0000}"/>
    <cellStyle name="Percent 3 2 4 3" xfId="9694" xr:uid="{00000000-0005-0000-0000-0000964C0000}"/>
    <cellStyle name="Percent 3 2 4 3 10" xfId="20410" xr:uid="{00000000-0005-0000-0000-0000974C0000}"/>
    <cellStyle name="Percent 3 2 4 3 2" xfId="9695" xr:uid="{00000000-0005-0000-0000-0000984C0000}"/>
    <cellStyle name="Percent 3 2 4 3 2 2" xfId="9696" xr:uid="{00000000-0005-0000-0000-0000994C0000}"/>
    <cellStyle name="Percent 3 2 4 3 2 2 2" xfId="9697" xr:uid="{00000000-0005-0000-0000-00009A4C0000}"/>
    <cellStyle name="Percent 3 2 4 3 2 2 2 2" xfId="9698" xr:uid="{00000000-0005-0000-0000-00009B4C0000}"/>
    <cellStyle name="Percent 3 2 4 3 2 2 2 2 2" xfId="20411" xr:uid="{00000000-0005-0000-0000-00009C4C0000}"/>
    <cellStyle name="Percent 3 2 4 3 2 2 2 3" xfId="9699" xr:uid="{00000000-0005-0000-0000-00009D4C0000}"/>
    <cellStyle name="Percent 3 2 4 3 2 2 2 3 2" xfId="20412" xr:uid="{00000000-0005-0000-0000-00009E4C0000}"/>
    <cellStyle name="Percent 3 2 4 3 2 2 2 4" xfId="20413" xr:uid="{00000000-0005-0000-0000-00009F4C0000}"/>
    <cellStyle name="Percent 3 2 4 3 2 2 3" xfId="9700" xr:uid="{00000000-0005-0000-0000-0000A04C0000}"/>
    <cellStyle name="Percent 3 2 4 3 2 2 3 2" xfId="9701" xr:uid="{00000000-0005-0000-0000-0000A14C0000}"/>
    <cellStyle name="Percent 3 2 4 3 2 2 3 2 2" xfId="20414" xr:uid="{00000000-0005-0000-0000-0000A24C0000}"/>
    <cellStyle name="Percent 3 2 4 3 2 2 3 3" xfId="9702" xr:uid="{00000000-0005-0000-0000-0000A34C0000}"/>
    <cellStyle name="Percent 3 2 4 3 2 2 3 3 2" xfId="20415" xr:uid="{00000000-0005-0000-0000-0000A44C0000}"/>
    <cellStyle name="Percent 3 2 4 3 2 2 3 4" xfId="20416" xr:uid="{00000000-0005-0000-0000-0000A54C0000}"/>
    <cellStyle name="Percent 3 2 4 3 2 2 4" xfId="9703" xr:uid="{00000000-0005-0000-0000-0000A64C0000}"/>
    <cellStyle name="Percent 3 2 4 3 2 2 4 2" xfId="20417" xr:uid="{00000000-0005-0000-0000-0000A74C0000}"/>
    <cellStyle name="Percent 3 2 4 3 2 2 5" xfId="9704" xr:uid="{00000000-0005-0000-0000-0000A84C0000}"/>
    <cellStyle name="Percent 3 2 4 3 2 2 5 2" xfId="20418" xr:uid="{00000000-0005-0000-0000-0000A94C0000}"/>
    <cellStyle name="Percent 3 2 4 3 2 2 6" xfId="20419" xr:uid="{00000000-0005-0000-0000-0000AA4C0000}"/>
    <cellStyle name="Percent 3 2 4 3 2 3" xfId="9705" xr:uid="{00000000-0005-0000-0000-0000AB4C0000}"/>
    <cellStyle name="Percent 3 2 4 3 2 3 2" xfId="9706" xr:uid="{00000000-0005-0000-0000-0000AC4C0000}"/>
    <cellStyle name="Percent 3 2 4 3 2 3 2 2" xfId="9707" xr:uid="{00000000-0005-0000-0000-0000AD4C0000}"/>
    <cellStyle name="Percent 3 2 4 3 2 3 2 2 2" xfId="20420" xr:uid="{00000000-0005-0000-0000-0000AE4C0000}"/>
    <cellStyle name="Percent 3 2 4 3 2 3 2 3" xfId="9708" xr:uid="{00000000-0005-0000-0000-0000AF4C0000}"/>
    <cellStyle name="Percent 3 2 4 3 2 3 2 3 2" xfId="20421" xr:uid="{00000000-0005-0000-0000-0000B04C0000}"/>
    <cellStyle name="Percent 3 2 4 3 2 3 2 4" xfId="20422" xr:uid="{00000000-0005-0000-0000-0000B14C0000}"/>
    <cellStyle name="Percent 3 2 4 3 2 3 3" xfId="9709" xr:uid="{00000000-0005-0000-0000-0000B24C0000}"/>
    <cellStyle name="Percent 3 2 4 3 2 3 3 2" xfId="9710" xr:uid="{00000000-0005-0000-0000-0000B34C0000}"/>
    <cellStyle name="Percent 3 2 4 3 2 3 3 2 2" xfId="20423" xr:uid="{00000000-0005-0000-0000-0000B44C0000}"/>
    <cellStyle name="Percent 3 2 4 3 2 3 3 3" xfId="9711" xr:uid="{00000000-0005-0000-0000-0000B54C0000}"/>
    <cellStyle name="Percent 3 2 4 3 2 3 3 3 2" xfId="20424" xr:uid="{00000000-0005-0000-0000-0000B64C0000}"/>
    <cellStyle name="Percent 3 2 4 3 2 3 3 4" xfId="20425" xr:uid="{00000000-0005-0000-0000-0000B74C0000}"/>
    <cellStyle name="Percent 3 2 4 3 2 3 4" xfId="9712" xr:uid="{00000000-0005-0000-0000-0000B84C0000}"/>
    <cellStyle name="Percent 3 2 4 3 2 3 4 2" xfId="20426" xr:uid="{00000000-0005-0000-0000-0000B94C0000}"/>
    <cellStyle name="Percent 3 2 4 3 2 3 5" xfId="9713" xr:uid="{00000000-0005-0000-0000-0000BA4C0000}"/>
    <cellStyle name="Percent 3 2 4 3 2 3 5 2" xfId="20427" xr:uid="{00000000-0005-0000-0000-0000BB4C0000}"/>
    <cellStyle name="Percent 3 2 4 3 2 3 6" xfId="20428" xr:uid="{00000000-0005-0000-0000-0000BC4C0000}"/>
    <cellStyle name="Percent 3 2 4 3 2 4" xfId="9714" xr:uid="{00000000-0005-0000-0000-0000BD4C0000}"/>
    <cellStyle name="Percent 3 2 4 3 2 4 2" xfId="9715" xr:uid="{00000000-0005-0000-0000-0000BE4C0000}"/>
    <cellStyle name="Percent 3 2 4 3 2 4 2 2" xfId="20429" xr:uid="{00000000-0005-0000-0000-0000BF4C0000}"/>
    <cellStyle name="Percent 3 2 4 3 2 4 3" xfId="9716" xr:uid="{00000000-0005-0000-0000-0000C04C0000}"/>
    <cellStyle name="Percent 3 2 4 3 2 4 3 2" xfId="20430" xr:uid="{00000000-0005-0000-0000-0000C14C0000}"/>
    <cellStyle name="Percent 3 2 4 3 2 4 4" xfId="20431" xr:uid="{00000000-0005-0000-0000-0000C24C0000}"/>
    <cellStyle name="Percent 3 2 4 3 2 5" xfId="9717" xr:uid="{00000000-0005-0000-0000-0000C34C0000}"/>
    <cellStyle name="Percent 3 2 4 3 2 5 2" xfId="9718" xr:uid="{00000000-0005-0000-0000-0000C44C0000}"/>
    <cellStyle name="Percent 3 2 4 3 2 5 2 2" xfId="20432" xr:uid="{00000000-0005-0000-0000-0000C54C0000}"/>
    <cellStyle name="Percent 3 2 4 3 2 5 3" xfId="9719" xr:uid="{00000000-0005-0000-0000-0000C64C0000}"/>
    <cellStyle name="Percent 3 2 4 3 2 5 3 2" xfId="20433" xr:uid="{00000000-0005-0000-0000-0000C74C0000}"/>
    <cellStyle name="Percent 3 2 4 3 2 5 4" xfId="20434" xr:uid="{00000000-0005-0000-0000-0000C84C0000}"/>
    <cellStyle name="Percent 3 2 4 3 2 6" xfId="9720" xr:uid="{00000000-0005-0000-0000-0000C94C0000}"/>
    <cellStyle name="Percent 3 2 4 3 2 6 2" xfId="20435" xr:uid="{00000000-0005-0000-0000-0000CA4C0000}"/>
    <cellStyle name="Percent 3 2 4 3 2 7" xfId="9721" xr:uid="{00000000-0005-0000-0000-0000CB4C0000}"/>
    <cellStyle name="Percent 3 2 4 3 2 7 2" xfId="20436" xr:uid="{00000000-0005-0000-0000-0000CC4C0000}"/>
    <cellStyle name="Percent 3 2 4 3 2 8" xfId="20437" xr:uid="{00000000-0005-0000-0000-0000CD4C0000}"/>
    <cellStyle name="Percent 3 2 4 3 3" xfId="9722" xr:uid="{00000000-0005-0000-0000-0000CE4C0000}"/>
    <cellStyle name="Percent 3 2 4 3 3 2" xfId="9723" xr:uid="{00000000-0005-0000-0000-0000CF4C0000}"/>
    <cellStyle name="Percent 3 2 4 3 3 2 2" xfId="9724" xr:uid="{00000000-0005-0000-0000-0000D04C0000}"/>
    <cellStyle name="Percent 3 2 4 3 3 2 2 2" xfId="9725" xr:uid="{00000000-0005-0000-0000-0000D14C0000}"/>
    <cellStyle name="Percent 3 2 4 3 3 2 2 2 2" xfId="20438" xr:uid="{00000000-0005-0000-0000-0000D24C0000}"/>
    <cellStyle name="Percent 3 2 4 3 3 2 2 3" xfId="9726" xr:uid="{00000000-0005-0000-0000-0000D34C0000}"/>
    <cellStyle name="Percent 3 2 4 3 3 2 2 3 2" xfId="20439" xr:uid="{00000000-0005-0000-0000-0000D44C0000}"/>
    <cellStyle name="Percent 3 2 4 3 3 2 2 4" xfId="20440" xr:uid="{00000000-0005-0000-0000-0000D54C0000}"/>
    <cellStyle name="Percent 3 2 4 3 3 2 3" xfId="9727" xr:uid="{00000000-0005-0000-0000-0000D64C0000}"/>
    <cellStyle name="Percent 3 2 4 3 3 2 3 2" xfId="9728" xr:uid="{00000000-0005-0000-0000-0000D74C0000}"/>
    <cellStyle name="Percent 3 2 4 3 3 2 3 2 2" xfId="20441" xr:uid="{00000000-0005-0000-0000-0000D84C0000}"/>
    <cellStyle name="Percent 3 2 4 3 3 2 3 3" xfId="9729" xr:uid="{00000000-0005-0000-0000-0000D94C0000}"/>
    <cellStyle name="Percent 3 2 4 3 3 2 3 3 2" xfId="20442" xr:uid="{00000000-0005-0000-0000-0000DA4C0000}"/>
    <cellStyle name="Percent 3 2 4 3 3 2 3 4" xfId="20443" xr:uid="{00000000-0005-0000-0000-0000DB4C0000}"/>
    <cellStyle name="Percent 3 2 4 3 3 2 4" xfId="9730" xr:uid="{00000000-0005-0000-0000-0000DC4C0000}"/>
    <cellStyle name="Percent 3 2 4 3 3 2 4 2" xfId="20444" xr:uid="{00000000-0005-0000-0000-0000DD4C0000}"/>
    <cellStyle name="Percent 3 2 4 3 3 2 5" xfId="9731" xr:uid="{00000000-0005-0000-0000-0000DE4C0000}"/>
    <cellStyle name="Percent 3 2 4 3 3 2 5 2" xfId="20445" xr:uid="{00000000-0005-0000-0000-0000DF4C0000}"/>
    <cellStyle name="Percent 3 2 4 3 3 2 6" xfId="20446" xr:uid="{00000000-0005-0000-0000-0000E04C0000}"/>
    <cellStyle name="Percent 3 2 4 3 3 3" xfId="9732" xr:uid="{00000000-0005-0000-0000-0000E14C0000}"/>
    <cellStyle name="Percent 3 2 4 3 3 3 2" xfId="9733" xr:uid="{00000000-0005-0000-0000-0000E24C0000}"/>
    <cellStyle name="Percent 3 2 4 3 3 3 2 2" xfId="20447" xr:uid="{00000000-0005-0000-0000-0000E34C0000}"/>
    <cellStyle name="Percent 3 2 4 3 3 3 3" xfId="9734" xr:uid="{00000000-0005-0000-0000-0000E44C0000}"/>
    <cellStyle name="Percent 3 2 4 3 3 3 3 2" xfId="20448" xr:uid="{00000000-0005-0000-0000-0000E54C0000}"/>
    <cellStyle name="Percent 3 2 4 3 3 3 4" xfId="20449" xr:uid="{00000000-0005-0000-0000-0000E64C0000}"/>
    <cellStyle name="Percent 3 2 4 3 3 4" xfId="9735" xr:uid="{00000000-0005-0000-0000-0000E74C0000}"/>
    <cellStyle name="Percent 3 2 4 3 3 4 2" xfId="9736" xr:uid="{00000000-0005-0000-0000-0000E84C0000}"/>
    <cellStyle name="Percent 3 2 4 3 3 4 2 2" xfId="20450" xr:uid="{00000000-0005-0000-0000-0000E94C0000}"/>
    <cellStyle name="Percent 3 2 4 3 3 4 3" xfId="9737" xr:uid="{00000000-0005-0000-0000-0000EA4C0000}"/>
    <cellStyle name="Percent 3 2 4 3 3 4 3 2" xfId="20451" xr:uid="{00000000-0005-0000-0000-0000EB4C0000}"/>
    <cellStyle name="Percent 3 2 4 3 3 4 4" xfId="20452" xr:uid="{00000000-0005-0000-0000-0000EC4C0000}"/>
    <cellStyle name="Percent 3 2 4 3 3 5" xfId="9738" xr:uid="{00000000-0005-0000-0000-0000ED4C0000}"/>
    <cellStyle name="Percent 3 2 4 3 3 5 2" xfId="20453" xr:uid="{00000000-0005-0000-0000-0000EE4C0000}"/>
    <cellStyle name="Percent 3 2 4 3 3 6" xfId="9739" xr:uid="{00000000-0005-0000-0000-0000EF4C0000}"/>
    <cellStyle name="Percent 3 2 4 3 3 6 2" xfId="20454" xr:uid="{00000000-0005-0000-0000-0000F04C0000}"/>
    <cellStyle name="Percent 3 2 4 3 3 7" xfId="20455" xr:uid="{00000000-0005-0000-0000-0000F14C0000}"/>
    <cellStyle name="Percent 3 2 4 3 4" xfId="9740" xr:uid="{00000000-0005-0000-0000-0000F24C0000}"/>
    <cellStyle name="Percent 3 2 4 3 4 2" xfId="9741" xr:uid="{00000000-0005-0000-0000-0000F34C0000}"/>
    <cellStyle name="Percent 3 2 4 3 4 2 2" xfId="9742" xr:uid="{00000000-0005-0000-0000-0000F44C0000}"/>
    <cellStyle name="Percent 3 2 4 3 4 2 2 2" xfId="20456" xr:uid="{00000000-0005-0000-0000-0000F54C0000}"/>
    <cellStyle name="Percent 3 2 4 3 4 2 3" xfId="9743" xr:uid="{00000000-0005-0000-0000-0000F64C0000}"/>
    <cellStyle name="Percent 3 2 4 3 4 2 3 2" xfId="20457" xr:uid="{00000000-0005-0000-0000-0000F74C0000}"/>
    <cellStyle name="Percent 3 2 4 3 4 2 4" xfId="20458" xr:uid="{00000000-0005-0000-0000-0000F84C0000}"/>
    <cellStyle name="Percent 3 2 4 3 4 3" xfId="9744" xr:uid="{00000000-0005-0000-0000-0000F94C0000}"/>
    <cellStyle name="Percent 3 2 4 3 4 3 2" xfId="9745" xr:uid="{00000000-0005-0000-0000-0000FA4C0000}"/>
    <cellStyle name="Percent 3 2 4 3 4 3 2 2" xfId="20459" xr:uid="{00000000-0005-0000-0000-0000FB4C0000}"/>
    <cellStyle name="Percent 3 2 4 3 4 3 3" xfId="9746" xr:uid="{00000000-0005-0000-0000-0000FC4C0000}"/>
    <cellStyle name="Percent 3 2 4 3 4 3 3 2" xfId="20460" xr:uid="{00000000-0005-0000-0000-0000FD4C0000}"/>
    <cellStyle name="Percent 3 2 4 3 4 3 4" xfId="20461" xr:uid="{00000000-0005-0000-0000-0000FE4C0000}"/>
    <cellStyle name="Percent 3 2 4 3 4 4" xfId="9747" xr:uid="{00000000-0005-0000-0000-0000FF4C0000}"/>
    <cellStyle name="Percent 3 2 4 3 4 4 2" xfId="20462" xr:uid="{00000000-0005-0000-0000-0000004D0000}"/>
    <cellStyle name="Percent 3 2 4 3 4 5" xfId="9748" xr:uid="{00000000-0005-0000-0000-0000014D0000}"/>
    <cellStyle name="Percent 3 2 4 3 4 5 2" xfId="20463" xr:uid="{00000000-0005-0000-0000-0000024D0000}"/>
    <cellStyle name="Percent 3 2 4 3 4 6" xfId="20464" xr:uid="{00000000-0005-0000-0000-0000034D0000}"/>
    <cellStyle name="Percent 3 2 4 3 5" xfId="9749" xr:uid="{00000000-0005-0000-0000-0000044D0000}"/>
    <cellStyle name="Percent 3 2 4 3 5 2" xfId="9750" xr:uid="{00000000-0005-0000-0000-0000054D0000}"/>
    <cellStyle name="Percent 3 2 4 3 5 2 2" xfId="9751" xr:uid="{00000000-0005-0000-0000-0000064D0000}"/>
    <cellStyle name="Percent 3 2 4 3 5 2 2 2" xfId="20465" xr:uid="{00000000-0005-0000-0000-0000074D0000}"/>
    <cellStyle name="Percent 3 2 4 3 5 2 3" xfId="9752" xr:uid="{00000000-0005-0000-0000-0000084D0000}"/>
    <cellStyle name="Percent 3 2 4 3 5 2 3 2" xfId="20466" xr:uid="{00000000-0005-0000-0000-0000094D0000}"/>
    <cellStyle name="Percent 3 2 4 3 5 2 4" xfId="20467" xr:uid="{00000000-0005-0000-0000-00000A4D0000}"/>
    <cellStyle name="Percent 3 2 4 3 5 3" xfId="9753" xr:uid="{00000000-0005-0000-0000-00000B4D0000}"/>
    <cellStyle name="Percent 3 2 4 3 5 3 2" xfId="9754" xr:uid="{00000000-0005-0000-0000-00000C4D0000}"/>
    <cellStyle name="Percent 3 2 4 3 5 3 2 2" xfId="20468" xr:uid="{00000000-0005-0000-0000-00000D4D0000}"/>
    <cellStyle name="Percent 3 2 4 3 5 3 3" xfId="9755" xr:uid="{00000000-0005-0000-0000-00000E4D0000}"/>
    <cellStyle name="Percent 3 2 4 3 5 3 3 2" xfId="20469" xr:uid="{00000000-0005-0000-0000-00000F4D0000}"/>
    <cellStyle name="Percent 3 2 4 3 5 3 4" xfId="20470" xr:uid="{00000000-0005-0000-0000-0000104D0000}"/>
    <cellStyle name="Percent 3 2 4 3 5 4" xfId="9756" xr:uid="{00000000-0005-0000-0000-0000114D0000}"/>
    <cellStyle name="Percent 3 2 4 3 5 4 2" xfId="20471" xr:uid="{00000000-0005-0000-0000-0000124D0000}"/>
    <cellStyle name="Percent 3 2 4 3 5 5" xfId="9757" xr:uid="{00000000-0005-0000-0000-0000134D0000}"/>
    <cellStyle name="Percent 3 2 4 3 5 5 2" xfId="20472" xr:uid="{00000000-0005-0000-0000-0000144D0000}"/>
    <cellStyle name="Percent 3 2 4 3 5 6" xfId="20473" xr:uid="{00000000-0005-0000-0000-0000154D0000}"/>
    <cellStyle name="Percent 3 2 4 3 6" xfId="9758" xr:uid="{00000000-0005-0000-0000-0000164D0000}"/>
    <cellStyle name="Percent 3 2 4 3 6 2" xfId="9759" xr:uid="{00000000-0005-0000-0000-0000174D0000}"/>
    <cellStyle name="Percent 3 2 4 3 6 2 2" xfId="20474" xr:uid="{00000000-0005-0000-0000-0000184D0000}"/>
    <cellStyle name="Percent 3 2 4 3 6 3" xfId="9760" xr:uid="{00000000-0005-0000-0000-0000194D0000}"/>
    <cellStyle name="Percent 3 2 4 3 6 3 2" xfId="20475" xr:uid="{00000000-0005-0000-0000-00001A4D0000}"/>
    <cellStyle name="Percent 3 2 4 3 6 4" xfId="20476" xr:uid="{00000000-0005-0000-0000-00001B4D0000}"/>
    <cellStyle name="Percent 3 2 4 3 7" xfId="9761" xr:uid="{00000000-0005-0000-0000-00001C4D0000}"/>
    <cellStyle name="Percent 3 2 4 3 7 2" xfId="9762" xr:uid="{00000000-0005-0000-0000-00001D4D0000}"/>
    <cellStyle name="Percent 3 2 4 3 7 2 2" xfId="20477" xr:uid="{00000000-0005-0000-0000-00001E4D0000}"/>
    <cellStyle name="Percent 3 2 4 3 7 3" xfId="9763" xr:uid="{00000000-0005-0000-0000-00001F4D0000}"/>
    <cellStyle name="Percent 3 2 4 3 7 3 2" xfId="20478" xr:uid="{00000000-0005-0000-0000-0000204D0000}"/>
    <cellStyle name="Percent 3 2 4 3 7 4" xfId="20479" xr:uid="{00000000-0005-0000-0000-0000214D0000}"/>
    <cellStyle name="Percent 3 2 4 3 8" xfId="9764" xr:uid="{00000000-0005-0000-0000-0000224D0000}"/>
    <cellStyle name="Percent 3 2 4 3 8 2" xfId="20480" xr:uid="{00000000-0005-0000-0000-0000234D0000}"/>
    <cellStyle name="Percent 3 2 4 3 9" xfId="9765" xr:uid="{00000000-0005-0000-0000-0000244D0000}"/>
    <cellStyle name="Percent 3 2 4 3 9 2" xfId="20481" xr:uid="{00000000-0005-0000-0000-0000254D0000}"/>
    <cellStyle name="Percent 3 2 4 4" xfId="9766" xr:uid="{00000000-0005-0000-0000-0000264D0000}"/>
    <cellStyle name="Percent 3 2 4 4 2" xfId="9767" xr:uid="{00000000-0005-0000-0000-0000274D0000}"/>
    <cellStyle name="Percent 3 2 4 4 2 2" xfId="9768" xr:uid="{00000000-0005-0000-0000-0000284D0000}"/>
    <cellStyle name="Percent 3 2 4 4 2 2 2" xfId="9769" xr:uid="{00000000-0005-0000-0000-0000294D0000}"/>
    <cellStyle name="Percent 3 2 4 4 2 2 2 2" xfId="20482" xr:uid="{00000000-0005-0000-0000-00002A4D0000}"/>
    <cellStyle name="Percent 3 2 4 4 2 2 3" xfId="9770" xr:uid="{00000000-0005-0000-0000-00002B4D0000}"/>
    <cellStyle name="Percent 3 2 4 4 2 2 3 2" xfId="20483" xr:uid="{00000000-0005-0000-0000-00002C4D0000}"/>
    <cellStyle name="Percent 3 2 4 4 2 2 4" xfId="20484" xr:uid="{00000000-0005-0000-0000-00002D4D0000}"/>
    <cellStyle name="Percent 3 2 4 4 2 3" xfId="9771" xr:uid="{00000000-0005-0000-0000-00002E4D0000}"/>
    <cellStyle name="Percent 3 2 4 4 2 3 2" xfId="9772" xr:uid="{00000000-0005-0000-0000-00002F4D0000}"/>
    <cellStyle name="Percent 3 2 4 4 2 3 2 2" xfId="20485" xr:uid="{00000000-0005-0000-0000-0000304D0000}"/>
    <cellStyle name="Percent 3 2 4 4 2 3 3" xfId="9773" xr:uid="{00000000-0005-0000-0000-0000314D0000}"/>
    <cellStyle name="Percent 3 2 4 4 2 3 3 2" xfId="20486" xr:uid="{00000000-0005-0000-0000-0000324D0000}"/>
    <cellStyle name="Percent 3 2 4 4 2 3 4" xfId="20487" xr:uid="{00000000-0005-0000-0000-0000334D0000}"/>
    <cellStyle name="Percent 3 2 4 4 2 4" xfId="9774" xr:uid="{00000000-0005-0000-0000-0000344D0000}"/>
    <cellStyle name="Percent 3 2 4 4 2 4 2" xfId="20488" xr:uid="{00000000-0005-0000-0000-0000354D0000}"/>
    <cellStyle name="Percent 3 2 4 4 2 5" xfId="9775" xr:uid="{00000000-0005-0000-0000-0000364D0000}"/>
    <cellStyle name="Percent 3 2 4 4 2 5 2" xfId="20489" xr:uid="{00000000-0005-0000-0000-0000374D0000}"/>
    <cellStyle name="Percent 3 2 4 4 2 6" xfId="20490" xr:uid="{00000000-0005-0000-0000-0000384D0000}"/>
    <cellStyle name="Percent 3 2 4 4 3" xfId="9776" xr:uid="{00000000-0005-0000-0000-0000394D0000}"/>
    <cellStyle name="Percent 3 2 4 4 3 2" xfId="9777" xr:uid="{00000000-0005-0000-0000-00003A4D0000}"/>
    <cellStyle name="Percent 3 2 4 4 3 2 2" xfId="9778" xr:uid="{00000000-0005-0000-0000-00003B4D0000}"/>
    <cellStyle name="Percent 3 2 4 4 3 2 2 2" xfId="20491" xr:uid="{00000000-0005-0000-0000-00003C4D0000}"/>
    <cellStyle name="Percent 3 2 4 4 3 2 3" xfId="9779" xr:uid="{00000000-0005-0000-0000-00003D4D0000}"/>
    <cellStyle name="Percent 3 2 4 4 3 2 3 2" xfId="20492" xr:uid="{00000000-0005-0000-0000-00003E4D0000}"/>
    <cellStyle name="Percent 3 2 4 4 3 2 4" xfId="20493" xr:uid="{00000000-0005-0000-0000-00003F4D0000}"/>
    <cellStyle name="Percent 3 2 4 4 3 3" xfId="9780" xr:uid="{00000000-0005-0000-0000-0000404D0000}"/>
    <cellStyle name="Percent 3 2 4 4 3 3 2" xfId="9781" xr:uid="{00000000-0005-0000-0000-0000414D0000}"/>
    <cellStyle name="Percent 3 2 4 4 3 3 2 2" xfId="20494" xr:uid="{00000000-0005-0000-0000-0000424D0000}"/>
    <cellStyle name="Percent 3 2 4 4 3 3 3" xfId="9782" xr:uid="{00000000-0005-0000-0000-0000434D0000}"/>
    <cellStyle name="Percent 3 2 4 4 3 3 3 2" xfId="20495" xr:uid="{00000000-0005-0000-0000-0000444D0000}"/>
    <cellStyle name="Percent 3 2 4 4 3 3 4" xfId="20496" xr:uid="{00000000-0005-0000-0000-0000454D0000}"/>
    <cellStyle name="Percent 3 2 4 4 3 4" xfId="9783" xr:uid="{00000000-0005-0000-0000-0000464D0000}"/>
    <cellStyle name="Percent 3 2 4 4 3 4 2" xfId="20497" xr:uid="{00000000-0005-0000-0000-0000474D0000}"/>
    <cellStyle name="Percent 3 2 4 4 3 5" xfId="9784" xr:uid="{00000000-0005-0000-0000-0000484D0000}"/>
    <cellStyle name="Percent 3 2 4 4 3 5 2" xfId="20498" xr:uid="{00000000-0005-0000-0000-0000494D0000}"/>
    <cellStyle name="Percent 3 2 4 4 3 6" xfId="20499" xr:uid="{00000000-0005-0000-0000-00004A4D0000}"/>
    <cellStyle name="Percent 3 2 4 4 4" xfId="9785" xr:uid="{00000000-0005-0000-0000-00004B4D0000}"/>
    <cellStyle name="Percent 3 2 4 4 4 2" xfId="9786" xr:uid="{00000000-0005-0000-0000-00004C4D0000}"/>
    <cellStyle name="Percent 3 2 4 4 4 2 2" xfId="20500" xr:uid="{00000000-0005-0000-0000-00004D4D0000}"/>
    <cellStyle name="Percent 3 2 4 4 4 3" xfId="9787" xr:uid="{00000000-0005-0000-0000-00004E4D0000}"/>
    <cellStyle name="Percent 3 2 4 4 4 3 2" xfId="20501" xr:uid="{00000000-0005-0000-0000-00004F4D0000}"/>
    <cellStyle name="Percent 3 2 4 4 4 4" xfId="20502" xr:uid="{00000000-0005-0000-0000-0000504D0000}"/>
    <cellStyle name="Percent 3 2 4 4 5" xfId="9788" xr:uid="{00000000-0005-0000-0000-0000514D0000}"/>
    <cellStyle name="Percent 3 2 4 4 5 2" xfId="9789" xr:uid="{00000000-0005-0000-0000-0000524D0000}"/>
    <cellStyle name="Percent 3 2 4 4 5 2 2" xfId="20503" xr:uid="{00000000-0005-0000-0000-0000534D0000}"/>
    <cellStyle name="Percent 3 2 4 4 5 3" xfId="9790" xr:uid="{00000000-0005-0000-0000-0000544D0000}"/>
    <cellStyle name="Percent 3 2 4 4 5 3 2" xfId="20504" xr:uid="{00000000-0005-0000-0000-0000554D0000}"/>
    <cellStyle name="Percent 3 2 4 4 5 4" xfId="20505" xr:uid="{00000000-0005-0000-0000-0000564D0000}"/>
    <cellStyle name="Percent 3 2 4 4 6" xfId="9791" xr:uid="{00000000-0005-0000-0000-0000574D0000}"/>
    <cellStyle name="Percent 3 2 4 4 6 2" xfId="20506" xr:uid="{00000000-0005-0000-0000-0000584D0000}"/>
    <cellStyle name="Percent 3 2 4 4 7" xfId="9792" xr:uid="{00000000-0005-0000-0000-0000594D0000}"/>
    <cellStyle name="Percent 3 2 4 4 7 2" xfId="20507" xr:uid="{00000000-0005-0000-0000-00005A4D0000}"/>
    <cellStyle name="Percent 3 2 4 4 8" xfId="20508" xr:uid="{00000000-0005-0000-0000-00005B4D0000}"/>
    <cellStyle name="Percent 3 2 4 5" xfId="9793" xr:uid="{00000000-0005-0000-0000-00005C4D0000}"/>
    <cellStyle name="Percent 3 2 4 5 2" xfId="9794" xr:uid="{00000000-0005-0000-0000-00005D4D0000}"/>
    <cellStyle name="Percent 3 2 4 5 2 2" xfId="9795" xr:uid="{00000000-0005-0000-0000-00005E4D0000}"/>
    <cellStyle name="Percent 3 2 4 5 2 2 2" xfId="9796" xr:uid="{00000000-0005-0000-0000-00005F4D0000}"/>
    <cellStyle name="Percent 3 2 4 5 2 2 2 2" xfId="20509" xr:uid="{00000000-0005-0000-0000-0000604D0000}"/>
    <cellStyle name="Percent 3 2 4 5 2 2 3" xfId="9797" xr:uid="{00000000-0005-0000-0000-0000614D0000}"/>
    <cellStyle name="Percent 3 2 4 5 2 2 3 2" xfId="20510" xr:uid="{00000000-0005-0000-0000-0000624D0000}"/>
    <cellStyle name="Percent 3 2 4 5 2 2 4" xfId="20511" xr:uid="{00000000-0005-0000-0000-0000634D0000}"/>
    <cellStyle name="Percent 3 2 4 5 2 3" xfId="9798" xr:uid="{00000000-0005-0000-0000-0000644D0000}"/>
    <cellStyle name="Percent 3 2 4 5 2 3 2" xfId="9799" xr:uid="{00000000-0005-0000-0000-0000654D0000}"/>
    <cellStyle name="Percent 3 2 4 5 2 3 2 2" xfId="20512" xr:uid="{00000000-0005-0000-0000-0000664D0000}"/>
    <cellStyle name="Percent 3 2 4 5 2 3 3" xfId="9800" xr:uid="{00000000-0005-0000-0000-0000674D0000}"/>
    <cellStyle name="Percent 3 2 4 5 2 3 3 2" xfId="20513" xr:uid="{00000000-0005-0000-0000-0000684D0000}"/>
    <cellStyle name="Percent 3 2 4 5 2 3 4" xfId="20514" xr:uid="{00000000-0005-0000-0000-0000694D0000}"/>
    <cellStyle name="Percent 3 2 4 5 2 4" xfId="9801" xr:uid="{00000000-0005-0000-0000-00006A4D0000}"/>
    <cellStyle name="Percent 3 2 4 5 2 4 2" xfId="20515" xr:uid="{00000000-0005-0000-0000-00006B4D0000}"/>
    <cellStyle name="Percent 3 2 4 5 2 5" xfId="9802" xr:uid="{00000000-0005-0000-0000-00006C4D0000}"/>
    <cellStyle name="Percent 3 2 4 5 2 5 2" xfId="20516" xr:uid="{00000000-0005-0000-0000-00006D4D0000}"/>
    <cellStyle name="Percent 3 2 4 5 2 6" xfId="20517" xr:uid="{00000000-0005-0000-0000-00006E4D0000}"/>
    <cellStyle name="Percent 3 2 4 5 3" xfId="9803" xr:uid="{00000000-0005-0000-0000-00006F4D0000}"/>
    <cellStyle name="Percent 3 2 4 5 3 2" xfId="9804" xr:uid="{00000000-0005-0000-0000-0000704D0000}"/>
    <cellStyle name="Percent 3 2 4 5 3 2 2" xfId="20518" xr:uid="{00000000-0005-0000-0000-0000714D0000}"/>
    <cellStyle name="Percent 3 2 4 5 3 3" xfId="9805" xr:uid="{00000000-0005-0000-0000-0000724D0000}"/>
    <cellStyle name="Percent 3 2 4 5 3 3 2" xfId="20519" xr:uid="{00000000-0005-0000-0000-0000734D0000}"/>
    <cellStyle name="Percent 3 2 4 5 3 4" xfId="20520" xr:uid="{00000000-0005-0000-0000-0000744D0000}"/>
    <cellStyle name="Percent 3 2 4 5 4" xfId="9806" xr:uid="{00000000-0005-0000-0000-0000754D0000}"/>
    <cellStyle name="Percent 3 2 4 5 4 2" xfId="9807" xr:uid="{00000000-0005-0000-0000-0000764D0000}"/>
    <cellStyle name="Percent 3 2 4 5 4 2 2" xfId="20521" xr:uid="{00000000-0005-0000-0000-0000774D0000}"/>
    <cellStyle name="Percent 3 2 4 5 4 3" xfId="9808" xr:uid="{00000000-0005-0000-0000-0000784D0000}"/>
    <cellStyle name="Percent 3 2 4 5 4 3 2" xfId="20522" xr:uid="{00000000-0005-0000-0000-0000794D0000}"/>
    <cellStyle name="Percent 3 2 4 5 4 4" xfId="20523" xr:uid="{00000000-0005-0000-0000-00007A4D0000}"/>
    <cellStyle name="Percent 3 2 4 5 5" xfId="9809" xr:uid="{00000000-0005-0000-0000-00007B4D0000}"/>
    <cellStyle name="Percent 3 2 4 5 5 2" xfId="20524" xr:uid="{00000000-0005-0000-0000-00007C4D0000}"/>
    <cellStyle name="Percent 3 2 4 5 6" xfId="9810" xr:uid="{00000000-0005-0000-0000-00007D4D0000}"/>
    <cellStyle name="Percent 3 2 4 5 6 2" xfId="20525" xr:uid="{00000000-0005-0000-0000-00007E4D0000}"/>
    <cellStyle name="Percent 3 2 4 5 7" xfId="20526" xr:uid="{00000000-0005-0000-0000-00007F4D0000}"/>
    <cellStyle name="Percent 3 2 4 6" xfId="9811" xr:uid="{00000000-0005-0000-0000-0000804D0000}"/>
    <cellStyle name="Percent 3 2 4 6 2" xfId="9812" xr:uid="{00000000-0005-0000-0000-0000814D0000}"/>
    <cellStyle name="Percent 3 2 4 6 2 2" xfId="9813" xr:uid="{00000000-0005-0000-0000-0000824D0000}"/>
    <cellStyle name="Percent 3 2 4 6 2 2 2" xfId="20527" xr:uid="{00000000-0005-0000-0000-0000834D0000}"/>
    <cellStyle name="Percent 3 2 4 6 2 3" xfId="9814" xr:uid="{00000000-0005-0000-0000-0000844D0000}"/>
    <cellStyle name="Percent 3 2 4 6 2 3 2" xfId="20528" xr:uid="{00000000-0005-0000-0000-0000854D0000}"/>
    <cellStyle name="Percent 3 2 4 6 2 4" xfId="20529" xr:uid="{00000000-0005-0000-0000-0000864D0000}"/>
    <cellStyle name="Percent 3 2 4 6 3" xfId="9815" xr:uid="{00000000-0005-0000-0000-0000874D0000}"/>
    <cellStyle name="Percent 3 2 4 6 3 2" xfId="9816" xr:uid="{00000000-0005-0000-0000-0000884D0000}"/>
    <cellStyle name="Percent 3 2 4 6 3 2 2" xfId="20530" xr:uid="{00000000-0005-0000-0000-0000894D0000}"/>
    <cellStyle name="Percent 3 2 4 6 3 3" xfId="9817" xr:uid="{00000000-0005-0000-0000-00008A4D0000}"/>
    <cellStyle name="Percent 3 2 4 6 3 3 2" xfId="20531" xr:uid="{00000000-0005-0000-0000-00008B4D0000}"/>
    <cellStyle name="Percent 3 2 4 6 3 4" xfId="20532" xr:uid="{00000000-0005-0000-0000-00008C4D0000}"/>
    <cellStyle name="Percent 3 2 4 6 4" xfId="9818" xr:uid="{00000000-0005-0000-0000-00008D4D0000}"/>
    <cellStyle name="Percent 3 2 4 6 4 2" xfId="20533" xr:uid="{00000000-0005-0000-0000-00008E4D0000}"/>
    <cellStyle name="Percent 3 2 4 6 5" xfId="9819" xr:uid="{00000000-0005-0000-0000-00008F4D0000}"/>
    <cellStyle name="Percent 3 2 4 6 5 2" xfId="20534" xr:uid="{00000000-0005-0000-0000-0000904D0000}"/>
    <cellStyle name="Percent 3 2 4 6 6" xfId="20535" xr:uid="{00000000-0005-0000-0000-0000914D0000}"/>
    <cellStyle name="Percent 3 2 4 7" xfId="9820" xr:uid="{00000000-0005-0000-0000-0000924D0000}"/>
    <cellStyle name="Percent 3 2 4 7 2" xfId="9821" xr:uid="{00000000-0005-0000-0000-0000934D0000}"/>
    <cellStyle name="Percent 3 2 4 7 2 2" xfId="9822" xr:uid="{00000000-0005-0000-0000-0000944D0000}"/>
    <cellStyle name="Percent 3 2 4 7 2 2 2" xfId="20536" xr:uid="{00000000-0005-0000-0000-0000954D0000}"/>
    <cellStyle name="Percent 3 2 4 7 2 3" xfId="9823" xr:uid="{00000000-0005-0000-0000-0000964D0000}"/>
    <cellStyle name="Percent 3 2 4 7 2 3 2" xfId="20537" xr:uid="{00000000-0005-0000-0000-0000974D0000}"/>
    <cellStyle name="Percent 3 2 4 7 2 4" xfId="20538" xr:uid="{00000000-0005-0000-0000-0000984D0000}"/>
    <cellStyle name="Percent 3 2 4 7 3" xfId="9824" xr:uid="{00000000-0005-0000-0000-0000994D0000}"/>
    <cellStyle name="Percent 3 2 4 7 3 2" xfId="9825" xr:uid="{00000000-0005-0000-0000-00009A4D0000}"/>
    <cellStyle name="Percent 3 2 4 7 3 2 2" xfId="20539" xr:uid="{00000000-0005-0000-0000-00009B4D0000}"/>
    <cellStyle name="Percent 3 2 4 7 3 3" xfId="9826" xr:uid="{00000000-0005-0000-0000-00009C4D0000}"/>
    <cellStyle name="Percent 3 2 4 7 3 3 2" xfId="20540" xr:uid="{00000000-0005-0000-0000-00009D4D0000}"/>
    <cellStyle name="Percent 3 2 4 7 3 4" xfId="20541" xr:uid="{00000000-0005-0000-0000-00009E4D0000}"/>
    <cellStyle name="Percent 3 2 4 7 4" xfId="9827" xr:uid="{00000000-0005-0000-0000-00009F4D0000}"/>
    <cellStyle name="Percent 3 2 4 7 4 2" xfId="20542" xr:uid="{00000000-0005-0000-0000-0000A04D0000}"/>
    <cellStyle name="Percent 3 2 4 7 5" xfId="9828" xr:uid="{00000000-0005-0000-0000-0000A14D0000}"/>
    <cellStyle name="Percent 3 2 4 7 5 2" xfId="20543" xr:uid="{00000000-0005-0000-0000-0000A24D0000}"/>
    <cellStyle name="Percent 3 2 4 7 6" xfId="20544" xr:uid="{00000000-0005-0000-0000-0000A34D0000}"/>
    <cellStyle name="Percent 3 2 4 8" xfId="9829" xr:uid="{00000000-0005-0000-0000-0000A44D0000}"/>
    <cellStyle name="Percent 3 2 4 8 2" xfId="9830" xr:uid="{00000000-0005-0000-0000-0000A54D0000}"/>
    <cellStyle name="Percent 3 2 4 8 2 2" xfId="20545" xr:uid="{00000000-0005-0000-0000-0000A64D0000}"/>
    <cellStyle name="Percent 3 2 4 8 3" xfId="9831" xr:uid="{00000000-0005-0000-0000-0000A74D0000}"/>
    <cellStyle name="Percent 3 2 4 8 3 2" xfId="20546" xr:uid="{00000000-0005-0000-0000-0000A84D0000}"/>
    <cellStyle name="Percent 3 2 4 8 4" xfId="20547" xr:uid="{00000000-0005-0000-0000-0000A94D0000}"/>
    <cellStyle name="Percent 3 2 4 9" xfId="9832" xr:uid="{00000000-0005-0000-0000-0000AA4D0000}"/>
    <cellStyle name="Percent 3 2 4 9 2" xfId="9833" xr:uid="{00000000-0005-0000-0000-0000AB4D0000}"/>
    <cellStyle name="Percent 3 2 4 9 2 2" xfId="20548" xr:uid="{00000000-0005-0000-0000-0000AC4D0000}"/>
    <cellStyle name="Percent 3 2 4 9 3" xfId="9834" xr:uid="{00000000-0005-0000-0000-0000AD4D0000}"/>
    <cellStyle name="Percent 3 2 4 9 3 2" xfId="20549" xr:uid="{00000000-0005-0000-0000-0000AE4D0000}"/>
    <cellStyle name="Percent 3 2 4 9 4" xfId="20550" xr:uid="{00000000-0005-0000-0000-0000AF4D0000}"/>
    <cellStyle name="Percent 3 2 5" xfId="9835" xr:uid="{00000000-0005-0000-0000-0000B04D0000}"/>
    <cellStyle name="Percent 3 2 5 10" xfId="9836" xr:uid="{00000000-0005-0000-0000-0000B14D0000}"/>
    <cellStyle name="Percent 3 2 5 10 2" xfId="20551" xr:uid="{00000000-0005-0000-0000-0000B24D0000}"/>
    <cellStyle name="Percent 3 2 5 11" xfId="20552" xr:uid="{00000000-0005-0000-0000-0000B34D0000}"/>
    <cellStyle name="Percent 3 2 5 2" xfId="9837" xr:uid="{00000000-0005-0000-0000-0000B44D0000}"/>
    <cellStyle name="Percent 3 2 5 2 10" xfId="20553" xr:uid="{00000000-0005-0000-0000-0000B54D0000}"/>
    <cellStyle name="Percent 3 2 5 2 2" xfId="9838" xr:uid="{00000000-0005-0000-0000-0000B64D0000}"/>
    <cellStyle name="Percent 3 2 5 2 2 2" xfId="9839" xr:uid="{00000000-0005-0000-0000-0000B74D0000}"/>
    <cellStyle name="Percent 3 2 5 2 2 2 2" xfId="9840" xr:uid="{00000000-0005-0000-0000-0000B84D0000}"/>
    <cellStyle name="Percent 3 2 5 2 2 2 2 2" xfId="9841" xr:uid="{00000000-0005-0000-0000-0000B94D0000}"/>
    <cellStyle name="Percent 3 2 5 2 2 2 2 2 2" xfId="20554" xr:uid="{00000000-0005-0000-0000-0000BA4D0000}"/>
    <cellStyle name="Percent 3 2 5 2 2 2 2 3" xfId="9842" xr:uid="{00000000-0005-0000-0000-0000BB4D0000}"/>
    <cellStyle name="Percent 3 2 5 2 2 2 2 3 2" xfId="20555" xr:uid="{00000000-0005-0000-0000-0000BC4D0000}"/>
    <cellStyle name="Percent 3 2 5 2 2 2 2 4" xfId="20556" xr:uid="{00000000-0005-0000-0000-0000BD4D0000}"/>
    <cellStyle name="Percent 3 2 5 2 2 2 3" xfId="9843" xr:uid="{00000000-0005-0000-0000-0000BE4D0000}"/>
    <cellStyle name="Percent 3 2 5 2 2 2 3 2" xfId="9844" xr:uid="{00000000-0005-0000-0000-0000BF4D0000}"/>
    <cellStyle name="Percent 3 2 5 2 2 2 3 2 2" xfId="20557" xr:uid="{00000000-0005-0000-0000-0000C04D0000}"/>
    <cellStyle name="Percent 3 2 5 2 2 2 3 3" xfId="9845" xr:uid="{00000000-0005-0000-0000-0000C14D0000}"/>
    <cellStyle name="Percent 3 2 5 2 2 2 3 3 2" xfId="20558" xr:uid="{00000000-0005-0000-0000-0000C24D0000}"/>
    <cellStyle name="Percent 3 2 5 2 2 2 3 4" xfId="20559" xr:uid="{00000000-0005-0000-0000-0000C34D0000}"/>
    <cellStyle name="Percent 3 2 5 2 2 2 4" xfId="9846" xr:uid="{00000000-0005-0000-0000-0000C44D0000}"/>
    <cellStyle name="Percent 3 2 5 2 2 2 4 2" xfId="20560" xr:uid="{00000000-0005-0000-0000-0000C54D0000}"/>
    <cellStyle name="Percent 3 2 5 2 2 2 5" xfId="9847" xr:uid="{00000000-0005-0000-0000-0000C64D0000}"/>
    <cellStyle name="Percent 3 2 5 2 2 2 5 2" xfId="20561" xr:uid="{00000000-0005-0000-0000-0000C74D0000}"/>
    <cellStyle name="Percent 3 2 5 2 2 2 6" xfId="20562" xr:uid="{00000000-0005-0000-0000-0000C84D0000}"/>
    <cellStyle name="Percent 3 2 5 2 2 3" xfId="9848" xr:uid="{00000000-0005-0000-0000-0000C94D0000}"/>
    <cellStyle name="Percent 3 2 5 2 2 3 2" xfId="9849" xr:uid="{00000000-0005-0000-0000-0000CA4D0000}"/>
    <cellStyle name="Percent 3 2 5 2 2 3 2 2" xfId="9850" xr:uid="{00000000-0005-0000-0000-0000CB4D0000}"/>
    <cellStyle name="Percent 3 2 5 2 2 3 2 2 2" xfId="20563" xr:uid="{00000000-0005-0000-0000-0000CC4D0000}"/>
    <cellStyle name="Percent 3 2 5 2 2 3 2 3" xfId="9851" xr:uid="{00000000-0005-0000-0000-0000CD4D0000}"/>
    <cellStyle name="Percent 3 2 5 2 2 3 2 3 2" xfId="20564" xr:uid="{00000000-0005-0000-0000-0000CE4D0000}"/>
    <cellStyle name="Percent 3 2 5 2 2 3 2 4" xfId="20565" xr:uid="{00000000-0005-0000-0000-0000CF4D0000}"/>
    <cellStyle name="Percent 3 2 5 2 2 3 3" xfId="9852" xr:uid="{00000000-0005-0000-0000-0000D04D0000}"/>
    <cellStyle name="Percent 3 2 5 2 2 3 3 2" xfId="9853" xr:uid="{00000000-0005-0000-0000-0000D14D0000}"/>
    <cellStyle name="Percent 3 2 5 2 2 3 3 2 2" xfId="20566" xr:uid="{00000000-0005-0000-0000-0000D24D0000}"/>
    <cellStyle name="Percent 3 2 5 2 2 3 3 3" xfId="9854" xr:uid="{00000000-0005-0000-0000-0000D34D0000}"/>
    <cellStyle name="Percent 3 2 5 2 2 3 3 3 2" xfId="20567" xr:uid="{00000000-0005-0000-0000-0000D44D0000}"/>
    <cellStyle name="Percent 3 2 5 2 2 3 3 4" xfId="20568" xr:uid="{00000000-0005-0000-0000-0000D54D0000}"/>
    <cellStyle name="Percent 3 2 5 2 2 3 4" xfId="9855" xr:uid="{00000000-0005-0000-0000-0000D64D0000}"/>
    <cellStyle name="Percent 3 2 5 2 2 3 4 2" xfId="20569" xr:uid="{00000000-0005-0000-0000-0000D74D0000}"/>
    <cellStyle name="Percent 3 2 5 2 2 3 5" xfId="9856" xr:uid="{00000000-0005-0000-0000-0000D84D0000}"/>
    <cellStyle name="Percent 3 2 5 2 2 3 5 2" xfId="20570" xr:uid="{00000000-0005-0000-0000-0000D94D0000}"/>
    <cellStyle name="Percent 3 2 5 2 2 3 6" xfId="20571" xr:uid="{00000000-0005-0000-0000-0000DA4D0000}"/>
    <cellStyle name="Percent 3 2 5 2 2 4" xfId="9857" xr:uid="{00000000-0005-0000-0000-0000DB4D0000}"/>
    <cellStyle name="Percent 3 2 5 2 2 4 2" xfId="9858" xr:uid="{00000000-0005-0000-0000-0000DC4D0000}"/>
    <cellStyle name="Percent 3 2 5 2 2 4 2 2" xfId="20572" xr:uid="{00000000-0005-0000-0000-0000DD4D0000}"/>
    <cellStyle name="Percent 3 2 5 2 2 4 3" xfId="9859" xr:uid="{00000000-0005-0000-0000-0000DE4D0000}"/>
    <cellStyle name="Percent 3 2 5 2 2 4 3 2" xfId="20573" xr:uid="{00000000-0005-0000-0000-0000DF4D0000}"/>
    <cellStyle name="Percent 3 2 5 2 2 4 4" xfId="20574" xr:uid="{00000000-0005-0000-0000-0000E04D0000}"/>
    <cellStyle name="Percent 3 2 5 2 2 5" xfId="9860" xr:uid="{00000000-0005-0000-0000-0000E14D0000}"/>
    <cellStyle name="Percent 3 2 5 2 2 5 2" xfId="9861" xr:uid="{00000000-0005-0000-0000-0000E24D0000}"/>
    <cellStyle name="Percent 3 2 5 2 2 5 2 2" xfId="20575" xr:uid="{00000000-0005-0000-0000-0000E34D0000}"/>
    <cellStyle name="Percent 3 2 5 2 2 5 3" xfId="9862" xr:uid="{00000000-0005-0000-0000-0000E44D0000}"/>
    <cellStyle name="Percent 3 2 5 2 2 5 3 2" xfId="20576" xr:uid="{00000000-0005-0000-0000-0000E54D0000}"/>
    <cellStyle name="Percent 3 2 5 2 2 5 4" xfId="20577" xr:uid="{00000000-0005-0000-0000-0000E64D0000}"/>
    <cellStyle name="Percent 3 2 5 2 2 6" xfId="9863" xr:uid="{00000000-0005-0000-0000-0000E74D0000}"/>
    <cellStyle name="Percent 3 2 5 2 2 6 2" xfId="20578" xr:uid="{00000000-0005-0000-0000-0000E84D0000}"/>
    <cellStyle name="Percent 3 2 5 2 2 7" xfId="9864" xr:uid="{00000000-0005-0000-0000-0000E94D0000}"/>
    <cellStyle name="Percent 3 2 5 2 2 7 2" xfId="20579" xr:uid="{00000000-0005-0000-0000-0000EA4D0000}"/>
    <cellStyle name="Percent 3 2 5 2 2 8" xfId="20580" xr:uid="{00000000-0005-0000-0000-0000EB4D0000}"/>
    <cellStyle name="Percent 3 2 5 2 3" xfId="9865" xr:uid="{00000000-0005-0000-0000-0000EC4D0000}"/>
    <cellStyle name="Percent 3 2 5 2 3 2" xfId="9866" xr:uid="{00000000-0005-0000-0000-0000ED4D0000}"/>
    <cellStyle name="Percent 3 2 5 2 3 2 2" xfId="9867" xr:uid="{00000000-0005-0000-0000-0000EE4D0000}"/>
    <cellStyle name="Percent 3 2 5 2 3 2 2 2" xfId="9868" xr:uid="{00000000-0005-0000-0000-0000EF4D0000}"/>
    <cellStyle name="Percent 3 2 5 2 3 2 2 2 2" xfId="20581" xr:uid="{00000000-0005-0000-0000-0000F04D0000}"/>
    <cellStyle name="Percent 3 2 5 2 3 2 2 3" xfId="9869" xr:uid="{00000000-0005-0000-0000-0000F14D0000}"/>
    <cellStyle name="Percent 3 2 5 2 3 2 2 3 2" xfId="20582" xr:uid="{00000000-0005-0000-0000-0000F24D0000}"/>
    <cellStyle name="Percent 3 2 5 2 3 2 2 4" xfId="20583" xr:uid="{00000000-0005-0000-0000-0000F34D0000}"/>
    <cellStyle name="Percent 3 2 5 2 3 2 3" xfId="9870" xr:uid="{00000000-0005-0000-0000-0000F44D0000}"/>
    <cellStyle name="Percent 3 2 5 2 3 2 3 2" xfId="9871" xr:uid="{00000000-0005-0000-0000-0000F54D0000}"/>
    <cellStyle name="Percent 3 2 5 2 3 2 3 2 2" xfId="20584" xr:uid="{00000000-0005-0000-0000-0000F64D0000}"/>
    <cellStyle name="Percent 3 2 5 2 3 2 3 3" xfId="9872" xr:uid="{00000000-0005-0000-0000-0000F74D0000}"/>
    <cellStyle name="Percent 3 2 5 2 3 2 3 3 2" xfId="20585" xr:uid="{00000000-0005-0000-0000-0000F84D0000}"/>
    <cellStyle name="Percent 3 2 5 2 3 2 3 4" xfId="20586" xr:uid="{00000000-0005-0000-0000-0000F94D0000}"/>
    <cellStyle name="Percent 3 2 5 2 3 2 4" xfId="9873" xr:uid="{00000000-0005-0000-0000-0000FA4D0000}"/>
    <cellStyle name="Percent 3 2 5 2 3 2 4 2" xfId="20587" xr:uid="{00000000-0005-0000-0000-0000FB4D0000}"/>
    <cellStyle name="Percent 3 2 5 2 3 2 5" xfId="9874" xr:uid="{00000000-0005-0000-0000-0000FC4D0000}"/>
    <cellStyle name="Percent 3 2 5 2 3 2 5 2" xfId="20588" xr:uid="{00000000-0005-0000-0000-0000FD4D0000}"/>
    <cellStyle name="Percent 3 2 5 2 3 2 6" xfId="20589" xr:uid="{00000000-0005-0000-0000-0000FE4D0000}"/>
    <cellStyle name="Percent 3 2 5 2 3 3" xfId="9875" xr:uid="{00000000-0005-0000-0000-0000FF4D0000}"/>
    <cellStyle name="Percent 3 2 5 2 3 3 2" xfId="9876" xr:uid="{00000000-0005-0000-0000-0000004E0000}"/>
    <cellStyle name="Percent 3 2 5 2 3 3 2 2" xfId="20590" xr:uid="{00000000-0005-0000-0000-0000014E0000}"/>
    <cellStyle name="Percent 3 2 5 2 3 3 3" xfId="9877" xr:uid="{00000000-0005-0000-0000-0000024E0000}"/>
    <cellStyle name="Percent 3 2 5 2 3 3 3 2" xfId="20591" xr:uid="{00000000-0005-0000-0000-0000034E0000}"/>
    <cellStyle name="Percent 3 2 5 2 3 3 4" xfId="20592" xr:uid="{00000000-0005-0000-0000-0000044E0000}"/>
    <cellStyle name="Percent 3 2 5 2 3 4" xfId="9878" xr:uid="{00000000-0005-0000-0000-0000054E0000}"/>
    <cellStyle name="Percent 3 2 5 2 3 4 2" xfId="9879" xr:uid="{00000000-0005-0000-0000-0000064E0000}"/>
    <cellStyle name="Percent 3 2 5 2 3 4 2 2" xfId="20593" xr:uid="{00000000-0005-0000-0000-0000074E0000}"/>
    <cellStyle name="Percent 3 2 5 2 3 4 3" xfId="9880" xr:uid="{00000000-0005-0000-0000-0000084E0000}"/>
    <cellStyle name="Percent 3 2 5 2 3 4 3 2" xfId="20594" xr:uid="{00000000-0005-0000-0000-0000094E0000}"/>
    <cellStyle name="Percent 3 2 5 2 3 4 4" xfId="20595" xr:uid="{00000000-0005-0000-0000-00000A4E0000}"/>
    <cellStyle name="Percent 3 2 5 2 3 5" xfId="9881" xr:uid="{00000000-0005-0000-0000-00000B4E0000}"/>
    <cellStyle name="Percent 3 2 5 2 3 5 2" xfId="20596" xr:uid="{00000000-0005-0000-0000-00000C4E0000}"/>
    <cellStyle name="Percent 3 2 5 2 3 6" xfId="9882" xr:uid="{00000000-0005-0000-0000-00000D4E0000}"/>
    <cellStyle name="Percent 3 2 5 2 3 6 2" xfId="20597" xr:uid="{00000000-0005-0000-0000-00000E4E0000}"/>
    <cellStyle name="Percent 3 2 5 2 3 7" xfId="20598" xr:uid="{00000000-0005-0000-0000-00000F4E0000}"/>
    <cellStyle name="Percent 3 2 5 2 4" xfId="9883" xr:uid="{00000000-0005-0000-0000-0000104E0000}"/>
    <cellStyle name="Percent 3 2 5 2 4 2" xfId="9884" xr:uid="{00000000-0005-0000-0000-0000114E0000}"/>
    <cellStyle name="Percent 3 2 5 2 4 2 2" xfId="9885" xr:uid="{00000000-0005-0000-0000-0000124E0000}"/>
    <cellStyle name="Percent 3 2 5 2 4 2 2 2" xfId="20599" xr:uid="{00000000-0005-0000-0000-0000134E0000}"/>
    <cellStyle name="Percent 3 2 5 2 4 2 3" xfId="9886" xr:uid="{00000000-0005-0000-0000-0000144E0000}"/>
    <cellStyle name="Percent 3 2 5 2 4 2 3 2" xfId="20600" xr:uid="{00000000-0005-0000-0000-0000154E0000}"/>
    <cellStyle name="Percent 3 2 5 2 4 2 4" xfId="20601" xr:uid="{00000000-0005-0000-0000-0000164E0000}"/>
    <cellStyle name="Percent 3 2 5 2 4 3" xfId="9887" xr:uid="{00000000-0005-0000-0000-0000174E0000}"/>
    <cellStyle name="Percent 3 2 5 2 4 3 2" xfId="9888" xr:uid="{00000000-0005-0000-0000-0000184E0000}"/>
    <cellStyle name="Percent 3 2 5 2 4 3 2 2" xfId="20602" xr:uid="{00000000-0005-0000-0000-0000194E0000}"/>
    <cellStyle name="Percent 3 2 5 2 4 3 3" xfId="9889" xr:uid="{00000000-0005-0000-0000-00001A4E0000}"/>
    <cellStyle name="Percent 3 2 5 2 4 3 3 2" xfId="20603" xr:uid="{00000000-0005-0000-0000-00001B4E0000}"/>
    <cellStyle name="Percent 3 2 5 2 4 3 4" xfId="20604" xr:uid="{00000000-0005-0000-0000-00001C4E0000}"/>
    <cellStyle name="Percent 3 2 5 2 4 4" xfId="9890" xr:uid="{00000000-0005-0000-0000-00001D4E0000}"/>
    <cellStyle name="Percent 3 2 5 2 4 4 2" xfId="20605" xr:uid="{00000000-0005-0000-0000-00001E4E0000}"/>
    <cellStyle name="Percent 3 2 5 2 4 5" xfId="9891" xr:uid="{00000000-0005-0000-0000-00001F4E0000}"/>
    <cellStyle name="Percent 3 2 5 2 4 5 2" xfId="20606" xr:uid="{00000000-0005-0000-0000-0000204E0000}"/>
    <cellStyle name="Percent 3 2 5 2 4 6" xfId="20607" xr:uid="{00000000-0005-0000-0000-0000214E0000}"/>
    <cellStyle name="Percent 3 2 5 2 5" xfId="9892" xr:uid="{00000000-0005-0000-0000-0000224E0000}"/>
    <cellStyle name="Percent 3 2 5 2 5 2" xfId="9893" xr:uid="{00000000-0005-0000-0000-0000234E0000}"/>
    <cellStyle name="Percent 3 2 5 2 5 2 2" xfId="9894" xr:uid="{00000000-0005-0000-0000-0000244E0000}"/>
    <cellStyle name="Percent 3 2 5 2 5 2 2 2" xfId="20608" xr:uid="{00000000-0005-0000-0000-0000254E0000}"/>
    <cellStyle name="Percent 3 2 5 2 5 2 3" xfId="9895" xr:uid="{00000000-0005-0000-0000-0000264E0000}"/>
    <cellStyle name="Percent 3 2 5 2 5 2 3 2" xfId="20609" xr:uid="{00000000-0005-0000-0000-0000274E0000}"/>
    <cellStyle name="Percent 3 2 5 2 5 2 4" xfId="20610" xr:uid="{00000000-0005-0000-0000-0000284E0000}"/>
    <cellStyle name="Percent 3 2 5 2 5 3" xfId="9896" xr:uid="{00000000-0005-0000-0000-0000294E0000}"/>
    <cellStyle name="Percent 3 2 5 2 5 3 2" xfId="9897" xr:uid="{00000000-0005-0000-0000-00002A4E0000}"/>
    <cellStyle name="Percent 3 2 5 2 5 3 2 2" xfId="20611" xr:uid="{00000000-0005-0000-0000-00002B4E0000}"/>
    <cellStyle name="Percent 3 2 5 2 5 3 3" xfId="9898" xr:uid="{00000000-0005-0000-0000-00002C4E0000}"/>
    <cellStyle name="Percent 3 2 5 2 5 3 3 2" xfId="20612" xr:uid="{00000000-0005-0000-0000-00002D4E0000}"/>
    <cellStyle name="Percent 3 2 5 2 5 3 4" xfId="20613" xr:uid="{00000000-0005-0000-0000-00002E4E0000}"/>
    <cellStyle name="Percent 3 2 5 2 5 4" xfId="9899" xr:uid="{00000000-0005-0000-0000-00002F4E0000}"/>
    <cellStyle name="Percent 3 2 5 2 5 4 2" xfId="20614" xr:uid="{00000000-0005-0000-0000-0000304E0000}"/>
    <cellStyle name="Percent 3 2 5 2 5 5" xfId="9900" xr:uid="{00000000-0005-0000-0000-0000314E0000}"/>
    <cellStyle name="Percent 3 2 5 2 5 5 2" xfId="20615" xr:uid="{00000000-0005-0000-0000-0000324E0000}"/>
    <cellStyle name="Percent 3 2 5 2 5 6" xfId="20616" xr:uid="{00000000-0005-0000-0000-0000334E0000}"/>
    <cellStyle name="Percent 3 2 5 2 6" xfId="9901" xr:uid="{00000000-0005-0000-0000-0000344E0000}"/>
    <cellStyle name="Percent 3 2 5 2 6 2" xfId="9902" xr:uid="{00000000-0005-0000-0000-0000354E0000}"/>
    <cellStyle name="Percent 3 2 5 2 6 2 2" xfId="20617" xr:uid="{00000000-0005-0000-0000-0000364E0000}"/>
    <cellStyle name="Percent 3 2 5 2 6 3" xfId="9903" xr:uid="{00000000-0005-0000-0000-0000374E0000}"/>
    <cellStyle name="Percent 3 2 5 2 6 3 2" xfId="20618" xr:uid="{00000000-0005-0000-0000-0000384E0000}"/>
    <cellStyle name="Percent 3 2 5 2 6 4" xfId="20619" xr:uid="{00000000-0005-0000-0000-0000394E0000}"/>
    <cellStyle name="Percent 3 2 5 2 7" xfId="9904" xr:uid="{00000000-0005-0000-0000-00003A4E0000}"/>
    <cellStyle name="Percent 3 2 5 2 7 2" xfId="9905" xr:uid="{00000000-0005-0000-0000-00003B4E0000}"/>
    <cellStyle name="Percent 3 2 5 2 7 2 2" xfId="20620" xr:uid="{00000000-0005-0000-0000-00003C4E0000}"/>
    <cellStyle name="Percent 3 2 5 2 7 3" xfId="9906" xr:uid="{00000000-0005-0000-0000-00003D4E0000}"/>
    <cellStyle name="Percent 3 2 5 2 7 3 2" xfId="20621" xr:uid="{00000000-0005-0000-0000-00003E4E0000}"/>
    <cellStyle name="Percent 3 2 5 2 7 4" xfId="20622" xr:uid="{00000000-0005-0000-0000-00003F4E0000}"/>
    <cellStyle name="Percent 3 2 5 2 8" xfId="9907" xr:uid="{00000000-0005-0000-0000-0000404E0000}"/>
    <cellStyle name="Percent 3 2 5 2 8 2" xfId="20623" xr:uid="{00000000-0005-0000-0000-0000414E0000}"/>
    <cellStyle name="Percent 3 2 5 2 9" xfId="9908" xr:uid="{00000000-0005-0000-0000-0000424E0000}"/>
    <cellStyle name="Percent 3 2 5 2 9 2" xfId="20624" xr:uid="{00000000-0005-0000-0000-0000434E0000}"/>
    <cellStyle name="Percent 3 2 5 3" xfId="9909" xr:uid="{00000000-0005-0000-0000-0000444E0000}"/>
    <cellStyle name="Percent 3 2 5 3 2" xfId="9910" xr:uid="{00000000-0005-0000-0000-0000454E0000}"/>
    <cellStyle name="Percent 3 2 5 3 2 2" xfId="9911" xr:uid="{00000000-0005-0000-0000-0000464E0000}"/>
    <cellStyle name="Percent 3 2 5 3 2 2 2" xfId="9912" xr:uid="{00000000-0005-0000-0000-0000474E0000}"/>
    <cellStyle name="Percent 3 2 5 3 2 2 2 2" xfId="20625" xr:uid="{00000000-0005-0000-0000-0000484E0000}"/>
    <cellStyle name="Percent 3 2 5 3 2 2 3" xfId="9913" xr:uid="{00000000-0005-0000-0000-0000494E0000}"/>
    <cellStyle name="Percent 3 2 5 3 2 2 3 2" xfId="20626" xr:uid="{00000000-0005-0000-0000-00004A4E0000}"/>
    <cellStyle name="Percent 3 2 5 3 2 2 4" xfId="20627" xr:uid="{00000000-0005-0000-0000-00004B4E0000}"/>
    <cellStyle name="Percent 3 2 5 3 2 3" xfId="9914" xr:uid="{00000000-0005-0000-0000-00004C4E0000}"/>
    <cellStyle name="Percent 3 2 5 3 2 3 2" xfId="9915" xr:uid="{00000000-0005-0000-0000-00004D4E0000}"/>
    <cellStyle name="Percent 3 2 5 3 2 3 2 2" xfId="20628" xr:uid="{00000000-0005-0000-0000-00004E4E0000}"/>
    <cellStyle name="Percent 3 2 5 3 2 3 3" xfId="9916" xr:uid="{00000000-0005-0000-0000-00004F4E0000}"/>
    <cellStyle name="Percent 3 2 5 3 2 3 3 2" xfId="20629" xr:uid="{00000000-0005-0000-0000-0000504E0000}"/>
    <cellStyle name="Percent 3 2 5 3 2 3 4" xfId="20630" xr:uid="{00000000-0005-0000-0000-0000514E0000}"/>
    <cellStyle name="Percent 3 2 5 3 2 4" xfId="9917" xr:uid="{00000000-0005-0000-0000-0000524E0000}"/>
    <cellStyle name="Percent 3 2 5 3 2 4 2" xfId="20631" xr:uid="{00000000-0005-0000-0000-0000534E0000}"/>
    <cellStyle name="Percent 3 2 5 3 2 5" xfId="9918" xr:uid="{00000000-0005-0000-0000-0000544E0000}"/>
    <cellStyle name="Percent 3 2 5 3 2 5 2" xfId="20632" xr:uid="{00000000-0005-0000-0000-0000554E0000}"/>
    <cellStyle name="Percent 3 2 5 3 2 6" xfId="20633" xr:uid="{00000000-0005-0000-0000-0000564E0000}"/>
    <cellStyle name="Percent 3 2 5 3 3" xfId="9919" xr:uid="{00000000-0005-0000-0000-0000574E0000}"/>
    <cellStyle name="Percent 3 2 5 3 3 2" xfId="9920" xr:uid="{00000000-0005-0000-0000-0000584E0000}"/>
    <cellStyle name="Percent 3 2 5 3 3 2 2" xfId="9921" xr:uid="{00000000-0005-0000-0000-0000594E0000}"/>
    <cellStyle name="Percent 3 2 5 3 3 2 2 2" xfId="20634" xr:uid="{00000000-0005-0000-0000-00005A4E0000}"/>
    <cellStyle name="Percent 3 2 5 3 3 2 3" xfId="9922" xr:uid="{00000000-0005-0000-0000-00005B4E0000}"/>
    <cellStyle name="Percent 3 2 5 3 3 2 3 2" xfId="20635" xr:uid="{00000000-0005-0000-0000-00005C4E0000}"/>
    <cellStyle name="Percent 3 2 5 3 3 2 4" xfId="20636" xr:uid="{00000000-0005-0000-0000-00005D4E0000}"/>
    <cellStyle name="Percent 3 2 5 3 3 3" xfId="9923" xr:uid="{00000000-0005-0000-0000-00005E4E0000}"/>
    <cellStyle name="Percent 3 2 5 3 3 3 2" xfId="9924" xr:uid="{00000000-0005-0000-0000-00005F4E0000}"/>
    <cellStyle name="Percent 3 2 5 3 3 3 2 2" xfId="20637" xr:uid="{00000000-0005-0000-0000-0000604E0000}"/>
    <cellStyle name="Percent 3 2 5 3 3 3 3" xfId="9925" xr:uid="{00000000-0005-0000-0000-0000614E0000}"/>
    <cellStyle name="Percent 3 2 5 3 3 3 3 2" xfId="20638" xr:uid="{00000000-0005-0000-0000-0000624E0000}"/>
    <cellStyle name="Percent 3 2 5 3 3 3 4" xfId="20639" xr:uid="{00000000-0005-0000-0000-0000634E0000}"/>
    <cellStyle name="Percent 3 2 5 3 3 4" xfId="9926" xr:uid="{00000000-0005-0000-0000-0000644E0000}"/>
    <cellStyle name="Percent 3 2 5 3 3 4 2" xfId="20640" xr:uid="{00000000-0005-0000-0000-0000654E0000}"/>
    <cellStyle name="Percent 3 2 5 3 3 5" xfId="9927" xr:uid="{00000000-0005-0000-0000-0000664E0000}"/>
    <cellStyle name="Percent 3 2 5 3 3 5 2" xfId="20641" xr:uid="{00000000-0005-0000-0000-0000674E0000}"/>
    <cellStyle name="Percent 3 2 5 3 3 6" xfId="20642" xr:uid="{00000000-0005-0000-0000-0000684E0000}"/>
    <cellStyle name="Percent 3 2 5 3 4" xfId="9928" xr:uid="{00000000-0005-0000-0000-0000694E0000}"/>
    <cellStyle name="Percent 3 2 5 3 4 2" xfId="9929" xr:uid="{00000000-0005-0000-0000-00006A4E0000}"/>
    <cellStyle name="Percent 3 2 5 3 4 2 2" xfId="20643" xr:uid="{00000000-0005-0000-0000-00006B4E0000}"/>
    <cellStyle name="Percent 3 2 5 3 4 3" xfId="9930" xr:uid="{00000000-0005-0000-0000-00006C4E0000}"/>
    <cellStyle name="Percent 3 2 5 3 4 3 2" xfId="20644" xr:uid="{00000000-0005-0000-0000-00006D4E0000}"/>
    <cellStyle name="Percent 3 2 5 3 4 4" xfId="20645" xr:uid="{00000000-0005-0000-0000-00006E4E0000}"/>
    <cellStyle name="Percent 3 2 5 3 5" xfId="9931" xr:uid="{00000000-0005-0000-0000-00006F4E0000}"/>
    <cellStyle name="Percent 3 2 5 3 5 2" xfId="9932" xr:uid="{00000000-0005-0000-0000-0000704E0000}"/>
    <cellStyle name="Percent 3 2 5 3 5 2 2" xfId="20646" xr:uid="{00000000-0005-0000-0000-0000714E0000}"/>
    <cellStyle name="Percent 3 2 5 3 5 3" xfId="9933" xr:uid="{00000000-0005-0000-0000-0000724E0000}"/>
    <cellStyle name="Percent 3 2 5 3 5 3 2" xfId="20647" xr:uid="{00000000-0005-0000-0000-0000734E0000}"/>
    <cellStyle name="Percent 3 2 5 3 5 4" xfId="20648" xr:uid="{00000000-0005-0000-0000-0000744E0000}"/>
    <cellStyle name="Percent 3 2 5 3 6" xfId="9934" xr:uid="{00000000-0005-0000-0000-0000754E0000}"/>
    <cellStyle name="Percent 3 2 5 3 6 2" xfId="20649" xr:uid="{00000000-0005-0000-0000-0000764E0000}"/>
    <cellStyle name="Percent 3 2 5 3 7" xfId="9935" xr:uid="{00000000-0005-0000-0000-0000774E0000}"/>
    <cellStyle name="Percent 3 2 5 3 7 2" xfId="20650" xr:uid="{00000000-0005-0000-0000-0000784E0000}"/>
    <cellStyle name="Percent 3 2 5 3 8" xfId="20651" xr:uid="{00000000-0005-0000-0000-0000794E0000}"/>
    <cellStyle name="Percent 3 2 5 4" xfId="9936" xr:uid="{00000000-0005-0000-0000-00007A4E0000}"/>
    <cellStyle name="Percent 3 2 5 4 2" xfId="9937" xr:uid="{00000000-0005-0000-0000-00007B4E0000}"/>
    <cellStyle name="Percent 3 2 5 4 2 2" xfId="9938" xr:uid="{00000000-0005-0000-0000-00007C4E0000}"/>
    <cellStyle name="Percent 3 2 5 4 2 2 2" xfId="9939" xr:uid="{00000000-0005-0000-0000-00007D4E0000}"/>
    <cellStyle name="Percent 3 2 5 4 2 2 2 2" xfId="20652" xr:uid="{00000000-0005-0000-0000-00007E4E0000}"/>
    <cellStyle name="Percent 3 2 5 4 2 2 3" xfId="9940" xr:uid="{00000000-0005-0000-0000-00007F4E0000}"/>
    <cellStyle name="Percent 3 2 5 4 2 2 3 2" xfId="20653" xr:uid="{00000000-0005-0000-0000-0000804E0000}"/>
    <cellStyle name="Percent 3 2 5 4 2 2 4" xfId="20654" xr:uid="{00000000-0005-0000-0000-0000814E0000}"/>
    <cellStyle name="Percent 3 2 5 4 2 3" xfId="9941" xr:uid="{00000000-0005-0000-0000-0000824E0000}"/>
    <cellStyle name="Percent 3 2 5 4 2 3 2" xfId="9942" xr:uid="{00000000-0005-0000-0000-0000834E0000}"/>
    <cellStyle name="Percent 3 2 5 4 2 3 2 2" xfId="20655" xr:uid="{00000000-0005-0000-0000-0000844E0000}"/>
    <cellStyle name="Percent 3 2 5 4 2 3 3" xfId="9943" xr:uid="{00000000-0005-0000-0000-0000854E0000}"/>
    <cellStyle name="Percent 3 2 5 4 2 3 3 2" xfId="20656" xr:uid="{00000000-0005-0000-0000-0000864E0000}"/>
    <cellStyle name="Percent 3 2 5 4 2 3 4" xfId="20657" xr:uid="{00000000-0005-0000-0000-0000874E0000}"/>
    <cellStyle name="Percent 3 2 5 4 2 4" xfId="9944" xr:uid="{00000000-0005-0000-0000-0000884E0000}"/>
    <cellStyle name="Percent 3 2 5 4 2 4 2" xfId="20658" xr:uid="{00000000-0005-0000-0000-0000894E0000}"/>
    <cellStyle name="Percent 3 2 5 4 2 5" xfId="9945" xr:uid="{00000000-0005-0000-0000-00008A4E0000}"/>
    <cellStyle name="Percent 3 2 5 4 2 5 2" xfId="20659" xr:uid="{00000000-0005-0000-0000-00008B4E0000}"/>
    <cellStyle name="Percent 3 2 5 4 2 6" xfId="20660" xr:uid="{00000000-0005-0000-0000-00008C4E0000}"/>
    <cellStyle name="Percent 3 2 5 4 3" xfId="9946" xr:uid="{00000000-0005-0000-0000-00008D4E0000}"/>
    <cellStyle name="Percent 3 2 5 4 3 2" xfId="9947" xr:uid="{00000000-0005-0000-0000-00008E4E0000}"/>
    <cellStyle name="Percent 3 2 5 4 3 2 2" xfId="20661" xr:uid="{00000000-0005-0000-0000-00008F4E0000}"/>
    <cellStyle name="Percent 3 2 5 4 3 3" xfId="9948" xr:uid="{00000000-0005-0000-0000-0000904E0000}"/>
    <cellStyle name="Percent 3 2 5 4 3 3 2" xfId="20662" xr:uid="{00000000-0005-0000-0000-0000914E0000}"/>
    <cellStyle name="Percent 3 2 5 4 3 4" xfId="20663" xr:uid="{00000000-0005-0000-0000-0000924E0000}"/>
    <cellStyle name="Percent 3 2 5 4 4" xfId="9949" xr:uid="{00000000-0005-0000-0000-0000934E0000}"/>
    <cellStyle name="Percent 3 2 5 4 4 2" xfId="9950" xr:uid="{00000000-0005-0000-0000-0000944E0000}"/>
    <cellStyle name="Percent 3 2 5 4 4 2 2" xfId="20664" xr:uid="{00000000-0005-0000-0000-0000954E0000}"/>
    <cellStyle name="Percent 3 2 5 4 4 3" xfId="9951" xr:uid="{00000000-0005-0000-0000-0000964E0000}"/>
    <cellStyle name="Percent 3 2 5 4 4 3 2" xfId="20665" xr:uid="{00000000-0005-0000-0000-0000974E0000}"/>
    <cellStyle name="Percent 3 2 5 4 4 4" xfId="20666" xr:uid="{00000000-0005-0000-0000-0000984E0000}"/>
    <cellStyle name="Percent 3 2 5 4 5" xfId="9952" xr:uid="{00000000-0005-0000-0000-0000994E0000}"/>
    <cellStyle name="Percent 3 2 5 4 5 2" xfId="20667" xr:uid="{00000000-0005-0000-0000-00009A4E0000}"/>
    <cellStyle name="Percent 3 2 5 4 6" xfId="9953" xr:uid="{00000000-0005-0000-0000-00009B4E0000}"/>
    <cellStyle name="Percent 3 2 5 4 6 2" xfId="20668" xr:uid="{00000000-0005-0000-0000-00009C4E0000}"/>
    <cellStyle name="Percent 3 2 5 4 7" xfId="20669" xr:uid="{00000000-0005-0000-0000-00009D4E0000}"/>
    <cellStyle name="Percent 3 2 5 5" xfId="9954" xr:uid="{00000000-0005-0000-0000-00009E4E0000}"/>
    <cellStyle name="Percent 3 2 5 5 2" xfId="9955" xr:uid="{00000000-0005-0000-0000-00009F4E0000}"/>
    <cellStyle name="Percent 3 2 5 5 2 2" xfId="9956" xr:uid="{00000000-0005-0000-0000-0000A04E0000}"/>
    <cellStyle name="Percent 3 2 5 5 2 2 2" xfId="20670" xr:uid="{00000000-0005-0000-0000-0000A14E0000}"/>
    <cellStyle name="Percent 3 2 5 5 2 3" xfId="9957" xr:uid="{00000000-0005-0000-0000-0000A24E0000}"/>
    <cellStyle name="Percent 3 2 5 5 2 3 2" xfId="20671" xr:uid="{00000000-0005-0000-0000-0000A34E0000}"/>
    <cellStyle name="Percent 3 2 5 5 2 4" xfId="20672" xr:uid="{00000000-0005-0000-0000-0000A44E0000}"/>
    <cellStyle name="Percent 3 2 5 5 3" xfId="9958" xr:uid="{00000000-0005-0000-0000-0000A54E0000}"/>
    <cellStyle name="Percent 3 2 5 5 3 2" xfId="9959" xr:uid="{00000000-0005-0000-0000-0000A64E0000}"/>
    <cellStyle name="Percent 3 2 5 5 3 2 2" xfId="20673" xr:uid="{00000000-0005-0000-0000-0000A74E0000}"/>
    <cellStyle name="Percent 3 2 5 5 3 3" xfId="9960" xr:uid="{00000000-0005-0000-0000-0000A84E0000}"/>
    <cellStyle name="Percent 3 2 5 5 3 3 2" xfId="20674" xr:uid="{00000000-0005-0000-0000-0000A94E0000}"/>
    <cellStyle name="Percent 3 2 5 5 3 4" xfId="20675" xr:uid="{00000000-0005-0000-0000-0000AA4E0000}"/>
    <cellStyle name="Percent 3 2 5 5 4" xfId="9961" xr:uid="{00000000-0005-0000-0000-0000AB4E0000}"/>
    <cellStyle name="Percent 3 2 5 5 4 2" xfId="20676" xr:uid="{00000000-0005-0000-0000-0000AC4E0000}"/>
    <cellStyle name="Percent 3 2 5 5 5" xfId="9962" xr:uid="{00000000-0005-0000-0000-0000AD4E0000}"/>
    <cellStyle name="Percent 3 2 5 5 5 2" xfId="20677" xr:uid="{00000000-0005-0000-0000-0000AE4E0000}"/>
    <cellStyle name="Percent 3 2 5 5 6" xfId="20678" xr:uid="{00000000-0005-0000-0000-0000AF4E0000}"/>
    <cellStyle name="Percent 3 2 5 6" xfId="9963" xr:uid="{00000000-0005-0000-0000-0000B04E0000}"/>
    <cellStyle name="Percent 3 2 5 6 2" xfId="9964" xr:uid="{00000000-0005-0000-0000-0000B14E0000}"/>
    <cellStyle name="Percent 3 2 5 6 2 2" xfId="9965" xr:uid="{00000000-0005-0000-0000-0000B24E0000}"/>
    <cellStyle name="Percent 3 2 5 6 2 2 2" xfId="20679" xr:uid="{00000000-0005-0000-0000-0000B34E0000}"/>
    <cellStyle name="Percent 3 2 5 6 2 3" xfId="9966" xr:uid="{00000000-0005-0000-0000-0000B44E0000}"/>
    <cellStyle name="Percent 3 2 5 6 2 3 2" xfId="20680" xr:uid="{00000000-0005-0000-0000-0000B54E0000}"/>
    <cellStyle name="Percent 3 2 5 6 2 4" xfId="20681" xr:uid="{00000000-0005-0000-0000-0000B64E0000}"/>
    <cellStyle name="Percent 3 2 5 6 3" xfId="9967" xr:uid="{00000000-0005-0000-0000-0000B74E0000}"/>
    <cellStyle name="Percent 3 2 5 6 3 2" xfId="9968" xr:uid="{00000000-0005-0000-0000-0000B84E0000}"/>
    <cellStyle name="Percent 3 2 5 6 3 2 2" xfId="20682" xr:uid="{00000000-0005-0000-0000-0000B94E0000}"/>
    <cellStyle name="Percent 3 2 5 6 3 3" xfId="9969" xr:uid="{00000000-0005-0000-0000-0000BA4E0000}"/>
    <cellStyle name="Percent 3 2 5 6 3 3 2" xfId="20683" xr:uid="{00000000-0005-0000-0000-0000BB4E0000}"/>
    <cellStyle name="Percent 3 2 5 6 3 4" xfId="20684" xr:uid="{00000000-0005-0000-0000-0000BC4E0000}"/>
    <cellStyle name="Percent 3 2 5 6 4" xfId="9970" xr:uid="{00000000-0005-0000-0000-0000BD4E0000}"/>
    <cellStyle name="Percent 3 2 5 6 4 2" xfId="20685" xr:uid="{00000000-0005-0000-0000-0000BE4E0000}"/>
    <cellStyle name="Percent 3 2 5 6 5" xfId="9971" xr:uid="{00000000-0005-0000-0000-0000BF4E0000}"/>
    <cellStyle name="Percent 3 2 5 6 5 2" xfId="20686" xr:uid="{00000000-0005-0000-0000-0000C04E0000}"/>
    <cellStyle name="Percent 3 2 5 6 6" xfId="20687" xr:uid="{00000000-0005-0000-0000-0000C14E0000}"/>
    <cellStyle name="Percent 3 2 5 7" xfId="9972" xr:uid="{00000000-0005-0000-0000-0000C24E0000}"/>
    <cellStyle name="Percent 3 2 5 7 2" xfId="9973" xr:uid="{00000000-0005-0000-0000-0000C34E0000}"/>
    <cellStyle name="Percent 3 2 5 7 2 2" xfId="20688" xr:uid="{00000000-0005-0000-0000-0000C44E0000}"/>
    <cellStyle name="Percent 3 2 5 7 3" xfId="9974" xr:uid="{00000000-0005-0000-0000-0000C54E0000}"/>
    <cellStyle name="Percent 3 2 5 7 3 2" xfId="20689" xr:uid="{00000000-0005-0000-0000-0000C64E0000}"/>
    <cellStyle name="Percent 3 2 5 7 4" xfId="20690" xr:uid="{00000000-0005-0000-0000-0000C74E0000}"/>
    <cellStyle name="Percent 3 2 5 8" xfId="9975" xr:uid="{00000000-0005-0000-0000-0000C84E0000}"/>
    <cellStyle name="Percent 3 2 5 8 2" xfId="9976" xr:uid="{00000000-0005-0000-0000-0000C94E0000}"/>
    <cellStyle name="Percent 3 2 5 8 2 2" xfId="20691" xr:uid="{00000000-0005-0000-0000-0000CA4E0000}"/>
    <cellStyle name="Percent 3 2 5 8 3" xfId="9977" xr:uid="{00000000-0005-0000-0000-0000CB4E0000}"/>
    <cellStyle name="Percent 3 2 5 8 3 2" xfId="20692" xr:uid="{00000000-0005-0000-0000-0000CC4E0000}"/>
    <cellStyle name="Percent 3 2 5 8 4" xfId="20693" xr:uid="{00000000-0005-0000-0000-0000CD4E0000}"/>
    <cellStyle name="Percent 3 2 5 9" xfId="9978" xr:uid="{00000000-0005-0000-0000-0000CE4E0000}"/>
    <cellStyle name="Percent 3 2 5 9 2" xfId="20694" xr:uid="{00000000-0005-0000-0000-0000CF4E0000}"/>
    <cellStyle name="Percent 3 2 6" xfId="9979" xr:uid="{00000000-0005-0000-0000-0000D04E0000}"/>
    <cellStyle name="Percent 3 2 6 10" xfId="20695" xr:uid="{00000000-0005-0000-0000-0000D14E0000}"/>
    <cellStyle name="Percent 3 2 6 2" xfId="9980" xr:uid="{00000000-0005-0000-0000-0000D24E0000}"/>
    <cellStyle name="Percent 3 2 6 2 2" xfId="9981" xr:uid="{00000000-0005-0000-0000-0000D34E0000}"/>
    <cellStyle name="Percent 3 2 6 2 2 2" xfId="9982" xr:uid="{00000000-0005-0000-0000-0000D44E0000}"/>
    <cellStyle name="Percent 3 2 6 2 2 2 2" xfId="9983" xr:uid="{00000000-0005-0000-0000-0000D54E0000}"/>
    <cellStyle name="Percent 3 2 6 2 2 2 2 2" xfId="20696" xr:uid="{00000000-0005-0000-0000-0000D64E0000}"/>
    <cellStyle name="Percent 3 2 6 2 2 2 3" xfId="9984" xr:uid="{00000000-0005-0000-0000-0000D74E0000}"/>
    <cellStyle name="Percent 3 2 6 2 2 2 3 2" xfId="20697" xr:uid="{00000000-0005-0000-0000-0000D84E0000}"/>
    <cellStyle name="Percent 3 2 6 2 2 2 4" xfId="20698" xr:uid="{00000000-0005-0000-0000-0000D94E0000}"/>
    <cellStyle name="Percent 3 2 6 2 2 3" xfId="9985" xr:uid="{00000000-0005-0000-0000-0000DA4E0000}"/>
    <cellStyle name="Percent 3 2 6 2 2 3 2" xfId="9986" xr:uid="{00000000-0005-0000-0000-0000DB4E0000}"/>
    <cellStyle name="Percent 3 2 6 2 2 3 2 2" xfId="20699" xr:uid="{00000000-0005-0000-0000-0000DC4E0000}"/>
    <cellStyle name="Percent 3 2 6 2 2 3 3" xfId="9987" xr:uid="{00000000-0005-0000-0000-0000DD4E0000}"/>
    <cellStyle name="Percent 3 2 6 2 2 3 3 2" xfId="20700" xr:uid="{00000000-0005-0000-0000-0000DE4E0000}"/>
    <cellStyle name="Percent 3 2 6 2 2 3 4" xfId="20701" xr:uid="{00000000-0005-0000-0000-0000DF4E0000}"/>
    <cellStyle name="Percent 3 2 6 2 2 4" xfId="9988" xr:uid="{00000000-0005-0000-0000-0000E04E0000}"/>
    <cellStyle name="Percent 3 2 6 2 2 4 2" xfId="20702" xr:uid="{00000000-0005-0000-0000-0000E14E0000}"/>
    <cellStyle name="Percent 3 2 6 2 2 5" xfId="9989" xr:uid="{00000000-0005-0000-0000-0000E24E0000}"/>
    <cellStyle name="Percent 3 2 6 2 2 5 2" xfId="20703" xr:uid="{00000000-0005-0000-0000-0000E34E0000}"/>
    <cellStyle name="Percent 3 2 6 2 2 6" xfId="20704" xr:uid="{00000000-0005-0000-0000-0000E44E0000}"/>
    <cellStyle name="Percent 3 2 6 2 3" xfId="9990" xr:uid="{00000000-0005-0000-0000-0000E54E0000}"/>
    <cellStyle name="Percent 3 2 6 2 3 2" xfId="9991" xr:uid="{00000000-0005-0000-0000-0000E64E0000}"/>
    <cellStyle name="Percent 3 2 6 2 3 2 2" xfId="9992" xr:uid="{00000000-0005-0000-0000-0000E74E0000}"/>
    <cellStyle name="Percent 3 2 6 2 3 2 2 2" xfId="20705" xr:uid="{00000000-0005-0000-0000-0000E84E0000}"/>
    <cellStyle name="Percent 3 2 6 2 3 2 3" xfId="9993" xr:uid="{00000000-0005-0000-0000-0000E94E0000}"/>
    <cellStyle name="Percent 3 2 6 2 3 2 3 2" xfId="20706" xr:uid="{00000000-0005-0000-0000-0000EA4E0000}"/>
    <cellStyle name="Percent 3 2 6 2 3 2 4" xfId="20707" xr:uid="{00000000-0005-0000-0000-0000EB4E0000}"/>
    <cellStyle name="Percent 3 2 6 2 3 3" xfId="9994" xr:uid="{00000000-0005-0000-0000-0000EC4E0000}"/>
    <cellStyle name="Percent 3 2 6 2 3 3 2" xfId="9995" xr:uid="{00000000-0005-0000-0000-0000ED4E0000}"/>
    <cellStyle name="Percent 3 2 6 2 3 3 2 2" xfId="20708" xr:uid="{00000000-0005-0000-0000-0000EE4E0000}"/>
    <cellStyle name="Percent 3 2 6 2 3 3 3" xfId="9996" xr:uid="{00000000-0005-0000-0000-0000EF4E0000}"/>
    <cellStyle name="Percent 3 2 6 2 3 3 3 2" xfId="20709" xr:uid="{00000000-0005-0000-0000-0000F04E0000}"/>
    <cellStyle name="Percent 3 2 6 2 3 3 4" xfId="20710" xr:uid="{00000000-0005-0000-0000-0000F14E0000}"/>
    <cellStyle name="Percent 3 2 6 2 3 4" xfId="9997" xr:uid="{00000000-0005-0000-0000-0000F24E0000}"/>
    <cellStyle name="Percent 3 2 6 2 3 4 2" xfId="20711" xr:uid="{00000000-0005-0000-0000-0000F34E0000}"/>
    <cellStyle name="Percent 3 2 6 2 3 5" xfId="9998" xr:uid="{00000000-0005-0000-0000-0000F44E0000}"/>
    <cellStyle name="Percent 3 2 6 2 3 5 2" xfId="20712" xr:uid="{00000000-0005-0000-0000-0000F54E0000}"/>
    <cellStyle name="Percent 3 2 6 2 3 6" xfId="20713" xr:uid="{00000000-0005-0000-0000-0000F64E0000}"/>
    <cellStyle name="Percent 3 2 6 2 4" xfId="9999" xr:uid="{00000000-0005-0000-0000-0000F74E0000}"/>
    <cellStyle name="Percent 3 2 6 2 4 2" xfId="10000" xr:uid="{00000000-0005-0000-0000-0000F84E0000}"/>
    <cellStyle name="Percent 3 2 6 2 4 2 2" xfId="20714" xr:uid="{00000000-0005-0000-0000-0000F94E0000}"/>
    <cellStyle name="Percent 3 2 6 2 4 3" xfId="10001" xr:uid="{00000000-0005-0000-0000-0000FA4E0000}"/>
    <cellStyle name="Percent 3 2 6 2 4 3 2" xfId="20715" xr:uid="{00000000-0005-0000-0000-0000FB4E0000}"/>
    <cellStyle name="Percent 3 2 6 2 4 4" xfId="20716" xr:uid="{00000000-0005-0000-0000-0000FC4E0000}"/>
    <cellStyle name="Percent 3 2 6 2 5" xfId="10002" xr:uid="{00000000-0005-0000-0000-0000FD4E0000}"/>
    <cellStyle name="Percent 3 2 6 2 5 2" xfId="10003" xr:uid="{00000000-0005-0000-0000-0000FE4E0000}"/>
    <cellStyle name="Percent 3 2 6 2 5 2 2" xfId="20717" xr:uid="{00000000-0005-0000-0000-0000FF4E0000}"/>
    <cellStyle name="Percent 3 2 6 2 5 3" xfId="10004" xr:uid="{00000000-0005-0000-0000-0000004F0000}"/>
    <cellStyle name="Percent 3 2 6 2 5 3 2" xfId="20718" xr:uid="{00000000-0005-0000-0000-0000014F0000}"/>
    <cellStyle name="Percent 3 2 6 2 5 4" xfId="20719" xr:uid="{00000000-0005-0000-0000-0000024F0000}"/>
    <cellStyle name="Percent 3 2 6 2 6" xfId="10005" xr:uid="{00000000-0005-0000-0000-0000034F0000}"/>
    <cellStyle name="Percent 3 2 6 2 6 2" xfId="20720" xr:uid="{00000000-0005-0000-0000-0000044F0000}"/>
    <cellStyle name="Percent 3 2 6 2 7" xfId="10006" xr:uid="{00000000-0005-0000-0000-0000054F0000}"/>
    <cellStyle name="Percent 3 2 6 2 7 2" xfId="20721" xr:uid="{00000000-0005-0000-0000-0000064F0000}"/>
    <cellStyle name="Percent 3 2 6 2 8" xfId="20722" xr:uid="{00000000-0005-0000-0000-0000074F0000}"/>
    <cellStyle name="Percent 3 2 6 3" xfId="10007" xr:uid="{00000000-0005-0000-0000-0000084F0000}"/>
    <cellStyle name="Percent 3 2 6 3 2" xfId="10008" xr:uid="{00000000-0005-0000-0000-0000094F0000}"/>
    <cellStyle name="Percent 3 2 6 3 2 2" xfId="10009" xr:uid="{00000000-0005-0000-0000-00000A4F0000}"/>
    <cellStyle name="Percent 3 2 6 3 2 2 2" xfId="10010" xr:uid="{00000000-0005-0000-0000-00000B4F0000}"/>
    <cellStyle name="Percent 3 2 6 3 2 2 2 2" xfId="20723" xr:uid="{00000000-0005-0000-0000-00000C4F0000}"/>
    <cellStyle name="Percent 3 2 6 3 2 2 3" xfId="10011" xr:uid="{00000000-0005-0000-0000-00000D4F0000}"/>
    <cellStyle name="Percent 3 2 6 3 2 2 3 2" xfId="20724" xr:uid="{00000000-0005-0000-0000-00000E4F0000}"/>
    <cellStyle name="Percent 3 2 6 3 2 2 4" xfId="20725" xr:uid="{00000000-0005-0000-0000-00000F4F0000}"/>
    <cellStyle name="Percent 3 2 6 3 2 3" xfId="10012" xr:uid="{00000000-0005-0000-0000-0000104F0000}"/>
    <cellStyle name="Percent 3 2 6 3 2 3 2" xfId="10013" xr:uid="{00000000-0005-0000-0000-0000114F0000}"/>
    <cellStyle name="Percent 3 2 6 3 2 3 2 2" xfId="20726" xr:uid="{00000000-0005-0000-0000-0000124F0000}"/>
    <cellStyle name="Percent 3 2 6 3 2 3 3" xfId="10014" xr:uid="{00000000-0005-0000-0000-0000134F0000}"/>
    <cellStyle name="Percent 3 2 6 3 2 3 3 2" xfId="20727" xr:uid="{00000000-0005-0000-0000-0000144F0000}"/>
    <cellStyle name="Percent 3 2 6 3 2 3 4" xfId="20728" xr:uid="{00000000-0005-0000-0000-0000154F0000}"/>
    <cellStyle name="Percent 3 2 6 3 2 4" xfId="10015" xr:uid="{00000000-0005-0000-0000-0000164F0000}"/>
    <cellStyle name="Percent 3 2 6 3 2 4 2" xfId="20729" xr:uid="{00000000-0005-0000-0000-0000174F0000}"/>
    <cellStyle name="Percent 3 2 6 3 2 5" xfId="10016" xr:uid="{00000000-0005-0000-0000-0000184F0000}"/>
    <cellStyle name="Percent 3 2 6 3 2 5 2" xfId="20730" xr:uid="{00000000-0005-0000-0000-0000194F0000}"/>
    <cellStyle name="Percent 3 2 6 3 2 6" xfId="20731" xr:uid="{00000000-0005-0000-0000-00001A4F0000}"/>
    <cellStyle name="Percent 3 2 6 3 3" xfId="10017" xr:uid="{00000000-0005-0000-0000-00001B4F0000}"/>
    <cellStyle name="Percent 3 2 6 3 3 2" xfId="10018" xr:uid="{00000000-0005-0000-0000-00001C4F0000}"/>
    <cellStyle name="Percent 3 2 6 3 3 2 2" xfId="20732" xr:uid="{00000000-0005-0000-0000-00001D4F0000}"/>
    <cellStyle name="Percent 3 2 6 3 3 3" xfId="10019" xr:uid="{00000000-0005-0000-0000-00001E4F0000}"/>
    <cellStyle name="Percent 3 2 6 3 3 3 2" xfId="20733" xr:uid="{00000000-0005-0000-0000-00001F4F0000}"/>
    <cellStyle name="Percent 3 2 6 3 3 4" xfId="20734" xr:uid="{00000000-0005-0000-0000-0000204F0000}"/>
    <cellStyle name="Percent 3 2 6 3 4" xfId="10020" xr:uid="{00000000-0005-0000-0000-0000214F0000}"/>
    <cellStyle name="Percent 3 2 6 3 4 2" xfId="10021" xr:uid="{00000000-0005-0000-0000-0000224F0000}"/>
    <cellStyle name="Percent 3 2 6 3 4 2 2" xfId="20735" xr:uid="{00000000-0005-0000-0000-0000234F0000}"/>
    <cellStyle name="Percent 3 2 6 3 4 3" xfId="10022" xr:uid="{00000000-0005-0000-0000-0000244F0000}"/>
    <cellStyle name="Percent 3 2 6 3 4 3 2" xfId="20736" xr:uid="{00000000-0005-0000-0000-0000254F0000}"/>
    <cellStyle name="Percent 3 2 6 3 4 4" xfId="20737" xr:uid="{00000000-0005-0000-0000-0000264F0000}"/>
    <cellStyle name="Percent 3 2 6 3 5" xfId="10023" xr:uid="{00000000-0005-0000-0000-0000274F0000}"/>
    <cellStyle name="Percent 3 2 6 3 5 2" xfId="20738" xr:uid="{00000000-0005-0000-0000-0000284F0000}"/>
    <cellStyle name="Percent 3 2 6 3 6" xfId="10024" xr:uid="{00000000-0005-0000-0000-0000294F0000}"/>
    <cellStyle name="Percent 3 2 6 3 6 2" xfId="20739" xr:uid="{00000000-0005-0000-0000-00002A4F0000}"/>
    <cellStyle name="Percent 3 2 6 3 7" xfId="20740" xr:uid="{00000000-0005-0000-0000-00002B4F0000}"/>
    <cellStyle name="Percent 3 2 6 4" xfId="10025" xr:uid="{00000000-0005-0000-0000-00002C4F0000}"/>
    <cellStyle name="Percent 3 2 6 4 2" xfId="10026" xr:uid="{00000000-0005-0000-0000-00002D4F0000}"/>
    <cellStyle name="Percent 3 2 6 4 2 2" xfId="10027" xr:uid="{00000000-0005-0000-0000-00002E4F0000}"/>
    <cellStyle name="Percent 3 2 6 4 2 2 2" xfId="20741" xr:uid="{00000000-0005-0000-0000-00002F4F0000}"/>
    <cellStyle name="Percent 3 2 6 4 2 3" xfId="10028" xr:uid="{00000000-0005-0000-0000-0000304F0000}"/>
    <cellStyle name="Percent 3 2 6 4 2 3 2" xfId="20742" xr:uid="{00000000-0005-0000-0000-0000314F0000}"/>
    <cellStyle name="Percent 3 2 6 4 2 4" xfId="20743" xr:uid="{00000000-0005-0000-0000-0000324F0000}"/>
    <cellStyle name="Percent 3 2 6 4 3" xfId="10029" xr:uid="{00000000-0005-0000-0000-0000334F0000}"/>
    <cellStyle name="Percent 3 2 6 4 3 2" xfId="10030" xr:uid="{00000000-0005-0000-0000-0000344F0000}"/>
    <cellStyle name="Percent 3 2 6 4 3 2 2" xfId="20744" xr:uid="{00000000-0005-0000-0000-0000354F0000}"/>
    <cellStyle name="Percent 3 2 6 4 3 3" xfId="10031" xr:uid="{00000000-0005-0000-0000-0000364F0000}"/>
    <cellStyle name="Percent 3 2 6 4 3 3 2" xfId="20745" xr:uid="{00000000-0005-0000-0000-0000374F0000}"/>
    <cellStyle name="Percent 3 2 6 4 3 4" xfId="20746" xr:uid="{00000000-0005-0000-0000-0000384F0000}"/>
    <cellStyle name="Percent 3 2 6 4 4" xfId="10032" xr:uid="{00000000-0005-0000-0000-0000394F0000}"/>
    <cellStyle name="Percent 3 2 6 4 4 2" xfId="20747" xr:uid="{00000000-0005-0000-0000-00003A4F0000}"/>
    <cellStyle name="Percent 3 2 6 4 5" xfId="10033" xr:uid="{00000000-0005-0000-0000-00003B4F0000}"/>
    <cellStyle name="Percent 3 2 6 4 5 2" xfId="20748" xr:uid="{00000000-0005-0000-0000-00003C4F0000}"/>
    <cellStyle name="Percent 3 2 6 4 6" xfId="20749" xr:uid="{00000000-0005-0000-0000-00003D4F0000}"/>
    <cellStyle name="Percent 3 2 6 5" xfId="10034" xr:uid="{00000000-0005-0000-0000-00003E4F0000}"/>
    <cellStyle name="Percent 3 2 6 5 2" xfId="10035" xr:uid="{00000000-0005-0000-0000-00003F4F0000}"/>
    <cellStyle name="Percent 3 2 6 5 2 2" xfId="10036" xr:uid="{00000000-0005-0000-0000-0000404F0000}"/>
    <cellStyle name="Percent 3 2 6 5 2 2 2" xfId="20750" xr:uid="{00000000-0005-0000-0000-0000414F0000}"/>
    <cellStyle name="Percent 3 2 6 5 2 3" xfId="10037" xr:uid="{00000000-0005-0000-0000-0000424F0000}"/>
    <cellStyle name="Percent 3 2 6 5 2 3 2" xfId="20751" xr:uid="{00000000-0005-0000-0000-0000434F0000}"/>
    <cellStyle name="Percent 3 2 6 5 2 4" xfId="20752" xr:uid="{00000000-0005-0000-0000-0000444F0000}"/>
    <cellStyle name="Percent 3 2 6 5 3" xfId="10038" xr:uid="{00000000-0005-0000-0000-0000454F0000}"/>
    <cellStyle name="Percent 3 2 6 5 3 2" xfId="10039" xr:uid="{00000000-0005-0000-0000-0000464F0000}"/>
    <cellStyle name="Percent 3 2 6 5 3 2 2" xfId="20753" xr:uid="{00000000-0005-0000-0000-0000474F0000}"/>
    <cellStyle name="Percent 3 2 6 5 3 3" xfId="10040" xr:uid="{00000000-0005-0000-0000-0000484F0000}"/>
    <cellStyle name="Percent 3 2 6 5 3 3 2" xfId="20754" xr:uid="{00000000-0005-0000-0000-0000494F0000}"/>
    <cellStyle name="Percent 3 2 6 5 3 4" xfId="20755" xr:uid="{00000000-0005-0000-0000-00004A4F0000}"/>
    <cellStyle name="Percent 3 2 6 5 4" xfId="10041" xr:uid="{00000000-0005-0000-0000-00004B4F0000}"/>
    <cellStyle name="Percent 3 2 6 5 4 2" xfId="20756" xr:uid="{00000000-0005-0000-0000-00004C4F0000}"/>
    <cellStyle name="Percent 3 2 6 5 5" xfId="10042" xr:uid="{00000000-0005-0000-0000-00004D4F0000}"/>
    <cellStyle name="Percent 3 2 6 5 5 2" xfId="20757" xr:uid="{00000000-0005-0000-0000-00004E4F0000}"/>
    <cellStyle name="Percent 3 2 6 5 6" xfId="20758" xr:uid="{00000000-0005-0000-0000-00004F4F0000}"/>
    <cellStyle name="Percent 3 2 6 6" xfId="10043" xr:uid="{00000000-0005-0000-0000-0000504F0000}"/>
    <cellStyle name="Percent 3 2 6 6 2" xfId="10044" xr:uid="{00000000-0005-0000-0000-0000514F0000}"/>
    <cellStyle name="Percent 3 2 6 6 2 2" xfId="20759" xr:uid="{00000000-0005-0000-0000-0000524F0000}"/>
    <cellStyle name="Percent 3 2 6 6 3" xfId="10045" xr:uid="{00000000-0005-0000-0000-0000534F0000}"/>
    <cellStyle name="Percent 3 2 6 6 3 2" xfId="20760" xr:uid="{00000000-0005-0000-0000-0000544F0000}"/>
    <cellStyle name="Percent 3 2 6 6 4" xfId="20761" xr:uid="{00000000-0005-0000-0000-0000554F0000}"/>
    <cellStyle name="Percent 3 2 6 7" xfId="10046" xr:uid="{00000000-0005-0000-0000-0000564F0000}"/>
    <cellStyle name="Percent 3 2 6 7 2" xfId="10047" xr:uid="{00000000-0005-0000-0000-0000574F0000}"/>
    <cellStyle name="Percent 3 2 6 7 2 2" xfId="20762" xr:uid="{00000000-0005-0000-0000-0000584F0000}"/>
    <cellStyle name="Percent 3 2 6 7 3" xfId="10048" xr:uid="{00000000-0005-0000-0000-0000594F0000}"/>
    <cellStyle name="Percent 3 2 6 7 3 2" xfId="20763" xr:uid="{00000000-0005-0000-0000-00005A4F0000}"/>
    <cellStyle name="Percent 3 2 6 7 4" xfId="20764" xr:uid="{00000000-0005-0000-0000-00005B4F0000}"/>
    <cellStyle name="Percent 3 2 6 8" xfId="10049" xr:uid="{00000000-0005-0000-0000-00005C4F0000}"/>
    <cellStyle name="Percent 3 2 6 8 2" xfId="20765" xr:uid="{00000000-0005-0000-0000-00005D4F0000}"/>
    <cellStyle name="Percent 3 2 6 9" xfId="10050" xr:uid="{00000000-0005-0000-0000-00005E4F0000}"/>
    <cellStyle name="Percent 3 2 6 9 2" xfId="20766" xr:uid="{00000000-0005-0000-0000-00005F4F0000}"/>
    <cellStyle name="Percent 3 2 7" xfId="10051" xr:uid="{00000000-0005-0000-0000-0000604F0000}"/>
    <cellStyle name="Percent 3 2 7 2" xfId="10052" xr:uid="{00000000-0005-0000-0000-0000614F0000}"/>
    <cellStyle name="Percent 3 2 7 2 2" xfId="10053" xr:uid="{00000000-0005-0000-0000-0000624F0000}"/>
    <cellStyle name="Percent 3 2 7 2 2 2" xfId="10054" xr:uid="{00000000-0005-0000-0000-0000634F0000}"/>
    <cellStyle name="Percent 3 2 7 2 2 2 2" xfId="20767" xr:uid="{00000000-0005-0000-0000-0000644F0000}"/>
    <cellStyle name="Percent 3 2 7 2 2 3" xfId="10055" xr:uid="{00000000-0005-0000-0000-0000654F0000}"/>
    <cellStyle name="Percent 3 2 7 2 2 3 2" xfId="20768" xr:uid="{00000000-0005-0000-0000-0000664F0000}"/>
    <cellStyle name="Percent 3 2 7 2 2 4" xfId="20769" xr:uid="{00000000-0005-0000-0000-0000674F0000}"/>
    <cellStyle name="Percent 3 2 7 2 3" xfId="10056" xr:uid="{00000000-0005-0000-0000-0000684F0000}"/>
    <cellStyle name="Percent 3 2 7 2 3 2" xfId="10057" xr:uid="{00000000-0005-0000-0000-0000694F0000}"/>
    <cellStyle name="Percent 3 2 7 2 3 2 2" xfId="20770" xr:uid="{00000000-0005-0000-0000-00006A4F0000}"/>
    <cellStyle name="Percent 3 2 7 2 3 3" xfId="10058" xr:uid="{00000000-0005-0000-0000-00006B4F0000}"/>
    <cellStyle name="Percent 3 2 7 2 3 3 2" xfId="20771" xr:uid="{00000000-0005-0000-0000-00006C4F0000}"/>
    <cellStyle name="Percent 3 2 7 2 3 4" xfId="20772" xr:uid="{00000000-0005-0000-0000-00006D4F0000}"/>
    <cellStyle name="Percent 3 2 7 2 4" xfId="10059" xr:uid="{00000000-0005-0000-0000-00006E4F0000}"/>
    <cellStyle name="Percent 3 2 7 2 4 2" xfId="20773" xr:uid="{00000000-0005-0000-0000-00006F4F0000}"/>
    <cellStyle name="Percent 3 2 7 2 5" xfId="10060" xr:uid="{00000000-0005-0000-0000-0000704F0000}"/>
    <cellStyle name="Percent 3 2 7 2 5 2" xfId="20774" xr:uid="{00000000-0005-0000-0000-0000714F0000}"/>
    <cellStyle name="Percent 3 2 7 2 6" xfId="20775" xr:uid="{00000000-0005-0000-0000-0000724F0000}"/>
    <cellStyle name="Percent 3 2 7 3" xfId="10061" xr:uid="{00000000-0005-0000-0000-0000734F0000}"/>
    <cellStyle name="Percent 3 2 7 3 2" xfId="10062" xr:uid="{00000000-0005-0000-0000-0000744F0000}"/>
    <cellStyle name="Percent 3 2 7 3 2 2" xfId="10063" xr:uid="{00000000-0005-0000-0000-0000754F0000}"/>
    <cellStyle name="Percent 3 2 7 3 2 2 2" xfId="20776" xr:uid="{00000000-0005-0000-0000-0000764F0000}"/>
    <cellStyle name="Percent 3 2 7 3 2 3" xfId="10064" xr:uid="{00000000-0005-0000-0000-0000774F0000}"/>
    <cellStyle name="Percent 3 2 7 3 2 3 2" xfId="20777" xr:uid="{00000000-0005-0000-0000-0000784F0000}"/>
    <cellStyle name="Percent 3 2 7 3 2 4" xfId="20778" xr:uid="{00000000-0005-0000-0000-0000794F0000}"/>
    <cellStyle name="Percent 3 2 7 3 3" xfId="10065" xr:uid="{00000000-0005-0000-0000-00007A4F0000}"/>
    <cellStyle name="Percent 3 2 7 3 3 2" xfId="10066" xr:uid="{00000000-0005-0000-0000-00007B4F0000}"/>
    <cellStyle name="Percent 3 2 7 3 3 2 2" xfId="20779" xr:uid="{00000000-0005-0000-0000-00007C4F0000}"/>
    <cellStyle name="Percent 3 2 7 3 3 3" xfId="10067" xr:uid="{00000000-0005-0000-0000-00007D4F0000}"/>
    <cellStyle name="Percent 3 2 7 3 3 3 2" xfId="20780" xr:uid="{00000000-0005-0000-0000-00007E4F0000}"/>
    <cellStyle name="Percent 3 2 7 3 3 4" xfId="20781" xr:uid="{00000000-0005-0000-0000-00007F4F0000}"/>
    <cellStyle name="Percent 3 2 7 3 4" xfId="10068" xr:uid="{00000000-0005-0000-0000-0000804F0000}"/>
    <cellStyle name="Percent 3 2 7 3 4 2" xfId="20782" xr:uid="{00000000-0005-0000-0000-0000814F0000}"/>
    <cellStyle name="Percent 3 2 7 3 5" xfId="10069" xr:uid="{00000000-0005-0000-0000-0000824F0000}"/>
    <cellStyle name="Percent 3 2 7 3 5 2" xfId="20783" xr:uid="{00000000-0005-0000-0000-0000834F0000}"/>
    <cellStyle name="Percent 3 2 7 3 6" xfId="20784" xr:uid="{00000000-0005-0000-0000-0000844F0000}"/>
    <cellStyle name="Percent 3 2 7 4" xfId="10070" xr:uid="{00000000-0005-0000-0000-0000854F0000}"/>
    <cellStyle name="Percent 3 2 7 4 2" xfId="10071" xr:uid="{00000000-0005-0000-0000-0000864F0000}"/>
    <cellStyle name="Percent 3 2 7 4 2 2" xfId="20785" xr:uid="{00000000-0005-0000-0000-0000874F0000}"/>
    <cellStyle name="Percent 3 2 7 4 3" xfId="10072" xr:uid="{00000000-0005-0000-0000-0000884F0000}"/>
    <cellStyle name="Percent 3 2 7 4 3 2" xfId="20786" xr:uid="{00000000-0005-0000-0000-0000894F0000}"/>
    <cellStyle name="Percent 3 2 7 4 4" xfId="20787" xr:uid="{00000000-0005-0000-0000-00008A4F0000}"/>
    <cellStyle name="Percent 3 2 7 5" xfId="10073" xr:uid="{00000000-0005-0000-0000-00008B4F0000}"/>
    <cellStyle name="Percent 3 2 7 5 2" xfId="10074" xr:uid="{00000000-0005-0000-0000-00008C4F0000}"/>
    <cellStyle name="Percent 3 2 7 5 2 2" xfId="20788" xr:uid="{00000000-0005-0000-0000-00008D4F0000}"/>
    <cellStyle name="Percent 3 2 7 5 3" xfId="10075" xr:uid="{00000000-0005-0000-0000-00008E4F0000}"/>
    <cellStyle name="Percent 3 2 7 5 3 2" xfId="20789" xr:uid="{00000000-0005-0000-0000-00008F4F0000}"/>
    <cellStyle name="Percent 3 2 7 5 4" xfId="20790" xr:uid="{00000000-0005-0000-0000-0000904F0000}"/>
    <cellStyle name="Percent 3 2 7 6" xfId="10076" xr:uid="{00000000-0005-0000-0000-0000914F0000}"/>
    <cellStyle name="Percent 3 2 7 6 2" xfId="20791" xr:uid="{00000000-0005-0000-0000-0000924F0000}"/>
    <cellStyle name="Percent 3 2 7 7" xfId="10077" xr:uid="{00000000-0005-0000-0000-0000934F0000}"/>
    <cellStyle name="Percent 3 2 7 7 2" xfId="20792" xr:uid="{00000000-0005-0000-0000-0000944F0000}"/>
    <cellStyle name="Percent 3 2 7 8" xfId="20793" xr:uid="{00000000-0005-0000-0000-0000954F0000}"/>
    <cellStyle name="Percent 3 2 8" xfId="10078" xr:uid="{00000000-0005-0000-0000-0000964F0000}"/>
    <cellStyle name="Percent 3 2 8 2" xfId="10079" xr:uid="{00000000-0005-0000-0000-0000974F0000}"/>
    <cellStyle name="Percent 3 2 8 2 2" xfId="10080" xr:uid="{00000000-0005-0000-0000-0000984F0000}"/>
    <cellStyle name="Percent 3 2 8 2 2 2" xfId="10081" xr:uid="{00000000-0005-0000-0000-0000994F0000}"/>
    <cellStyle name="Percent 3 2 8 2 2 2 2" xfId="20794" xr:uid="{00000000-0005-0000-0000-00009A4F0000}"/>
    <cellStyle name="Percent 3 2 8 2 2 3" xfId="10082" xr:uid="{00000000-0005-0000-0000-00009B4F0000}"/>
    <cellStyle name="Percent 3 2 8 2 2 3 2" xfId="20795" xr:uid="{00000000-0005-0000-0000-00009C4F0000}"/>
    <cellStyle name="Percent 3 2 8 2 2 4" xfId="20796" xr:uid="{00000000-0005-0000-0000-00009D4F0000}"/>
    <cellStyle name="Percent 3 2 8 2 3" xfId="10083" xr:uid="{00000000-0005-0000-0000-00009E4F0000}"/>
    <cellStyle name="Percent 3 2 8 2 3 2" xfId="10084" xr:uid="{00000000-0005-0000-0000-00009F4F0000}"/>
    <cellStyle name="Percent 3 2 8 2 3 2 2" xfId="20797" xr:uid="{00000000-0005-0000-0000-0000A04F0000}"/>
    <cellStyle name="Percent 3 2 8 2 3 3" xfId="10085" xr:uid="{00000000-0005-0000-0000-0000A14F0000}"/>
    <cellStyle name="Percent 3 2 8 2 3 3 2" xfId="20798" xr:uid="{00000000-0005-0000-0000-0000A24F0000}"/>
    <cellStyle name="Percent 3 2 8 2 3 4" xfId="20799" xr:uid="{00000000-0005-0000-0000-0000A34F0000}"/>
    <cellStyle name="Percent 3 2 8 2 4" xfId="10086" xr:uid="{00000000-0005-0000-0000-0000A44F0000}"/>
    <cellStyle name="Percent 3 2 8 2 4 2" xfId="20800" xr:uid="{00000000-0005-0000-0000-0000A54F0000}"/>
    <cellStyle name="Percent 3 2 8 2 5" xfId="10087" xr:uid="{00000000-0005-0000-0000-0000A64F0000}"/>
    <cellStyle name="Percent 3 2 8 2 5 2" xfId="20801" xr:uid="{00000000-0005-0000-0000-0000A74F0000}"/>
    <cellStyle name="Percent 3 2 8 2 6" xfId="20802" xr:uid="{00000000-0005-0000-0000-0000A84F0000}"/>
    <cellStyle name="Percent 3 2 8 3" xfId="10088" xr:uid="{00000000-0005-0000-0000-0000A94F0000}"/>
    <cellStyle name="Percent 3 2 8 3 2" xfId="10089" xr:uid="{00000000-0005-0000-0000-0000AA4F0000}"/>
    <cellStyle name="Percent 3 2 8 3 2 2" xfId="20803" xr:uid="{00000000-0005-0000-0000-0000AB4F0000}"/>
    <cellStyle name="Percent 3 2 8 3 3" xfId="10090" xr:uid="{00000000-0005-0000-0000-0000AC4F0000}"/>
    <cellStyle name="Percent 3 2 8 3 3 2" xfId="20804" xr:uid="{00000000-0005-0000-0000-0000AD4F0000}"/>
    <cellStyle name="Percent 3 2 8 3 4" xfId="20805" xr:uid="{00000000-0005-0000-0000-0000AE4F0000}"/>
    <cellStyle name="Percent 3 2 8 4" xfId="10091" xr:uid="{00000000-0005-0000-0000-0000AF4F0000}"/>
    <cellStyle name="Percent 3 2 8 4 2" xfId="10092" xr:uid="{00000000-0005-0000-0000-0000B04F0000}"/>
    <cellStyle name="Percent 3 2 8 4 2 2" xfId="20806" xr:uid="{00000000-0005-0000-0000-0000B14F0000}"/>
    <cellStyle name="Percent 3 2 8 4 3" xfId="10093" xr:uid="{00000000-0005-0000-0000-0000B24F0000}"/>
    <cellStyle name="Percent 3 2 8 4 3 2" xfId="20807" xr:uid="{00000000-0005-0000-0000-0000B34F0000}"/>
    <cellStyle name="Percent 3 2 8 4 4" xfId="20808" xr:uid="{00000000-0005-0000-0000-0000B44F0000}"/>
    <cellStyle name="Percent 3 2 8 5" xfId="10094" xr:uid="{00000000-0005-0000-0000-0000B54F0000}"/>
    <cellStyle name="Percent 3 2 8 5 2" xfId="20809" xr:uid="{00000000-0005-0000-0000-0000B64F0000}"/>
    <cellStyle name="Percent 3 2 8 6" xfId="10095" xr:uid="{00000000-0005-0000-0000-0000B74F0000}"/>
    <cellStyle name="Percent 3 2 8 6 2" xfId="20810" xr:uid="{00000000-0005-0000-0000-0000B84F0000}"/>
    <cellStyle name="Percent 3 2 8 7" xfId="20811" xr:uid="{00000000-0005-0000-0000-0000B94F0000}"/>
    <cellStyle name="Percent 3 2 9" xfId="10096" xr:uid="{00000000-0005-0000-0000-0000BA4F0000}"/>
    <cellStyle name="Percent 3 2 9 2" xfId="10097" xr:uid="{00000000-0005-0000-0000-0000BB4F0000}"/>
    <cellStyle name="Percent 3 2 9 2 2" xfId="10098" xr:uid="{00000000-0005-0000-0000-0000BC4F0000}"/>
    <cellStyle name="Percent 3 2 9 2 2 2" xfId="20812" xr:uid="{00000000-0005-0000-0000-0000BD4F0000}"/>
    <cellStyle name="Percent 3 2 9 2 3" xfId="10099" xr:uid="{00000000-0005-0000-0000-0000BE4F0000}"/>
    <cellStyle name="Percent 3 2 9 2 3 2" xfId="20813" xr:uid="{00000000-0005-0000-0000-0000BF4F0000}"/>
    <cellStyle name="Percent 3 2 9 2 4" xfId="20814" xr:uid="{00000000-0005-0000-0000-0000C04F0000}"/>
    <cellStyle name="Percent 3 2 9 3" xfId="10100" xr:uid="{00000000-0005-0000-0000-0000C14F0000}"/>
    <cellStyle name="Percent 3 2 9 3 2" xfId="10101" xr:uid="{00000000-0005-0000-0000-0000C24F0000}"/>
    <cellStyle name="Percent 3 2 9 3 2 2" xfId="20815" xr:uid="{00000000-0005-0000-0000-0000C34F0000}"/>
    <cellStyle name="Percent 3 2 9 3 3" xfId="10102" xr:uid="{00000000-0005-0000-0000-0000C44F0000}"/>
    <cellStyle name="Percent 3 2 9 3 3 2" xfId="20816" xr:uid="{00000000-0005-0000-0000-0000C54F0000}"/>
    <cellStyle name="Percent 3 2 9 3 4" xfId="20817" xr:uid="{00000000-0005-0000-0000-0000C64F0000}"/>
    <cellStyle name="Percent 3 2 9 4" xfId="10103" xr:uid="{00000000-0005-0000-0000-0000C74F0000}"/>
    <cellStyle name="Percent 3 2 9 4 2" xfId="20818" xr:uid="{00000000-0005-0000-0000-0000C84F0000}"/>
    <cellStyle name="Percent 3 2 9 5" xfId="10104" xr:uid="{00000000-0005-0000-0000-0000C94F0000}"/>
    <cellStyle name="Percent 3 2 9 5 2" xfId="20819" xr:uid="{00000000-0005-0000-0000-0000CA4F0000}"/>
    <cellStyle name="Percent 3 2 9 6" xfId="20820" xr:uid="{00000000-0005-0000-0000-0000CB4F0000}"/>
    <cellStyle name="Percent 3 3" xfId="10105" xr:uid="{00000000-0005-0000-0000-0000CC4F0000}"/>
    <cellStyle name="Percent 3 4" xfId="10106" xr:uid="{00000000-0005-0000-0000-0000CD4F0000}"/>
    <cellStyle name="Percent 30" xfId="10107" xr:uid="{00000000-0005-0000-0000-0000CE4F0000}"/>
    <cellStyle name="Percent 31" xfId="10108" xr:uid="{00000000-0005-0000-0000-0000CF4F0000}"/>
    <cellStyle name="Percent 32" xfId="10109" xr:uid="{00000000-0005-0000-0000-0000D04F0000}"/>
    <cellStyle name="Percent 33" xfId="10110" xr:uid="{00000000-0005-0000-0000-0000D14F0000}"/>
    <cellStyle name="Percent 34" xfId="10111" xr:uid="{00000000-0005-0000-0000-0000D24F0000}"/>
    <cellStyle name="Percent 35" xfId="10112" xr:uid="{00000000-0005-0000-0000-0000D34F0000}"/>
    <cellStyle name="Percent 36" xfId="10113" xr:uid="{00000000-0005-0000-0000-0000D44F0000}"/>
    <cellStyle name="Percent 37" xfId="10114" xr:uid="{00000000-0005-0000-0000-0000D54F0000}"/>
    <cellStyle name="Percent 38" xfId="10115" xr:uid="{00000000-0005-0000-0000-0000D64F0000}"/>
    <cellStyle name="Percent 39" xfId="10116" xr:uid="{00000000-0005-0000-0000-0000D74F0000}"/>
    <cellStyle name="Percent 4" xfId="233" xr:uid="{00000000-0005-0000-0000-0000D84F0000}"/>
    <cellStyle name="Percent 4 2" xfId="234" xr:uid="{00000000-0005-0000-0000-0000D94F0000}"/>
    <cellStyle name="Percent 4 3" xfId="10117" xr:uid="{00000000-0005-0000-0000-0000DA4F0000}"/>
    <cellStyle name="Percent 40" xfId="10118" xr:uid="{00000000-0005-0000-0000-0000DB4F0000}"/>
    <cellStyle name="Percent 41" xfId="10119" xr:uid="{00000000-0005-0000-0000-0000DC4F0000}"/>
    <cellStyle name="Percent 42" xfId="10120" xr:uid="{00000000-0005-0000-0000-0000DD4F0000}"/>
    <cellStyle name="Percent 43" xfId="10121" xr:uid="{00000000-0005-0000-0000-0000DE4F0000}"/>
    <cellStyle name="Percent 44" xfId="10454" xr:uid="{00000000-0005-0000-0000-0000DF4F0000}"/>
    <cellStyle name="Percent 44 2" xfId="20821" xr:uid="{00000000-0005-0000-0000-0000E04F0000}"/>
    <cellStyle name="Percent 45" xfId="10456" xr:uid="{00000000-0005-0000-0000-0000E14F0000}"/>
    <cellStyle name="Percent 45 2" xfId="20822" xr:uid="{00000000-0005-0000-0000-0000E24F0000}"/>
    <cellStyle name="Percent 46" xfId="10458" xr:uid="{00000000-0005-0000-0000-0000E34F0000}"/>
    <cellStyle name="Percent 46 2" xfId="20823" xr:uid="{00000000-0005-0000-0000-0000E44F0000}"/>
    <cellStyle name="Percent 47" xfId="10460" xr:uid="{00000000-0005-0000-0000-0000E54F0000}"/>
    <cellStyle name="Percent 47 2" xfId="20824" xr:uid="{00000000-0005-0000-0000-0000E64F0000}"/>
    <cellStyle name="Percent 48" xfId="10462" xr:uid="{00000000-0005-0000-0000-0000E74F0000}"/>
    <cellStyle name="Percent 48 2" xfId="20825" xr:uid="{00000000-0005-0000-0000-0000E84F0000}"/>
    <cellStyle name="Percent 49" xfId="10464" xr:uid="{00000000-0005-0000-0000-0000E94F0000}"/>
    <cellStyle name="Percent 49 2" xfId="20826" xr:uid="{00000000-0005-0000-0000-0000EA4F0000}"/>
    <cellStyle name="Percent 5" xfId="235" xr:uid="{00000000-0005-0000-0000-0000EB4F0000}"/>
    <cellStyle name="Percent 5 10" xfId="10122" xr:uid="{00000000-0005-0000-0000-0000EC4F0000}"/>
    <cellStyle name="Percent 5 11" xfId="10123" xr:uid="{00000000-0005-0000-0000-0000ED4F0000}"/>
    <cellStyle name="Percent 5 12" xfId="10124" xr:uid="{00000000-0005-0000-0000-0000EE4F0000}"/>
    <cellStyle name="Percent 5 13" xfId="10125" xr:uid="{00000000-0005-0000-0000-0000EF4F0000}"/>
    <cellStyle name="Percent 5 14" xfId="10126" xr:uid="{00000000-0005-0000-0000-0000F04F0000}"/>
    <cellStyle name="Percent 5 15" xfId="10127" xr:uid="{00000000-0005-0000-0000-0000F14F0000}"/>
    <cellStyle name="Percent 5 16" xfId="10128" xr:uid="{00000000-0005-0000-0000-0000F24F0000}"/>
    <cellStyle name="Percent 5 17" xfId="10129" xr:uid="{00000000-0005-0000-0000-0000F34F0000}"/>
    <cellStyle name="Percent 5 18" xfId="10130" xr:uid="{00000000-0005-0000-0000-0000F44F0000}"/>
    <cellStyle name="Percent 5 19" xfId="10131" xr:uid="{00000000-0005-0000-0000-0000F54F0000}"/>
    <cellStyle name="Percent 5 2" xfId="10132" xr:uid="{00000000-0005-0000-0000-0000F64F0000}"/>
    <cellStyle name="Percent 5 20" xfId="10133" xr:uid="{00000000-0005-0000-0000-0000F74F0000}"/>
    <cellStyle name="Percent 5 21" xfId="10134" xr:uid="{00000000-0005-0000-0000-0000F84F0000}"/>
    <cellStyle name="Percent 5 22" xfId="10135" xr:uid="{00000000-0005-0000-0000-0000F94F0000}"/>
    <cellStyle name="Percent 5 23" xfId="10136" xr:uid="{00000000-0005-0000-0000-0000FA4F0000}"/>
    <cellStyle name="Percent 5 24" xfId="10137" xr:uid="{00000000-0005-0000-0000-0000FB4F0000}"/>
    <cellStyle name="Percent 5 25" xfId="10138" xr:uid="{00000000-0005-0000-0000-0000FC4F0000}"/>
    <cellStyle name="Percent 5 26" xfId="10139" xr:uid="{00000000-0005-0000-0000-0000FD4F0000}"/>
    <cellStyle name="Percent 5 27" xfId="10140" xr:uid="{00000000-0005-0000-0000-0000FE4F0000}"/>
    <cellStyle name="Percent 5 28" xfId="10141" xr:uid="{00000000-0005-0000-0000-0000FF4F0000}"/>
    <cellStyle name="Percent 5 29" xfId="10142" xr:uid="{00000000-0005-0000-0000-000000500000}"/>
    <cellStyle name="Percent 5 3" xfId="10143" xr:uid="{00000000-0005-0000-0000-000001500000}"/>
    <cellStyle name="Percent 5 30" xfId="10144" xr:uid="{00000000-0005-0000-0000-000002500000}"/>
    <cellStyle name="Percent 5 31" xfId="10145" xr:uid="{00000000-0005-0000-0000-000003500000}"/>
    <cellStyle name="Percent 5 32" xfId="10146" xr:uid="{00000000-0005-0000-0000-000004500000}"/>
    <cellStyle name="Percent 5 33" xfId="10147" xr:uid="{00000000-0005-0000-0000-000005500000}"/>
    <cellStyle name="Percent 5 34" xfId="10148" xr:uid="{00000000-0005-0000-0000-000006500000}"/>
    <cellStyle name="Percent 5 35" xfId="10149" xr:uid="{00000000-0005-0000-0000-000007500000}"/>
    <cellStyle name="Percent 5 36" xfId="10150" xr:uid="{00000000-0005-0000-0000-000008500000}"/>
    <cellStyle name="Percent 5 37" xfId="10151" xr:uid="{00000000-0005-0000-0000-000009500000}"/>
    <cellStyle name="Percent 5 38" xfId="10152" xr:uid="{00000000-0005-0000-0000-00000A500000}"/>
    <cellStyle name="Percent 5 39" xfId="10153" xr:uid="{00000000-0005-0000-0000-00000B500000}"/>
    <cellStyle name="Percent 5 4" xfId="10154" xr:uid="{00000000-0005-0000-0000-00000C500000}"/>
    <cellStyle name="Percent 5 40" xfId="10155" xr:uid="{00000000-0005-0000-0000-00000D500000}"/>
    <cellStyle name="Percent 5 41" xfId="10156" xr:uid="{00000000-0005-0000-0000-00000E500000}"/>
    <cellStyle name="Percent 5 42" xfId="10157" xr:uid="{00000000-0005-0000-0000-00000F500000}"/>
    <cellStyle name="Percent 5 43" xfId="10158" xr:uid="{00000000-0005-0000-0000-000010500000}"/>
    <cellStyle name="Percent 5 44" xfId="10159" xr:uid="{00000000-0005-0000-0000-000011500000}"/>
    <cellStyle name="Percent 5 45" xfId="10160" xr:uid="{00000000-0005-0000-0000-000012500000}"/>
    <cellStyle name="Percent 5 46" xfId="10161" xr:uid="{00000000-0005-0000-0000-000013500000}"/>
    <cellStyle name="Percent 5 47" xfId="10162" xr:uid="{00000000-0005-0000-0000-000014500000}"/>
    <cellStyle name="Percent 5 48" xfId="10163" xr:uid="{00000000-0005-0000-0000-000015500000}"/>
    <cellStyle name="Percent 5 49" xfId="10164" xr:uid="{00000000-0005-0000-0000-000016500000}"/>
    <cellStyle name="Percent 5 5" xfId="10165" xr:uid="{00000000-0005-0000-0000-000017500000}"/>
    <cellStyle name="Percent 5 50" xfId="10166" xr:uid="{00000000-0005-0000-0000-000018500000}"/>
    <cellStyle name="Percent 5 51" xfId="10167" xr:uid="{00000000-0005-0000-0000-000019500000}"/>
    <cellStyle name="Percent 5 52" xfId="10168" xr:uid="{00000000-0005-0000-0000-00001A500000}"/>
    <cellStyle name="Percent 5 53" xfId="10169" xr:uid="{00000000-0005-0000-0000-00001B500000}"/>
    <cellStyle name="Percent 5 54" xfId="10170" xr:uid="{00000000-0005-0000-0000-00001C500000}"/>
    <cellStyle name="Percent 5 55" xfId="10171" xr:uid="{00000000-0005-0000-0000-00001D500000}"/>
    <cellStyle name="Percent 5 6" xfId="10172" xr:uid="{00000000-0005-0000-0000-00001E500000}"/>
    <cellStyle name="Percent 5 7" xfId="10173" xr:uid="{00000000-0005-0000-0000-00001F500000}"/>
    <cellStyle name="Percent 5 8" xfId="10174" xr:uid="{00000000-0005-0000-0000-000020500000}"/>
    <cellStyle name="Percent 5 9" xfId="10175" xr:uid="{00000000-0005-0000-0000-000021500000}"/>
    <cellStyle name="Percent 50" xfId="10466" xr:uid="{00000000-0005-0000-0000-000022500000}"/>
    <cellStyle name="Percent 50 2" xfId="20827" xr:uid="{00000000-0005-0000-0000-000023500000}"/>
    <cellStyle name="Percent 51" xfId="10468" xr:uid="{00000000-0005-0000-0000-000024500000}"/>
    <cellStyle name="Percent 51 2" xfId="20828" xr:uid="{00000000-0005-0000-0000-000025500000}"/>
    <cellStyle name="Percent 52" xfId="10512" xr:uid="{00000000-0005-0000-0000-000026500000}"/>
    <cellStyle name="Percent 52 2" xfId="20829" xr:uid="{00000000-0005-0000-0000-000027500000}"/>
    <cellStyle name="Percent 53" xfId="10552" xr:uid="{00000000-0005-0000-0000-000028500000}"/>
    <cellStyle name="Percent 53 2" xfId="20830" xr:uid="{00000000-0005-0000-0000-000029500000}"/>
    <cellStyle name="Percent 54" xfId="10553" xr:uid="{00000000-0005-0000-0000-00002A500000}"/>
    <cellStyle name="Percent 54 2" xfId="20831" xr:uid="{00000000-0005-0000-0000-00002B500000}"/>
    <cellStyle name="Percent 55" xfId="10554" xr:uid="{00000000-0005-0000-0000-00002C500000}"/>
    <cellStyle name="Percent 55 2" xfId="20832" xr:uid="{00000000-0005-0000-0000-00002D500000}"/>
    <cellStyle name="Percent 56" xfId="10555" xr:uid="{00000000-0005-0000-0000-00002E500000}"/>
    <cellStyle name="Percent 56 2" xfId="20833" xr:uid="{00000000-0005-0000-0000-00002F500000}"/>
    <cellStyle name="Percent 57" xfId="10556" xr:uid="{00000000-0005-0000-0000-000030500000}"/>
    <cellStyle name="Percent 57 2" xfId="20834" xr:uid="{00000000-0005-0000-0000-000031500000}"/>
    <cellStyle name="Percent 58" xfId="10557" xr:uid="{00000000-0005-0000-0000-000032500000}"/>
    <cellStyle name="Percent 58 2" xfId="20835" xr:uid="{00000000-0005-0000-0000-000033500000}"/>
    <cellStyle name="Percent 59" xfId="10558" xr:uid="{00000000-0005-0000-0000-000034500000}"/>
    <cellStyle name="Percent 59 2" xfId="20836" xr:uid="{00000000-0005-0000-0000-000035500000}"/>
    <cellStyle name="Percent 6" xfId="236" xr:uid="{00000000-0005-0000-0000-000036500000}"/>
    <cellStyle name="Percent 6 2" xfId="237" xr:uid="{00000000-0005-0000-0000-000037500000}"/>
    <cellStyle name="Percent 6 3" xfId="10176" xr:uid="{00000000-0005-0000-0000-000038500000}"/>
    <cellStyle name="Percent 60" xfId="10559" xr:uid="{00000000-0005-0000-0000-000039500000}"/>
    <cellStyle name="Percent 60 2" xfId="20837" xr:uid="{00000000-0005-0000-0000-00003A500000}"/>
    <cellStyle name="Percent 61" xfId="10560" xr:uid="{00000000-0005-0000-0000-00003B500000}"/>
    <cellStyle name="Percent 61 2" xfId="20838" xr:uid="{00000000-0005-0000-0000-00003C500000}"/>
    <cellStyle name="Percent 62" xfId="10561" xr:uid="{00000000-0005-0000-0000-00003D500000}"/>
    <cellStyle name="Percent 62 2" xfId="20839" xr:uid="{00000000-0005-0000-0000-00003E500000}"/>
    <cellStyle name="Percent 63" xfId="10562" xr:uid="{00000000-0005-0000-0000-00003F500000}"/>
    <cellStyle name="Percent 63 2" xfId="20840" xr:uid="{00000000-0005-0000-0000-000040500000}"/>
    <cellStyle name="Percent 64" xfId="10563" xr:uid="{00000000-0005-0000-0000-000041500000}"/>
    <cellStyle name="Percent 64 2" xfId="20841" xr:uid="{00000000-0005-0000-0000-000042500000}"/>
    <cellStyle name="Percent 65" xfId="10564" xr:uid="{00000000-0005-0000-0000-000043500000}"/>
    <cellStyle name="Percent 65 2" xfId="20842" xr:uid="{00000000-0005-0000-0000-000044500000}"/>
    <cellStyle name="Percent 66" xfId="10565" xr:uid="{00000000-0005-0000-0000-000045500000}"/>
    <cellStyle name="Percent 66 2" xfId="20843" xr:uid="{00000000-0005-0000-0000-000046500000}"/>
    <cellStyle name="Percent 67" xfId="10566" xr:uid="{00000000-0005-0000-0000-000047500000}"/>
    <cellStyle name="Percent 67 2" xfId="20844" xr:uid="{00000000-0005-0000-0000-000048500000}"/>
    <cellStyle name="Percent 68" xfId="10567" xr:uid="{00000000-0005-0000-0000-000049500000}"/>
    <cellStyle name="Percent 68 2" xfId="20845" xr:uid="{00000000-0005-0000-0000-00004A500000}"/>
    <cellStyle name="Percent 69" xfId="10568" xr:uid="{00000000-0005-0000-0000-00004B500000}"/>
    <cellStyle name="Percent 69 2" xfId="20846" xr:uid="{00000000-0005-0000-0000-00004C500000}"/>
    <cellStyle name="Percent 7" xfId="238" xr:uid="{00000000-0005-0000-0000-00004D500000}"/>
    <cellStyle name="Percent 7 2" xfId="239" xr:uid="{00000000-0005-0000-0000-00004E500000}"/>
    <cellStyle name="Percent 7 3" xfId="10177" xr:uid="{00000000-0005-0000-0000-00004F500000}"/>
    <cellStyle name="Percent 70" xfId="10569" xr:uid="{00000000-0005-0000-0000-000050500000}"/>
    <cellStyle name="Percent 70 2" xfId="20847" xr:uid="{00000000-0005-0000-0000-000051500000}"/>
    <cellStyle name="Percent 71" xfId="10570" xr:uid="{00000000-0005-0000-0000-000052500000}"/>
    <cellStyle name="Percent 71 2" xfId="20848" xr:uid="{00000000-0005-0000-0000-000053500000}"/>
    <cellStyle name="Percent 72" xfId="10571" xr:uid="{00000000-0005-0000-0000-000054500000}"/>
    <cellStyle name="Percent 72 2" xfId="20849" xr:uid="{00000000-0005-0000-0000-000055500000}"/>
    <cellStyle name="Percent 73" xfId="10572" xr:uid="{00000000-0005-0000-0000-000056500000}"/>
    <cellStyle name="Percent 73 2" xfId="20850" xr:uid="{00000000-0005-0000-0000-000057500000}"/>
    <cellStyle name="Percent 74" xfId="10573" xr:uid="{00000000-0005-0000-0000-000058500000}"/>
    <cellStyle name="Percent 74 2" xfId="20851" xr:uid="{00000000-0005-0000-0000-000059500000}"/>
    <cellStyle name="Percent 75" xfId="10574" xr:uid="{00000000-0005-0000-0000-00005A500000}"/>
    <cellStyle name="Percent 75 2" xfId="20852" xr:uid="{00000000-0005-0000-0000-00005B500000}"/>
    <cellStyle name="Percent 76" xfId="10575" xr:uid="{00000000-0005-0000-0000-00005C500000}"/>
    <cellStyle name="Percent 76 2" xfId="20853" xr:uid="{00000000-0005-0000-0000-00005D500000}"/>
    <cellStyle name="Percent 77" xfId="10576" xr:uid="{00000000-0005-0000-0000-00005E500000}"/>
    <cellStyle name="Percent 77 2" xfId="20854" xr:uid="{00000000-0005-0000-0000-00005F500000}"/>
    <cellStyle name="Percent 78" xfId="10577" xr:uid="{00000000-0005-0000-0000-000060500000}"/>
    <cellStyle name="Percent 78 2" xfId="20855" xr:uid="{00000000-0005-0000-0000-000061500000}"/>
    <cellStyle name="Percent 79" xfId="10578" xr:uid="{00000000-0005-0000-0000-000062500000}"/>
    <cellStyle name="Percent 79 2" xfId="20856" xr:uid="{00000000-0005-0000-0000-000063500000}"/>
    <cellStyle name="Percent 8" xfId="240" xr:uid="{00000000-0005-0000-0000-000064500000}"/>
    <cellStyle name="Percent 8 2" xfId="241" xr:uid="{00000000-0005-0000-0000-000065500000}"/>
    <cellStyle name="Percent 8 3" xfId="10178" xr:uid="{00000000-0005-0000-0000-000066500000}"/>
    <cellStyle name="Percent 80" xfId="10579" xr:uid="{00000000-0005-0000-0000-000067500000}"/>
    <cellStyle name="Percent 80 2" xfId="20857" xr:uid="{00000000-0005-0000-0000-000068500000}"/>
    <cellStyle name="Percent 81" xfId="10580" xr:uid="{00000000-0005-0000-0000-000069500000}"/>
    <cellStyle name="Percent 81 2" xfId="20858" xr:uid="{00000000-0005-0000-0000-00006A500000}"/>
    <cellStyle name="Percent 82" xfId="10581" xr:uid="{00000000-0005-0000-0000-00006B500000}"/>
    <cellStyle name="Percent 82 2" xfId="20859" xr:uid="{00000000-0005-0000-0000-00006C500000}"/>
    <cellStyle name="Percent 83" xfId="10582" xr:uid="{00000000-0005-0000-0000-00006D500000}"/>
    <cellStyle name="Percent 83 2" xfId="20860" xr:uid="{00000000-0005-0000-0000-00006E500000}"/>
    <cellStyle name="Percent 84" xfId="10583" xr:uid="{00000000-0005-0000-0000-00006F500000}"/>
    <cellStyle name="Percent 84 2" xfId="20861" xr:uid="{00000000-0005-0000-0000-000070500000}"/>
    <cellStyle name="Percent 85" xfId="10584" xr:uid="{00000000-0005-0000-0000-000071500000}"/>
    <cellStyle name="Percent 85 2" xfId="20862" xr:uid="{00000000-0005-0000-0000-000072500000}"/>
    <cellStyle name="Percent 86" xfId="10585" xr:uid="{00000000-0005-0000-0000-000073500000}"/>
    <cellStyle name="Percent 86 2" xfId="20863" xr:uid="{00000000-0005-0000-0000-000074500000}"/>
    <cellStyle name="Percent 87" xfId="10586" xr:uid="{00000000-0005-0000-0000-000075500000}"/>
    <cellStyle name="Percent 87 2" xfId="20864" xr:uid="{00000000-0005-0000-0000-000076500000}"/>
    <cellStyle name="Percent 88" xfId="10587" xr:uid="{00000000-0005-0000-0000-000077500000}"/>
    <cellStyle name="Percent 88 2" xfId="20865" xr:uid="{00000000-0005-0000-0000-000078500000}"/>
    <cellStyle name="Percent 89" xfId="10588" xr:uid="{00000000-0005-0000-0000-000079500000}"/>
    <cellStyle name="Percent 89 2" xfId="20866" xr:uid="{00000000-0005-0000-0000-00007A500000}"/>
    <cellStyle name="Percent 9" xfId="242" xr:uid="{00000000-0005-0000-0000-00007B500000}"/>
    <cellStyle name="Percent 9 2" xfId="10179" xr:uid="{00000000-0005-0000-0000-00007C500000}"/>
    <cellStyle name="Percent 9 2 2" xfId="10180" xr:uid="{00000000-0005-0000-0000-00007D500000}"/>
    <cellStyle name="Percent 9 2 2 2" xfId="10181" xr:uid="{00000000-0005-0000-0000-00007E500000}"/>
    <cellStyle name="Percent 9 2 2 2 2" xfId="20867" xr:uid="{00000000-0005-0000-0000-00007F500000}"/>
    <cellStyle name="Percent 9 2 2 3" xfId="10182" xr:uid="{00000000-0005-0000-0000-000080500000}"/>
    <cellStyle name="Percent 9 2 2 3 2" xfId="20868" xr:uid="{00000000-0005-0000-0000-000081500000}"/>
    <cellStyle name="Percent 9 2 2 4" xfId="20869" xr:uid="{00000000-0005-0000-0000-000082500000}"/>
    <cellStyle name="Percent 9 2 3" xfId="10183" xr:uid="{00000000-0005-0000-0000-000083500000}"/>
    <cellStyle name="Percent 9 2 3 2" xfId="10184" xr:uid="{00000000-0005-0000-0000-000084500000}"/>
    <cellStyle name="Percent 9 2 3 2 2" xfId="20870" xr:uid="{00000000-0005-0000-0000-000085500000}"/>
    <cellStyle name="Percent 9 2 3 3" xfId="10185" xr:uid="{00000000-0005-0000-0000-000086500000}"/>
    <cellStyle name="Percent 9 2 3 3 2" xfId="20871" xr:uid="{00000000-0005-0000-0000-000087500000}"/>
    <cellStyle name="Percent 9 2 3 4" xfId="20872" xr:uid="{00000000-0005-0000-0000-000088500000}"/>
    <cellStyle name="Percent 9 2 4" xfId="10186" xr:uid="{00000000-0005-0000-0000-000089500000}"/>
    <cellStyle name="Percent 9 2 4 2" xfId="20873" xr:uid="{00000000-0005-0000-0000-00008A500000}"/>
    <cellStyle name="Percent 9 2 5" xfId="10187" xr:uid="{00000000-0005-0000-0000-00008B500000}"/>
    <cellStyle name="Percent 9 2 5 2" xfId="20874" xr:uid="{00000000-0005-0000-0000-00008C500000}"/>
    <cellStyle name="Percent 9 2 6" xfId="20875" xr:uid="{00000000-0005-0000-0000-00008D500000}"/>
    <cellStyle name="Percent 9 3" xfId="10188" xr:uid="{00000000-0005-0000-0000-00008E500000}"/>
    <cellStyle name="Percent 9 4" xfId="10189" xr:uid="{00000000-0005-0000-0000-00008F500000}"/>
    <cellStyle name="Percent 9 4 2" xfId="10190" xr:uid="{00000000-0005-0000-0000-000090500000}"/>
    <cellStyle name="Percent 9 4 2 2" xfId="20876" xr:uid="{00000000-0005-0000-0000-000091500000}"/>
    <cellStyle name="Percent 9 4 3" xfId="10191" xr:uid="{00000000-0005-0000-0000-000092500000}"/>
    <cellStyle name="Percent 9 4 3 2" xfId="20877" xr:uid="{00000000-0005-0000-0000-000093500000}"/>
    <cellStyle name="Percent 9 4 4" xfId="20878" xr:uid="{00000000-0005-0000-0000-000094500000}"/>
    <cellStyle name="Percent 9 5" xfId="10192" xr:uid="{00000000-0005-0000-0000-000095500000}"/>
    <cellStyle name="Percent 9 5 2" xfId="10193" xr:uid="{00000000-0005-0000-0000-000096500000}"/>
    <cellStyle name="Percent 9 5 2 2" xfId="20879" xr:uid="{00000000-0005-0000-0000-000097500000}"/>
    <cellStyle name="Percent 9 5 3" xfId="10194" xr:uid="{00000000-0005-0000-0000-000098500000}"/>
    <cellStyle name="Percent 9 5 3 2" xfId="20880" xr:uid="{00000000-0005-0000-0000-000099500000}"/>
    <cellStyle name="Percent 9 5 4" xfId="20881" xr:uid="{00000000-0005-0000-0000-00009A500000}"/>
    <cellStyle name="Percent 9 6" xfId="10195" xr:uid="{00000000-0005-0000-0000-00009B500000}"/>
    <cellStyle name="Percent 9 6 2" xfId="20882" xr:uid="{00000000-0005-0000-0000-00009C500000}"/>
    <cellStyle name="Percent 9 7" xfId="10196" xr:uid="{00000000-0005-0000-0000-00009D500000}"/>
    <cellStyle name="Percent 9 7 2" xfId="20883" xr:uid="{00000000-0005-0000-0000-00009E500000}"/>
    <cellStyle name="Percent 9 8" xfId="20884" xr:uid="{00000000-0005-0000-0000-00009F500000}"/>
    <cellStyle name="Percent 90" xfId="10589" xr:uid="{00000000-0005-0000-0000-0000A0500000}"/>
    <cellStyle name="Percent 90 2" xfId="20885" xr:uid="{00000000-0005-0000-0000-0000A1500000}"/>
    <cellStyle name="Percent 91" xfId="10590" xr:uid="{00000000-0005-0000-0000-0000A2500000}"/>
    <cellStyle name="Percent 91 2" xfId="20886" xr:uid="{00000000-0005-0000-0000-0000A3500000}"/>
    <cellStyle name="Percent 92" xfId="10591" xr:uid="{00000000-0005-0000-0000-0000A4500000}"/>
    <cellStyle name="Percent 92 2" xfId="20887" xr:uid="{00000000-0005-0000-0000-0000A5500000}"/>
    <cellStyle name="Percent 93" xfId="10641" xr:uid="{00000000-0005-0000-0000-0000A6500000}"/>
    <cellStyle name="Percent 94" xfId="10647" xr:uid="{00000000-0005-0000-0000-0000A7500000}"/>
    <cellStyle name="Percent 95" xfId="10649" xr:uid="{00000000-0005-0000-0000-0000A8500000}"/>
    <cellStyle name="Percent 96" xfId="10651" xr:uid="{00000000-0005-0000-0000-0000A9500000}"/>
    <cellStyle name="Percent 97" xfId="10654" xr:uid="{00000000-0005-0000-0000-0000AA500000}"/>
    <cellStyle name="Percent 98" xfId="10658" xr:uid="{00000000-0005-0000-0000-0000AB500000}"/>
    <cellStyle name="Percent 99" xfId="10659" xr:uid="{00000000-0005-0000-0000-0000AC500000}"/>
    <cellStyle name="PercentZero" xfId="10197" xr:uid="{00000000-0005-0000-0000-0000AD500000}"/>
    <cellStyle name="pmxBorderCellsS" xfId="10198" xr:uid="{00000000-0005-0000-0000-0000AE500000}"/>
    <cellStyle name="pmxCategoryHeadingB" xfId="10199" xr:uid="{00000000-0005-0000-0000-0000AF500000}"/>
    <cellStyle name="pmxCategoryHeadingM" xfId="10200" xr:uid="{00000000-0005-0000-0000-0000B0500000}"/>
    <cellStyle name="pmxHeadingB" xfId="10201" xr:uid="{00000000-0005-0000-0000-0000B1500000}"/>
    <cellStyle name="pmxHeadingL" xfId="10202" xr:uid="{00000000-0005-0000-0000-0000B2500000}"/>
    <cellStyle name="pmxHeadingM" xfId="10203" xr:uid="{00000000-0005-0000-0000-0000B3500000}"/>
    <cellStyle name="pmxHeadingS" xfId="10204" xr:uid="{00000000-0005-0000-0000-0000B4500000}"/>
    <cellStyle name="pmxMinorHeadingB" xfId="10205" xr:uid="{00000000-0005-0000-0000-0000B5500000}"/>
    <cellStyle name="pmxMinorHeadingS" xfId="10206" xr:uid="{00000000-0005-0000-0000-0000B6500000}"/>
    <cellStyle name="pmxSubHeadingB" xfId="10207" xr:uid="{00000000-0005-0000-0000-0000B7500000}"/>
    <cellStyle name="pmxSubHeadingM" xfId="10208" xr:uid="{00000000-0005-0000-0000-0000B8500000}"/>
    <cellStyle name="pmxSubSubHeadingB" xfId="10209" xr:uid="{00000000-0005-0000-0000-0000B9500000}"/>
    <cellStyle name="pmxSubSubHeadingM" xfId="10210" xr:uid="{00000000-0005-0000-0000-0000BA500000}"/>
    <cellStyle name="pmxSubSubHeadingS" xfId="10211" xr:uid="{00000000-0005-0000-0000-0000BB500000}"/>
    <cellStyle name="Precision" xfId="10212" xr:uid="{00000000-0005-0000-0000-0000BC500000}"/>
    <cellStyle name="PSChar" xfId="10213" xr:uid="{00000000-0005-0000-0000-0000BD500000}"/>
    <cellStyle name="PSChar 2" xfId="10214" xr:uid="{00000000-0005-0000-0000-0000BE500000}"/>
    <cellStyle name="PSChar 2 2" xfId="10215" xr:uid="{00000000-0005-0000-0000-0000BF500000}"/>
    <cellStyle name="PSDate" xfId="10216" xr:uid="{00000000-0005-0000-0000-0000C0500000}"/>
    <cellStyle name="PSDec" xfId="10217" xr:uid="{00000000-0005-0000-0000-0000C1500000}"/>
    <cellStyle name="PSHeading" xfId="10218" xr:uid="{00000000-0005-0000-0000-0000C2500000}"/>
    <cellStyle name="PSInt" xfId="10219" xr:uid="{00000000-0005-0000-0000-0000C3500000}"/>
    <cellStyle name="PSSpacer" xfId="10220" xr:uid="{00000000-0005-0000-0000-0000C4500000}"/>
    <cellStyle name="Reverse" xfId="10221" xr:uid="{00000000-0005-0000-0000-0000C5500000}"/>
    <cellStyle name="RevList" xfId="10222" xr:uid="{00000000-0005-0000-0000-0000C6500000}"/>
    <cellStyle name="SCI02 - Style8" xfId="10223" xr:uid="{00000000-0005-0000-0000-0000C7500000}"/>
    <cellStyle name="Sci1" xfId="10224" xr:uid="{00000000-0005-0000-0000-0000C8500000}"/>
    <cellStyle name="Sci2" xfId="10225" xr:uid="{00000000-0005-0000-0000-0000C9500000}"/>
    <cellStyle name="SET.PRINT.AREA" xfId="10226" xr:uid="{00000000-0005-0000-0000-0000CA500000}"/>
    <cellStyle name="Shade" xfId="10227" xr:uid="{00000000-0005-0000-0000-0000CB500000}"/>
    <cellStyle name="special" xfId="10228" xr:uid="{00000000-0005-0000-0000-0000CC500000}"/>
    <cellStyle name="Style 1" xfId="10229" xr:uid="{00000000-0005-0000-0000-0000CD500000}"/>
    <cellStyle name="Subtotal" xfId="10230" xr:uid="{00000000-0005-0000-0000-0000CE500000}"/>
    <cellStyle name="Tables" xfId="10231" xr:uid="{00000000-0005-0000-0000-0000CF500000}"/>
    <cellStyle name="THIS IS A TEST" xfId="10232" xr:uid="{00000000-0005-0000-0000-0000D0500000}"/>
    <cellStyle name="Title" xfId="10471" builtinId="15" customBuiltin="1"/>
    <cellStyle name="Title 2" xfId="10233" xr:uid="{00000000-0005-0000-0000-0000D2500000}"/>
    <cellStyle name="Titles Italics" xfId="10234" xr:uid="{00000000-0005-0000-0000-0000D3500000}"/>
    <cellStyle name="Titles_main" xfId="10235" xr:uid="{00000000-0005-0000-0000-0000D4500000}"/>
    <cellStyle name="TLK:" xfId="10236" xr:uid="{00000000-0005-0000-0000-0000D5500000}"/>
    <cellStyle name="Total" xfId="10486" builtinId="25" customBuiltin="1"/>
    <cellStyle name="Total 2" xfId="10237" xr:uid="{00000000-0005-0000-0000-0000D7500000}"/>
    <cellStyle name="Total2 - Style2" xfId="10238" xr:uid="{00000000-0005-0000-0000-0000D8500000}"/>
    <cellStyle name="UnderL - Style2" xfId="10239" xr:uid="{00000000-0005-0000-0000-0000D9500000}"/>
    <cellStyle name="UnderL - Style2 10" xfId="10240" xr:uid="{00000000-0005-0000-0000-0000DA500000}"/>
    <cellStyle name="UnderL - Style2 11" xfId="10241" xr:uid="{00000000-0005-0000-0000-0000DB500000}"/>
    <cellStyle name="UnderL - Style2 2" xfId="10242" xr:uid="{00000000-0005-0000-0000-0000DC500000}"/>
    <cellStyle name="UnderL - Style2 2 2" xfId="10243" xr:uid="{00000000-0005-0000-0000-0000DD500000}"/>
    <cellStyle name="UnderL - Style2 2 2 2" xfId="10244" xr:uid="{00000000-0005-0000-0000-0000DE500000}"/>
    <cellStyle name="UnderL - Style2 2 2 3" xfId="10245" xr:uid="{00000000-0005-0000-0000-0000DF500000}"/>
    <cellStyle name="UnderL - Style2 2 3" xfId="10246" xr:uid="{00000000-0005-0000-0000-0000E0500000}"/>
    <cellStyle name="UnderL - Style2 2 3 2" xfId="10247" xr:uid="{00000000-0005-0000-0000-0000E1500000}"/>
    <cellStyle name="UnderL - Style2 2 3 3" xfId="10248" xr:uid="{00000000-0005-0000-0000-0000E2500000}"/>
    <cellStyle name="UnderL - Style2 2 4" xfId="10249" xr:uid="{00000000-0005-0000-0000-0000E3500000}"/>
    <cellStyle name="UnderL - Style2 2 4 2" xfId="10250" xr:uid="{00000000-0005-0000-0000-0000E4500000}"/>
    <cellStyle name="UnderL - Style2 2 4 3" xfId="10251" xr:uid="{00000000-0005-0000-0000-0000E5500000}"/>
    <cellStyle name="UnderL - Style2 2 5" xfId="10252" xr:uid="{00000000-0005-0000-0000-0000E6500000}"/>
    <cellStyle name="UnderL - Style2 2 6" xfId="10253" xr:uid="{00000000-0005-0000-0000-0000E7500000}"/>
    <cellStyle name="UnderL - Style2 2 7" xfId="10254" xr:uid="{00000000-0005-0000-0000-0000E8500000}"/>
    <cellStyle name="UnderL - Style2 3" xfId="10255" xr:uid="{00000000-0005-0000-0000-0000E9500000}"/>
    <cellStyle name="UnderL - Style2 3 2" xfId="10256" xr:uid="{00000000-0005-0000-0000-0000EA500000}"/>
    <cellStyle name="UnderL - Style2 3 2 2" xfId="10257" xr:uid="{00000000-0005-0000-0000-0000EB500000}"/>
    <cellStyle name="UnderL - Style2 3 2 3" xfId="10258" xr:uid="{00000000-0005-0000-0000-0000EC500000}"/>
    <cellStyle name="UnderL - Style2 3 3" xfId="10259" xr:uid="{00000000-0005-0000-0000-0000ED500000}"/>
    <cellStyle name="UnderL - Style2 3 3 2" xfId="10260" xr:uid="{00000000-0005-0000-0000-0000EE500000}"/>
    <cellStyle name="UnderL - Style2 3 3 3" xfId="10261" xr:uid="{00000000-0005-0000-0000-0000EF500000}"/>
    <cellStyle name="UnderL - Style2 3 4" xfId="10262" xr:uid="{00000000-0005-0000-0000-0000F0500000}"/>
    <cellStyle name="UnderL - Style2 3 4 2" xfId="10263" xr:uid="{00000000-0005-0000-0000-0000F1500000}"/>
    <cellStyle name="UnderL - Style2 3 4 3" xfId="10264" xr:uid="{00000000-0005-0000-0000-0000F2500000}"/>
    <cellStyle name="UnderL - Style2 3 5" xfId="10265" xr:uid="{00000000-0005-0000-0000-0000F3500000}"/>
    <cellStyle name="UnderL - Style2 3 6" xfId="10266" xr:uid="{00000000-0005-0000-0000-0000F4500000}"/>
    <cellStyle name="UnderL - Style2 3 7" xfId="10267" xr:uid="{00000000-0005-0000-0000-0000F5500000}"/>
    <cellStyle name="UnderL - Style2 4" xfId="10268" xr:uid="{00000000-0005-0000-0000-0000F6500000}"/>
    <cellStyle name="UnderL - Style2 4 2" xfId="10269" xr:uid="{00000000-0005-0000-0000-0000F7500000}"/>
    <cellStyle name="UnderL - Style2 4 2 2" xfId="10270" xr:uid="{00000000-0005-0000-0000-0000F8500000}"/>
    <cellStyle name="UnderL - Style2 4 2 3" xfId="10271" xr:uid="{00000000-0005-0000-0000-0000F9500000}"/>
    <cellStyle name="UnderL - Style2 4 3" xfId="10272" xr:uid="{00000000-0005-0000-0000-0000FA500000}"/>
    <cellStyle name="UnderL - Style2 4 3 2" xfId="10273" xr:uid="{00000000-0005-0000-0000-0000FB500000}"/>
    <cellStyle name="UnderL - Style2 4 3 3" xfId="10274" xr:uid="{00000000-0005-0000-0000-0000FC500000}"/>
    <cellStyle name="UnderL - Style2 4 4" xfId="10275" xr:uid="{00000000-0005-0000-0000-0000FD500000}"/>
    <cellStyle name="UnderL - Style2 4 4 2" xfId="10276" xr:uid="{00000000-0005-0000-0000-0000FE500000}"/>
    <cellStyle name="UnderL - Style2 4 4 3" xfId="10277" xr:uid="{00000000-0005-0000-0000-0000FF500000}"/>
    <cellStyle name="UnderL - Style2 4 5" xfId="10278" xr:uid="{00000000-0005-0000-0000-000000510000}"/>
    <cellStyle name="UnderL - Style2 4 6" xfId="10279" xr:uid="{00000000-0005-0000-0000-000001510000}"/>
    <cellStyle name="UnderL - Style2 4 7" xfId="10280" xr:uid="{00000000-0005-0000-0000-000002510000}"/>
    <cellStyle name="UnderL - Style2 5" xfId="10281" xr:uid="{00000000-0005-0000-0000-000003510000}"/>
    <cellStyle name="UnderL - Style2 5 2" xfId="10282" xr:uid="{00000000-0005-0000-0000-000004510000}"/>
    <cellStyle name="UnderL - Style2 5 2 2" xfId="10283" xr:uid="{00000000-0005-0000-0000-000005510000}"/>
    <cellStyle name="UnderL - Style2 5 2 3" xfId="10284" xr:uid="{00000000-0005-0000-0000-000006510000}"/>
    <cellStyle name="UnderL - Style2 5 3" xfId="10285" xr:uid="{00000000-0005-0000-0000-000007510000}"/>
    <cellStyle name="UnderL - Style2 5 3 2" xfId="10286" xr:uid="{00000000-0005-0000-0000-000008510000}"/>
    <cellStyle name="UnderL - Style2 5 3 3" xfId="10287" xr:uid="{00000000-0005-0000-0000-000009510000}"/>
    <cellStyle name="UnderL - Style2 5 4" xfId="10288" xr:uid="{00000000-0005-0000-0000-00000A510000}"/>
    <cellStyle name="UnderL - Style2 5 5" xfId="10289" xr:uid="{00000000-0005-0000-0000-00000B510000}"/>
    <cellStyle name="UnderL - Style2 5 6" xfId="10290" xr:uid="{00000000-0005-0000-0000-00000C510000}"/>
    <cellStyle name="UnderL - Style2 6" xfId="10291" xr:uid="{00000000-0005-0000-0000-00000D510000}"/>
    <cellStyle name="UnderL - Style2 6 2" xfId="10292" xr:uid="{00000000-0005-0000-0000-00000E510000}"/>
    <cellStyle name="UnderL - Style2 6 2 2" xfId="10293" xr:uid="{00000000-0005-0000-0000-00000F510000}"/>
    <cellStyle name="UnderL - Style2 6 2 3" xfId="10294" xr:uid="{00000000-0005-0000-0000-000010510000}"/>
    <cellStyle name="UnderL - Style2 6 3" xfId="10295" xr:uid="{00000000-0005-0000-0000-000011510000}"/>
    <cellStyle name="UnderL - Style2 6 3 2" xfId="10296" xr:uid="{00000000-0005-0000-0000-000012510000}"/>
    <cellStyle name="UnderL - Style2 6 3 3" xfId="10297" xr:uid="{00000000-0005-0000-0000-000013510000}"/>
    <cellStyle name="UnderL - Style2 6 4" xfId="10298" xr:uid="{00000000-0005-0000-0000-000014510000}"/>
    <cellStyle name="UnderL - Style2 6 5" xfId="10299" xr:uid="{00000000-0005-0000-0000-000015510000}"/>
    <cellStyle name="UnderL - Style2 6 6" xfId="10300" xr:uid="{00000000-0005-0000-0000-000016510000}"/>
    <cellStyle name="UnderL - Style2 7" xfId="10301" xr:uid="{00000000-0005-0000-0000-000017510000}"/>
    <cellStyle name="UnderL - Style2 7 2" xfId="10302" xr:uid="{00000000-0005-0000-0000-000018510000}"/>
    <cellStyle name="UnderL - Style2 7 3" xfId="10303" xr:uid="{00000000-0005-0000-0000-000019510000}"/>
    <cellStyle name="UnderL - Style2 8" xfId="10304" xr:uid="{00000000-0005-0000-0000-00001A510000}"/>
    <cellStyle name="UnderL - Style2 8 2" xfId="10305" xr:uid="{00000000-0005-0000-0000-00001B510000}"/>
    <cellStyle name="UnderL - Style2 8 3" xfId="10306" xr:uid="{00000000-0005-0000-0000-00001C510000}"/>
    <cellStyle name="UnderL - Style2 9" xfId="10307" xr:uid="{00000000-0005-0000-0000-00001D510000}"/>
    <cellStyle name="UnderL - Style4" xfId="10308" xr:uid="{00000000-0005-0000-0000-00001E510000}"/>
    <cellStyle name="UnderL - Style4 10" xfId="10309" xr:uid="{00000000-0005-0000-0000-00001F510000}"/>
    <cellStyle name="UnderL - Style4 11" xfId="10310" xr:uid="{00000000-0005-0000-0000-000020510000}"/>
    <cellStyle name="UnderL - Style4 2" xfId="10311" xr:uid="{00000000-0005-0000-0000-000021510000}"/>
    <cellStyle name="UnderL - Style4 2 2" xfId="10312" xr:uid="{00000000-0005-0000-0000-000022510000}"/>
    <cellStyle name="UnderL - Style4 2 2 2" xfId="10313" xr:uid="{00000000-0005-0000-0000-000023510000}"/>
    <cellStyle name="UnderL - Style4 2 2 3" xfId="10314" xr:uid="{00000000-0005-0000-0000-000024510000}"/>
    <cellStyle name="UnderL - Style4 2 3" xfId="10315" xr:uid="{00000000-0005-0000-0000-000025510000}"/>
    <cellStyle name="UnderL - Style4 2 3 2" xfId="10316" xr:uid="{00000000-0005-0000-0000-000026510000}"/>
    <cellStyle name="UnderL - Style4 2 3 3" xfId="10317" xr:uid="{00000000-0005-0000-0000-000027510000}"/>
    <cellStyle name="UnderL - Style4 2 4" xfId="10318" xr:uid="{00000000-0005-0000-0000-000028510000}"/>
    <cellStyle name="UnderL - Style4 2 4 2" xfId="10319" xr:uid="{00000000-0005-0000-0000-000029510000}"/>
    <cellStyle name="UnderL - Style4 2 4 3" xfId="10320" xr:uid="{00000000-0005-0000-0000-00002A510000}"/>
    <cellStyle name="UnderL - Style4 2 5" xfId="10321" xr:uid="{00000000-0005-0000-0000-00002B510000}"/>
    <cellStyle name="UnderL - Style4 2 6" xfId="10322" xr:uid="{00000000-0005-0000-0000-00002C510000}"/>
    <cellStyle name="UnderL - Style4 2 7" xfId="10323" xr:uid="{00000000-0005-0000-0000-00002D510000}"/>
    <cellStyle name="UnderL - Style4 3" xfId="10324" xr:uid="{00000000-0005-0000-0000-00002E510000}"/>
    <cellStyle name="UnderL - Style4 3 2" xfId="10325" xr:uid="{00000000-0005-0000-0000-00002F510000}"/>
    <cellStyle name="UnderL - Style4 3 2 2" xfId="10326" xr:uid="{00000000-0005-0000-0000-000030510000}"/>
    <cellStyle name="UnderL - Style4 3 2 3" xfId="10327" xr:uid="{00000000-0005-0000-0000-000031510000}"/>
    <cellStyle name="UnderL - Style4 3 3" xfId="10328" xr:uid="{00000000-0005-0000-0000-000032510000}"/>
    <cellStyle name="UnderL - Style4 3 3 2" xfId="10329" xr:uid="{00000000-0005-0000-0000-000033510000}"/>
    <cellStyle name="UnderL - Style4 3 3 3" xfId="10330" xr:uid="{00000000-0005-0000-0000-000034510000}"/>
    <cellStyle name="UnderL - Style4 3 4" xfId="10331" xr:uid="{00000000-0005-0000-0000-000035510000}"/>
    <cellStyle name="UnderL - Style4 3 4 2" xfId="10332" xr:uid="{00000000-0005-0000-0000-000036510000}"/>
    <cellStyle name="UnderL - Style4 3 4 3" xfId="10333" xr:uid="{00000000-0005-0000-0000-000037510000}"/>
    <cellStyle name="UnderL - Style4 3 5" xfId="10334" xr:uid="{00000000-0005-0000-0000-000038510000}"/>
    <cellStyle name="UnderL - Style4 3 6" xfId="10335" xr:uid="{00000000-0005-0000-0000-000039510000}"/>
    <cellStyle name="UnderL - Style4 3 7" xfId="10336" xr:uid="{00000000-0005-0000-0000-00003A510000}"/>
    <cellStyle name="UnderL - Style4 4" xfId="10337" xr:uid="{00000000-0005-0000-0000-00003B510000}"/>
    <cellStyle name="UnderL - Style4 4 2" xfId="10338" xr:uid="{00000000-0005-0000-0000-00003C510000}"/>
    <cellStyle name="UnderL - Style4 4 2 2" xfId="10339" xr:uid="{00000000-0005-0000-0000-00003D510000}"/>
    <cellStyle name="UnderL - Style4 4 2 3" xfId="10340" xr:uid="{00000000-0005-0000-0000-00003E510000}"/>
    <cellStyle name="UnderL - Style4 4 3" xfId="10341" xr:uid="{00000000-0005-0000-0000-00003F510000}"/>
    <cellStyle name="UnderL - Style4 4 3 2" xfId="10342" xr:uid="{00000000-0005-0000-0000-000040510000}"/>
    <cellStyle name="UnderL - Style4 4 3 3" xfId="10343" xr:uid="{00000000-0005-0000-0000-000041510000}"/>
    <cellStyle name="UnderL - Style4 4 4" xfId="10344" xr:uid="{00000000-0005-0000-0000-000042510000}"/>
    <cellStyle name="UnderL - Style4 4 4 2" xfId="10345" xr:uid="{00000000-0005-0000-0000-000043510000}"/>
    <cellStyle name="UnderL - Style4 4 4 3" xfId="10346" xr:uid="{00000000-0005-0000-0000-000044510000}"/>
    <cellStyle name="UnderL - Style4 4 5" xfId="10347" xr:uid="{00000000-0005-0000-0000-000045510000}"/>
    <cellStyle name="UnderL - Style4 4 6" xfId="10348" xr:uid="{00000000-0005-0000-0000-000046510000}"/>
    <cellStyle name="UnderL - Style4 4 7" xfId="10349" xr:uid="{00000000-0005-0000-0000-000047510000}"/>
    <cellStyle name="UnderL - Style4 5" xfId="10350" xr:uid="{00000000-0005-0000-0000-000048510000}"/>
    <cellStyle name="UnderL - Style4 5 2" xfId="10351" xr:uid="{00000000-0005-0000-0000-000049510000}"/>
    <cellStyle name="UnderL - Style4 5 2 2" xfId="10352" xr:uid="{00000000-0005-0000-0000-00004A510000}"/>
    <cellStyle name="UnderL - Style4 5 2 3" xfId="10353" xr:uid="{00000000-0005-0000-0000-00004B510000}"/>
    <cellStyle name="UnderL - Style4 5 3" xfId="10354" xr:uid="{00000000-0005-0000-0000-00004C510000}"/>
    <cellStyle name="UnderL - Style4 5 3 2" xfId="10355" xr:uid="{00000000-0005-0000-0000-00004D510000}"/>
    <cellStyle name="UnderL - Style4 5 3 3" xfId="10356" xr:uid="{00000000-0005-0000-0000-00004E510000}"/>
    <cellStyle name="UnderL - Style4 5 4" xfId="10357" xr:uid="{00000000-0005-0000-0000-00004F510000}"/>
    <cellStyle name="UnderL - Style4 5 5" xfId="10358" xr:uid="{00000000-0005-0000-0000-000050510000}"/>
    <cellStyle name="UnderL - Style4 5 6" xfId="10359" xr:uid="{00000000-0005-0000-0000-000051510000}"/>
    <cellStyle name="UnderL - Style4 6" xfId="10360" xr:uid="{00000000-0005-0000-0000-000052510000}"/>
    <cellStyle name="UnderL - Style4 6 2" xfId="10361" xr:uid="{00000000-0005-0000-0000-000053510000}"/>
    <cellStyle name="UnderL - Style4 6 2 2" xfId="10362" xr:uid="{00000000-0005-0000-0000-000054510000}"/>
    <cellStyle name="UnderL - Style4 6 2 3" xfId="10363" xr:uid="{00000000-0005-0000-0000-000055510000}"/>
    <cellStyle name="UnderL - Style4 6 3" xfId="10364" xr:uid="{00000000-0005-0000-0000-000056510000}"/>
    <cellStyle name="UnderL - Style4 6 3 2" xfId="10365" xr:uid="{00000000-0005-0000-0000-000057510000}"/>
    <cellStyle name="UnderL - Style4 6 3 3" xfId="10366" xr:uid="{00000000-0005-0000-0000-000058510000}"/>
    <cellStyle name="UnderL - Style4 6 4" xfId="10367" xr:uid="{00000000-0005-0000-0000-000059510000}"/>
    <cellStyle name="UnderL - Style4 6 5" xfId="10368" xr:uid="{00000000-0005-0000-0000-00005A510000}"/>
    <cellStyle name="UnderL - Style4 6 6" xfId="10369" xr:uid="{00000000-0005-0000-0000-00005B510000}"/>
    <cellStyle name="UnderL - Style4 7" xfId="10370" xr:uid="{00000000-0005-0000-0000-00005C510000}"/>
    <cellStyle name="UnderL - Style4 7 2" xfId="10371" xr:uid="{00000000-0005-0000-0000-00005D510000}"/>
    <cellStyle name="UnderL - Style4 7 3" xfId="10372" xr:uid="{00000000-0005-0000-0000-00005E510000}"/>
    <cellStyle name="UnderL - Style4 8" xfId="10373" xr:uid="{00000000-0005-0000-0000-00005F510000}"/>
    <cellStyle name="UnderL - Style4 8 2" xfId="10374" xr:uid="{00000000-0005-0000-0000-000060510000}"/>
    <cellStyle name="UnderL - Style4 8 3" xfId="10375" xr:uid="{00000000-0005-0000-0000-000061510000}"/>
    <cellStyle name="UnderL - Style4 9" xfId="10376" xr:uid="{00000000-0005-0000-0000-000062510000}"/>
    <cellStyle name="UnderLine" xfId="10377" xr:uid="{00000000-0005-0000-0000-000063510000}"/>
    <cellStyle name="UnderLine 10" xfId="10378" xr:uid="{00000000-0005-0000-0000-000064510000}"/>
    <cellStyle name="UnderLine 11" xfId="10379" xr:uid="{00000000-0005-0000-0000-000065510000}"/>
    <cellStyle name="UnderLine 2" xfId="10380" xr:uid="{00000000-0005-0000-0000-000066510000}"/>
    <cellStyle name="UnderLine 2 2" xfId="10381" xr:uid="{00000000-0005-0000-0000-000067510000}"/>
    <cellStyle name="UnderLine 2 2 2" xfId="10382" xr:uid="{00000000-0005-0000-0000-000068510000}"/>
    <cellStyle name="UnderLine 2 2 3" xfId="10383" xr:uid="{00000000-0005-0000-0000-000069510000}"/>
    <cellStyle name="UnderLine 2 3" xfId="10384" xr:uid="{00000000-0005-0000-0000-00006A510000}"/>
    <cellStyle name="UnderLine 2 3 2" xfId="10385" xr:uid="{00000000-0005-0000-0000-00006B510000}"/>
    <cellStyle name="UnderLine 2 3 3" xfId="10386" xr:uid="{00000000-0005-0000-0000-00006C510000}"/>
    <cellStyle name="UnderLine 2 4" xfId="10387" xr:uid="{00000000-0005-0000-0000-00006D510000}"/>
    <cellStyle name="UnderLine 2 4 2" xfId="10388" xr:uid="{00000000-0005-0000-0000-00006E510000}"/>
    <cellStyle name="UnderLine 2 4 3" xfId="10389" xr:uid="{00000000-0005-0000-0000-00006F510000}"/>
    <cellStyle name="UnderLine 2 5" xfId="10390" xr:uid="{00000000-0005-0000-0000-000070510000}"/>
    <cellStyle name="UnderLine 2 6" xfId="10391" xr:uid="{00000000-0005-0000-0000-000071510000}"/>
    <cellStyle name="UnderLine 2 7" xfId="10392" xr:uid="{00000000-0005-0000-0000-000072510000}"/>
    <cellStyle name="UnderLine 3" xfId="10393" xr:uid="{00000000-0005-0000-0000-000073510000}"/>
    <cellStyle name="UnderLine 3 2" xfId="10394" xr:uid="{00000000-0005-0000-0000-000074510000}"/>
    <cellStyle name="UnderLine 3 2 2" xfId="10395" xr:uid="{00000000-0005-0000-0000-000075510000}"/>
    <cellStyle name="UnderLine 3 2 3" xfId="10396" xr:uid="{00000000-0005-0000-0000-000076510000}"/>
    <cellStyle name="UnderLine 3 3" xfId="10397" xr:uid="{00000000-0005-0000-0000-000077510000}"/>
    <cellStyle name="UnderLine 3 3 2" xfId="10398" xr:uid="{00000000-0005-0000-0000-000078510000}"/>
    <cellStyle name="UnderLine 3 3 3" xfId="10399" xr:uid="{00000000-0005-0000-0000-000079510000}"/>
    <cellStyle name="UnderLine 3 4" xfId="10400" xr:uid="{00000000-0005-0000-0000-00007A510000}"/>
    <cellStyle name="UnderLine 3 4 2" xfId="10401" xr:uid="{00000000-0005-0000-0000-00007B510000}"/>
    <cellStyle name="UnderLine 3 4 3" xfId="10402" xr:uid="{00000000-0005-0000-0000-00007C510000}"/>
    <cellStyle name="UnderLine 3 5" xfId="10403" xr:uid="{00000000-0005-0000-0000-00007D510000}"/>
    <cellStyle name="UnderLine 3 6" xfId="10404" xr:uid="{00000000-0005-0000-0000-00007E510000}"/>
    <cellStyle name="UnderLine 3 7" xfId="10405" xr:uid="{00000000-0005-0000-0000-00007F510000}"/>
    <cellStyle name="UnderLine 4" xfId="10406" xr:uid="{00000000-0005-0000-0000-000080510000}"/>
    <cellStyle name="UnderLine 4 2" xfId="10407" xr:uid="{00000000-0005-0000-0000-000081510000}"/>
    <cellStyle name="UnderLine 4 2 2" xfId="10408" xr:uid="{00000000-0005-0000-0000-000082510000}"/>
    <cellStyle name="UnderLine 4 2 3" xfId="10409" xr:uid="{00000000-0005-0000-0000-000083510000}"/>
    <cellStyle name="UnderLine 4 3" xfId="10410" xr:uid="{00000000-0005-0000-0000-000084510000}"/>
    <cellStyle name="UnderLine 4 3 2" xfId="10411" xr:uid="{00000000-0005-0000-0000-000085510000}"/>
    <cellStyle name="UnderLine 4 3 3" xfId="10412" xr:uid="{00000000-0005-0000-0000-000086510000}"/>
    <cellStyle name="UnderLine 4 4" xfId="10413" xr:uid="{00000000-0005-0000-0000-000087510000}"/>
    <cellStyle name="UnderLine 4 4 2" xfId="10414" xr:uid="{00000000-0005-0000-0000-000088510000}"/>
    <cellStyle name="UnderLine 4 4 3" xfId="10415" xr:uid="{00000000-0005-0000-0000-000089510000}"/>
    <cellStyle name="UnderLine 4 5" xfId="10416" xr:uid="{00000000-0005-0000-0000-00008A510000}"/>
    <cellStyle name="UnderLine 4 6" xfId="10417" xr:uid="{00000000-0005-0000-0000-00008B510000}"/>
    <cellStyle name="UnderLine 4 7" xfId="10418" xr:uid="{00000000-0005-0000-0000-00008C510000}"/>
    <cellStyle name="UnderLine 5" xfId="10419" xr:uid="{00000000-0005-0000-0000-00008D510000}"/>
    <cellStyle name="UnderLine 5 2" xfId="10420" xr:uid="{00000000-0005-0000-0000-00008E510000}"/>
    <cellStyle name="UnderLine 5 2 2" xfId="10421" xr:uid="{00000000-0005-0000-0000-00008F510000}"/>
    <cellStyle name="UnderLine 5 2 3" xfId="10422" xr:uid="{00000000-0005-0000-0000-000090510000}"/>
    <cellStyle name="UnderLine 5 3" xfId="10423" xr:uid="{00000000-0005-0000-0000-000091510000}"/>
    <cellStyle name="UnderLine 5 3 2" xfId="10424" xr:uid="{00000000-0005-0000-0000-000092510000}"/>
    <cellStyle name="UnderLine 5 3 3" xfId="10425" xr:uid="{00000000-0005-0000-0000-000093510000}"/>
    <cellStyle name="UnderLine 5 4" xfId="10426" xr:uid="{00000000-0005-0000-0000-000094510000}"/>
    <cellStyle name="UnderLine 5 5" xfId="10427" xr:uid="{00000000-0005-0000-0000-000095510000}"/>
    <cellStyle name="UnderLine 5 6" xfId="10428" xr:uid="{00000000-0005-0000-0000-000096510000}"/>
    <cellStyle name="UnderLine 6" xfId="10429" xr:uid="{00000000-0005-0000-0000-000097510000}"/>
    <cellStyle name="UnderLine 6 2" xfId="10430" xr:uid="{00000000-0005-0000-0000-000098510000}"/>
    <cellStyle name="UnderLine 6 2 2" xfId="10431" xr:uid="{00000000-0005-0000-0000-000099510000}"/>
    <cellStyle name="UnderLine 6 2 3" xfId="10432" xr:uid="{00000000-0005-0000-0000-00009A510000}"/>
    <cellStyle name="UnderLine 6 3" xfId="10433" xr:uid="{00000000-0005-0000-0000-00009B510000}"/>
    <cellStyle name="UnderLine 6 3 2" xfId="10434" xr:uid="{00000000-0005-0000-0000-00009C510000}"/>
    <cellStyle name="UnderLine 6 3 3" xfId="10435" xr:uid="{00000000-0005-0000-0000-00009D510000}"/>
    <cellStyle name="UnderLine 6 4" xfId="10436" xr:uid="{00000000-0005-0000-0000-00009E510000}"/>
    <cellStyle name="UnderLine 6 5" xfId="10437" xr:uid="{00000000-0005-0000-0000-00009F510000}"/>
    <cellStyle name="UnderLine 6 6" xfId="10438" xr:uid="{00000000-0005-0000-0000-0000A0510000}"/>
    <cellStyle name="UnderLine 7" xfId="10439" xr:uid="{00000000-0005-0000-0000-0000A1510000}"/>
    <cellStyle name="UnderLine 7 2" xfId="10440" xr:uid="{00000000-0005-0000-0000-0000A2510000}"/>
    <cellStyle name="UnderLine 7 3" xfId="10441" xr:uid="{00000000-0005-0000-0000-0000A3510000}"/>
    <cellStyle name="UnderLine 8" xfId="10442" xr:uid="{00000000-0005-0000-0000-0000A4510000}"/>
    <cellStyle name="UnderLine 8 2" xfId="10443" xr:uid="{00000000-0005-0000-0000-0000A5510000}"/>
    <cellStyle name="UnderLine 8 3" xfId="10444" xr:uid="{00000000-0005-0000-0000-0000A6510000}"/>
    <cellStyle name="UnderLine 9" xfId="10445" xr:uid="{00000000-0005-0000-0000-0000A7510000}"/>
    <cellStyle name="Unprot" xfId="10446" xr:uid="{00000000-0005-0000-0000-0000A8510000}"/>
    <cellStyle name="Unprot$" xfId="10447" xr:uid="{00000000-0005-0000-0000-0000A9510000}"/>
    <cellStyle name="Unprot_CurrencySKorea" xfId="10448" xr:uid="{00000000-0005-0000-0000-0000AA510000}"/>
    <cellStyle name="Unprotect" xfId="10449" xr:uid="{00000000-0005-0000-0000-0000AB510000}"/>
    <cellStyle name="Warning Text" xfId="10484" builtinId="11" customBuiltin="1"/>
    <cellStyle name="Warning Text 2" xfId="10450" xr:uid="{00000000-0005-0000-0000-0000AD51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27" formatCode="\&lt;0.0\1"/>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CC"/>
      <color rgb="FFF8F8F8"/>
      <color rgb="FFEBF6FF"/>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externalLink" Target="externalLinks/externalLink27.xml"/><Relationship Id="rId138"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7.xml"/><Relationship Id="rId128" Type="http://schemas.openxmlformats.org/officeDocument/2006/relationships/externalLink" Target="externalLinks/externalLink2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externalLink" Target="externalLinks/externalLink12.xml"/><Relationship Id="rId134" Type="http://schemas.openxmlformats.org/officeDocument/2006/relationships/externalLink" Target="externalLinks/externalLink28.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5.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2.xml"/><Relationship Id="rId116" Type="http://schemas.openxmlformats.org/officeDocument/2006/relationships/externalLink" Target="externalLinks/externalLink10.xml"/><Relationship Id="rId124" Type="http://schemas.openxmlformats.org/officeDocument/2006/relationships/externalLink" Target="externalLinks/externalLink18.xml"/><Relationship Id="rId129" Type="http://schemas.openxmlformats.org/officeDocument/2006/relationships/externalLink" Target="externalLinks/externalLink23.xml"/><Relationship Id="rId13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5.xml"/><Relationship Id="rId132" Type="http://schemas.openxmlformats.org/officeDocument/2006/relationships/externalLink" Target="externalLinks/externalLink2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8.xml"/><Relationship Id="rId119" Type="http://schemas.openxmlformats.org/officeDocument/2006/relationships/externalLink" Target="externalLinks/externalLink13.xml"/><Relationship Id="rId12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6.xml"/><Relationship Id="rId130" Type="http://schemas.openxmlformats.org/officeDocument/2006/relationships/externalLink" Target="externalLinks/externalLink24.xml"/><Relationship Id="rId135"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4.xml"/><Relationship Id="rId125" Type="http://schemas.openxmlformats.org/officeDocument/2006/relationships/externalLink" Target="externalLinks/externalLink19.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externalLink" Target="externalLinks/externalLink25.xml"/><Relationship Id="rId136"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57547.78AB55C0"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217715</xdr:colOff>
      <xdr:row>7</xdr:row>
      <xdr:rowOff>272142</xdr:rowOff>
    </xdr:from>
    <xdr:to>
      <xdr:col>8</xdr:col>
      <xdr:colOff>208644</xdr:colOff>
      <xdr:row>18</xdr:row>
      <xdr:rowOff>90715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79929" y="2177142"/>
          <a:ext cx="4626429" cy="1805216"/>
        </a:xfrm>
        <a:prstGeom prst="rect">
          <a:avLst/>
        </a:prstGeom>
      </xdr:spPr>
    </xdr:pic>
    <xdr:clientData/>
  </xdr:twoCellAnchor>
  <xdr:twoCellAnchor>
    <xdr:from>
      <xdr:col>3</xdr:col>
      <xdr:colOff>542107</xdr:colOff>
      <xdr:row>33</xdr:row>
      <xdr:rowOff>88537</xdr:rowOff>
    </xdr:from>
    <xdr:to>
      <xdr:col>5</xdr:col>
      <xdr:colOff>585287</xdr:colOff>
      <xdr:row>36</xdr:row>
      <xdr:rowOff>34471</xdr:rowOff>
    </xdr:to>
    <xdr:pic>
      <xdr:nvPicPr>
        <xdr:cNvPr id="4" name="Picture 3" descr="PEI New Logo Cropped">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4193" y="6630851"/>
          <a:ext cx="1371237" cy="435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0</xdr:colOff>
      <xdr:row>11</xdr:row>
      <xdr:rowOff>0</xdr:rowOff>
    </xdr:from>
    <xdr:to>
      <xdr:col>23</xdr:col>
      <xdr:colOff>309096</xdr:colOff>
      <xdr:row>25</xdr:row>
      <xdr:rowOff>142500</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13265150" y="2381250"/>
          <a:ext cx="4885714" cy="299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190499</xdr:colOff>
      <xdr:row>202</xdr:row>
      <xdr:rowOff>42859</xdr:rowOff>
    </xdr:from>
    <xdr:ext cx="9791701" cy="259222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5B00-000002000000}"/>
                </a:ext>
              </a:extLst>
            </xdr:cNvPr>
            <xdr:cNvSpPr txBox="1"/>
          </xdr:nvSpPr>
          <xdr:spPr>
            <a:xfrm>
              <a:off x="190499" y="35869559"/>
              <a:ext cx="9791701" cy="2592229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1" u="sng"/>
                <a:t>Calculations / Equations used </a:t>
              </a:r>
            </a:p>
            <a:p>
              <a:pPr algn="ctr"/>
              <a:r>
                <a:rPr lang="en-US" sz="1050" b="0" i="0" u="none"/>
                <a:t>(Reference</a:t>
              </a:r>
              <a:r>
                <a:rPr lang="en-US" sz="1050" b="0" i="0" u="none" baseline="0"/>
                <a:t> : Evaporative loss from the cleaning of storage tanks, Technical report Nov. 2007, #2568 (Evaporative loss from the storage tanks) and AP-42 Chapter 7.</a:t>
              </a:r>
              <a:endParaRPr lang="en-US" sz="1050" b="0" i="0" u="none"/>
            </a:p>
            <a:p>
              <a:pPr algn="ctr"/>
              <a:endParaRPr lang="en-US" sz="1400" b="1" i="1" u="sng"/>
            </a:p>
            <a:p>
              <a:pPr algn="l"/>
              <a:r>
                <a:rPr lang="el-GR" sz="1200" b="0" i="0" u="none" strike="noStrike" baseline="0">
                  <a:solidFill>
                    <a:schemeClr val="tx1"/>
                  </a:solidFill>
                  <a:latin typeface="Cambria Math" pitchFamily="18" charset="0"/>
                  <a:ea typeface="Cambria Math" pitchFamily="18" charset="0"/>
                  <a:cs typeface="+mn-cs"/>
                </a:rPr>
                <a:t>Δ</a:t>
              </a:r>
              <a:r>
                <a:rPr lang="en-US" sz="1200" b="0" i="0" u="none" strike="noStrike" baseline="0">
                  <a:solidFill>
                    <a:schemeClr val="tx1"/>
                  </a:solidFill>
                  <a:latin typeface="Cambria Math" pitchFamily="18" charset="0"/>
                  <a:ea typeface="Cambria Math" pitchFamily="18" charset="0"/>
                  <a:cs typeface="+mn-cs"/>
                </a:rPr>
                <a:t>T</a:t>
              </a:r>
              <a:r>
                <a:rPr lang="en-US" sz="1200" b="0" i="0" u="none" strike="noStrike" baseline="-25000">
                  <a:solidFill>
                    <a:schemeClr val="tx1"/>
                  </a:solidFill>
                  <a:latin typeface="Cambria Math" pitchFamily="18" charset="0"/>
                  <a:ea typeface="Cambria Math" pitchFamily="18" charset="0"/>
                  <a:cs typeface="+mn-cs"/>
                </a:rPr>
                <a:t>V</a:t>
              </a:r>
              <a:r>
                <a:rPr lang="en-US" sz="1200" b="0" i="0" u="none" strike="noStrike" baseline="0">
                  <a:solidFill>
                    <a:schemeClr val="tx1"/>
                  </a:solidFill>
                  <a:latin typeface="Cambria Math" pitchFamily="18" charset="0"/>
                  <a:ea typeface="Cambria Math" pitchFamily="18" charset="0"/>
                  <a:cs typeface="+mn-cs"/>
                </a:rPr>
                <a:t> = 0.72 </a:t>
              </a:r>
              <a:r>
                <a:rPr lang="el-GR" sz="1200" b="0" i="0" u="none" strike="noStrike" baseline="0">
                  <a:solidFill>
                    <a:schemeClr val="tx1"/>
                  </a:solidFill>
                  <a:latin typeface="Cambria Math" pitchFamily="18" charset="0"/>
                  <a:ea typeface="Cambria Math" pitchFamily="18" charset="0"/>
                  <a:cs typeface="+mn-cs"/>
                </a:rPr>
                <a:t>Δ</a:t>
              </a:r>
              <a:r>
                <a:rPr lang="en-US" sz="1200" b="0" i="0" u="none" strike="noStrike" baseline="0">
                  <a:solidFill>
                    <a:schemeClr val="tx1"/>
                  </a:solidFill>
                  <a:latin typeface="Cambria Math" pitchFamily="18" charset="0"/>
                  <a:ea typeface="Cambria Math" pitchFamily="18" charset="0"/>
                  <a:cs typeface="+mn-cs"/>
                </a:rPr>
                <a:t>T</a:t>
              </a:r>
              <a:r>
                <a:rPr lang="en-US" sz="1200" b="0" i="0" u="none" strike="noStrike" baseline="-25000">
                  <a:solidFill>
                    <a:schemeClr val="tx1"/>
                  </a:solidFill>
                  <a:latin typeface="Cambria Math" pitchFamily="18" charset="0"/>
                  <a:ea typeface="Cambria Math" pitchFamily="18" charset="0"/>
                  <a:cs typeface="+mn-cs"/>
                </a:rPr>
                <a:t>A</a:t>
              </a:r>
              <a:r>
                <a:rPr lang="en-US" sz="1200" b="0" i="0" u="none" strike="noStrike" baseline="0">
                  <a:solidFill>
                    <a:schemeClr val="tx1"/>
                  </a:solidFill>
                  <a:latin typeface="Cambria Math" pitchFamily="18" charset="0"/>
                  <a:ea typeface="Cambria Math" pitchFamily="18" charset="0"/>
                  <a:cs typeface="+mn-cs"/>
                </a:rPr>
                <a:t> + 0.028*</a:t>
              </a:r>
              <a:r>
                <a:rPr lang="el-GR" sz="1200" b="0" i="0" u="none" strike="noStrike" baseline="0">
                  <a:solidFill>
                    <a:schemeClr val="tx1"/>
                  </a:solidFill>
                  <a:latin typeface="Cambria Math" pitchFamily="18" charset="0"/>
                  <a:ea typeface="Cambria Math" pitchFamily="18" charset="0"/>
                  <a:cs typeface="+mn-cs"/>
                </a:rPr>
                <a:t>α</a:t>
              </a:r>
              <a:r>
                <a:rPr lang="en-US" sz="1200" b="0" i="0" u="none" strike="noStrike" baseline="0">
                  <a:solidFill>
                    <a:schemeClr val="tx1"/>
                  </a:solidFill>
                  <a:latin typeface="Cambria Math" pitchFamily="18" charset="0"/>
                  <a:ea typeface="Cambria Math" pitchFamily="18" charset="0"/>
                  <a:cs typeface="+mn-cs"/>
                </a:rPr>
                <a:t>*I</a:t>
              </a:r>
            </a:p>
            <a:p>
              <a:pPr marL="0" marR="0" indent="0" algn="l" defTabSz="914400" eaLnBrk="1" fontAlgn="auto" latinLnBrk="0" hangingPunct="1">
                <a:lnSpc>
                  <a:spcPct val="100000"/>
                </a:lnSpc>
                <a:spcBef>
                  <a:spcPts val="0"/>
                </a:spcBef>
                <a:spcAft>
                  <a:spcPts val="0"/>
                </a:spcAft>
                <a:buClrTx/>
                <a:buSzTx/>
                <a:buFontTx/>
                <a:buNone/>
                <a:tabLst/>
                <a:defRPr/>
              </a:pPr>
              <a:r>
                <a:rPr lang="en-US" sz="1200" b="0" i="0" u="none" strike="noStrike" baseline="0">
                  <a:solidFill>
                    <a:schemeClr val="tx1"/>
                  </a:solidFill>
                  <a:latin typeface="Cambria Math" pitchFamily="18" charset="0"/>
                  <a:ea typeface="Cambria Math" pitchFamily="18" charset="0"/>
                  <a:cs typeface="+mn-cs"/>
                </a:rPr>
                <a:t>K</a:t>
              </a:r>
              <a:r>
                <a:rPr lang="en-US" sz="1200" b="0" i="0" u="none" strike="noStrike" baseline="-25000">
                  <a:solidFill>
                    <a:schemeClr val="tx1"/>
                  </a:solidFill>
                  <a:latin typeface="Cambria Math" pitchFamily="18" charset="0"/>
                  <a:ea typeface="Cambria Math" pitchFamily="18" charset="0"/>
                  <a:cs typeface="+mn-cs"/>
                </a:rPr>
                <a:t>E</a:t>
              </a:r>
              <a:r>
                <a:rPr lang="en-US" sz="1200" b="0" i="0" u="none" strike="noStrike" baseline="0">
                  <a:solidFill>
                    <a:schemeClr val="tx1"/>
                  </a:solidFill>
                  <a:latin typeface="Cambria Math" pitchFamily="18" charset="0"/>
                  <a:ea typeface="Cambria Math" pitchFamily="18" charset="0"/>
                  <a:cs typeface="+mn-cs"/>
                </a:rPr>
                <a:t> =</a:t>
              </a:r>
              <a:r>
                <a:rPr lang="en-US" sz="1100" b="0" i="0" baseline="0">
                  <a:solidFill>
                    <a:schemeClr val="tx1"/>
                  </a:solidFill>
                  <a:effectLst/>
                  <a:latin typeface="+mn-lt"/>
                  <a:ea typeface="+mn-ea"/>
                  <a:cs typeface="+mn-cs"/>
                </a:rPr>
                <a:t> (</a:t>
              </a:r>
              <a14:m>
                <m:oMath xmlns:m="http://schemas.openxmlformats.org/officeDocument/2006/math">
                  <m:r>
                    <m:rPr>
                      <m:sty m:val="p"/>
                    </m:rPr>
                    <a:rPr lang="el-GR" sz="1100" b="0" i="0" baseline="0">
                      <a:solidFill>
                        <a:schemeClr val="tx1"/>
                      </a:solidFill>
                      <a:effectLst/>
                      <a:latin typeface="Cambria Math"/>
                      <a:ea typeface="+mn-ea"/>
                      <a:cs typeface="+mn-cs"/>
                    </a:rPr>
                    <m:t>Δ</m:t>
                  </m:r>
                  <m:r>
                    <m:rPr>
                      <m:sty m:val="p"/>
                    </m:rPr>
                    <a:rPr lang="en-US" sz="1100" b="0" i="0" baseline="0">
                      <a:solidFill>
                        <a:schemeClr val="tx1"/>
                      </a:solidFill>
                      <a:effectLst/>
                      <a:latin typeface="Cambria Math"/>
                      <a:ea typeface="+mn-ea"/>
                      <a:cs typeface="+mn-cs"/>
                    </a:rPr>
                    <m:t>T</m:t>
                  </m:r>
                  <m:r>
                    <m:rPr>
                      <m:sty m:val="p"/>
                    </m:rPr>
                    <a:rPr lang="en-US" sz="1100" b="0" i="0" baseline="-25000">
                      <a:solidFill>
                        <a:schemeClr val="tx1"/>
                      </a:solidFill>
                      <a:effectLst/>
                      <a:latin typeface="Cambria Math"/>
                      <a:ea typeface="+mn-ea"/>
                      <a:cs typeface="+mn-cs"/>
                    </a:rPr>
                    <m:t>V</m:t>
                  </m:r>
                  <m:r>
                    <a:rPr lang="en-US" sz="1100" b="0" i="0" baseline="0">
                      <a:solidFill>
                        <a:schemeClr val="tx1"/>
                      </a:solidFill>
                      <a:effectLst/>
                      <a:latin typeface="Cambria Math"/>
                      <a:ea typeface="+mn-ea"/>
                      <a:cs typeface="+mn-cs"/>
                    </a:rPr>
                    <m:t> </m:t>
                  </m:r>
                </m:oMath>
              </a14:m>
              <a:r>
                <a:rPr lang="en-US" sz="1200" b="0" i="0" u="none" strike="noStrike" baseline="0">
                  <a:solidFill>
                    <a:schemeClr val="tx1"/>
                  </a:solidFill>
                  <a:latin typeface="Cambria Math" pitchFamily="18" charset="0"/>
                  <a:ea typeface="Cambria Math" pitchFamily="18" charset="0"/>
                  <a:cs typeface="+mn-cs"/>
                </a:rPr>
                <a:t>/</a:t>
              </a:r>
              <a:r>
                <a:rPr lang="en-US" sz="1100" b="0" i="0" baseline="0">
                  <a:solidFill>
                    <a:schemeClr val="tx1"/>
                  </a:solidFill>
                  <a:effectLst/>
                  <a:latin typeface="+mn-lt"/>
                  <a:ea typeface="+mn-ea"/>
                  <a:cs typeface="+mn-cs"/>
                </a:rPr>
                <a:t>T</a:t>
              </a:r>
              <a:r>
                <a:rPr lang="en-US" sz="1100" b="0" i="0" baseline="-25000">
                  <a:solidFill>
                    <a:schemeClr val="tx1"/>
                  </a:solidFill>
                  <a:effectLst/>
                  <a:latin typeface="+mn-lt"/>
                  <a:ea typeface="+mn-ea"/>
                  <a:cs typeface="+mn-cs"/>
                </a:rPr>
                <a:t>LA</a:t>
              </a:r>
              <a:r>
                <a:rPr lang="en-US" sz="1100" b="0" i="0" baseline="0">
                  <a:solidFill>
                    <a:schemeClr val="tx1"/>
                  </a:solidFill>
                  <a:effectLst/>
                  <a:latin typeface="+mn-lt"/>
                  <a:ea typeface="+mn-ea"/>
                  <a:cs typeface="+mn-cs"/>
                </a:rPr>
                <a:t>)  + ((</a:t>
              </a: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V</a:t>
              </a:r>
              <a:r>
                <a:rPr lang="en-US" sz="1100" b="0" i="0" baseline="0">
                  <a:solidFill>
                    <a:schemeClr val="tx1"/>
                  </a:solidFill>
                  <a:effectLst/>
                  <a:latin typeface="+mn-lt"/>
                  <a:ea typeface="+mn-ea"/>
                  <a:cs typeface="+mn-cs"/>
                </a:rPr>
                <a:t> -</a:t>
              </a: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B</a:t>
              </a:r>
              <a:r>
                <a:rPr lang="en-US" sz="1100" b="0" i="0" baseline="0">
                  <a:solidFill>
                    <a:schemeClr val="tx1"/>
                  </a:solidFill>
                  <a:effectLst/>
                  <a:latin typeface="+mn-lt"/>
                  <a:ea typeface="+mn-ea"/>
                  <a:cs typeface="+mn-cs"/>
                </a:rPr>
                <a:t> )/(P</a:t>
              </a:r>
              <a:r>
                <a:rPr lang="en-US" sz="1100" b="0" i="0" baseline="-25000">
                  <a:solidFill>
                    <a:schemeClr val="tx1"/>
                  </a:solidFill>
                  <a:effectLst/>
                  <a:latin typeface="+mn-lt"/>
                  <a:ea typeface="+mn-ea"/>
                  <a:cs typeface="+mn-cs"/>
                </a:rPr>
                <a:t>A</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B</a:t>
              </a:r>
              <a:r>
                <a:rPr lang="en-US" sz="1100" b="0" i="0" baseline="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T</a:t>
              </a:r>
              <a:r>
                <a:rPr lang="en-US" sz="1100" b="0" i="0" baseline="-25000">
                  <a:solidFill>
                    <a:schemeClr val="tx1"/>
                  </a:solidFill>
                  <a:effectLst/>
                  <a:latin typeface="+mn-lt"/>
                  <a:ea typeface="+mn-ea"/>
                  <a:cs typeface="+mn-cs"/>
                </a:rPr>
                <a:t>A </a:t>
              </a:r>
              <a:r>
                <a:rPr lang="en-US" sz="1100" b="0" i="0" baseline="0">
                  <a:solidFill>
                    <a:schemeClr val="tx1"/>
                  </a:solidFill>
                  <a:effectLst/>
                  <a:latin typeface="+mn-lt"/>
                  <a:ea typeface="+mn-ea"/>
                  <a:cs typeface="+mn-cs"/>
                </a:rPr>
                <a:t>= Daily ambient temperature range = Daily max. ambient temperature range - Daily minimum ambient temperature range.</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1" i="1" u="sng"/>
            </a:p>
            <a:p>
              <a:pPr algn="ctr"/>
              <a:r>
                <a:rPr lang="en-US" sz="1400" b="1" i="1" u="sng"/>
                <a:t>IFR</a:t>
              </a:r>
            </a:p>
            <a:p>
              <a:r>
                <a:rPr lang="en-US" sz="1100" i="1" u="sng">
                  <a:latin typeface="Cambria Math"/>
                </a:rPr>
                <a:t>Maximum</a:t>
              </a:r>
              <a:r>
                <a:rPr lang="en-US" sz="1100" i="1" u="sng" baseline="0">
                  <a:latin typeface="Cambria Math"/>
                </a:rPr>
                <a:t> Hourly Emissions: </a:t>
              </a:r>
            </a:p>
            <a:p>
              <a:endParaRPr lang="en-US" sz="1100" i="1" u="sng">
                <a:latin typeface="Cambria Math"/>
              </a:endParaRPr>
            </a:p>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s</m:t>
                    </m:r>
                    <m:r>
                      <a:rPr lang="en-US" sz="1200" b="0" i="0">
                        <a:solidFill>
                          <a:schemeClr val="tx1"/>
                        </a:solidFill>
                        <a:effectLst/>
                        <a:latin typeface="Cambria Math" pitchFamily="18" charset="0"/>
                        <a:ea typeface="Cambria Math" pitchFamily="18" charset="0"/>
                        <a:cs typeface="+mn-cs"/>
                      </a:rPr>
                      <m:t> = </m:t>
                    </m:r>
                    <m:r>
                      <m:rPr>
                        <m:sty m:val="p"/>
                      </m:rPr>
                      <a:rPr lang="en-US" sz="1200" b="0" i="0">
                        <a:solidFill>
                          <a:schemeClr val="tx1"/>
                        </a:solidFill>
                        <a:effectLst/>
                        <a:latin typeface="Cambria Math" pitchFamily="18" charset="0"/>
                        <a:ea typeface="Cambria Math" pitchFamily="18" charset="0"/>
                        <a:cs typeface="+mn-cs"/>
                      </a:rPr>
                      <m:t>nd</m:t>
                    </m:r>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KE</m:t>
                    </m:r>
                    <m:r>
                      <a:rPr lang="en-US" sz="1200" b="0" i="0">
                        <a:solidFill>
                          <a:schemeClr val="tx1"/>
                        </a:solidFill>
                        <a:effectLst/>
                        <a:latin typeface="Cambria Math" pitchFamily="18" charset="0"/>
                        <a:ea typeface="Cambria Math" pitchFamily="18" charset="0"/>
                        <a:cs typeface="+mn-cs"/>
                      </a:rPr>
                      <m:t> ∗</m:t>
                    </m:r>
                    <m:d>
                      <m:dPr>
                        <m:ctrlPr>
                          <a:rPr lang="en-US" sz="1200" b="0" i="1">
                            <a:solidFill>
                              <a:schemeClr val="tx1"/>
                            </a:solidFill>
                            <a:effectLst/>
                            <a:latin typeface="Cambria Math" panose="02040503050406030204" pitchFamily="18" charset="0"/>
                            <a:ea typeface="Cambria Math" pitchFamily="18" charset="0"/>
                            <a:cs typeface="+mn-cs"/>
                          </a:rPr>
                        </m:ctrlPr>
                      </m:dPr>
                      <m:e>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P</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Vv</m:t>
                            </m:r>
                          </m:num>
                          <m:den>
                            <m:r>
                              <m:rPr>
                                <m:sty m:val="p"/>
                              </m:rPr>
                              <a:rPr lang="en-US" sz="1200" b="0" i="0">
                                <a:solidFill>
                                  <a:schemeClr val="tx1"/>
                                </a:solidFill>
                                <a:effectLst/>
                                <a:latin typeface="Cambria Math" pitchFamily="18" charset="0"/>
                                <a:ea typeface="Cambria Math" pitchFamily="18" charset="0"/>
                                <a:cs typeface="+mn-cs"/>
                              </a:rPr>
                              <m:t>R</m:t>
                            </m:r>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T</m:t>
                            </m:r>
                          </m:den>
                        </m:f>
                      </m:e>
                    </m:d>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MV</m:t>
                    </m:r>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KS</m:t>
                    </m:r>
                    <m:r>
                      <a:rPr lang="en-US" sz="1200" b="0" i="0">
                        <a:solidFill>
                          <a:schemeClr val="tx1"/>
                        </a:solidFill>
                        <a:effectLst/>
                        <a:latin typeface="Cambria Math" pitchFamily="18" charset="0"/>
                        <a:ea typeface="Cambria Math" pitchFamily="18" charset="0"/>
                        <a:cs typeface="+mn-cs"/>
                      </a:rPr>
                      <m:t> </m:t>
                    </m:r>
                  </m:oMath>
                </m:oMathPara>
              </a14:m>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L</m:t>
                    </m:r>
                    <m:r>
                      <m:rPr>
                        <m:nor/>
                      </m:rPr>
                      <a:rPr lang="en-US" sz="1200" b="0" i="0" baseline="-25000">
                        <a:solidFill>
                          <a:schemeClr val="tx1"/>
                        </a:solidFill>
                        <a:effectLst/>
                        <a:latin typeface="Cambria Math" pitchFamily="18" charset="0"/>
                        <a:ea typeface="Cambria Math" pitchFamily="18" charset="0"/>
                        <a:cs typeface="Arial" pitchFamily="34" charset="0"/>
                      </a:rPr>
                      <m:t>f</m:t>
                    </m:r>
                    <m:r>
                      <a:rPr lang="en-US" sz="1200" b="0" i="0">
                        <a:solidFill>
                          <a:schemeClr val="tx1"/>
                        </a:solidFill>
                        <a:effectLst/>
                        <a:latin typeface="Cambria Math" pitchFamily="18" charset="0"/>
                        <a:ea typeface="Cambria Math" pitchFamily="18" charset="0"/>
                        <a:cs typeface="+mn-cs"/>
                      </a:rPr>
                      <m:t> = </m:t>
                    </m:r>
                    <m:d>
                      <m:dPr>
                        <m:ctrlPr>
                          <a:rPr lang="en-US" sz="1200" b="0" i="1">
                            <a:solidFill>
                              <a:schemeClr val="tx1"/>
                            </a:solidFill>
                            <a:effectLst/>
                            <a:latin typeface="Cambria Math" panose="02040503050406030204" pitchFamily="18" charset="0"/>
                            <a:ea typeface="Cambria Math" pitchFamily="18" charset="0"/>
                            <a:cs typeface="+mn-cs"/>
                          </a:rPr>
                        </m:ctrlPr>
                      </m:dPr>
                      <m:e>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lang="en-US" sz="1200" b="0" i="0" baseline="0">
                                <a:solidFill>
                                  <a:schemeClr val="tx1"/>
                                </a:solidFill>
                                <a:effectLst/>
                                <a:latin typeface="Cambria Math" pitchFamily="18" charset="0"/>
                                <a:ea typeface="Cambria Math" pitchFamily="18" charset="0"/>
                                <a:cs typeface="+mn-cs"/>
                              </a:rPr>
                              <m:t>P</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Vv</m:t>
                            </m:r>
                          </m:num>
                          <m:den>
                            <m:r>
                              <m:rPr>
                                <m:sty m:val="p"/>
                              </m:rPr>
                              <a:rPr lang="en-US" sz="1200" b="0" i="0">
                                <a:solidFill>
                                  <a:schemeClr val="tx1"/>
                                </a:solidFill>
                                <a:effectLst/>
                                <a:latin typeface="Cambria Math" pitchFamily="18" charset="0"/>
                                <a:ea typeface="Cambria Math" pitchFamily="18" charset="0"/>
                                <a:cs typeface="+mn-cs"/>
                              </a:rPr>
                              <m:t>R</m:t>
                            </m:r>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T</m:t>
                            </m:r>
                          </m:den>
                        </m:f>
                      </m:e>
                    </m:d>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MV</m:t>
                    </m:r>
                    <m:r>
                      <a:rPr lang="en-US" sz="1200" b="0" i="0">
                        <a:solidFill>
                          <a:schemeClr val="tx1"/>
                        </a:solidFill>
                        <a:effectLst/>
                        <a:latin typeface="Cambria Math" pitchFamily="18" charset="0"/>
                        <a:ea typeface="Cambria Math" pitchFamily="18" charset="0"/>
                        <a:cs typeface="+mn-cs"/>
                      </a:rPr>
                      <m:t>∗</m:t>
                    </m:r>
                    <m:r>
                      <m:rPr>
                        <m:sty m:val="p"/>
                      </m:rPr>
                      <a:rPr lang="en-US" sz="1200" b="0" i="0">
                        <a:solidFill>
                          <a:schemeClr val="tx1"/>
                        </a:solidFill>
                        <a:effectLst/>
                        <a:latin typeface="Cambria Math" pitchFamily="18" charset="0"/>
                        <a:ea typeface="Cambria Math" pitchFamily="18" charset="0"/>
                        <a:cs typeface="+mn-cs"/>
                      </a:rPr>
                      <m:t>S</m:t>
                    </m:r>
                    <m:r>
                      <a:rPr lang="en-US" sz="1200" b="0" i="0">
                        <a:solidFill>
                          <a:schemeClr val="tx1"/>
                        </a:solidFill>
                        <a:effectLst/>
                        <a:latin typeface="Cambria Math" pitchFamily="18" charset="0"/>
                        <a:ea typeface="Cambria Math" pitchFamily="18" charset="0"/>
                        <a:cs typeface="+mn-cs"/>
                      </a:rPr>
                      <m:t> </m:t>
                    </m:r>
                  </m:oMath>
                </m:oMathPara>
              </a14:m>
              <a:endParaRPr lang="en-US" sz="1200" b="0" i="0">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Max. </a:t>
              </a:r>
              <a14:m>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Total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Losses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with</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liquid</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heel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Ls</m:t>
                  </m:r>
                  <m:r>
                    <a:rPr lang="en-US" sz="1200" b="0" i="0">
                      <a:solidFill>
                        <a:schemeClr val="tx1"/>
                      </a:solidFill>
                      <a:effectLst/>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nor/>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m:t>f</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oMath>
              </a14:m>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Max</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Hourly</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emissions</m:t>
                    </m:r>
                    <m:r>
                      <a:rPr lang="en-US" sz="1200" b="0" i="0">
                        <a:solidFill>
                          <a:schemeClr val="tx1"/>
                        </a:solidFill>
                        <a:effectLst/>
                        <a:latin typeface="Cambria Math" pitchFamily="18" charset="0"/>
                        <a:ea typeface="Cambria Math" pitchFamily="18" charset="0"/>
                        <a:cs typeface="+mn-cs"/>
                      </a:rPr>
                      <m:t> =</m:t>
                    </m:r>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f</m:t>
                        </m:r>
                      </m:num>
                      <m:den>
                        <m:r>
                          <a:rPr lang="en-US" sz="1200" b="0" i="0">
                            <a:solidFill>
                              <a:schemeClr val="tx1"/>
                            </a:solidFill>
                            <a:effectLst/>
                            <a:latin typeface="Cambria Math" pitchFamily="18" charset="0"/>
                            <a:ea typeface="Cambria Math" pitchFamily="18" charset="0"/>
                            <a:cs typeface="+mn-cs"/>
                          </a:rPr>
                          <m:t>(</m:t>
                        </m:r>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lang="en-US" sz="1200" b="0" i="0">
                                <a:solidFill>
                                  <a:schemeClr val="tx1"/>
                                </a:solidFill>
                                <a:effectLst/>
                                <a:latin typeface="Cambria Math" pitchFamily="18" charset="0"/>
                                <a:ea typeface="Cambria Math" pitchFamily="18" charset="0"/>
                                <a:cs typeface="+mn-cs"/>
                              </a:rPr>
                              <m:t>V</m:t>
                            </m:r>
                            <m:r>
                              <m:rPr>
                                <m:sty m:val="p"/>
                              </m:rPr>
                              <a:rPr lang="en-US" sz="1200" b="0" i="0" baseline="-25000">
                                <a:solidFill>
                                  <a:schemeClr val="tx1"/>
                                </a:solidFill>
                                <a:effectLst/>
                                <a:latin typeface="Cambria Math" pitchFamily="18" charset="0"/>
                                <a:ea typeface="Cambria Math" pitchFamily="18" charset="0"/>
                                <a:cs typeface="+mn-cs"/>
                              </a:rPr>
                              <m:t>v</m:t>
                            </m:r>
                            <m:r>
                              <a:rPr lang="en-US" sz="1200" b="0" i="0">
                                <a:solidFill>
                                  <a:schemeClr val="tx1"/>
                                </a:solidFill>
                                <a:effectLst/>
                                <a:latin typeface="Cambria Math" pitchFamily="18" charset="0"/>
                                <a:ea typeface="Cambria Math" pitchFamily="18" charset="0"/>
                                <a:cs typeface="+mn-cs"/>
                              </a:rPr>
                              <m:t> ∗7.48</m:t>
                            </m:r>
                          </m:num>
                          <m:den>
                            <m:r>
                              <m:rPr>
                                <m:sty m:val="p"/>
                              </m:rPr>
                              <a:rPr lang="en-US" sz="1200" b="0" i="0">
                                <a:solidFill>
                                  <a:schemeClr val="tx1"/>
                                </a:solidFill>
                                <a:effectLst/>
                                <a:latin typeface="Cambria Math" pitchFamily="18" charset="0"/>
                                <a:ea typeface="Cambria Math" pitchFamily="18" charset="0"/>
                                <a:cs typeface="+mn-cs"/>
                              </a:rPr>
                              <m:t>Tank</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filling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Rate</m:t>
                            </m:r>
                          </m:den>
                        </m:f>
                        <m:r>
                          <a:rPr lang="en-US" sz="1200" b="0" i="0">
                            <a:solidFill>
                              <a:schemeClr val="tx1"/>
                            </a:solidFill>
                            <a:effectLst/>
                            <a:latin typeface="Cambria Math" pitchFamily="18" charset="0"/>
                            <a:ea typeface="Cambria Math" pitchFamily="18" charset="0"/>
                            <a:cs typeface="+mn-cs"/>
                          </a:rPr>
                          <m:t>)</m:t>
                        </m:r>
                      </m:den>
                    </m:f>
                  </m:oMath>
                </m:oMathPara>
              </a14:m>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Average Annual Emissions: </a:t>
              </a: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Avg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Annual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emissions</m:t>
                    </m:r>
                    <m:r>
                      <a:rPr lang="en-US" sz="1200" b="0" i="0">
                        <a:solidFill>
                          <a:schemeClr val="tx1"/>
                        </a:solidFill>
                        <a:effectLst/>
                        <a:latin typeface="Cambria Math" pitchFamily="18" charset="0"/>
                        <a:ea typeface="Cambria Math" pitchFamily="18" charset="0"/>
                        <a:cs typeface="+mn-cs"/>
                      </a:rPr>
                      <m:t> = </m:t>
                    </m:r>
                    <m:f>
                      <m:fPr>
                        <m:ctrlPr>
                          <a:rPr lang="en-US" sz="1200" b="0" i="1">
                            <a:solidFill>
                              <a:schemeClr val="tx1"/>
                            </a:solidFill>
                            <a:effectLst/>
                            <a:latin typeface="Cambria Math" panose="02040503050406030204" pitchFamily="18" charset="0"/>
                            <a:ea typeface="Cambria Math" pitchFamily="18" charset="0"/>
                            <a:cs typeface="+mn-cs"/>
                          </a:rPr>
                        </m:ctrlPr>
                      </m:fPr>
                      <m:num>
                        <m:d>
                          <m:dPr>
                            <m:ctrlPr>
                              <a:rPr lang="en-US" sz="1200" b="0" i="1">
                                <a:solidFill>
                                  <a:schemeClr val="tx1"/>
                                </a:solidFill>
                                <a:effectLst/>
                                <a:latin typeface="Cambria Math" panose="02040503050406030204" pitchFamily="18" charset="0"/>
                                <a:ea typeface="Cambria Math" pitchFamily="18" charset="0"/>
                                <a:cs typeface="+mn-cs"/>
                              </a:rPr>
                            </m:ctrlPr>
                          </m:dPr>
                          <m:e>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Lf</m:t>
                            </m:r>
                          </m:e>
                        </m:d>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Number</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roof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landings</m:t>
                        </m:r>
                      </m:num>
                      <m:den>
                        <m:r>
                          <a:rPr lang="en-US" sz="1200" b="0" i="0">
                            <a:solidFill>
                              <a:schemeClr val="tx1"/>
                            </a:solidFill>
                            <a:effectLst/>
                            <a:latin typeface="Cambria Math" pitchFamily="18" charset="0"/>
                            <a:ea typeface="Cambria Math" pitchFamily="18" charset="0"/>
                            <a:cs typeface="+mn-cs"/>
                          </a:rPr>
                          <m:t>2000</m:t>
                        </m:r>
                      </m:den>
                    </m:f>
                  </m:oMath>
                </m:oMathPara>
              </a14:m>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Note: </a:t>
              </a: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1 ft</a:t>
              </a:r>
              <a:r>
                <a:rPr lang="en-US" sz="1200" b="0" i="0" baseline="30000">
                  <a:solidFill>
                    <a:schemeClr val="tx1"/>
                  </a:solidFill>
                  <a:effectLst/>
                  <a:latin typeface="Cambria Math" pitchFamily="18" charset="0"/>
                  <a:ea typeface="Cambria Math" pitchFamily="18" charset="0"/>
                  <a:cs typeface="Arial" pitchFamily="34" charset="0"/>
                </a:rPr>
                <a:t>3</a:t>
              </a:r>
              <a:r>
                <a:rPr lang="en-US" sz="1200" b="0" i="0">
                  <a:solidFill>
                    <a:schemeClr val="tx1"/>
                  </a:solidFill>
                  <a:effectLst/>
                  <a:latin typeface="Cambria Math" pitchFamily="18" charset="0"/>
                  <a:ea typeface="Cambria Math" pitchFamily="18" charset="0"/>
                  <a:cs typeface="Arial" pitchFamily="34" charset="0"/>
                </a:rPr>
                <a:t> = 7.78 gallons</a:t>
              </a:r>
            </a:p>
            <a:p>
              <a:pPr marL="0" marR="0" indent="0" defTabSz="914400" eaLnBrk="1" fontAlgn="auto" latinLnBrk="0" hangingPunct="1">
                <a:lnSpc>
                  <a:spcPct val="100000"/>
                </a:lnSpc>
                <a:spcBef>
                  <a:spcPts val="0"/>
                </a:spcBef>
                <a:spcAft>
                  <a:spcPts val="0"/>
                </a:spcAft>
                <a:buClrTx/>
                <a:buSzTx/>
                <a:buFontTx/>
                <a:buNone/>
                <a:tabLst/>
                <a:defRPr/>
              </a:pPr>
              <a:endParaRPr lang="en-US" sz="1400">
                <a:effectLst/>
                <a:latin typeface="Arial Narrow"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Drain Dry IFR</a:t>
              </a:r>
            </a:p>
            <a:p>
              <a:pPr marL="0" marR="0" indent="0" algn="ctr" defTabSz="914400" eaLnBrk="1" fontAlgn="auto" latinLnBrk="0" hangingPunct="1">
                <a:lnSpc>
                  <a:spcPct val="100000"/>
                </a:lnSpc>
                <a:spcBef>
                  <a:spcPts val="0"/>
                </a:spcBef>
                <a:spcAft>
                  <a:spcPts val="0"/>
                </a:spcAft>
                <a:buClrTx/>
                <a:buSzTx/>
                <a:buFontTx/>
                <a:buNone/>
                <a:tabLst/>
                <a:defRPr/>
              </a:pPr>
              <a:endParaRPr lang="en-US" sz="1100" b="1" i="1" u="sng">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Maximum Hourly Emissions: </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i="0">
                  <a:solidFill>
                    <a:schemeClr val="tx1"/>
                  </a:solidFill>
                  <a:effectLst/>
                  <a:latin typeface="Cambria Math" pitchFamily="18" charset="0"/>
                  <a:ea typeface="Cambria Math" pitchFamily="18" charset="0"/>
                  <a:cs typeface="Arial" pitchFamily="34" charset="0"/>
                </a:rPr>
                <a:t>L</a:t>
              </a:r>
              <a:r>
                <a:rPr lang="en-US" sz="1200" i="0" baseline="-25000">
                  <a:solidFill>
                    <a:schemeClr val="tx1"/>
                  </a:solidFill>
                  <a:effectLst/>
                  <a:latin typeface="Cambria Math" pitchFamily="18" charset="0"/>
                  <a:ea typeface="Cambria Math" pitchFamily="18" charset="0"/>
                  <a:cs typeface="Arial" pitchFamily="34" charset="0"/>
                </a:rPr>
                <a:t>s </a:t>
              </a:r>
              <a:r>
                <a:rPr lang="en-US" sz="1200" i="0">
                  <a:solidFill>
                    <a:schemeClr val="tx1"/>
                  </a:solidFill>
                  <a:effectLst/>
                  <a:latin typeface="Cambria Math" pitchFamily="18" charset="0"/>
                  <a:ea typeface="Cambria Math" pitchFamily="18" charset="0"/>
                  <a:cs typeface="Arial" pitchFamily="34" charset="0"/>
                </a:rPr>
                <a:t>= If (</a:t>
              </a:r>
              <a14:m>
                <m:oMath xmlns:m="http://schemas.openxmlformats.org/officeDocument/2006/math">
                  <m:r>
                    <a:rPr lang="en-US" sz="1200" i="0">
                      <a:solidFill>
                        <a:schemeClr val="tx1"/>
                      </a:solidFill>
                      <a:effectLst/>
                      <a:latin typeface="Cambria Math" pitchFamily="18" charset="0"/>
                      <a:ea typeface="Cambria Math" pitchFamily="18" charset="0"/>
                      <a:cs typeface="Arial" pitchFamily="34" charset="0"/>
                    </a:rPr>
                    <m:t>0.0063</m:t>
                  </m:r>
                  <m:r>
                    <a:rPr lang="en-US" sz="1200" b="0" i="0">
                      <a:solidFill>
                        <a:schemeClr val="tx1"/>
                      </a:solidFill>
                      <a:effectLst/>
                      <a:latin typeface="Cambria Math" pitchFamily="18" charset="0"/>
                      <a:ea typeface="Cambria Math" pitchFamily="18" charset="0"/>
                      <a:cs typeface="Arial" pitchFamily="34" charset="0"/>
                    </a:rPr>
                    <m:t> ∗</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Wl</m:t>
                  </m:r>
                  <m:r>
                    <a:rPr lang="en-US" sz="1200" i="0" baseline="-25000">
                      <a:solidFill>
                        <a:schemeClr val="tx1"/>
                      </a:solidFill>
                      <a:effectLst/>
                      <a:latin typeface="Cambria Math" pitchFamily="18" charset="0"/>
                      <a:ea typeface="Cambria Math" pitchFamily="18" charset="0"/>
                      <a:cs typeface="Arial" pitchFamily="34" charset="0"/>
                    </a:rPr>
                    <m:t> ∗(</m:t>
                  </m:r>
                  <m:f>
                    <m:fPr>
                      <m:ctrlPr>
                        <a:rPr lang="en-US" sz="1200" i="1">
                          <a:solidFill>
                            <a:schemeClr val="tx1"/>
                          </a:solidFill>
                          <a:effectLst/>
                          <a:latin typeface="Cambria Math" panose="02040503050406030204" pitchFamily="18" charset="0"/>
                          <a:ea typeface="Cambria Math" pitchFamily="18" charset="0"/>
                          <a:cs typeface="Arial" pitchFamily="34" charset="0"/>
                        </a:rPr>
                      </m:ctrlPr>
                    </m:fPr>
                    <m:num>
                      <m:r>
                        <m:rPr>
                          <m:sty m:val="p"/>
                        </m:rPr>
                        <a:rPr lang="el-GR" sz="1200" i="0">
                          <a:solidFill>
                            <a:schemeClr val="tx1"/>
                          </a:solidFill>
                          <a:effectLst/>
                          <a:latin typeface="Cambria Math" pitchFamily="18" charset="0"/>
                          <a:ea typeface="Cambria Math" pitchFamily="18" charset="0"/>
                          <a:cs typeface="Arial" pitchFamily="34" charset="0"/>
                        </a:rPr>
                        <m:t>π</m:t>
                      </m:r>
                    </m:num>
                    <m:den>
                      <m:r>
                        <a:rPr lang="en-US" sz="1200" b="0" i="0">
                          <a:solidFill>
                            <a:schemeClr val="tx1"/>
                          </a:solidFill>
                          <a:effectLst/>
                          <a:latin typeface="Cambria Math" pitchFamily="18" charset="0"/>
                          <a:ea typeface="Cambria Math" pitchFamily="18" charset="0"/>
                          <a:cs typeface="Arial" pitchFamily="34" charset="0"/>
                        </a:rPr>
                        <m:t>4</m:t>
                      </m:r>
                    </m:den>
                  </m:f>
                  <m:r>
                    <a:rPr lang="en-US" sz="1200" b="0" i="0">
                      <a:solidFill>
                        <a:schemeClr val="tx1"/>
                      </a:solidFill>
                      <a:effectLst/>
                      <a:latin typeface="Cambria Math" pitchFamily="18" charset="0"/>
                      <a:ea typeface="Cambria Math" pitchFamily="18" charset="0"/>
                      <a:cs typeface="Arial" pitchFamily="34" charset="0"/>
                    </a:rPr>
                    <m:t>)</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D</m:t>
                  </m:r>
                  <m:r>
                    <a:rPr lang="en-US" sz="1200" i="0" baseline="30000">
                      <a:solidFill>
                        <a:schemeClr val="tx1"/>
                      </a:solidFill>
                      <a:effectLst/>
                      <a:latin typeface="Cambria Math" pitchFamily="18" charset="0"/>
                      <a:ea typeface="Cambria Math" pitchFamily="18" charset="0"/>
                      <a:cs typeface="Arial" pitchFamily="34" charset="0"/>
                    </a:rPr>
                    <m:t>2</m:t>
                  </m:r>
                </m:oMath>
              </a14:m>
              <a:r>
                <a:rPr lang="en-US" sz="1200" i="0">
                  <a:solidFill>
                    <a:schemeClr val="tx1"/>
                  </a:solidFill>
                  <a:effectLst/>
                  <a:latin typeface="Cambria Math" pitchFamily="18" charset="0"/>
                  <a:ea typeface="Cambria Math" pitchFamily="18" charset="0"/>
                  <a:cs typeface="Arial" pitchFamily="34" charset="0"/>
                </a:rPr>
                <a:t>) &gt; L</a:t>
              </a:r>
              <a:r>
                <a:rPr lang="en-US" sz="1200" i="0" baseline="-25000">
                  <a:solidFill>
                    <a:schemeClr val="tx1"/>
                  </a:solidFill>
                  <a:effectLst/>
                  <a:latin typeface="Cambria Math" pitchFamily="18" charset="0"/>
                  <a:ea typeface="Cambria Math" pitchFamily="18" charset="0"/>
                  <a:cs typeface="Arial" pitchFamily="34" charset="0"/>
                </a:rPr>
                <a:t>f(IFR)</a:t>
              </a:r>
              <a:r>
                <a:rPr lang="en-US" sz="1200" i="0">
                  <a:solidFill>
                    <a:schemeClr val="tx1"/>
                  </a:solidFill>
                  <a:effectLst/>
                  <a:latin typeface="Cambria Math" pitchFamily="18" charset="0"/>
                  <a:ea typeface="Cambria Math" pitchFamily="18" charset="0"/>
                  <a:cs typeface="Arial" pitchFamily="34" charset="0"/>
                </a:rPr>
                <a:t>, then L</a:t>
              </a:r>
              <a:r>
                <a:rPr lang="en-US" sz="1200" i="0" baseline="-25000">
                  <a:solidFill>
                    <a:schemeClr val="tx1"/>
                  </a:solidFill>
                  <a:effectLst/>
                  <a:latin typeface="Cambria Math" pitchFamily="18" charset="0"/>
                  <a:ea typeface="Cambria Math" pitchFamily="18" charset="0"/>
                  <a:cs typeface="Arial" pitchFamily="34" charset="0"/>
                </a:rPr>
                <a:t>s </a:t>
              </a:r>
              <a:r>
                <a:rPr lang="en-US" sz="1200" i="0">
                  <a:solidFill>
                    <a:schemeClr val="tx1"/>
                  </a:solidFill>
                  <a:effectLst/>
                  <a:latin typeface="Cambria Math" pitchFamily="18" charset="0"/>
                  <a:ea typeface="Cambria Math" pitchFamily="18" charset="0"/>
                  <a:cs typeface="Arial" pitchFamily="34" charset="0"/>
                </a:rPr>
                <a:t>= L</a:t>
              </a:r>
              <a:r>
                <a:rPr lang="en-US" sz="1200" i="0" baseline="-25000">
                  <a:solidFill>
                    <a:schemeClr val="tx1"/>
                  </a:solidFill>
                  <a:effectLst/>
                  <a:latin typeface="Cambria Math" pitchFamily="18" charset="0"/>
                  <a:ea typeface="Cambria Math" pitchFamily="18" charset="0"/>
                  <a:cs typeface="Arial" pitchFamily="34" charset="0"/>
                </a:rPr>
                <a:t>f(IFR)</a:t>
              </a:r>
            </a:p>
            <a:p>
              <a:r>
                <a:rPr lang="en-US" sz="1200" i="0">
                  <a:solidFill>
                    <a:schemeClr val="tx1"/>
                  </a:solidFill>
                  <a:effectLst/>
                  <a:latin typeface="Cambria Math" pitchFamily="18" charset="0"/>
                  <a:ea typeface="Cambria Math" pitchFamily="18" charset="0"/>
                  <a:cs typeface="Arial" pitchFamily="34" charset="0"/>
                </a:rPr>
                <a:t>Otherwise, </a:t>
              </a:r>
            </a:p>
            <a:p>
              <a:r>
                <a:rPr lang="en-US" sz="1200" i="0">
                  <a:solidFill>
                    <a:schemeClr val="tx1"/>
                  </a:solidFill>
                  <a:effectLst/>
                  <a:latin typeface="Cambria Math" pitchFamily="18" charset="0"/>
                  <a:ea typeface="Cambria Math" pitchFamily="18" charset="0"/>
                  <a:cs typeface="Arial" pitchFamily="34" charset="0"/>
                </a:rPr>
                <a:t>L</a:t>
              </a:r>
              <a:r>
                <a:rPr lang="en-US" sz="1200" i="0" baseline="-25000">
                  <a:solidFill>
                    <a:schemeClr val="tx1"/>
                  </a:solidFill>
                  <a:effectLst/>
                  <a:latin typeface="Cambria Math" pitchFamily="18" charset="0"/>
                  <a:ea typeface="Cambria Math" pitchFamily="18" charset="0"/>
                  <a:cs typeface="Arial" pitchFamily="34" charset="0"/>
                </a:rPr>
                <a:t>s</a:t>
              </a:r>
              <a:r>
                <a:rPr lang="en-US" sz="1200" i="0">
                  <a:solidFill>
                    <a:schemeClr val="tx1"/>
                  </a:solidFill>
                  <a:effectLst/>
                  <a:latin typeface="Cambria Math" pitchFamily="18" charset="0"/>
                  <a:ea typeface="Cambria Math" pitchFamily="18" charset="0"/>
                  <a:cs typeface="Arial" pitchFamily="34" charset="0"/>
                </a:rPr>
                <a:t> =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a:t>
              </a:r>
              <a14:m>
                <m:oMath xmlns:m="http://schemas.openxmlformats.org/officeDocument/2006/math">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0.0063 ∗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Wl</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Arial" pitchFamily="34" charset="0"/>
                        </a:rPr>
                      </m:ctrlPr>
                    </m:fPr>
                    <m:num>
                      <m:r>
                        <m:rPr>
                          <m:sty m:val="p"/>
                        </m:rP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π</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4</m:t>
                      </m:r>
                    </m:den>
                  </m:f>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D</m:t>
                  </m:r>
                  <m: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m:t>2</m:t>
                  </m:r>
                </m:oMath>
              </a14:m>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nor/>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m:t>f</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 </m:t>
                    </m:r>
                    <m:d>
                      <m:d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dPr>
                      <m:e>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P</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Vv</m:t>
                            </m:r>
                          </m:num>
                          <m:den>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T</m:t>
                            </m:r>
                          </m:den>
                        </m:f>
                      </m:e>
                    </m:d>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MV</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oMath>
                </m:oMathPara>
              </a14:m>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r>
                <a:rPr lang="en-US" sz="1200" i="0">
                  <a:solidFill>
                    <a:schemeClr val="tx1"/>
                  </a:solidFill>
                  <a:effectLst/>
                  <a:latin typeface="Cambria Math" pitchFamily="18" charset="0"/>
                  <a:ea typeface="Cambria Math" pitchFamily="18" charset="0"/>
                  <a:cs typeface="Arial" pitchFamily="34" charset="0"/>
                </a:rPr>
                <a:t>Max. Total Losses = L</a:t>
              </a:r>
              <a:r>
                <a:rPr lang="en-US" sz="1200" i="0" baseline="-25000">
                  <a:solidFill>
                    <a:schemeClr val="tx1"/>
                  </a:solidFill>
                  <a:effectLst/>
                  <a:latin typeface="Cambria Math" pitchFamily="18" charset="0"/>
                  <a:ea typeface="Cambria Math" pitchFamily="18" charset="0"/>
                  <a:cs typeface="Arial" pitchFamily="34" charset="0"/>
                </a:rPr>
                <a:t>s</a:t>
              </a:r>
              <a:r>
                <a:rPr lang="en-US" sz="1200" i="0">
                  <a:solidFill>
                    <a:schemeClr val="tx1"/>
                  </a:solidFill>
                  <a:effectLst/>
                  <a:latin typeface="Cambria Math" pitchFamily="18" charset="0"/>
                  <a:ea typeface="Cambria Math" pitchFamily="18" charset="0"/>
                  <a:cs typeface="Arial" pitchFamily="34" charset="0"/>
                </a:rPr>
                <a:t>+ L</a:t>
              </a:r>
              <a:r>
                <a:rPr lang="en-US" sz="1200" i="0" baseline="-25000">
                  <a:solidFill>
                    <a:schemeClr val="tx1"/>
                  </a:solidFill>
                  <a:effectLst/>
                  <a:latin typeface="Cambria Math" pitchFamily="18" charset="0"/>
                  <a:ea typeface="Cambria Math" pitchFamily="18" charset="0"/>
                  <a:cs typeface="Arial" pitchFamily="34" charset="0"/>
                </a:rPr>
                <a:t>f</a:t>
              </a:r>
              <a:endParaRPr lang="en-US" sz="1200" i="0">
                <a:solidFill>
                  <a:schemeClr val="tx1"/>
                </a:solidFill>
                <a:effectLst/>
                <a:latin typeface="Cambria Math" pitchFamily="18" charset="0"/>
                <a:ea typeface="Cambria Math" pitchFamily="18" charset="0"/>
                <a:cs typeface="Arial" pitchFamily="34" charset="0"/>
              </a:endParaRPr>
            </a:p>
            <a:p>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a14:m>
                <m:oMathPara xmlns:m="http://schemas.openxmlformats.org/officeDocument/2006/math">
                  <m:oMathParaPr>
                    <m:jc m:val="left"/>
                  </m:oMathParaPr>
                  <m:oMath xmlns:m="http://schemas.openxmlformats.org/officeDocument/2006/math">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Max</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Hourly</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emissions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sty m:val="p"/>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m:t>f</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m:t>
                            </m:r>
                            <m:r>
                              <m:rPr>
                                <m:sty m:val="p"/>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m:t>v</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∗7.48</m:t>
                            </m:r>
                          </m:num>
                          <m:den>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Tank</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filling</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Rate</m:t>
                            </m:r>
                          </m:den>
                        </m:f>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den>
                    </m:f>
                  </m:oMath>
                </m:oMathPara>
              </a14:m>
              <a:endParaRPr lang="en-US" sz="1200" i="0">
                <a:solidFill>
                  <a:schemeClr val="tx1"/>
                </a:solidFill>
                <a:effectLst/>
                <a:latin typeface="Cambria Math" pitchFamily="18" charset="0"/>
                <a:ea typeface="Cambria Math" pitchFamily="18" charset="0"/>
                <a:cs typeface="Arial" pitchFamily="34" charset="0"/>
              </a:endParaRPr>
            </a:p>
            <a:p>
              <a:pPr eaLnBrk="1" fontAlgn="auto" latinLnBrk="0" hangingPunct="1"/>
              <a:endParaRPr lang="en-US" sz="1100" i="1" u="sng" baseline="0">
                <a:solidFill>
                  <a:schemeClr val="tx1"/>
                </a:solidFill>
                <a:latin typeface="Cambria Math"/>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Avg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Annual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emissions</m:t>
                    </m:r>
                    <m:r>
                      <a:rPr lang="en-US" sz="1200" b="0" i="0">
                        <a:solidFill>
                          <a:schemeClr val="tx1"/>
                        </a:solidFill>
                        <a:effectLst/>
                        <a:latin typeface="Cambria Math" pitchFamily="18" charset="0"/>
                        <a:ea typeface="Cambria Math" pitchFamily="18" charset="0"/>
                        <a:cs typeface="+mn-cs"/>
                      </a:rPr>
                      <m:t> = </m:t>
                    </m:r>
                    <m:f>
                      <m:fPr>
                        <m:ctrlPr>
                          <a:rPr lang="en-US" sz="1200" b="0" i="1">
                            <a:solidFill>
                              <a:schemeClr val="tx1"/>
                            </a:solidFill>
                            <a:effectLst/>
                            <a:latin typeface="Cambria Math" panose="02040503050406030204" pitchFamily="18" charset="0"/>
                            <a:ea typeface="Cambria Math" pitchFamily="18" charset="0"/>
                            <a:cs typeface="+mn-cs"/>
                          </a:rPr>
                        </m:ctrlPr>
                      </m:fPr>
                      <m:num>
                        <m:d>
                          <m:dPr>
                            <m:ctrlPr>
                              <a:rPr lang="en-US" sz="1200" b="0" i="1">
                                <a:solidFill>
                                  <a:schemeClr val="tx1"/>
                                </a:solidFill>
                                <a:effectLst/>
                                <a:latin typeface="Cambria Math" panose="02040503050406030204" pitchFamily="18" charset="0"/>
                                <a:ea typeface="Cambria Math" pitchFamily="18" charset="0"/>
                                <a:cs typeface="+mn-cs"/>
                              </a:rPr>
                            </m:ctrlPr>
                          </m:dPr>
                          <m:e>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Lf</m:t>
                            </m:r>
                          </m:e>
                        </m:d>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Number</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roof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landings</m:t>
                        </m:r>
                      </m:num>
                      <m:den>
                        <m:r>
                          <a:rPr lang="en-US" sz="1200" b="0" i="0">
                            <a:solidFill>
                              <a:schemeClr val="tx1"/>
                            </a:solidFill>
                            <a:effectLst/>
                            <a:latin typeface="Cambria Math" pitchFamily="18" charset="0"/>
                            <a:ea typeface="Cambria Math" pitchFamily="18" charset="0"/>
                            <a:cs typeface="+mn-cs"/>
                          </a:rPr>
                          <m:t>2000</m:t>
                        </m:r>
                      </m:den>
                    </m:f>
                  </m:oMath>
                </m:oMathPara>
              </a14:m>
              <a:endParaRPr lang="en-US" sz="1200" i="0">
                <a:effectLst/>
                <a:latin typeface="Cambria Math" pitchFamily="18" charset="0"/>
                <a:ea typeface="Cambria Math" pitchFamily="18" charset="0"/>
                <a:cs typeface="Arial" pitchFamily="34" charset="0"/>
              </a:endParaRPr>
            </a:p>
            <a:p>
              <a:pPr eaLnBrk="1" fontAlgn="auto" latinLnBrk="0" hangingPunct="1"/>
              <a:endParaRPr lang="en-US" sz="1000">
                <a:effectLst/>
                <a:latin typeface="Cambria Math" pitchFamily="18" charset="0"/>
                <a:ea typeface="Cambria Math" pitchFamily="18" charset="0"/>
              </a:endParaRPr>
            </a:p>
            <a:p>
              <a:pPr eaLnBrk="1" fontAlgn="auto" latinLnBrk="0" hangingPunct="1"/>
              <a:endParaRPr lang="en-US" sz="1000">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EFR (With wind effect)</a:t>
              </a: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Maximum Hourly Emissions: </a:t>
              </a:r>
            </a:p>
            <a:p>
              <a:pPr algn="l" eaLnBrk="1" fontAlgn="auto" latinLnBrk="0" hangingPunct="1"/>
              <a:endParaRPr lang="en-US" sz="1400" b="1" i="1" u="sng" baseline="0">
                <a:effectLst/>
              </a:endParaRPr>
            </a:p>
            <a:p>
              <a:pPr algn="l" eaLnBrk="1" fontAlgn="auto" latinLnBrk="0" hangingPunct="1"/>
              <a14:m>
                <m:oMath xmlns:m="http://schemas.openxmlformats.org/officeDocument/2006/math">
                  <m:r>
                    <m:rPr>
                      <m:sty m:val="p"/>
                    </m:rPr>
                    <a:rPr lang="en-US" sz="1200" i="0">
                      <a:solidFill>
                        <a:schemeClr val="tx1"/>
                      </a:solidFill>
                      <a:effectLst/>
                      <a:latin typeface="Cambria Math" pitchFamily="18" charset="0"/>
                      <a:ea typeface="Cambria Math" pitchFamily="18" charset="0"/>
                      <a:cs typeface="+mn-cs"/>
                    </a:rPr>
                    <m:t>One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day</m:t>
                  </m:r>
                  <m:r>
                    <a:rPr lang="en-US" sz="120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without</m:t>
                  </m:r>
                  <m:r>
                    <a:rPr lang="en-US" sz="1200" b="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wind</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driven</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standing</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idle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losses</m:t>
                  </m:r>
                  <m:r>
                    <a:rPr lang="en-US" sz="120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K</m:t>
                  </m:r>
                  <m:r>
                    <m:rPr>
                      <m:sty m:val="p"/>
                    </m:rPr>
                    <a:rPr lang="en-US" sz="1200" b="0" i="0" baseline="-25000">
                      <a:solidFill>
                        <a:schemeClr val="tx1"/>
                      </a:solidFill>
                      <a:effectLst/>
                      <a:latin typeface="Cambria Math" pitchFamily="18" charset="0"/>
                      <a:ea typeface="Cambria Math" pitchFamily="18" charset="0"/>
                      <a:cs typeface="+mn-cs"/>
                    </a:rPr>
                    <m:t>E</m:t>
                  </m:r>
                  <m:r>
                    <a:rPr lang="en-US" sz="1200" b="0" i="0">
                      <a:solidFill>
                        <a:schemeClr val="tx1"/>
                      </a:solidFill>
                      <a:effectLst/>
                      <a:latin typeface="Cambria Math" pitchFamily="18" charset="0"/>
                      <a:ea typeface="Cambria Math" pitchFamily="18" charset="0"/>
                      <a:cs typeface="+mn-cs"/>
                    </a:rPr>
                    <m:t> ∗ </m:t>
                  </m:r>
                  <m:d>
                    <m:d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dPr>
                    <m:e>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P</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Vv</m:t>
                          </m:r>
                        </m:num>
                        <m:den>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T</m:t>
                          </m:r>
                        </m:den>
                      </m:f>
                    </m:e>
                  </m:d>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MV</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KS</m:t>
                  </m:r>
                  <m:r>
                    <a:rPr lang="en-US" sz="1200" b="0" i="0" baseline="0">
                      <a:solidFill>
                        <a:schemeClr val="tx1"/>
                      </a:solidFill>
                      <a:effectLst/>
                      <a:latin typeface="Cambria Math" pitchFamily="18" charset="0"/>
                      <a:ea typeface="Cambria Math" pitchFamily="18" charset="0"/>
                      <a:cs typeface="+mn-cs"/>
                    </a:rPr>
                    <m:t> </m:t>
                  </m:r>
                </m:oMath>
              </a14:m>
              <a:r>
                <a:rPr lang="en-US" sz="1200" i="0">
                  <a:solidFill>
                    <a:schemeClr val="tx1"/>
                  </a:solidFill>
                  <a:effectLst/>
                  <a:latin typeface="Cambria Math" pitchFamily="18" charset="0"/>
                  <a:ea typeface="Cambria Math" pitchFamily="18" charset="0"/>
                  <a:cs typeface="Arial" pitchFamily="34" charset="0"/>
                </a:rPr>
                <a:t>* </a:t>
              </a:r>
              <a14:m>
                <m:oMath xmlns:m="http://schemas.openxmlformats.org/officeDocument/2006/math">
                  <m:r>
                    <m:rPr>
                      <m:nor/>
                    </m:rPr>
                    <a:rPr lang="en-US" sz="1200" b="0" i="0" baseline="0">
                      <a:solidFill>
                        <a:schemeClr val="tx1"/>
                      </a:solidFill>
                      <a:effectLst/>
                      <a:latin typeface="Cambria Math" pitchFamily="18" charset="0"/>
                      <a:ea typeface="Cambria Math" pitchFamily="18" charset="0"/>
                      <a:cs typeface="Arial" pitchFamily="34" charset="0"/>
                    </a:rPr>
                    <m:t>n</m:t>
                  </m:r>
                  <m:r>
                    <m:rPr>
                      <m:nor/>
                    </m:rPr>
                    <a:rPr lang="en-US" sz="1200" b="0" i="0" baseline="-25000">
                      <a:solidFill>
                        <a:schemeClr val="tx1"/>
                      </a:solidFill>
                      <a:effectLst/>
                      <a:latin typeface="Cambria Math" pitchFamily="18" charset="0"/>
                      <a:ea typeface="Cambria Math" pitchFamily="18" charset="0"/>
                      <a:cs typeface="Arial" pitchFamily="34" charset="0"/>
                    </a:rPr>
                    <m:t>d</m:t>
                  </m:r>
                </m:oMath>
              </a14:m>
              <a:endParaRPr lang="en-US" sz="1200" i="0">
                <a:effectLst/>
                <a:latin typeface="Cambria Math" pitchFamily="18" charset="0"/>
                <a:ea typeface="Cambria Math" pitchFamily="18" charset="0"/>
                <a:cs typeface="Arial" pitchFamily="34" charset="0"/>
              </a:endParaRPr>
            </a:p>
            <a:p>
              <a:pPr eaLnBrk="1" fontAlgn="auto" latinLnBrk="0" hangingPunct="1"/>
              <a14:m>
                <m:oMath xmlns:m="http://schemas.openxmlformats.org/officeDocument/2006/math">
                  <m:r>
                    <m:rPr>
                      <m:sty m:val="p"/>
                    </m:rPr>
                    <a:rPr lang="en-US" sz="1200" i="0">
                      <a:solidFill>
                        <a:schemeClr val="tx1"/>
                      </a:solidFill>
                      <a:effectLst/>
                      <a:latin typeface="Cambria Math" pitchFamily="18" charset="0"/>
                      <a:ea typeface="Cambria Math" pitchFamily="18" charset="0"/>
                      <a:cs typeface="+mn-cs"/>
                    </a:rPr>
                    <m:t>One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day</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wind</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driven</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standing</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idle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losses</m:t>
                  </m:r>
                  <m:r>
                    <a:rPr lang="en-US" sz="1200" i="0">
                      <a:solidFill>
                        <a:schemeClr val="tx1"/>
                      </a:solidFill>
                      <a:effectLst/>
                      <a:latin typeface="Cambria Math" pitchFamily="18" charset="0"/>
                      <a:ea typeface="Cambria Math" pitchFamily="18" charset="0"/>
                      <a:cs typeface="+mn-cs"/>
                    </a:rPr>
                    <m:t> =0.57 ∗ </m:t>
                  </m:r>
                  <m:r>
                    <m:rPr>
                      <m:nor/>
                    </m:rPr>
                    <a:rPr lang="en-US" sz="1200" b="0" i="0" baseline="0">
                      <a:solidFill>
                        <a:schemeClr val="tx1"/>
                      </a:solidFill>
                      <a:effectLst/>
                      <a:latin typeface="Cambria Math" pitchFamily="18" charset="0"/>
                      <a:ea typeface="Cambria Math" pitchFamily="18" charset="0"/>
                      <a:cs typeface="Arial" pitchFamily="34" charset="0"/>
                    </a:rPr>
                    <m:t>n</m:t>
                  </m:r>
                  <m:r>
                    <m:rPr>
                      <m:nor/>
                    </m:rPr>
                    <a:rPr lang="en-US" sz="1200" b="0" i="0" baseline="-25000">
                      <a:solidFill>
                        <a:schemeClr val="tx1"/>
                      </a:solidFill>
                      <a:effectLst/>
                      <a:latin typeface="Cambria Math" pitchFamily="18" charset="0"/>
                      <a:ea typeface="Cambria Math" pitchFamily="18" charset="0"/>
                      <a:cs typeface="Arial" pitchFamily="34" charset="0"/>
                    </a:rPr>
                    <m:t>d</m:t>
                  </m:r>
                </m:oMath>
              </a14:m>
              <a:r>
                <a:rPr lang="en-US" sz="1200" b="0" i="0" baseline="-25000">
                  <a:solidFill>
                    <a:schemeClr val="tx1"/>
                  </a:solidFill>
                  <a:effectLst/>
                  <a:latin typeface="Cambria Math" pitchFamily="18" charset="0"/>
                  <a:ea typeface="Cambria Math" pitchFamily="18" charset="0"/>
                  <a:cs typeface="Arial" pitchFamily="34" charset="0"/>
                </a:rPr>
                <a:t> </a:t>
              </a:r>
              <a:r>
                <a:rPr lang="en-US" sz="1200" i="0" baseline="0">
                  <a:solidFill>
                    <a:schemeClr val="tx1"/>
                  </a:solidFill>
                  <a:effectLst/>
                  <a:latin typeface="Cambria Math" pitchFamily="18" charset="0"/>
                  <a:ea typeface="Cambria Math" pitchFamily="18" charset="0"/>
                  <a:cs typeface="Arial" pitchFamily="34" charset="0"/>
                </a:rPr>
                <a:t>* D * P</a:t>
              </a:r>
              <a:r>
                <a:rPr lang="en-US" sz="1200" i="0" baseline="30000">
                  <a:solidFill>
                    <a:schemeClr val="tx1"/>
                  </a:solidFill>
                  <a:effectLst/>
                  <a:latin typeface="Cambria Math" pitchFamily="18" charset="0"/>
                  <a:ea typeface="Cambria Math" pitchFamily="18" charset="0"/>
                  <a:cs typeface="Arial" pitchFamily="34" charset="0"/>
                </a:rPr>
                <a:t>*</a:t>
              </a:r>
              <a:r>
                <a:rPr lang="en-US" sz="1200" i="0" baseline="0">
                  <a:solidFill>
                    <a:schemeClr val="tx1"/>
                  </a:solidFill>
                  <a:effectLst/>
                  <a:latin typeface="Cambria Math" pitchFamily="18" charset="0"/>
                  <a:ea typeface="Cambria Math" pitchFamily="18" charset="0"/>
                  <a:cs typeface="Arial" pitchFamily="34" charset="0"/>
                </a:rPr>
                <a:t> * M</a:t>
              </a:r>
              <a:r>
                <a:rPr lang="en-US" sz="1200" i="0" baseline="-25000">
                  <a:solidFill>
                    <a:schemeClr val="tx1"/>
                  </a:solidFill>
                  <a:effectLst/>
                  <a:latin typeface="Cambria Math" pitchFamily="18" charset="0"/>
                  <a:ea typeface="Cambria Math" pitchFamily="18" charset="0"/>
                  <a:cs typeface="Arial" pitchFamily="34" charset="0"/>
                </a:rPr>
                <a:t>V</a:t>
              </a:r>
              <a:endParaRPr lang="en-US" sz="1200" i="0">
                <a:effectLst/>
                <a:latin typeface="Cambria Math" pitchFamily="18" charset="0"/>
                <a:ea typeface="Cambria Math" pitchFamily="18" charset="0"/>
                <a:cs typeface="Arial" pitchFamily="34" charset="0"/>
              </a:endParaRPr>
            </a:p>
            <a:p>
              <a:pPr eaLnBrk="1" fontAlgn="auto" latinLnBrk="0" hangingPunct="1"/>
              <a14:m>
                <m:oMathPara xmlns:m="http://schemas.openxmlformats.org/officeDocument/2006/math">
                  <m:oMathParaPr>
                    <m:jc m:val="left"/>
                  </m:oMathParaPr>
                  <m:oMath xmlns:m="http://schemas.openxmlformats.org/officeDocument/2006/math">
                    <m:r>
                      <m:rPr>
                        <m:sty m:val="p"/>
                      </m:rPr>
                      <a:rPr lang="en-US" sz="1200" i="0">
                        <a:solidFill>
                          <a:schemeClr val="tx1"/>
                        </a:solidFill>
                        <a:effectLst/>
                        <a:latin typeface="Cambria Math" pitchFamily="18" charset="0"/>
                        <a:ea typeface="Cambria Math" pitchFamily="18" charset="0"/>
                        <a:cs typeface="+mn-cs"/>
                      </a:rPr>
                      <m:t>One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day</m:t>
                    </m:r>
                    <m:r>
                      <a:rPr lang="en-US" sz="120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without</m:t>
                    </m:r>
                    <m:r>
                      <a:rPr lang="en-US" sz="1200" b="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wind</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driven</m:t>
                    </m:r>
                    <m:r>
                      <a:rPr lang="en-US" sz="120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filling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losses</m:t>
                    </m:r>
                    <m:r>
                      <a:rPr lang="en-US" sz="1200" b="0" i="0">
                        <a:solidFill>
                          <a:schemeClr val="tx1"/>
                        </a:solidFill>
                        <a:effectLst/>
                        <a:latin typeface="Cambria Math" pitchFamily="18" charset="0"/>
                        <a:ea typeface="Cambria Math" pitchFamily="18" charset="0"/>
                        <a:cs typeface="+mn-cs"/>
                      </a:rPr>
                      <m:t>= </m:t>
                    </m:r>
                    <m:d>
                      <m:dPr>
                        <m:ctrlPr>
                          <a:rPr lang="en-US" sz="1200" b="0" i="1" baseline="0">
                            <a:solidFill>
                              <a:schemeClr val="tx1"/>
                            </a:solidFill>
                            <a:effectLst/>
                            <a:latin typeface="Cambria Math" panose="02040503050406030204" pitchFamily="18" charset="0"/>
                            <a:ea typeface="Cambria Math" pitchFamily="18" charset="0"/>
                            <a:cs typeface="+mn-cs"/>
                          </a:rPr>
                        </m:ctrlPr>
                      </m:dPr>
                      <m:e>
                        <m:f>
                          <m:fPr>
                            <m:ctrlPr>
                              <a:rPr lang="en-US" sz="1200" b="0" i="1" baseline="0">
                                <a:solidFill>
                                  <a:schemeClr val="tx1"/>
                                </a:solidFill>
                                <a:effectLst/>
                                <a:latin typeface="Cambria Math" panose="02040503050406030204" pitchFamily="18" charset="0"/>
                                <a:ea typeface="Cambria Math" pitchFamily="18" charset="0"/>
                                <a:cs typeface="+mn-cs"/>
                              </a:rPr>
                            </m:ctrlPr>
                          </m:fPr>
                          <m:num>
                            <m:r>
                              <m:rPr>
                                <m:sty m:val="p"/>
                              </m:rPr>
                              <a:rPr lang="en-US" sz="1200" b="0" i="0" baseline="0">
                                <a:solidFill>
                                  <a:schemeClr val="tx1"/>
                                </a:solidFill>
                                <a:effectLst/>
                                <a:latin typeface="Cambria Math" pitchFamily="18" charset="0"/>
                                <a:ea typeface="Cambria Math" pitchFamily="18" charset="0"/>
                                <a:cs typeface="+mn-cs"/>
                              </a:rPr>
                              <m:t>P</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Vv</m:t>
                            </m:r>
                          </m:num>
                          <m:den>
                            <m:r>
                              <m:rPr>
                                <m:sty m:val="p"/>
                              </m:rPr>
                              <a:rPr lang="en-US" sz="1200" b="0" i="0" baseline="0">
                                <a:solidFill>
                                  <a:schemeClr val="tx1"/>
                                </a:solidFill>
                                <a:effectLst/>
                                <a:latin typeface="Cambria Math" pitchFamily="18" charset="0"/>
                                <a:ea typeface="Cambria Math" pitchFamily="18" charset="0"/>
                                <a:cs typeface="+mn-cs"/>
                              </a:rPr>
                              <m:t>R</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T</m:t>
                            </m:r>
                          </m:den>
                        </m:f>
                      </m:e>
                    </m:d>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MV</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S</m:t>
                    </m:r>
                  </m:oMath>
                </m:oMathPara>
              </a14:m>
              <a:endParaRPr lang="en-US" sz="1200" i="0">
                <a:solidFill>
                  <a:schemeClr val="tx1"/>
                </a:solidFill>
                <a:effectLst/>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pPr/>
              <a14:m>
                <m:oMathPara xmlns:m="http://schemas.openxmlformats.org/officeDocument/2006/math">
                  <m:oMathParaPr>
                    <m:jc m:val="left"/>
                  </m:oMathParaPr>
                  <m:oMath xmlns:m="http://schemas.openxmlformats.org/officeDocument/2006/math">
                    <m:r>
                      <m:rPr>
                        <m:sty m:val="p"/>
                      </m:rPr>
                      <a:rPr lang="en-US" sz="1200" i="0">
                        <a:solidFill>
                          <a:schemeClr val="tx1"/>
                        </a:solidFill>
                        <a:effectLst/>
                        <a:latin typeface="Cambria Math" pitchFamily="18" charset="0"/>
                        <a:ea typeface="Cambria Math" pitchFamily="18" charset="0"/>
                        <a:cs typeface="Arial" pitchFamily="34" charset="0"/>
                      </a:rPr>
                      <m:t>C</m:t>
                    </m:r>
                    <m:r>
                      <m:rPr>
                        <m:sty m:val="p"/>
                      </m:rPr>
                      <a:rPr lang="en-US" sz="1200" i="0" baseline="-25000">
                        <a:solidFill>
                          <a:schemeClr val="tx1"/>
                        </a:solidFill>
                        <a:effectLst/>
                        <a:latin typeface="Cambria Math" pitchFamily="18" charset="0"/>
                        <a:ea typeface="Cambria Math" pitchFamily="18" charset="0"/>
                        <a:cs typeface="Arial" pitchFamily="34" charset="0"/>
                      </a:rPr>
                      <m:t>sf</m:t>
                    </m:r>
                    <m:r>
                      <a:rPr lang="en-US" sz="1200" i="0">
                        <a:solidFill>
                          <a:schemeClr val="tx1"/>
                        </a:solidFill>
                        <a:effectLst/>
                        <a:latin typeface="Cambria Math" pitchFamily="18" charset="0"/>
                        <a:ea typeface="Cambria Math" pitchFamily="18" charset="0"/>
                        <a:cs typeface="Arial" pitchFamily="34" charset="0"/>
                      </a:rPr>
                      <m:t> = 1−</m:t>
                    </m:r>
                    <m:f>
                      <m:fPr>
                        <m:ctrlPr>
                          <a:rPr lang="en-US" sz="1200" i="1">
                            <a:solidFill>
                              <a:schemeClr val="tx1"/>
                            </a:solidFill>
                            <a:effectLst/>
                            <a:latin typeface="Cambria Math" panose="02040503050406030204" pitchFamily="18" charset="0"/>
                            <a:ea typeface="Cambria Math" pitchFamily="18" charset="0"/>
                            <a:cs typeface="Arial" pitchFamily="34" charset="0"/>
                          </a:rPr>
                        </m:ctrlPr>
                      </m:fPr>
                      <m:num>
                        <m:d>
                          <m:dPr>
                            <m:ctrlPr>
                              <a:rPr lang="en-US" sz="1200" i="1">
                                <a:solidFill>
                                  <a:schemeClr val="tx1"/>
                                </a:solidFill>
                                <a:effectLst/>
                                <a:latin typeface="Cambria Math" panose="02040503050406030204" pitchFamily="18" charset="0"/>
                                <a:ea typeface="Cambria Math" pitchFamily="18" charset="0"/>
                                <a:cs typeface="Arial" pitchFamily="34" charset="0"/>
                              </a:rPr>
                            </m:ctrlPr>
                          </m:dPr>
                          <m:e>
                            <m:r>
                              <m:rPr>
                                <m:sty m:val="p"/>
                              </m:rPr>
                              <a:rPr lang="en-US" sz="1200" i="0">
                                <a:solidFill>
                                  <a:schemeClr val="tx1"/>
                                </a:solidFill>
                                <a:effectLst/>
                                <a:latin typeface="Cambria Math" pitchFamily="18" charset="0"/>
                                <a:ea typeface="Cambria Math" pitchFamily="18" charset="0"/>
                                <a:cs typeface="Arial" pitchFamily="34" charset="0"/>
                              </a:rPr>
                              <m:t>One</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day</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wind</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driven</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standing</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idle</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losses</m:t>
                            </m:r>
                            <m:r>
                              <a:rPr lang="en-US" sz="1200" i="0">
                                <a:solidFill>
                                  <a:schemeClr val="tx1"/>
                                </a:solidFill>
                                <a:effectLst/>
                                <a:latin typeface="Cambria Math" pitchFamily="18" charset="0"/>
                                <a:ea typeface="Cambria Math" pitchFamily="18" charset="0"/>
                                <a:cs typeface="Arial" pitchFamily="34" charset="0"/>
                              </a:rPr>
                              <m:t> – </m:t>
                            </m:r>
                            <m:r>
                              <m:rPr>
                                <m:sty m:val="p"/>
                              </m:rPr>
                              <a:rPr lang="en-US" sz="1200" i="0">
                                <a:solidFill>
                                  <a:schemeClr val="tx1"/>
                                </a:solidFill>
                                <a:effectLst/>
                                <a:latin typeface="Cambria Math" pitchFamily="18" charset="0"/>
                                <a:ea typeface="Cambria Math" pitchFamily="18" charset="0"/>
                                <a:cs typeface="Arial" pitchFamily="34" charset="0"/>
                              </a:rPr>
                              <m:t>One</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day</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without</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wind</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driven</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standing</m:t>
                            </m:r>
                            <m:r>
                              <a:rPr lang="en-US" sz="1200" i="0">
                                <a:solidFill>
                                  <a:schemeClr val="tx1"/>
                                </a:solidFill>
                                <a:effectLst/>
                                <a:latin typeface="Cambria Math" pitchFamily="18" charset="0"/>
                                <a:ea typeface="Cambria Math" pitchFamily="18" charset="0"/>
                                <a:cs typeface="Arial" pitchFamily="34" charset="0"/>
                              </a:rPr>
                              <m:t> </m:t>
                            </m:r>
                            <m:r>
                              <m:rPr>
                                <m:sty m:val="p"/>
                              </m:rPr>
                              <a:rPr lang="en-US" sz="1200" i="0">
                                <a:solidFill>
                                  <a:schemeClr val="tx1"/>
                                </a:solidFill>
                                <a:effectLst/>
                                <a:latin typeface="Cambria Math" pitchFamily="18" charset="0"/>
                                <a:ea typeface="Cambria Math" pitchFamily="18" charset="0"/>
                                <a:cs typeface="Arial" pitchFamily="34" charset="0"/>
                              </a:rPr>
                              <m:t>losses</m:t>
                            </m:r>
                          </m:e>
                        </m:d>
                      </m:num>
                      <m:den>
                        <m:r>
                          <a:rPr lang="en-US" sz="1200" b="0" i="0">
                            <a:solidFill>
                              <a:schemeClr val="tx1"/>
                            </a:solidFill>
                            <a:effectLst/>
                            <a:latin typeface="Cambria Math" pitchFamily="18" charset="0"/>
                            <a:ea typeface="Cambria Math" pitchFamily="18" charset="0"/>
                            <a:cs typeface="Arial" pitchFamily="34" charset="0"/>
                          </a:rPr>
                          <m:t>(</m:t>
                        </m:r>
                        <m:r>
                          <m:rPr>
                            <m:sty m:val="p"/>
                          </m:rPr>
                          <a:rPr lang="en-US" sz="1200" i="0">
                            <a:solidFill>
                              <a:schemeClr val="tx1"/>
                            </a:solidFill>
                            <a:effectLst/>
                            <a:latin typeface="Cambria Math" pitchFamily="18" charset="0"/>
                            <a:ea typeface="Cambria Math" pitchFamily="18" charset="0"/>
                            <a:cs typeface="+mn-cs"/>
                          </a:rPr>
                          <m:t>One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day</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without</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wind</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driven</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standing</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losses</m:t>
                        </m:r>
                        <m:r>
                          <a:rPr lang="en-US" sz="1200" i="0">
                            <a:solidFill>
                              <a:schemeClr val="tx1"/>
                            </a:solidFill>
                            <a:effectLst/>
                            <a:latin typeface="Cambria Math" pitchFamily="18" charset="0"/>
                            <a:ea typeface="Cambria Math" pitchFamily="18" charset="0"/>
                            <a:cs typeface="+mn-cs"/>
                          </a:rPr>
                          <m:t> + </m:t>
                        </m:r>
                        <m:r>
                          <m:rPr>
                            <m:sty m:val="p"/>
                          </m:rPr>
                          <a:rPr lang="en-US" sz="1200" i="0">
                            <a:solidFill>
                              <a:schemeClr val="tx1"/>
                            </a:solidFill>
                            <a:effectLst/>
                            <a:latin typeface="Cambria Math" pitchFamily="18" charset="0"/>
                            <a:ea typeface="Cambria Math" pitchFamily="18" charset="0"/>
                            <a:cs typeface="+mn-cs"/>
                          </a:rPr>
                          <m:t>One</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day</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without</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wind</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filling</m:t>
                        </m:r>
                        <m:r>
                          <a:rPr lang="en-US" sz="1200" i="0">
                            <a:solidFill>
                              <a:schemeClr val="tx1"/>
                            </a:solidFill>
                            <a:effectLst/>
                            <a:latin typeface="Cambria Math" pitchFamily="18" charset="0"/>
                            <a:ea typeface="Cambria Math" pitchFamily="18" charset="0"/>
                            <a:cs typeface="+mn-cs"/>
                          </a:rPr>
                          <m:t> </m:t>
                        </m:r>
                        <m:r>
                          <m:rPr>
                            <m:sty m:val="p"/>
                          </m:rPr>
                          <a:rPr lang="en-US" sz="1200" i="0">
                            <a:solidFill>
                              <a:schemeClr val="tx1"/>
                            </a:solidFill>
                            <a:effectLst/>
                            <a:latin typeface="Cambria Math" pitchFamily="18" charset="0"/>
                            <a:ea typeface="Cambria Math" pitchFamily="18" charset="0"/>
                            <a:cs typeface="+mn-cs"/>
                          </a:rPr>
                          <m:t>losses</m:t>
                        </m:r>
                        <m:r>
                          <a:rPr lang="en-US" sz="1200" b="0" i="0">
                            <a:solidFill>
                              <a:schemeClr val="tx1"/>
                            </a:solidFill>
                            <a:effectLst/>
                            <a:latin typeface="Cambria Math" pitchFamily="18" charset="0"/>
                            <a:ea typeface="Cambria Math" pitchFamily="18" charset="0"/>
                            <a:cs typeface="+mn-cs"/>
                          </a:rPr>
                          <m:t>)</m:t>
                        </m:r>
                      </m:den>
                    </m:f>
                  </m:oMath>
                </m:oMathPara>
              </a14:m>
              <a:endParaRPr lang="en-US" sz="1200" i="0">
                <a:solidFill>
                  <a:schemeClr val="tx1"/>
                </a:solidFill>
                <a:effectLst/>
                <a:latin typeface="Cambria Math" pitchFamily="18" charset="0"/>
                <a:ea typeface="Cambria Math" pitchFamily="18" charset="0"/>
                <a:cs typeface="Arial" pitchFamily="34" charset="0"/>
              </a:endParaRPr>
            </a:p>
            <a:p>
              <a:r>
                <a:rPr lang="en-US" sz="1200" i="0">
                  <a:solidFill>
                    <a:schemeClr val="tx1"/>
                  </a:solidFill>
                  <a:effectLst/>
                  <a:latin typeface="Cambria Math" pitchFamily="18" charset="0"/>
                  <a:ea typeface="Cambria Math" pitchFamily="18" charset="0"/>
                  <a:cs typeface="Arial" pitchFamily="34" charset="0"/>
                </a:rPr>
                <a:t> </a:t>
              </a:r>
            </a:p>
            <a:p>
              <a:pPr algn="l"/>
              <a:r>
                <a:rPr lang="en-US" sz="1200" i="0">
                  <a:solidFill>
                    <a:schemeClr val="tx1"/>
                  </a:solidFill>
                  <a:effectLst/>
                  <a:latin typeface="Cambria Math" pitchFamily="18" charset="0"/>
                  <a:ea typeface="Cambria Math" pitchFamily="18" charset="0"/>
                  <a:cs typeface="Arial" pitchFamily="34" charset="0"/>
                </a:rPr>
                <a:t>Vapor pressure function (P*) = </a:t>
              </a:r>
              <a14:m>
                <m:oMath xmlns:m="http://schemas.openxmlformats.org/officeDocument/2006/math">
                  <m:f>
                    <m:fPr>
                      <m:ctrlPr>
                        <a:rPr lang="en-US" sz="1200" i="1">
                          <a:solidFill>
                            <a:schemeClr val="tx1"/>
                          </a:solidFill>
                          <a:effectLst/>
                          <a:latin typeface="Cambria Math" panose="02040503050406030204" pitchFamily="18" charset="0"/>
                          <a:ea typeface="Cambria Math" pitchFamily="18" charset="0"/>
                          <a:cs typeface="Arial" pitchFamily="34" charset="0"/>
                        </a:rPr>
                      </m:ctrlPr>
                    </m:fPr>
                    <m:num>
                      <m:r>
                        <a:rPr lang="en-US" sz="1200" i="0">
                          <a:solidFill>
                            <a:schemeClr val="tx1"/>
                          </a:solidFill>
                          <a:effectLst/>
                          <a:latin typeface="Cambria Math" pitchFamily="18" charset="0"/>
                          <a:ea typeface="Cambria Math" pitchFamily="18" charset="0"/>
                          <a:cs typeface="+mn-cs"/>
                        </a:rPr>
                        <m:t>(</m:t>
                      </m:r>
                      <m:f>
                        <m:fPr>
                          <m:ctrlPr>
                            <a:rPr lang="en-US" sz="1200" i="1">
                              <a:solidFill>
                                <a:schemeClr val="tx1"/>
                              </a:solidFill>
                              <a:effectLst/>
                              <a:latin typeface="Cambria Math" panose="02040503050406030204" pitchFamily="18" charset="0"/>
                              <a:ea typeface="Cambria Math" pitchFamily="18" charset="0"/>
                              <a:cs typeface="+mn-cs"/>
                            </a:rPr>
                          </m:ctrlPr>
                        </m:fPr>
                        <m:num>
                          <m:r>
                            <m:rPr>
                              <m:sty m:val="p"/>
                            </m:rPr>
                            <a:rPr lang="en-US" sz="1200" i="0">
                              <a:solidFill>
                                <a:schemeClr val="tx1"/>
                              </a:solidFill>
                              <a:effectLst/>
                              <a:latin typeface="Cambria Math" pitchFamily="18" charset="0"/>
                              <a:ea typeface="Cambria Math" pitchFamily="18" charset="0"/>
                              <a:cs typeface="+mn-cs"/>
                            </a:rPr>
                            <m:t>P</m:t>
                          </m:r>
                        </m:num>
                        <m:den>
                          <m:r>
                            <a:rPr lang="en-US" sz="1200" i="0">
                              <a:solidFill>
                                <a:schemeClr val="tx1"/>
                              </a:solidFill>
                              <a:effectLst/>
                              <a:latin typeface="Cambria Math" pitchFamily="18" charset="0"/>
                              <a:ea typeface="Cambria Math" pitchFamily="18" charset="0"/>
                              <a:cs typeface="+mn-cs"/>
                            </a:rPr>
                            <m:t>14.7</m:t>
                          </m:r>
                        </m:den>
                      </m:f>
                      <m:r>
                        <a:rPr lang="en-US" sz="1200" i="0">
                          <a:solidFill>
                            <a:schemeClr val="tx1"/>
                          </a:solidFill>
                          <a:effectLst/>
                          <a:latin typeface="Cambria Math" pitchFamily="18" charset="0"/>
                          <a:ea typeface="Cambria Math" pitchFamily="18" charset="0"/>
                          <a:cs typeface="+mn-cs"/>
                        </a:rPr>
                        <m:t>) </m:t>
                      </m:r>
                    </m:num>
                    <m:den>
                      <m:r>
                        <a:rPr lang="en-US" sz="1200" i="0">
                          <a:solidFill>
                            <a:schemeClr val="tx1"/>
                          </a:solidFill>
                          <a:effectLst/>
                          <a:latin typeface="Cambria Math" pitchFamily="18" charset="0"/>
                          <a:ea typeface="Cambria Math" pitchFamily="18" charset="0"/>
                          <a:cs typeface="+mn-cs"/>
                        </a:rPr>
                        <m:t>((1+((1−(</m:t>
                      </m:r>
                      <m:f>
                        <m:fPr>
                          <m:ctrlPr>
                            <a:rPr lang="en-US" sz="1200" i="1">
                              <a:solidFill>
                                <a:schemeClr val="tx1"/>
                              </a:solidFill>
                              <a:effectLst/>
                              <a:latin typeface="Cambria Math" panose="02040503050406030204" pitchFamily="18" charset="0"/>
                              <a:ea typeface="Cambria Math" pitchFamily="18" charset="0"/>
                              <a:cs typeface="+mn-cs"/>
                            </a:rPr>
                          </m:ctrlPr>
                        </m:fPr>
                        <m:num>
                          <m:r>
                            <m:rPr>
                              <m:sty m:val="p"/>
                            </m:rPr>
                            <a:rPr lang="en-US" sz="1200" i="0">
                              <a:solidFill>
                                <a:schemeClr val="tx1"/>
                              </a:solidFill>
                              <a:effectLst/>
                              <a:latin typeface="Cambria Math" pitchFamily="18" charset="0"/>
                              <a:ea typeface="Cambria Math" pitchFamily="18" charset="0"/>
                              <a:cs typeface="+mn-cs"/>
                            </a:rPr>
                            <m:t>P</m:t>
                          </m:r>
                        </m:num>
                        <m:den>
                          <m:r>
                            <a:rPr lang="en-US" sz="1200" i="0">
                              <a:solidFill>
                                <a:schemeClr val="tx1"/>
                              </a:solidFill>
                              <a:effectLst/>
                              <a:latin typeface="Cambria Math" pitchFamily="18" charset="0"/>
                              <a:ea typeface="Cambria Math" pitchFamily="18" charset="0"/>
                              <a:cs typeface="+mn-cs"/>
                            </a:rPr>
                            <m:t>14.7</m:t>
                          </m:r>
                        </m:den>
                      </m:f>
                      <m:r>
                        <a:rPr lang="en-US" sz="1200" i="0">
                          <a:solidFill>
                            <a:schemeClr val="tx1"/>
                          </a:solidFill>
                          <a:effectLst/>
                          <a:latin typeface="Cambria Math" pitchFamily="18" charset="0"/>
                          <a:ea typeface="Cambria Math" pitchFamily="18" charset="0"/>
                          <a:cs typeface="+mn-cs"/>
                        </a:rPr>
                        <m:t>))</m:t>
                      </m:r>
                      <m:r>
                        <a:rPr lang="en-US" sz="1200" i="0" baseline="30000">
                          <a:solidFill>
                            <a:schemeClr val="tx1"/>
                          </a:solidFill>
                          <a:effectLst/>
                          <a:latin typeface="Cambria Math" pitchFamily="18" charset="0"/>
                          <a:ea typeface="Cambria Math" pitchFamily="18" charset="0"/>
                          <a:cs typeface="+mn-cs"/>
                        </a:rPr>
                        <m:t>0</m:t>
                      </m:r>
                      <m:r>
                        <a:rPr lang="en-US" sz="1200" i="0" baseline="0">
                          <a:solidFill>
                            <a:schemeClr val="tx1"/>
                          </a:solidFill>
                          <a:effectLst/>
                          <a:latin typeface="Cambria Math" pitchFamily="18" charset="0"/>
                          <a:ea typeface="Cambria Math" pitchFamily="18" charset="0"/>
                          <a:cs typeface="+mn-cs"/>
                        </a:rPr>
                        <m:t>.</m:t>
                      </m:r>
                      <m:r>
                        <a:rPr lang="en-US" sz="1200" i="0" baseline="30000">
                          <a:solidFill>
                            <a:schemeClr val="tx1"/>
                          </a:solidFill>
                          <a:effectLst/>
                          <a:latin typeface="Cambria Math" pitchFamily="18" charset="0"/>
                          <a:ea typeface="Cambria Math" pitchFamily="18" charset="0"/>
                          <a:cs typeface="+mn-cs"/>
                        </a:rPr>
                        <m:t>5</m:t>
                      </m:r>
                      <m:r>
                        <a:rPr lang="en-US" sz="1200" i="0">
                          <a:solidFill>
                            <a:schemeClr val="tx1"/>
                          </a:solidFill>
                          <a:effectLst/>
                          <a:latin typeface="Cambria Math" pitchFamily="18" charset="0"/>
                          <a:ea typeface="Cambria Math" pitchFamily="18" charset="0"/>
                          <a:cs typeface="+mn-cs"/>
                        </a:rPr>
                        <m:t>))</m:t>
                      </m:r>
                      <m:r>
                        <a:rPr lang="en-US" sz="1200" i="0" baseline="30000">
                          <a:solidFill>
                            <a:schemeClr val="tx1"/>
                          </a:solidFill>
                          <a:effectLst/>
                          <a:latin typeface="Cambria Math" pitchFamily="18" charset="0"/>
                          <a:ea typeface="Cambria Math" pitchFamily="18" charset="0"/>
                          <a:cs typeface="+mn-cs"/>
                        </a:rPr>
                        <m:t>2</m:t>
                      </m:r>
                      <m:r>
                        <m:rPr>
                          <m:nor/>
                        </m:rPr>
                        <a:rPr lang="en-US" sz="1200" i="0">
                          <a:effectLst/>
                          <a:latin typeface="Cambria Math" pitchFamily="18" charset="0"/>
                          <a:ea typeface="Cambria Math" pitchFamily="18" charset="0"/>
                          <a:cs typeface="Arial" pitchFamily="34" charset="0"/>
                        </a:rPr>
                        <m:t> </m:t>
                      </m:r>
                    </m:den>
                  </m:f>
                  <m:r>
                    <a:rPr lang="en-US" sz="1200" i="0">
                      <a:solidFill>
                        <a:schemeClr val="tx1"/>
                      </a:solidFill>
                      <a:effectLst/>
                      <a:latin typeface="Cambria Math" pitchFamily="18" charset="0"/>
                      <a:ea typeface="Cambria Math" pitchFamily="18" charset="0"/>
                      <a:cs typeface="Arial" pitchFamily="34" charset="0"/>
                    </a:rPr>
                    <m:t> </m:t>
                  </m:r>
                </m:oMath>
              </a14:m>
              <a:endParaRPr lang="en-US" sz="1200" i="0">
                <a:effectLst/>
                <a:latin typeface="Cambria Math" pitchFamily="18" charset="0"/>
                <a:ea typeface="Cambria Math" pitchFamily="18" charset="0"/>
                <a:cs typeface="Arial" pitchFamily="34" charset="0"/>
              </a:endParaRPr>
            </a:p>
            <a:p>
              <a:endParaRPr lang="en-US" sz="1200" i="0">
                <a:latin typeface="Cambria Math" pitchFamily="18" charset="0"/>
                <a:ea typeface="Cambria Math" pitchFamily="18" charset="0"/>
                <a:cs typeface="Arial" pitchFamily="34" charset="0"/>
              </a:endParaRPr>
            </a:p>
            <a:p>
              <a:r>
                <a:rPr lang="en-US" sz="1200" i="0">
                  <a:latin typeface="Cambria Math" pitchFamily="18" charset="0"/>
                  <a:ea typeface="Cambria Math" pitchFamily="18" charset="0"/>
                  <a:cs typeface="Arial" pitchFamily="34" charset="0"/>
                </a:rPr>
                <a:t>L</a:t>
              </a:r>
              <a:r>
                <a:rPr lang="en-US" sz="1200" i="0" baseline="-25000">
                  <a:latin typeface="Cambria Math" pitchFamily="18" charset="0"/>
                  <a:ea typeface="Cambria Math" pitchFamily="18" charset="0"/>
                  <a:cs typeface="Arial" pitchFamily="34" charset="0"/>
                </a:rPr>
                <a:t>s </a:t>
              </a:r>
              <a:r>
                <a:rPr lang="en-US" sz="1200" i="0" baseline="0">
                  <a:latin typeface="Cambria Math" pitchFamily="18" charset="0"/>
                  <a:ea typeface="Cambria Math" pitchFamily="18" charset="0"/>
                  <a:cs typeface="Arial" pitchFamily="34" charset="0"/>
                </a:rPr>
                <a:t>= 0.57 * n</a:t>
              </a:r>
              <a:r>
                <a:rPr lang="en-US" sz="1200" i="0" baseline="-25000">
                  <a:latin typeface="Cambria Math" pitchFamily="18" charset="0"/>
                  <a:ea typeface="Cambria Math" pitchFamily="18" charset="0"/>
                  <a:cs typeface="Arial" pitchFamily="34" charset="0"/>
                </a:rPr>
                <a:t>d</a:t>
              </a:r>
              <a:r>
                <a:rPr lang="en-US" sz="1200" i="0" baseline="0">
                  <a:latin typeface="Cambria Math" pitchFamily="18" charset="0"/>
                  <a:ea typeface="Cambria Math" pitchFamily="18" charset="0"/>
                  <a:cs typeface="Arial" pitchFamily="34" charset="0"/>
                </a:rPr>
                <a:t>* D * P</a:t>
              </a:r>
              <a:r>
                <a:rPr lang="en-US" sz="1200" i="0" baseline="30000">
                  <a:latin typeface="Cambria Math" pitchFamily="18" charset="0"/>
                  <a:ea typeface="Cambria Math" pitchFamily="18" charset="0"/>
                  <a:cs typeface="Arial" pitchFamily="34" charset="0"/>
                </a:rPr>
                <a:t>*</a:t>
              </a:r>
              <a:r>
                <a:rPr lang="en-US" sz="1200" i="0" baseline="0">
                  <a:latin typeface="Cambria Math" pitchFamily="18" charset="0"/>
                  <a:ea typeface="Cambria Math" pitchFamily="18" charset="0"/>
                  <a:cs typeface="Arial" pitchFamily="34" charset="0"/>
                </a:rPr>
                <a:t> * M</a:t>
              </a:r>
              <a:r>
                <a:rPr lang="en-US" sz="1200" i="0" baseline="-25000">
                  <a:latin typeface="Cambria Math" pitchFamily="18" charset="0"/>
                  <a:ea typeface="Cambria Math" pitchFamily="18" charset="0"/>
                  <a:cs typeface="Arial" pitchFamily="34" charset="0"/>
                </a:rPr>
                <a:t>V</a:t>
              </a:r>
            </a:p>
            <a:p>
              <a:endParaRPr lang="en-US" sz="1200" i="0" baseline="-25000">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m:rPr>
                      <m:sty m:val="p"/>
                    </m:rPr>
                    <a:rPr lang="en-US" sz="1200" b="0" i="0" baseline="0">
                      <a:solidFill>
                        <a:schemeClr val="tx1"/>
                      </a:solidFill>
                      <a:effectLst/>
                      <a:latin typeface="Cambria Math" pitchFamily="18" charset="0"/>
                      <a:ea typeface="Cambria Math" pitchFamily="18" charset="0"/>
                      <a:cs typeface="+mn-cs"/>
                    </a:rPr>
                    <m:t>L</m:t>
                  </m:r>
                  <m:r>
                    <m:rPr>
                      <m:nor/>
                    </m:rPr>
                    <a:rPr lang="en-US" sz="1200" b="0" i="0" baseline="-25000">
                      <a:solidFill>
                        <a:schemeClr val="tx1"/>
                      </a:solidFill>
                      <a:effectLst/>
                      <a:latin typeface="Cambria Math" pitchFamily="18" charset="0"/>
                      <a:ea typeface="Cambria Math" pitchFamily="18" charset="0"/>
                      <a:cs typeface="Arial" pitchFamily="34" charset="0"/>
                    </a:rPr>
                    <m:t>f</m:t>
                  </m:r>
                  <m:r>
                    <a:rPr lang="en-US" sz="1200" b="0" i="0" baseline="0">
                      <a:solidFill>
                        <a:schemeClr val="tx1"/>
                      </a:solidFill>
                      <a:effectLst/>
                      <a:latin typeface="Cambria Math" pitchFamily="18" charset="0"/>
                      <a:ea typeface="Cambria Math" pitchFamily="18" charset="0"/>
                      <a:cs typeface="+mn-cs"/>
                    </a:rPr>
                    <m:t> = </m:t>
                  </m:r>
                  <m:d>
                    <m:dPr>
                      <m:ctrlPr>
                        <a:rPr lang="en-US" sz="1200" b="0" i="1" baseline="0">
                          <a:solidFill>
                            <a:schemeClr val="tx1"/>
                          </a:solidFill>
                          <a:effectLst/>
                          <a:latin typeface="Cambria Math" panose="02040503050406030204" pitchFamily="18" charset="0"/>
                          <a:ea typeface="Cambria Math" pitchFamily="18" charset="0"/>
                          <a:cs typeface="+mn-cs"/>
                        </a:rPr>
                      </m:ctrlPr>
                    </m:dPr>
                    <m:e>
                      <m:f>
                        <m:fPr>
                          <m:ctrlPr>
                            <a:rPr lang="en-US" sz="1200" b="0" i="1" baseline="0">
                              <a:solidFill>
                                <a:schemeClr val="tx1"/>
                              </a:solidFill>
                              <a:effectLst/>
                              <a:latin typeface="Cambria Math" panose="02040503050406030204" pitchFamily="18" charset="0"/>
                              <a:ea typeface="Cambria Math" pitchFamily="18" charset="0"/>
                              <a:cs typeface="+mn-cs"/>
                            </a:rPr>
                          </m:ctrlPr>
                        </m:fPr>
                        <m:num>
                          <m:r>
                            <m:rPr>
                              <m:sty m:val="p"/>
                            </m:rPr>
                            <a:rPr lang="en-US" sz="1200" b="0" i="0" baseline="0">
                              <a:solidFill>
                                <a:schemeClr val="tx1"/>
                              </a:solidFill>
                              <a:effectLst/>
                              <a:latin typeface="Cambria Math" pitchFamily="18" charset="0"/>
                              <a:ea typeface="Cambria Math" pitchFamily="18" charset="0"/>
                              <a:cs typeface="+mn-cs"/>
                            </a:rPr>
                            <m:t>P</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Vv</m:t>
                          </m:r>
                        </m:num>
                        <m:den>
                          <m:r>
                            <m:rPr>
                              <m:sty m:val="p"/>
                            </m:rPr>
                            <a:rPr lang="en-US" sz="1200" b="0" i="0" baseline="0">
                              <a:solidFill>
                                <a:schemeClr val="tx1"/>
                              </a:solidFill>
                              <a:effectLst/>
                              <a:latin typeface="Cambria Math" pitchFamily="18" charset="0"/>
                              <a:ea typeface="Cambria Math" pitchFamily="18" charset="0"/>
                              <a:cs typeface="+mn-cs"/>
                            </a:rPr>
                            <m:t>R</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T</m:t>
                          </m:r>
                        </m:den>
                      </m:f>
                    </m:e>
                  </m:d>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MV</m:t>
                  </m:r>
                  <m:r>
                    <a:rPr lang="en-US" sz="1200" b="0" i="0" baseline="0">
                      <a:solidFill>
                        <a:schemeClr val="tx1"/>
                      </a:solidFill>
                      <a:effectLst/>
                      <a:latin typeface="Cambria Math" pitchFamily="18" charset="0"/>
                      <a:ea typeface="Cambria Math" pitchFamily="18" charset="0"/>
                      <a:cs typeface="+mn-cs"/>
                    </a:rPr>
                    <m:t>∗</m:t>
                  </m:r>
                  <m:r>
                    <m:rPr>
                      <m:sty m:val="p"/>
                    </m:rPr>
                    <a:rPr lang="en-US" sz="1200" b="0" i="0" baseline="0">
                      <a:solidFill>
                        <a:schemeClr val="tx1"/>
                      </a:solidFill>
                      <a:effectLst/>
                      <a:latin typeface="Cambria Math" pitchFamily="18" charset="0"/>
                      <a:ea typeface="Cambria Math" pitchFamily="18" charset="0"/>
                      <a:cs typeface="+mn-cs"/>
                    </a:rPr>
                    <m:t>S</m:t>
                  </m:r>
                  <m:r>
                    <a:rPr lang="en-US" sz="1200" b="0" i="0" baseline="0">
                      <a:solidFill>
                        <a:schemeClr val="tx1"/>
                      </a:solidFill>
                      <a:effectLst/>
                      <a:latin typeface="Cambria Math" pitchFamily="18" charset="0"/>
                      <a:ea typeface="Cambria Math" pitchFamily="18" charset="0"/>
                      <a:cs typeface="+mn-cs"/>
                    </a:rPr>
                    <m:t> </m:t>
                  </m:r>
                </m:oMath>
              </a14:m>
              <a:r>
                <a:rPr lang="en-US" sz="1200" i="0">
                  <a:effectLst/>
                  <a:latin typeface="Cambria Math" pitchFamily="18" charset="0"/>
                  <a:ea typeface="Cambria Math" pitchFamily="18" charset="0"/>
                  <a:cs typeface="Arial" pitchFamily="34" charset="0"/>
                </a:rPr>
                <a:t>* </a:t>
              </a:r>
              <a14:m>
                <m:oMath xmlns:m="http://schemas.openxmlformats.org/officeDocument/2006/math">
                  <m:r>
                    <m:rPr>
                      <m:sty m:val="p"/>
                    </m:rPr>
                    <a:rPr lang="en-US" sz="1200" i="0">
                      <a:solidFill>
                        <a:schemeClr val="tx1"/>
                      </a:solidFill>
                      <a:effectLst/>
                      <a:latin typeface="Cambria Math" pitchFamily="18" charset="0"/>
                      <a:ea typeface="Cambria Math" pitchFamily="18" charset="0"/>
                      <a:cs typeface="+mn-cs"/>
                    </a:rPr>
                    <m:t>C</m:t>
                  </m:r>
                  <m:r>
                    <m:rPr>
                      <m:sty m:val="p"/>
                    </m:rPr>
                    <a:rPr lang="en-US" sz="1200" i="0" baseline="-25000">
                      <a:solidFill>
                        <a:schemeClr val="tx1"/>
                      </a:solidFill>
                      <a:effectLst/>
                      <a:latin typeface="Cambria Math" pitchFamily="18" charset="0"/>
                      <a:ea typeface="Cambria Math" pitchFamily="18" charset="0"/>
                      <a:cs typeface="+mn-cs"/>
                    </a:rPr>
                    <m:t>sf</m:t>
                  </m:r>
                </m:oMath>
              </a14:m>
              <a:endParaRPr lang="en-US" sz="1200" i="0">
                <a:effectLst/>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Max. </a:t>
              </a:r>
              <a14:m>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Total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Losses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with</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liquid</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heel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Lf</m:t>
                  </m:r>
                </m:oMath>
              </a14:m>
              <a:endParaRPr lang="en-US" sz="1200" i="0" baseline="-2500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mn-cs"/>
              </a:endParaRPr>
            </a:p>
            <a:p>
              <a:pPr eaLnBrk="1" fontAlgn="auto" latinLnBrk="0" hangingPunct="1"/>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Max</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Hourly</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emissions</m:t>
                    </m:r>
                    <m:r>
                      <a:rPr lang="en-US" sz="1200" b="0" i="0">
                        <a:solidFill>
                          <a:schemeClr val="tx1"/>
                        </a:solidFill>
                        <a:effectLst/>
                        <a:latin typeface="Cambria Math" pitchFamily="18" charset="0"/>
                        <a:ea typeface="Cambria Math" pitchFamily="18" charset="0"/>
                        <a:cs typeface="+mn-cs"/>
                      </a:rPr>
                      <m:t> =</m:t>
                    </m:r>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f</m:t>
                        </m:r>
                      </m:num>
                      <m:den>
                        <m:r>
                          <a:rPr lang="en-US" sz="1200" b="0" i="0">
                            <a:solidFill>
                              <a:schemeClr val="tx1"/>
                            </a:solidFill>
                            <a:effectLst/>
                            <a:latin typeface="Cambria Math" pitchFamily="18" charset="0"/>
                            <a:ea typeface="Cambria Math" pitchFamily="18" charset="0"/>
                            <a:cs typeface="+mn-cs"/>
                          </a:rPr>
                          <m:t>(</m:t>
                        </m:r>
                        <m:f>
                          <m:fPr>
                            <m:ctrlPr>
                              <a:rPr lang="en-US" sz="1200" b="0" i="1">
                                <a:solidFill>
                                  <a:schemeClr val="tx1"/>
                                </a:solidFill>
                                <a:effectLst/>
                                <a:latin typeface="Cambria Math" panose="02040503050406030204" pitchFamily="18" charset="0"/>
                                <a:ea typeface="Cambria Math" pitchFamily="18" charset="0"/>
                                <a:cs typeface="+mn-cs"/>
                              </a:rPr>
                            </m:ctrlPr>
                          </m:fPr>
                          <m:num>
                            <m:r>
                              <m:rPr>
                                <m:sty m:val="p"/>
                              </m:rPr>
                              <a:rPr lang="en-US" sz="1200" b="0" i="0">
                                <a:solidFill>
                                  <a:schemeClr val="tx1"/>
                                </a:solidFill>
                                <a:effectLst/>
                                <a:latin typeface="Cambria Math" pitchFamily="18" charset="0"/>
                                <a:ea typeface="Cambria Math" pitchFamily="18" charset="0"/>
                                <a:cs typeface="+mn-cs"/>
                              </a:rPr>
                              <m:t>V</m:t>
                            </m:r>
                            <m:r>
                              <m:rPr>
                                <m:sty m:val="p"/>
                              </m:rPr>
                              <a:rPr lang="en-US" sz="1200" b="0" i="0" baseline="-25000">
                                <a:solidFill>
                                  <a:schemeClr val="tx1"/>
                                </a:solidFill>
                                <a:effectLst/>
                                <a:latin typeface="Cambria Math" pitchFamily="18" charset="0"/>
                                <a:ea typeface="Cambria Math" pitchFamily="18" charset="0"/>
                                <a:cs typeface="+mn-cs"/>
                              </a:rPr>
                              <m:t>v</m:t>
                            </m:r>
                            <m:r>
                              <a:rPr lang="en-US" sz="1200" b="0" i="0">
                                <a:solidFill>
                                  <a:schemeClr val="tx1"/>
                                </a:solidFill>
                                <a:effectLst/>
                                <a:latin typeface="Cambria Math" pitchFamily="18" charset="0"/>
                                <a:ea typeface="Cambria Math" pitchFamily="18" charset="0"/>
                                <a:cs typeface="+mn-cs"/>
                              </a:rPr>
                              <m:t> ∗7.48</m:t>
                            </m:r>
                          </m:num>
                          <m:den>
                            <m:r>
                              <m:rPr>
                                <m:sty m:val="p"/>
                              </m:rPr>
                              <a:rPr lang="en-US" sz="1200" b="0" i="0">
                                <a:solidFill>
                                  <a:schemeClr val="tx1"/>
                                </a:solidFill>
                                <a:effectLst/>
                                <a:latin typeface="Cambria Math" pitchFamily="18" charset="0"/>
                                <a:ea typeface="Cambria Math" pitchFamily="18" charset="0"/>
                                <a:cs typeface="+mn-cs"/>
                              </a:rPr>
                              <m:t>Tank</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filling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Rate</m:t>
                            </m:r>
                          </m:den>
                        </m:f>
                        <m:r>
                          <a:rPr lang="en-US" sz="1200" b="0" i="0">
                            <a:solidFill>
                              <a:schemeClr val="tx1"/>
                            </a:solidFill>
                            <a:effectLst/>
                            <a:latin typeface="Cambria Math" pitchFamily="18" charset="0"/>
                            <a:ea typeface="Cambria Math" pitchFamily="18" charset="0"/>
                            <a:cs typeface="+mn-cs"/>
                          </a:rPr>
                          <m:t>)</m:t>
                        </m:r>
                      </m:den>
                    </m:f>
                  </m:oMath>
                </m:oMathPara>
              </a14:m>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a:effectLst/>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mn-cs"/>
              </a:endParaRPr>
            </a:p>
            <a:p>
              <a:pPr eaLnBrk="1" fontAlgn="auto" latinLnBrk="0" hangingPunct="1"/>
              <a14:m>
                <m:oMathPara xmlns:m="http://schemas.openxmlformats.org/officeDocument/2006/math">
                  <m:oMathParaPr>
                    <m:jc m:val="left"/>
                  </m:oMathParaPr>
                  <m:oMath xmlns:m="http://schemas.openxmlformats.org/officeDocument/2006/math">
                    <m:r>
                      <m:rPr>
                        <m:sty m:val="p"/>
                      </m:rPr>
                      <a:rPr lang="en-US" sz="1200" b="0" i="0">
                        <a:solidFill>
                          <a:schemeClr val="tx1"/>
                        </a:solidFill>
                        <a:effectLst/>
                        <a:latin typeface="Cambria Math" pitchFamily="18" charset="0"/>
                        <a:ea typeface="Cambria Math" pitchFamily="18" charset="0"/>
                        <a:cs typeface="+mn-cs"/>
                      </a:rPr>
                      <m:t>Avg</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Annual</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emissions</m:t>
                    </m:r>
                    <m:r>
                      <a:rPr lang="en-US" sz="1200" b="0" i="0">
                        <a:solidFill>
                          <a:schemeClr val="tx1"/>
                        </a:solidFill>
                        <a:effectLst/>
                        <a:latin typeface="Cambria Math" pitchFamily="18" charset="0"/>
                        <a:ea typeface="Cambria Math" pitchFamily="18" charset="0"/>
                        <a:cs typeface="+mn-cs"/>
                      </a:rPr>
                      <m:t> = </m:t>
                    </m:r>
                    <m:f>
                      <m:fPr>
                        <m:ctrlPr>
                          <a:rPr lang="en-US" sz="1200" b="0" i="1">
                            <a:solidFill>
                              <a:schemeClr val="tx1"/>
                            </a:solidFill>
                            <a:effectLst/>
                            <a:latin typeface="Cambria Math" panose="02040503050406030204" pitchFamily="18" charset="0"/>
                            <a:ea typeface="Cambria Math" pitchFamily="18" charset="0"/>
                            <a:cs typeface="+mn-cs"/>
                          </a:rPr>
                        </m:ctrlPr>
                      </m:fPr>
                      <m:num>
                        <m:d>
                          <m:dPr>
                            <m:ctrlPr>
                              <a:rPr lang="en-US" sz="1200" b="0" i="1">
                                <a:solidFill>
                                  <a:schemeClr val="tx1"/>
                                </a:solidFill>
                                <a:effectLst/>
                                <a:latin typeface="Cambria Math" panose="02040503050406030204" pitchFamily="18" charset="0"/>
                                <a:ea typeface="Cambria Math" pitchFamily="18" charset="0"/>
                                <a:cs typeface="+mn-cs"/>
                              </a:rPr>
                            </m:ctrlPr>
                          </m:dPr>
                          <m:e>
                            <m:r>
                              <m:rPr>
                                <m:sty m:val="p"/>
                              </m:rPr>
                              <a:rPr lang="en-US" sz="1200" b="0" i="0">
                                <a:solidFill>
                                  <a:schemeClr val="tx1"/>
                                </a:solidFill>
                                <a:effectLst/>
                                <a:latin typeface="Cambria Math" pitchFamily="18" charset="0"/>
                                <a:ea typeface="Cambria Math" pitchFamily="18" charset="0"/>
                                <a:cs typeface="+mn-cs"/>
                              </a:rPr>
                              <m:t>L</m:t>
                            </m:r>
                            <m:r>
                              <m:rPr>
                                <m:sty m:val="p"/>
                              </m:rPr>
                              <a:rPr lang="en-US" sz="1200" b="0" i="0" baseline="-25000">
                                <a:solidFill>
                                  <a:schemeClr val="tx1"/>
                                </a:solidFill>
                                <a:effectLst/>
                                <a:latin typeface="Cambria Math" pitchFamily="18" charset="0"/>
                                <a:ea typeface="Cambria Math" pitchFamily="18" charset="0"/>
                                <a:cs typeface="+mn-cs"/>
                              </a:rPr>
                              <m:t>s</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Lf</m:t>
                            </m:r>
                          </m:e>
                        </m:d>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Number</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roof</m:t>
                        </m:r>
                        <m:r>
                          <a:rPr lang="en-US" sz="1200" b="0" i="0">
                            <a:solidFill>
                              <a:schemeClr val="tx1"/>
                            </a:solidFill>
                            <a:effectLst/>
                            <a:latin typeface="Cambria Math" pitchFamily="18" charset="0"/>
                            <a:ea typeface="Cambria Math" pitchFamily="18" charset="0"/>
                            <a:cs typeface="+mn-cs"/>
                          </a:rPr>
                          <m:t> </m:t>
                        </m:r>
                        <m:r>
                          <m:rPr>
                            <m:sty m:val="p"/>
                          </m:rPr>
                          <a:rPr lang="en-US" sz="1200" b="0" i="0">
                            <a:solidFill>
                              <a:schemeClr val="tx1"/>
                            </a:solidFill>
                            <a:effectLst/>
                            <a:latin typeface="Cambria Math" pitchFamily="18" charset="0"/>
                            <a:ea typeface="Cambria Math" pitchFamily="18" charset="0"/>
                            <a:cs typeface="+mn-cs"/>
                          </a:rPr>
                          <m:t>landings</m:t>
                        </m:r>
                      </m:num>
                      <m:den>
                        <m:r>
                          <a:rPr lang="en-US" sz="1200" b="0" i="0">
                            <a:solidFill>
                              <a:schemeClr val="tx1"/>
                            </a:solidFill>
                            <a:effectLst/>
                            <a:latin typeface="Cambria Math" pitchFamily="18" charset="0"/>
                            <a:ea typeface="Cambria Math" pitchFamily="18" charset="0"/>
                            <a:cs typeface="+mn-cs"/>
                          </a:rPr>
                          <m:t>2000</m:t>
                        </m:r>
                      </m:den>
                    </m:f>
                  </m:oMath>
                </m:oMathPara>
              </a14:m>
              <a:endParaRPr lang="en-US" sz="1200" i="0">
                <a:effectLst/>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25000" noProof="0">
                <a:ln>
                  <a:noFill/>
                </a:ln>
                <a:solidFill>
                  <a:prstClr val="black"/>
                </a:solidFill>
                <a:effectLst/>
                <a:uLnTx/>
                <a:uFillTx/>
                <a:latin typeface="Arial" pitchFamily="34" charset="0"/>
                <a:ea typeface="+mn-ea"/>
                <a:cs typeface="Arial"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Drain Dry EFR</a:t>
              </a: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a:solidFill>
                    <a:schemeClr val="tx1"/>
                  </a:solidFill>
                  <a:effectLst/>
                  <a:latin typeface="+mn-lt"/>
                  <a:ea typeface="+mn-ea"/>
                  <a:cs typeface="+mn-cs"/>
                </a:rPr>
                <a:t>Maximum</a:t>
              </a:r>
              <a:r>
                <a:rPr lang="en-US" sz="1100" i="1" u="sng" baseline="0">
                  <a:solidFill>
                    <a:schemeClr val="tx1"/>
                  </a:solidFill>
                  <a:effectLst/>
                  <a:latin typeface="+mn-lt"/>
                  <a:ea typeface="+mn-ea"/>
                  <a:cs typeface="+mn-cs"/>
                </a:rPr>
                <a:t> Hourly Emissions: </a:t>
              </a:r>
              <a:endParaRPr lang="en-US" sz="14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1" i="1" u="sng">
                <a:solidFill>
                  <a:schemeClr val="tx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If (</a:t>
              </a:r>
              <a14:m>
                <m:oMath xmlns:m="http://schemas.openxmlformats.org/officeDocument/2006/math">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0.0063 ∗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Wl</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Arial" pitchFamily="34" charset="0"/>
                        </a:rPr>
                      </m:ctrlPr>
                    </m:fPr>
                    <m:num>
                      <m:r>
                        <m:rPr>
                          <m:sty m:val="p"/>
                        </m:rP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π</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4</m:t>
                      </m:r>
                    </m:den>
                  </m:f>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D</m:t>
                  </m:r>
                  <m: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m:t>2</m:t>
                  </m:r>
                </m:oMath>
              </a14:m>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&gt;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f(EFR)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then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 (EFR)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Otherwise,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 (</a:t>
              </a:r>
              <a14:m>
                <m:oMath xmlns:m="http://schemas.openxmlformats.org/officeDocument/2006/math">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0.0063 ∗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Wl</m:t>
                  </m:r>
                  <m: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m:t>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Arial" pitchFamily="34" charset="0"/>
                        </a:rPr>
                      </m:ctrlPr>
                    </m:fPr>
                    <m:num>
                      <m:r>
                        <m:rPr>
                          <m:sty m:val="p"/>
                        </m:rP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π</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4</m:t>
                      </m:r>
                    </m:den>
                  </m:f>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m:t>D</m:t>
                  </m:r>
                  <m: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m:t>2</m:t>
                  </m:r>
                </m:oMath>
              </a14:m>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nor/>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m:t>f</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 </m:t>
                    </m:r>
                    <m:d>
                      <m:d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dPr>
                      <m:e>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P</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Vv</m:t>
                            </m:r>
                          </m:num>
                          <m:den>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T</m:t>
                            </m:r>
                          </m:den>
                        </m:f>
                      </m:e>
                    </m:d>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MV</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oMath>
                </m:oMathPara>
              </a14:m>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Max. Total Losses =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Max</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Hourly</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emissions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sty m:val="p"/>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m:t>f</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V</m:t>
                            </m:r>
                            <m:r>
                              <m:rPr>
                                <m:sty m:val="p"/>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m:t>v</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∗7.48</m:t>
                            </m:r>
                          </m:num>
                          <m:den>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Tank</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filling</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Rate</m:t>
                            </m:r>
                          </m:den>
                        </m:f>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m:t>
                        </m:r>
                      </m:den>
                    </m:f>
                  </m:oMath>
                </m:oMathPara>
              </a14:m>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Average total losses  based on  average  temperature and pressure parameters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Avg</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Annual</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emissions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 </m:t>
                    </m:r>
                    <m:f>
                      <m:f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fPr>
                      <m:num>
                        <m:d>
                          <m:dPr>
                            <m:ctrlPr>
                              <a:rPr kumimoji="0" lang="en-US" sz="1200" b="0" i="1" u="none" strike="noStrike" kern="0" cap="none" spc="0" normalizeH="0" baseline="0" noProof="0">
                                <a:ln>
                                  <a:noFill/>
                                </a:ln>
                                <a:solidFill>
                                  <a:prstClr val="black"/>
                                </a:solidFill>
                                <a:effectLst/>
                                <a:uLnTx/>
                                <a:uFillTx/>
                                <a:latin typeface="Cambria Math" panose="02040503050406030204" pitchFamily="18" charset="0"/>
                                <a:ea typeface="Cambria Math" pitchFamily="18" charset="0"/>
                                <a:cs typeface="+mn-cs"/>
                              </a:rPr>
                            </m:ctrlPr>
                          </m:dPr>
                          <m:e>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m:t>
                            </m:r>
                            <m:r>
                              <m:rPr>
                                <m:sty m:val="p"/>
                              </m:rP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m:t>s</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Lf</m:t>
                            </m:r>
                          </m:e>
                        </m:d>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Number</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of</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roof</m:t>
                        </m:r>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 </m:t>
                        </m:r>
                        <m:r>
                          <m:rPr>
                            <m:sty m:val="p"/>
                          </m:rP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landings</m:t>
                        </m:r>
                      </m:num>
                      <m:den>
                        <m: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m:t>2000</m:t>
                        </m:r>
                      </m:den>
                    </m:f>
                  </m:oMath>
                </m:oMathPara>
              </a14:m>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000" baseline="0">
                <a:latin typeface="Arial" pitchFamily="34" charset="0"/>
                <a:cs typeface="Arial" pitchFamily="34" charset="0"/>
              </a:endParaRPr>
            </a:p>
            <a:p>
              <a:pPr marL="0" marR="0" algn="ctr">
                <a:spcBef>
                  <a:spcPts val="0"/>
                </a:spcBef>
                <a:spcAft>
                  <a:spcPts val="600"/>
                </a:spcAft>
              </a:pPr>
              <a:endParaRPr lang="en-US" sz="1400" b="1" i="1" u="sng">
                <a:solidFill>
                  <a:schemeClr val="tx1"/>
                </a:solidFill>
                <a:latin typeface="+mn-lt"/>
                <a:ea typeface="+mn-ea"/>
                <a:cs typeface="+mn-cs"/>
              </a:endParaRPr>
            </a:p>
            <a:p>
              <a:pPr marL="0" marR="0" algn="ctr">
                <a:spcBef>
                  <a:spcPts val="0"/>
                </a:spcBef>
                <a:spcAft>
                  <a:spcPts val="600"/>
                </a:spcAft>
              </a:pPr>
              <a:r>
                <a:rPr lang="en-US" sz="1400" b="1" i="1" u="sng">
                  <a:solidFill>
                    <a:schemeClr val="tx1"/>
                  </a:solidFill>
                  <a:latin typeface="+mn-lt"/>
                  <a:ea typeface="+mn-ea"/>
                  <a:cs typeface="+mn-cs"/>
                </a:rPr>
                <a:t>Nomenclature</a:t>
              </a:r>
            </a:p>
            <a:p>
              <a:pPr marL="0" marR="0">
                <a:spcBef>
                  <a:spcPts val="0"/>
                </a:spcBef>
                <a:spcAft>
                  <a:spcPts val="600"/>
                </a:spcAft>
              </a:pPr>
              <a:endParaRPr lang="en-US" sz="1000">
                <a:effectLst/>
                <a:latin typeface="Georgia"/>
                <a:ea typeface="Calibri"/>
                <a:cs typeface="Times New Roman"/>
              </a:endParaRPr>
            </a:p>
            <a:p>
              <a:pPr marL="0" marR="0">
                <a:spcBef>
                  <a:spcPts val="0"/>
                </a:spcBef>
                <a:spcAft>
                  <a:spcPts val="600"/>
                </a:spcAft>
              </a:pPr>
              <a:r>
                <a:rPr lang="en-US" sz="1000">
                  <a:effectLst/>
                  <a:latin typeface="Georgia"/>
                  <a:ea typeface="Calibri"/>
                  <a:cs typeface="Times New Roman"/>
                </a:rPr>
                <a:t>B is a constant from the two-constant form of Antoine’s equation (Rankine)</a:t>
              </a:r>
            </a:p>
            <a:p>
              <a:pPr marL="0" marR="0">
                <a:spcBef>
                  <a:spcPts val="0"/>
                </a:spcBef>
                <a:spcAft>
                  <a:spcPts val="600"/>
                </a:spcAft>
              </a:pPr>
              <a:r>
                <a:rPr lang="en-US" sz="1000">
                  <a:effectLst/>
                  <a:latin typeface="Georgia"/>
                  <a:ea typeface="Calibri"/>
                  <a:cs typeface="Times New Roman"/>
                </a:rPr>
                <a:t>D is the tank diameter (ft)</a:t>
              </a:r>
            </a:p>
            <a:p>
              <a:pPr marL="0" marR="0">
                <a:spcBef>
                  <a:spcPts val="0"/>
                </a:spcBef>
                <a:spcAft>
                  <a:spcPts val="600"/>
                </a:spcAft>
              </a:pPr>
              <a:r>
                <a:rPr lang="en-US" sz="1000">
                  <a:effectLst/>
                  <a:latin typeface="Georgia"/>
                  <a:ea typeface="Calibri"/>
                  <a:cs typeface="Times New Roman"/>
                </a:rPr>
                <a:t>h</a:t>
              </a:r>
              <a:r>
                <a:rPr lang="en-US" sz="1000" i="1" baseline="-25000">
                  <a:effectLst/>
                  <a:latin typeface="Georgia"/>
                  <a:ea typeface="Calibri"/>
                  <a:cs typeface="Times New Roman"/>
                </a:rPr>
                <a:t>v </a:t>
              </a:r>
              <a:r>
                <a:rPr lang="en-US" sz="1000">
                  <a:effectLst/>
                  <a:latin typeface="Georgia"/>
                  <a:ea typeface="Calibri"/>
                  <a:cs typeface="Times New Roman"/>
                </a:rPr>
                <a:t>is the height of the vapor space enclosed by the tank roof (ft)</a:t>
              </a:r>
            </a:p>
            <a:p>
              <a:pPr marL="0" marR="0" indent="0" defTabSz="914400" eaLnBrk="1" fontAlgn="auto" latinLnBrk="0" hangingPunct="1">
                <a:lnSpc>
                  <a:spcPct val="100000"/>
                </a:lnSpc>
                <a:spcBef>
                  <a:spcPts val="0"/>
                </a:spcBef>
                <a:spcAft>
                  <a:spcPts val="600"/>
                </a:spcAft>
                <a:buClrTx/>
                <a:buSzTx/>
                <a:buFontTx/>
                <a:buNone/>
                <a:tabLst/>
                <a:defRPr/>
              </a:pPr>
              <a:r>
                <a:rPr lang="en-US" sz="1100">
                  <a:solidFill>
                    <a:schemeClr val="tx1"/>
                  </a:solidFill>
                  <a:effectLst/>
                  <a:latin typeface="+mn-lt"/>
                  <a:ea typeface="+mn-ea"/>
                  <a:cs typeface="+mn-cs"/>
                </a:rPr>
                <a:t>h</a:t>
              </a:r>
              <a:r>
                <a:rPr lang="en-US" sz="1100" i="1" baseline="-25000">
                  <a:solidFill>
                    <a:schemeClr val="tx1"/>
                  </a:solidFill>
                  <a:effectLst/>
                  <a:latin typeface="+mn-lt"/>
                  <a:ea typeface="+mn-ea"/>
                  <a:cs typeface="+mn-cs"/>
                </a:rPr>
                <a:t>l </a:t>
              </a:r>
              <a:r>
                <a:rPr lang="en-US" sz="1100">
                  <a:solidFill>
                    <a:schemeClr val="tx1"/>
                  </a:solidFill>
                  <a:effectLst/>
                  <a:latin typeface="+mn-lt"/>
                  <a:ea typeface="+mn-ea"/>
                  <a:cs typeface="+mn-cs"/>
                </a:rPr>
                <a:t>is the height of the liquid heel (ft)</a:t>
              </a:r>
              <a:endParaRPr lang="en-US" sz="1000">
                <a:effectLst/>
                <a:latin typeface="Georgia"/>
                <a:ea typeface="Calibri"/>
                <a:cs typeface="Times New Roman"/>
              </a:endParaRPr>
            </a:p>
            <a:p>
              <a:pPr marL="0" marR="0">
                <a:spcBef>
                  <a:spcPts val="0"/>
                </a:spcBef>
                <a:spcAft>
                  <a:spcPts val="600"/>
                </a:spcAft>
              </a:pPr>
              <a:r>
                <a:rPr lang="en-US" sz="1000">
                  <a:effectLst/>
                  <a:latin typeface="Georgia"/>
                  <a:ea typeface="Calibri"/>
                  <a:cs typeface="Times New Roman"/>
                </a:rPr>
                <a:t>K</a:t>
              </a:r>
              <a:r>
                <a:rPr lang="en-US" sz="1000" baseline="-25000">
                  <a:effectLst/>
                  <a:latin typeface="Georgia"/>
                  <a:ea typeface="Calibri"/>
                  <a:cs typeface="Times New Roman"/>
                </a:rPr>
                <a:t>E </a:t>
              </a:r>
              <a:r>
                <a:rPr lang="en-US" sz="1000">
                  <a:effectLst/>
                  <a:latin typeface="Georgia"/>
                  <a:ea typeface="Calibri"/>
                  <a:cs typeface="Times New Roman"/>
                </a:rPr>
                <a:t>is the vapor space expansion factor (dimensionless)</a:t>
              </a:r>
            </a:p>
            <a:p>
              <a:pPr marL="0" marR="0">
                <a:spcBef>
                  <a:spcPts val="0"/>
                </a:spcBef>
                <a:spcAft>
                  <a:spcPts val="600"/>
                </a:spcAft>
              </a:pPr>
              <a:r>
                <a:rPr lang="en-US" sz="1000">
                  <a:effectLst/>
                  <a:latin typeface="Georgia"/>
                  <a:ea typeface="Calibri"/>
                  <a:cs typeface="Times New Roman"/>
                </a:rPr>
                <a:t>K</a:t>
              </a:r>
              <a:r>
                <a:rPr lang="en-US" sz="1000" baseline="-25000">
                  <a:effectLst/>
                  <a:latin typeface="Georgia"/>
                  <a:ea typeface="Calibri"/>
                  <a:cs typeface="Times New Roman"/>
                </a:rPr>
                <a:t>S</a:t>
              </a:r>
              <a:r>
                <a:rPr lang="en-US" sz="1000">
                  <a:effectLst/>
                  <a:latin typeface="Georgia"/>
                  <a:ea typeface="Calibri"/>
                  <a:cs typeface="Times New Roman"/>
                </a:rPr>
                <a:t> is the standing idle saturation factor (dimensionless)</a:t>
              </a:r>
            </a:p>
            <a:p>
              <a:pPr marL="0" marR="0">
                <a:spcBef>
                  <a:spcPts val="0"/>
                </a:spcBef>
                <a:spcAft>
                  <a:spcPts val="600"/>
                </a:spcAft>
              </a:pPr>
              <a:r>
                <a:rPr lang="en-US" sz="1000">
                  <a:effectLst/>
                  <a:latin typeface="Georgia"/>
                  <a:ea typeface="Calibri"/>
                  <a:cs typeface="Times New Roman"/>
                </a:rPr>
                <a:t>L</a:t>
              </a:r>
              <a:r>
                <a:rPr lang="en-US" sz="1000" baseline="-25000">
                  <a:effectLst/>
                  <a:latin typeface="Georgia"/>
                  <a:ea typeface="Calibri"/>
                  <a:cs typeface="Times New Roman"/>
                </a:rPr>
                <a:t>f</a:t>
              </a:r>
              <a:r>
                <a:rPr lang="en-US" sz="1000">
                  <a:effectLst/>
                  <a:latin typeface="Georgia"/>
                  <a:ea typeface="Calibri"/>
                  <a:cs typeface="Times New Roman"/>
                </a:rPr>
                <a:t> is the filling loss per cleaning (lb)</a:t>
              </a:r>
            </a:p>
            <a:p>
              <a:pPr marL="0" marR="0">
                <a:spcBef>
                  <a:spcPts val="0"/>
                </a:spcBef>
                <a:spcAft>
                  <a:spcPts val="600"/>
                </a:spcAft>
              </a:pPr>
              <a:r>
                <a:rPr lang="en-US" sz="1000">
                  <a:effectLst/>
                  <a:latin typeface="Georgia"/>
                  <a:ea typeface="Calibri"/>
                  <a:cs typeface="Times New Roman"/>
                </a:rPr>
                <a:t>L</a:t>
              </a:r>
              <a:r>
                <a:rPr lang="en-US" sz="1000" baseline="-25000">
                  <a:effectLst/>
                  <a:latin typeface="Georgia"/>
                  <a:ea typeface="Calibri"/>
                  <a:cs typeface="Times New Roman"/>
                </a:rPr>
                <a:t>S</a:t>
              </a:r>
              <a:r>
                <a:rPr lang="en-US" sz="1000">
                  <a:effectLst/>
                  <a:latin typeface="Georgia"/>
                  <a:ea typeface="Calibri"/>
                  <a:cs typeface="Times New Roman"/>
                </a:rPr>
                <a:t> is the standing idle loss per cleaning (lb)</a:t>
              </a:r>
            </a:p>
            <a:p>
              <a:pPr marL="0" marR="0">
                <a:spcBef>
                  <a:spcPts val="0"/>
                </a:spcBef>
                <a:spcAft>
                  <a:spcPts val="600"/>
                </a:spcAft>
              </a:pPr>
              <a:r>
                <a:rPr lang="en-US" sz="1000">
                  <a:effectLst/>
                  <a:latin typeface="Georgia"/>
                  <a:ea typeface="Calibri"/>
                  <a:cs typeface="Times New Roman"/>
                </a:rPr>
                <a:t>M</a:t>
              </a:r>
              <a:r>
                <a:rPr lang="en-US" sz="1000" baseline="-25000">
                  <a:effectLst/>
                  <a:latin typeface="Georgia"/>
                  <a:ea typeface="Calibri"/>
                  <a:cs typeface="Times New Roman"/>
                </a:rPr>
                <a:t>V</a:t>
              </a:r>
              <a:r>
                <a:rPr lang="en-US" sz="1000">
                  <a:effectLst/>
                  <a:latin typeface="Georgia"/>
                  <a:ea typeface="Calibri"/>
                  <a:cs typeface="Times New Roman"/>
                </a:rPr>
                <a:t> is the stock vapor molecular weight (lb/lb-mole)</a:t>
              </a:r>
            </a:p>
            <a:p>
              <a:pPr marL="0" marR="0">
                <a:spcBef>
                  <a:spcPts val="0"/>
                </a:spcBef>
                <a:spcAft>
                  <a:spcPts val="600"/>
                </a:spcAft>
              </a:pPr>
              <a:r>
                <a:rPr lang="en-US" sz="1000">
                  <a:effectLst/>
                  <a:latin typeface="Georgia"/>
                  <a:ea typeface="Calibri"/>
                  <a:cs typeface="Times New Roman"/>
                </a:rPr>
                <a:t>n</a:t>
              </a:r>
              <a:r>
                <a:rPr lang="en-US" sz="1000" baseline="-25000">
                  <a:effectLst/>
                  <a:latin typeface="Georgia"/>
                  <a:ea typeface="Calibri"/>
                  <a:cs typeface="Times New Roman"/>
                </a:rPr>
                <a:t>d</a:t>
              </a:r>
              <a:r>
                <a:rPr lang="en-US" sz="1000">
                  <a:effectLst/>
                  <a:latin typeface="Georgia"/>
                  <a:ea typeface="Calibri"/>
                  <a:cs typeface="Times New Roman"/>
                </a:rPr>
                <a:t> is the time the tank stands idle (days)</a:t>
              </a:r>
            </a:p>
            <a:p>
              <a:pPr marL="0" marR="0">
                <a:spcBef>
                  <a:spcPts val="0"/>
                </a:spcBef>
                <a:spcAft>
                  <a:spcPts val="600"/>
                </a:spcAft>
              </a:pPr>
              <a:r>
                <a:rPr lang="en-US" sz="1000">
                  <a:effectLst/>
                  <a:latin typeface="Georgia"/>
                  <a:ea typeface="Calibri"/>
                  <a:cs typeface="Times New Roman"/>
                </a:rPr>
                <a:t>P is the true vapor pressure of the exposed volatile material in the tank (psia)</a:t>
              </a:r>
            </a:p>
            <a:p>
              <a:pPr marL="0" marR="0">
                <a:spcBef>
                  <a:spcPts val="0"/>
                </a:spcBef>
                <a:spcAft>
                  <a:spcPts val="600"/>
                </a:spcAft>
              </a:pPr>
              <a:r>
                <a:rPr lang="en-US" sz="1000">
                  <a:effectLst/>
                  <a:latin typeface="Georgia"/>
                  <a:ea typeface="Calibri"/>
                  <a:cs typeface="Times New Roman"/>
                </a:rPr>
                <a:t>P</a:t>
              </a:r>
              <a:r>
                <a:rPr lang="en-US" sz="1000" baseline="-25000">
                  <a:effectLst/>
                  <a:latin typeface="Georgia"/>
                  <a:ea typeface="Calibri"/>
                  <a:cs typeface="Times New Roman"/>
                </a:rPr>
                <a:t>a</a:t>
              </a:r>
              <a:r>
                <a:rPr lang="en-US" sz="1000">
                  <a:effectLst/>
                  <a:latin typeface="Georgia"/>
                  <a:ea typeface="Calibri"/>
                  <a:cs typeface="Times New Roman"/>
                </a:rPr>
                <a:t> is the atmospheric pressure at the tank location (psia)</a:t>
              </a:r>
            </a:p>
            <a:p>
              <a:pPr marL="0" marR="0">
                <a:spcBef>
                  <a:spcPts val="0"/>
                </a:spcBef>
                <a:spcAft>
                  <a:spcPts val="600"/>
                </a:spcAft>
              </a:pPr>
              <a:r>
                <a:rPr lang="en-US" sz="1000">
                  <a:effectLst/>
                  <a:latin typeface="Georgia"/>
                  <a:ea typeface="Calibri"/>
                  <a:cs typeface="Times New Roman"/>
                </a:rPr>
                <a:t>P* is the vapor pressure function (dimensionless)</a:t>
              </a:r>
            </a:p>
            <a:p>
              <a:pPr marL="0" marR="0">
                <a:spcBef>
                  <a:spcPts val="0"/>
                </a:spcBef>
                <a:spcAft>
                  <a:spcPts val="600"/>
                </a:spcAft>
              </a:pPr>
              <a:r>
                <a:rPr lang="en-US" sz="1000">
                  <a:effectLst/>
                  <a:latin typeface="Georgia"/>
                  <a:ea typeface="Calibri"/>
                  <a:cs typeface="Times New Roman"/>
                </a:rPr>
                <a:t>R is the ideal gas constant (psia ft</a:t>
              </a:r>
              <a:r>
                <a:rPr lang="en-US" sz="1000" baseline="30000">
                  <a:effectLst/>
                  <a:latin typeface="Georgia"/>
                  <a:ea typeface="Calibri"/>
                  <a:cs typeface="Times New Roman"/>
                </a:rPr>
                <a:t>3</a:t>
              </a:r>
              <a:r>
                <a:rPr lang="en-US" sz="1000">
                  <a:effectLst/>
                  <a:latin typeface="Georgia"/>
                  <a:ea typeface="Calibri"/>
                  <a:cs typeface="Times New Roman"/>
                </a:rPr>
                <a:t>/lb-mole </a:t>
              </a:r>
              <a:r>
                <a:rPr lang="en-US" sz="1000" baseline="30000">
                  <a:effectLst/>
                  <a:latin typeface="Georgia"/>
                  <a:ea typeface="Calibri"/>
                  <a:cs typeface="Times New Roman"/>
                </a:rPr>
                <a:t>o</a:t>
              </a:r>
              <a:r>
                <a:rPr lang="en-US" sz="1000">
                  <a:effectLst/>
                  <a:latin typeface="Georgia"/>
                  <a:ea typeface="Calibri"/>
                  <a:cs typeface="Times New Roman"/>
                </a:rPr>
                <a:t>R)</a:t>
              </a:r>
            </a:p>
            <a:p>
              <a:pPr marL="0" marR="0">
                <a:spcBef>
                  <a:spcPts val="0"/>
                </a:spcBef>
                <a:spcAft>
                  <a:spcPts val="600"/>
                </a:spcAft>
              </a:pPr>
              <a:r>
                <a:rPr lang="en-US" sz="1000">
                  <a:effectLst/>
                  <a:latin typeface="Georgia"/>
                  <a:ea typeface="Calibri"/>
                  <a:cs typeface="Times New Roman"/>
                </a:rPr>
                <a:t>S is the filling saturation factor (dimensionless)</a:t>
              </a:r>
            </a:p>
            <a:p>
              <a:pPr marL="0" marR="0">
                <a:spcBef>
                  <a:spcPts val="0"/>
                </a:spcBef>
                <a:spcAft>
                  <a:spcPts val="600"/>
                </a:spcAft>
              </a:pPr>
              <a:r>
                <a:rPr lang="en-US" sz="1000">
                  <a:effectLst/>
                  <a:latin typeface="Georgia"/>
                  <a:ea typeface="Calibri"/>
                  <a:cs typeface="Times New Roman"/>
                </a:rPr>
                <a:t>ΔT</a:t>
              </a:r>
              <a:r>
                <a:rPr lang="en-US" sz="1000" baseline="-25000">
                  <a:effectLst/>
                  <a:latin typeface="Georgia"/>
                  <a:ea typeface="Calibri"/>
                  <a:cs typeface="Times New Roman"/>
                </a:rPr>
                <a:t>V </a:t>
              </a:r>
              <a:r>
                <a:rPr lang="en-US" sz="1000">
                  <a:effectLst/>
                  <a:latin typeface="Georgia"/>
                  <a:ea typeface="Calibri"/>
                  <a:cs typeface="Times New Roman"/>
                </a:rPr>
                <a:t>is the daily vapor temperature range (Rankine)</a:t>
              </a:r>
            </a:p>
            <a:p>
              <a:pPr marL="0" marR="0">
                <a:spcBef>
                  <a:spcPts val="0"/>
                </a:spcBef>
                <a:spcAft>
                  <a:spcPts val="600"/>
                </a:spcAft>
              </a:pPr>
              <a:r>
                <a:rPr lang="en-US" sz="1000">
                  <a:effectLst/>
                  <a:latin typeface="Georgia"/>
                  <a:ea typeface="Calibri"/>
                  <a:cs typeface="Times New Roman"/>
                </a:rPr>
                <a:t>T is the average temperature of the vapor space (Rankine)</a:t>
              </a:r>
            </a:p>
            <a:p>
              <a:pPr marL="0" marR="0">
                <a:spcBef>
                  <a:spcPts val="0"/>
                </a:spcBef>
                <a:spcAft>
                  <a:spcPts val="600"/>
                </a:spcAft>
              </a:pPr>
              <a:r>
                <a:rPr lang="en-US" sz="1000">
                  <a:effectLst/>
                  <a:latin typeface="Georgia"/>
                  <a:ea typeface="Calibri"/>
                  <a:cs typeface="Times New Roman"/>
                </a:rPr>
                <a:t>V</a:t>
              </a:r>
              <a:r>
                <a:rPr lang="en-US" sz="1000" baseline="-25000">
                  <a:effectLst/>
                  <a:latin typeface="Georgia"/>
                  <a:ea typeface="Calibri"/>
                  <a:cs typeface="Times New Roman"/>
                </a:rPr>
                <a:t>V</a:t>
              </a:r>
              <a:r>
                <a:rPr lang="en-US" sz="1000">
                  <a:effectLst/>
                  <a:latin typeface="Georgia"/>
                  <a:ea typeface="Calibri"/>
                  <a:cs typeface="Times New Roman"/>
                </a:rPr>
                <a:t> is the volume of the vapor space (ft</a:t>
              </a:r>
              <a:r>
                <a:rPr lang="en-US" sz="1000" baseline="30000">
                  <a:effectLst/>
                  <a:latin typeface="Georgia"/>
                  <a:ea typeface="Calibri"/>
                  <a:cs typeface="Times New Roman"/>
                </a:rPr>
                <a:t>3</a:t>
              </a:r>
              <a:r>
                <a:rPr lang="en-US" sz="1000">
                  <a:effectLst/>
                  <a:latin typeface="Georgia"/>
                  <a:ea typeface="Calibri"/>
                  <a:cs typeface="Times New Roman"/>
                </a:rPr>
                <a:t>)</a:t>
              </a:r>
            </a:p>
            <a:p>
              <a:pPr marL="0" marR="0">
                <a:spcBef>
                  <a:spcPts val="0"/>
                </a:spcBef>
                <a:spcAft>
                  <a:spcPts val="600"/>
                </a:spcAft>
              </a:pPr>
              <a:r>
                <a:rPr lang="en-US" sz="1000">
                  <a:effectLst/>
                  <a:latin typeface="Georgia"/>
                  <a:ea typeface="Calibri"/>
                  <a:cs typeface="Times New Roman"/>
                </a:rPr>
                <a:t>W</a:t>
              </a:r>
              <a:r>
                <a:rPr lang="en-US" sz="1000" baseline="-25000">
                  <a:effectLst/>
                  <a:latin typeface="Georgia"/>
                  <a:ea typeface="Calibri"/>
                  <a:cs typeface="Times New Roman"/>
                </a:rPr>
                <a:t>l </a:t>
              </a:r>
              <a:r>
                <a:rPr lang="en-US" sz="1000">
                  <a:effectLst/>
                  <a:latin typeface="Georgia"/>
                  <a:ea typeface="Calibri"/>
                  <a:cs typeface="Times New Roman"/>
                </a:rPr>
                <a:t>is the stock liquid density (lb/gal)</a:t>
              </a:r>
            </a:p>
            <a:p>
              <a:pPr marL="0" marR="0">
                <a:spcBef>
                  <a:spcPts val="0"/>
                </a:spcBef>
                <a:spcAft>
                  <a:spcPts val="600"/>
                </a:spcAft>
              </a:pPr>
              <a:r>
                <a:rPr lang="en-US" sz="1000">
                  <a:effectLst/>
                  <a:latin typeface="Georgia"/>
                  <a:ea typeface="Calibri"/>
                  <a:cs typeface="Times New Roman"/>
                </a:rPr>
                <a:t>C</a:t>
              </a:r>
              <a:r>
                <a:rPr lang="en-US" sz="1000" baseline="-25000">
                  <a:effectLst/>
                  <a:latin typeface="Georgia"/>
                  <a:ea typeface="Calibri"/>
                  <a:cs typeface="Times New Roman"/>
                </a:rPr>
                <a:t>sf </a:t>
              </a:r>
              <a:r>
                <a:rPr lang="en-US" sz="1000">
                  <a:effectLst/>
                  <a:latin typeface="Georgia"/>
                  <a:ea typeface="Calibri"/>
                  <a:cs typeface="Times New Roman"/>
                </a:rPr>
                <a:t>- Correction factor to saturation factor</a:t>
              </a:r>
            </a:p>
            <a:p>
              <a:pPr marL="0" marR="0" indent="0" algn="l" defTabSz="914400" eaLnBrk="1" fontAlgn="auto" latinLnBrk="0" hangingPunct="1">
                <a:lnSpc>
                  <a:spcPct val="100000"/>
                </a:lnSpc>
                <a:spcBef>
                  <a:spcPts val="0"/>
                </a:spcBef>
                <a:spcAft>
                  <a:spcPts val="0"/>
                </a:spcAft>
                <a:buClrTx/>
                <a:buSzTx/>
                <a:buFontTx/>
                <a:buNone/>
                <a:tabLst/>
                <a:defRPr/>
              </a:pPr>
              <a:endParaRPr lang="en-US" sz="1000" baseline="0">
                <a:latin typeface="Arial" pitchFamily="34" charset="0"/>
                <a:cs typeface="Arial" pitchFamily="34" charset="0"/>
              </a:endParaRPr>
            </a:p>
          </xdr:txBody>
        </xdr:sp>
      </mc:Choice>
      <mc:Fallback xmlns="">
        <xdr:sp macro="" textlink="">
          <xdr:nvSpPr>
            <xdr:cNvPr id="2" name="TextBox 1"/>
            <xdr:cNvSpPr txBox="1"/>
          </xdr:nvSpPr>
          <xdr:spPr>
            <a:xfrm>
              <a:off x="190499" y="35869559"/>
              <a:ext cx="9791701" cy="2592229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1" u="sng"/>
                <a:t>Calculations / Equations used </a:t>
              </a:r>
            </a:p>
            <a:p>
              <a:pPr algn="ctr"/>
              <a:r>
                <a:rPr lang="en-US" sz="1050" b="0" i="0" u="none"/>
                <a:t>(Reference</a:t>
              </a:r>
              <a:r>
                <a:rPr lang="en-US" sz="1050" b="0" i="0" u="none" baseline="0"/>
                <a:t> : Evaporative loss from the cleaning of storage tanks, Technical report Nov. 2007, #2568 (Evaporative loss from the storage tanks) and AP-42 Chapter 7.</a:t>
              </a:r>
              <a:endParaRPr lang="en-US" sz="1050" b="0" i="0" u="none"/>
            </a:p>
            <a:p>
              <a:pPr algn="ctr"/>
              <a:endParaRPr lang="en-US" sz="1400" b="1" i="1" u="sng"/>
            </a:p>
            <a:p>
              <a:pPr algn="l"/>
              <a:r>
                <a:rPr lang="el-GR" sz="1200" b="0" i="0" u="none" strike="noStrike" baseline="0" smtClean="0">
                  <a:solidFill>
                    <a:schemeClr val="tx1"/>
                  </a:solidFill>
                  <a:latin typeface="Cambria Math" pitchFamily="18" charset="0"/>
                  <a:ea typeface="Cambria Math" pitchFamily="18" charset="0"/>
                  <a:cs typeface="+mn-cs"/>
                </a:rPr>
                <a:t>Δ</a:t>
              </a:r>
              <a:r>
                <a:rPr lang="en-US" sz="1200" b="0" i="0" u="none" strike="noStrike" baseline="0" smtClean="0">
                  <a:solidFill>
                    <a:schemeClr val="tx1"/>
                  </a:solidFill>
                  <a:latin typeface="Cambria Math" pitchFamily="18" charset="0"/>
                  <a:ea typeface="Cambria Math" pitchFamily="18" charset="0"/>
                  <a:cs typeface="+mn-cs"/>
                </a:rPr>
                <a:t>T</a:t>
              </a:r>
              <a:r>
                <a:rPr lang="en-US" sz="1200" b="0" i="0" u="none" strike="noStrike" baseline="-25000" smtClean="0">
                  <a:solidFill>
                    <a:schemeClr val="tx1"/>
                  </a:solidFill>
                  <a:latin typeface="Cambria Math" pitchFamily="18" charset="0"/>
                  <a:ea typeface="Cambria Math" pitchFamily="18" charset="0"/>
                  <a:cs typeface="+mn-cs"/>
                </a:rPr>
                <a:t>V</a:t>
              </a:r>
              <a:r>
                <a:rPr lang="en-US" sz="1200" b="0" i="0" u="none" strike="noStrike" baseline="0" smtClean="0">
                  <a:solidFill>
                    <a:schemeClr val="tx1"/>
                  </a:solidFill>
                  <a:latin typeface="Cambria Math" pitchFamily="18" charset="0"/>
                  <a:ea typeface="Cambria Math" pitchFamily="18" charset="0"/>
                  <a:cs typeface="+mn-cs"/>
                </a:rPr>
                <a:t> = 0.72 </a:t>
              </a:r>
              <a:r>
                <a:rPr lang="el-GR" sz="1200" b="0" i="0" u="none" strike="noStrike" baseline="0" smtClean="0">
                  <a:solidFill>
                    <a:schemeClr val="tx1"/>
                  </a:solidFill>
                  <a:latin typeface="Cambria Math" pitchFamily="18" charset="0"/>
                  <a:ea typeface="Cambria Math" pitchFamily="18" charset="0"/>
                  <a:cs typeface="+mn-cs"/>
                </a:rPr>
                <a:t>Δ</a:t>
              </a:r>
              <a:r>
                <a:rPr lang="en-US" sz="1200" b="0" i="0" u="none" strike="noStrike" baseline="0" smtClean="0">
                  <a:solidFill>
                    <a:schemeClr val="tx1"/>
                  </a:solidFill>
                  <a:latin typeface="Cambria Math" pitchFamily="18" charset="0"/>
                  <a:ea typeface="Cambria Math" pitchFamily="18" charset="0"/>
                  <a:cs typeface="+mn-cs"/>
                </a:rPr>
                <a:t>T</a:t>
              </a:r>
              <a:r>
                <a:rPr lang="en-US" sz="1200" b="0" i="0" u="none" strike="noStrike" baseline="-25000" smtClean="0">
                  <a:solidFill>
                    <a:schemeClr val="tx1"/>
                  </a:solidFill>
                  <a:latin typeface="Cambria Math" pitchFamily="18" charset="0"/>
                  <a:ea typeface="Cambria Math" pitchFamily="18" charset="0"/>
                  <a:cs typeface="+mn-cs"/>
                </a:rPr>
                <a:t>A</a:t>
              </a:r>
              <a:r>
                <a:rPr lang="en-US" sz="1200" b="0" i="0" u="none" strike="noStrike" baseline="0" smtClean="0">
                  <a:solidFill>
                    <a:schemeClr val="tx1"/>
                  </a:solidFill>
                  <a:latin typeface="Cambria Math" pitchFamily="18" charset="0"/>
                  <a:ea typeface="Cambria Math" pitchFamily="18" charset="0"/>
                  <a:cs typeface="+mn-cs"/>
                </a:rPr>
                <a:t> + 0.028*</a:t>
              </a:r>
              <a:r>
                <a:rPr lang="el-GR" sz="1200" b="0" i="0" u="none" strike="noStrike" baseline="0" smtClean="0">
                  <a:solidFill>
                    <a:schemeClr val="tx1"/>
                  </a:solidFill>
                  <a:latin typeface="Cambria Math" pitchFamily="18" charset="0"/>
                  <a:ea typeface="Cambria Math" pitchFamily="18" charset="0"/>
                  <a:cs typeface="+mn-cs"/>
                </a:rPr>
                <a:t>α</a:t>
              </a:r>
              <a:r>
                <a:rPr lang="en-US" sz="1200" b="0" i="0" u="none" strike="noStrike" baseline="0" smtClean="0">
                  <a:solidFill>
                    <a:schemeClr val="tx1"/>
                  </a:solidFill>
                  <a:latin typeface="Cambria Math" pitchFamily="18" charset="0"/>
                  <a:ea typeface="Cambria Math" pitchFamily="18" charset="0"/>
                  <a:cs typeface="+mn-cs"/>
                </a:rPr>
                <a:t>*I</a:t>
              </a:r>
            </a:p>
            <a:p>
              <a:pPr marL="0" marR="0" indent="0" algn="l" defTabSz="914400" eaLnBrk="1" fontAlgn="auto" latinLnBrk="0" hangingPunct="1">
                <a:lnSpc>
                  <a:spcPct val="100000"/>
                </a:lnSpc>
                <a:spcBef>
                  <a:spcPts val="0"/>
                </a:spcBef>
                <a:spcAft>
                  <a:spcPts val="0"/>
                </a:spcAft>
                <a:buClrTx/>
                <a:buSzTx/>
                <a:buFontTx/>
                <a:buNone/>
                <a:tabLst/>
                <a:defRPr/>
              </a:pPr>
              <a:r>
                <a:rPr lang="en-US" sz="1200" b="0" i="0" u="none" strike="noStrike" baseline="0" smtClean="0">
                  <a:solidFill>
                    <a:schemeClr val="tx1"/>
                  </a:solidFill>
                  <a:latin typeface="Cambria Math" pitchFamily="18" charset="0"/>
                  <a:ea typeface="Cambria Math" pitchFamily="18" charset="0"/>
                  <a:cs typeface="+mn-cs"/>
                </a:rPr>
                <a:t>K</a:t>
              </a:r>
              <a:r>
                <a:rPr lang="en-US" sz="1200" b="0" i="0" u="none" strike="noStrike" baseline="-25000" smtClean="0">
                  <a:solidFill>
                    <a:schemeClr val="tx1"/>
                  </a:solidFill>
                  <a:latin typeface="Cambria Math" pitchFamily="18" charset="0"/>
                  <a:ea typeface="Cambria Math" pitchFamily="18" charset="0"/>
                  <a:cs typeface="+mn-cs"/>
                </a:rPr>
                <a:t>E</a:t>
              </a:r>
              <a:r>
                <a:rPr lang="en-US" sz="1200" b="0" i="0" u="none" strike="noStrike" baseline="0" smtClean="0">
                  <a:solidFill>
                    <a:schemeClr val="tx1"/>
                  </a:solidFill>
                  <a:latin typeface="Cambria Math" pitchFamily="18" charset="0"/>
                  <a:ea typeface="Cambria Math" pitchFamily="18" charset="0"/>
                  <a:cs typeface="+mn-cs"/>
                </a:rPr>
                <a:t> =</a:t>
              </a:r>
              <a:r>
                <a:rPr lang="en-US" sz="1100" b="0" i="0" baseline="0">
                  <a:solidFill>
                    <a:schemeClr val="tx1"/>
                  </a:solidFill>
                  <a:effectLst/>
                  <a:latin typeface="+mn-lt"/>
                  <a:ea typeface="+mn-ea"/>
                  <a:cs typeface="+mn-cs"/>
                </a:rPr>
                <a:t> (</a:t>
              </a:r>
              <a:r>
                <a:rPr lang="el-GR" sz="1100" b="0" i="0" baseline="0">
                  <a:solidFill>
                    <a:schemeClr val="tx1"/>
                  </a:solidFill>
                  <a:effectLst/>
                  <a:latin typeface="Cambria Math"/>
                  <a:ea typeface="+mn-ea"/>
                  <a:cs typeface="+mn-cs"/>
                </a:rPr>
                <a:t>Δ</a:t>
              </a:r>
              <a:r>
                <a:rPr lang="en-US" sz="1100" b="0" i="0" baseline="0">
                  <a:solidFill>
                    <a:schemeClr val="tx1"/>
                  </a:solidFill>
                  <a:effectLst/>
                  <a:latin typeface="Cambria Math"/>
                  <a:ea typeface="+mn-ea"/>
                  <a:cs typeface="+mn-cs"/>
                </a:rPr>
                <a:t>T</a:t>
              </a:r>
              <a:r>
                <a:rPr lang="en-US" sz="1100" b="0" i="0" baseline="-25000">
                  <a:solidFill>
                    <a:schemeClr val="tx1"/>
                  </a:solidFill>
                  <a:effectLst/>
                  <a:latin typeface="Cambria Math"/>
                  <a:ea typeface="+mn-ea"/>
                  <a:cs typeface="+mn-cs"/>
                </a:rPr>
                <a:t>V</a:t>
              </a:r>
              <a:r>
                <a:rPr lang="en-US" sz="1100" b="0" i="0" baseline="0">
                  <a:solidFill>
                    <a:schemeClr val="tx1"/>
                  </a:solidFill>
                  <a:effectLst/>
                  <a:latin typeface="Cambria Math"/>
                  <a:ea typeface="+mn-ea"/>
                  <a:cs typeface="+mn-cs"/>
                </a:rPr>
                <a:t> </a:t>
              </a:r>
              <a:r>
                <a:rPr lang="en-US" sz="1200" b="0" i="0" u="none" strike="noStrike" baseline="0" smtClean="0">
                  <a:solidFill>
                    <a:schemeClr val="tx1"/>
                  </a:solidFill>
                  <a:latin typeface="Cambria Math" pitchFamily="18" charset="0"/>
                  <a:ea typeface="Cambria Math" pitchFamily="18" charset="0"/>
                  <a:cs typeface="+mn-cs"/>
                </a:rPr>
                <a:t>/</a:t>
              </a:r>
              <a:r>
                <a:rPr lang="en-US" sz="1100" b="0" i="0" baseline="0">
                  <a:solidFill>
                    <a:schemeClr val="tx1"/>
                  </a:solidFill>
                  <a:effectLst/>
                  <a:latin typeface="+mn-lt"/>
                  <a:ea typeface="+mn-ea"/>
                  <a:cs typeface="+mn-cs"/>
                </a:rPr>
                <a:t>T</a:t>
              </a:r>
              <a:r>
                <a:rPr lang="en-US" sz="1100" b="0" i="0" baseline="-25000">
                  <a:solidFill>
                    <a:schemeClr val="tx1"/>
                  </a:solidFill>
                  <a:effectLst/>
                  <a:latin typeface="+mn-lt"/>
                  <a:ea typeface="+mn-ea"/>
                  <a:cs typeface="+mn-cs"/>
                </a:rPr>
                <a:t>LA</a:t>
              </a:r>
              <a:r>
                <a:rPr lang="en-US" sz="1100" b="0" i="0" baseline="0">
                  <a:solidFill>
                    <a:schemeClr val="tx1"/>
                  </a:solidFill>
                  <a:effectLst/>
                  <a:latin typeface="+mn-lt"/>
                  <a:ea typeface="+mn-ea"/>
                  <a:cs typeface="+mn-cs"/>
                </a:rPr>
                <a:t>)  + ((</a:t>
              </a: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V</a:t>
              </a:r>
              <a:r>
                <a:rPr lang="en-US" sz="1100" b="0" i="0" baseline="0">
                  <a:solidFill>
                    <a:schemeClr val="tx1"/>
                  </a:solidFill>
                  <a:effectLst/>
                  <a:latin typeface="+mn-lt"/>
                  <a:ea typeface="+mn-ea"/>
                  <a:cs typeface="+mn-cs"/>
                </a:rPr>
                <a:t> -</a:t>
              </a: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B</a:t>
              </a:r>
              <a:r>
                <a:rPr lang="en-US" sz="1100" b="0" i="0" baseline="0">
                  <a:solidFill>
                    <a:schemeClr val="tx1"/>
                  </a:solidFill>
                  <a:effectLst/>
                  <a:latin typeface="+mn-lt"/>
                  <a:ea typeface="+mn-ea"/>
                  <a:cs typeface="+mn-cs"/>
                </a:rPr>
                <a:t> )/(P</a:t>
              </a:r>
              <a:r>
                <a:rPr lang="en-US" sz="1100" b="0" i="0" baseline="-25000">
                  <a:solidFill>
                    <a:schemeClr val="tx1"/>
                  </a:solidFill>
                  <a:effectLst/>
                  <a:latin typeface="+mn-lt"/>
                  <a:ea typeface="+mn-ea"/>
                  <a:cs typeface="+mn-cs"/>
                </a:rPr>
                <a:t>A</a:t>
              </a:r>
              <a:r>
                <a:rPr lang="en-US" sz="1100" b="0" i="0" baseline="0">
                  <a:solidFill>
                    <a:schemeClr val="tx1"/>
                  </a:solidFill>
                  <a:effectLst/>
                  <a:latin typeface="+mn-lt"/>
                  <a:ea typeface="+mn-ea"/>
                  <a:cs typeface="+mn-cs"/>
                </a:rPr>
                <a:t>-P</a:t>
              </a:r>
              <a:r>
                <a:rPr lang="en-US" sz="1100" b="0" i="0" baseline="-25000">
                  <a:solidFill>
                    <a:schemeClr val="tx1"/>
                  </a:solidFill>
                  <a:effectLst/>
                  <a:latin typeface="+mn-lt"/>
                  <a:ea typeface="+mn-ea"/>
                  <a:cs typeface="+mn-cs"/>
                </a:rPr>
                <a:t>B</a:t>
              </a:r>
              <a:r>
                <a:rPr lang="en-US" sz="1100" b="0" i="0" baseline="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l-GR" sz="1100" b="0" i="0" baseline="0">
                  <a:solidFill>
                    <a:schemeClr val="tx1"/>
                  </a:solidFill>
                  <a:effectLst/>
                  <a:latin typeface="+mn-lt"/>
                  <a:ea typeface="+mn-ea"/>
                  <a:cs typeface="+mn-cs"/>
                </a:rPr>
                <a:t>Δ</a:t>
              </a:r>
              <a:r>
                <a:rPr lang="en-US" sz="1100" b="0" i="0" baseline="0">
                  <a:solidFill>
                    <a:schemeClr val="tx1"/>
                  </a:solidFill>
                  <a:effectLst/>
                  <a:latin typeface="+mn-lt"/>
                  <a:ea typeface="+mn-ea"/>
                  <a:cs typeface="+mn-cs"/>
                </a:rPr>
                <a:t>T</a:t>
              </a:r>
              <a:r>
                <a:rPr lang="en-US" sz="1100" b="0" i="0" baseline="-25000">
                  <a:solidFill>
                    <a:schemeClr val="tx1"/>
                  </a:solidFill>
                  <a:effectLst/>
                  <a:latin typeface="+mn-lt"/>
                  <a:ea typeface="+mn-ea"/>
                  <a:cs typeface="+mn-cs"/>
                </a:rPr>
                <a:t>A </a:t>
              </a:r>
              <a:r>
                <a:rPr lang="en-US" sz="1100" b="0" i="0" baseline="0">
                  <a:solidFill>
                    <a:schemeClr val="tx1"/>
                  </a:solidFill>
                  <a:effectLst/>
                  <a:latin typeface="+mn-lt"/>
                  <a:ea typeface="+mn-ea"/>
                  <a:cs typeface="+mn-cs"/>
                </a:rPr>
                <a:t>= Daily ambient temperature range = Daily max. ambient temperature range - Daily minimum ambient temperature range.</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1" i="1" u="sng"/>
            </a:p>
            <a:p>
              <a:pPr algn="ctr"/>
              <a:r>
                <a:rPr lang="en-US" sz="1400" b="1" i="1" u="sng"/>
                <a:t>IFR</a:t>
              </a:r>
            </a:p>
            <a:p>
              <a:r>
                <a:rPr lang="en-US" sz="1100" i="1" u="sng">
                  <a:latin typeface="Cambria Math"/>
                </a:rPr>
                <a:t>Maximum</a:t>
              </a:r>
              <a:r>
                <a:rPr lang="en-US" sz="1100" i="1" u="sng" baseline="0">
                  <a:latin typeface="Cambria Math"/>
                </a:rPr>
                <a:t> Hourly Emissions: </a:t>
              </a:r>
            </a:p>
            <a:p>
              <a:endParaRPr lang="en-US" sz="1100" i="1" u="sng">
                <a:latin typeface="Cambria Math"/>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s</a:t>
              </a:r>
              <a:r>
                <a:rPr lang="en-US" sz="1200" b="0" i="0">
                  <a:solidFill>
                    <a:schemeClr val="tx1"/>
                  </a:solidFill>
                  <a:effectLst/>
                  <a:latin typeface="Cambria Math" pitchFamily="18" charset="0"/>
                  <a:ea typeface="Cambria Math" pitchFamily="18" charset="0"/>
                  <a:cs typeface="+mn-cs"/>
                </a:rPr>
                <a:t> = nd∗KE ∗</a:t>
              </a:r>
              <a:r>
                <a:rPr lang="en-US" sz="1200" b="0" i="0">
                  <a:solidFill>
                    <a:schemeClr val="tx1"/>
                  </a:solidFill>
                  <a:effectLst/>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P∗Vv</a:t>
              </a:r>
              <a:r>
                <a:rPr kumimoji="0" lang="en-US" sz="1200" b="0" i="0" u="none" strike="noStrike" kern="0" cap="none" spc="0" normalizeH="0" baseline="0" noProof="0">
                  <a:ln>
                    <a:noFill/>
                  </a:ln>
                  <a:solidFill>
                    <a:schemeClr val="tx1"/>
                  </a:solidFill>
                  <a:effectLst/>
                  <a:uLnTx/>
                  <a:uFillTx/>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R∗T</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∗MV∗KS </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a:t>
              </a:r>
              <a:r>
                <a:rPr lang="en-US" sz="1200" b="0" i="0" baseline="-25000">
                  <a:solidFill>
                    <a:schemeClr val="tx1"/>
                  </a:solidFill>
                  <a:effectLst/>
                  <a:latin typeface="Cambria Math" pitchFamily="18" charset="0"/>
                  <a:ea typeface="Cambria Math" pitchFamily="18" charset="0"/>
                  <a:cs typeface="Arial" pitchFamily="34" charset="0"/>
                </a:rPr>
                <a:t>f</a:t>
              </a:r>
              <a:r>
                <a:rPr lang="en-US" sz="1200" b="0" i="0" baseline="-2500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 = </a:t>
              </a:r>
              <a:r>
                <a:rPr lang="en-US" sz="1200" b="0" i="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P∗Vv</a:t>
              </a:r>
              <a:r>
                <a:rPr lang="en-US" sz="1200" b="0" i="0" baseline="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R∗T</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∗MV∗S </a:t>
              </a:r>
              <a:endParaRPr lang="en-US" sz="1200" b="0" i="0">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Max. </a:t>
              </a:r>
              <a:r>
                <a:rPr lang="en-US" sz="1200" b="0" i="0">
                  <a:solidFill>
                    <a:schemeClr val="tx1"/>
                  </a:solidFill>
                  <a:effectLst/>
                  <a:latin typeface="Cambria Math" pitchFamily="18" charset="0"/>
                  <a:ea typeface="Cambria Math" pitchFamily="18" charset="0"/>
                  <a:cs typeface="+mn-cs"/>
                </a:rPr>
                <a:t>Total Losses with liquid heel= Ls+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mn-cs"/>
                </a:rPr>
                <a:t>Max Hourly emissions =L</a:t>
              </a:r>
              <a:r>
                <a:rPr lang="en-US" sz="1200" b="0" i="0" baseline="-25000">
                  <a:solidFill>
                    <a:schemeClr val="tx1"/>
                  </a:solidFill>
                  <a:effectLst/>
                  <a:latin typeface="Cambria Math" pitchFamily="18" charset="0"/>
                  <a:ea typeface="Cambria Math" pitchFamily="18" charset="0"/>
                  <a:cs typeface="+mn-cs"/>
                </a:rPr>
                <a:t>f</a:t>
              </a:r>
              <a:r>
                <a:rPr lang="en-US" sz="1200" b="0" i="0" baseline="-2500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V</a:t>
              </a:r>
              <a:r>
                <a:rPr lang="en-US" sz="1200" b="0" i="0" baseline="-25000">
                  <a:solidFill>
                    <a:schemeClr val="tx1"/>
                  </a:solidFill>
                  <a:effectLst/>
                  <a:latin typeface="Cambria Math" pitchFamily="18" charset="0"/>
                  <a:ea typeface="Cambria Math" pitchFamily="18" charset="0"/>
                  <a:cs typeface="+mn-cs"/>
                </a:rPr>
                <a:t>v</a:t>
              </a:r>
              <a:r>
                <a:rPr lang="en-US" sz="1200" b="0" i="0">
                  <a:solidFill>
                    <a:schemeClr val="tx1"/>
                  </a:solidFill>
                  <a:effectLst/>
                  <a:latin typeface="Cambria Math" pitchFamily="18" charset="0"/>
                  <a:ea typeface="Cambria Math" pitchFamily="18" charset="0"/>
                  <a:cs typeface="+mn-cs"/>
                </a:rPr>
                <a:t> ∗7.48</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Tank filling Rate</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a:ea typeface="Cambria Math" pitchFamily="18" charset="0"/>
                  <a:cs typeface="+mn-cs"/>
                </a:rPr>
                <a:t>)</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Average Annual Emissions: </a:t>
              </a: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mn-cs"/>
                </a:rPr>
                <a:t>Avg. Annual emissions = </a:t>
              </a:r>
              <a:r>
                <a:rPr lang="en-US" sz="1200" b="0" i="0">
                  <a:solidFill>
                    <a:schemeClr val="tx1"/>
                  </a:solidFill>
                  <a:effectLst/>
                  <a:latin typeface="Cambria Math"/>
                  <a:ea typeface="Cambria Math" pitchFamily="18" charset="0"/>
                  <a:cs typeface="+mn-cs"/>
                </a:rPr>
                <a:t> ((</a:t>
              </a:r>
              <a:r>
                <a:rPr lang="en-US" sz="1200" b="0" i="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s</a:t>
              </a:r>
              <a:r>
                <a:rPr lang="en-US" sz="1200" b="0" i="0">
                  <a:solidFill>
                    <a:schemeClr val="tx1"/>
                  </a:solidFill>
                  <a:effectLst/>
                  <a:latin typeface="Cambria Math" pitchFamily="18" charset="0"/>
                  <a:ea typeface="Cambria Math" pitchFamily="18" charset="0"/>
                  <a:cs typeface="+mn-cs"/>
                </a:rPr>
                <a:t>+ Lf</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 Number of roof landings</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2000</a:t>
              </a: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Note: </a:t>
              </a: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Cambria Math" pitchFamily="18" charset="0"/>
                  <a:ea typeface="Cambria Math" pitchFamily="18" charset="0"/>
                  <a:cs typeface="Arial" pitchFamily="34" charset="0"/>
                </a:rPr>
                <a:t>1 ft</a:t>
              </a:r>
              <a:r>
                <a:rPr lang="en-US" sz="1200" b="0" i="0" baseline="30000">
                  <a:solidFill>
                    <a:schemeClr val="tx1"/>
                  </a:solidFill>
                  <a:effectLst/>
                  <a:latin typeface="Cambria Math" pitchFamily="18" charset="0"/>
                  <a:ea typeface="Cambria Math" pitchFamily="18" charset="0"/>
                  <a:cs typeface="Arial" pitchFamily="34" charset="0"/>
                </a:rPr>
                <a:t>3</a:t>
              </a:r>
              <a:r>
                <a:rPr lang="en-US" sz="1200" b="0" i="0">
                  <a:solidFill>
                    <a:schemeClr val="tx1"/>
                  </a:solidFill>
                  <a:effectLst/>
                  <a:latin typeface="Cambria Math" pitchFamily="18" charset="0"/>
                  <a:ea typeface="Cambria Math" pitchFamily="18" charset="0"/>
                  <a:cs typeface="Arial" pitchFamily="34" charset="0"/>
                </a:rPr>
                <a:t> = 7.78 gallons</a:t>
              </a:r>
            </a:p>
            <a:p>
              <a:pPr marL="0" marR="0" indent="0" defTabSz="914400" eaLnBrk="1" fontAlgn="auto" latinLnBrk="0" hangingPunct="1">
                <a:lnSpc>
                  <a:spcPct val="100000"/>
                </a:lnSpc>
                <a:spcBef>
                  <a:spcPts val="0"/>
                </a:spcBef>
                <a:spcAft>
                  <a:spcPts val="0"/>
                </a:spcAft>
                <a:buClrTx/>
                <a:buSzTx/>
                <a:buFontTx/>
                <a:buNone/>
                <a:tabLst/>
                <a:defRPr/>
              </a:pPr>
              <a:endParaRPr lang="en-US" sz="1400">
                <a:effectLst/>
                <a:latin typeface="Arial Narrow"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Drain Dry IFR</a:t>
              </a:r>
            </a:p>
            <a:p>
              <a:pPr marL="0" marR="0" indent="0" algn="ctr" defTabSz="914400" eaLnBrk="1" fontAlgn="auto" latinLnBrk="0" hangingPunct="1">
                <a:lnSpc>
                  <a:spcPct val="100000"/>
                </a:lnSpc>
                <a:spcBef>
                  <a:spcPts val="0"/>
                </a:spcBef>
                <a:spcAft>
                  <a:spcPts val="0"/>
                </a:spcAft>
                <a:buClrTx/>
                <a:buSzTx/>
                <a:buFontTx/>
                <a:buNone/>
                <a:tabLst/>
                <a:defRPr/>
              </a:pPr>
              <a:endParaRPr lang="en-US" sz="1100" b="1" i="1" u="sng">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Maximum Hourly Emissions: </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i="0">
                  <a:solidFill>
                    <a:schemeClr val="tx1"/>
                  </a:solidFill>
                  <a:effectLst/>
                  <a:latin typeface="Cambria Math" pitchFamily="18" charset="0"/>
                  <a:ea typeface="Cambria Math" pitchFamily="18" charset="0"/>
                  <a:cs typeface="Arial" pitchFamily="34" charset="0"/>
                </a:rPr>
                <a:t>L</a:t>
              </a:r>
              <a:r>
                <a:rPr lang="en-US" sz="1200" i="0" baseline="-25000">
                  <a:solidFill>
                    <a:schemeClr val="tx1"/>
                  </a:solidFill>
                  <a:effectLst/>
                  <a:latin typeface="Cambria Math" pitchFamily="18" charset="0"/>
                  <a:ea typeface="Cambria Math" pitchFamily="18" charset="0"/>
                  <a:cs typeface="Arial" pitchFamily="34" charset="0"/>
                </a:rPr>
                <a:t>s </a:t>
              </a:r>
              <a:r>
                <a:rPr lang="en-US" sz="1200" i="0">
                  <a:solidFill>
                    <a:schemeClr val="tx1"/>
                  </a:solidFill>
                  <a:effectLst/>
                  <a:latin typeface="Cambria Math" pitchFamily="18" charset="0"/>
                  <a:ea typeface="Cambria Math" pitchFamily="18" charset="0"/>
                  <a:cs typeface="Arial" pitchFamily="34" charset="0"/>
                </a:rPr>
                <a:t>= If (0.0063</a:t>
              </a:r>
              <a:r>
                <a:rPr lang="en-US" sz="1200" b="0" i="0">
                  <a:solidFill>
                    <a:schemeClr val="tx1"/>
                  </a:solidFill>
                  <a:effectLst/>
                  <a:latin typeface="Cambria Math" pitchFamily="18" charset="0"/>
                  <a:ea typeface="Cambria Math" pitchFamily="18" charset="0"/>
                  <a:cs typeface="Arial" pitchFamily="34" charset="0"/>
                </a:rPr>
                <a:t> ∗</a:t>
              </a:r>
              <a:r>
                <a:rPr lang="en-US" sz="1200" i="0">
                  <a:solidFill>
                    <a:schemeClr val="tx1"/>
                  </a:solidFill>
                  <a:effectLst/>
                  <a:latin typeface="Cambria Math" pitchFamily="18" charset="0"/>
                  <a:ea typeface="Cambria Math" pitchFamily="18" charset="0"/>
                  <a:cs typeface="Arial" pitchFamily="34" charset="0"/>
                </a:rPr>
                <a:t> Wl</a:t>
              </a:r>
              <a:r>
                <a:rPr lang="en-US" sz="1200" i="0" baseline="-25000">
                  <a:solidFill>
                    <a:schemeClr val="tx1"/>
                  </a:solidFill>
                  <a:effectLst/>
                  <a:latin typeface="Cambria Math" pitchFamily="18" charset="0"/>
                  <a:ea typeface="Cambria Math" pitchFamily="18" charset="0"/>
                  <a:cs typeface="Arial" pitchFamily="34" charset="0"/>
                </a:rPr>
                <a:t> ∗(</a:t>
              </a:r>
              <a:r>
                <a:rPr lang="el-GR" sz="1200" i="0">
                  <a:solidFill>
                    <a:schemeClr val="tx1"/>
                  </a:solidFill>
                  <a:effectLst/>
                  <a:latin typeface="Cambria Math" pitchFamily="18" charset="0"/>
                  <a:ea typeface="Cambria Math" pitchFamily="18" charset="0"/>
                  <a:cs typeface="Arial" pitchFamily="34" charset="0"/>
                </a:rPr>
                <a:t>π</a:t>
              </a:r>
              <a:r>
                <a:rPr lang="en-US" sz="1200" i="0">
                  <a:solidFill>
                    <a:schemeClr val="tx1"/>
                  </a:solidFill>
                  <a:effectLst/>
                  <a:latin typeface="Cambria Math"/>
                  <a:ea typeface="Cambria Math" pitchFamily="18" charset="0"/>
                  <a:cs typeface="Arial" pitchFamily="34" charset="0"/>
                </a:rPr>
                <a:t>/</a:t>
              </a:r>
              <a:r>
                <a:rPr lang="en-US" sz="1200" b="0" i="0">
                  <a:solidFill>
                    <a:schemeClr val="tx1"/>
                  </a:solidFill>
                  <a:effectLst/>
                  <a:latin typeface="Cambria Math" pitchFamily="18" charset="0"/>
                  <a:ea typeface="Cambria Math" pitchFamily="18" charset="0"/>
                  <a:cs typeface="Arial" pitchFamily="34" charset="0"/>
                </a:rPr>
                <a:t>4)</a:t>
              </a:r>
              <a:r>
                <a:rPr lang="en-US" sz="1200" i="0">
                  <a:solidFill>
                    <a:schemeClr val="tx1"/>
                  </a:solidFill>
                  <a:effectLst/>
                  <a:latin typeface="Cambria Math" pitchFamily="18" charset="0"/>
                  <a:ea typeface="Cambria Math" pitchFamily="18" charset="0"/>
                  <a:cs typeface="Arial" pitchFamily="34" charset="0"/>
                </a:rPr>
                <a:t>∗ D</a:t>
              </a:r>
              <a:r>
                <a:rPr lang="en-US" sz="1200" i="0" baseline="30000">
                  <a:solidFill>
                    <a:schemeClr val="tx1"/>
                  </a:solidFill>
                  <a:effectLst/>
                  <a:latin typeface="Cambria Math" pitchFamily="18" charset="0"/>
                  <a:ea typeface="Cambria Math" pitchFamily="18" charset="0"/>
                  <a:cs typeface="Arial" pitchFamily="34" charset="0"/>
                </a:rPr>
                <a:t>2</a:t>
              </a:r>
              <a:r>
                <a:rPr lang="en-US" sz="1200" i="0">
                  <a:solidFill>
                    <a:schemeClr val="tx1"/>
                  </a:solidFill>
                  <a:effectLst/>
                  <a:latin typeface="Cambria Math" pitchFamily="18" charset="0"/>
                  <a:ea typeface="Cambria Math" pitchFamily="18" charset="0"/>
                  <a:cs typeface="Arial" pitchFamily="34" charset="0"/>
                </a:rPr>
                <a:t>) &gt; L</a:t>
              </a:r>
              <a:r>
                <a:rPr lang="en-US" sz="1200" i="0" baseline="-25000">
                  <a:solidFill>
                    <a:schemeClr val="tx1"/>
                  </a:solidFill>
                  <a:effectLst/>
                  <a:latin typeface="Cambria Math" pitchFamily="18" charset="0"/>
                  <a:ea typeface="Cambria Math" pitchFamily="18" charset="0"/>
                  <a:cs typeface="Arial" pitchFamily="34" charset="0"/>
                </a:rPr>
                <a:t>f(IFR)</a:t>
              </a:r>
              <a:r>
                <a:rPr lang="en-US" sz="1200" i="0">
                  <a:solidFill>
                    <a:schemeClr val="tx1"/>
                  </a:solidFill>
                  <a:effectLst/>
                  <a:latin typeface="Cambria Math" pitchFamily="18" charset="0"/>
                  <a:ea typeface="Cambria Math" pitchFamily="18" charset="0"/>
                  <a:cs typeface="Arial" pitchFamily="34" charset="0"/>
                </a:rPr>
                <a:t>, then L</a:t>
              </a:r>
              <a:r>
                <a:rPr lang="en-US" sz="1200" i="0" baseline="-25000">
                  <a:solidFill>
                    <a:schemeClr val="tx1"/>
                  </a:solidFill>
                  <a:effectLst/>
                  <a:latin typeface="Cambria Math" pitchFamily="18" charset="0"/>
                  <a:ea typeface="Cambria Math" pitchFamily="18" charset="0"/>
                  <a:cs typeface="Arial" pitchFamily="34" charset="0"/>
                </a:rPr>
                <a:t>s </a:t>
              </a:r>
              <a:r>
                <a:rPr lang="en-US" sz="1200" i="0">
                  <a:solidFill>
                    <a:schemeClr val="tx1"/>
                  </a:solidFill>
                  <a:effectLst/>
                  <a:latin typeface="Cambria Math" pitchFamily="18" charset="0"/>
                  <a:ea typeface="Cambria Math" pitchFamily="18" charset="0"/>
                  <a:cs typeface="Arial" pitchFamily="34" charset="0"/>
                </a:rPr>
                <a:t>= L</a:t>
              </a:r>
              <a:r>
                <a:rPr lang="en-US" sz="1200" i="0" baseline="-25000">
                  <a:solidFill>
                    <a:schemeClr val="tx1"/>
                  </a:solidFill>
                  <a:effectLst/>
                  <a:latin typeface="Cambria Math" pitchFamily="18" charset="0"/>
                  <a:ea typeface="Cambria Math" pitchFamily="18" charset="0"/>
                  <a:cs typeface="Arial" pitchFamily="34" charset="0"/>
                </a:rPr>
                <a:t>f(IFR)</a:t>
              </a:r>
            </a:p>
            <a:p>
              <a:r>
                <a:rPr lang="en-US" sz="1200" i="0">
                  <a:solidFill>
                    <a:schemeClr val="tx1"/>
                  </a:solidFill>
                  <a:effectLst/>
                  <a:latin typeface="Cambria Math" pitchFamily="18" charset="0"/>
                  <a:ea typeface="Cambria Math" pitchFamily="18" charset="0"/>
                  <a:cs typeface="Arial" pitchFamily="34" charset="0"/>
                </a:rPr>
                <a:t>Otherwise, </a:t>
              </a:r>
            </a:p>
            <a:p>
              <a:r>
                <a:rPr lang="en-US" sz="1200" i="0">
                  <a:solidFill>
                    <a:schemeClr val="tx1"/>
                  </a:solidFill>
                  <a:effectLst/>
                  <a:latin typeface="Cambria Math" pitchFamily="18" charset="0"/>
                  <a:ea typeface="Cambria Math" pitchFamily="18" charset="0"/>
                  <a:cs typeface="Arial" pitchFamily="34" charset="0"/>
                </a:rPr>
                <a:t>L</a:t>
              </a:r>
              <a:r>
                <a:rPr lang="en-US" sz="1200" i="0" baseline="-25000">
                  <a:solidFill>
                    <a:schemeClr val="tx1"/>
                  </a:solidFill>
                  <a:effectLst/>
                  <a:latin typeface="Cambria Math" pitchFamily="18" charset="0"/>
                  <a:ea typeface="Cambria Math" pitchFamily="18" charset="0"/>
                  <a:cs typeface="Arial" pitchFamily="34" charset="0"/>
                </a:rPr>
                <a:t>s</a:t>
              </a:r>
              <a:r>
                <a:rPr lang="en-US" sz="1200" i="0">
                  <a:solidFill>
                    <a:schemeClr val="tx1"/>
                  </a:solidFill>
                  <a:effectLst/>
                  <a:latin typeface="Cambria Math" pitchFamily="18" charset="0"/>
                  <a:ea typeface="Cambria Math" pitchFamily="18" charset="0"/>
                  <a:cs typeface="Arial" pitchFamily="34" charset="0"/>
                </a:rPr>
                <a:t> =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(0.0063 ∗ Wl ∗(</a:t>
              </a:r>
              <a: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π</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Arial" pitchFamily="34" charset="0"/>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4)∗ D</a:t>
              </a:r>
              <a: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a:t>2</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 </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P∗Vv</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R∗T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∗MV∗S </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r>
                <a:rPr lang="en-US" sz="1200" i="0">
                  <a:solidFill>
                    <a:schemeClr val="tx1"/>
                  </a:solidFill>
                  <a:effectLst/>
                  <a:latin typeface="Cambria Math" pitchFamily="18" charset="0"/>
                  <a:ea typeface="Cambria Math" pitchFamily="18" charset="0"/>
                  <a:cs typeface="Arial" pitchFamily="34" charset="0"/>
                </a:rPr>
                <a:t>Max. Total Losses = L</a:t>
              </a:r>
              <a:r>
                <a:rPr lang="en-US" sz="1200" i="0" baseline="-25000">
                  <a:solidFill>
                    <a:schemeClr val="tx1"/>
                  </a:solidFill>
                  <a:effectLst/>
                  <a:latin typeface="Cambria Math" pitchFamily="18" charset="0"/>
                  <a:ea typeface="Cambria Math" pitchFamily="18" charset="0"/>
                  <a:cs typeface="Arial" pitchFamily="34" charset="0"/>
                </a:rPr>
                <a:t>s</a:t>
              </a:r>
              <a:r>
                <a:rPr lang="en-US" sz="1200" i="0">
                  <a:solidFill>
                    <a:schemeClr val="tx1"/>
                  </a:solidFill>
                  <a:effectLst/>
                  <a:latin typeface="Cambria Math" pitchFamily="18" charset="0"/>
                  <a:ea typeface="Cambria Math" pitchFamily="18" charset="0"/>
                  <a:cs typeface="Arial" pitchFamily="34" charset="0"/>
                </a:rPr>
                <a:t>+ L</a:t>
              </a:r>
              <a:r>
                <a:rPr lang="en-US" sz="1200" i="0" baseline="-25000">
                  <a:solidFill>
                    <a:schemeClr val="tx1"/>
                  </a:solidFill>
                  <a:effectLst/>
                  <a:latin typeface="Cambria Math" pitchFamily="18" charset="0"/>
                  <a:ea typeface="Cambria Math" pitchFamily="18" charset="0"/>
                  <a:cs typeface="Arial" pitchFamily="34" charset="0"/>
                </a:rPr>
                <a:t>f</a:t>
              </a:r>
              <a:endParaRPr lang="en-US" sz="1200" i="0">
                <a:solidFill>
                  <a:schemeClr val="tx1"/>
                </a:solidFill>
                <a:effectLst/>
                <a:latin typeface="Cambria Math" pitchFamily="18" charset="0"/>
                <a:ea typeface="Cambria Math" pitchFamily="18" charset="0"/>
                <a:cs typeface="Arial" pitchFamily="34" charset="0"/>
              </a:endParaRPr>
            </a:p>
            <a:p>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Max Hourly emissions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f</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V</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v</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∗7.48</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Tank filling Rate</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endParaRPr lang="en-US" sz="1200" i="0">
                <a:solidFill>
                  <a:schemeClr val="tx1"/>
                </a:solidFill>
                <a:effectLst/>
                <a:latin typeface="Cambria Math" pitchFamily="18" charset="0"/>
                <a:ea typeface="Cambria Math" pitchFamily="18" charset="0"/>
                <a:cs typeface="Arial" pitchFamily="34" charset="0"/>
              </a:endParaRPr>
            </a:p>
            <a:p>
              <a:pPr eaLnBrk="1" fontAlgn="auto" latinLnBrk="0" hangingPunct="1"/>
              <a:endParaRPr lang="en-US" sz="1100" i="1" u="sng" baseline="0">
                <a:solidFill>
                  <a:schemeClr val="tx1"/>
                </a:solidFill>
                <a:latin typeface="Cambria Math"/>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mn-cs"/>
                </a:rPr>
                <a:t>Avg. Annual emissions = </a:t>
              </a:r>
              <a:r>
                <a:rPr lang="en-US" sz="1200" b="0" i="0">
                  <a:solidFill>
                    <a:schemeClr val="tx1"/>
                  </a:solidFill>
                  <a:effectLst/>
                  <a:latin typeface="Cambria Math"/>
                  <a:ea typeface="Cambria Math" pitchFamily="18" charset="0"/>
                  <a:cs typeface="+mn-cs"/>
                </a:rPr>
                <a:t> ((</a:t>
              </a:r>
              <a:r>
                <a:rPr lang="en-US" sz="1200" b="0" i="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s</a:t>
              </a:r>
              <a:r>
                <a:rPr lang="en-US" sz="1200" b="0" i="0">
                  <a:solidFill>
                    <a:schemeClr val="tx1"/>
                  </a:solidFill>
                  <a:effectLst/>
                  <a:latin typeface="Cambria Math" pitchFamily="18" charset="0"/>
                  <a:ea typeface="Cambria Math" pitchFamily="18" charset="0"/>
                  <a:cs typeface="+mn-cs"/>
                </a:rPr>
                <a:t>+ Lf</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 Number of roof landings</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2000</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000">
                <a:effectLst/>
                <a:latin typeface="Cambria Math" pitchFamily="18" charset="0"/>
                <a:ea typeface="Cambria Math" pitchFamily="18" charset="0"/>
              </a:endParaRPr>
            </a:p>
            <a:p>
              <a:pPr eaLnBrk="1" fontAlgn="auto" latinLnBrk="0" hangingPunct="1"/>
              <a:endParaRPr lang="en-US" sz="1000">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EFR (With wind effect)</a:t>
              </a: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latin typeface="Cambria Math"/>
                  <a:ea typeface="+mn-ea"/>
                  <a:cs typeface="+mn-cs"/>
                </a:rPr>
                <a:t>Maximum Hourly Emissions: </a:t>
              </a:r>
            </a:p>
            <a:p>
              <a:pPr algn="l" eaLnBrk="1" fontAlgn="auto" latinLnBrk="0" hangingPunct="1"/>
              <a:endParaRPr lang="en-US" sz="1400" b="1" i="1" u="sng" baseline="0">
                <a:effectLst/>
              </a:endParaRPr>
            </a:p>
            <a:p>
              <a:pPr algn="l" eaLnBrk="1" fontAlgn="auto" latinLnBrk="0" hangingPunct="1"/>
              <a:r>
                <a:rPr lang="en-US" sz="1200" i="0">
                  <a:solidFill>
                    <a:schemeClr val="tx1"/>
                  </a:solidFill>
                  <a:effectLst/>
                  <a:latin typeface="Cambria Math" pitchFamily="18" charset="0"/>
                  <a:ea typeface="Cambria Math" pitchFamily="18" charset="0"/>
                  <a:cs typeface="+mn-cs"/>
                </a:rPr>
                <a:t>One day </a:t>
              </a:r>
              <a:r>
                <a:rPr lang="en-US" sz="1200" b="0" i="0">
                  <a:solidFill>
                    <a:schemeClr val="tx1"/>
                  </a:solidFill>
                  <a:effectLst/>
                  <a:latin typeface="Cambria Math" pitchFamily="18" charset="0"/>
                  <a:ea typeface="Cambria Math" pitchFamily="18" charset="0"/>
                  <a:cs typeface="+mn-cs"/>
                </a:rPr>
                <a:t>without </a:t>
              </a:r>
              <a:r>
                <a:rPr lang="en-US" sz="1200" i="0">
                  <a:solidFill>
                    <a:schemeClr val="tx1"/>
                  </a:solidFill>
                  <a:effectLst/>
                  <a:latin typeface="Cambria Math" pitchFamily="18" charset="0"/>
                  <a:ea typeface="Cambria Math" pitchFamily="18" charset="0"/>
                  <a:cs typeface="+mn-cs"/>
                </a:rPr>
                <a:t>wind driven standing idle losses =</a:t>
              </a:r>
              <a:r>
                <a:rPr lang="en-US" sz="1200" b="0" i="0">
                  <a:solidFill>
                    <a:schemeClr val="tx1"/>
                  </a:solidFill>
                  <a:effectLst/>
                  <a:latin typeface="Cambria Math" pitchFamily="18" charset="0"/>
                  <a:ea typeface="Cambria Math" pitchFamily="18" charset="0"/>
                  <a:cs typeface="+mn-cs"/>
                </a:rPr>
                <a:t>K</a:t>
              </a:r>
              <a:r>
                <a:rPr lang="en-US" sz="1200" b="0" i="0" baseline="-25000">
                  <a:solidFill>
                    <a:schemeClr val="tx1"/>
                  </a:solidFill>
                  <a:effectLst/>
                  <a:latin typeface="Cambria Math" pitchFamily="18" charset="0"/>
                  <a:ea typeface="Cambria Math" pitchFamily="18" charset="0"/>
                  <a:cs typeface="+mn-cs"/>
                </a:rPr>
                <a:t>E</a:t>
              </a:r>
              <a:r>
                <a:rPr lang="en-US" sz="1200" b="0" i="0">
                  <a:solidFill>
                    <a:schemeClr val="tx1"/>
                  </a:solidFill>
                  <a:effectLst/>
                  <a:latin typeface="Cambria Math" pitchFamily="18" charset="0"/>
                  <a:ea typeface="Cambria Math" pitchFamily="18" charset="0"/>
                  <a:cs typeface="+mn-cs"/>
                </a:rPr>
                <a:t> ∗ </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P∗Vv</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R∗T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∗MV∗KS </a:t>
              </a:r>
              <a:r>
                <a:rPr lang="en-US" sz="1200" i="0">
                  <a:solidFill>
                    <a:schemeClr val="tx1"/>
                  </a:solidFill>
                  <a:effectLst/>
                  <a:latin typeface="Cambria Math" pitchFamily="18" charset="0"/>
                  <a:ea typeface="Cambria Math" pitchFamily="18" charset="0"/>
                  <a:cs typeface="Arial" pitchFamily="34" charset="0"/>
                </a:rPr>
                <a:t>* </a:t>
              </a:r>
              <a:r>
                <a:rPr lang="en-US" sz="1200" b="0" i="0" baseline="0">
                  <a:solidFill>
                    <a:schemeClr val="tx1"/>
                  </a:solidFill>
                  <a:effectLst/>
                  <a:latin typeface="Cambria Math" pitchFamily="18" charset="0"/>
                  <a:ea typeface="Cambria Math" pitchFamily="18" charset="0"/>
                  <a:cs typeface="Arial" pitchFamily="34" charset="0"/>
                </a:rPr>
                <a:t>"n</a:t>
              </a:r>
              <a:r>
                <a:rPr lang="en-US" sz="1200" b="0" i="0" baseline="-25000">
                  <a:solidFill>
                    <a:schemeClr val="tx1"/>
                  </a:solidFill>
                  <a:effectLst/>
                  <a:latin typeface="Cambria Math" pitchFamily="18" charset="0"/>
                  <a:ea typeface="Cambria Math" pitchFamily="18" charset="0"/>
                  <a:cs typeface="Arial" pitchFamily="34" charset="0"/>
                </a:rPr>
                <a:t>d"</a:t>
              </a:r>
              <a:endParaRPr lang="en-US" sz="1200" i="0">
                <a:effectLst/>
                <a:latin typeface="Cambria Math" pitchFamily="18" charset="0"/>
                <a:ea typeface="Cambria Math" pitchFamily="18" charset="0"/>
                <a:cs typeface="Arial" pitchFamily="34" charset="0"/>
              </a:endParaRPr>
            </a:p>
            <a:p>
              <a:pPr eaLnBrk="1" fontAlgn="auto" latinLnBrk="0" hangingPunct="1"/>
              <a:r>
                <a:rPr lang="en-US" sz="1200" i="0">
                  <a:solidFill>
                    <a:schemeClr val="tx1"/>
                  </a:solidFill>
                  <a:effectLst/>
                  <a:latin typeface="Cambria Math" pitchFamily="18" charset="0"/>
                  <a:ea typeface="Cambria Math" pitchFamily="18" charset="0"/>
                  <a:cs typeface="+mn-cs"/>
                </a:rPr>
                <a:t>One day wind driven standing idle losses =0.57 ∗ </a:t>
              </a:r>
              <a:r>
                <a:rPr lang="en-US" sz="1200" b="0" i="0" baseline="0">
                  <a:solidFill>
                    <a:schemeClr val="tx1"/>
                  </a:solidFill>
                  <a:effectLst/>
                  <a:latin typeface="Cambria Math" pitchFamily="18" charset="0"/>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Arial" pitchFamily="34" charset="0"/>
                </a:rPr>
                <a:t>n</a:t>
              </a:r>
              <a:r>
                <a:rPr lang="en-US" sz="1200" b="0" i="0" baseline="-25000">
                  <a:solidFill>
                    <a:schemeClr val="tx1"/>
                  </a:solidFill>
                  <a:effectLst/>
                  <a:latin typeface="Cambria Math" pitchFamily="18" charset="0"/>
                  <a:ea typeface="Cambria Math" pitchFamily="18" charset="0"/>
                  <a:cs typeface="Arial" pitchFamily="34" charset="0"/>
                </a:rPr>
                <a:t>d" </a:t>
              </a:r>
              <a:r>
                <a:rPr lang="en-US" sz="1200" i="0" baseline="0">
                  <a:solidFill>
                    <a:schemeClr val="tx1"/>
                  </a:solidFill>
                  <a:effectLst/>
                  <a:latin typeface="Cambria Math" pitchFamily="18" charset="0"/>
                  <a:ea typeface="Cambria Math" pitchFamily="18" charset="0"/>
                  <a:cs typeface="Arial" pitchFamily="34" charset="0"/>
                </a:rPr>
                <a:t>* D * P</a:t>
              </a:r>
              <a:r>
                <a:rPr lang="en-US" sz="1200" i="0" baseline="30000">
                  <a:solidFill>
                    <a:schemeClr val="tx1"/>
                  </a:solidFill>
                  <a:effectLst/>
                  <a:latin typeface="Cambria Math" pitchFamily="18" charset="0"/>
                  <a:ea typeface="Cambria Math" pitchFamily="18" charset="0"/>
                  <a:cs typeface="Arial" pitchFamily="34" charset="0"/>
                </a:rPr>
                <a:t>*</a:t>
              </a:r>
              <a:r>
                <a:rPr lang="en-US" sz="1200" i="0" baseline="0">
                  <a:solidFill>
                    <a:schemeClr val="tx1"/>
                  </a:solidFill>
                  <a:effectLst/>
                  <a:latin typeface="Cambria Math" pitchFamily="18" charset="0"/>
                  <a:ea typeface="Cambria Math" pitchFamily="18" charset="0"/>
                  <a:cs typeface="Arial" pitchFamily="34" charset="0"/>
                </a:rPr>
                <a:t> * M</a:t>
              </a:r>
              <a:r>
                <a:rPr lang="en-US" sz="1200" i="0" baseline="-25000">
                  <a:solidFill>
                    <a:schemeClr val="tx1"/>
                  </a:solidFill>
                  <a:effectLst/>
                  <a:latin typeface="Cambria Math" pitchFamily="18" charset="0"/>
                  <a:ea typeface="Cambria Math" pitchFamily="18" charset="0"/>
                  <a:cs typeface="Arial" pitchFamily="34" charset="0"/>
                </a:rPr>
                <a:t>V</a:t>
              </a:r>
              <a:endParaRPr lang="en-US" sz="1200" i="0">
                <a:effectLst/>
                <a:latin typeface="Cambria Math" pitchFamily="18" charset="0"/>
                <a:ea typeface="Cambria Math" pitchFamily="18" charset="0"/>
                <a:cs typeface="Arial" pitchFamily="34" charset="0"/>
              </a:endParaRPr>
            </a:p>
            <a:p>
              <a:pPr eaLnBrk="1" fontAlgn="auto" latinLnBrk="0" hangingPunct="1"/>
              <a:r>
                <a:rPr lang="en-US" sz="1200" i="0">
                  <a:solidFill>
                    <a:schemeClr val="tx1"/>
                  </a:solidFill>
                  <a:effectLst/>
                  <a:latin typeface="Cambria Math" pitchFamily="18" charset="0"/>
                  <a:ea typeface="Cambria Math" pitchFamily="18" charset="0"/>
                  <a:cs typeface="+mn-cs"/>
                </a:rPr>
                <a:t>One day </a:t>
              </a:r>
              <a:r>
                <a:rPr lang="en-US" sz="1200" b="0" i="0">
                  <a:solidFill>
                    <a:schemeClr val="tx1"/>
                  </a:solidFill>
                  <a:effectLst/>
                  <a:latin typeface="Cambria Math" pitchFamily="18" charset="0"/>
                  <a:ea typeface="Cambria Math" pitchFamily="18" charset="0"/>
                  <a:cs typeface="+mn-cs"/>
                </a:rPr>
                <a:t>without </a:t>
              </a:r>
              <a:r>
                <a:rPr lang="en-US" sz="1200" i="0">
                  <a:solidFill>
                    <a:schemeClr val="tx1"/>
                  </a:solidFill>
                  <a:effectLst/>
                  <a:latin typeface="Cambria Math" pitchFamily="18" charset="0"/>
                  <a:ea typeface="Cambria Math" pitchFamily="18" charset="0"/>
                  <a:cs typeface="+mn-cs"/>
                </a:rPr>
                <a:t>wind driven </a:t>
              </a:r>
              <a:r>
                <a:rPr lang="en-US" sz="1200" b="0" i="0">
                  <a:solidFill>
                    <a:schemeClr val="tx1"/>
                  </a:solidFill>
                  <a:effectLst/>
                  <a:latin typeface="Cambria Math" pitchFamily="18" charset="0"/>
                  <a:ea typeface="Cambria Math" pitchFamily="18" charset="0"/>
                  <a:cs typeface="+mn-cs"/>
                </a:rPr>
                <a:t>filling losses= </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P∗Vv</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R∗T</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∗MV∗S</a:t>
              </a:r>
              <a:endParaRPr lang="en-US" sz="1200" i="0">
                <a:solidFill>
                  <a:schemeClr val="tx1"/>
                </a:solidFill>
                <a:effectLst/>
                <a:latin typeface="Cambria Math" pitchFamily="18" charset="0"/>
                <a:ea typeface="Cambria Math" pitchFamily="18" charset="0"/>
                <a:cs typeface="Arial" pitchFamily="34" charset="0"/>
              </a:endParaRPr>
            </a:p>
            <a:p>
              <a:endParaRPr lang="en-US" sz="1200" i="0">
                <a:solidFill>
                  <a:schemeClr val="tx1"/>
                </a:solidFill>
                <a:effectLst/>
                <a:latin typeface="Cambria Math" pitchFamily="18" charset="0"/>
                <a:ea typeface="Cambria Math" pitchFamily="18" charset="0"/>
                <a:cs typeface="Arial" pitchFamily="34" charset="0"/>
              </a:endParaRPr>
            </a:p>
            <a:p>
              <a:pPr/>
              <a:r>
                <a:rPr lang="en-US" sz="1200" i="0">
                  <a:solidFill>
                    <a:schemeClr val="tx1"/>
                  </a:solidFill>
                  <a:effectLst/>
                  <a:latin typeface="Cambria Math" pitchFamily="18" charset="0"/>
                  <a:ea typeface="Cambria Math" pitchFamily="18" charset="0"/>
                  <a:cs typeface="Arial" pitchFamily="34" charset="0"/>
                </a:rPr>
                <a:t>C</a:t>
              </a:r>
              <a:r>
                <a:rPr lang="en-US" sz="1200" i="0" baseline="-25000">
                  <a:solidFill>
                    <a:schemeClr val="tx1"/>
                  </a:solidFill>
                  <a:effectLst/>
                  <a:latin typeface="Cambria Math" pitchFamily="18" charset="0"/>
                  <a:ea typeface="Cambria Math" pitchFamily="18" charset="0"/>
                  <a:cs typeface="Arial" pitchFamily="34" charset="0"/>
                </a:rPr>
                <a:t>sf</a:t>
              </a:r>
              <a:r>
                <a:rPr lang="en-US" sz="1200" i="0">
                  <a:solidFill>
                    <a:schemeClr val="tx1"/>
                  </a:solidFill>
                  <a:effectLst/>
                  <a:latin typeface="Cambria Math" pitchFamily="18" charset="0"/>
                  <a:ea typeface="Cambria Math" pitchFamily="18" charset="0"/>
                  <a:cs typeface="Arial" pitchFamily="34" charset="0"/>
                </a:rPr>
                <a:t> = 1−</a:t>
              </a:r>
              <a:r>
                <a:rPr lang="en-US" sz="1200" i="0">
                  <a:solidFill>
                    <a:schemeClr val="tx1"/>
                  </a:solidFill>
                  <a:effectLst/>
                  <a:latin typeface="Cambria Math"/>
                  <a:ea typeface="Cambria Math" pitchFamily="18" charset="0"/>
                  <a:cs typeface="Arial" pitchFamily="34" charset="0"/>
                </a:rPr>
                <a:t>((</a:t>
              </a:r>
              <a:r>
                <a:rPr lang="en-US" sz="1200" i="0">
                  <a:solidFill>
                    <a:schemeClr val="tx1"/>
                  </a:solidFill>
                  <a:effectLst/>
                  <a:latin typeface="Cambria Math" pitchFamily="18" charset="0"/>
                  <a:ea typeface="Cambria Math" pitchFamily="18" charset="0"/>
                  <a:cs typeface="Arial" pitchFamily="34" charset="0"/>
                </a:rPr>
                <a:t>One day wind driven standing idle losses – One day without wind driven standing losses</a:t>
              </a:r>
              <a:r>
                <a:rPr lang="en-US" sz="1200" i="0">
                  <a:solidFill>
                    <a:schemeClr val="tx1"/>
                  </a:solidFill>
                  <a:effectLst/>
                  <a:latin typeface="Cambria Math"/>
                  <a:ea typeface="Cambria Math" pitchFamily="18" charset="0"/>
                  <a:cs typeface="Arial" pitchFamily="34" charset="0"/>
                </a:rPr>
                <a:t>))/(</a:t>
              </a:r>
              <a:r>
                <a:rPr lang="en-US" sz="1200" b="0" i="0">
                  <a:solidFill>
                    <a:schemeClr val="tx1"/>
                  </a:solidFill>
                  <a:effectLst/>
                  <a:latin typeface="Cambria Math" pitchFamily="18" charset="0"/>
                  <a:ea typeface="Cambria Math" pitchFamily="18" charset="0"/>
                  <a:cs typeface="Arial" pitchFamily="34" charset="0"/>
                </a:rPr>
                <a:t>(</a:t>
              </a:r>
              <a:r>
                <a:rPr lang="en-US" sz="1200" i="0">
                  <a:solidFill>
                    <a:schemeClr val="tx1"/>
                  </a:solidFill>
                  <a:effectLst/>
                  <a:latin typeface="Cambria Math" pitchFamily="18" charset="0"/>
                  <a:ea typeface="Cambria Math" pitchFamily="18" charset="0"/>
                  <a:cs typeface="+mn-cs"/>
                </a:rPr>
                <a:t>One day without wind driven standing losses + One day without wind filling losses</a:t>
              </a:r>
              <a:r>
                <a:rPr lang="en-US" sz="1200" b="0" i="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a:ea typeface="Cambria Math" pitchFamily="18" charset="0"/>
                  <a:cs typeface="+mn-cs"/>
                </a:rPr>
                <a:t>)</a:t>
              </a:r>
              <a:endParaRPr lang="en-US" sz="1200" i="0">
                <a:solidFill>
                  <a:schemeClr val="tx1"/>
                </a:solidFill>
                <a:effectLst/>
                <a:latin typeface="Cambria Math" pitchFamily="18" charset="0"/>
                <a:ea typeface="Cambria Math" pitchFamily="18" charset="0"/>
                <a:cs typeface="Arial" pitchFamily="34" charset="0"/>
              </a:endParaRPr>
            </a:p>
            <a:p>
              <a:r>
                <a:rPr lang="en-US" sz="1200" i="0">
                  <a:solidFill>
                    <a:schemeClr val="tx1"/>
                  </a:solidFill>
                  <a:effectLst/>
                  <a:latin typeface="Cambria Math" pitchFamily="18" charset="0"/>
                  <a:ea typeface="Cambria Math" pitchFamily="18" charset="0"/>
                  <a:cs typeface="Arial" pitchFamily="34" charset="0"/>
                </a:rPr>
                <a:t> </a:t>
              </a:r>
            </a:p>
            <a:p>
              <a:pPr algn="l"/>
              <a:r>
                <a:rPr lang="en-US" sz="1200" i="0">
                  <a:solidFill>
                    <a:schemeClr val="tx1"/>
                  </a:solidFill>
                  <a:effectLst/>
                  <a:latin typeface="Cambria Math" pitchFamily="18" charset="0"/>
                  <a:ea typeface="Cambria Math" pitchFamily="18" charset="0"/>
                  <a:cs typeface="Arial" pitchFamily="34" charset="0"/>
                </a:rPr>
                <a:t>Vapor pressure function (P*) = </a:t>
              </a:r>
              <a:r>
                <a:rPr lang="en-US" sz="1200" i="0">
                  <a:solidFill>
                    <a:schemeClr val="tx1"/>
                  </a:solidFill>
                  <a:effectLst/>
                  <a:latin typeface="Cambria Math"/>
                  <a:ea typeface="Cambria Math" pitchFamily="18" charset="0"/>
                  <a:cs typeface="Arial" pitchFamily="34" charset="0"/>
                </a:rPr>
                <a:t>(</a:t>
              </a:r>
              <a:r>
                <a:rPr lang="en-US" sz="1200" i="0">
                  <a:solidFill>
                    <a:schemeClr val="tx1"/>
                  </a:solidFill>
                  <a:effectLst/>
                  <a:latin typeface="Cambria Math" pitchFamily="18" charset="0"/>
                  <a:ea typeface="Cambria Math" pitchFamily="18" charset="0"/>
                  <a:cs typeface="+mn-cs"/>
                </a:rPr>
                <a:t>(P</a:t>
              </a:r>
              <a:r>
                <a:rPr lang="en-US" sz="1200" i="0">
                  <a:solidFill>
                    <a:schemeClr val="tx1"/>
                  </a:solidFill>
                  <a:effectLst/>
                  <a:latin typeface="Cambria Math"/>
                  <a:ea typeface="Cambria Math" pitchFamily="18" charset="0"/>
                  <a:cs typeface="+mn-cs"/>
                </a:rPr>
                <a:t>/</a:t>
              </a:r>
              <a:r>
                <a:rPr lang="en-US" sz="1200" i="0">
                  <a:solidFill>
                    <a:schemeClr val="tx1"/>
                  </a:solidFill>
                  <a:effectLst/>
                  <a:latin typeface="Cambria Math" pitchFamily="18" charset="0"/>
                  <a:ea typeface="Cambria Math" pitchFamily="18" charset="0"/>
                  <a:cs typeface="+mn-cs"/>
                </a:rPr>
                <a:t>14.7) </a:t>
              </a:r>
              <a:r>
                <a:rPr lang="en-US" sz="1200" i="0">
                  <a:solidFill>
                    <a:schemeClr val="tx1"/>
                  </a:solidFill>
                  <a:effectLst/>
                  <a:latin typeface="Cambria Math"/>
                  <a:ea typeface="Cambria Math" pitchFamily="18" charset="0"/>
                  <a:cs typeface="+mn-cs"/>
                </a:rPr>
                <a:t>)/(</a:t>
              </a:r>
              <a:r>
                <a:rPr lang="en-US" sz="1200" i="0">
                  <a:solidFill>
                    <a:schemeClr val="tx1"/>
                  </a:solidFill>
                  <a:effectLst/>
                  <a:latin typeface="Cambria Math" pitchFamily="18" charset="0"/>
                  <a:ea typeface="Cambria Math" pitchFamily="18" charset="0"/>
                  <a:cs typeface="+mn-cs"/>
                </a:rPr>
                <a:t>((1+((1−(P</a:t>
              </a:r>
              <a:r>
                <a:rPr lang="en-US" sz="1200" i="0">
                  <a:solidFill>
                    <a:schemeClr val="tx1"/>
                  </a:solidFill>
                  <a:effectLst/>
                  <a:latin typeface="Cambria Math"/>
                  <a:ea typeface="Cambria Math" pitchFamily="18" charset="0"/>
                  <a:cs typeface="+mn-cs"/>
                </a:rPr>
                <a:t>/</a:t>
              </a:r>
              <a:r>
                <a:rPr lang="en-US" sz="1200" i="0">
                  <a:solidFill>
                    <a:schemeClr val="tx1"/>
                  </a:solidFill>
                  <a:effectLst/>
                  <a:latin typeface="Cambria Math" pitchFamily="18" charset="0"/>
                  <a:ea typeface="Cambria Math" pitchFamily="18" charset="0"/>
                  <a:cs typeface="+mn-cs"/>
                </a:rPr>
                <a:t>14.7))</a:t>
              </a:r>
              <a:r>
                <a:rPr lang="en-US" sz="1200" i="0" baseline="30000">
                  <a:solidFill>
                    <a:schemeClr val="tx1"/>
                  </a:solidFill>
                  <a:effectLst/>
                  <a:latin typeface="Cambria Math" pitchFamily="18" charset="0"/>
                  <a:ea typeface="Cambria Math" pitchFamily="18" charset="0"/>
                  <a:cs typeface="+mn-cs"/>
                </a:rPr>
                <a:t>0</a:t>
              </a:r>
              <a:r>
                <a:rPr lang="en-US" sz="1200" i="0" baseline="0">
                  <a:solidFill>
                    <a:schemeClr val="tx1"/>
                  </a:solidFill>
                  <a:effectLst/>
                  <a:latin typeface="Cambria Math" pitchFamily="18" charset="0"/>
                  <a:ea typeface="Cambria Math" pitchFamily="18" charset="0"/>
                  <a:cs typeface="+mn-cs"/>
                </a:rPr>
                <a:t>.</a:t>
              </a:r>
              <a:r>
                <a:rPr lang="en-US" sz="1200" i="0" baseline="30000">
                  <a:solidFill>
                    <a:schemeClr val="tx1"/>
                  </a:solidFill>
                  <a:effectLst/>
                  <a:latin typeface="Cambria Math" pitchFamily="18" charset="0"/>
                  <a:ea typeface="Cambria Math" pitchFamily="18" charset="0"/>
                  <a:cs typeface="+mn-cs"/>
                </a:rPr>
                <a:t>5</a:t>
              </a:r>
              <a:r>
                <a:rPr lang="en-US" sz="1200" i="0">
                  <a:solidFill>
                    <a:schemeClr val="tx1"/>
                  </a:solidFill>
                  <a:effectLst/>
                  <a:latin typeface="Cambria Math" pitchFamily="18" charset="0"/>
                  <a:ea typeface="Cambria Math" pitchFamily="18" charset="0"/>
                  <a:cs typeface="+mn-cs"/>
                </a:rPr>
                <a:t>))</a:t>
              </a:r>
              <a:r>
                <a:rPr lang="en-US" sz="1200" i="0" baseline="30000">
                  <a:solidFill>
                    <a:schemeClr val="tx1"/>
                  </a:solidFill>
                  <a:effectLst/>
                  <a:latin typeface="Cambria Math" pitchFamily="18" charset="0"/>
                  <a:ea typeface="Cambria Math" pitchFamily="18" charset="0"/>
                  <a:cs typeface="+mn-cs"/>
                </a:rPr>
                <a:t>2"</a:t>
              </a:r>
              <a:r>
                <a:rPr lang="en-US" sz="1200" i="0">
                  <a:effectLst/>
                  <a:latin typeface="Cambria Math" pitchFamily="18" charset="0"/>
                  <a:ea typeface="Cambria Math" pitchFamily="18" charset="0"/>
                  <a:cs typeface="Arial" pitchFamily="34" charset="0"/>
                </a:rPr>
                <a:t> </a:t>
              </a:r>
              <a:r>
                <a:rPr lang="en-US" sz="1200" i="0">
                  <a:effectLst/>
                  <a:latin typeface="Cambria Math"/>
                  <a:ea typeface="Cambria Math" pitchFamily="18" charset="0"/>
                  <a:cs typeface="Arial" pitchFamily="34" charset="0"/>
                </a:rPr>
                <a:t>" </a:t>
              </a:r>
              <a:r>
                <a:rPr lang="en-US" sz="1200" i="0">
                  <a:solidFill>
                    <a:schemeClr val="tx1"/>
                  </a:solidFill>
                  <a:effectLst/>
                  <a:latin typeface="Cambria Math"/>
                  <a:ea typeface="Cambria Math" pitchFamily="18" charset="0"/>
                  <a:cs typeface="Arial" pitchFamily="34" charset="0"/>
                </a:rPr>
                <a:t>)</a:t>
              </a:r>
              <a:r>
                <a:rPr lang="en-US" sz="1200" i="0">
                  <a:solidFill>
                    <a:schemeClr val="tx1"/>
                  </a:solidFill>
                  <a:effectLst/>
                  <a:latin typeface="Cambria Math" pitchFamily="18" charset="0"/>
                  <a:ea typeface="Cambria Math" pitchFamily="18" charset="0"/>
                  <a:cs typeface="Arial" pitchFamily="34" charset="0"/>
                </a:rPr>
                <a:t>  </a:t>
              </a:r>
              <a:endParaRPr lang="en-US" sz="1200" i="0">
                <a:effectLst/>
                <a:latin typeface="Cambria Math" pitchFamily="18" charset="0"/>
                <a:ea typeface="Cambria Math" pitchFamily="18" charset="0"/>
                <a:cs typeface="Arial" pitchFamily="34" charset="0"/>
              </a:endParaRPr>
            </a:p>
            <a:p>
              <a:endParaRPr lang="en-US" sz="1200" i="0">
                <a:latin typeface="Cambria Math" pitchFamily="18" charset="0"/>
                <a:ea typeface="Cambria Math" pitchFamily="18" charset="0"/>
                <a:cs typeface="Arial" pitchFamily="34" charset="0"/>
              </a:endParaRPr>
            </a:p>
            <a:p>
              <a:r>
                <a:rPr lang="en-US" sz="1200" i="0">
                  <a:latin typeface="Cambria Math" pitchFamily="18" charset="0"/>
                  <a:ea typeface="Cambria Math" pitchFamily="18" charset="0"/>
                  <a:cs typeface="Arial" pitchFamily="34" charset="0"/>
                </a:rPr>
                <a:t>L</a:t>
              </a:r>
              <a:r>
                <a:rPr lang="en-US" sz="1200" i="0" baseline="-25000">
                  <a:latin typeface="Cambria Math" pitchFamily="18" charset="0"/>
                  <a:ea typeface="Cambria Math" pitchFamily="18" charset="0"/>
                  <a:cs typeface="Arial" pitchFamily="34" charset="0"/>
                </a:rPr>
                <a:t>s </a:t>
              </a:r>
              <a:r>
                <a:rPr lang="en-US" sz="1200" i="0" baseline="0">
                  <a:latin typeface="Cambria Math" pitchFamily="18" charset="0"/>
                  <a:ea typeface="Cambria Math" pitchFamily="18" charset="0"/>
                  <a:cs typeface="Arial" pitchFamily="34" charset="0"/>
                </a:rPr>
                <a:t>= 0.57 * n</a:t>
              </a:r>
              <a:r>
                <a:rPr lang="en-US" sz="1200" i="0" baseline="-25000">
                  <a:latin typeface="Cambria Math" pitchFamily="18" charset="0"/>
                  <a:ea typeface="Cambria Math" pitchFamily="18" charset="0"/>
                  <a:cs typeface="Arial" pitchFamily="34" charset="0"/>
                </a:rPr>
                <a:t>d</a:t>
              </a:r>
              <a:r>
                <a:rPr lang="en-US" sz="1200" i="0" baseline="0">
                  <a:latin typeface="Cambria Math" pitchFamily="18" charset="0"/>
                  <a:ea typeface="Cambria Math" pitchFamily="18" charset="0"/>
                  <a:cs typeface="Arial" pitchFamily="34" charset="0"/>
                </a:rPr>
                <a:t>* D * P</a:t>
              </a:r>
              <a:r>
                <a:rPr lang="en-US" sz="1200" i="0" baseline="30000">
                  <a:latin typeface="Cambria Math" pitchFamily="18" charset="0"/>
                  <a:ea typeface="Cambria Math" pitchFamily="18" charset="0"/>
                  <a:cs typeface="Arial" pitchFamily="34" charset="0"/>
                </a:rPr>
                <a:t>*</a:t>
              </a:r>
              <a:r>
                <a:rPr lang="en-US" sz="1200" i="0" baseline="0">
                  <a:latin typeface="Cambria Math" pitchFamily="18" charset="0"/>
                  <a:ea typeface="Cambria Math" pitchFamily="18" charset="0"/>
                  <a:cs typeface="Arial" pitchFamily="34" charset="0"/>
                </a:rPr>
                <a:t> * M</a:t>
              </a:r>
              <a:r>
                <a:rPr lang="en-US" sz="1200" i="0" baseline="-25000">
                  <a:latin typeface="Cambria Math" pitchFamily="18" charset="0"/>
                  <a:ea typeface="Cambria Math" pitchFamily="18" charset="0"/>
                  <a:cs typeface="Arial" pitchFamily="34" charset="0"/>
                </a:rPr>
                <a:t>V</a:t>
              </a:r>
            </a:p>
            <a:p>
              <a:endParaRPr lang="en-US" sz="1200" i="0" baseline="-25000">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a:t>
              </a:r>
              <a:r>
                <a:rPr lang="en-US" sz="1200" b="0" i="0" baseline="-25000">
                  <a:solidFill>
                    <a:schemeClr val="tx1"/>
                  </a:solidFill>
                  <a:effectLst/>
                  <a:latin typeface="Cambria Math" pitchFamily="18" charset="0"/>
                  <a:ea typeface="Cambria Math" pitchFamily="18" charset="0"/>
                  <a:cs typeface="Arial" pitchFamily="34" charset="0"/>
                </a:rPr>
                <a:t>f</a:t>
              </a:r>
              <a:r>
                <a:rPr lang="en-US" sz="1200" b="0" i="0" baseline="0">
                  <a:solidFill>
                    <a:schemeClr val="tx1"/>
                  </a:solidFill>
                  <a:effectLst/>
                  <a:latin typeface="Cambria Math" pitchFamily="18" charset="0"/>
                  <a:ea typeface="Cambria Math" pitchFamily="18" charset="0"/>
                  <a:cs typeface="+mn-cs"/>
                </a:rPr>
                <a:t>" = </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P∗Vv</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R∗T</a:t>
              </a:r>
              <a:r>
                <a:rPr lang="en-US" sz="1200" b="0" i="0" baseline="0">
                  <a:solidFill>
                    <a:schemeClr val="tx1"/>
                  </a:solidFill>
                  <a:effectLst/>
                  <a:latin typeface="Cambria Math"/>
                  <a:ea typeface="Cambria Math" pitchFamily="18" charset="0"/>
                  <a:cs typeface="+mn-cs"/>
                </a:rPr>
                <a:t>))</a:t>
              </a:r>
              <a:r>
                <a:rPr lang="en-US" sz="1200" b="0" i="0" baseline="0">
                  <a:solidFill>
                    <a:schemeClr val="tx1"/>
                  </a:solidFill>
                  <a:effectLst/>
                  <a:latin typeface="Cambria Math" pitchFamily="18" charset="0"/>
                  <a:ea typeface="Cambria Math" pitchFamily="18" charset="0"/>
                  <a:cs typeface="+mn-cs"/>
                </a:rPr>
                <a:t>∗MV∗S </a:t>
              </a:r>
              <a:r>
                <a:rPr lang="en-US" sz="1200" i="0">
                  <a:effectLst/>
                  <a:latin typeface="Cambria Math" pitchFamily="18" charset="0"/>
                  <a:ea typeface="Cambria Math" pitchFamily="18" charset="0"/>
                  <a:cs typeface="Arial" pitchFamily="34" charset="0"/>
                </a:rPr>
                <a:t>* </a:t>
              </a:r>
              <a:r>
                <a:rPr lang="en-US" sz="1200" i="0">
                  <a:solidFill>
                    <a:schemeClr val="tx1"/>
                  </a:solidFill>
                  <a:effectLst/>
                  <a:latin typeface="Cambria Math" pitchFamily="18" charset="0"/>
                  <a:ea typeface="Cambria Math" pitchFamily="18" charset="0"/>
                  <a:cs typeface="+mn-cs"/>
                </a:rPr>
                <a:t>C</a:t>
              </a:r>
              <a:r>
                <a:rPr lang="en-US" sz="1200" i="0" baseline="-25000">
                  <a:solidFill>
                    <a:schemeClr val="tx1"/>
                  </a:solidFill>
                  <a:effectLst/>
                  <a:latin typeface="Cambria Math" pitchFamily="18" charset="0"/>
                  <a:ea typeface="Cambria Math" pitchFamily="18" charset="0"/>
                  <a:cs typeface="+mn-cs"/>
                </a:rPr>
                <a:t>sf</a:t>
              </a:r>
              <a:endParaRPr lang="en-US" sz="1200" i="0">
                <a:effectLst/>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Max. </a:t>
              </a:r>
              <a:r>
                <a:rPr lang="en-US" sz="1200" b="0" i="0">
                  <a:solidFill>
                    <a:schemeClr val="tx1"/>
                  </a:solidFill>
                  <a:effectLst/>
                  <a:latin typeface="Cambria Math" pitchFamily="18" charset="0"/>
                  <a:ea typeface="Cambria Math" pitchFamily="18" charset="0"/>
                  <a:cs typeface="+mn-cs"/>
                </a:rPr>
                <a:t>Total Losses with liquid heel= Ls+ Lf</a:t>
              </a:r>
              <a:endParaRPr lang="en-US" sz="1200" i="0" baseline="-2500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mn-cs"/>
              </a:endParaRPr>
            </a:p>
            <a:p>
              <a:pPr eaLnBrk="1" fontAlgn="auto" latinLnBrk="0" hangingPunct="1"/>
              <a:r>
                <a:rPr lang="en-US" sz="1200" b="0" i="0">
                  <a:solidFill>
                    <a:schemeClr val="tx1"/>
                  </a:solidFill>
                  <a:effectLst/>
                  <a:latin typeface="Cambria Math" pitchFamily="18" charset="0"/>
                  <a:ea typeface="Cambria Math" pitchFamily="18" charset="0"/>
                  <a:cs typeface="+mn-cs"/>
                </a:rPr>
                <a:t>Max Hourly emissions =L</a:t>
              </a:r>
              <a:r>
                <a:rPr lang="en-US" sz="1200" b="0" i="0" baseline="-25000">
                  <a:solidFill>
                    <a:schemeClr val="tx1"/>
                  </a:solidFill>
                  <a:effectLst/>
                  <a:latin typeface="Cambria Math" pitchFamily="18" charset="0"/>
                  <a:ea typeface="Cambria Math" pitchFamily="18" charset="0"/>
                  <a:cs typeface="+mn-cs"/>
                </a:rPr>
                <a:t>f</a:t>
              </a:r>
              <a:r>
                <a:rPr lang="en-US" sz="1200" b="0" i="0" baseline="-2500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V</a:t>
              </a:r>
              <a:r>
                <a:rPr lang="en-US" sz="1200" b="0" i="0" baseline="-25000">
                  <a:solidFill>
                    <a:schemeClr val="tx1"/>
                  </a:solidFill>
                  <a:effectLst/>
                  <a:latin typeface="Cambria Math" pitchFamily="18" charset="0"/>
                  <a:ea typeface="Cambria Math" pitchFamily="18" charset="0"/>
                  <a:cs typeface="+mn-cs"/>
                </a:rPr>
                <a:t>v</a:t>
              </a:r>
              <a:r>
                <a:rPr lang="en-US" sz="1200" b="0" i="0">
                  <a:solidFill>
                    <a:schemeClr val="tx1"/>
                  </a:solidFill>
                  <a:effectLst/>
                  <a:latin typeface="Cambria Math" pitchFamily="18" charset="0"/>
                  <a:ea typeface="Cambria Math" pitchFamily="18" charset="0"/>
                  <a:cs typeface="+mn-cs"/>
                </a:rPr>
                <a:t> ∗7.48</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Tank filling Rate</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a:t>
              </a:r>
              <a:r>
                <a:rPr lang="en-US" sz="1200" b="0" i="0">
                  <a:solidFill>
                    <a:schemeClr val="tx1"/>
                  </a:solidFill>
                  <a:effectLst/>
                  <a:latin typeface="Cambria Math"/>
                  <a:ea typeface="Cambria Math" pitchFamily="18" charset="0"/>
                  <a:cs typeface="+mn-cs"/>
                </a:rPr>
                <a:t>)</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a:effectLst/>
              </a:endParaRPr>
            </a:p>
            <a:p>
              <a:pPr eaLnBrk="1" fontAlgn="auto" latinLnBrk="0" hangingPunct="1"/>
              <a:endParaRPr lang="en-US" sz="1200" b="0" i="0">
                <a:solidFill>
                  <a:schemeClr val="tx1"/>
                </a:solidFill>
                <a:effectLst/>
                <a:latin typeface="Cambria Math" pitchFamily="18" charset="0"/>
                <a:ea typeface="Cambria Math" pitchFamily="18" charset="0"/>
                <a:cs typeface="Arial" pitchFamily="34" charset="0"/>
              </a:endParaRPr>
            </a:p>
            <a:p>
              <a:pPr eaLnBrk="1" fontAlgn="auto" latinLnBrk="0" hangingPunct="1"/>
              <a:r>
                <a:rPr lang="en-US" sz="1200" b="0" i="0">
                  <a:solidFill>
                    <a:schemeClr val="tx1"/>
                  </a:solidFill>
                  <a:effectLst/>
                  <a:latin typeface="Cambria Math" pitchFamily="18" charset="0"/>
                  <a:ea typeface="Cambria Math" pitchFamily="18" charset="0"/>
                  <a:cs typeface="Arial" pitchFamily="34" charset="0"/>
                </a:rPr>
                <a:t>Average total losses </a:t>
              </a:r>
              <a:r>
                <a:rPr lang="en-US" sz="1200" b="0" i="0" baseline="0">
                  <a:solidFill>
                    <a:schemeClr val="tx1"/>
                  </a:solidFill>
                  <a:effectLst/>
                  <a:latin typeface="Cambria Math" pitchFamily="18" charset="0"/>
                  <a:ea typeface="Cambria Math" pitchFamily="18" charset="0"/>
                  <a:cs typeface="Arial" pitchFamily="34" charset="0"/>
                </a:rPr>
                <a:t> based on  average  temperature and pressure parameters</a:t>
              </a:r>
              <a:endParaRPr lang="en-US" sz="1200" i="0">
                <a:effectLst/>
                <a:latin typeface="Cambria Math" pitchFamily="18" charset="0"/>
                <a:ea typeface="Cambria Math" pitchFamily="18" charset="0"/>
                <a:cs typeface="Arial" pitchFamily="34" charset="0"/>
              </a:endParaRPr>
            </a:p>
            <a:p>
              <a:pPr eaLnBrk="1" fontAlgn="auto" latinLnBrk="0" hangingPunct="1"/>
              <a:endParaRPr lang="en-US" sz="1200" b="0" i="0">
                <a:solidFill>
                  <a:schemeClr val="tx1"/>
                </a:solidFill>
                <a:effectLst/>
                <a:latin typeface="Cambria Math" pitchFamily="18" charset="0"/>
                <a:ea typeface="Cambria Math" pitchFamily="18" charset="0"/>
                <a:cs typeface="+mn-cs"/>
              </a:endParaRPr>
            </a:p>
            <a:p>
              <a:pPr eaLnBrk="1" fontAlgn="auto" latinLnBrk="0" hangingPunct="1"/>
              <a:r>
                <a:rPr lang="en-US" sz="1200" b="0" i="0">
                  <a:solidFill>
                    <a:schemeClr val="tx1"/>
                  </a:solidFill>
                  <a:effectLst/>
                  <a:latin typeface="Cambria Math" pitchFamily="18" charset="0"/>
                  <a:ea typeface="Cambria Math" pitchFamily="18" charset="0"/>
                  <a:cs typeface="+mn-cs"/>
                </a:rPr>
                <a:t>Avg. Annual emissions = </a:t>
              </a:r>
              <a:r>
                <a:rPr lang="en-US" sz="1200" b="0" i="0">
                  <a:solidFill>
                    <a:schemeClr val="tx1"/>
                  </a:solidFill>
                  <a:effectLst/>
                  <a:latin typeface="Cambria Math"/>
                  <a:ea typeface="Cambria Math" pitchFamily="18" charset="0"/>
                  <a:cs typeface="+mn-cs"/>
                </a:rPr>
                <a:t> ((</a:t>
              </a:r>
              <a:r>
                <a:rPr lang="en-US" sz="1200" b="0" i="0">
                  <a:solidFill>
                    <a:schemeClr val="tx1"/>
                  </a:solidFill>
                  <a:effectLst/>
                  <a:latin typeface="Cambria Math" pitchFamily="18" charset="0"/>
                  <a:ea typeface="Cambria Math" pitchFamily="18" charset="0"/>
                  <a:cs typeface="+mn-cs"/>
                </a:rPr>
                <a:t>L</a:t>
              </a:r>
              <a:r>
                <a:rPr lang="en-US" sz="1200" b="0" i="0" baseline="-25000">
                  <a:solidFill>
                    <a:schemeClr val="tx1"/>
                  </a:solidFill>
                  <a:effectLst/>
                  <a:latin typeface="Cambria Math" pitchFamily="18" charset="0"/>
                  <a:ea typeface="Cambria Math" pitchFamily="18" charset="0"/>
                  <a:cs typeface="+mn-cs"/>
                </a:rPr>
                <a:t>s</a:t>
              </a:r>
              <a:r>
                <a:rPr lang="en-US" sz="1200" b="0" i="0">
                  <a:solidFill>
                    <a:schemeClr val="tx1"/>
                  </a:solidFill>
                  <a:effectLst/>
                  <a:latin typeface="Cambria Math" pitchFamily="18" charset="0"/>
                  <a:ea typeface="Cambria Math" pitchFamily="18" charset="0"/>
                  <a:cs typeface="+mn-cs"/>
                </a:rPr>
                <a:t>+ Lf</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 Number of roof landings</a:t>
              </a:r>
              <a:r>
                <a:rPr lang="en-US" sz="1200" b="0" i="0">
                  <a:solidFill>
                    <a:schemeClr val="tx1"/>
                  </a:solidFill>
                  <a:effectLst/>
                  <a:latin typeface="Cambria Math"/>
                  <a:ea typeface="Cambria Math" pitchFamily="18" charset="0"/>
                  <a:cs typeface="+mn-cs"/>
                </a:rPr>
                <a:t>)/</a:t>
              </a:r>
              <a:r>
                <a:rPr lang="en-US" sz="1200" b="0" i="0">
                  <a:solidFill>
                    <a:schemeClr val="tx1"/>
                  </a:solidFill>
                  <a:effectLst/>
                  <a:latin typeface="Cambria Math" pitchFamily="18" charset="0"/>
                  <a:ea typeface="Cambria Math" pitchFamily="18" charset="0"/>
                  <a:cs typeface="+mn-cs"/>
                </a:rPr>
                <a:t>2000</a:t>
              </a:r>
              <a:endParaRPr lang="en-US" sz="1200" i="0">
                <a:effectLst/>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25000" noProof="0">
                <a:ln>
                  <a:noFill/>
                </a:ln>
                <a:solidFill>
                  <a:prstClr val="black"/>
                </a:solidFill>
                <a:effectLst/>
                <a:uLnTx/>
                <a:uFillTx/>
                <a:latin typeface="Arial" pitchFamily="34" charset="0"/>
                <a:ea typeface="+mn-ea"/>
                <a:cs typeface="Arial"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400" b="1" i="1" u="sng">
                  <a:solidFill>
                    <a:schemeClr val="tx1"/>
                  </a:solidFill>
                  <a:latin typeface="+mn-lt"/>
                  <a:ea typeface="+mn-ea"/>
                  <a:cs typeface="+mn-cs"/>
                </a:rPr>
                <a:t>Drain Dry EFR</a:t>
              </a:r>
            </a:p>
            <a:p>
              <a:pPr marL="0" marR="0" indent="0" algn="l" defTabSz="914400" eaLnBrk="1" fontAlgn="auto" latinLnBrk="0" hangingPunct="1">
                <a:lnSpc>
                  <a:spcPct val="100000"/>
                </a:lnSpc>
                <a:spcBef>
                  <a:spcPts val="0"/>
                </a:spcBef>
                <a:spcAft>
                  <a:spcPts val="0"/>
                </a:spcAft>
                <a:buClrTx/>
                <a:buSzTx/>
                <a:buFontTx/>
                <a:buNone/>
                <a:tabLst/>
                <a:defRPr/>
              </a:pPr>
              <a:r>
                <a:rPr lang="en-US" sz="1100" i="1" u="sng">
                  <a:solidFill>
                    <a:schemeClr val="tx1"/>
                  </a:solidFill>
                  <a:effectLst/>
                  <a:latin typeface="+mn-lt"/>
                  <a:ea typeface="+mn-ea"/>
                  <a:cs typeface="+mn-cs"/>
                </a:rPr>
                <a:t>Maximum</a:t>
              </a:r>
              <a:r>
                <a:rPr lang="en-US" sz="1100" i="1" u="sng" baseline="0">
                  <a:solidFill>
                    <a:schemeClr val="tx1"/>
                  </a:solidFill>
                  <a:effectLst/>
                  <a:latin typeface="+mn-lt"/>
                  <a:ea typeface="+mn-ea"/>
                  <a:cs typeface="+mn-cs"/>
                </a:rPr>
                <a:t> Hourly Emissions: </a:t>
              </a:r>
              <a:endParaRPr lang="en-US" sz="14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1" i="1" u="sng">
                <a:solidFill>
                  <a:schemeClr val="tx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If (0.0063 ∗ Wl ∗(</a:t>
              </a:r>
              <a: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π</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Arial" pitchFamily="34" charset="0"/>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4)∗ D</a:t>
              </a:r>
              <a: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a:t>2</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&gt;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f(EFR)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then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 (EFR)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Otherwise,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 (0.0063 ∗ Wl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 ∗(</a:t>
              </a:r>
              <a:r>
                <a:rPr kumimoji="0" lang="el-GR"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π</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Arial" pitchFamily="34" charset="0"/>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4)∗ D</a:t>
              </a:r>
              <a:r>
                <a:rPr kumimoji="0" lang="en-US" sz="1200" b="0" i="0" u="none" strike="noStrike" kern="0" cap="none" spc="0" normalizeH="0" baseline="30000" noProof="0">
                  <a:ln>
                    <a:noFill/>
                  </a:ln>
                  <a:solidFill>
                    <a:prstClr val="black"/>
                  </a:solidFill>
                  <a:effectLst/>
                  <a:uLnTx/>
                  <a:uFillTx/>
                  <a:latin typeface="Cambria Math" pitchFamily="18" charset="0"/>
                  <a:ea typeface="Cambria Math" pitchFamily="18" charset="0"/>
                  <a:cs typeface="Arial" pitchFamily="34" charset="0"/>
                </a:rPr>
                <a:t>2</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 </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P∗Vv</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R∗T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∗MV∗S </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Max. Total Losses =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s</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Arial" pitchFamily="34" charset="0"/>
                </a:rPr>
                <a:t>f</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Max Hourly emissions =L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f</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V</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v</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∗7.48</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Tank filling Rate</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u="sng" baseline="0">
                  <a:solidFill>
                    <a:schemeClr val="tx1"/>
                  </a:solidFill>
                  <a:effectLst/>
                  <a:latin typeface="+mn-lt"/>
                  <a:ea typeface="+mn-ea"/>
                  <a:cs typeface="+mn-cs"/>
                </a:rPr>
                <a:t>Average Annual Emissions: </a:t>
              </a: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rPr>
                <a:t>Average total losses  based on  average  temperature and pressure parameters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Avg. Annual emissions = </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 ((</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L</a:t>
              </a:r>
              <a:r>
                <a:rPr kumimoji="0" lang="en-US" sz="1200" b="0" i="0" u="none" strike="noStrike" kern="0" cap="none" spc="0" normalizeH="0" baseline="-25000" noProof="0">
                  <a:ln>
                    <a:noFill/>
                  </a:ln>
                  <a:solidFill>
                    <a:prstClr val="black"/>
                  </a:solidFill>
                  <a:effectLst/>
                  <a:uLnTx/>
                  <a:uFillTx/>
                  <a:latin typeface="Cambria Math" pitchFamily="18" charset="0"/>
                  <a:ea typeface="Cambria Math" pitchFamily="18" charset="0"/>
                  <a:cs typeface="+mn-cs"/>
                </a:rPr>
                <a:t>s</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Lf</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 Number of roof landings</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a:t>
              </a:r>
              <a:r>
                <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mn-cs"/>
                </a:rPr>
                <a:t>2000</a:t>
              </a:r>
              <a:endParaRPr kumimoji="0" lang="en-US" sz="1200" b="0" i="0" u="none" strike="noStrike" kern="0" cap="none" spc="0" normalizeH="0" baseline="0" noProof="0">
                <a:ln>
                  <a:noFill/>
                </a:ln>
                <a:solidFill>
                  <a:prstClr val="black"/>
                </a:solidFill>
                <a:effectLst/>
                <a:uLnTx/>
                <a:uFillTx/>
                <a:latin typeface="Cambria Math" pitchFamily="18" charset="0"/>
                <a:ea typeface="Cambria Math" pitchFamily="18"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000" baseline="0">
                <a:latin typeface="Arial" pitchFamily="34" charset="0"/>
                <a:cs typeface="Arial" pitchFamily="34" charset="0"/>
              </a:endParaRPr>
            </a:p>
            <a:p>
              <a:pPr marL="0" marR="0" algn="ctr">
                <a:spcBef>
                  <a:spcPts val="0"/>
                </a:spcBef>
                <a:spcAft>
                  <a:spcPts val="600"/>
                </a:spcAft>
              </a:pPr>
              <a:endParaRPr lang="en-US" sz="1400" b="1" i="1" u="sng">
                <a:solidFill>
                  <a:schemeClr val="tx1"/>
                </a:solidFill>
                <a:latin typeface="+mn-lt"/>
                <a:ea typeface="+mn-ea"/>
                <a:cs typeface="+mn-cs"/>
              </a:endParaRPr>
            </a:p>
            <a:p>
              <a:pPr marL="0" marR="0" algn="ctr">
                <a:spcBef>
                  <a:spcPts val="0"/>
                </a:spcBef>
                <a:spcAft>
                  <a:spcPts val="600"/>
                </a:spcAft>
              </a:pPr>
              <a:r>
                <a:rPr lang="en-US" sz="1400" b="1" i="1" u="sng">
                  <a:solidFill>
                    <a:schemeClr val="tx1"/>
                  </a:solidFill>
                  <a:latin typeface="+mn-lt"/>
                  <a:ea typeface="+mn-ea"/>
                  <a:cs typeface="+mn-cs"/>
                </a:rPr>
                <a:t>Nomenclature</a:t>
              </a:r>
            </a:p>
            <a:p>
              <a:pPr marL="0" marR="0">
                <a:spcBef>
                  <a:spcPts val="0"/>
                </a:spcBef>
                <a:spcAft>
                  <a:spcPts val="600"/>
                </a:spcAft>
              </a:pPr>
              <a:endParaRPr lang="en-US" sz="1000">
                <a:effectLst/>
                <a:latin typeface="Georgia"/>
                <a:ea typeface="Calibri"/>
                <a:cs typeface="Times New Roman"/>
              </a:endParaRPr>
            </a:p>
            <a:p>
              <a:pPr marL="0" marR="0">
                <a:spcBef>
                  <a:spcPts val="0"/>
                </a:spcBef>
                <a:spcAft>
                  <a:spcPts val="600"/>
                </a:spcAft>
              </a:pPr>
              <a:r>
                <a:rPr lang="en-US" sz="1000">
                  <a:effectLst/>
                  <a:latin typeface="Georgia"/>
                  <a:ea typeface="Calibri"/>
                  <a:cs typeface="Times New Roman"/>
                </a:rPr>
                <a:t>B is a constant from the two-constant form of Antoine’s equation (Rankine)</a:t>
              </a:r>
            </a:p>
            <a:p>
              <a:pPr marL="0" marR="0">
                <a:spcBef>
                  <a:spcPts val="0"/>
                </a:spcBef>
                <a:spcAft>
                  <a:spcPts val="600"/>
                </a:spcAft>
              </a:pPr>
              <a:r>
                <a:rPr lang="en-US" sz="1000">
                  <a:effectLst/>
                  <a:latin typeface="Georgia"/>
                  <a:ea typeface="Calibri"/>
                  <a:cs typeface="Times New Roman"/>
                </a:rPr>
                <a:t>D is the tank diameter (ft)</a:t>
              </a:r>
            </a:p>
            <a:p>
              <a:pPr marL="0" marR="0">
                <a:spcBef>
                  <a:spcPts val="0"/>
                </a:spcBef>
                <a:spcAft>
                  <a:spcPts val="600"/>
                </a:spcAft>
              </a:pPr>
              <a:r>
                <a:rPr lang="en-US" sz="1000">
                  <a:effectLst/>
                  <a:latin typeface="Georgia"/>
                  <a:ea typeface="Calibri"/>
                  <a:cs typeface="Times New Roman"/>
                </a:rPr>
                <a:t>h</a:t>
              </a:r>
              <a:r>
                <a:rPr lang="en-US" sz="1000" i="1" baseline="-25000">
                  <a:effectLst/>
                  <a:latin typeface="Georgia"/>
                  <a:ea typeface="Calibri"/>
                  <a:cs typeface="Times New Roman"/>
                </a:rPr>
                <a:t>v </a:t>
              </a:r>
              <a:r>
                <a:rPr lang="en-US" sz="1000">
                  <a:effectLst/>
                  <a:latin typeface="Georgia"/>
                  <a:ea typeface="Calibri"/>
                  <a:cs typeface="Times New Roman"/>
                </a:rPr>
                <a:t>is the height of the vapor space enclosed by the tank roof (ft)</a:t>
              </a:r>
            </a:p>
            <a:p>
              <a:pPr marL="0" marR="0" indent="0" defTabSz="914400" eaLnBrk="1" fontAlgn="auto" latinLnBrk="0" hangingPunct="1">
                <a:lnSpc>
                  <a:spcPct val="100000"/>
                </a:lnSpc>
                <a:spcBef>
                  <a:spcPts val="0"/>
                </a:spcBef>
                <a:spcAft>
                  <a:spcPts val="600"/>
                </a:spcAft>
                <a:buClrTx/>
                <a:buSzTx/>
                <a:buFontTx/>
                <a:buNone/>
                <a:tabLst/>
                <a:defRPr/>
              </a:pPr>
              <a:r>
                <a:rPr lang="en-US" sz="1100">
                  <a:solidFill>
                    <a:schemeClr val="tx1"/>
                  </a:solidFill>
                  <a:effectLst/>
                  <a:latin typeface="+mn-lt"/>
                  <a:ea typeface="+mn-ea"/>
                  <a:cs typeface="+mn-cs"/>
                </a:rPr>
                <a:t>h</a:t>
              </a:r>
              <a:r>
                <a:rPr lang="en-US" sz="1100" i="1" baseline="-25000">
                  <a:solidFill>
                    <a:schemeClr val="tx1"/>
                  </a:solidFill>
                  <a:effectLst/>
                  <a:latin typeface="+mn-lt"/>
                  <a:ea typeface="+mn-ea"/>
                  <a:cs typeface="+mn-cs"/>
                </a:rPr>
                <a:t>l </a:t>
              </a:r>
              <a:r>
                <a:rPr lang="en-US" sz="1100">
                  <a:solidFill>
                    <a:schemeClr val="tx1"/>
                  </a:solidFill>
                  <a:effectLst/>
                  <a:latin typeface="+mn-lt"/>
                  <a:ea typeface="+mn-ea"/>
                  <a:cs typeface="+mn-cs"/>
                </a:rPr>
                <a:t>is the height of the liquid heel (ft)</a:t>
              </a:r>
              <a:endParaRPr lang="en-US" sz="1000">
                <a:effectLst/>
                <a:latin typeface="Georgia"/>
                <a:ea typeface="Calibri"/>
                <a:cs typeface="Times New Roman"/>
              </a:endParaRPr>
            </a:p>
            <a:p>
              <a:pPr marL="0" marR="0">
                <a:spcBef>
                  <a:spcPts val="0"/>
                </a:spcBef>
                <a:spcAft>
                  <a:spcPts val="600"/>
                </a:spcAft>
              </a:pPr>
              <a:r>
                <a:rPr lang="en-US" sz="1000">
                  <a:effectLst/>
                  <a:latin typeface="Georgia"/>
                  <a:ea typeface="Calibri"/>
                  <a:cs typeface="Times New Roman"/>
                </a:rPr>
                <a:t>K</a:t>
              </a:r>
              <a:r>
                <a:rPr lang="en-US" sz="1000" baseline="-25000">
                  <a:effectLst/>
                  <a:latin typeface="Georgia"/>
                  <a:ea typeface="Calibri"/>
                  <a:cs typeface="Times New Roman"/>
                </a:rPr>
                <a:t>E </a:t>
              </a:r>
              <a:r>
                <a:rPr lang="en-US" sz="1000">
                  <a:effectLst/>
                  <a:latin typeface="Georgia"/>
                  <a:ea typeface="Calibri"/>
                  <a:cs typeface="Times New Roman"/>
                </a:rPr>
                <a:t>is the vapor space expansion factor (dimensionless)</a:t>
              </a:r>
            </a:p>
            <a:p>
              <a:pPr marL="0" marR="0">
                <a:spcBef>
                  <a:spcPts val="0"/>
                </a:spcBef>
                <a:spcAft>
                  <a:spcPts val="600"/>
                </a:spcAft>
              </a:pPr>
              <a:r>
                <a:rPr lang="en-US" sz="1000">
                  <a:effectLst/>
                  <a:latin typeface="Georgia"/>
                  <a:ea typeface="Calibri"/>
                  <a:cs typeface="Times New Roman"/>
                </a:rPr>
                <a:t>K</a:t>
              </a:r>
              <a:r>
                <a:rPr lang="en-US" sz="1000" baseline="-25000">
                  <a:effectLst/>
                  <a:latin typeface="Georgia"/>
                  <a:ea typeface="Calibri"/>
                  <a:cs typeface="Times New Roman"/>
                </a:rPr>
                <a:t>S</a:t>
              </a:r>
              <a:r>
                <a:rPr lang="en-US" sz="1000">
                  <a:effectLst/>
                  <a:latin typeface="Georgia"/>
                  <a:ea typeface="Calibri"/>
                  <a:cs typeface="Times New Roman"/>
                </a:rPr>
                <a:t> is the standing idle saturation factor (dimensionless)</a:t>
              </a:r>
            </a:p>
            <a:p>
              <a:pPr marL="0" marR="0">
                <a:spcBef>
                  <a:spcPts val="0"/>
                </a:spcBef>
                <a:spcAft>
                  <a:spcPts val="600"/>
                </a:spcAft>
              </a:pPr>
              <a:r>
                <a:rPr lang="en-US" sz="1000">
                  <a:effectLst/>
                  <a:latin typeface="Georgia"/>
                  <a:ea typeface="Calibri"/>
                  <a:cs typeface="Times New Roman"/>
                </a:rPr>
                <a:t>L</a:t>
              </a:r>
              <a:r>
                <a:rPr lang="en-US" sz="1000" baseline="-25000">
                  <a:effectLst/>
                  <a:latin typeface="Georgia"/>
                  <a:ea typeface="Calibri"/>
                  <a:cs typeface="Times New Roman"/>
                </a:rPr>
                <a:t>f</a:t>
              </a:r>
              <a:r>
                <a:rPr lang="en-US" sz="1000">
                  <a:effectLst/>
                  <a:latin typeface="Georgia"/>
                  <a:ea typeface="Calibri"/>
                  <a:cs typeface="Times New Roman"/>
                </a:rPr>
                <a:t> is the filling loss per cleaning (lb)</a:t>
              </a:r>
            </a:p>
            <a:p>
              <a:pPr marL="0" marR="0">
                <a:spcBef>
                  <a:spcPts val="0"/>
                </a:spcBef>
                <a:spcAft>
                  <a:spcPts val="600"/>
                </a:spcAft>
              </a:pPr>
              <a:r>
                <a:rPr lang="en-US" sz="1000">
                  <a:effectLst/>
                  <a:latin typeface="Georgia"/>
                  <a:ea typeface="Calibri"/>
                  <a:cs typeface="Times New Roman"/>
                </a:rPr>
                <a:t>L</a:t>
              </a:r>
              <a:r>
                <a:rPr lang="en-US" sz="1000" baseline="-25000">
                  <a:effectLst/>
                  <a:latin typeface="Georgia"/>
                  <a:ea typeface="Calibri"/>
                  <a:cs typeface="Times New Roman"/>
                </a:rPr>
                <a:t>S</a:t>
              </a:r>
              <a:r>
                <a:rPr lang="en-US" sz="1000">
                  <a:effectLst/>
                  <a:latin typeface="Georgia"/>
                  <a:ea typeface="Calibri"/>
                  <a:cs typeface="Times New Roman"/>
                </a:rPr>
                <a:t> is the standing idle loss per cleaning (lb)</a:t>
              </a:r>
            </a:p>
            <a:p>
              <a:pPr marL="0" marR="0">
                <a:spcBef>
                  <a:spcPts val="0"/>
                </a:spcBef>
                <a:spcAft>
                  <a:spcPts val="600"/>
                </a:spcAft>
              </a:pPr>
              <a:r>
                <a:rPr lang="en-US" sz="1000">
                  <a:effectLst/>
                  <a:latin typeface="Georgia"/>
                  <a:ea typeface="Calibri"/>
                  <a:cs typeface="Times New Roman"/>
                </a:rPr>
                <a:t>M</a:t>
              </a:r>
              <a:r>
                <a:rPr lang="en-US" sz="1000" baseline="-25000">
                  <a:effectLst/>
                  <a:latin typeface="Georgia"/>
                  <a:ea typeface="Calibri"/>
                  <a:cs typeface="Times New Roman"/>
                </a:rPr>
                <a:t>V</a:t>
              </a:r>
              <a:r>
                <a:rPr lang="en-US" sz="1000">
                  <a:effectLst/>
                  <a:latin typeface="Georgia"/>
                  <a:ea typeface="Calibri"/>
                  <a:cs typeface="Times New Roman"/>
                </a:rPr>
                <a:t> is the stock vapor molecular weight (lb/lb-mole)</a:t>
              </a:r>
            </a:p>
            <a:p>
              <a:pPr marL="0" marR="0">
                <a:spcBef>
                  <a:spcPts val="0"/>
                </a:spcBef>
                <a:spcAft>
                  <a:spcPts val="600"/>
                </a:spcAft>
              </a:pPr>
              <a:r>
                <a:rPr lang="en-US" sz="1000">
                  <a:effectLst/>
                  <a:latin typeface="Georgia"/>
                  <a:ea typeface="Calibri"/>
                  <a:cs typeface="Times New Roman"/>
                </a:rPr>
                <a:t>n</a:t>
              </a:r>
              <a:r>
                <a:rPr lang="en-US" sz="1000" baseline="-25000">
                  <a:effectLst/>
                  <a:latin typeface="Georgia"/>
                  <a:ea typeface="Calibri"/>
                  <a:cs typeface="Times New Roman"/>
                </a:rPr>
                <a:t>d</a:t>
              </a:r>
              <a:r>
                <a:rPr lang="en-US" sz="1000">
                  <a:effectLst/>
                  <a:latin typeface="Georgia"/>
                  <a:ea typeface="Calibri"/>
                  <a:cs typeface="Times New Roman"/>
                </a:rPr>
                <a:t> is the time the tank stands idle (days)</a:t>
              </a:r>
            </a:p>
            <a:p>
              <a:pPr marL="0" marR="0">
                <a:spcBef>
                  <a:spcPts val="0"/>
                </a:spcBef>
                <a:spcAft>
                  <a:spcPts val="600"/>
                </a:spcAft>
              </a:pPr>
              <a:r>
                <a:rPr lang="en-US" sz="1000">
                  <a:effectLst/>
                  <a:latin typeface="Georgia"/>
                  <a:ea typeface="Calibri"/>
                  <a:cs typeface="Times New Roman"/>
                </a:rPr>
                <a:t>P is the true vapor pressure of the exposed volatile material in the tank (psia)</a:t>
              </a:r>
            </a:p>
            <a:p>
              <a:pPr marL="0" marR="0">
                <a:spcBef>
                  <a:spcPts val="0"/>
                </a:spcBef>
                <a:spcAft>
                  <a:spcPts val="600"/>
                </a:spcAft>
              </a:pPr>
              <a:r>
                <a:rPr lang="en-US" sz="1000">
                  <a:effectLst/>
                  <a:latin typeface="Georgia"/>
                  <a:ea typeface="Calibri"/>
                  <a:cs typeface="Times New Roman"/>
                </a:rPr>
                <a:t>P</a:t>
              </a:r>
              <a:r>
                <a:rPr lang="en-US" sz="1000" baseline="-25000">
                  <a:effectLst/>
                  <a:latin typeface="Georgia"/>
                  <a:ea typeface="Calibri"/>
                  <a:cs typeface="Times New Roman"/>
                </a:rPr>
                <a:t>a</a:t>
              </a:r>
              <a:r>
                <a:rPr lang="en-US" sz="1000">
                  <a:effectLst/>
                  <a:latin typeface="Georgia"/>
                  <a:ea typeface="Calibri"/>
                  <a:cs typeface="Times New Roman"/>
                </a:rPr>
                <a:t> is the atmospheric pressure at the tank location (psia)</a:t>
              </a:r>
            </a:p>
            <a:p>
              <a:pPr marL="0" marR="0">
                <a:spcBef>
                  <a:spcPts val="0"/>
                </a:spcBef>
                <a:spcAft>
                  <a:spcPts val="600"/>
                </a:spcAft>
              </a:pPr>
              <a:r>
                <a:rPr lang="en-US" sz="1000">
                  <a:effectLst/>
                  <a:latin typeface="Georgia"/>
                  <a:ea typeface="Calibri"/>
                  <a:cs typeface="Times New Roman"/>
                </a:rPr>
                <a:t>P* is the vapor pressure function (dimensionless)</a:t>
              </a:r>
            </a:p>
            <a:p>
              <a:pPr marL="0" marR="0">
                <a:spcBef>
                  <a:spcPts val="0"/>
                </a:spcBef>
                <a:spcAft>
                  <a:spcPts val="600"/>
                </a:spcAft>
              </a:pPr>
              <a:r>
                <a:rPr lang="en-US" sz="1000">
                  <a:effectLst/>
                  <a:latin typeface="Georgia"/>
                  <a:ea typeface="Calibri"/>
                  <a:cs typeface="Times New Roman"/>
                </a:rPr>
                <a:t>R is the ideal gas constant (psia ft</a:t>
              </a:r>
              <a:r>
                <a:rPr lang="en-US" sz="1000" baseline="30000">
                  <a:effectLst/>
                  <a:latin typeface="Georgia"/>
                  <a:ea typeface="Calibri"/>
                  <a:cs typeface="Times New Roman"/>
                </a:rPr>
                <a:t>3</a:t>
              </a:r>
              <a:r>
                <a:rPr lang="en-US" sz="1000">
                  <a:effectLst/>
                  <a:latin typeface="Georgia"/>
                  <a:ea typeface="Calibri"/>
                  <a:cs typeface="Times New Roman"/>
                </a:rPr>
                <a:t>/lb-mole </a:t>
              </a:r>
              <a:r>
                <a:rPr lang="en-US" sz="1000" baseline="30000">
                  <a:effectLst/>
                  <a:latin typeface="Georgia"/>
                  <a:ea typeface="Calibri"/>
                  <a:cs typeface="Times New Roman"/>
                </a:rPr>
                <a:t>o</a:t>
              </a:r>
              <a:r>
                <a:rPr lang="en-US" sz="1000">
                  <a:effectLst/>
                  <a:latin typeface="Georgia"/>
                  <a:ea typeface="Calibri"/>
                  <a:cs typeface="Times New Roman"/>
                </a:rPr>
                <a:t>R)</a:t>
              </a:r>
            </a:p>
            <a:p>
              <a:pPr marL="0" marR="0">
                <a:spcBef>
                  <a:spcPts val="0"/>
                </a:spcBef>
                <a:spcAft>
                  <a:spcPts val="600"/>
                </a:spcAft>
              </a:pPr>
              <a:r>
                <a:rPr lang="en-US" sz="1000">
                  <a:effectLst/>
                  <a:latin typeface="Georgia"/>
                  <a:ea typeface="Calibri"/>
                  <a:cs typeface="Times New Roman"/>
                </a:rPr>
                <a:t>S is the filling saturation factor (dimensionless)</a:t>
              </a:r>
            </a:p>
            <a:p>
              <a:pPr marL="0" marR="0">
                <a:spcBef>
                  <a:spcPts val="0"/>
                </a:spcBef>
                <a:spcAft>
                  <a:spcPts val="600"/>
                </a:spcAft>
              </a:pPr>
              <a:r>
                <a:rPr lang="en-US" sz="1000">
                  <a:effectLst/>
                  <a:latin typeface="Georgia"/>
                  <a:ea typeface="Calibri"/>
                  <a:cs typeface="Times New Roman"/>
                </a:rPr>
                <a:t>ΔT</a:t>
              </a:r>
              <a:r>
                <a:rPr lang="en-US" sz="1000" baseline="-25000">
                  <a:effectLst/>
                  <a:latin typeface="Georgia"/>
                  <a:ea typeface="Calibri"/>
                  <a:cs typeface="Times New Roman"/>
                </a:rPr>
                <a:t>V </a:t>
              </a:r>
              <a:r>
                <a:rPr lang="en-US" sz="1000">
                  <a:effectLst/>
                  <a:latin typeface="Georgia"/>
                  <a:ea typeface="Calibri"/>
                  <a:cs typeface="Times New Roman"/>
                </a:rPr>
                <a:t>is the daily vapor temperature range (Rankine)</a:t>
              </a:r>
            </a:p>
            <a:p>
              <a:pPr marL="0" marR="0">
                <a:spcBef>
                  <a:spcPts val="0"/>
                </a:spcBef>
                <a:spcAft>
                  <a:spcPts val="600"/>
                </a:spcAft>
              </a:pPr>
              <a:r>
                <a:rPr lang="en-US" sz="1000">
                  <a:effectLst/>
                  <a:latin typeface="Georgia"/>
                  <a:ea typeface="Calibri"/>
                  <a:cs typeface="Times New Roman"/>
                </a:rPr>
                <a:t>T is the average temperature of the vapor space (Rankine)</a:t>
              </a:r>
            </a:p>
            <a:p>
              <a:pPr marL="0" marR="0">
                <a:spcBef>
                  <a:spcPts val="0"/>
                </a:spcBef>
                <a:spcAft>
                  <a:spcPts val="600"/>
                </a:spcAft>
              </a:pPr>
              <a:r>
                <a:rPr lang="en-US" sz="1000">
                  <a:effectLst/>
                  <a:latin typeface="Georgia"/>
                  <a:ea typeface="Calibri"/>
                  <a:cs typeface="Times New Roman"/>
                </a:rPr>
                <a:t>V</a:t>
              </a:r>
              <a:r>
                <a:rPr lang="en-US" sz="1000" baseline="-25000">
                  <a:effectLst/>
                  <a:latin typeface="Georgia"/>
                  <a:ea typeface="Calibri"/>
                  <a:cs typeface="Times New Roman"/>
                </a:rPr>
                <a:t>V</a:t>
              </a:r>
              <a:r>
                <a:rPr lang="en-US" sz="1000">
                  <a:effectLst/>
                  <a:latin typeface="Georgia"/>
                  <a:ea typeface="Calibri"/>
                  <a:cs typeface="Times New Roman"/>
                </a:rPr>
                <a:t> is the volume of the vapor space (ft</a:t>
              </a:r>
              <a:r>
                <a:rPr lang="en-US" sz="1000" baseline="30000">
                  <a:effectLst/>
                  <a:latin typeface="Georgia"/>
                  <a:ea typeface="Calibri"/>
                  <a:cs typeface="Times New Roman"/>
                </a:rPr>
                <a:t>3</a:t>
              </a:r>
              <a:r>
                <a:rPr lang="en-US" sz="1000">
                  <a:effectLst/>
                  <a:latin typeface="Georgia"/>
                  <a:ea typeface="Calibri"/>
                  <a:cs typeface="Times New Roman"/>
                </a:rPr>
                <a:t>)</a:t>
              </a:r>
            </a:p>
            <a:p>
              <a:pPr marL="0" marR="0">
                <a:spcBef>
                  <a:spcPts val="0"/>
                </a:spcBef>
                <a:spcAft>
                  <a:spcPts val="600"/>
                </a:spcAft>
              </a:pPr>
              <a:r>
                <a:rPr lang="en-US" sz="1000">
                  <a:effectLst/>
                  <a:latin typeface="Georgia"/>
                  <a:ea typeface="Calibri"/>
                  <a:cs typeface="Times New Roman"/>
                </a:rPr>
                <a:t>W</a:t>
              </a:r>
              <a:r>
                <a:rPr lang="en-US" sz="1000" baseline="-25000">
                  <a:effectLst/>
                  <a:latin typeface="Georgia"/>
                  <a:ea typeface="Calibri"/>
                  <a:cs typeface="Times New Roman"/>
                </a:rPr>
                <a:t>l </a:t>
              </a:r>
              <a:r>
                <a:rPr lang="en-US" sz="1000">
                  <a:effectLst/>
                  <a:latin typeface="Georgia"/>
                  <a:ea typeface="Calibri"/>
                  <a:cs typeface="Times New Roman"/>
                </a:rPr>
                <a:t>is the stock liquid density (lb/gal)</a:t>
              </a:r>
            </a:p>
            <a:p>
              <a:pPr marL="0" marR="0">
                <a:spcBef>
                  <a:spcPts val="0"/>
                </a:spcBef>
                <a:spcAft>
                  <a:spcPts val="600"/>
                </a:spcAft>
              </a:pPr>
              <a:r>
                <a:rPr lang="en-US" sz="1000">
                  <a:effectLst/>
                  <a:latin typeface="Georgia"/>
                  <a:ea typeface="Calibri"/>
                  <a:cs typeface="Times New Roman"/>
                </a:rPr>
                <a:t>C</a:t>
              </a:r>
              <a:r>
                <a:rPr lang="en-US" sz="1000" baseline="-25000">
                  <a:effectLst/>
                  <a:latin typeface="Georgia"/>
                  <a:ea typeface="Calibri"/>
                  <a:cs typeface="Times New Roman"/>
                </a:rPr>
                <a:t>sf </a:t>
              </a:r>
              <a:r>
                <a:rPr lang="en-US" sz="1000">
                  <a:effectLst/>
                  <a:latin typeface="Georgia"/>
                  <a:ea typeface="Calibri"/>
                  <a:cs typeface="Times New Roman"/>
                </a:rPr>
                <a:t>- Correction factor to saturation factor</a:t>
              </a:r>
            </a:p>
            <a:p>
              <a:pPr marL="0" marR="0" indent="0" algn="l" defTabSz="914400" eaLnBrk="1" fontAlgn="auto" latinLnBrk="0" hangingPunct="1">
                <a:lnSpc>
                  <a:spcPct val="100000"/>
                </a:lnSpc>
                <a:spcBef>
                  <a:spcPts val="0"/>
                </a:spcBef>
                <a:spcAft>
                  <a:spcPts val="0"/>
                </a:spcAft>
                <a:buClrTx/>
                <a:buSzTx/>
                <a:buFontTx/>
                <a:buNone/>
                <a:tabLst/>
                <a:defRPr/>
              </a:pPr>
              <a:endParaRPr lang="en-US" sz="1000" baseline="0">
                <a:latin typeface="Arial" pitchFamily="34" charset="0"/>
                <a:cs typeface="Arial" pitchFamily="34" charset="0"/>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127</xdr:row>
      <xdr:rowOff>161924</xdr:rowOff>
    </xdr:from>
    <xdr:ext cx="10058400" cy="4410075"/>
    <xdr:sp macro="" textlink="">
      <xdr:nvSpPr>
        <xdr:cNvPr id="2" name="TextBox 1">
          <a:extLst>
            <a:ext uri="{FF2B5EF4-FFF2-40B4-BE49-F238E27FC236}">
              <a16:creationId xmlns:a16="http://schemas.microsoft.com/office/drawing/2014/main" id="{00000000-0008-0000-5C00-000002000000}"/>
            </a:ext>
          </a:extLst>
        </xdr:cNvPr>
        <xdr:cNvSpPr txBox="1"/>
      </xdr:nvSpPr>
      <xdr:spPr>
        <a:xfrm>
          <a:off x="0" y="20507324"/>
          <a:ext cx="10058400" cy="4410075"/>
        </a:xfrm>
        <a:prstGeom prst="rect">
          <a:avLst/>
        </a:prstGeom>
        <a:solidFill>
          <a:schemeClr val="bg1">
            <a:lumMod val="85000"/>
          </a:schemeClr>
        </a:solid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Calibri"/>
              <a:ea typeface="+mn-ea"/>
              <a:cs typeface="+mn-cs"/>
            </a:rPr>
            <a:t>Calculations / Equations used</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ysClr val="windowText" lastClr="000000"/>
              </a:solidFill>
              <a:effectLst/>
              <a:uLnTx/>
              <a:uFillTx/>
              <a:latin typeface="+mn-lt"/>
              <a:ea typeface="+mn-ea"/>
              <a:cs typeface="+mn-cs"/>
            </a:rPr>
            <a:t> </a:t>
          </a:r>
          <a:r>
            <a:rPr kumimoji="0" lang="en-US" sz="1200" b="0" i="0" u="none" strike="noStrike" kern="0" cap="none" spc="0" normalizeH="0" baseline="0" noProof="0">
              <a:ln>
                <a:noFill/>
              </a:ln>
              <a:solidFill>
                <a:sysClr val="windowText" lastClr="000000"/>
              </a:solidFill>
              <a:effectLst/>
              <a:uLnTx/>
              <a:uFillTx/>
              <a:latin typeface="+mn-lt"/>
              <a:ea typeface="+mn-ea"/>
              <a:cs typeface="+mn-cs"/>
            </a:rPr>
            <a:t>The calculation is based on Ideal gas law: P(V) = n(R)(T)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Temperature Expansion (%) = </a:t>
          </a:r>
          <a:r>
            <a:rPr lang="en-US" sz="1200" b="0" i="0" baseline="0" noProof="0">
              <a:effectLst/>
              <a:latin typeface="+mn-lt"/>
              <a:ea typeface="+mn-ea"/>
              <a:cs typeface="+mn-cs"/>
            </a:rPr>
            <a:t>"(</a:t>
          </a:r>
          <a:r>
            <a:rPr lang="en-US" sz="1200" b="0" i="0" baseline="0">
              <a:effectLst/>
              <a:latin typeface="+mn-lt"/>
              <a:ea typeface="+mn-ea"/>
              <a:cs typeface="+mn-cs"/>
            </a:rPr>
            <a:t>Day time temperature (deg Farenheit) − Night time temperature (deg Farenheit)</a:t>
          </a:r>
          <a:r>
            <a:rPr lang="en-US" sz="1200" b="0" i="0" baseline="0">
              <a:effectLst/>
              <a:latin typeface="Cambria Math"/>
              <a:ea typeface="+mn-ea"/>
              <a:cs typeface="+mn-cs"/>
            </a:rPr>
            <a:t>" </a:t>
          </a:r>
          <a:r>
            <a:rPr lang="en-US" sz="1200" b="0" i="0" baseline="0" noProof="0">
              <a:effectLst/>
              <a:latin typeface="Cambria Math"/>
              <a:ea typeface="+mn-ea"/>
              <a:cs typeface="+mn-cs"/>
            </a:rPr>
            <a:t>/((</a:t>
          </a:r>
          <a:r>
            <a:rPr lang="en-US" sz="1200" b="0" i="0" baseline="0" noProof="0">
              <a:effectLst/>
              <a:latin typeface="+mn-lt"/>
              <a:ea typeface="+mn-ea"/>
              <a:cs typeface="+mn-cs"/>
            </a:rPr>
            <a:t>"</a:t>
          </a:r>
          <a:r>
            <a:rPr lang="en-US" sz="1200" b="0" i="0" baseline="0">
              <a:effectLst/>
              <a:latin typeface="+mn-lt"/>
              <a:ea typeface="+mn-ea"/>
              <a:cs typeface="+mn-cs"/>
            </a:rPr>
            <a:t>Day time temperature (deg Farenheit)</a:t>
          </a:r>
          <a:r>
            <a:rPr lang="en-US" sz="1200" b="0" i="0" baseline="0">
              <a:effectLst/>
              <a:latin typeface="Cambria Math"/>
              <a:ea typeface="+mn-ea"/>
              <a:cs typeface="+mn-cs"/>
            </a:rPr>
            <a:t>" +460)</a:t>
          </a:r>
          <a:r>
            <a:rPr lang="en-US" sz="1200" b="0" i="0" baseline="0" noProof="0">
              <a:effectLst/>
              <a:latin typeface="Cambria Math"/>
              <a:ea typeface="+mn-ea"/>
              <a:cs typeface="+mn-cs"/>
            </a:rPr>
            <a:t>)</a:t>
          </a:r>
          <a:r>
            <a:rPr lang="en-US" sz="1100" b="0" i="0" baseline="0" noProof="0">
              <a:effectLst/>
              <a:latin typeface="+mn-lt"/>
              <a:ea typeface="+mn-ea"/>
              <a:cs typeface="+mn-cs"/>
            </a:rPr>
            <a:t> </a:t>
          </a:r>
          <a:r>
            <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rPr>
            <a:t>* 100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Cambria Math"/>
            <a:ea typeface="Cambria Math"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Cambria Math"/>
              <a:ea typeface="+mn-ea"/>
              <a:cs typeface="+mn-cs"/>
            </a:rPr>
            <a:t>Max. Emissions (lb/event)= ((P∗Vv)/(R∗T))∗MV</a:t>
          </a:r>
          <a:endParaRPr kumimoji="0" lang="en-US" sz="1100" b="0" i="1" u="sng" strike="noStrike" kern="0" cap="none" spc="0" normalizeH="0" baseline="-2500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sng"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sng" strike="noStrike" kern="0" cap="none" spc="0" normalizeH="0" baseline="0" noProof="0">
              <a:ln>
                <a:noFill/>
              </a:ln>
              <a:solidFill>
                <a:sysClr val="windowText" lastClr="000000"/>
              </a:solidFill>
              <a:effectLst/>
              <a:uLnTx/>
              <a:uFillTx/>
              <a:latin typeface="Calibri"/>
              <a:ea typeface="+mn-ea"/>
              <a:cs typeface="+mn-cs"/>
            </a:rPr>
            <a:t>Maximum Hourly Emissions: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Max. Hourly Emissions (lb/hr)  =  </a:t>
          </a:r>
          <a:r>
            <a:rPr lang="en-US" sz="1200" b="0" i="0" baseline="0">
              <a:effectLst/>
              <a:latin typeface="Cambria Math"/>
              <a:ea typeface="+mn-ea"/>
              <a:cs typeface="+mn-cs"/>
            </a:rPr>
            <a:t>(</a:t>
          </a:r>
          <a:r>
            <a:rPr lang="en-US" sz="1200" b="0" i="0" baseline="0">
              <a:effectLst/>
              <a:latin typeface="+mn-lt"/>
              <a:ea typeface="+mn-ea"/>
              <a:cs typeface="+mn-cs"/>
            </a:rPr>
            <a:t>"Temperature Expansion (%) ∗ Max Emissions (lb/event) </a:t>
          </a:r>
          <a:r>
            <a:rPr lang="en-US" sz="1200" b="0" i="0" baseline="0">
              <a:effectLst/>
              <a:latin typeface="Cambria Math"/>
              <a:ea typeface="+mn-ea"/>
              <a:cs typeface="+mn-cs"/>
            </a:rPr>
            <a:t>"  )/</a:t>
          </a:r>
          <a:r>
            <a:rPr lang="en-US" sz="1200" b="0" i="0" baseline="0">
              <a:effectLst/>
              <a:latin typeface="+mn-lt"/>
              <a:ea typeface="+mn-ea"/>
              <a:cs typeface="+mn-cs"/>
            </a:rPr>
            <a:t>"Duration of activity (hrs/event) </a:t>
          </a:r>
          <a:r>
            <a:rPr lang="en-US" sz="1200" b="0" i="0" baseline="0">
              <a:effectLst/>
              <a:latin typeface="Cambria Math"/>
              <a:ea typeface="+mn-ea"/>
              <a:cs typeface="+mn-cs"/>
            </a:rPr>
            <a:t>" </a:t>
          </a:r>
          <a:endParaRPr lang="en-US" sz="1200" b="0" i="0" baseline="0" noProof="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sng" strike="noStrike" kern="0" cap="none" spc="0" normalizeH="0" baseline="0" noProof="0">
              <a:ln>
                <a:noFill/>
              </a:ln>
              <a:solidFill>
                <a:sysClr val="windowText" lastClr="000000"/>
              </a:solidFill>
              <a:effectLst/>
              <a:uLnTx/>
              <a:uFillTx/>
              <a:latin typeface="Calibri"/>
              <a:ea typeface="+mn-ea"/>
              <a:cs typeface="+mn-cs"/>
            </a:rPr>
            <a:t>Average Annual Emissions: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Average total losses  based on  average  temperature and pressure parameters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Avg. Annual emissions (tpy)  =  </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Avg. Hourly Emissions </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lb</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hr</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Duration of activity or Hours  per </a:t>
          </a:r>
          <a:r>
            <a:rPr kumimoji="0" lang="en-US" sz="1400" b="0" i="0" u="none" strike="noStrike" kern="0" cap="none" spc="0" normalizeH="0" baseline="0" noProof="0">
              <a:ln>
                <a:noFill/>
              </a:ln>
              <a:solidFill>
                <a:sysClr val="windowText" lastClr="000000"/>
              </a:solidFill>
              <a:effectLst/>
              <a:uLnTx/>
              <a:uFillTx/>
              <a:latin typeface="Cambria Math"/>
              <a:ea typeface="+mn-ea"/>
              <a:cs typeface="+mn-cs"/>
            </a:rPr>
            <a:t>event)∗ Number of idle days (nd))/</a:t>
          </a:r>
          <a:r>
            <a:rPr kumimoji="0" lang="en-US" sz="1400" b="0" i="0" u="none" strike="noStrike" kern="0" cap="none" spc="0" normalizeH="0" baseline="0" noProof="0">
              <a:ln>
                <a:noFill/>
              </a:ln>
              <a:solidFill>
                <a:sysClr val="windowText" lastClr="000000"/>
              </a:solidFill>
              <a:effectLst/>
              <a:uLnTx/>
              <a:uFillTx/>
              <a:latin typeface="Cambria Math" pitchFamily="18" charset="0"/>
              <a:ea typeface="+mn-ea"/>
              <a:cs typeface="+mn-cs"/>
            </a:rPr>
            <a:t>2000</a:t>
          </a:r>
          <a:endParaRPr kumimoji="0" lang="en-US" sz="1200" b="0" i="0" u="none" strike="noStrike" kern="0" cap="none" spc="0" normalizeH="0" baseline="0" noProof="0">
            <a:ln>
              <a:noFill/>
            </a:ln>
            <a:solidFill>
              <a:sysClr val="windowText" lastClr="000000"/>
            </a:solidFill>
            <a:effectLst/>
            <a:uLnTx/>
            <a:uFillTx/>
            <a:latin typeface="Cambria Math" pitchFamily="18" charset="0"/>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10</xdr:col>
      <xdr:colOff>0</xdr:colOff>
      <xdr:row>6</xdr:row>
      <xdr:rowOff>0</xdr:rowOff>
    </xdr:from>
    <xdr:to>
      <xdr:col>16</xdr:col>
      <xdr:colOff>463550</xdr:colOff>
      <xdr:row>36</xdr:row>
      <xdr:rowOff>203200</xdr:rowOff>
    </xdr:to>
    <xdr:pic>
      <xdr:nvPicPr>
        <xdr:cNvPr id="3" name="Picture 1" descr="cid:image001.png@01D57547.78AB55C0">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931650" y="2673350"/>
          <a:ext cx="365760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526473</xdr:colOff>
      <xdr:row>8</xdr:row>
      <xdr:rowOff>180109</xdr:rowOff>
    </xdr:from>
    <xdr:to>
      <xdr:col>21</xdr:col>
      <xdr:colOff>147997</xdr:colOff>
      <xdr:row>22</xdr:row>
      <xdr:rowOff>108820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1152909" y="2590800"/>
          <a:ext cx="5361924" cy="3614021"/>
        </a:xfrm>
        <a:prstGeom prst="rect">
          <a:avLst/>
        </a:prstGeom>
      </xdr:spPr>
    </xdr:pic>
    <xdr:clientData/>
  </xdr:twoCellAnchor>
  <xdr:twoCellAnchor editAs="oneCell">
    <xdr:from>
      <xdr:col>13</xdr:col>
      <xdr:colOff>0</xdr:colOff>
      <xdr:row>2</xdr:row>
      <xdr:rowOff>0</xdr:rowOff>
    </xdr:from>
    <xdr:to>
      <xdr:col>21</xdr:col>
      <xdr:colOff>446167</xdr:colOff>
      <xdr:row>3</xdr:row>
      <xdr:rowOff>171381</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0858500" y="571500"/>
          <a:ext cx="5156712" cy="552381"/>
        </a:xfrm>
        <a:prstGeom prst="rect">
          <a:avLst/>
        </a:prstGeom>
      </xdr:spPr>
    </xdr:pic>
    <xdr:clientData/>
  </xdr:twoCellAnchor>
  <xdr:twoCellAnchor editAs="oneCell">
    <xdr:from>
      <xdr:col>13</xdr:col>
      <xdr:colOff>0</xdr:colOff>
      <xdr:row>5</xdr:row>
      <xdr:rowOff>0</xdr:rowOff>
    </xdr:from>
    <xdr:to>
      <xdr:col>20</xdr:col>
      <xdr:colOff>468749</xdr:colOff>
      <xdr:row>6</xdr:row>
      <xdr:rowOff>260220</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1236036" y="1620982"/>
          <a:ext cx="4735949" cy="5234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23091</xdr:colOff>
      <xdr:row>19</xdr:row>
      <xdr:rowOff>34636</xdr:rowOff>
    </xdr:from>
    <xdr:to>
      <xdr:col>18</xdr:col>
      <xdr:colOff>462045</xdr:colOff>
      <xdr:row>32</xdr:row>
      <xdr:rowOff>226585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0887364" y="5357091"/>
          <a:ext cx="5380396" cy="3644039"/>
        </a:xfrm>
        <a:prstGeom prst="rect">
          <a:avLst/>
        </a:prstGeom>
      </xdr:spPr>
    </xdr:pic>
    <xdr:clientData/>
  </xdr:twoCellAnchor>
  <xdr:twoCellAnchor editAs="oneCell">
    <xdr:from>
      <xdr:col>21</xdr:col>
      <xdr:colOff>23091</xdr:colOff>
      <xdr:row>19</xdr:row>
      <xdr:rowOff>34636</xdr:rowOff>
    </xdr:from>
    <xdr:to>
      <xdr:col>30</xdr:col>
      <xdr:colOff>172245</xdr:colOff>
      <xdr:row>32</xdr:row>
      <xdr:rowOff>115828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6394546" y="5357091"/>
          <a:ext cx="5658876" cy="35332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13</xdr:row>
      <xdr:rowOff>36285</xdr:rowOff>
    </xdr:from>
    <xdr:to>
      <xdr:col>20</xdr:col>
      <xdr:colOff>573087</xdr:colOff>
      <xdr:row>28</xdr:row>
      <xdr:rowOff>15692</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10896600" y="3055710"/>
          <a:ext cx="5087937" cy="33635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0</xdr:colOff>
      <xdr:row>11</xdr:row>
      <xdr:rowOff>0</xdr:rowOff>
    </xdr:from>
    <xdr:to>
      <xdr:col>22</xdr:col>
      <xdr:colOff>152348</xdr:colOff>
      <xdr:row>25</xdr:row>
      <xdr:rowOff>105521</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11363325" y="2581275"/>
          <a:ext cx="5114313" cy="3314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0</xdr:colOff>
      <xdr:row>13</xdr:row>
      <xdr:rowOff>36285</xdr:rowOff>
    </xdr:from>
    <xdr:to>
      <xdr:col>20</xdr:col>
      <xdr:colOff>466407</xdr:colOff>
      <xdr:row>27</xdr:row>
      <xdr:rowOff>182244</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11176000" y="2911928"/>
          <a:ext cx="5108802" cy="29675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11</xdr:row>
      <xdr:rowOff>0</xdr:rowOff>
    </xdr:from>
    <xdr:to>
      <xdr:col>22</xdr:col>
      <xdr:colOff>152347</xdr:colOff>
      <xdr:row>25</xdr:row>
      <xdr:rowOff>105522</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13525500" y="2581275"/>
          <a:ext cx="4885714" cy="33143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0</xdr:colOff>
      <xdr:row>13</xdr:row>
      <xdr:rowOff>0</xdr:rowOff>
    </xdr:from>
    <xdr:to>
      <xdr:col>22</xdr:col>
      <xdr:colOff>573087</xdr:colOff>
      <xdr:row>27</xdr:row>
      <xdr:rowOff>147107</xdr:rowOff>
    </xdr:to>
    <xdr:pic>
      <xdr:nvPicPr>
        <xdr:cNvPr id="3" name="Picture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a:stretch>
          <a:fillRect/>
        </a:stretch>
      </xdr:blipFill>
      <xdr:spPr>
        <a:xfrm>
          <a:off x="13373100" y="2730500"/>
          <a:ext cx="48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OA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TWNAS01a\DOCUME~1\Owner\LOCALS~1\Temp\Xl0000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Clients\UP\Up2050\EXCEL\GULF-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NAS01a\projnt15\EHS\Environmental\Air\Areas%20of%20Operation\New%20Mexico\Delaware%20Division\0_Midstream\Husky%20CDP\NSR%20Application%20-%20June%202019\Emission%20Calculations\Husky%20CDP%20+%20%20COGEN%20-%20Updated%20THM%20Emission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er-s1\shared\Transfer\076986RPT-1%20Ft%20Worth%20Natl%20Bank%20%233%20Battery\Tables\076986-1D.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TWNAS01a\Documents%20and%20Settings\deq226\My%20Documents\Current%20Projects\Wheatland\84220mf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hous303\Group\SETRC\AIR\HIISLAND\MIAMIT1\ARIEL"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TWNAS01a\Documents%20and%20Settings\DEQ087\My%20Documents\ETHANOL%20Templates\Point%20by%20point%20template\Grain%20Handl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TWNAS01a\DOCUME~1\Owner\LOCALS~1\Temp\Xl0000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t-s1\Shared\Documents%20and%20Settings\anunez\Local%20Settings\Temporary%20Internet%20Files\Content.Outlook\ZAYFLYBE\North%20Dakota%20Calculations%20Draft%203-4-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r-s1\shared\Users\svel\AppData\Local\Microsoft\Windows\Temporary%20Internet%20Files\Content.Outlook\RMG0UICY\Miscellaneous\TCEQ%20Files\Copy%20of%20og-emiss-impact20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TWNAS01a\DATA\PROJECTS\STAR\FORMULA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TWNAS01a\p\Clients\Western%20Refining%20Company\TX%20%20El%20Paso%20Refinery\080301.0006%20-%20Western%20PAL%202008\Excel\Western%20Flex%20PTE%20Emissions\Flex%20P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32.1.2\p\Clients\DCP%20Midstream\093201.0020%20Artesia%20NSR%20Significant%20Revision\Application%20Forms%20and%20Attachments\03%20A-0434-Sect%202%20v4"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WNAS01a\Users\Evan\Desktop\Work\137%20-%20Conoco\Hale%20351S%20and%203A%20-%20A720157%20and%20A726720\Hale%20351S%20and%20Hale%203A%20Emissio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TWNAS01a\p\Clients\Western%20Refining%20Company\TX%20%20El%20Paso%20Refinery\080301.0006%20-%20Western%20PAL%202008\Excel\Western%20Flex%20PTE%20Emissions\Western%20PAL%20Baseline%20Emission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TWNAS01a\Environmental\Users\Ooi\v-bflas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dallas1.trinityconsultants.com/DOCUME~1/SCARR/LOCALS~1/Temp/notesEA312D/Commerce%20Emission%20Calcs%20(0314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hdnet\ghd\C\Clients\Targa%20Midstream%20Services,%20Limited%20Partnership\Buckeye%20CS\SSM%20Permit%20Application%202011\04%20Calculations\natural%20ga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1houis019\Group\Hse\GHG%20Information\2002data\Hugoton\Hugoton%20GHG%202002"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NAS01a\C\C\DOCUME~1\giwaszek\LOCALS~1\Temp\notesC9812B\Macintosh%20HDEC\064401\0058%20-%20CMC%20Texas\Shredder%20Modification\Excel\Shredder%20Increase%20Calcs%20(071106)"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p1Houis016\Group\SanJuan\HSE\Environmental\San%20Juan%20Air\New%20Mexico\Engine%20Co-location%20Work\Co-location%20evaluation\Well%20sit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ATA\PROJECTS\STAR\FORMULA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TWNAS01a\DATA\PROJECTS\UNIONCBD\EPR\CALCS\T_FLAR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tceq.texas.gov/assets/public/permitting/air/NewSourceReview/oilgas/og-emiss-impact5-201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WNAS01a\projnt15\Users\estul\AppData\Local\Microsoft\Windows\INetCache\Content.Outlook\VZ372UWO\XTO%20Husky%20NSR_Emission%20Calculations_q-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TWNAS01a\Documents%20and%20Settings\DEQ087\My%20Documents\Ethanol%20Plants%20-%20reviewed\ADM%20-%20Columbus\After%20Initial%20Review\39285f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NAS01a\CaleS\Library\Boilerplates\Calculations\Useful%20Calcs%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AS01a\Users\Evan\Desktop\Work\137%20-%20Conoco\Howell%20J%20300%20and%20J%204%20-%20A723033%20and%20A721611\Howell%20J300%20and%20Howell%20J4%20Emiss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TWNAS01a\Clients\Western\Gallup%20Refinery\2009%20Gallup%20NSR%20Sig%20Revision%20083201.0157\04%20CALCULATIONS\Western%20Flex%20PTE%20Emiss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hdnet\ghd\AirQuality\FBIR%20Revisions\FBIR%20076464-T1-%20Total%20Emission%20Calculation%20v02201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TWNAS01a\Work_Files\ADM%20Clinton\Alcohol%20Project%202004\Alcohol%20Plant%20Calcs%2010-06-04%20R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VP Calc"/>
      <sheetName val="Sheet1"/>
      <sheetName val="Ap-42 Ref Tables"/>
      <sheetName val="DATA"/>
      <sheetName val="SIEVE PLOT"/>
      <sheetName val="LHC 7 Boiler"/>
      <sheetName val="POP"/>
      <sheetName val="#REF"/>
      <sheetName val="CapPress"/>
      <sheetName val="fuel"/>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Engines_Criteria"/>
      <sheetName val="Engines_HAPs"/>
      <sheetName val="Dehys"/>
      <sheetName val="Heaters_Criteria"/>
      <sheetName val="Heaters_HAPs"/>
      <sheetName val="Condensate_Criteria"/>
      <sheetName val="Condensate_HAPs"/>
      <sheetName val="Methanol"/>
      <sheetName val="Fugitives"/>
      <sheetName val="Blowdowns"/>
      <sheetName val="Flares"/>
      <sheetName val="Compliance_N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1">
          <cell r="E21" t="str">
            <v>Yes</v>
          </cell>
        </row>
        <row r="22">
          <cell r="E22" t="str">
            <v>No</v>
          </cell>
        </row>
        <row r="23">
          <cell r="E23" t="str">
            <v>N/A</v>
          </cell>
        </row>
        <row r="25">
          <cell r="C25" t="str">
            <v>Electric</v>
          </cell>
        </row>
        <row r="26">
          <cell r="C26" t="str">
            <v>Gas</v>
          </cell>
        </row>
        <row r="49">
          <cell r="A49" t="str">
            <v>Compressor Seals - Gas</v>
          </cell>
        </row>
        <row r="50">
          <cell r="A50" t="str">
            <v>Connectors - Gas</v>
          </cell>
        </row>
        <row r="51">
          <cell r="A51" t="str">
            <v>Connectors - Heavy Oil</v>
          </cell>
        </row>
        <row r="52">
          <cell r="A52" t="str">
            <v>Connectors - Light Oil</v>
          </cell>
        </row>
        <row r="53">
          <cell r="A53" t="str">
            <v>Connectors - Water/Oil</v>
          </cell>
        </row>
        <row r="54">
          <cell r="A54" t="str">
            <v>Flanges - Gas</v>
          </cell>
        </row>
        <row r="55">
          <cell r="A55" t="str">
            <v>Flanges - Heavy Oil</v>
          </cell>
        </row>
        <row r="56">
          <cell r="A56" t="str">
            <v>Flanges - Light Oil</v>
          </cell>
        </row>
        <row r="57">
          <cell r="A57" t="str">
            <v>Flanges - Water/Oil</v>
          </cell>
        </row>
        <row r="58">
          <cell r="A58" t="str">
            <v>Open-Ended Lines - Gas</v>
          </cell>
        </row>
        <row r="59">
          <cell r="A59" t="str">
            <v>Open-Ended Lines - Heavy Oil</v>
          </cell>
        </row>
        <row r="60">
          <cell r="A60" t="str">
            <v>Open-Ended Lines - Light Oil</v>
          </cell>
        </row>
        <row r="61">
          <cell r="A61" t="str">
            <v>Open-Ended Lines - Water/Oil</v>
          </cell>
        </row>
        <row r="62">
          <cell r="A62" t="str">
            <v>Other - Gas</v>
          </cell>
        </row>
        <row r="63">
          <cell r="A63" t="str">
            <v>Other - Heavy Oil</v>
          </cell>
        </row>
        <row r="64">
          <cell r="A64" t="str">
            <v>Other - Light Oil</v>
          </cell>
        </row>
        <row r="65">
          <cell r="A65" t="str">
            <v>Other - Water/Oil</v>
          </cell>
        </row>
        <row r="66">
          <cell r="A66" t="str">
            <v>Pump Seals - Gas</v>
          </cell>
        </row>
        <row r="67">
          <cell r="A67" t="str">
            <v>Pump Seals - Light Oil</v>
          </cell>
        </row>
        <row r="68">
          <cell r="A68" t="str">
            <v>Pump Seals - Water/Oil</v>
          </cell>
        </row>
        <row r="69">
          <cell r="A69" t="str">
            <v>Relief Valves - Gas</v>
          </cell>
        </row>
        <row r="70">
          <cell r="A70" t="str">
            <v>Valves - Gas</v>
          </cell>
        </row>
        <row r="71">
          <cell r="A71" t="str">
            <v>Valves - Heavy Oil</v>
          </cell>
        </row>
        <row r="72">
          <cell r="A72" t="str">
            <v>Valves - Light Oil</v>
          </cell>
        </row>
        <row r="73">
          <cell r="A73" t="str">
            <v>Valves - Water/Oil</v>
          </cell>
        </row>
      </sheetData>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PR"/>
      <sheetName val="Fuel Gas"/>
      <sheetName val="101"/>
      <sheetName val="102"/>
      <sheetName val="103"/>
      <sheetName val="104"/>
      <sheetName val="106"/>
      <sheetName val="107"/>
      <sheetName val="108"/>
      <sheetName val="109"/>
      <sheetName val="110"/>
      <sheetName val="114"/>
      <sheetName val="115"/>
      <sheetName val="116"/>
      <sheetName val="117"/>
      <sheetName val="118"/>
      <sheetName val="119"/>
      <sheetName val="171"/>
      <sheetName val="172"/>
      <sheetName val="173"/>
      <sheetName val="174"/>
      <sheetName val="175"/>
      <sheetName val="176"/>
      <sheetName val="177"/>
      <sheetName val="111"/>
      <sheetName val="112"/>
      <sheetName val="113"/>
      <sheetName val="120"/>
      <sheetName val="HTR201"/>
      <sheetName val="HTR202"/>
      <sheetName val="HTR205"/>
      <sheetName val="HTR206"/>
      <sheetName val="HTR1101"/>
      <sheetName val="HTR1102"/>
      <sheetName val="V-1"/>
      <sheetName val="V-2"/>
      <sheetName val="Amine Flash"/>
      <sheetName val="Sump-1"/>
      <sheetName val="Sump-2"/>
      <sheetName val="Sump-3"/>
      <sheetName val="FUG-ANNUAL"/>
      <sheetName val="FUG-HOURLY"/>
      <sheetName val="Distillate Gathering"/>
      <sheetName val="Debut System"/>
      <sheetName val="Inlet Gas"/>
      <sheetName val="Methanol"/>
      <sheetName val="Deethanizer"/>
      <sheetName val="Depropanizer"/>
      <sheetName val="Debutanizer"/>
      <sheetName val="Propane"/>
      <sheetName val="Nat Gasoline-Condensate"/>
      <sheetName val="Comps and PRVs"/>
      <sheetName val="FUG-HLIQ"/>
      <sheetName val="DRAINS"/>
      <sheetName val="FUGCOMP"/>
      <sheetName val="TEST94"/>
      <sheetName val="T98-100"/>
      <sheetName val="TEST131"/>
      <sheetName val="TEST139"/>
      <sheetName val="TEST157"/>
      <sheetName val="g per hp-h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bines"/>
      <sheetName val="Diesel Engines"/>
      <sheetName val="Direct Measurement"/>
      <sheetName val="Process Simulator"/>
      <sheetName val="E&amp;P Tanks L l HP OIL"/>
      <sheetName val="E&amp;P Tanks LP Gas"/>
      <sheetName val="E&amp;P Tanks Geo"/>
      <sheetName val="GOR"/>
      <sheetName val="Vasquez-Beggs"/>
      <sheetName val="Fugatives"/>
      <sheetName val="T2 Emissions Summary"/>
      <sheetName val="Summary - No COGEN"/>
      <sheetName val="T2 Summary 2x1 COGEN"/>
      <sheetName val="T2 Summary 3x1 COGEN"/>
      <sheetName val="T2 Summary 4x1 COGEN"/>
      <sheetName val="Calcs ---&gt;"/>
      <sheetName val="T1 Fac Info"/>
      <sheetName val="T3 Fugitives"/>
      <sheetName val="T4 Working Breathing"/>
      <sheetName val="T4 Tanks 4.0"/>
      <sheetName val="T5 Heaters"/>
      <sheetName val="T8 ECD "/>
      <sheetName val="T6 20 MMSCFD Flare1"/>
      <sheetName val="T7 20 MMSCFD Flare2"/>
      <sheetName val="T8 20 MMSCFD Flare3"/>
      <sheetName val="T9 TO1"/>
      <sheetName val="TO Inlet-Outlet Calc"/>
      <sheetName val="T10 TO2"/>
      <sheetName val="T11 TO3"/>
      <sheetName val="T12 TO4"/>
      <sheetName val="T13 TO5"/>
      <sheetName val="T14 TO6"/>
      <sheetName val="T15 Combustor"/>
      <sheetName val="RVP 9 OilLoad"/>
      <sheetName val="RVP 10.4 OilLoad"/>
      <sheetName val="PW Load"/>
      <sheetName val="T18 MSS FLR Tank Landing Loss 1"/>
      <sheetName val="T19 FIXED CLEAN"/>
      <sheetName val="T16 MSS FLR Tank Landing Loss 2"/>
      <sheetName val="T20 BD MSS"/>
      <sheetName val="T9 Condensate Tank Cleaning"/>
      <sheetName val="T10 Slop Tank Cleaning"/>
      <sheetName val="T11 Empty Refill Cond"/>
      <sheetName val="T12 Empty Refill Slop"/>
      <sheetName val="T13 MSS Defaults"/>
      <sheetName val="T14 MSS Flare"/>
      <sheetName val="T21 Fugitive Dust Emissions"/>
      <sheetName val="T23 GHG Emissions"/>
      <sheetName val="T24 Flare GHG"/>
      <sheetName val="T25 TO GHG"/>
      <sheetName val="T26 Generator Eng"/>
      <sheetName val="Incinerator "/>
      <sheetName val="Incinerator PStreams"/>
      <sheetName val="MDEA Flowsheet "/>
      <sheetName val="MDEA Flowsheet PStreams"/>
      <sheetName val="T7-D PW"/>
      <sheetName val="T6 Amine Unit"/>
      <sheetName val="Thermal Oxidizers"/>
      <sheetName val="T9-D Silver II Flare"/>
      <sheetName val="T9 - Glycol Dehydrator"/>
      <sheetName val="T11-D Blowdowns MSS"/>
      <sheetName val="Emissions Summary-New Requ"/>
      <sheetName val="GWR"/>
      <sheetName val="Level of Authorization-New Requ"/>
      <sheetName val="Is Full Impacts Review Required"/>
      <sheetName val="SO2 Full Impacts"/>
      <sheetName val="Fugitives and Vents"/>
      <sheetName val="Blowdowns, Purging, and Pigging"/>
      <sheetName val="Engines ≤ 250 HP"/>
      <sheetName val="Eng. 250 &lt; HP ≤ 500"/>
      <sheetName val="Eng. 500 &lt; hp ≤ 1000"/>
      <sheetName val="Eng. 1000 &lt; hp ≤ 1500"/>
      <sheetName val="Eng. 1500 &lt; hp ≤ 2000"/>
      <sheetName val="Eng. &gt; 2000 hp"/>
      <sheetName val="RICE Emissions"/>
      <sheetName val="Slop Tank"/>
      <sheetName val="E&amp;P Tanks Stable Oil"/>
      <sheetName val="Vapor Recovery Units"/>
      <sheetName val="loading old"/>
      <sheetName val="Table 2-A"/>
      <sheetName val="2-C"/>
      <sheetName val="2-D"/>
      <sheetName val="2-E"/>
      <sheetName val="2-F"/>
      <sheetName val="T19 Reg. App."/>
      <sheetName val="T7-D"/>
      <sheetName val="T12-D-PBR"/>
      <sheetName val="T14-D"/>
      <sheetName val="T14-D Emission Summary"/>
      <sheetName val="T15-D Emission Limits"/>
      <sheetName val="T18-D Full Impact Analysis"/>
      <sheetName val="Benzene Full Impacts"/>
      <sheetName val="T20 NO2 Impacts"/>
      <sheetName val="T21 H2S  Impacts"/>
      <sheetName val="T22 Table 1(a)"/>
      <sheetName val="Benzene Full Impacts - used"/>
      <sheetName val="Sheet1"/>
      <sheetName val="Compatibility Report"/>
      <sheetName val="H2S Calculation"/>
      <sheetName val="Fuel Gas Comp."/>
      <sheetName val="Sheet3"/>
      <sheetName val="Component coun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t="str">
            <v>Eddy County</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4">
          <cell r="P4" t="str">
            <v>pick from list</v>
          </cell>
        </row>
        <row r="5">
          <cell r="P5" t="str">
            <v>below 100 MMBtu/hr, uncontrolled</v>
          </cell>
        </row>
        <row r="6">
          <cell r="P6" t="str">
            <v>below 100 MMBtu/hp-hr, controlled - low NOx burner</v>
          </cell>
        </row>
        <row r="7">
          <cell r="P7" t="str">
            <v>below 100 MMBtu/hr, controlled - low NOx burner, flue gas recirculation</v>
          </cell>
        </row>
        <row r="8">
          <cell r="P8" t="str">
            <v>above 100 MMBtu/hr, uncontrolled, pre-NSPS</v>
          </cell>
        </row>
        <row r="9">
          <cell r="P9" t="str">
            <v>above 100 MMBtu/hr, uncontrolled, post-NSPS</v>
          </cell>
        </row>
        <row r="10">
          <cell r="P10" t="str">
            <v>above 100 MMBtu/hr, controlled - low NOx burner</v>
          </cell>
        </row>
        <row r="11">
          <cell r="P11" t="str">
            <v>above 100 MMBtu/hr, controlled - flue gas recirculation</v>
          </cell>
        </row>
      </sheetData>
      <sheetData sheetId="86"/>
      <sheetData sheetId="87"/>
      <sheetData sheetId="88"/>
      <sheetData sheetId="89">
        <row r="54">
          <cell r="B54">
            <v>400</v>
          </cell>
        </row>
        <row r="55">
          <cell r="B55">
            <v>500</v>
          </cell>
        </row>
        <row r="56">
          <cell r="B56">
            <v>600</v>
          </cell>
        </row>
        <row r="57">
          <cell r="B57">
            <v>700</v>
          </cell>
        </row>
        <row r="58">
          <cell r="B58">
            <v>800</v>
          </cell>
        </row>
        <row r="59">
          <cell r="B59">
            <v>900</v>
          </cell>
        </row>
        <row r="60">
          <cell r="B60">
            <v>1000</v>
          </cell>
        </row>
        <row r="61">
          <cell r="B61">
            <v>2000</v>
          </cell>
        </row>
        <row r="62">
          <cell r="B62">
            <v>3000</v>
          </cell>
        </row>
        <row r="64">
          <cell r="B64" t="str">
            <v>Data input needed</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D"/>
      <sheetName val="Turbines"/>
      <sheetName val="Diesel Engines"/>
      <sheetName val="Direct Measurement"/>
      <sheetName val="Tanks 4.0"/>
      <sheetName val="Process Simulator"/>
      <sheetName val="E&amp;P Tanks L l HP OIL"/>
      <sheetName val="E&amp;P Tanks LP Gas"/>
      <sheetName val="E&amp;P Tanks Stable Oil"/>
      <sheetName val="E&amp;P Tanks Geo"/>
      <sheetName val="GOR"/>
      <sheetName val="Vasquez-Beggs"/>
      <sheetName val="Glycol Units"/>
      <sheetName val="Amine Units"/>
      <sheetName val="Vapor Recovery Units"/>
      <sheetName val="Flares-Vapor Combustors"/>
      <sheetName val="Thermal Oxidizers"/>
      <sheetName val="MSS"/>
      <sheetName val="Emissions Summary-New Requ"/>
      <sheetName val="GWR"/>
      <sheetName val="T2-D"/>
      <sheetName val="Level of Authorization-New Requ"/>
      <sheetName val="Is Full Impacts Review Required"/>
      <sheetName val="Impacts Scope"/>
      <sheetName val="Benzene Full Impacts"/>
      <sheetName val="H2S Full Impacts"/>
      <sheetName val="SO2 Full Impacts"/>
      <sheetName val="NO2 Full Impacts"/>
      <sheetName val="Fugitives and Vents"/>
      <sheetName val="Blowdowns, Purging, and Pigging"/>
      <sheetName val="Flares and Thermal Dest. Dev."/>
      <sheetName val="Engines ≤ 250 HP"/>
      <sheetName val="Eng. 250 &lt; HP ≤ 500"/>
      <sheetName val="Eng. 500 &lt; hp ≤ 1000"/>
      <sheetName val="Eng. 1000 &lt; hp ≤ 1500"/>
      <sheetName val="Eng. 1500 &lt; hp ≤ 2000"/>
      <sheetName val="Eng. &gt; 2000 hp"/>
      <sheetName val="T3-D"/>
      <sheetName val="T5-D-old"/>
      <sheetName val="T5-D-RICE"/>
      <sheetName val="T4-D"/>
      <sheetName val="T5-D"/>
      <sheetName val="T6-D"/>
      <sheetName val="T7-D"/>
      <sheetName val="T8-D"/>
      <sheetName val="T7-D-old"/>
      <sheetName val="Screen 3 stack height"/>
      <sheetName val="T10-D-screen3"/>
      <sheetName val="T9-D"/>
      <sheetName val="T11-D not include"/>
      <sheetName val="T10-D"/>
      <sheetName val="Sheet1"/>
      <sheetName val="Compatibility Report"/>
      <sheetName val="T11-D"/>
      <sheetName val="T12-D"/>
      <sheetName val="E&amp;P Output oil"/>
      <sheetName val="E&amp;P Output Water"/>
      <sheetName val="H2S Calculation"/>
      <sheetName val="Input File-Table"/>
      <sheetName val="Input File- Form"/>
      <sheetName val="Screen3-Import"/>
      <sheetName val="Input File-Report"/>
      <sheetName val="Input File- Screen3"/>
      <sheetName val="E&amp;P"/>
    </sheetNames>
    <sheetDataSet>
      <sheetData sheetId="0">
        <row r="18">
          <cell r="B18">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LOADING1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3">
          <cell r="L23">
            <v>95</v>
          </cell>
        </row>
      </sheetData>
      <sheetData sheetId="44"/>
      <sheetData sheetId="45"/>
      <sheetData sheetId="46"/>
      <sheetData sheetId="47"/>
      <sheetData sheetId="48"/>
      <sheetData sheetId="49"/>
      <sheetData sheetId="50"/>
      <sheetData sheetId="51"/>
      <sheetData sheetId="52"/>
      <sheetData sheetId="53"/>
      <sheetData sheetId="54">
        <row r="54">
          <cell r="B54">
            <v>400</v>
          </cell>
        </row>
        <row r="55">
          <cell r="B55">
            <v>500</v>
          </cell>
        </row>
        <row r="56">
          <cell r="B56">
            <v>600</v>
          </cell>
        </row>
        <row r="57">
          <cell r="B57">
            <v>700</v>
          </cell>
        </row>
        <row r="58">
          <cell r="B58">
            <v>800</v>
          </cell>
        </row>
        <row r="59">
          <cell r="B59">
            <v>900</v>
          </cell>
        </row>
        <row r="60">
          <cell r="B60">
            <v>1000</v>
          </cell>
        </row>
        <row r="61">
          <cell r="B61">
            <v>2000</v>
          </cell>
        </row>
        <row r="62">
          <cell r="B62">
            <v>3000</v>
          </cell>
        </row>
        <row r="63">
          <cell r="B63">
            <v>0</v>
          </cell>
        </row>
        <row r="64">
          <cell r="B64" t="str">
            <v>Data input needed</v>
          </cell>
        </row>
        <row r="65">
          <cell r="B65">
            <v>0</v>
          </cell>
        </row>
      </sheetData>
      <sheetData sheetId="55"/>
      <sheetData sheetId="56"/>
      <sheetData sheetId="57"/>
      <sheetData sheetId="58"/>
      <sheetData sheetId="59"/>
      <sheetData sheetId="60"/>
      <sheetData sheetId="61"/>
      <sheetData sheetId="62"/>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Grain Receiving&amp;DDGS"/>
      <sheetName val="3-5; RTO (DDGS Production)"/>
      <sheetName val="6; Distillation"/>
      <sheetName val="7; Fermentation"/>
      <sheetName val="8; Boilers"/>
      <sheetName val="9-13; Liquid Loading"/>
      <sheetName val="14; Emer. Fire Pump"/>
      <sheetName val="15; Wet Cake"/>
      <sheetName val="16-17; Equipment Leaks"/>
      <sheetName val="18; Haul Roads"/>
      <sheetName val="19; Cool Tower"/>
      <sheetName val="20; Tanks"/>
      <sheetName val="21; Title V Total"/>
      <sheetName val="22; Total HAPS"/>
      <sheetName val="DNP; Chapter 24"/>
      <sheetName val="23; Chapter 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INE.XLS"/>
      <sheetName val="ENGINE.XLM"/>
    </sheetNames>
    <sheetDataSet>
      <sheetData sheetId="0"/>
      <sheetData sheetId="1">
        <row r="1">
          <cell r="A1" t="str">
            <v>PRINTAP42</v>
          </cell>
          <cell r="B1" t="str">
            <v>PRINTMANU</v>
          </cell>
          <cell r="C1" t="str">
            <v>PRINTBOTH</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Uncontrolled"/>
      <sheetName val="Grain Controlled (A)"/>
      <sheetName val="Grain Control"/>
    </sheetNames>
    <sheetDataSet>
      <sheetData sheetId="0"/>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Engines_Criteria"/>
      <sheetName val="Engines_HAPs"/>
      <sheetName val="Dehys"/>
      <sheetName val="Heaters_Criteria"/>
      <sheetName val="Heaters_HAPs"/>
      <sheetName val="Condensate_HAPs"/>
      <sheetName val="Methanol"/>
      <sheetName val="Fugitives"/>
      <sheetName val="Blowdowns"/>
      <sheetName val="Flares"/>
      <sheetName val="Compliance_NS"/>
      <sheetName val="Condensate_Crite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5">
          <cell r="D25" t="str">
            <v>Flare</v>
          </cell>
        </row>
        <row r="75">
          <cell r="A75" t="str">
            <v>Submerged</v>
          </cell>
        </row>
        <row r="76">
          <cell r="A76" t="str">
            <v>Splash</v>
          </cell>
        </row>
        <row r="78">
          <cell r="A78" t="str">
            <v>Dedicated</v>
          </cell>
        </row>
        <row r="79">
          <cell r="A79" t="str">
            <v>Switch</v>
          </cell>
        </row>
        <row r="81">
          <cell r="A81" t="str">
            <v>Normal</v>
          </cell>
        </row>
        <row r="82">
          <cell r="A82" t="str">
            <v>Vapor Balance</v>
          </cell>
        </row>
      </sheetData>
      <sheetData sheetId="13">
        <row r="25">
          <cell r="D25" t="str">
            <v>Flare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ICE Input"/>
      <sheetName val="Emission Summary"/>
      <sheetName val="OilCondensate Tanks"/>
      <sheetName val="Treater Flare"/>
      <sheetName val="Treater Burner"/>
      <sheetName val="Truck Loading"/>
      <sheetName val="RICE Engine"/>
      <sheetName val="Pneumatic Pump"/>
      <sheetName val="Pneumatic Controllers"/>
      <sheetName val="Drop Down Lists"/>
      <sheetName val="User Notes1"/>
      <sheetName val="User Notes2"/>
      <sheetName val="User Notes3"/>
    </sheetNames>
    <sheetDataSet>
      <sheetData sheetId="0"/>
      <sheetData sheetId="1"/>
      <sheetData sheetId="2"/>
      <sheetData sheetId="3"/>
      <sheetData sheetId="4"/>
      <sheetData sheetId="5"/>
      <sheetData sheetId="6"/>
      <sheetData sheetId="7"/>
      <sheetData sheetId="8"/>
      <sheetData sheetId="9"/>
      <sheetData sheetId="10">
        <row r="2">
          <cell r="A2" t="str">
            <v>Submerged loading of a clean cargo tank</v>
          </cell>
        </row>
        <row r="3">
          <cell r="A3" t="str">
            <v>Submerged loading: dedicated normal service</v>
          </cell>
        </row>
        <row r="4">
          <cell r="A4" t="str">
            <v>Submerged loading: dedicated vapor balance service</v>
          </cell>
        </row>
        <row r="5">
          <cell r="A5" t="str">
            <v>Flash Gas Method: Default Bakken EF</v>
          </cell>
        </row>
        <row r="6">
          <cell r="A6" t="str">
            <v>Flash Gas Method: Direct Measurement</v>
          </cell>
        </row>
        <row r="7">
          <cell r="A7" t="str">
            <v>Flash Gas Method: Representative Average</v>
          </cell>
        </row>
        <row r="8">
          <cell r="A8" t="str">
            <v>Vapor Recovery Unit or Oil Stabilizer</v>
          </cell>
        </row>
        <row r="9">
          <cell r="A9" t="str">
            <v>Enclosed Smokeless Combustor</v>
          </cell>
        </row>
        <row r="10">
          <cell r="A10" t="str">
            <v>Utility Flare or Other 98% DRE Device</v>
          </cell>
        </row>
        <row r="11">
          <cell r="A11" t="str">
            <v>Ground Pit Flare</v>
          </cell>
        </row>
        <row r="13">
          <cell r="A13" t="str">
            <v>Routed exhaust back into closed loop system</v>
          </cell>
        </row>
        <row r="14">
          <cell r="A14" t="str">
            <v>Routed exhaust to a combustion device</v>
          </cell>
        </row>
        <row r="17">
          <cell r="A17" t="str">
            <v>Enclosed Smokeless Combustor</v>
          </cell>
        </row>
        <row r="18">
          <cell r="A18" t="str">
            <v>Utility Flare or Other 98% DRE Device</v>
          </cell>
        </row>
        <row r="19">
          <cell r="A19" t="str">
            <v>Ground Pit Flare</v>
          </cell>
        </row>
        <row r="20">
          <cell r="A20" t="str">
            <v>Connected to sales line</v>
          </cell>
        </row>
        <row r="22">
          <cell r="A22" t="str">
            <v>Oil is hauled by truck</v>
          </cell>
        </row>
        <row r="23">
          <cell r="A23" t="str">
            <v>Oil is sold through LACT</v>
          </cell>
        </row>
      </sheetData>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ility Information"/>
      <sheetName val="Site Wide Gas &amp; Liquid Analyses"/>
      <sheetName val="IC Engines"/>
      <sheetName val="Turbines"/>
      <sheetName val="Diesel Engines"/>
      <sheetName val="Heaters-Boilers"/>
      <sheetName val="Fugitives"/>
      <sheetName val="Direct Measurement"/>
      <sheetName val="Tanks 4.0"/>
      <sheetName val="Process Simulator"/>
      <sheetName val="E&amp;P Tanks L l HP OIL"/>
      <sheetName val="E&amp;P Tanks LP Gas"/>
      <sheetName val="E&amp;P Tanks Stable Oil"/>
      <sheetName val="E&amp;P Tanks Geo"/>
      <sheetName val="GOR"/>
      <sheetName val="GWR"/>
      <sheetName val="Vasquez-Beggs"/>
      <sheetName val="Loading Jobs"/>
      <sheetName val="Glycol Units"/>
      <sheetName val="Amine Units"/>
      <sheetName val="Vapor Recovery Units"/>
      <sheetName val="Flares-Vapor Combustors"/>
      <sheetName val="Thermal Oxidizers"/>
      <sheetName val="MSS"/>
      <sheetName val="Emissions Summary-New Requ"/>
      <sheetName val="Other"/>
      <sheetName val="Emissions Summary-Old Requ"/>
      <sheetName val="Level of Authorization-New Requ"/>
      <sheetName val="Level of Authorization-Old Requ"/>
      <sheetName val="Is Full Impacts Review Required"/>
      <sheetName val="Impacts Scope"/>
      <sheetName val="Benzene Full Impacts"/>
      <sheetName val="H2S Full Impacts"/>
      <sheetName val="SO2 Full Impacts"/>
      <sheetName val="NO2 Full Impacts"/>
      <sheetName val="Fugitives and Vents"/>
      <sheetName val="Blowdowns, Purging, and Pigging"/>
      <sheetName val="Flares and Thermal Dest. Dev."/>
      <sheetName val="Engines ≤ 250 HP"/>
      <sheetName val="Eng. 250 &lt; HP ≤ 500"/>
      <sheetName val="Eng. 500 &lt; hp ≤ 1000"/>
      <sheetName val="Eng. 1000 &lt; hp ≤ 1500"/>
      <sheetName val="Eng. 1500 &lt; hp ≤ 2000"/>
      <sheetName val="Eng. &gt; 2000 hp"/>
    </sheetNames>
    <sheetDataSet>
      <sheetData sheetId="0">
        <row r="27">
          <cell r="C27" t="str">
            <v>Company Name</v>
          </cell>
        </row>
      </sheetData>
      <sheetData sheetId="1"/>
      <sheetData sheetId="2"/>
      <sheetData sheetId="3"/>
      <sheetData sheetId="4"/>
      <sheetData sheetId="5">
        <row r="12">
          <cell r="P12" t="str">
            <v>pick from list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EFR"/>
      <sheetName val="FX"/>
      <sheetName val="IFR"/>
      <sheetName val="CT"/>
      <sheetName val="EXC"/>
      <sheetName val="IC"/>
      <sheetName val="GT"/>
      <sheetName val="HTR FACT"/>
      <sheetName val="Table 1a 1"/>
      <sheetName val="Table 1a 2"/>
      <sheetName val="Emissions Bubble Summary"/>
      <sheetName val="Turnaround Emissions Summary"/>
      <sheetName val="Vessel Properties"/>
      <sheetName val="T-A Compositions"/>
      <sheetName val="Deinventory Sample Calc"/>
      <sheetName val="Bypassing Sample Calc"/>
      <sheetName val="Sheet1"/>
      <sheetName val="ACU-1"/>
      <sheetName val="ACU-2"/>
      <sheetName val="Alky SD"/>
      <sheetName val="Alky SD ATM"/>
      <sheetName val="Amine"/>
      <sheetName val="BTX"/>
      <sheetName val="Condensate Spltr"/>
      <sheetName val="Demex"/>
      <sheetName val="DHT-1"/>
      <sheetName val="DHT-2"/>
      <sheetName val="FCCU SD"/>
      <sheetName val="FCCU SD ATM"/>
      <sheetName val="FCCU SD Bypass"/>
      <sheetName val="FCCU SU"/>
      <sheetName val="GHT"/>
      <sheetName val="GRU"/>
      <sheetName val="Isom"/>
      <sheetName val="Ref-NHT SD"/>
      <sheetName val="Ref-NHT SD Bypass"/>
      <sheetName val="Ref-NHT SU"/>
      <sheetName val="Sat. Liq. SD"/>
      <sheetName val="SWS-1 SD"/>
      <sheetName val="SWS-1 SU"/>
      <sheetName val="SWS-2"/>
      <sheetName val="TDP"/>
      <sheetName val="Unibon SD"/>
      <sheetName val="Unibon SD Bypass"/>
      <sheetName val="Unibon SU"/>
      <sheetName val="Disulfide Gas"/>
      <sheetName val="Routine MSS Emissions Summary"/>
      <sheetName val="Pumps"/>
      <sheetName val="Compressors"/>
      <sheetName val="Pipes"/>
      <sheetName val="Valves"/>
      <sheetName val="Vessels"/>
      <sheetName val="Exchangers"/>
      <sheetName val="Painting"/>
      <sheetName val="IFR-hr"/>
      <sheetName val="IFR-ann"/>
      <sheetName val="EFR-hr"/>
      <sheetName val="EFR-ann"/>
      <sheetName val="FXR-hr "/>
      <sheetName val="FXR-annual"/>
      <sheetName val="Tank Combustion"/>
      <sheetName val="Vacuum Truck-loading"/>
      <sheetName val="Vacuum Truck-unloadin"/>
      <sheetName val="Vac Truck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a) Final (2)"/>
      <sheetName val="Table Index"/>
      <sheetName val="Source List"/>
      <sheetName val="Table1(a)"/>
      <sheetName val="Emissions Summary"/>
      <sheetName val="New Source Emissions"/>
      <sheetName val="Combustion"/>
      <sheetName val="Combustion EFs"/>
      <sheetName val="Compressors"/>
      <sheetName val="FCCU"/>
      <sheetName val="FCCU PM"/>
      <sheetName val="Flares"/>
      <sheetName val="WWCTS"/>
      <sheetName val="SVE Units"/>
      <sheetName val="Rheniformer"/>
      <sheetName val="South SRU"/>
      <sheetName val="North SRU"/>
      <sheetName val="OWS"/>
      <sheetName val="Load Rack Summary"/>
      <sheetName val="Liquid Loading"/>
      <sheetName val="LPG Loading"/>
      <sheetName val="Sulfur Loading"/>
      <sheetName val="Gondola Loading"/>
      <sheetName val="Cooling Towers PM"/>
      <sheetName val="Cooling Towers VOC"/>
      <sheetName val="Fugitive Summary"/>
      <sheetName val="Fugitive Calcs"/>
      <sheetName val="Fugitive Counts"/>
      <sheetName val="Asphalt Terminal"/>
      <sheetName val="Operational Basis"/>
      <sheetName val="Tank MAERT Comparison"/>
      <sheetName val="Fugitive Speciation"/>
      <sheetName val="Fugitive Speciation Summary"/>
      <sheetName val="7-2 TierIII SNCR Capital"/>
      <sheetName val="7-2 TierIII SNCR Annual"/>
      <sheetName val="South Flare Data -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5">
          <cell r="C195">
            <v>33.520000000000003</v>
          </cell>
        </row>
      </sheetData>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A"/>
      <sheetName val="2-B"/>
      <sheetName val="2-C"/>
      <sheetName val="2-D"/>
      <sheetName val="2-E"/>
      <sheetName val="2-F"/>
      <sheetName val="2-G"/>
      <sheetName val="2-I"/>
      <sheetName val="2-H"/>
      <sheetName val="2-J"/>
      <sheetName val="2-K"/>
      <sheetName val="2-L"/>
      <sheetName val="2-M"/>
      <sheetName val="2-N"/>
      <sheetName val="2-O"/>
      <sheetName val="EU 10-17,25-27"/>
      <sheetName val="EU39"/>
      <sheetName val="EU19"/>
      <sheetName val="EU20 28 Boilers"/>
      <sheetName val="EU 38 Truck Loadout Emissions"/>
      <sheetName val="SSM"/>
      <sheetName val="EU #22 SSM"/>
      <sheetName val="EU #22 SSM Events"/>
      <sheetName val="EU #22 SSM Engine Blowdowns"/>
      <sheetName val="EU #23 SSM"/>
      <sheetName val="EU #23 SSM Events"/>
      <sheetName val="ENGINE.X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sheetName val="Caterpillar 3304NA"/>
      <sheetName val="Ajax DPC-115"/>
      <sheetName val="Arrow C46"/>
      <sheetName val="Heaters"/>
      <sheetName val="Flashing"/>
      <sheetName val="SSM"/>
    </sheetNames>
    <sheetDataSet>
      <sheetData sheetId="0" refreshError="1"/>
      <sheetData sheetId="1" refreshError="1"/>
      <sheetData sheetId="2" refreshError="1"/>
      <sheetData sheetId="3" refreshError="1"/>
      <sheetData sheetId="4" refreshError="1"/>
      <sheetData sheetId="5" refreshError="1">
        <row r="12">
          <cell r="F12">
            <v>34</v>
          </cell>
        </row>
        <row r="16">
          <cell r="F16">
            <v>1.2</v>
          </cell>
        </row>
      </sheetData>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Index"/>
      <sheetName val="Existing Source List"/>
      <sheetName val="Source Type"/>
      <sheetName val="New Source List"/>
      <sheetName val="Removed Source List"/>
      <sheetName val="MSS Source List"/>
      <sheetName val="PAL Caps"/>
      <sheetName val="PAL Baseline Emissions"/>
      <sheetName val="Tanks Baseline Emissions"/>
      <sheetName val="PAL MSS Emissions"/>
      <sheetName val="New Source Emissions"/>
      <sheetName val="Removed Source Emissions"/>
      <sheetName val="South SRU Stack Test"/>
      <sheetName val="PAL Baselines - Internal"/>
      <sheetName val="NewFugCounts"/>
      <sheetName val="Combustion Sources"/>
      <sheetName val="Other Combustions"/>
      <sheetName val="FCCU"/>
      <sheetName val="South Main Flare"/>
      <sheetName val="SVE Units"/>
      <sheetName val="North SRU"/>
      <sheetName val="Cooling Towers 2004 VOC"/>
      <sheetName val="Cooling Towers 2005 VOC"/>
      <sheetName val="Cooling Towers"/>
      <sheetName val="Fugitive Summary"/>
      <sheetName val="Fugitive Calcs"/>
      <sheetName val="Gas Tank T-4281"/>
      <sheetName val="Loading Racks"/>
      <sheetName val="OWS"/>
    </sheetNames>
    <sheetDataSet>
      <sheetData sheetId="0" refreshError="1"/>
      <sheetData sheetId="1" refreshError="1"/>
      <sheetData sheetId="2" refreshError="1"/>
      <sheetData sheetId="3" refreshError="1"/>
      <sheetData sheetId="4" refreshError="1"/>
      <sheetData sheetId="5" refreshError="1"/>
      <sheetData sheetId="6"/>
      <sheetData sheetId="7">
        <row r="4">
          <cell r="A4" t="str">
            <v>D-2914</v>
          </cell>
          <cell r="B4" t="str">
            <v>North Relief Gas Flare</v>
          </cell>
          <cell r="C4">
            <v>0.57999999999999996</v>
          </cell>
          <cell r="D4">
            <v>2.94</v>
          </cell>
          <cell r="E4" t="str">
            <v>--</v>
          </cell>
          <cell r="F4">
            <v>2.5</v>
          </cell>
          <cell r="G4">
            <v>2.2999999999999998</v>
          </cell>
          <cell r="H4">
            <v>2.3469387755102059E-2</v>
          </cell>
          <cell r="I4" t="str">
            <v>--</v>
          </cell>
          <cell r="J4" t="str">
            <v>--</v>
          </cell>
          <cell r="K4">
            <v>0.49</v>
          </cell>
          <cell r="L4">
            <v>2.48</v>
          </cell>
          <cell r="M4" t="str">
            <v>--</v>
          </cell>
          <cell r="N4">
            <v>1.92</v>
          </cell>
          <cell r="O4" t="str">
            <v>--</v>
          </cell>
          <cell r="P4" t="str">
            <v>--</v>
          </cell>
          <cell r="Q4" t="str">
            <v>--</v>
          </cell>
          <cell r="R4" t="str">
            <v>--</v>
          </cell>
          <cell r="S4">
            <v>0.53499999999999992</v>
          </cell>
          <cell r="T4">
            <v>2.71</v>
          </cell>
          <cell r="U4" t="str">
            <v>--</v>
          </cell>
          <cell r="V4">
            <v>2.21</v>
          </cell>
          <cell r="W4">
            <v>1.1499999999999999</v>
          </cell>
          <cell r="X4">
            <v>1.1734693877551029E-2</v>
          </cell>
          <cell r="Y4">
            <v>1.1044417767106851E-2</v>
          </cell>
          <cell r="Z4" t="str">
            <v>--</v>
          </cell>
        </row>
        <row r="5">
          <cell r="A5" t="str">
            <v>R-2911</v>
          </cell>
          <cell r="B5" t="str">
            <v>Rheniformer Flare</v>
          </cell>
          <cell r="C5">
            <v>0.48</v>
          </cell>
          <cell r="D5">
            <v>2.42</v>
          </cell>
          <cell r="E5" t="str">
            <v>--</v>
          </cell>
          <cell r="F5">
            <v>1.9200999999999999</v>
          </cell>
          <cell r="G5" t="str">
            <v>--</v>
          </cell>
          <cell r="H5" t="str">
            <v>--</v>
          </cell>
          <cell r="I5" t="str">
            <v>--</v>
          </cell>
          <cell r="J5" t="str">
            <v>--</v>
          </cell>
          <cell r="K5">
            <v>0.49</v>
          </cell>
          <cell r="L5">
            <v>2.48</v>
          </cell>
          <cell r="M5" t="str">
            <v>--</v>
          </cell>
          <cell r="N5">
            <v>1.92</v>
          </cell>
          <cell r="O5" t="str">
            <v>--</v>
          </cell>
          <cell r="P5">
            <v>1E-4</v>
          </cell>
          <cell r="Q5">
            <v>9.4117647058823535E-5</v>
          </cell>
          <cell r="R5" t="str">
            <v>--</v>
          </cell>
          <cell r="S5">
            <v>0.48499999999999999</v>
          </cell>
          <cell r="T5">
            <v>2.4500000000000002</v>
          </cell>
          <cell r="U5" t="str">
            <v>--</v>
          </cell>
          <cell r="V5">
            <v>1.9200499999999998</v>
          </cell>
          <cell r="W5" t="str">
            <v>--</v>
          </cell>
          <cell r="X5">
            <v>5.0000000000000002E-5</v>
          </cell>
          <cell r="Y5">
            <v>4.7058823529411767E-5</v>
          </cell>
          <cell r="Z5" t="str">
            <v>--</v>
          </cell>
        </row>
        <row r="6">
          <cell r="A6" t="str">
            <v>XF1001</v>
          </cell>
          <cell r="B6" t="str">
            <v>No. 1 Boiler</v>
          </cell>
          <cell r="C6">
            <v>33.115927083525705</v>
          </cell>
          <cell r="D6">
            <v>14.66233330706388</v>
          </cell>
          <cell r="E6">
            <v>1.3353196404647463</v>
          </cell>
          <cell r="F6">
            <v>0.96634973981001382</v>
          </cell>
          <cell r="G6">
            <v>3.1950013056719633</v>
          </cell>
          <cell r="H6">
            <v>3.260205413950986E-2</v>
          </cell>
          <cell r="I6">
            <v>6.5204108279019721E-2</v>
          </cell>
          <cell r="J6" t="str">
            <v>--</v>
          </cell>
          <cell r="K6">
            <v>34.845634830983471</v>
          </cell>
          <cell r="L6">
            <v>15.428174814477185</v>
          </cell>
          <cell r="M6">
            <v>1.405065920604172</v>
          </cell>
          <cell r="N6">
            <v>1.0168240214898614</v>
          </cell>
          <cell r="O6">
            <v>3.3991495601779849</v>
          </cell>
          <cell r="P6">
            <v>3.4685199593652939E-2</v>
          </cell>
          <cell r="Q6">
            <v>6.9370399187305878E-2</v>
          </cell>
          <cell r="R6" t="str">
            <v>--</v>
          </cell>
          <cell r="S6">
            <v>33.980780957254588</v>
          </cell>
          <cell r="T6">
            <v>15.045254060770532</v>
          </cell>
          <cell r="U6">
            <v>1.3701927805344591</v>
          </cell>
          <cell r="V6">
            <v>0.99158688064993761</v>
          </cell>
          <cell r="W6">
            <v>3.2970754329249741</v>
          </cell>
          <cell r="X6">
            <v>3.36436268665814E-2</v>
          </cell>
          <cell r="Y6">
            <v>3.1664589992076608E-2</v>
          </cell>
          <cell r="Z6" t="str">
            <v>--</v>
          </cell>
        </row>
        <row r="7">
          <cell r="A7" t="str">
            <v>XF1010</v>
          </cell>
          <cell r="B7" t="str">
            <v>No. 10 Boiler</v>
          </cell>
          <cell r="C7">
            <v>106.88994263200965</v>
          </cell>
          <cell r="D7">
            <v>6.671239983274126</v>
          </cell>
          <cell r="E7">
            <v>2.1264577446686275</v>
          </cell>
          <cell r="F7">
            <v>1.5388838941680858</v>
          </cell>
          <cell r="G7">
            <v>4.7425938001300771</v>
          </cell>
          <cell r="H7">
            <v>4.8393814287041648E-2</v>
          </cell>
          <cell r="I7">
            <v>9.6787628574083295E-2</v>
          </cell>
          <cell r="J7" t="str">
            <v>--</v>
          </cell>
          <cell r="K7">
            <v>96.636771218214577</v>
          </cell>
          <cell r="L7">
            <v>6.0313166620823573</v>
          </cell>
          <cell r="M7">
            <v>1.922482186038752</v>
          </cell>
          <cell r="N7">
            <v>1.3912700030543601</v>
          </cell>
          <cell r="O7">
            <v>4.8394267384979628</v>
          </cell>
          <cell r="P7">
            <v>4.9381905494877212E-2</v>
          </cell>
          <cell r="Q7">
            <v>9.8763810989754425E-2</v>
          </cell>
          <cell r="R7" t="str">
            <v>--</v>
          </cell>
          <cell r="S7">
            <v>101.76335692511211</v>
          </cell>
          <cell r="T7">
            <v>6.3512783226782421</v>
          </cell>
          <cell r="U7">
            <v>2.0244699653536897</v>
          </cell>
          <cell r="V7">
            <v>1.465076948611223</v>
          </cell>
          <cell r="W7">
            <v>4.79101026931402</v>
          </cell>
          <cell r="X7">
            <v>4.888785989095943E-2</v>
          </cell>
          <cell r="Y7">
            <v>4.6012103426785349E-2</v>
          </cell>
          <cell r="Z7" t="str">
            <v>--</v>
          </cell>
        </row>
        <row r="8">
          <cell r="A8" t="str">
            <v>XF1011</v>
          </cell>
          <cell r="B8" t="str">
            <v>No. 11 Boiler</v>
          </cell>
          <cell r="C8">
            <v>25.595094082141191</v>
          </cell>
          <cell r="D8">
            <v>28.265936669482048</v>
          </cell>
          <cell r="E8">
            <v>2.2064736277707926</v>
          </cell>
          <cell r="F8">
            <v>1.596790125360442</v>
          </cell>
          <cell r="G8">
            <v>4.9289485024826014</v>
          </cell>
          <cell r="H8">
            <v>5.0295392882475573E-2</v>
          </cell>
          <cell r="I8">
            <v>0.10059078576495115</v>
          </cell>
          <cell r="J8" t="str">
            <v>--</v>
          </cell>
          <cell r="K8">
            <v>25.627013507488481</v>
          </cell>
          <cell r="L8">
            <v>28.301186880030105</v>
          </cell>
          <cell r="M8">
            <v>2.2092253023696968</v>
          </cell>
          <cell r="N8">
            <v>1.5987814688201754</v>
          </cell>
          <cell r="O8">
            <v>5.5362608953508898</v>
          </cell>
          <cell r="P8">
            <v>5.6492458115825456E-2</v>
          </cell>
          <cell r="Q8">
            <v>0.11298491623165091</v>
          </cell>
          <cell r="R8" t="str">
            <v>--</v>
          </cell>
          <cell r="S8">
            <v>25.611053794814836</v>
          </cell>
          <cell r="T8">
            <v>28.283561774756077</v>
          </cell>
          <cell r="U8">
            <v>2.2078494650702449</v>
          </cell>
          <cell r="V8">
            <v>1.5977857970903087</v>
          </cell>
          <cell r="W8">
            <v>5.2326046989167452</v>
          </cell>
          <cell r="X8">
            <v>5.3393925499150514E-2</v>
          </cell>
          <cell r="Y8">
            <v>5.0253106352141662E-2</v>
          </cell>
          <cell r="Z8" t="str">
            <v>--</v>
          </cell>
        </row>
        <row r="9">
          <cell r="A9" t="str">
            <v>XF1601</v>
          </cell>
          <cell r="B9" t="str">
            <v>No. 6 Crude Unit Furnace 1</v>
          </cell>
          <cell r="C9">
            <v>68.328488300526942</v>
          </cell>
          <cell r="D9">
            <v>42.616704857161359</v>
          </cell>
          <cell r="E9">
            <v>3.8811641923486233</v>
          </cell>
          <cell r="F9">
            <v>2.8087372444628196</v>
          </cell>
          <cell r="G9">
            <v>2.384566797127758</v>
          </cell>
          <cell r="H9">
            <v>2.4332314256405717E-2</v>
          </cell>
          <cell r="I9">
            <v>4.8664628512811434E-2</v>
          </cell>
          <cell r="J9" t="str">
            <v>--</v>
          </cell>
          <cell r="K9">
            <v>66.127524451446476</v>
          </cell>
          <cell r="L9">
            <v>41.258752588163759</v>
          </cell>
          <cell r="M9">
            <v>3.7574935392791988</v>
          </cell>
          <cell r="N9">
            <v>2.7192387455309994</v>
          </cell>
          <cell r="O9">
            <v>1.8612074436084338</v>
          </cell>
          <cell r="P9">
            <v>1.8991912689881995E-2</v>
          </cell>
          <cell r="Q9">
            <v>3.798382537976399E-2</v>
          </cell>
          <cell r="R9" t="str">
            <v>--</v>
          </cell>
          <cell r="S9">
            <v>67.228006375986709</v>
          </cell>
          <cell r="T9">
            <v>41.937728722662555</v>
          </cell>
          <cell r="U9">
            <v>3.8193288658139108</v>
          </cell>
          <cell r="V9">
            <v>2.7639879949969095</v>
          </cell>
          <cell r="W9">
            <v>2.1228871203680959</v>
          </cell>
          <cell r="X9">
            <v>2.1662113473143854E-2</v>
          </cell>
          <cell r="Y9">
            <v>2.0387871504135392E-2</v>
          </cell>
          <cell r="Z9" t="str">
            <v>--</v>
          </cell>
        </row>
        <row r="10">
          <cell r="A10" t="str">
            <v>XF1602</v>
          </cell>
          <cell r="B10" t="str">
            <v>No. 6 Crude Unit Furnace 2</v>
          </cell>
          <cell r="C10">
            <v>41.275459578252224</v>
          </cell>
          <cell r="D10">
            <v>25.366832049847716</v>
          </cell>
          <cell r="E10">
            <v>2.3101936331111315</v>
          </cell>
          <cell r="F10">
            <v>1.6718506555409507</v>
          </cell>
          <cell r="G10">
            <v>1.4185849087993805</v>
          </cell>
          <cell r="H10">
            <v>1.447535621223859E-2</v>
          </cell>
          <cell r="I10">
            <v>2.8950712424477179E-2</v>
          </cell>
          <cell r="J10" t="str">
            <v>--</v>
          </cell>
          <cell r="K10">
            <v>40.545013256561973</v>
          </cell>
          <cell r="L10">
            <v>24.917918594901998</v>
          </cell>
          <cell r="M10">
            <v>2.2693104434642897</v>
          </cell>
          <cell r="N10">
            <v>1.6422641367175781</v>
          </cell>
          <cell r="O10">
            <v>1.1209682285464966</v>
          </cell>
          <cell r="P10">
            <v>1.1438451311698955E-2</v>
          </cell>
          <cell r="Q10">
            <v>2.2876902623397911E-2</v>
          </cell>
          <cell r="R10" t="str">
            <v>--</v>
          </cell>
          <cell r="S10">
            <v>40.910236417407098</v>
          </cell>
          <cell r="T10">
            <v>25.142375322374857</v>
          </cell>
          <cell r="U10">
            <v>2.2897520382877108</v>
          </cell>
          <cell r="V10">
            <v>1.6570573961292645</v>
          </cell>
          <cell r="W10">
            <v>1.2697765686729385</v>
          </cell>
          <cell r="X10">
            <v>1.2956903761968772E-2</v>
          </cell>
          <cell r="Y10">
            <v>1.2194732952441197E-2</v>
          </cell>
          <cell r="Z10" t="str">
            <v>--</v>
          </cell>
        </row>
        <row r="11">
          <cell r="A11" t="str">
            <v>XF3804</v>
          </cell>
          <cell r="B11" t="str">
            <v>Plant 38 Feed Furnace</v>
          </cell>
          <cell r="C11">
            <v>5.4036743748325229</v>
          </cell>
          <cell r="D11">
            <v>4.5409028359937169</v>
          </cell>
          <cell r="E11">
            <v>0.41354650827799905</v>
          </cell>
          <cell r="F11">
            <v>0.29927707835907824</v>
          </cell>
          <cell r="G11">
            <v>0.9818574877325642</v>
          </cell>
          <cell r="H11">
            <v>1.0018953956454746E-2</v>
          </cell>
          <cell r="I11">
            <v>2.0037907912909492E-2</v>
          </cell>
          <cell r="J11" t="str">
            <v>--</v>
          </cell>
          <cell r="K11">
            <v>3.9883354323281623</v>
          </cell>
          <cell r="L11">
            <v>3.3515423801076998</v>
          </cell>
          <cell r="M11">
            <v>0.30522975247409401</v>
          </cell>
          <cell r="N11">
            <v>0.22088995244835752</v>
          </cell>
          <cell r="O11">
            <v>0.65987083857330253</v>
          </cell>
          <cell r="P11">
            <v>6.7333759038092156E-3</v>
          </cell>
          <cell r="Q11">
            <v>1.3466751807618431E-2</v>
          </cell>
          <cell r="R11" t="str">
            <v>--</v>
          </cell>
          <cell r="S11">
            <v>4.6960049035803424</v>
          </cell>
          <cell r="T11">
            <v>3.9462226080507081</v>
          </cell>
          <cell r="U11">
            <v>0.35938813037604656</v>
          </cell>
          <cell r="V11">
            <v>0.26008351540371788</v>
          </cell>
          <cell r="W11">
            <v>0.82086416315293342</v>
          </cell>
          <cell r="X11">
            <v>8.3761649301319803E-3</v>
          </cell>
          <cell r="Y11">
            <v>7.8834493460065696E-3</v>
          </cell>
          <cell r="Z11" t="str">
            <v>--</v>
          </cell>
        </row>
        <row r="12">
          <cell r="A12" t="str">
            <v>XF4131</v>
          </cell>
          <cell r="B12" t="str">
            <v>Naphtha Hydrotreater Furnace No. 1</v>
          </cell>
          <cell r="C12">
            <v>8.8809010349306838</v>
          </cell>
          <cell r="D12">
            <v>7.4629420461602365</v>
          </cell>
          <cell r="E12">
            <v>0.67966079348959307</v>
          </cell>
          <cell r="F12">
            <v>0.49185978476220554</v>
          </cell>
          <cell r="G12">
            <v>1.6879661876558762</v>
          </cell>
          <cell r="H12">
            <v>1.7224144771998753E-2</v>
          </cell>
          <cell r="I12">
            <v>3.4448289543997507E-2</v>
          </cell>
          <cell r="J12" t="str">
            <v>--</v>
          </cell>
          <cell r="K12">
            <v>11.195527471646489</v>
          </cell>
          <cell r="L12">
            <v>9.4080062786945273</v>
          </cell>
          <cell r="M12">
            <v>0.85680057180968017</v>
          </cell>
          <cell r="N12">
            <v>0.6200530453885843</v>
          </cell>
          <cell r="O12">
            <v>2.1973603437334077</v>
          </cell>
          <cell r="P12">
            <v>2.2422044323810304E-2</v>
          </cell>
          <cell r="Q12">
            <v>4.4844088647620607E-2</v>
          </cell>
          <cell r="R12" t="str">
            <v>--</v>
          </cell>
          <cell r="S12">
            <v>10.038214253288587</v>
          </cell>
          <cell r="T12">
            <v>8.4354741624273828</v>
          </cell>
          <cell r="U12">
            <v>0.76823068264963656</v>
          </cell>
          <cell r="V12">
            <v>0.55595641507539495</v>
          </cell>
          <cell r="W12">
            <v>1.9426632656946419</v>
          </cell>
          <cell r="X12">
            <v>1.9823094547904527E-2</v>
          </cell>
          <cell r="Y12">
            <v>1.8657030162733672E-2</v>
          </cell>
          <cell r="Z12" t="str">
            <v>--</v>
          </cell>
        </row>
        <row r="13">
          <cell r="A13" t="str">
            <v>XF4132</v>
          </cell>
          <cell r="B13" t="str">
            <v>Naphtha Hydrotreater Furnace No. 2</v>
          </cell>
          <cell r="C13">
            <v>10.263524235211515</v>
          </cell>
          <cell r="D13">
            <v>8.6248102816903476</v>
          </cell>
          <cell r="E13">
            <v>0.78547379351108515</v>
          </cell>
          <cell r="F13">
            <v>0.56843498214618005</v>
          </cell>
          <cell r="G13">
            <v>1.9389747791179763</v>
          </cell>
          <cell r="H13">
            <v>1.9785456929775288E-2</v>
          </cell>
          <cell r="I13">
            <v>3.9570913859550576E-2</v>
          </cell>
          <cell r="J13" t="str">
            <v>--</v>
          </cell>
          <cell r="K13">
            <v>9.8450327467398679</v>
          </cell>
          <cell r="L13">
            <v>8.2731367619662741</v>
          </cell>
          <cell r="M13">
            <v>0.75344638367907124</v>
          </cell>
          <cell r="N13">
            <v>0.54525725134669634</v>
          </cell>
          <cell r="O13">
            <v>1.916286458668448</v>
          </cell>
          <cell r="P13">
            <v>1.9553943455800509E-2</v>
          </cell>
          <cell r="Q13">
            <v>3.9107886911601018E-2</v>
          </cell>
          <cell r="R13" t="str">
            <v>--</v>
          </cell>
          <cell r="S13">
            <v>10.05427849097569</v>
          </cell>
          <cell r="T13">
            <v>8.4489735218283109</v>
          </cell>
          <cell r="U13">
            <v>0.7694600885950782</v>
          </cell>
          <cell r="V13">
            <v>0.55684611674643825</v>
          </cell>
          <cell r="W13">
            <v>1.9276306188932122</v>
          </cell>
          <cell r="X13">
            <v>1.9669700192787899E-2</v>
          </cell>
          <cell r="Y13">
            <v>1.8512659004976846E-2</v>
          </cell>
          <cell r="Z13" t="str">
            <v>--</v>
          </cell>
        </row>
        <row r="14">
          <cell r="A14" t="str">
            <v>XF4150-60</v>
          </cell>
          <cell r="B14" t="str">
            <v>Rheniformer Reactor Furnace (F-4150)</v>
          </cell>
          <cell r="C14">
            <v>96.046257895309537</v>
          </cell>
          <cell r="D14">
            <v>40.150719932347961</v>
          </cell>
          <cell r="E14">
            <v>3.6565834224102605</v>
          </cell>
          <cell r="F14">
            <v>2.6462116872705836</v>
          </cell>
          <cell r="G14">
            <v>8.9982696325684621</v>
          </cell>
          <cell r="H14">
            <v>9.1819077883351738E-2</v>
          </cell>
          <cell r="I14">
            <v>0.18363815576670348</v>
          </cell>
          <cell r="J14" t="str">
            <v>--</v>
          </cell>
          <cell r="K14">
            <v>75.489815542281647</v>
          </cell>
          <cell r="L14">
            <v>31.557402734904244</v>
          </cell>
          <cell r="M14">
            <v>2.8739777490716367</v>
          </cell>
          <cell r="N14">
            <v>2.0798523184071058</v>
          </cell>
          <cell r="O14">
            <v>7.2438974633059594</v>
          </cell>
          <cell r="P14">
            <v>7.3917321054142518E-2</v>
          </cell>
          <cell r="Q14">
            <v>0.14783464210828504</v>
          </cell>
          <cell r="R14" t="str">
            <v>--</v>
          </cell>
          <cell r="S14">
            <v>85.768036718795599</v>
          </cell>
          <cell r="T14">
            <v>35.854061333626106</v>
          </cell>
          <cell r="U14">
            <v>3.2652805857409488</v>
          </cell>
          <cell r="V14">
            <v>2.3630320028388447</v>
          </cell>
          <cell r="W14">
            <v>8.1210835479372108</v>
          </cell>
          <cell r="X14">
            <v>8.2868199468747128E-2</v>
          </cell>
          <cell r="Y14">
            <v>7.799359949999729E-2</v>
          </cell>
          <cell r="Z14" t="str">
            <v>--</v>
          </cell>
        </row>
        <row r="15">
          <cell r="A15" t="str">
            <v>XF4150-60</v>
          </cell>
          <cell r="B15" t="str">
            <v>Rheniformer Reactor Furnace (F-4160)</v>
          </cell>
          <cell r="C15">
            <v>115.30525639489247</v>
          </cell>
          <cell r="D15">
            <v>48.201659884398154</v>
          </cell>
          <cell r="E15">
            <v>4.3897940251862622</v>
          </cell>
          <cell r="F15">
            <v>3.1768246234900581</v>
          </cell>
          <cell r="G15">
            <v>10.849971406247263</v>
          </cell>
          <cell r="H15">
            <v>0.1107139939412987</v>
          </cell>
          <cell r="I15">
            <v>0.2214279878825974</v>
          </cell>
          <cell r="J15" t="str">
            <v>--</v>
          </cell>
          <cell r="K15">
            <v>73.992942247620888</v>
          </cell>
          <cell r="L15">
            <v>30.931656956306128</v>
          </cell>
          <cell r="M15">
            <v>2.8169901870921654</v>
          </cell>
          <cell r="N15">
            <v>2.0386113196061721</v>
          </cell>
          <cell r="O15">
            <v>7.0643264396083705</v>
          </cell>
          <cell r="P15">
            <v>7.2084963669473243E-2</v>
          </cell>
          <cell r="Q15">
            <v>0.14416992733894649</v>
          </cell>
          <cell r="R15" t="str">
            <v>--</v>
          </cell>
          <cell r="S15">
            <v>94.649099321256671</v>
          </cell>
          <cell r="T15">
            <v>39.566658420352141</v>
          </cell>
          <cell r="U15">
            <v>3.6033921061392138</v>
          </cell>
          <cell r="V15">
            <v>2.6077179715481149</v>
          </cell>
          <cell r="W15">
            <v>8.9571489229278178</v>
          </cell>
          <cell r="X15">
            <v>9.1399478805385972E-2</v>
          </cell>
          <cell r="Y15">
            <v>8.602303887565739E-2</v>
          </cell>
          <cell r="Z15" t="str">
            <v>--</v>
          </cell>
        </row>
        <row r="16">
          <cell r="A16" t="str">
            <v>XF4170-80</v>
          </cell>
          <cell r="B16" t="str">
            <v>Rheniformer Reactor Furnace (F-4170)</v>
          </cell>
          <cell r="C16">
            <v>103.35634882582275</v>
          </cell>
          <cell r="D16">
            <v>35.465413812782316</v>
          </cell>
          <cell r="E16">
            <v>3.2298859008069609</v>
          </cell>
          <cell r="F16">
            <v>2.3374174282155638</v>
          </cell>
          <cell r="G16">
            <v>7.9735441157949936</v>
          </cell>
          <cell r="H16">
            <v>8.1362695059132656E-2</v>
          </cell>
          <cell r="I16">
            <v>0.16272539011826531</v>
          </cell>
          <cell r="J16" t="str">
            <v>--</v>
          </cell>
          <cell r="K16">
            <v>57.049743533335629</v>
          </cell>
          <cell r="L16">
            <v>19.57589238888967</v>
          </cell>
          <cell r="M16">
            <v>1.7828044854167384</v>
          </cell>
          <cell r="N16">
            <v>1.2901874565515872</v>
          </cell>
          <cell r="O16">
            <v>4.4879231649841671</v>
          </cell>
          <cell r="P16">
            <v>4.5795134336573173E-2</v>
          </cell>
          <cell r="Q16">
            <v>9.1590268673146347E-2</v>
          </cell>
          <cell r="R16" t="str">
            <v>--</v>
          </cell>
          <cell r="S16">
            <v>80.203046179579189</v>
          </cell>
          <cell r="T16">
            <v>27.520653100835993</v>
          </cell>
          <cell r="U16">
            <v>2.5063451931118497</v>
          </cell>
          <cell r="V16">
            <v>1.8138024423835755</v>
          </cell>
          <cell r="W16">
            <v>6.2307336403895803</v>
          </cell>
          <cell r="X16">
            <v>6.3578914697852915E-2</v>
          </cell>
          <cell r="Y16">
            <v>5.9838978539155686E-2</v>
          </cell>
          <cell r="Z16" t="str">
            <v>--</v>
          </cell>
        </row>
        <row r="17">
          <cell r="A17" t="str">
            <v>XF4170-80</v>
          </cell>
          <cell r="B17" t="str">
            <v>Rheniformer Reactor Furnace (F-4180)</v>
          </cell>
          <cell r="C17">
            <v>27.750441378588846</v>
          </cell>
          <cell r="D17">
            <v>9.52221027696676</v>
          </cell>
          <cell r="E17">
            <v>0.86720129308090144</v>
          </cell>
          <cell r="F17">
            <v>0.62757988315065238</v>
          </cell>
          <cell r="G17">
            <v>2.1305956668035178</v>
          </cell>
          <cell r="H17">
            <v>2.174077211024E-2</v>
          </cell>
          <cell r="I17">
            <v>4.3481544220479999E-2</v>
          </cell>
          <cell r="J17" t="str">
            <v>--</v>
          </cell>
          <cell r="K17">
            <v>18.538009288066249</v>
          </cell>
          <cell r="L17">
            <v>6.3610816184541044</v>
          </cell>
          <cell r="M17">
            <v>0.57931279025207028</v>
          </cell>
          <cell r="N17">
            <v>0.41923951926136666</v>
          </cell>
          <cell r="O17">
            <v>1.484713720701615</v>
          </cell>
          <cell r="P17">
            <v>1.5150140007159349E-2</v>
          </cell>
          <cell r="Q17">
            <v>3.0300280014318698E-2</v>
          </cell>
          <cell r="R17" t="str">
            <v>--</v>
          </cell>
          <cell r="S17">
            <v>23.144225333327547</v>
          </cell>
          <cell r="T17">
            <v>7.9416459477104322</v>
          </cell>
          <cell r="U17">
            <v>0.72325704166648586</v>
          </cell>
          <cell r="V17">
            <v>0.52340970120600949</v>
          </cell>
          <cell r="W17">
            <v>1.8076546937525664</v>
          </cell>
          <cell r="X17">
            <v>1.8445456058699676E-2</v>
          </cell>
          <cell r="Y17">
            <v>1.7360429231717343E-2</v>
          </cell>
          <cell r="Z17" t="str">
            <v>--</v>
          </cell>
        </row>
        <row r="18">
          <cell r="A18" t="str">
            <v>XF7104</v>
          </cell>
          <cell r="B18" t="str">
            <v>SRU Tailgas Incinerator</v>
          </cell>
          <cell r="C18">
            <v>0.7175543410940417</v>
          </cell>
          <cell r="D18">
            <v>0.60274564651899498</v>
          </cell>
          <cell r="E18">
            <v>5.4534129923147177E-2</v>
          </cell>
          <cell r="F18">
            <v>4.0183043101266323E-2</v>
          </cell>
          <cell r="G18">
            <v>3.8170163391184346E-3</v>
          </cell>
          <cell r="H18">
            <v>3.8949146317535083E-5</v>
          </cell>
          <cell r="I18" t="str">
            <v>--</v>
          </cell>
          <cell r="J18" t="str">
            <v>--</v>
          </cell>
          <cell r="K18">
            <v>0.92370813081528647</v>
          </cell>
          <cell r="L18">
            <v>0.77591482988484073</v>
          </cell>
          <cell r="M18">
            <v>7.0201817941961786E-2</v>
          </cell>
          <cell r="N18">
            <v>5.1727655325656048E-2</v>
          </cell>
          <cell r="O18">
            <v>4.9914360208699396E-3</v>
          </cell>
          <cell r="P18">
            <v>5.0933020621121877E-5</v>
          </cell>
          <cell r="Q18" t="str">
            <v>--</v>
          </cell>
          <cell r="R18" t="str">
            <v>--</v>
          </cell>
          <cell r="S18">
            <v>0.82063123595466414</v>
          </cell>
          <cell r="T18">
            <v>0.68933023820191786</v>
          </cell>
          <cell r="U18">
            <v>6.2367973932554485E-2</v>
          </cell>
          <cell r="V18">
            <v>4.5955349213461186E-2</v>
          </cell>
          <cell r="W18">
            <v>4.4042261799941869E-3</v>
          </cell>
          <cell r="X18">
            <v>4.4941083469328484E-5</v>
          </cell>
          <cell r="Y18">
            <v>4.2297490324073869E-5</v>
          </cell>
          <cell r="Z18" t="str">
            <v>--</v>
          </cell>
        </row>
        <row r="19">
          <cell r="A19" t="str">
            <v>K501-04</v>
          </cell>
          <cell r="B19" t="str">
            <v>4 Relief Gas Compressors</v>
          </cell>
          <cell r="C19">
            <v>145.92991207399956</v>
          </cell>
          <cell r="D19">
            <v>88.981653703658267</v>
          </cell>
          <cell r="E19">
            <v>5.7316049205649744</v>
          </cell>
          <cell r="F19">
            <v>14.237064592585321</v>
          </cell>
          <cell r="G19">
            <v>6.1874009603630306E-2</v>
          </cell>
          <cell r="H19">
            <v>6.3136744493500375E-4</v>
          </cell>
          <cell r="I19" t="str">
            <v>--</v>
          </cell>
          <cell r="J19" t="str">
            <v>--</v>
          </cell>
          <cell r="K19">
            <v>215.33222571696169</v>
          </cell>
          <cell r="L19">
            <v>131.30013763229368</v>
          </cell>
          <cell r="M19">
            <v>8.4574795320214786</v>
          </cell>
          <cell r="N19">
            <v>21.008022021166994</v>
          </cell>
          <cell r="O19">
            <v>9.2745850577176783E-2</v>
          </cell>
          <cell r="P19">
            <v>9.463862303793558E-4</v>
          </cell>
          <cell r="Q19" t="str">
            <v>--</v>
          </cell>
          <cell r="R19" t="str">
            <v>--</v>
          </cell>
          <cell r="S19">
            <v>180.63106889548061</v>
          </cell>
          <cell r="T19">
            <v>110.14089566797597</v>
          </cell>
          <cell r="U19">
            <v>7.0945422262932265</v>
          </cell>
          <cell r="V19">
            <v>17.622543306876157</v>
          </cell>
          <cell r="W19">
            <v>7.7309930090403545E-2</v>
          </cell>
          <cell r="X19">
            <v>7.8887683765717972E-4</v>
          </cell>
          <cell r="Y19">
            <v>7.4247231779499268E-4</v>
          </cell>
          <cell r="Z19" t="str">
            <v>--</v>
          </cell>
        </row>
        <row r="20">
          <cell r="A20">
            <v>160</v>
          </cell>
          <cell r="B20" t="str">
            <v>Stretford Absorber Stack</v>
          </cell>
          <cell r="C20" t="str">
            <v>--</v>
          </cell>
          <cell r="D20">
            <v>16.490195564429854</v>
          </cell>
          <cell r="E20">
            <v>4.38</v>
          </cell>
          <cell r="F20" t="str">
            <v>--</v>
          </cell>
          <cell r="G20" t="str">
            <v>--</v>
          </cell>
          <cell r="H20">
            <v>1.1787862796833772E-2</v>
          </cell>
          <cell r="I20">
            <v>0.95042532981530337</v>
          </cell>
          <cell r="J20" t="str">
            <v>--</v>
          </cell>
          <cell r="K20" t="str">
            <v>--</v>
          </cell>
          <cell r="L20">
            <v>14.841176007986869</v>
          </cell>
          <cell r="M20">
            <v>4.38</v>
          </cell>
          <cell r="N20" t="str">
            <v>--</v>
          </cell>
          <cell r="O20" t="str">
            <v>--</v>
          </cell>
          <cell r="P20">
            <v>1.0609076517150397E-2</v>
          </cell>
          <cell r="Q20">
            <v>0.85538279683377316</v>
          </cell>
          <cell r="R20" t="str">
            <v>--</v>
          </cell>
          <cell r="S20" t="str">
            <v>--</v>
          </cell>
          <cell r="T20">
            <v>15.66568578620836</v>
          </cell>
          <cell r="U20">
            <v>4.38</v>
          </cell>
          <cell r="V20" t="str">
            <v>--</v>
          </cell>
          <cell r="W20" t="str">
            <v>--</v>
          </cell>
          <cell r="X20">
            <v>1.1198469656992085E-2</v>
          </cell>
          <cell r="Y20">
            <v>0.90290406332453821</v>
          </cell>
          <cell r="Z20" t="str">
            <v>--</v>
          </cell>
        </row>
        <row r="21">
          <cell r="A21" t="str">
            <v>LE-FUG</v>
          </cell>
          <cell r="B21" t="str">
            <v>LER Unit Fugitives</v>
          </cell>
          <cell r="C21" t="str">
            <v>--</v>
          </cell>
          <cell r="D21" t="str">
            <v>--</v>
          </cell>
          <cell r="E21" t="str">
            <v>--</v>
          </cell>
          <cell r="F21">
            <v>24.547511699880008</v>
          </cell>
          <cell r="G21" t="str">
            <v>--</v>
          </cell>
          <cell r="H21">
            <v>0</v>
          </cell>
          <cell r="I21">
            <v>0</v>
          </cell>
          <cell r="J21" t="str">
            <v>--</v>
          </cell>
          <cell r="K21" t="str">
            <v>--</v>
          </cell>
          <cell r="L21" t="str">
            <v>--</v>
          </cell>
          <cell r="M21" t="str">
            <v>--</v>
          </cell>
          <cell r="N21">
            <v>24.547511699880008</v>
          </cell>
          <cell r="O21" t="str">
            <v>--</v>
          </cell>
          <cell r="P21">
            <v>0</v>
          </cell>
          <cell r="Q21">
            <v>0</v>
          </cell>
          <cell r="R21" t="str">
            <v>--</v>
          </cell>
          <cell r="S21" t="str">
            <v>--</v>
          </cell>
          <cell r="T21" t="str">
            <v>--</v>
          </cell>
          <cell r="U21" t="str">
            <v>--</v>
          </cell>
          <cell r="V21">
            <v>24.547511699880008</v>
          </cell>
          <cell r="W21" t="str">
            <v>--</v>
          </cell>
          <cell r="X21">
            <v>0</v>
          </cell>
          <cell r="Y21">
            <v>0</v>
          </cell>
          <cell r="Z21" t="str">
            <v>--</v>
          </cell>
        </row>
        <row r="22">
          <cell r="A22" t="str">
            <v>F-14-5-6</v>
          </cell>
          <cell r="B22" t="str">
            <v>5-6 Cooling Towers</v>
          </cell>
          <cell r="C22" t="str">
            <v>--</v>
          </cell>
          <cell r="D22" t="str">
            <v>--</v>
          </cell>
          <cell r="E22">
            <v>19.36</v>
          </cell>
          <cell r="F22">
            <v>0.41357625202435733</v>
          </cell>
          <cell r="G22" t="str">
            <v>--</v>
          </cell>
          <cell r="H22" t="str">
            <v>--</v>
          </cell>
          <cell r="I22" t="str">
            <v>--</v>
          </cell>
          <cell r="J22" t="str">
            <v>--</v>
          </cell>
          <cell r="K22" t="str">
            <v>--</v>
          </cell>
          <cell r="L22" t="str">
            <v>--</v>
          </cell>
          <cell r="M22">
            <v>11.62</v>
          </cell>
          <cell r="N22">
            <v>0.42276683540267734</v>
          </cell>
          <cell r="O22" t="str">
            <v>--</v>
          </cell>
          <cell r="P22" t="str">
            <v>--</v>
          </cell>
          <cell r="Q22" t="str">
            <v>--</v>
          </cell>
          <cell r="R22" t="str">
            <v>--</v>
          </cell>
          <cell r="S22" t="str">
            <v>--</v>
          </cell>
          <cell r="T22" t="str">
            <v>--</v>
          </cell>
          <cell r="U22">
            <v>15.489999999999998</v>
          </cell>
          <cell r="V22">
            <v>0.41817154371351734</v>
          </cell>
          <cell r="W22" t="str">
            <v>--</v>
          </cell>
          <cell r="X22" t="str">
            <v>--</v>
          </cell>
          <cell r="Y22" t="str">
            <v>--</v>
          </cell>
          <cell r="Z22" t="str">
            <v>--</v>
          </cell>
        </row>
        <row r="23">
          <cell r="A23" t="str">
            <v>F-14-7</v>
          </cell>
          <cell r="B23" t="str">
            <v>7 Cooling Tower</v>
          </cell>
          <cell r="C23" t="str">
            <v>--</v>
          </cell>
          <cell r="D23" t="str">
            <v>--</v>
          </cell>
          <cell r="E23">
            <v>6.14</v>
          </cell>
          <cell r="F23">
            <v>0.30589209840620779</v>
          </cell>
          <cell r="G23" t="str">
            <v>--</v>
          </cell>
          <cell r="H23" t="str">
            <v>--</v>
          </cell>
          <cell r="I23" t="str">
            <v>--</v>
          </cell>
          <cell r="J23" t="str">
            <v>--</v>
          </cell>
          <cell r="K23" t="str">
            <v>--</v>
          </cell>
          <cell r="L23" t="str">
            <v>--</v>
          </cell>
          <cell r="M23">
            <v>6.14</v>
          </cell>
          <cell r="N23">
            <v>0.14772499933070909</v>
          </cell>
          <cell r="O23" t="str">
            <v>--</v>
          </cell>
          <cell r="P23" t="str">
            <v>--</v>
          </cell>
          <cell r="Q23" t="str">
            <v>--</v>
          </cell>
          <cell r="R23" t="str">
            <v>--</v>
          </cell>
          <cell r="S23" t="str">
            <v>--</v>
          </cell>
          <cell r="T23" t="str">
            <v>--</v>
          </cell>
          <cell r="U23">
            <v>6.14</v>
          </cell>
          <cell r="V23">
            <v>0.22680854886845844</v>
          </cell>
          <cell r="W23" t="str">
            <v>--</v>
          </cell>
          <cell r="X23" t="str">
            <v>--</v>
          </cell>
          <cell r="Y23" t="str">
            <v>--</v>
          </cell>
          <cell r="Z23" t="str">
            <v>--</v>
          </cell>
        </row>
        <row r="24">
          <cell r="A24" t="str">
            <v>F-14-8</v>
          </cell>
          <cell r="B24" t="str">
            <v>8 Cooling Tower</v>
          </cell>
          <cell r="C24" t="str">
            <v>--</v>
          </cell>
          <cell r="D24" t="str">
            <v>--</v>
          </cell>
          <cell r="E24">
            <v>12.29</v>
          </cell>
          <cell r="F24">
            <v>0.27026611104163017</v>
          </cell>
          <cell r="G24" t="str">
            <v>--</v>
          </cell>
          <cell r="H24" t="str">
            <v>--</v>
          </cell>
          <cell r="I24" t="str">
            <v>--</v>
          </cell>
          <cell r="J24" t="str">
            <v>--</v>
          </cell>
          <cell r="K24" t="str">
            <v>--</v>
          </cell>
          <cell r="L24" t="str">
            <v>--</v>
          </cell>
          <cell r="M24">
            <v>12.29</v>
          </cell>
          <cell r="N24">
            <v>0.24938191155204972</v>
          </cell>
          <cell r="O24" t="str">
            <v>--</v>
          </cell>
          <cell r="P24" t="str">
            <v>--</v>
          </cell>
          <cell r="Q24" t="str">
            <v>--</v>
          </cell>
          <cell r="R24" t="str">
            <v>--</v>
          </cell>
          <cell r="S24" t="str">
            <v>--</v>
          </cell>
          <cell r="T24" t="str">
            <v>--</v>
          </cell>
          <cell r="U24">
            <v>12.29</v>
          </cell>
          <cell r="V24">
            <v>0.25982401129683996</v>
          </cell>
          <cell r="W24" t="str">
            <v>--</v>
          </cell>
          <cell r="X24" t="str">
            <v>--</v>
          </cell>
          <cell r="Y24" t="str">
            <v>--</v>
          </cell>
          <cell r="Z24" t="str">
            <v>--</v>
          </cell>
        </row>
        <row r="25">
          <cell r="A25" t="str">
            <v>F-14-9</v>
          </cell>
          <cell r="B25" t="str">
            <v>9 Cooling Tower</v>
          </cell>
          <cell r="C25" t="str">
            <v>--</v>
          </cell>
          <cell r="D25" t="str">
            <v>--</v>
          </cell>
          <cell r="E25">
            <v>9.98</v>
          </cell>
          <cell r="F25">
            <v>0.45365548780950832</v>
          </cell>
          <cell r="G25" t="str">
            <v>--</v>
          </cell>
          <cell r="H25" t="str">
            <v>--</v>
          </cell>
          <cell r="I25" t="str">
            <v>--</v>
          </cell>
          <cell r="J25" t="str">
            <v>--</v>
          </cell>
          <cell r="K25" t="str">
            <v>--</v>
          </cell>
          <cell r="L25" t="str">
            <v>--</v>
          </cell>
          <cell r="M25">
            <v>5.99</v>
          </cell>
          <cell r="N25">
            <v>0.22258564088343047</v>
          </cell>
          <cell r="O25" t="str">
            <v>--</v>
          </cell>
          <cell r="P25" t="str">
            <v>--</v>
          </cell>
          <cell r="Q25" t="str">
            <v>--</v>
          </cell>
          <cell r="R25" t="str">
            <v>--</v>
          </cell>
          <cell r="S25" t="str">
            <v>--</v>
          </cell>
          <cell r="T25" t="str">
            <v>--</v>
          </cell>
          <cell r="U25">
            <v>7.9850000000000003</v>
          </cell>
          <cell r="V25">
            <v>0.33812056434646942</v>
          </cell>
          <cell r="W25" t="str">
            <v>--</v>
          </cell>
          <cell r="X25" t="str">
            <v>--</v>
          </cell>
          <cell r="Y25" t="str">
            <v>--</v>
          </cell>
          <cell r="Z25" t="str">
            <v>--</v>
          </cell>
        </row>
        <row r="26">
          <cell r="A26" t="str">
            <v>WWCTS</v>
          </cell>
          <cell r="B26" t="str">
            <v>Wastewater Collection and Treatment System</v>
          </cell>
          <cell r="C26" t="str">
            <v>--</v>
          </cell>
          <cell r="D26" t="str">
            <v>--</v>
          </cell>
          <cell r="E26" t="str">
            <v>--</v>
          </cell>
          <cell r="F26">
            <v>1.1279999999999999</v>
          </cell>
          <cell r="G26" t="str">
            <v>--</v>
          </cell>
          <cell r="H26" t="str">
            <v>--</v>
          </cell>
          <cell r="I26" t="str">
            <v>--</v>
          </cell>
          <cell r="J26" t="str">
            <v>--</v>
          </cell>
          <cell r="K26" t="str">
            <v>--</v>
          </cell>
          <cell r="L26" t="str">
            <v>--</v>
          </cell>
          <cell r="M26" t="str">
            <v>--</v>
          </cell>
          <cell r="N26">
            <v>0.14810000000000001</v>
          </cell>
          <cell r="O26" t="str">
            <v>--</v>
          </cell>
          <cell r="P26" t="str">
            <v>--</v>
          </cell>
          <cell r="Q26" t="str">
            <v>--</v>
          </cell>
          <cell r="R26" t="str">
            <v>--</v>
          </cell>
          <cell r="S26" t="str">
            <v>--</v>
          </cell>
          <cell r="T26" t="str">
            <v>--</v>
          </cell>
          <cell r="U26" t="str">
            <v>--</v>
          </cell>
          <cell r="V26">
            <v>0.63805000000000001</v>
          </cell>
          <cell r="W26" t="str">
            <v>--</v>
          </cell>
          <cell r="X26" t="str">
            <v>--</v>
          </cell>
          <cell r="Y26" t="str">
            <v>--</v>
          </cell>
          <cell r="Z26" t="str">
            <v>--</v>
          </cell>
        </row>
        <row r="27">
          <cell r="A27" t="str">
            <v>PK-853</v>
          </cell>
          <cell r="B27" t="str">
            <v>Wastewater Collection and Treatment System Thermal Oxidizer</v>
          </cell>
          <cell r="C27">
            <v>1.3315259349609385</v>
          </cell>
          <cell r="D27">
            <v>1.1184817853671882</v>
          </cell>
          <cell r="E27">
            <v>0.10119597105703133</v>
          </cell>
          <cell r="F27">
            <v>7.4565452357812548E-2</v>
          </cell>
          <cell r="G27">
            <v>7.0830262722077989E-3</v>
          </cell>
          <cell r="H27">
            <v>7.2275778287834755E-5</v>
          </cell>
          <cell r="I27" t="str">
            <v>--</v>
          </cell>
          <cell r="J27" t="str">
            <v>--</v>
          </cell>
          <cell r="K27">
            <v>1.3226865143554689</v>
          </cell>
          <cell r="L27">
            <v>1.1110566720585939</v>
          </cell>
          <cell r="M27">
            <v>0.10052417509101566</v>
          </cell>
          <cell r="N27">
            <v>7.407044480390626E-2</v>
          </cell>
          <cell r="O27">
            <v>7.1473930907651724E-3</v>
          </cell>
          <cell r="P27">
            <v>7.2932582558828352E-5</v>
          </cell>
          <cell r="Q27" t="str">
            <v>--</v>
          </cell>
          <cell r="R27" t="str">
            <v>--</v>
          </cell>
          <cell r="S27">
            <v>1.3271062246582037</v>
          </cell>
          <cell r="T27">
            <v>1.1147692287128912</v>
          </cell>
          <cell r="U27">
            <v>0.1008600730740235</v>
          </cell>
          <cell r="V27">
            <v>7.4317948580859411E-2</v>
          </cell>
          <cell r="W27">
            <v>7.1152096814864861E-3</v>
          </cell>
          <cell r="X27">
            <v>7.260418042333156E-5</v>
          </cell>
          <cell r="Y27">
            <v>6.8333346280782651E-5</v>
          </cell>
          <cell r="Z27" t="str">
            <v>--</v>
          </cell>
        </row>
        <row r="28">
          <cell r="A28" t="str">
            <v>PK-854</v>
          </cell>
          <cell r="B28" t="str">
            <v>Wastewater Collection and Treatment System Canister</v>
          </cell>
          <cell r="C28" t="str">
            <v>--</v>
          </cell>
          <cell r="D28" t="str">
            <v>--</v>
          </cell>
          <cell r="E28" t="str">
            <v>--</v>
          </cell>
          <cell r="F28" t="str">
            <v>--</v>
          </cell>
          <cell r="G28" t="str">
            <v>--</v>
          </cell>
          <cell r="H28" t="str">
            <v>--</v>
          </cell>
          <cell r="I28" t="str">
            <v>--</v>
          </cell>
          <cell r="J28" t="str">
            <v>--</v>
          </cell>
          <cell r="K28" t="str">
            <v>--</v>
          </cell>
          <cell r="L28" t="str">
            <v>--</v>
          </cell>
          <cell r="M28" t="str">
            <v>--</v>
          </cell>
          <cell r="N28">
            <v>0.31900000000000001</v>
          </cell>
          <cell r="O28" t="str">
            <v>--</v>
          </cell>
          <cell r="P28" t="str">
            <v>--</v>
          </cell>
          <cell r="Q28" t="str">
            <v>--</v>
          </cell>
          <cell r="R28" t="str">
            <v>--</v>
          </cell>
          <cell r="S28" t="str">
            <v>--</v>
          </cell>
          <cell r="T28" t="str">
            <v>--</v>
          </cell>
          <cell r="U28" t="str">
            <v>--</v>
          </cell>
          <cell r="V28">
            <v>0.1595</v>
          </cell>
          <cell r="W28" t="str">
            <v>--</v>
          </cell>
          <cell r="X28" t="str">
            <v>--</v>
          </cell>
          <cell r="Y28" t="str">
            <v>--</v>
          </cell>
          <cell r="Z28" t="str">
            <v>--</v>
          </cell>
        </row>
        <row r="29">
          <cell r="A29" t="str">
            <v>LLPG-TC</v>
          </cell>
          <cell r="B29" t="str">
            <v>North LPG Railcar Loading Rack</v>
          </cell>
          <cell r="C29" t="str">
            <v>--</v>
          </cell>
          <cell r="D29" t="str">
            <v>--</v>
          </cell>
          <cell r="E29" t="str">
            <v>--</v>
          </cell>
          <cell r="F29">
            <v>1.8282242424242427E-2</v>
          </cell>
          <cell r="G29" t="str">
            <v>--</v>
          </cell>
          <cell r="H29" t="str">
            <v>--</v>
          </cell>
          <cell r="I29" t="str">
            <v>--</v>
          </cell>
          <cell r="J29" t="str">
            <v>--</v>
          </cell>
          <cell r="K29" t="str">
            <v>--</v>
          </cell>
          <cell r="L29" t="str">
            <v>--</v>
          </cell>
          <cell r="M29" t="str">
            <v>--</v>
          </cell>
          <cell r="N29">
            <v>1.9100909090909092E-2</v>
          </cell>
          <cell r="O29" t="str">
            <v>--</v>
          </cell>
          <cell r="P29" t="str">
            <v>--</v>
          </cell>
          <cell r="Q29" t="str">
            <v>--</v>
          </cell>
          <cell r="R29" t="str">
            <v>--</v>
          </cell>
          <cell r="S29" t="str">
            <v>--</v>
          </cell>
          <cell r="T29" t="str">
            <v>--</v>
          </cell>
          <cell r="U29" t="str">
            <v>--</v>
          </cell>
          <cell r="V29">
            <v>1.8691575757575761E-2</v>
          </cell>
          <cell r="W29" t="str">
            <v>--</v>
          </cell>
          <cell r="X29" t="str">
            <v>--</v>
          </cell>
          <cell r="Y29" t="str">
            <v>--</v>
          </cell>
          <cell r="Z29" t="str">
            <v>--</v>
          </cell>
        </row>
        <row r="30">
          <cell r="A30" t="str">
            <v>NLR-6</v>
          </cell>
          <cell r="B30" t="str">
            <v>Solid Waste Gondola Loading Rack</v>
          </cell>
          <cell r="C30" t="str">
            <v>--</v>
          </cell>
          <cell r="D30" t="str">
            <v>--</v>
          </cell>
          <cell r="E30">
            <v>0.19196354545454547</v>
          </cell>
          <cell r="F30" t="str">
            <v>--</v>
          </cell>
          <cell r="G30" t="str">
            <v>--</v>
          </cell>
          <cell r="H30" t="str">
            <v>--</v>
          </cell>
          <cell r="I30" t="str">
            <v>--</v>
          </cell>
          <cell r="J30" t="str">
            <v>--</v>
          </cell>
          <cell r="K30" t="str">
            <v>--</v>
          </cell>
          <cell r="L30" t="str">
            <v>--</v>
          </cell>
          <cell r="M30">
            <v>0.20055954545454546</v>
          </cell>
          <cell r="N30" t="str">
            <v>--</v>
          </cell>
          <cell r="O30" t="str">
            <v>--</v>
          </cell>
          <cell r="P30" t="str">
            <v>--</v>
          </cell>
          <cell r="Q30" t="str">
            <v>--</v>
          </cell>
          <cell r="R30" t="str">
            <v>--</v>
          </cell>
          <cell r="S30" t="str">
            <v>--</v>
          </cell>
          <cell r="T30" t="str">
            <v>--</v>
          </cell>
          <cell r="U30">
            <v>0.19626154545454547</v>
          </cell>
          <cell r="V30" t="str">
            <v>--</v>
          </cell>
          <cell r="W30" t="str">
            <v>--</v>
          </cell>
          <cell r="X30" t="str">
            <v>--</v>
          </cell>
          <cell r="Y30" t="str">
            <v>--</v>
          </cell>
          <cell r="Z30" t="str">
            <v>--</v>
          </cell>
        </row>
        <row r="31">
          <cell r="A31" t="str">
            <v>NLR2-5</v>
          </cell>
          <cell r="B31" t="str">
            <v>North Fuel Oil Tanktruck/Railcar Loading Rack</v>
          </cell>
          <cell r="C31" t="str">
            <v>--</v>
          </cell>
          <cell r="D31" t="str">
            <v>--</v>
          </cell>
          <cell r="E31" t="str">
            <v>--</v>
          </cell>
          <cell r="F31">
            <v>1.5448494848484848</v>
          </cell>
          <cell r="G31" t="str">
            <v>--</v>
          </cell>
          <cell r="H31" t="str">
            <v>--</v>
          </cell>
          <cell r="I31" t="str">
            <v>--</v>
          </cell>
          <cell r="J31" t="str">
            <v>--</v>
          </cell>
          <cell r="K31" t="str">
            <v>--</v>
          </cell>
          <cell r="L31" t="str">
            <v>--</v>
          </cell>
          <cell r="M31" t="str">
            <v>--</v>
          </cell>
          <cell r="N31">
            <v>1.614026818181818</v>
          </cell>
          <cell r="O31" t="str">
            <v>--</v>
          </cell>
          <cell r="P31" t="str">
            <v>--</v>
          </cell>
          <cell r="Q31" t="str">
            <v>--</v>
          </cell>
          <cell r="R31" t="str">
            <v>--</v>
          </cell>
          <cell r="S31" t="str">
            <v>--</v>
          </cell>
          <cell r="T31" t="str">
            <v>--</v>
          </cell>
          <cell r="U31" t="str">
            <v>--</v>
          </cell>
          <cell r="V31">
            <v>1.5794381515151514</v>
          </cell>
          <cell r="W31" t="str">
            <v>--</v>
          </cell>
          <cell r="X31" t="str">
            <v>--</v>
          </cell>
          <cell r="Y31" t="str">
            <v>--</v>
          </cell>
          <cell r="Z31" t="str">
            <v>--</v>
          </cell>
        </row>
        <row r="32">
          <cell r="A32" t="str">
            <v>NLR2-5</v>
          </cell>
          <cell r="B32" t="str">
            <v>North Caustic Loading Rack</v>
          </cell>
          <cell r="C32" t="str">
            <v>--</v>
          </cell>
          <cell r="D32" t="str">
            <v>--</v>
          </cell>
          <cell r="E32" t="str">
            <v>--</v>
          </cell>
          <cell r="F32">
            <v>0.17368130303030305</v>
          </cell>
          <cell r="G32" t="str">
            <v>--</v>
          </cell>
          <cell r="H32" t="str">
            <v>--</v>
          </cell>
          <cell r="I32" t="str">
            <v>--</v>
          </cell>
          <cell r="J32" t="str">
            <v>--</v>
          </cell>
          <cell r="K32" t="str">
            <v>--</v>
          </cell>
          <cell r="L32" t="str">
            <v>--</v>
          </cell>
          <cell r="M32" t="str">
            <v>--</v>
          </cell>
          <cell r="N32">
            <v>0.18145863636363635</v>
          </cell>
          <cell r="O32" t="str">
            <v>--</v>
          </cell>
          <cell r="P32" t="str">
            <v>--</v>
          </cell>
          <cell r="Q32" t="str">
            <v>--</v>
          </cell>
          <cell r="R32" t="str">
            <v>--</v>
          </cell>
          <cell r="S32" t="str">
            <v>--</v>
          </cell>
          <cell r="T32" t="str">
            <v>--</v>
          </cell>
          <cell r="U32" t="str">
            <v>--</v>
          </cell>
          <cell r="V32">
            <v>0.1775699696969697</v>
          </cell>
          <cell r="W32" t="str">
            <v>--</v>
          </cell>
          <cell r="X32" t="str">
            <v>--</v>
          </cell>
          <cell r="Y32" t="str">
            <v>--</v>
          </cell>
          <cell r="Z32" t="str">
            <v>--</v>
          </cell>
        </row>
        <row r="33">
          <cell r="A33" t="str">
            <v>NLR2-5</v>
          </cell>
          <cell r="B33" t="str">
            <v>North Molten Sulfur Loading Rack</v>
          </cell>
          <cell r="C33" t="str">
            <v>--</v>
          </cell>
          <cell r="D33" t="str">
            <v>--</v>
          </cell>
          <cell r="E33" t="str">
            <v>--</v>
          </cell>
          <cell r="F33" t="str">
            <v>--</v>
          </cell>
          <cell r="G33" t="str">
            <v>--</v>
          </cell>
          <cell r="H33">
            <v>2.925158787878788E-3</v>
          </cell>
          <cell r="I33" t="str">
            <v>--</v>
          </cell>
          <cell r="J33" t="str">
            <v>--</v>
          </cell>
          <cell r="K33" t="str">
            <v>--</v>
          </cell>
          <cell r="L33" t="str">
            <v>--</v>
          </cell>
          <cell r="M33" t="str">
            <v>--</v>
          </cell>
          <cell r="N33" t="str">
            <v>--</v>
          </cell>
          <cell r="O33" t="str">
            <v>--</v>
          </cell>
          <cell r="P33">
            <v>3.0561454545454548E-3</v>
          </cell>
          <cell r="Q33" t="str">
            <v>--</v>
          </cell>
          <cell r="R33" t="str">
            <v>--</v>
          </cell>
          <cell r="S33" t="str">
            <v>--</v>
          </cell>
          <cell r="T33" t="str">
            <v>--</v>
          </cell>
          <cell r="U33" t="str">
            <v>--</v>
          </cell>
          <cell r="V33" t="str">
            <v>--</v>
          </cell>
          <cell r="W33" t="str">
            <v>--</v>
          </cell>
          <cell r="X33">
            <v>2.9906521212121214E-3</v>
          </cell>
          <cell r="Y33">
            <v>2.8147314081996438E-3</v>
          </cell>
          <cell r="Z33" t="str">
            <v>--</v>
          </cell>
        </row>
        <row r="34">
          <cell r="A34" t="str">
            <v>F-10N</v>
          </cell>
          <cell r="B34" t="str">
            <v>Plant Utilities Fugitives</v>
          </cell>
          <cell r="C34" t="str">
            <v>--</v>
          </cell>
          <cell r="D34" t="str">
            <v>--</v>
          </cell>
          <cell r="E34" t="str">
            <v>--</v>
          </cell>
          <cell r="F34">
            <v>35.657399544000008</v>
          </cell>
          <cell r="G34" t="str">
            <v>--</v>
          </cell>
          <cell r="H34">
            <v>0</v>
          </cell>
          <cell r="I34">
            <v>0</v>
          </cell>
          <cell r="J34" t="str">
            <v>--</v>
          </cell>
          <cell r="K34" t="str">
            <v>--</v>
          </cell>
          <cell r="L34" t="str">
            <v>--</v>
          </cell>
          <cell r="M34" t="str">
            <v>--</v>
          </cell>
          <cell r="N34">
            <v>35.657399544000008</v>
          </cell>
          <cell r="O34" t="str">
            <v>--</v>
          </cell>
          <cell r="P34">
            <v>0</v>
          </cell>
          <cell r="Q34">
            <v>0</v>
          </cell>
          <cell r="R34" t="str">
            <v>--</v>
          </cell>
          <cell r="S34" t="str">
            <v>--</v>
          </cell>
          <cell r="T34" t="str">
            <v>--</v>
          </cell>
          <cell r="U34" t="str">
            <v>--</v>
          </cell>
          <cell r="V34">
            <v>35.657399544000008</v>
          </cell>
          <cell r="W34" t="str">
            <v>--</v>
          </cell>
          <cell r="X34">
            <v>0</v>
          </cell>
          <cell r="Y34">
            <v>0</v>
          </cell>
          <cell r="Z34" t="str">
            <v>--</v>
          </cell>
        </row>
        <row r="35">
          <cell r="A35" t="str">
            <v>F-16N</v>
          </cell>
          <cell r="B35" t="str">
            <v>#6 Crude Unit Piping Fugitives</v>
          </cell>
          <cell r="C35" t="str">
            <v>--</v>
          </cell>
          <cell r="D35" t="str">
            <v>--</v>
          </cell>
          <cell r="E35" t="str">
            <v>--</v>
          </cell>
          <cell r="F35">
            <v>43.738269851899901</v>
          </cell>
          <cell r="G35" t="str">
            <v>--</v>
          </cell>
          <cell r="H35">
            <v>7.7173832998500048E-4</v>
          </cell>
          <cell r="I35">
            <v>7.2634195763294162E-4</v>
          </cell>
          <cell r="J35" t="str">
            <v>--</v>
          </cell>
          <cell r="K35" t="str">
            <v>--</v>
          </cell>
          <cell r="L35" t="str">
            <v>--</v>
          </cell>
          <cell r="M35" t="str">
            <v>--</v>
          </cell>
          <cell r="N35">
            <v>43.738269851899901</v>
          </cell>
          <cell r="O35" t="str">
            <v>--</v>
          </cell>
          <cell r="P35">
            <v>7.7173832998500048E-4</v>
          </cell>
          <cell r="Q35">
            <v>7.2634195763294162E-4</v>
          </cell>
          <cell r="R35" t="str">
            <v>--</v>
          </cell>
          <cell r="S35" t="str">
            <v>--</v>
          </cell>
          <cell r="T35" t="str">
            <v>--</v>
          </cell>
          <cell r="U35" t="str">
            <v>--</v>
          </cell>
          <cell r="V35">
            <v>43.738269851899901</v>
          </cell>
          <cell r="W35" t="str">
            <v>--</v>
          </cell>
          <cell r="X35">
            <v>7.7173832998500048E-4</v>
          </cell>
          <cell r="Y35">
            <v>7.2634195763294162E-4</v>
          </cell>
          <cell r="Z35" t="str">
            <v>--</v>
          </cell>
        </row>
        <row r="36">
          <cell r="A36" t="str">
            <v>F-20N</v>
          </cell>
          <cell r="B36" t="str">
            <v>North Isom Piping Fugitives</v>
          </cell>
          <cell r="C36" t="str">
            <v>--</v>
          </cell>
          <cell r="D36" t="str">
            <v>--</v>
          </cell>
          <cell r="E36" t="str">
            <v>--</v>
          </cell>
          <cell r="F36">
            <v>8.7600157680000024</v>
          </cell>
          <cell r="G36" t="str">
            <v>--</v>
          </cell>
          <cell r="H36">
            <v>0</v>
          </cell>
          <cell r="I36">
            <v>0</v>
          </cell>
          <cell r="J36" t="str">
            <v>--</v>
          </cell>
          <cell r="K36" t="str">
            <v>--</v>
          </cell>
          <cell r="L36" t="str">
            <v>--</v>
          </cell>
          <cell r="M36" t="str">
            <v>--</v>
          </cell>
          <cell r="N36">
            <v>8.7600157680000024</v>
          </cell>
          <cell r="O36" t="str">
            <v>--</v>
          </cell>
          <cell r="P36">
            <v>0</v>
          </cell>
          <cell r="Q36">
            <v>0</v>
          </cell>
          <cell r="R36" t="str">
            <v>--</v>
          </cell>
          <cell r="S36" t="str">
            <v>--</v>
          </cell>
          <cell r="T36" t="str">
            <v>--</v>
          </cell>
          <cell r="U36" t="str">
            <v>--</v>
          </cell>
          <cell r="V36">
            <v>8.7600157680000024</v>
          </cell>
          <cell r="W36" t="str">
            <v>--</v>
          </cell>
          <cell r="X36">
            <v>0</v>
          </cell>
          <cell r="Y36">
            <v>0</v>
          </cell>
          <cell r="Z36" t="str">
            <v>--</v>
          </cell>
        </row>
        <row r="37">
          <cell r="A37" t="str">
            <v>F-38</v>
          </cell>
          <cell r="B37" t="str">
            <v>Plant 38 Fugitives</v>
          </cell>
          <cell r="C37" t="str">
            <v>--</v>
          </cell>
          <cell r="D37" t="str">
            <v>--</v>
          </cell>
          <cell r="E37" t="str">
            <v>--</v>
          </cell>
          <cell r="F37">
            <v>9.6537390000000034</v>
          </cell>
          <cell r="G37" t="str">
            <v>--</v>
          </cell>
          <cell r="H37">
            <v>0</v>
          </cell>
          <cell r="I37">
            <v>0</v>
          </cell>
          <cell r="J37" t="str">
            <v>--</v>
          </cell>
          <cell r="K37" t="str">
            <v>--</v>
          </cell>
          <cell r="L37" t="str">
            <v>--</v>
          </cell>
          <cell r="M37" t="str">
            <v>--</v>
          </cell>
          <cell r="N37">
            <v>9.6537390000000034</v>
          </cell>
          <cell r="O37" t="str">
            <v>--</v>
          </cell>
          <cell r="P37">
            <v>0</v>
          </cell>
          <cell r="Q37">
            <v>0</v>
          </cell>
          <cell r="R37" t="str">
            <v>--</v>
          </cell>
          <cell r="S37" t="str">
            <v>--</v>
          </cell>
          <cell r="T37" t="str">
            <v>--</v>
          </cell>
          <cell r="U37" t="str">
            <v>--</v>
          </cell>
          <cell r="V37">
            <v>9.6537390000000034</v>
          </cell>
          <cell r="W37" t="str">
            <v>--</v>
          </cell>
          <cell r="X37">
            <v>0</v>
          </cell>
          <cell r="Y37">
            <v>0</v>
          </cell>
          <cell r="Z37" t="str">
            <v>--</v>
          </cell>
        </row>
        <row r="38">
          <cell r="A38" t="str">
            <v>F-39</v>
          </cell>
          <cell r="B38" t="str">
            <v>Plant 39 Fugitives</v>
          </cell>
          <cell r="C38" t="str">
            <v>--</v>
          </cell>
          <cell r="D38" t="str">
            <v>--</v>
          </cell>
          <cell r="E38" t="str">
            <v>--</v>
          </cell>
          <cell r="F38">
            <v>36.01497300932737</v>
          </cell>
          <cell r="G38" t="str">
            <v>--</v>
          </cell>
          <cell r="H38">
            <v>0.10561220822329347</v>
          </cell>
          <cell r="I38">
            <v>9.939972538662914E-2</v>
          </cell>
          <cell r="J38" t="str">
            <v>--</v>
          </cell>
          <cell r="K38" t="str">
            <v>--</v>
          </cell>
          <cell r="L38" t="str">
            <v>--</v>
          </cell>
          <cell r="M38" t="str">
            <v>--</v>
          </cell>
          <cell r="N38">
            <v>36.01497300932737</v>
          </cell>
          <cell r="O38" t="str">
            <v>--</v>
          </cell>
          <cell r="P38">
            <v>0.10561220822329347</v>
          </cell>
          <cell r="Q38">
            <v>9.939972538662914E-2</v>
          </cell>
          <cell r="R38" t="str">
            <v>--</v>
          </cell>
          <cell r="S38" t="str">
            <v>--</v>
          </cell>
          <cell r="T38" t="str">
            <v>--</v>
          </cell>
          <cell r="U38" t="str">
            <v>--</v>
          </cell>
          <cell r="V38">
            <v>36.01497300932737</v>
          </cell>
          <cell r="W38" t="str">
            <v>--</v>
          </cell>
          <cell r="X38">
            <v>0.10561220822329347</v>
          </cell>
          <cell r="Y38">
            <v>9.939972538662914E-2</v>
          </cell>
          <cell r="Z38" t="str">
            <v>--</v>
          </cell>
        </row>
        <row r="39">
          <cell r="A39" t="str">
            <v>F-41</v>
          </cell>
          <cell r="B39" t="str">
            <v>Rheniformer/NHT/LSR Splitter Fugitives</v>
          </cell>
          <cell r="C39" t="str">
            <v>--</v>
          </cell>
          <cell r="D39" t="str">
            <v>--</v>
          </cell>
          <cell r="E39" t="str">
            <v>--</v>
          </cell>
          <cell r="F39">
            <v>47.042687913862075</v>
          </cell>
          <cell r="G39" t="str">
            <v>--</v>
          </cell>
          <cell r="H39">
            <v>0</v>
          </cell>
          <cell r="I39">
            <v>0</v>
          </cell>
          <cell r="J39" t="str">
            <v>--</v>
          </cell>
          <cell r="K39" t="str">
            <v>--</v>
          </cell>
          <cell r="L39" t="str">
            <v>--</v>
          </cell>
          <cell r="M39" t="str">
            <v>--</v>
          </cell>
          <cell r="N39">
            <v>47.042687913862075</v>
          </cell>
          <cell r="O39" t="str">
            <v>--</v>
          </cell>
          <cell r="P39">
            <v>0</v>
          </cell>
          <cell r="Q39">
            <v>0</v>
          </cell>
          <cell r="R39" t="str">
            <v>--</v>
          </cell>
          <cell r="S39" t="str">
            <v>--</v>
          </cell>
          <cell r="T39" t="str">
            <v>--</v>
          </cell>
          <cell r="U39" t="str">
            <v>--</v>
          </cell>
          <cell r="V39">
            <v>47.042687913862075</v>
          </cell>
          <cell r="W39" t="str">
            <v>--</v>
          </cell>
          <cell r="X39">
            <v>0</v>
          </cell>
          <cell r="Y39">
            <v>0</v>
          </cell>
          <cell r="Z39" t="str">
            <v>--</v>
          </cell>
        </row>
        <row r="40">
          <cell r="A40" t="str">
            <v>F-71-72</v>
          </cell>
          <cell r="B40" t="str">
            <v>North SRU Fugitives</v>
          </cell>
          <cell r="C40" t="str">
            <v>--</v>
          </cell>
          <cell r="D40" t="str">
            <v>--</v>
          </cell>
          <cell r="E40" t="str">
            <v>--</v>
          </cell>
          <cell r="F40">
            <v>14.267241341622002</v>
          </cell>
          <cell r="G40" t="str">
            <v>--</v>
          </cell>
          <cell r="H40">
            <v>1.1267706366000002E-2</v>
          </cell>
          <cell r="I40">
            <v>1.0604900109176472E-2</v>
          </cell>
          <cell r="J40" t="str">
            <v>--</v>
          </cell>
          <cell r="K40" t="str">
            <v>--</v>
          </cell>
          <cell r="L40" t="str">
            <v>--</v>
          </cell>
          <cell r="M40" t="str">
            <v>--</v>
          </cell>
          <cell r="N40">
            <v>14.267241341622002</v>
          </cell>
          <cell r="O40" t="str">
            <v>--</v>
          </cell>
          <cell r="P40">
            <v>1.1267706366000002E-2</v>
          </cell>
          <cell r="Q40">
            <v>1.0604900109176472E-2</v>
          </cell>
          <cell r="R40" t="str">
            <v>--</v>
          </cell>
          <cell r="S40" t="str">
            <v>--</v>
          </cell>
          <cell r="T40" t="str">
            <v>--</v>
          </cell>
          <cell r="U40" t="str">
            <v>--</v>
          </cell>
          <cell r="V40">
            <v>14.267241341622002</v>
          </cell>
          <cell r="W40" t="str">
            <v>--</v>
          </cell>
          <cell r="X40">
            <v>1.1267706366000002E-2</v>
          </cell>
          <cell r="Y40">
            <v>1.0604900109176472E-2</v>
          </cell>
          <cell r="Z40" t="str">
            <v>--</v>
          </cell>
        </row>
        <row r="41">
          <cell r="A41" t="str">
            <v>TNK-FUG</v>
          </cell>
          <cell r="B41" t="str">
            <v>Tank Field Piping Fugitives</v>
          </cell>
          <cell r="C41" t="str">
            <v>--</v>
          </cell>
          <cell r="D41" t="str">
            <v>--</v>
          </cell>
          <cell r="E41" t="str">
            <v>--</v>
          </cell>
          <cell r="F41">
            <v>76.209341778000024</v>
          </cell>
          <cell r="G41" t="str">
            <v>--</v>
          </cell>
          <cell r="H41">
            <v>0</v>
          </cell>
          <cell r="I41">
            <v>0</v>
          </cell>
          <cell r="J41" t="str">
            <v>--</v>
          </cell>
          <cell r="K41" t="str">
            <v>--</v>
          </cell>
          <cell r="L41" t="str">
            <v>--</v>
          </cell>
          <cell r="M41" t="str">
            <v>--</v>
          </cell>
          <cell r="N41">
            <v>76.209341778000024</v>
          </cell>
          <cell r="O41" t="str">
            <v>--</v>
          </cell>
          <cell r="P41">
            <v>0</v>
          </cell>
          <cell r="Q41">
            <v>0</v>
          </cell>
          <cell r="R41" t="str">
            <v>--</v>
          </cell>
          <cell r="S41" t="str">
            <v>--</v>
          </cell>
          <cell r="T41" t="str">
            <v>--</v>
          </cell>
          <cell r="U41" t="str">
            <v>--</v>
          </cell>
          <cell r="V41">
            <v>76.209341778000024</v>
          </cell>
          <cell r="W41" t="str">
            <v>--</v>
          </cell>
          <cell r="X41">
            <v>0</v>
          </cell>
          <cell r="Y41">
            <v>0</v>
          </cell>
          <cell r="Z41" t="str">
            <v>--</v>
          </cell>
        </row>
        <row r="42">
          <cell r="A42" t="str">
            <v>F-101</v>
          </cell>
          <cell r="B42" t="str">
            <v>FCCU Piping and Drains</v>
          </cell>
          <cell r="C42" t="str">
            <v>--</v>
          </cell>
          <cell r="D42" t="str">
            <v>--</v>
          </cell>
          <cell r="E42" t="str">
            <v>--</v>
          </cell>
          <cell r="F42">
            <v>4.4007664560000022</v>
          </cell>
          <cell r="G42" t="str">
            <v>--</v>
          </cell>
          <cell r="H42">
            <v>0</v>
          </cell>
          <cell r="I42">
            <v>0</v>
          </cell>
          <cell r="J42" t="str">
            <v>--</v>
          </cell>
          <cell r="K42" t="str">
            <v>--</v>
          </cell>
          <cell r="L42" t="str">
            <v>--</v>
          </cell>
          <cell r="M42" t="str">
            <v>--</v>
          </cell>
          <cell r="N42">
            <v>4.4007664560000022</v>
          </cell>
          <cell r="O42" t="str">
            <v>--</v>
          </cell>
          <cell r="P42">
            <v>0</v>
          </cell>
          <cell r="Q42">
            <v>0</v>
          </cell>
          <cell r="R42" t="str">
            <v>--</v>
          </cell>
          <cell r="S42" t="str">
            <v>--</v>
          </cell>
          <cell r="T42" t="str">
            <v>--</v>
          </cell>
          <cell r="U42" t="str">
            <v>--</v>
          </cell>
          <cell r="V42">
            <v>4.4007664560000022</v>
          </cell>
          <cell r="W42" t="str">
            <v>--</v>
          </cell>
          <cell r="X42">
            <v>0</v>
          </cell>
          <cell r="Y42">
            <v>0</v>
          </cell>
          <cell r="Z42" t="str">
            <v>--</v>
          </cell>
        </row>
        <row r="43">
          <cell r="A43">
            <v>159</v>
          </cell>
          <cell r="B43" t="str">
            <v>T-7110 Sulfur Storage Tank</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row>
        <row r="44">
          <cell r="A44" t="str">
            <v>RHENSCRUB</v>
          </cell>
          <cell r="B44" t="str">
            <v xml:space="preserve">Rheniformer Catalyst Regeneration </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row>
        <row r="45">
          <cell r="A45">
            <v>112</v>
          </cell>
          <cell r="B45" t="str">
            <v>South Main Flare</v>
          </cell>
          <cell r="C45">
            <v>0.16940680389170448</v>
          </cell>
          <cell r="D45">
            <v>1.0131123649229707</v>
          </cell>
          <cell r="E45" t="str">
            <v>--</v>
          </cell>
          <cell r="F45">
            <v>2.3672917365679651</v>
          </cell>
          <cell r="G45">
            <v>2.5369180331527155E-2</v>
          </cell>
          <cell r="H45">
            <v>2.5944316602247625E-4</v>
          </cell>
          <cell r="I45">
            <v>2.4418180331527178E-4</v>
          </cell>
          <cell r="J45" t="str">
            <v>--</v>
          </cell>
          <cell r="K45">
            <v>0.16940680389170448</v>
          </cell>
          <cell r="L45">
            <v>1.0131123649229707</v>
          </cell>
          <cell r="M45" t="str">
            <v>--</v>
          </cell>
          <cell r="N45">
            <v>2.3672917365679651</v>
          </cell>
          <cell r="O45">
            <v>2.5369180331527155E-2</v>
          </cell>
          <cell r="P45">
            <v>2.5944316602247625E-4</v>
          </cell>
          <cell r="Q45">
            <v>2.4418180331527178E-4</v>
          </cell>
          <cell r="R45" t="str">
            <v>--</v>
          </cell>
          <cell r="S45">
            <v>0.16940680389170448</v>
          </cell>
          <cell r="T45">
            <v>1.0131123649229707</v>
          </cell>
          <cell r="U45" t="str">
            <v>--</v>
          </cell>
          <cell r="V45">
            <v>2.3672917365679651</v>
          </cell>
          <cell r="W45">
            <v>2.5369180331527155E-2</v>
          </cell>
          <cell r="X45">
            <v>2.5944316602247625E-4</v>
          </cell>
          <cell r="Y45">
            <v>2.4418180331527178E-4</v>
          </cell>
          <cell r="Z45" t="str">
            <v>--</v>
          </cell>
        </row>
        <row r="46">
          <cell r="A46">
            <v>128</v>
          </cell>
          <cell r="B46" t="str">
            <v>Sour Water Stripper Flare</v>
          </cell>
          <cell r="C46">
            <v>1.78</v>
          </cell>
          <cell r="D46">
            <v>3.56</v>
          </cell>
          <cell r="E46" t="str">
            <v>--</v>
          </cell>
          <cell r="F46">
            <v>3.46</v>
          </cell>
          <cell r="G46">
            <v>0.01</v>
          </cell>
          <cell r="H46">
            <v>1.0204081632653071E-4</v>
          </cell>
          <cell r="I46" t="str">
            <v>--</v>
          </cell>
          <cell r="J46" t="str">
            <v>--</v>
          </cell>
          <cell r="K46">
            <v>1.675</v>
          </cell>
          <cell r="L46">
            <v>3.35</v>
          </cell>
          <cell r="M46" t="str">
            <v>--</v>
          </cell>
          <cell r="N46">
            <v>3.26</v>
          </cell>
          <cell r="O46">
            <v>0.01</v>
          </cell>
          <cell r="P46">
            <v>1.0204081632653071E-4</v>
          </cell>
          <cell r="Q46" t="str">
            <v>--</v>
          </cell>
          <cell r="R46" t="str">
            <v>--</v>
          </cell>
          <cell r="S46">
            <v>1.7275</v>
          </cell>
          <cell r="T46">
            <v>3.4550000000000001</v>
          </cell>
          <cell r="U46" t="str">
            <v>--</v>
          </cell>
          <cell r="V46">
            <v>3.36</v>
          </cell>
          <cell r="W46">
            <v>0.01</v>
          </cell>
          <cell r="X46">
            <v>1.0204081632653071E-4</v>
          </cell>
          <cell r="Y46">
            <v>9.6038415366146552E-5</v>
          </cell>
          <cell r="Z46" t="str">
            <v>--</v>
          </cell>
        </row>
        <row r="47">
          <cell r="A47">
            <v>111</v>
          </cell>
          <cell r="B47" t="str">
            <v>FCCU/WGS</v>
          </cell>
          <cell r="C47">
            <v>191.15670261057028</v>
          </cell>
          <cell r="D47">
            <v>42.238581676962866</v>
          </cell>
          <cell r="E47">
            <v>33.556216662710547</v>
          </cell>
          <cell r="F47">
            <v>13.400611123788075</v>
          </cell>
          <cell r="G47">
            <v>38.103458587463273</v>
          </cell>
          <cell r="H47" t="str">
            <v>--</v>
          </cell>
          <cell r="I47">
            <v>3.6158535505941165</v>
          </cell>
          <cell r="J47">
            <v>11.073551498694481</v>
          </cell>
          <cell r="K47">
            <v>194.47325102534543</v>
          </cell>
          <cell r="L47">
            <v>42.534622058783476</v>
          </cell>
          <cell r="M47">
            <v>40.514484997874987</v>
          </cell>
          <cell r="N47">
            <v>14.312778106075077</v>
          </cell>
          <cell r="O47">
            <v>50.816859719606825</v>
          </cell>
          <cell r="P47" t="str">
            <v>--</v>
          </cell>
          <cell r="Q47">
            <v>4.3656424650771415</v>
          </cell>
          <cell r="R47">
            <v>13.369780049298747</v>
          </cell>
          <cell r="S47">
            <v>192.81497681795787</v>
          </cell>
          <cell r="T47">
            <v>42.386601867873168</v>
          </cell>
          <cell r="U47">
            <v>37.035350830292771</v>
          </cell>
          <cell r="V47">
            <v>13.856694614931577</v>
          </cell>
          <cell r="W47">
            <v>44.460159153535045</v>
          </cell>
          <cell r="X47" t="str">
            <v>--</v>
          </cell>
          <cell r="Y47">
            <v>3.990748007835629</v>
          </cell>
          <cell r="Z47">
            <v>12.221665773996614</v>
          </cell>
        </row>
        <row r="48">
          <cell r="A48">
            <v>6</v>
          </cell>
          <cell r="B48" t="str">
            <v>Boiler No. 1 (H-901)</v>
          </cell>
          <cell r="C48">
            <v>94.562562691832639</v>
          </cell>
          <cell r="D48">
            <v>27.112599828804559</v>
          </cell>
          <cell r="E48">
            <v>2.4691831986947004</v>
          </cell>
          <cell r="F48">
            <v>1.7869088937922173</v>
          </cell>
          <cell r="G48">
            <v>1.3670693865456784</v>
          </cell>
          <cell r="H48">
            <v>1.3949687617813056E-2</v>
          </cell>
          <cell r="I48">
            <v>2.7899375235626113E-2</v>
          </cell>
          <cell r="J48" t="str">
            <v>--</v>
          </cell>
          <cell r="K48">
            <v>93.661828098152967</v>
          </cell>
          <cell r="L48">
            <v>26.85434480805197</v>
          </cell>
          <cell r="M48">
            <v>2.4456635450190185</v>
          </cell>
          <cell r="N48">
            <v>1.7698880917900792</v>
          </cell>
          <cell r="O48">
            <v>0.89975708300954738</v>
          </cell>
          <cell r="P48">
            <v>9.1811947245872272E-3</v>
          </cell>
          <cell r="Q48">
            <v>1.8362389449174454E-2</v>
          </cell>
          <cell r="R48" t="str">
            <v>--</v>
          </cell>
          <cell r="S48">
            <v>94.112195394992796</v>
          </cell>
          <cell r="T48">
            <v>26.983472318428262</v>
          </cell>
          <cell r="U48">
            <v>2.4574233718568594</v>
          </cell>
          <cell r="V48">
            <v>1.7783984927911483</v>
          </cell>
          <cell r="W48">
            <v>1.1334132347776129</v>
          </cell>
          <cell r="X48">
            <v>1.1565441171200142E-2</v>
          </cell>
          <cell r="Y48">
            <v>1.0885121102306015E-2</v>
          </cell>
          <cell r="Z48" t="str">
            <v>--</v>
          </cell>
        </row>
        <row r="49">
          <cell r="A49">
            <v>8</v>
          </cell>
          <cell r="B49" t="str">
            <v>Boiler No. 3 (H-903)</v>
          </cell>
          <cell r="C49">
            <v>125.11696596312613</v>
          </cell>
          <cell r="D49">
            <v>25.308445361185822</v>
          </cell>
          <cell r="E49">
            <v>2.3048762739651374</v>
          </cell>
          <cell r="F49">
            <v>1.6680025666852969</v>
          </cell>
          <cell r="G49">
            <v>1.2324803702155913</v>
          </cell>
          <cell r="H49">
            <v>1.2576330308322373E-2</v>
          </cell>
          <cell r="I49">
            <v>2.5152660616644746E-2</v>
          </cell>
          <cell r="J49" t="str">
            <v>--</v>
          </cell>
          <cell r="K49">
            <v>132.48816710863267</v>
          </cell>
          <cell r="L49">
            <v>26.799479290927554</v>
          </cell>
          <cell r="M49">
            <v>2.4406668639951881</v>
          </cell>
          <cell r="N49">
            <v>1.7662720726280967</v>
          </cell>
          <cell r="O49">
            <v>0.89928031842865608</v>
          </cell>
          <cell r="P49">
            <v>9.1763297798842531E-3</v>
          </cell>
          <cell r="Q49">
            <v>1.8352659559768506E-2</v>
          </cell>
          <cell r="R49" t="str">
            <v>--</v>
          </cell>
          <cell r="S49">
            <v>128.80256653587941</v>
          </cell>
          <cell r="T49">
            <v>26.053962326056688</v>
          </cell>
          <cell r="U49">
            <v>2.3727715689801627</v>
          </cell>
          <cell r="V49">
            <v>1.7171373196566968</v>
          </cell>
          <cell r="W49">
            <v>1.0658803443221236</v>
          </cell>
          <cell r="X49">
            <v>1.0876330044103313E-2</v>
          </cell>
          <cell r="Y49">
            <v>1.0236545923861941E-2</v>
          </cell>
          <cell r="Z49" t="str">
            <v>--</v>
          </cell>
        </row>
        <row r="50">
          <cell r="A50">
            <v>109</v>
          </cell>
          <cell r="B50" t="str">
            <v>Vacuum Unit Heater (H-1601)</v>
          </cell>
          <cell r="C50">
            <v>13.599761162389619</v>
          </cell>
          <cell r="D50">
            <v>16.470298985592958</v>
          </cell>
          <cell r="E50">
            <v>1.4999736576165019</v>
          </cell>
          <cell r="F50">
            <v>1.0855072522224685</v>
          </cell>
          <cell r="G50">
            <v>0.8018576063693752</v>
          </cell>
          <cell r="H50">
            <v>8.1822204731568978E-3</v>
          </cell>
          <cell r="I50">
            <v>1.6364440946313796E-2</v>
          </cell>
          <cell r="J50" t="str">
            <v>--</v>
          </cell>
          <cell r="K50">
            <v>15.190378184947857</v>
          </cell>
          <cell r="L50">
            <v>18.39665178107872</v>
          </cell>
          <cell r="M50">
            <v>1.6754093586339545</v>
          </cell>
          <cell r="N50">
            <v>1.2124672990114145</v>
          </cell>
          <cell r="O50">
            <v>0.76415819684276365</v>
          </cell>
          <cell r="P50">
            <v>7.797532620844534E-3</v>
          </cell>
          <cell r="Q50">
            <v>1.5595065241689068E-2</v>
          </cell>
          <cell r="R50" t="str">
            <v>--</v>
          </cell>
          <cell r="S50">
            <v>14.395069673668738</v>
          </cell>
          <cell r="T50">
            <v>17.433475383335839</v>
          </cell>
          <cell r="U50">
            <v>1.5876915081252281</v>
          </cell>
          <cell r="V50">
            <v>1.1489872756169415</v>
          </cell>
          <cell r="W50">
            <v>0.78300790160606937</v>
          </cell>
          <cell r="X50">
            <v>7.9898765470007155E-3</v>
          </cell>
          <cell r="Y50">
            <v>7.5198838089418499E-3</v>
          </cell>
          <cell r="Z50" t="str">
            <v>--</v>
          </cell>
        </row>
        <row r="51">
          <cell r="A51">
            <v>105</v>
          </cell>
          <cell r="B51" t="str">
            <v>SRU Hot Oil Heater (H-3504)</v>
          </cell>
          <cell r="C51">
            <v>0.15215441423675913</v>
          </cell>
          <cell r="D51">
            <v>0.25572170459959509</v>
          </cell>
          <cell r="E51">
            <v>2.3288940954605982E-2</v>
          </cell>
          <cell r="F51">
            <v>1.6853838848728014E-2</v>
          </cell>
          <cell r="G51">
            <v>1.2773434893959035E-2</v>
          </cell>
          <cell r="H51">
            <v>1.303411723873372E-4</v>
          </cell>
          <cell r="I51">
            <v>2.606823447746744E-4</v>
          </cell>
          <cell r="J51" t="str">
            <v>--</v>
          </cell>
          <cell r="K51">
            <v>0.16371407737777816</v>
          </cell>
          <cell r="L51">
            <v>0.2751497098786187</v>
          </cell>
          <cell r="M51">
            <v>2.5058277149659917E-2</v>
          </cell>
          <cell r="N51">
            <v>1.8134279516201258E-2</v>
          </cell>
          <cell r="O51">
            <v>1.1372837748703221E-2</v>
          </cell>
          <cell r="P51">
            <v>1.1604936478268603E-4</v>
          </cell>
          <cell r="Q51">
            <v>2.3209872956537206E-4</v>
          </cell>
          <cell r="R51" t="str">
            <v>--</v>
          </cell>
          <cell r="S51">
            <v>0.15793424580726864</v>
          </cell>
          <cell r="T51">
            <v>0.26543570723910692</v>
          </cell>
          <cell r="U51">
            <v>2.4173609052132949E-2</v>
          </cell>
          <cell r="V51">
            <v>1.7494059182464636E-2</v>
          </cell>
          <cell r="W51">
            <v>1.2073136321331128E-2</v>
          </cell>
          <cell r="X51">
            <v>1.2319526858501161E-4</v>
          </cell>
          <cell r="Y51">
            <v>1.1594848808001093E-4</v>
          </cell>
          <cell r="Z51" t="str">
            <v>--</v>
          </cell>
        </row>
        <row r="52">
          <cell r="A52">
            <v>127</v>
          </cell>
          <cell r="B52" t="str">
            <v>SRU Incinerator (H-3503)</v>
          </cell>
          <cell r="C52">
            <v>5.2874130887132722</v>
          </cell>
          <cell r="D52">
            <v>164.50497786018326</v>
          </cell>
          <cell r="E52">
            <v>0.279225</v>
          </cell>
          <cell r="F52">
            <v>0.20207072368421053</v>
          </cell>
          <cell r="G52">
            <v>341.31713779449461</v>
          </cell>
          <cell r="H52">
            <v>3.0682821375927709</v>
          </cell>
          <cell r="I52">
            <v>4.6149377066205197</v>
          </cell>
          <cell r="J52" t="str">
            <v>--</v>
          </cell>
          <cell r="K52">
            <v>8.1295005525103434</v>
          </cell>
          <cell r="L52">
            <v>164.50497786018326</v>
          </cell>
          <cell r="M52">
            <v>0.279225</v>
          </cell>
          <cell r="N52">
            <v>0.20207072368421053</v>
          </cell>
          <cell r="O52">
            <v>346.98597871398925</v>
          </cell>
          <cell r="P52">
            <v>3.0682821375927709</v>
          </cell>
          <cell r="Q52">
            <v>4.6149377066205197</v>
          </cell>
          <cell r="R52" t="str">
            <v>--</v>
          </cell>
          <cell r="S52">
            <v>6.7084568206118078</v>
          </cell>
          <cell r="T52">
            <v>164.50497786018326</v>
          </cell>
          <cell r="U52">
            <v>0.279225</v>
          </cell>
          <cell r="V52">
            <v>0.20207072368421053</v>
          </cell>
          <cell r="W52">
            <v>344.15155825424193</v>
          </cell>
          <cell r="X52">
            <v>3.0682821375927709</v>
          </cell>
          <cell r="Y52">
            <v>2.8877949530284903</v>
          </cell>
          <cell r="Z52" t="str">
            <v>--</v>
          </cell>
        </row>
        <row r="53">
          <cell r="A53">
            <v>125</v>
          </cell>
          <cell r="B53" t="str">
            <v>Vacuum Preflash Heater (H-1101)</v>
          </cell>
          <cell r="C53">
            <v>6.0321094281148202</v>
          </cell>
          <cell r="D53">
            <v>5.0949943887545981</v>
          </cell>
          <cell r="E53">
            <v>0.46400841754729377</v>
          </cell>
          <cell r="F53">
            <v>0.33579556533027843</v>
          </cell>
          <cell r="G53">
            <v>0.25007955093068085</v>
          </cell>
          <cell r="H53">
            <v>2.5518321523538886E-3</v>
          </cell>
          <cell r="I53">
            <v>5.1036643047077772E-3</v>
          </cell>
          <cell r="J53" t="str">
            <v>--</v>
          </cell>
          <cell r="K53">
            <v>6.3479686820775942</v>
          </cell>
          <cell r="L53">
            <v>5.3617835022073193</v>
          </cell>
          <cell r="M53">
            <v>0.48830528323673811</v>
          </cell>
          <cell r="N53">
            <v>0.35337882339500787</v>
          </cell>
          <cell r="O53">
            <v>0.22319178572365181</v>
          </cell>
          <cell r="P53">
            <v>2.2774672012617551E-3</v>
          </cell>
          <cell r="Q53">
            <v>4.5549344025235102E-3</v>
          </cell>
          <cell r="R53" t="str">
            <v>--</v>
          </cell>
          <cell r="S53">
            <v>6.1900390550962072</v>
          </cell>
          <cell r="T53">
            <v>5.2283889454809582</v>
          </cell>
          <cell r="U53">
            <v>0.47615685039201594</v>
          </cell>
          <cell r="V53">
            <v>0.34458719436264318</v>
          </cell>
          <cell r="W53">
            <v>0.23663566832716632</v>
          </cell>
          <cell r="X53">
            <v>2.4146496768078221E-3</v>
          </cell>
          <cell r="Y53">
            <v>2.2726114605250091E-3</v>
          </cell>
          <cell r="Z53" t="str">
            <v>--</v>
          </cell>
        </row>
        <row r="54">
          <cell r="A54">
            <v>97</v>
          </cell>
          <cell r="B54" t="str">
            <v>Fire Water Pump</v>
          </cell>
          <cell r="C54">
            <v>0.76767074999999996</v>
          </cell>
          <cell r="D54">
            <v>0.16537124999999997</v>
          </cell>
          <cell r="E54">
            <v>5.3963249999999997E-2</v>
          </cell>
          <cell r="F54">
            <v>6.2667E-2</v>
          </cell>
          <cell r="G54">
            <v>5.0481749999999992E-2</v>
          </cell>
          <cell r="H54">
            <v>5.1511989795918409E-4</v>
          </cell>
          <cell r="I54" t="str">
            <v>--</v>
          </cell>
          <cell r="J54" t="str">
            <v>--</v>
          </cell>
          <cell r="K54">
            <v>0.76767074999999996</v>
          </cell>
          <cell r="L54">
            <v>0.16537124999999997</v>
          </cell>
          <cell r="M54">
            <v>5.3963249999999997E-2</v>
          </cell>
          <cell r="N54">
            <v>6.2667E-2</v>
          </cell>
          <cell r="O54">
            <v>5.0481749999999992E-2</v>
          </cell>
          <cell r="P54">
            <v>5.1511989795918409E-4</v>
          </cell>
          <cell r="Q54" t="str">
            <v>--</v>
          </cell>
          <cell r="R54" t="str">
            <v>--</v>
          </cell>
          <cell r="S54">
            <v>0.76767074999999996</v>
          </cell>
          <cell r="T54">
            <v>0.16537124999999997</v>
          </cell>
          <cell r="U54">
            <v>5.3963249999999997E-2</v>
          </cell>
          <cell r="V54">
            <v>6.2667E-2</v>
          </cell>
          <cell r="W54">
            <v>5.0481749999999992E-2</v>
          </cell>
          <cell r="X54">
            <v>5.1511989795918409E-4</v>
          </cell>
          <cell r="Y54" t="str">
            <v>--</v>
          </cell>
          <cell r="Z54" t="str">
            <v>--</v>
          </cell>
        </row>
        <row r="55">
          <cell r="A55" t="str">
            <v>SVE-TC1</v>
          </cell>
          <cell r="B55" t="str">
            <v>Soil Vapor Extraction - Thermal Combustor 1</v>
          </cell>
          <cell r="C55">
            <v>0.84139842352941174</v>
          </cell>
          <cell r="D55">
            <v>0.70677467576470587</v>
          </cell>
          <cell r="E55">
            <v>6.3946280188235297E-2</v>
          </cell>
          <cell r="F55">
            <v>2.6175904956000006E-3</v>
          </cell>
          <cell r="G55">
            <v>0.18947771199764085</v>
          </cell>
          <cell r="H55" t="str">
            <v>--</v>
          </cell>
          <cell r="I55" t="str">
            <v>--</v>
          </cell>
          <cell r="J55" t="str">
            <v>--</v>
          </cell>
          <cell r="K55">
            <v>7.982842135294117</v>
          </cell>
          <cell r="L55">
            <v>6.7055873936470585</v>
          </cell>
          <cell r="M55">
            <v>0.60669600228235299</v>
          </cell>
          <cell r="N55">
            <v>2.4834621882900004E-2</v>
          </cell>
          <cell r="O55">
            <v>1.7976865902471209</v>
          </cell>
          <cell r="P55" t="str">
            <v>--</v>
          </cell>
          <cell r="Q55" t="str">
            <v>--</v>
          </cell>
          <cell r="R55" t="str">
            <v>--</v>
          </cell>
          <cell r="S55">
            <v>4.4121202794117647</v>
          </cell>
          <cell r="T55">
            <v>3.7061810347058821</v>
          </cell>
          <cell r="U55">
            <v>0.33532114123529416</v>
          </cell>
          <cell r="V55">
            <v>1.3726106189250003E-2</v>
          </cell>
          <cell r="W55">
            <v>0.9935821511223808</v>
          </cell>
          <cell r="X55" t="str">
            <v>--</v>
          </cell>
          <cell r="Y55" t="str">
            <v>--</v>
          </cell>
          <cell r="Z55" t="str">
            <v>--</v>
          </cell>
        </row>
        <row r="56">
          <cell r="A56" t="str">
            <v>SVE-TC2</v>
          </cell>
          <cell r="B56" t="str">
            <v>Soil Vapor Extraction - Thermal Combustor 2</v>
          </cell>
          <cell r="C56">
            <v>1.4385347294117647</v>
          </cell>
          <cell r="D56">
            <v>1.2083691727058825</v>
          </cell>
          <cell r="E56">
            <v>0.10932863943529411</v>
          </cell>
          <cell r="F56">
            <v>4.4752815432E-3</v>
          </cell>
          <cell r="G56">
            <v>0.48945735752686631</v>
          </cell>
          <cell r="H56" t="str">
            <v>--</v>
          </cell>
          <cell r="I56" t="str">
            <v>--</v>
          </cell>
          <cell r="J56" t="str">
            <v>--</v>
          </cell>
          <cell r="K56">
            <v>4.2941166411764708</v>
          </cell>
          <cell r="L56">
            <v>3.6070579785882355</v>
          </cell>
          <cell r="M56">
            <v>0.32635286472941177</v>
          </cell>
          <cell r="N56">
            <v>1.3358996870700001E-2</v>
          </cell>
          <cell r="O56">
            <v>1.4610609956993015</v>
          </cell>
          <cell r="P56" t="str">
            <v>--</v>
          </cell>
          <cell r="Q56" t="str">
            <v>--</v>
          </cell>
          <cell r="R56" t="str">
            <v>--</v>
          </cell>
          <cell r="S56">
            <v>2.8663256852941177</v>
          </cell>
          <cell r="T56">
            <v>2.4077135756470591</v>
          </cell>
          <cell r="U56">
            <v>0.21784075208235293</v>
          </cell>
          <cell r="V56">
            <v>8.9171392069499998E-3</v>
          </cell>
          <cell r="W56">
            <v>0.97525917661308392</v>
          </cell>
          <cell r="X56" t="str">
            <v>--</v>
          </cell>
          <cell r="Y56" t="str">
            <v>--</v>
          </cell>
          <cell r="Z56" t="str">
            <v>--</v>
          </cell>
        </row>
        <row r="57">
          <cell r="A57" t="str">
            <v>SVE-ICE</v>
          </cell>
          <cell r="B57" t="str">
            <v>Soil Vapor Extraction - Internal Combustion Engine</v>
          </cell>
          <cell r="C57">
            <v>0.73</v>
          </cell>
          <cell r="D57">
            <v>0.47</v>
          </cell>
          <cell r="E57">
            <v>0.27</v>
          </cell>
          <cell r="F57">
            <v>2.54</v>
          </cell>
          <cell r="G57">
            <v>7.0000000000000007E-2</v>
          </cell>
          <cell r="H57" t="str">
            <v>--</v>
          </cell>
          <cell r="I57" t="str">
            <v>--</v>
          </cell>
          <cell r="J57" t="str">
            <v>--</v>
          </cell>
          <cell r="K57" t="str">
            <v>--</v>
          </cell>
          <cell r="L57" t="str">
            <v>--</v>
          </cell>
          <cell r="M57" t="str">
            <v>--</v>
          </cell>
          <cell r="N57" t="str">
            <v>--</v>
          </cell>
          <cell r="O57" t="str">
            <v>--</v>
          </cell>
          <cell r="P57" t="str">
            <v>--</v>
          </cell>
          <cell r="Q57" t="str">
            <v>--</v>
          </cell>
          <cell r="R57" t="str">
            <v>--</v>
          </cell>
          <cell r="S57">
            <v>0.36499999999999999</v>
          </cell>
          <cell r="T57">
            <v>0.23499999999999999</v>
          </cell>
          <cell r="U57">
            <v>0.13500000000000001</v>
          </cell>
          <cell r="V57">
            <v>1.27</v>
          </cell>
          <cell r="W57">
            <v>3.5000000000000003E-2</v>
          </cell>
          <cell r="X57" t="str">
            <v>--</v>
          </cell>
          <cell r="Y57" t="str">
            <v>--</v>
          </cell>
          <cell r="Z57" t="str">
            <v>--</v>
          </cell>
        </row>
        <row r="58">
          <cell r="A58" t="str">
            <v>F-21</v>
          </cell>
          <cell r="B58" t="str">
            <v>Alky Cooling Tower</v>
          </cell>
          <cell r="C58" t="str">
            <v>--</v>
          </cell>
          <cell r="D58" t="str">
            <v>--</v>
          </cell>
          <cell r="E58">
            <v>14.59</v>
          </cell>
          <cell r="F58">
            <v>0.7914884337321203</v>
          </cell>
          <cell r="G58" t="str">
            <v>--</v>
          </cell>
          <cell r="H58" t="str">
            <v>--</v>
          </cell>
          <cell r="I58" t="str">
            <v>--</v>
          </cell>
          <cell r="J58" t="str">
            <v>--</v>
          </cell>
          <cell r="K58" t="str">
            <v>--</v>
          </cell>
          <cell r="L58" t="str">
            <v>--</v>
          </cell>
          <cell r="M58">
            <v>8.75</v>
          </cell>
          <cell r="N58">
            <v>0.27936455824572753</v>
          </cell>
          <cell r="O58" t="str">
            <v>--</v>
          </cell>
          <cell r="P58" t="str">
            <v>--</v>
          </cell>
          <cell r="Q58" t="str">
            <v>--</v>
          </cell>
          <cell r="R58" t="str">
            <v>--</v>
          </cell>
          <cell r="S58" t="str">
            <v>--</v>
          </cell>
          <cell r="T58" t="str">
            <v>--</v>
          </cell>
          <cell r="U58">
            <v>11.67</v>
          </cell>
          <cell r="V58">
            <v>0.53542649598892389</v>
          </cell>
          <cell r="W58" t="str">
            <v>--</v>
          </cell>
          <cell r="X58" t="str">
            <v>--</v>
          </cell>
          <cell r="Y58" t="str">
            <v>--</v>
          </cell>
          <cell r="Z58" t="str">
            <v>--</v>
          </cell>
        </row>
        <row r="59">
          <cell r="A59" t="str">
            <v>F-7</v>
          </cell>
          <cell r="B59" t="str">
            <v>Main Cooling Tower</v>
          </cell>
          <cell r="C59" t="str">
            <v>--</v>
          </cell>
          <cell r="D59" t="str">
            <v>--</v>
          </cell>
          <cell r="E59">
            <v>35.32</v>
          </cell>
          <cell r="F59">
            <v>4.2310799999999995</v>
          </cell>
          <cell r="G59" t="str">
            <v>--</v>
          </cell>
          <cell r="H59" t="str">
            <v>--</v>
          </cell>
          <cell r="I59" t="str">
            <v>--</v>
          </cell>
          <cell r="J59" t="str">
            <v>--</v>
          </cell>
          <cell r="K59" t="str">
            <v>--</v>
          </cell>
          <cell r="L59" t="str">
            <v>--</v>
          </cell>
          <cell r="M59">
            <v>35.32</v>
          </cell>
          <cell r="N59">
            <v>4.2310799999999995</v>
          </cell>
          <cell r="O59" t="str">
            <v>--</v>
          </cell>
          <cell r="P59" t="str">
            <v>--</v>
          </cell>
          <cell r="Q59" t="str">
            <v>--</v>
          </cell>
          <cell r="R59" t="str">
            <v>--</v>
          </cell>
          <cell r="S59" t="str">
            <v>--</v>
          </cell>
          <cell r="T59" t="str">
            <v>--</v>
          </cell>
          <cell r="U59">
            <v>35.32</v>
          </cell>
          <cell r="V59">
            <v>4.2310799999999995</v>
          </cell>
          <cell r="W59" t="str">
            <v>--</v>
          </cell>
          <cell r="X59" t="str">
            <v>--</v>
          </cell>
          <cell r="Y59" t="str">
            <v>--</v>
          </cell>
          <cell r="Z59" t="str">
            <v>--</v>
          </cell>
        </row>
        <row r="60">
          <cell r="A60" t="str">
            <v>F-1/2</v>
          </cell>
          <cell r="B60" t="str">
            <v>CPS/DCU Fugitives</v>
          </cell>
          <cell r="C60" t="str">
            <v>--</v>
          </cell>
          <cell r="D60" t="str">
            <v>--</v>
          </cell>
          <cell r="E60" t="str">
            <v>--</v>
          </cell>
          <cell r="F60">
            <v>26.266111652773134</v>
          </cell>
          <cell r="G60" t="str">
            <v>--</v>
          </cell>
          <cell r="H60">
            <v>4.6345146277500016E-4</v>
          </cell>
          <cell r="I60">
            <v>4.3618961202352953E-4</v>
          </cell>
          <cell r="J60" t="str">
            <v>--</v>
          </cell>
          <cell r="K60" t="str">
            <v>--</v>
          </cell>
          <cell r="L60" t="str">
            <v>--</v>
          </cell>
          <cell r="M60" t="str">
            <v>--</v>
          </cell>
          <cell r="N60">
            <v>26.266111652773134</v>
          </cell>
          <cell r="O60" t="str">
            <v>--</v>
          </cell>
          <cell r="P60">
            <v>4.6345146277500016E-4</v>
          </cell>
          <cell r="Q60">
            <v>4.3618961202352953E-4</v>
          </cell>
          <cell r="R60" t="str">
            <v>--</v>
          </cell>
          <cell r="S60" t="str">
            <v>--</v>
          </cell>
          <cell r="T60" t="str">
            <v>--</v>
          </cell>
          <cell r="U60" t="str">
            <v>--</v>
          </cell>
          <cell r="V60">
            <v>26.266111652773134</v>
          </cell>
          <cell r="W60" t="str">
            <v>--</v>
          </cell>
          <cell r="X60">
            <v>4.6345146277500016E-4</v>
          </cell>
          <cell r="Y60">
            <v>4.3618961202352953E-4</v>
          </cell>
          <cell r="Z60" t="str">
            <v>--</v>
          </cell>
        </row>
        <row r="61">
          <cell r="A61" t="str">
            <v>F-3/4</v>
          </cell>
          <cell r="B61" t="str">
            <v>CRU Fugitives</v>
          </cell>
          <cell r="C61" t="str">
            <v>--</v>
          </cell>
          <cell r="D61" t="str">
            <v>--</v>
          </cell>
          <cell r="E61" t="str">
            <v>--</v>
          </cell>
          <cell r="F61">
            <v>8.6740644000000025</v>
          </cell>
          <cell r="G61" t="str">
            <v>--</v>
          </cell>
          <cell r="H61">
            <v>0</v>
          </cell>
          <cell r="I61">
            <v>0</v>
          </cell>
          <cell r="J61" t="str">
            <v>--</v>
          </cell>
          <cell r="K61" t="str">
            <v>--</v>
          </cell>
          <cell r="L61" t="str">
            <v>--</v>
          </cell>
          <cell r="M61" t="str">
            <v>--</v>
          </cell>
          <cell r="N61">
            <v>8.6740644000000025</v>
          </cell>
          <cell r="O61" t="str">
            <v>--</v>
          </cell>
          <cell r="P61">
            <v>0</v>
          </cell>
          <cell r="Q61">
            <v>0</v>
          </cell>
          <cell r="R61" t="str">
            <v>--</v>
          </cell>
          <cell r="S61" t="str">
            <v>--</v>
          </cell>
          <cell r="T61" t="str">
            <v>--</v>
          </cell>
          <cell r="U61" t="str">
            <v>--</v>
          </cell>
          <cell r="V61">
            <v>8.6740644000000025</v>
          </cell>
          <cell r="W61" t="str">
            <v>--</v>
          </cell>
          <cell r="X61">
            <v>0</v>
          </cell>
          <cell r="Y61">
            <v>0</v>
          </cell>
          <cell r="Z61" t="str">
            <v>--</v>
          </cell>
        </row>
        <row r="62">
          <cell r="A62" t="str">
            <v>F-5</v>
          </cell>
          <cell r="B62" t="str">
            <v>Alkylation Fugitives</v>
          </cell>
          <cell r="C62" t="str">
            <v>--</v>
          </cell>
          <cell r="D62" t="str">
            <v>--</v>
          </cell>
          <cell r="E62" t="str">
            <v>--</v>
          </cell>
          <cell r="F62">
            <v>29.10653545826024</v>
          </cell>
          <cell r="G62" t="str">
            <v>--</v>
          </cell>
          <cell r="H62">
            <v>0</v>
          </cell>
          <cell r="I62">
            <v>0</v>
          </cell>
          <cell r="J62" t="str">
            <v>--</v>
          </cell>
          <cell r="K62" t="str">
            <v>--</v>
          </cell>
          <cell r="L62" t="str">
            <v>--</v>
          </cell>
          <cell r="M62" t="str">
            <v>--</v>
          </cell>
          <cell r="N62">
            <v>29.10653545826024</v>
          </cell>
          <cell r="O62" t="str">
            <v>--</v>
          </cell>
          <cell r="P62">
            <v>0</v>
          </cell>
          <cell r="Q62">
            <v>0</v>
          </cell>
          <cell r="R62" t="str">
            <v>--</v>
          </cell>
          <cell r="S62" t="str">
            <v>--</v>
          </cell>
          <cell r="T62" t="str">
            <v>--</v>
          </cell>
          <cell r="U62" t="str">
            <v>--</v>
          </cell>
          <cell r="V62">
            <v>29.10653545826024</v>
          </cell>
          <cell r="W62" t="str">
            <v>--</v>
          </cell>
          <cell r="X62">
            <v>0</v>
          </cell>
          <cell r="Y62">
            <v>0</v>
          </cell>
          <cell r="Z62" t="str">
            <v>--</v>
          </cell>
        </row>
        <row r="63">
          <cell r="A63" t="str">
            <v>F-8</v>
          </cell>
          <cell r="B63" t="str">
            <v>Alky Feed Prep Unit (AFPU) Fugitives</v>
          </cell>
          <cell r="C63" t="str">
            <v>--</v>
          </cell>
          <cell r="D63" t="str">
            <v>--</v>
          </cell>
          <cell r="E63" t="str">
            <v>--</v>
          </cell>
          <cell r="F63">
            <v>14.466900321038883</v>
          </cell>
          <cell r="G63" t="str">
            <v>--</v>
          </cell>
          <cell r="H63">
            <v>0</v>
          </cell>
          <cell r="I63">
            <v>0</v>
          </cell>
          <cell r="J63" t="str">
            <v>--</v>
          </cell>
          <cell r="K63" t="str">
            <v>--</v>
          </cell>
          <cell r="L63" t="str">
            <v>--</v>
          </cell>
          <cell r="M63" t="str">
            <v>--</v>
          </cell>
          <cell r="N63">
            <v>14.466900321038883</v>
          </cell>
          <cell r="O63" t="str">
            <v>--</v>
          </cell>
          <cell r="P63">
            <v>0</v>
          </cell>
          <cell r="Q63">
            <v>0</v>
          </cell>
          <cell r="R63" t="str">
            <v>--</v>
          </cell>
          <cell r="S63" t="str">
            <v>--</v>
          </cell>
          <cell r="T63" t="str">
            <v>--</v>
          </cell>
          <cell r="U63" t="str">
            <v>--</v>
          </cell>
          <cell r="V63">
            <v>14.466900321038883</v>
          </cell>
          <cell r="W63" t="str">
            <v>--</v>
          </cell>
          <cell r="X63">
            <v>0</v>
          </cell>
          <cell r="Y63">
            <v>0</v>
          </cell>
          <cell r="Z63" t="str">
            <v>--</v>
          </cell>
        </row>
        <row r="64">
          <cell r="A64" t="str">
            <v>F-9</v>
          </cell>
          <cell r="B64" t="str">
            <v>Jet Fuel Treating Fugitives</v>
          </cell>
          <cell r="C64" t="str">
            <v>--</v>
          </cell>
          <cell r="D64" t="str">
            <v>--</v>
          </cell>
          <cell r="E64" t="str">
            <v>--</v>
          </cell>
          <cell r="F64">
            <v>3.6728052000000009</v>
          </cell>
          <cell r="G64" t="str">
            <v>--</v>
          </cell>
          <cell r="H64" t="str">
            <v>--</v>
          </cell>
          <cell r="I64" t="str">
            <v>--</v>
          </cell>
          <cell r="J64" t="str">
            <v>--</v>
          </cell>
          <cell r="K64" t="str">
            <v>--</v>
          </cell>
          <cell r="L64" t="str">
            <v>--</v>
          </cell>
          <cell r="M64" t="str">
            <v>--</v>
          </cell>
          <cell r="N64">
            <v>3.6728052000000009</v>
          </cell>
          <cell r="O64" t="str">
            <v>--</v>
          </cell>
          <cell r="P64" t="str">
            <v>--</v>
          </cell>
          <cell r="Q64" t="str">
            <v>--</v>
          </cell>
          <cell r="R64" t="str">
            <v>--</v>
          </cell>
          <cell r="S64" t="str">
            <v>--</v>
          </cell>
          <cell r="T64" t="str">
            <v>--</v>
          </cell>
          <cell r="U64" t="str">
            <v>--</v>
          </cell>
          <cell r="V64">
            <v>3.6728052000000009</v>
          </cell>
          <cell r="W64" t="str">
            <v>--</v>
          </cell>
          <cell r="X64" t="str">
            <v>--</v>
          </cell>
          <cell r="Y64" t="str">
            <v>--</v>
          </cell>
          <cell r="Z64" t="str">
            <v>--</v>
          </cell>
        </row>
        <row r="65">
          <cell r="A65" t="str">
            <v>F-11</v>
          </cell>
          <cell r="B65" t="str">
            <v>FCCU Fugitives</v>
          </cell>
          <cell r="C65" t="str">
            <v>--</v>
          </cell>
          <cell r="D65" t="str">
            <v>--</v>
          </cell>
          <cell r="E65" t="str">
            <v>--</v>
          </cell>
          <cell r="F65">
            <v>35.774708289351288</v>
          </cell>
          <cell r="G65" t="str">
            <v>--</v>
          </cell>
          <cell r="H65">
            <v>1.3543488176097004E-2</v>
          </cell>
          <cell r="I65">
            <v>1.2746812401032474E-2</v>
          </cell>
          <cell r="J65" t="str">
            <v>--</v>
          </cell>
          <cell r="K65" t="str">
            <v>--</v>
          </cell>
          <cell r="L65" t="str">
            <v>--</v>
          </cell>
          <cell r="M65" t="str">
            <v>--</v>
          </cell>
          <cell r="N65">
            <v>35.774708289351288</v>
          </cell>
          <cell r="O65" t="str">
            <v>--</v>
          </cell>
          <cell r="P65">
            <v>1.3543488176097004E-2</v>
          </cell>
          <cell r="Q65">
            <v>1.2746812401032474E-2</v>
          </cell>
          <cell r="R65" t="str">
            <v>--</v>
          </cell>
          <cell r="S65" t="str">
            <v>--</v>
          </cell>
          <cell r="T65" t="str">
            <v>--</v>
          </cell>
          <cell r="U65" t="str">
            <v>--</v>
          </cell>
          <cell r="V65">
            <v>35.774708289351288</v>
          </cell>
          <cell r="W65" t="str">
            <v>--</v>
          </cell>
          <cell r="X65">
            <v>1.3543488176097004E-2</v>
          </cell>
          <cell r="Y65">
            <v>1.2746812401032474E-2</v>
          </cell>
          <cell r="Z65" t="str">
            <v>--</v>
          </cell>
        </row>
        <row r="66">
          <cell r="A66" t="str">
            <v>F-13</v>
          </cell>
          <cell r="B66" t="str">
            <v>South SRU Fugitives</v>
          </cell>
          <cell r="C66" t="str">
            <v>--</v>
          </cell>
          <cell r="D66" t="str">
            <v>--</v>
          </cell>
          <cell r="E66" t="str">
            <v>--</v>
          </cell>
          <cell r="F66">
            <v>6.4874458959990031</v>
          </cell>
          <cell r="G66" t="str">
            <v>--</v>
          </cell>
          <cell r="H66">
            <v>5.1235297470000026E-3</v>
          </cell>
          <cell r="I66">
            <v>4.822145644235297E-3</v>
          </cell>
          <cell r="J66" t="str">
            <v>--</v>
          </cell>
          <cell r="K66" t="str">
            <v>--</v>
          </cell>
          <cell r="L66" t="str">
            <v>--</v>
          </cell>
          <cell r="M66" t="str">
            <v>--</v>
          </cell>
          <cell r="N66">
            <v>6.4874458959990031</v>
          </cell>
          <cell r="O66" t="str">
            <v>--</v>
          </cell>
          <cell r="P66">
            <v>5.1235297470000026E-3</v>
          </cell>
          <cell r="Q66">
            <v>4.822145644235297E-3</v>
          </cell>
          <cell r="R66" t="str">
            <v>--</v>
          </cell>
          <cell r="S66" t="str">
            <v>--</v>
          </cell>
          <cell r="T66" t="str">
            <v>--</v>
          </cell>
          <cell r="U66" t="str">
            <v>--</v>
          </cell>
          <cell r="V66">
            <v>6.4874458959990031</v>
          </cell>
          <cell r="W66" t="str">
            <v>--</v>
          </cell>
          <cell r="X66">
            <v>5.1235297470000026E-3</v>
          </cell>
          <cell r="Y66">
            <v>4.822145644235297E-3</v>
          </cell>
          <cell r="Z66" t="str">
            <v>--</v>
          </cell>
        </row>
        <row r="67">
          <cell r="A67" t="str">
            <v>F-16S</v>
          </cell>
          <cell r="B67" t="str">
            <v>Receiving, Pumping, and Shipping Fugitives (F-16S)</v>
          </cell>
          <cell r="C67" t="str">
            <v>--</v>
          </cell>
          <cell r="D67" t="str">
            <v>--</v>
          </cell>
          <cell r="E67" t="str">
            <v>--</v>
          </cell>
          <cell r="F67">
            <v>50.492255436000008</v>
          </cell>
          <cell r="G67" t="str">
            <v>--</v>
          </cell>
          <cell r="H67">
            <v>0</v>
          </cell>
          <cell r="I67">
            <v>0</v>
          </cell>
          <cell r="J67" t="str">
            <v>--</v>
          </cell>
          <cell r="K67" t="str">
            <v>--</v>
          </cell>
          <cell r="L67" t="str">
            <v>--</v>
          </cell>
          <cell r="M67" t="str">
            <v>--</v>
          </cell>
          <cell r="N67">
            <v>50.492255436000008</v>
          </cell>
          <cell r="O67" t="str">
            <v>--</v>
          </cell>
          <cell r="P67">
            <v>0</v>
          </cell>
          <cell r="Q67">
            <v>0</v>
          </cell>
          <cell r="R67" t="str">
            <v>--</v>
          </cell>
          <cell r="S67" t="str">
            <v>--</v>
          </cell>
          <cell r="T67" t="str">
            <v>--</v>
          </cell>
          <cell r="U67" t="str">
            <v>--</v>
          </cell>
          <cell r="V67">
            <v>50.492255436000008</v>
          </cell>
          <cell r="W67" t="str">
            <v>--</v>
          </cell>
          <cell r="X67">
            <v>0</v>
          </cell>
          <cell r="Y67">
            <v>0</v>
          </cell>
          <cell r="Z67" t="str">
            <v>--</v>
          </cell>
        </row>
        <row r="68">
          <cell r="A68" t="str">
            <v>F-18</v>
          </cell>
          <cell r="B68" t="str">
            <v>Vacuum Distillation Fugitives</v>
          </cell>
          <cell r="C68" t="str">
            <v>--</v>
          </cell>
          <cell r="D68" t="str">
            <v>--</v>
          </cell>
          <cell r="E68" t="str">
            <v>--</v>
          </cell>
          <cell r="F68">
            <v>16.428313470000003</v>
          </cell>
          <cell r="G68" t="str">
            <v>--</v>
          </cell>
          <cell r="H68">
            <v>0</v>
          </cell>
          <cell r="I68">
            <v>0</v>
          </cell>
          <cell r="J68" t="str">
            <v>--</v>
          </cell>
          <cell r="K68" t="str">
            <v>--</v>
          </cell>
          <cell r="L68" t="str">
            <v>--</v>
          </cell>
          <cell r="M68" t="str">
            <v>--</v>
          </cell>
          <cell r="N68">
            <v>16.428313470000003</v>
          </cell>
          <cell r="O68" t="str">
            <v>--</v>
          </cell>
          <cell r="P68">
            <v>0</v>
          </cell>
          <cell r="Q68">
            <v>0</v>
          </cell>
          <cell r="R68" t="str">
            <v>--</v>
          </cell>
          <cell r="S68" t="str">
            <v>--</v>
          </cell>
          <cell r="T68" t="str">
            <v>--</v>
          </cell>
          <cell r="U68" t="str">
            <v>--</v>
          </cell>
          <cell r="V68">
            <v>16.428313470000003</v>
          </cell>
          <cell r="W68" t="str">
            <v>--</v>
          </cell>
          <cell r="X68">
            <v>0</v>
          </cell>
          <cell r="Y68">
            <v>0</v>
          </cell>
          <cell r="Z68" t="str">
            <v>--</v>
          </cell>
        </row>
        <row r="69">
          <cell r="A69" t="str">
            <v>F-19</v>
          </cell>
          <cell r="B69" t="str">
            <v>Butamer Fugitives</v>
          </cell>
          <cell r="C69" t="str">
            <v>--</v>
          </cell>
          <cell r="D69" t="str">
            <v>--</v>
          </cell>
          <cell r="E69" t="str">
            <v>--</v>
          </cell>
          <cell r="F69">
            <v>10.958584800000004</v>
          </cell>
          <cell r="G69" t="str">
            <v>--</v>
          </cell>
          <cell r="H69">
            <v>0</v>
          </cell>
          <cell r="I69">
            <v>0</v>
          </cell>
          <cell r="J69" t="str">
            <v>--</v>
          </cell>
          <cell r="K69" t="str">
            <v>--</v>
          </cell>
          <cell r="L69" t="str">
            <v>--</v>
          </cell>
          <cell r="M69" t="str">
            <v>--</v>
          </cell>
          <cell r="N69">
            <v>10.958584800000004</v>
          </cell>
          <cell r="O69" t="str">
            <v>--</v>
          </cell>
          <cell r="P69">
            <v>0</v>
          </cell>
          <cell r="Q69">
            <v>0</v>
          </cell>
          <cell r="R69" t="str">
            <v>--</v>
          </cell>
          <cell r="S69" t="str">
            <v>--</v>
          </cell>
          <cell r="T69" t="str">
            <v>--</v>
          </cell>
          <cell r="U69" t="str">
            <v>--</v>
          </cell>
          <cell r="V69">
            <v>10.958584800000004</v>
          </cell>
          <cell r="W69" t="str">
            <v>--</v>
          </cell>
          <cell r="X69">
            <v>0</v>
          </cell>
          <cell r="Y69">
            <v>0</v>
          </cell>
          <cell r="Z69" t="str">
            <v>--</v>
          </cell>
        </row>
        <row r="70">
          <cell r="A70" t="str">
            <v>F-20S</v>
          </cell>
          <cell r="B70" t="str">
            <v>Alky II Fugitives</v>
          </cell>
          <cell r="C70" t="str">
            <v>--</v>
          </cell>
          <cell r="D70" t="str">
            <v>--</v>
          </cell>
          <cell r="E70" t="str">
            <v>--</v>
          </cell>
          <cell r="F70">
            <v>17.725911099094802</v>
          </cell>
          <cell r="G70" t="str">
            <v>--</v>
          </cell>
          <cell r="H70">
            <v>0</v>
          </cell>
          <cell r="I70">
            <v>0</v>
          </cell>
          <cell r="J70" t="str">
            <v>--</v>
          </cell>
          <cell r="K70" t="str">
            <v>--</v>
          </cell>
          <cell r="L70" t="str">
            <v>--</v>
          </cell>
          <cell r="M70" t="str">
            <v>--</v>
          </cell>
          <cell r="N70">
            <v>17.725911099094802</v>
          </cell>
          <cell r="O70" t="str">
            <v>--</v>
          </cell>
          <cell r="P70">
            <v>0</v>
          </cell>
          <cell r="Q70">
            <v>0</v>
          </cell>
          <cell r="R70" t="str">
            <v>--</v>
          </cell>
          <cell r="S70" t="str">
            <v>--</v>
          </cell>
          <cell r="T70" t="str">
            <v>--</v>
          </cell>
          <cell r="U70" t="str">
            <v>--</v>
          </cell>
          <cell r="V70">
            <v>17.725911099094802</v>
          </cell>
          <cell r="W70" t="str">
            <v>--</v>
          </cell>
          <cell r="X70">
            <v>0</v>
          </cell>
          <cell r="Y70">
            <v>0</v>
          </cell>
          <cell r="Z70" t="str">
            <v>--</v>
          </cell>
        </row>
        <row r="71">
          <cell r="A71" t="str">
            <v>F-22</v>
          </cell>
          <cell r="B71" t="str">
            <v>Merox 3 Fugitives</v>
          </cell>
          <cell r="C71" t="str">
            <v>--</v>
          </cell>
          <cell r="D71" t="str">
            <v>--</v>
          </cell>
          <cell r="E71" t="str">
            <v>--</v>
          </cell>
          <cell r="F71">
            <v>3.482713200000001</v>
          </cell>
          <cell r="G71" t="str">
            <v>--</v>
          </cell>
          <cell r="H71" t="str">
            <v>--</v>
          </cell>
          <cell r="I71" t="str">
            <v>--</v>
          </cell>
          <cell r="J71" t="str">
            <v>--</v>
          </cell>
          <cell r="K71" t="str">
            <v>--</v>
          </cell>
          <cell r="L71" t="str">
            <v>--</v>
          </cell>
          <cell r="M71" t="str">
            <v>--</v>
          </cell>
          <cell r="N71">
            <v>3.482713200000001</v>
          </cell>
          <cell r="O71" t="str">
            <v>--</v>
          </cell>
          <cell r="P71" t="str">
            <v>--</v>
          </cell>
          <cell r="Q71" t="str">
            <v>--</v>
          </cell>
          <cell r="R71" t="str">
            <v>--</v>
          </cell>
          <cell r="S71" t="str">
            <v>--</v>
          </cell>
          <cell r="T71" t="str">
            <v>--</v>
          </cell>
          <cell r="U71" t="str">
            <v>--</v>
          </cell>
          <cell r="V71">
            <v>3.482713200000001</v>
          </cell>
          <cell r="W71" t="str">
            <v>--</v>
          </cell>
          <cell r="X71" t="str">
            <v>--</v>
          </cell>
          <cell r="Y71" t="str">
            <v>--</v>
          </cell>
          <cell r="Z71" t="str">
            <v>--</v>
          </cell>
        </row>
        <row r="72">
          <cell r="A72" t="str">
            <v>F-23</v>
          </cell>
          <cell r="B72" t="str">
            <v>Utilities Fugitives</v>
          </cell>
          <cell r="C72" t="str">
            <v>--</v>
          </cell>
          <cell r="D72" t="str">
            <v>--</v>
          </cell>
          <cell r="E72" t="str">
            <v>--</v>
          </cell>
          <cell r="F72">
            <v>21.744282240000008</v>
          </cell>
          <cell r="G72" t="str">
            <v>--</v>
          </cell>
          <cell r="H72">
            <v>0</v>
          </cell>
          <cell r="I72">
            <v>0</v>
          </cell>
          <cell r="J72" t="str">
            <v>--</v>
          </cell>
          <cell r="K72" t="str">
            <v>--</v>
          </cell>
          <cell r="L72" t="str">
            <v>--</v>
          </cell>
          <cell r="M72" t="str">
            <v>--</v>
          </cell>
          <cell r="N72">
            <v>21.744282240000008</v>
          </cell>
          <cell r="O72" t="str">
            <v>--</v>
          </cell>
          <cell r="P72">
            <v>0</v>
          </cell>
          <cell r="Q72">
            <v>0</v>
          </cell>
          <cell r="R72" t="str">
            <v>--</v>
          </cell>
          <cell r="S72" t="str">
            <v>--</v>
          </cell>
          <cell r="T72" t="str">
            <v>--</v>
          </cell>
          <cell r="U72" t="str">
            <v>--</v>
          </cell>
          <cell r="V72">
            <v>21.744282240000008</v>
          </cell>
          <cell r="W72" t="str">
            <v>--</v>
          </cell>
          <cell r="X72">
            <v>0</v>
          </cell>
          <cell r="Y72">
            <v>0</v>
          </cell>
          <cell r="Z72" t="str">
            <v>--</v>
          </cell>
        </row>
        <row r="73">
          <cell r="A73">
            <v>98</v>
          </cell>
          <cell r="B73" t="str">
            <v>API Oil Water Separator</v>
          </cell>
          <cell r="C73" t="str">
            <v>--</v>
          </cell>
          <cell r="D73" t="str">
            <v>--</v>
          </cell>
          <cell r="E73" t="str">
            <v>--</v>
          </cell>
          <cell r="F73">
            <v>0.27000000000000024</v>
          </cell>
          <cell r="G73" t="str">
            <v>--</v>
          </cell>
          <cell r="H73" t="str">
            <v>--</v>
          </cell>
          <cell r="I73" t="str">
            <v>--</v>
          </cell>
          <cell r="J73" t="str">
            <v>--</v>
          </cell>
          <cell r="K73" t="str">
            <v>--</v>
          </cell>
          <cell r="L73" t="str">
            <v>--</v>
          </cell>
          <cell r="M73" t="str">
            <v>--</v>
          </cell>
          <cell r="N73">
            <v>8.1300000000000079</v>
          </cell>
          <cell r="O73" t="str">
            <v>--</v>
          </cell>
          <cell r="P73" t="str">
            <v>--</v>
          </cell>
          <cell r="Q73" t="str">
            <v>--</v>
          </cell>
          <cell r="R73" t="str">
            <v>--</v>
          </cell>
          <cell r="S73" t="str">
            <v>--</v>
          </cell>
          <cell r="T73" t="str">
            <v>--</v>
          </cell>
          <cell r="U73" t="str">
            <v>--</v>
          </cell>
          <cell r="V73">
            <v>4.2000000000000037</v>
          </cell>
          <cell r="W73" t="str">
            <v>--</v>
          </cell>
          <cell r="X73" t="str">
            <v>--</v>
          </cell>
          <cell r="Y73" t="str">
            <v>--</v>
          </cell>
          <cell r="Z73" t="str">
            <v>--</v>
          </cell>
        </row>
        <row r="74">
          <cell r="A74" t="str">
            <v>SLR1</v>
          </cell>
          <cell r="B74" t="str">
            <v>South Railcar Loading Rack</v>
          </cell>
          <cell r="C74" t="str">
            <v>--</v>
          </cell>
          <cell r="D74" t="str">
            <v>--</v>
          </cell>
          <cell r="E74" t="str">
            <v>--</v>
          </cell>
          <cell r="F74">
            <v>7.5322838787878794</v>
          </cell>
          <cell r="G74" t="str">
            <v>--</v>
          </cell>
          <cell r="H74" t="str">
            <v>--</v>
          </cell>
          <cell r="I74" t="str">
            <v>--</v>
          </cell>
          <cell r="J74" t="str">
            <v>--</v>
          </cell>
          <cell r="K74" t="str">
            <v>--</v>
          </cell>
          <cell r="L74" t="str">
            <v>--</v>
          </cell>
          <cell r="M74" t="str">
            <v>--</v>
          </cell>
          <cell r="N74">
            <v>7.8695745454545456</v>
          </cell>
          <cell r="O74" t="str">
            <v>--</v>
          </cell>
          <cell r="P74" t="str">
            <v>--</v>
          </cell>
          <cell r="Q74" t="str">
            <v>--</v>
          </cell>
          <cell r="R74" t="str">
            <v>--</v>
          </cell>
          <cell r="S74" t="str">
            <v>--</v>
          </cell>
          <cell r="T74" t="str">
            <v>--</v>
          </cell>
          <cell r="U74" t="str">
            <v>--</v>
          </cell>
          <cell r="V74">
            <v>7.7009292121212125</v>
          </cell>
          <cell r="W74" t="str">
            <v>--</v>
          </cell>
          <cell r="X74" t="str">
            <v>--</v>
          </cell>
          <cell r="Y74" t="str">
            <v>--</v>
          </cell>
          <cell r="Z74" t="str">
            <v>--</v>
          </cell>
        </row>
        <row r="75">
          <cell r="A75" t="str">
            <v>SLR2</v>
          </cell>
          <cell r="B75" t="str">
            <v>South LPG Tanktruck Loading Rack</v>
          </cell>
          <cell r="C75" t="str">
            <v>--</v>
          </cell>
          <cell r="D75" t="str">
            <v>--</v>
          </cell>
          <cell r="E75" t="str">
            <v>--</v>
          </cell>
          <cell r="F75">
            <v>9.1411212121212133E-3</v>
          </cell>
          <cell r="G75" t="str">
            <v>--</v>
          </cell>
          <cell r="H75" t="str">
            <v>--</v>
          </cell>
          <cell r="I75" t="str">
            <v>--</v>
          </cell>
          <cell r="J75" t="str">
            <v>--</v>
          </cell>
          <cell r="K75" t="str">
            <v>--</v>
          </cell>
          <cell r="L75" t="str">
            <v>--</v>
          </cell>
          <cell r="M75" t="str">
            <v>--</v>
          </cell>
          <cell r="N75">
            <v>9.550454545454546E-3</v>
          </cell>
          <cell r="O75" t="str">
            <v>--</v>
          </cell>
          <cell r="P75" t="str">
            <v>--</v>
          </cell>
          <cell r="Q75" t="str">
            <v>--</v>
          </cell>
          <cell r="R75" t="str">
            <v>--</v>
          </cell>
          <cell r="S75" t="str">
            <v>--</v>
          </cell>
          <cell r="T75" t="str">
            <v>--</v>
          </cell>
          <cell r="U75" t="str">
            <v>--</v>
          </cell>
          <cell r="V75">
            <v>9.3457878787878805E-3</v>
          </cell>
          <cell r="W75" t="str">
            <v>--</v>
          </cell>
          <cell r="X75" t="str">
            <v>--</v>
          </cell>
          <cell r="Y75" t="str">
            <v>--</v>
          </cell>
          <cell r="Z75" t="str">
            <v>--</v>
          </cell>
        </row>
        <row r="76">
          <cell r="A76" t="str">
            <v>SLR4</v>
          </cell>
          <cell r="B76" t="str">
            <v>South Acid/Caustic Tanktruck Loading Rack</v>
          </cell>
          <cell r="C76" t="str">
            <v>--</v>
          </cell>
          <cell r="D76" t="str">
            <v>--</v>
          </cell>
          <cell r="E76" t="str">
            <v>--</v>
          </cell>
          <cell r="F76">
            <v>0.95981772727272729</v>
          </cell>
          <cell r="G76" t="str">
            <v>--</v>
          </cell>
          <cell r="H76" t="str">
            <v>--</v>
          </cell>
          <cell r="I76" t="str">
            <v>--</v>
          </cell>
          <cell r="J76" t="str">
            <v>--</v>
          </cell>
          <cell r="K76" t="str">
            <v>--</v>
          </cell>
          <cell r="L76" t="str">
            <v>--</v>
          </cell>
          <cell r="M76" t="str">
            <v>--</v>
          </cell>
          <cell r="N76">
            <v>1.0027977272727273</v>
          </cell>
          <cell r="O76" t="str">
            <v>--</v>
          </cell>
          <cell r="P76" t="str">
            <v>--</v>
          </cell>
          <cell r="Q76" t="str">
            <v>--</v>
          </cell>
          <cell r="R76" t="str">
            <v>--</v>
          </cell>
          <cell r="S76" t="str">
            <v>--</v>
          </cell>
          <cell r="T76" t="str">
            <v>--</v>
          </cell>
          <cell r="U76" t="str">
            <v>--</v>
          </cell>
          <cell r="V76">
            <v>0.9813077272727273</v>
          </cell>
          <cell r="W76" t="str">
            <v>--</v>
          </cell>
          <cell r="X76" t="str">
            <v>--</v>
          </cell>
          <cell r="Y76" t="str">
            <v>--</v>
          </cell>
          <cell r="Z76" t="str">
            <v>--</v>
          </cell>
        </row>
        <row r="77">
          <cell r="A77" t="str">
            <v>SLR5</v>
          </cell>
          <cell r="B77" t="str">
            <v>Sulfur Truck/Railcar Loading Rack</v>
          </cell>
          <cell r="C77" t="str">
            <v>--</v>
          </cell>
          <cell r="D77" t="str">
            <v>--</v>
          </cell>
          <cell r="E77" t="str">
            <v>--</v>
          </cell>
          <cell r="F77" t="str">
            <v>--</v>
          </cell>
          <cell r="G77" t="str">
            <v>--</v>
          </cell>
          <cell r="H77">
            <v>1.2797569696969698E-3</v>
          </cell>
          <cell r="I77" t="str">
            <v>--</v>
          </cell>
          <cell r="J77" t="str">
            <v>--</v>
          </cell>
          <cell r="K77" t="str">
            <v>--</v>
          </cell>
          <cell r="L77" t="str">
            <v>--</v>
          </cell>
          <cell r="M77" t="str">
            <v>--</v>
          </cell>
          <cell r="N77" t="str">
            <v>--</v>
          </cell>
          <cell r="O77" t="str">
            <v>--</v>
          </cell>
          <cell r="P77">
            <v>1.3370636363636364E-3</v>
          </cell>
          <cell r="Q77" t="str">
            <v>--</v>
          </cell>
          <cell r="R77" t="str">
            <v>--</v>
          </cell>
          <cell r="S77" t="str">
            <v>--</v>
          </cell>
          <cell r="T77" t="str">
            <v>--</v>
          </cell>
          <cell r="U77" t="str">
            <v>--</v>
          </cell>
          <cell r="V77" t="str">
            <v>--</v>
          </cell>
          <cell r="W77" t="str">
            <v>--</v>
          </cell>
          <cell r="X77">
            <v>1.308410303030303E-3</v>
          </cell>
          <cell r="Y77">
            <v>1.2314449910873441E-3</v>
          </cell>
          <cell r="Z77" t="str">
            <v>--</v>
          </cell>
        </row>
        <row r="78">
          <cell r="A78" t="str">
            <v>CA-SK</v>
          </cell>
          <cell r="B78" t="str">
            <v>Sump-1</v>
          </cell>
          <cell r="C78" t="str">
            <v>--</v>
          </cell>
          <cell r="D78" t="str">
            <v>--</v>
          </cell>
          <cell r="E78" t="str">
            <v>--</v>
          </cell>
          <cell r="F78">
            <v>2.6999999999997026E-2</v>
          </cell>
          <cell r="G78" t="str">
            <v>--</v>
          </cell>
          <cell r="H78" t="str">
            <v>--</v>
          </cell>
          <cell r="I78" t="str">
            <v>--</v>
          </cell>
          <cell r="J78" t="str">
            <v>--</v>
          </cell>
          <cell r="K78" t="str">
            <v>--</v>
          </cell>
          <cell r="L78" t="str">
            <v>--</v>
          </cell>
          <cell r="M78" t="str">
            <v>--</v>
          </cell>
          <cell r="N78">
            <v>0.81299999999991046</v>
          </cell>
          <cell r="O78" t="str">
            <v>--</v>
          </cell>
          <cell r="P78" t="str">
            <v>--</v>
          </cell>
          <cell r="Q78" t="str">
            <v>--</v>
          </cell>
          <cell r="R78" t="str">
            <v>--</v>
          </cell>
          <cell r="S78" t="str">
            <v>--</v>
          </cell>
          <cell r="T78" t="str">
            <v>--</v>
          </cell>
          <cell r="U78" t="str">
            <v>--</v>
          </cell>
          <cell r="V78">
            <v>0.41999999999995374</v>
          </cell>
          <cell r="W78" t="str">
            <v>--</v>
          </cell>
          <cell r="X78" t="str">
            <v>--</v>
          </cell>
          <cell r="Y78" t="str">
            <v>--</v>
          </cell>
          <cell r="Z78" t="str">
            <v>--</v>
          </cell>
        </row>
        <row r="79">
          <cell r="A79" t="str">
            <v>CA-SK</v>
          </cell>
          <cell r="B79" t="str">
            <v>Sump-2</v>
          </cell>
          <cell r="C79" t="str">
            <v>--</v>
          </cell>
          <cell r="D79" t="str">
            <v>--</v>
          </cell>
          <cell r="E79" t="str">
            <v>--</v>
          </cell>
          <cell r="F79">
            <v>2.6999999999997026E-2</v>
          </cell>
          <cell r="G79" t="str">
            <v>--</v>
          </cell>
          <cell r="H79" t="str">
            <v>--</v>
          </cell>
          <cell r="I79" t="str">
            <v>--</v>
          </cell>
          <cell r="J79" t="str">
            <v>--</v>
          </cell>
          <cell r="K79" t="str">
            <v>--</v>
          </cell>
          <cell r="L79" t="str">
            <v>--</v>
          </cell>
          <cell r="M79" t="str">
            <v>--</v>
          </cell>
          <cell r="N79">
            <v>0.81299999999991046</v>
          </cell>
          <cell r="O79" t="str">
            <v>--</v>
          </cell>
          <cell r="P79" t="str">
            <v>--</v>
          </cell>
          <cell r="Q79" t="str">
            <v>--</v>
          </cell>
          <cell r="R79" t="str">
            <v>--</v>
          </cell>
          <cell r="S79" t="str">
            <v>--</v>
          </cell>
          <cell r="T79" t="str">
            <v>--</v>
          </cell>
          <cell r="U79" t="str">
            <v>--</v>
          </cell>
          <cell r="V79">
            <v>0.41999999999995374</v>
          </cell>
          <cell r="W79" t="str">
            <v>--</v>
          </cell>
          <cell r="X79" t="str">
            <v>--</v>
          </cell>
          <cell r="Y79" t="str">
            <v>--</v>
          </cell>
          <cell r="Z79" t="str">
            <v>--</v>
          </cell>
        </row>
        <row r="80">
          <cell r="A80" t="str">
            <v>CA-SK</v>
          </cell>
          <cell r="B80" t="str">
            <v>Terminal Tank Truck Loading Rack VRU</v>
          </cell>
          <cell r="C80" t="str">
            <v>--</v>
          </cell>
          <cell r="D80" t="str">
            <v>--</v>
          </cell>
          <cell r="E80" t="str">
            <v>--</v>
          </cell>
          <cell r="F80">
            <v>0.58100000000000007</v>
          </cell>
          <cell r="G80" t="str">
            <v>--</v>
          </cell>
          <cell r="H80" t="str">
            <v>--</v>
          </cell>
          <cell r="I80" t="str">
            <v>--</v>
          </cell>
          <cell r="J80" t="str">
            <v>--</v>
          </cell>
          <cell r="K80" t="str">
            <v>--</v>
          </cell>
          <cell r="L80" t="str">
            <v>--</v>
          </cell>
          <cell r="M80" t="str">
            <v>--</v>
          </cell>
          <cell r="N80">
            <v>0.1</v>
          </cell>
          <cell r="O80" t="str">
            <v>--</v>
          </cell>
          <cell r="P80" t="str">
            <v>--</v>
          </cell>
          <cell r="Q80" t="str">
            <v>--</v>
          </cell>
          <cell r="R80" t="str">
            <v>--</v>
          </cell>
          <cell r="S80" t="str">
            <v>--</v>
          </cell>
          <cell r="T80" t="str">
            <v>--</v>
          </cell>
          <cell r="U80" t="str">
            <v>--</v>
          </cell>
          <cell r="V80">
            <v>0.34050000000000002</v>
          </cell>
          <cell r="W80" t="str">
            <v>--</v>
          </cell>
          <cell r="X80" t="str">
            <v>--</v>
          </cell>
          <cell r="Y80" t="str">
            <v>--</v>
          </cell>
          <cell r="Z80" t="str">
            <v>--</v>
          </cell>
        </row>
        <row r="81">
          <cell r="A81" t="str">
            <v>LRACK-FUG</v>
          </cell>
          <cell r="B81" t="str">
            <v>Terminal Loading Rack Hose Fugitives</v>
          </cell>
          <cell r="C81" t="str">
            <v>--</v>
          </cell>
          <cell r="D81" t="str">
            <v>--</v>
          </cell>
          <cell r="E81" t="str">
            <v>--</v>
          </cell>
          <cell r="F81">
            <v>6.2300000000000008E-2</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v>3.1150000000000004E-2</v>
          </cell>
          <cell r="W81" t="str">
            <v>--</v>
          </cell>
          <cell r="X81" t="str">
            <v>--</v>
          </cell>
          <cell r="Y81" t="str">
            <v>--</v>
          </cell>
          <cell r="Z81" t="str">
            <v>--</v>
          </cell>
        </row>
        <row r="82">
          <cell r="A82" t="str">
            <v>FUG</v>
          </cell>
          <cell r="B82" t="str">
            <v>Terminal Fugitives</v>
          </cell>
          <cell r="C82" t="str">
            <v>--</v>
          </cell>
          <cell r="D82" t="str">
            <v>--</v>
          </cell>
          <cell r="E82" t="str">
            <v>--</v>
          </cell>
          <cell r="F82">
            <v>23.108240520000003</v>
          </cell>
          <cell r="G82" t="str">
            <v>--</v>
          </cell>
          <cell r="H82">
            <v>0</v>
          </cell>
          <cell r="I82">
            <v>0</v>
          </cell>
          <cell r="J82" t="str">
            <v>--</v>
          </cell>
          <cell r="K82" t="str">
            <v>--</v>
          </cell>
          <cell r="L82" t="str">
            <v>--</v>
          </cell>
          <cell r="M82" t="str">
            <v>--</v>
          </cell>
          <cell r="N82">
            <v>23.108240520000003</v>
          </cell>
          <cell r="O82" t="str">
            <v>--</v>
          </cell>
          <cell r="P82">
            <v>0</v>
          </cell>
          <cell r="Q82">
            <v>0</v>
          </cell>
          <cell r="R82" t="str">
            <v>--</v>
          </cell>
          <cell r="S82" t="str">
            <v>--</v>
          </cell>
          <cell r="T82" t="str">
            <v>--</v>
          </cell>
          <cell r="U82" t="str">
            <v>--</v>
          </cell>
          <cell r="V82">
            <v>23.108240520000003</v>
          </cell>
          <cell r="W82" t="str">
            <v>--</v>
          </cell>
          <cell r="X82">
            <v>0</v>
          </cell>
          <cell r="Y82">
            <v>0</v>
          </cell>
          <cell r="Z82" t="str">
            <v>--</v>
          </cell>
        </row>
        <row r="83">
          <cell r="A83" t="str">
            <v>Varies</v>
          </cell>
          <cell r="B83" t="str">
            <v>Tanks Total</v>
          </cell>
          <cell r="C83" t="str">
            <v>--</v>
          </cell>
          <cell r="D83" t="str">
            <v>--</v>
          </cell>
          <cell r="E83" t="str">
            <v>--</v>
          </cell>
          <cell r="F83">
            <v>148.37690000000009</v>
          </cell>
          <cell r="G83" t="str">
            <v>--</v>
          </cell>
          <cell r="H83" t="str">
            <v>--</v>
          </cell>
          <cell r="I83" t="str">
            <v>--</v>
          </cell>
          <cell r="J83" t="str">
            <v>--</v>
          </cell>
          <cell r="K83" t="str">
            <v>--</v>
          </cell>
          <cell r="L83" t="str">
            <v>--</v>
          </cell>
          <cell r="M83" t="str">
            <v>--</v>
          </cell>
          <cell r="N83">
            <v>164.7809500000001</v>
          </cell>
          <cell r="O83" t="str">
            <v>--</v>
          </cell>
          <cell r="P83" t="str">
            <v>--</v>
          </cell>
          <cell r="Q83" t="str">
            <v>--</v>
          </cell>
          <cell r="R83" t="str">
            <v>--</v>
          </cell>
          <cell r="S83" t="str">
            <v>--</v>
          </cell>
          <cell r="T83" t="str">
            <v>--</v>
          </cell>
          <cell r="U83" t="str">
            <v>--</v>
          </cell>
          <cell r="V83">
            <v>156.57892500000008</v>
          </cell>
          <cell r="W83" t="str">
            <v>--</v>
          </cell>
          <cell r="X83" t="str">
            <v>--</v>
          </cell>
          <cell r="Y83" t="str">
            <v>--</v>
          </cell>
          <cell r="Z83" t="str">
            <v>--</v>
          </cell>
        </row>
        <row r="84">
          <cell r="A84" t="str">
            <v>Baseline Year Total Emissions (tpy)</v>
          </cell>
          <cell r="C84">
            <v>1232.8849882319148</v>
          </cell>
          <cell r="D84">
            <v>672.21402990662</v>
          </cell>
          <cell r="E84">
            <v>175.11506346323898</v>
          </cell>
          <cell r="F84">
            <v>800.29196427343766</v>
          </cell>
          <cell r="G84">
            <v>437.52329137311665</v>
          </cell>
          <cell r="H84">
            <v>3.8063000606112385</v>
          </cell>
          <cell r="I84">
            <v>10.430505760251897</v>
          </cell>
          <cell r="J84">
            <v>11.073551498694481</v>
          </cell>
          <cell r="K84">
            <v>1197.7838279482532</v>
          </cell>
          <cell r="L84">
            <v>677.95249179947132</v>
          </cell>
          <cell r="M84">
            <v>163.70672982498184</v>
          </cell>
          <cell r="N84">
            <v>825.95371249277332</v>
          </cell>
          <cell r="O84">
            <v>445.86147314707324</v>
          </cell>
          <cell r="P84">
            <v>3.6773088248679136</v>
          </cell>
          <cell r="Q84">
            <v>10.875428230388669</v>
          </cell>
          <cell r="R84">
            <v>13.369780049298747</v>
          </cell>
          <cell r="S84">
            <v>1215.334408090084</v>
          </cell>
          <cell r="T84">
            <v>675.08326085304577</v>
          </cell>
          <cell r="U84">
            <v>169.41089664411041</v>
          </cell>
          <cell r="V84">
            <v>813.12283838310555</v>
          </cell>
          <cell r="W84">
            <v>441.69238226009492</v>
          </cell>
          <cell r="X84">
            <v>3.7418044427395758</v>
          </cell>
          <cell r="Y84">
            <v>8.404325815333932</v>
          </cell>
          <cell r="Z84">
            <v>12.221665773996614</v>
          </cell>
        </row>
        <row r="86">
          <cell r="A86" t="str">
            <v>Notes:</v>
          </cell>
        </row>
        <row r="87">
          <cell r="A87" t="str">
            <v>[1]  Baseline emission rates are estimated as the average of 2004 and 2005 emission rates.  The 2004 and 2005 actual emissions are obtained from Western's EI reports for 2004 and 2005 with the following exceptions.</v>
          </cell>
        </row>
        <row r="88">
          <cell r="A88" t="str">
            <v>[2]  The 2004 and 2005 actual emission rates of PM, SO2, CO, and NOx for the combustion units are calculated by Western based on stack monitoring data.</v>
          </cell>
        </row>
        <row r="89">
          <cell r="A89" t="str">
            <v xml:space="preserve">[3]  Western is requesting the addition of PM10 emissions from all cooling towers to the proposed PAL caps with this application.  </v>
          </cell>
        </row>
        <row r="90">
          <cell r="A90" t="str">
            <v xml:space="preserve">[4]  For the south main cooling tower (EPN F-7), the VOC baseline emissions are recalculated based on stack concentration and flow rates from monitoring data. </v>
          </cell>
        </row>
        <row r="91">
          <cell r="A91" t="str">
            <v xml:space="preserve">       In reviewing the 2004 and 2005 actual monitoring data for the South Main Cooling Tower (EPN F-7), Western found out there are a few days with elevated emissions due to an exchanger leak.  </v>
          </cell>
        </row>
        <row r="92">
          <cell r="A92" t="str">
            <v xml:space="preserve">       To comply with TCEQ PAL requirements, Western has updated the emissions to exclude malfunctions out of the baseline emissions.  </v>
          </cell>
        </row>
        <row r="93">
          <cell r="A93" t="str">
            <v>[5]  The actual emission rates for VOC emissions for fugitive components are calculated based on current fugitive component counts.</v>
          </cell>
        </row>
        <row r="94">
          <cell r="A94" t="str">
            <v xml:space="preserve">[6]  For the north SRU (EPN 160), CO, COS and H2S emissions are updated based on measured pollutant concentrations from the stack test performed on August 29, 2006.    </v>
          </cell>
        </row>
        <row r="95">
          <cell r="A95" t="str">
            <v xml:space="preserve">[7]  For the south main flare (EPN 112), the baseline emissions are updated to the new allowable emissions after the flare recovery project.  </v>
          </cell>
        </row>
        <row r="96">
          <cell r="A96" t="str">
            <v xml:space="preserve">       Historically the South Main Flare (EPN 112) used to combust natural gas pilot gas, natural gas purge gas, and process streams from the refinery.  </v>
          </cell>
        </row>
        <row r="97">
          <cell r="A97" t="str">
            <v xml:space="preserve">       Since the combustion of process streams for the refinery is not allowed for flares, in  ccordance with Special Condition #12B under the April 4, 2005 version of the flexible permit and the implementation plan, </v>
          </cell>
        </row>
        <row r="98">
          <cell r="A98" t="str">
            <v xml:space="preserve">       Western has implemented a flare gas recovery project in 2006 and returned the flare to emergency service only (i.e., only allowing pilot and purge gases).  Now no process streams are vented to South Main Flare anymore.  </v>
          </cell>
        </row>
        <row r="99">
          <cell r="A99" t="str">
            <v xml:space="preserve">[8]  For the SVE units (SVE-TC1 and SVE-TC2), emissions are updated based on the stream characteristics per March - April, 2006 stack testing results, and AP-42 emission factors.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 Calculation (2)"/>
      <sheetName val="V-B Calculation"/>
    </sheetNames>
    <sheetDataSet>
      <sheetData sheetId="0" refreshError="1"/>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e Emission Calcs (031404"/>
      <sheetName val="#REF"/>
      <sheetName val="Table 4-1. Rfl Act"/>
      <sheetName val="Table 4-2. Rfl PTE"/>
      <sheetName val="Tank Inputs"/>
      <sheetName val="Table 5-2. Tank Act"/>
      <sheetName val="Table 5-3.  Tank PTE"/>
      <sheetName val="Table 6-1.  WWTS"/>
      <sheetName val="Table 8-1. Parts W ACT"/>
      <sheetName val="Table 8-2. Parts W PTE"/>
      <sheetName val="Table 11-1. Sand T Act"/>
      <sheetName val="Table 11-2. Sand T PTE"/>
      <sheetName val="Table 13-1. Gen Act"/>
      <sheetName val="Table 14-1 Steam C ACT"/>
      <sheetName val="Table 14-2 Steam C PTE"/>
      <sheetName val="Table 15-1. Misc Comb ACT"/>
      <sheetName val="Table 15-2. Misc Comb PTE"/>
      <sheetName val="Table 16-1. Welders ACT"/>
      <sheetName val="Table 16-2. Welders PTE"/>
      <sheetName val="Table 17-1.  Acetylene ACT"/>
      <sheetName val="Table 17-2.  Acetylene PTE"/>
      <sheetName val="Table 18-1.  Electrode ACT"/>
      <sheetName val="Table 18-2.  Electrode P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al gas"/>
      <sheetName val="EU 10-17,25-27"/>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ummary"/>
      <sheetName val="Sum by Source"/>
      <sheetName val="Analyses"/>
      <sheetName val="Nat Gas Eng"/>
      <sheetName val="Gen Diesl Eng"/>
      <sheetName val="Rig Diesl Eng"/>
      <sheetName val="Fired"/>
      <sheetName val="HJGP N2 Vnt"/>
      <sheetName val="HJGP Fug"/>
      <sheetName val="HJGP Flare"/>
      <sheetName val="truckloading"/>
      <sheetName val="GCC Dehy"/>
      <sheetName val="AB Dehy"/>
      <sheetName val="WrkOvr Flare"/>
      <sheetName val="Drill Flare"/>
      <sheetName val="Fugitives"/>
      <sheetName val="Venting WrkOvr"/>
      <sheetName val="Venting All Other"/>
      <sheetName val="Pumps"/>
      <sheetName val="Pneum"/>
      <sheetName val="Vessels"/>
      <sheetName val="Electricity"/>
      <sheetName val="natural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Flow"/>
      <sheetName val="Input Summary"/>
      <sheetName val="Scrap Unloading in Yard"/>
      <sheetName val="Baghouse-Curr&amp;Prop"/>
      <sheetName val="Tire Wire Unloading - Curr"/>
      <sheetName val="Tire Wire Unloading -Prop"/>
      <sheetName val="TireWire Loading - Curr"/>
      <sheetName val="TireWire Loading - Prop"/>
      <sheetName val="Sweepings Unloading - Curr"/>
      <sheetName val="Sweepings Unloading - Prop"/>
      <sheetName val="Shredder Fugs - Curr"/>
      <sheetName val="Shredder Fugs - Prop"/>
      <sheetName val="TW Pile Wind Erosion - Curr"/>
      <sheetName val="TW Pile Wind Erosion - Prop"/>
      <sheetName val="Storage Piles - Curr"/>
      <sheetName val="Storage Piles - Prop"/>
      <sheetName val="Pile Summary"/>
      <sheetName val="Material Transfers-Current"/>
      <sheetName val="Material Transfers Summary-Curr"/>
      <sheetName val="Material Transfers-Proposed"/>
      <sheetName val="Material Transfers Summary-Prop"/>
      <sheetName val="ASR Emission Speciation - Curr"/>
      <sheetName val="ASR Emission Speciation - Prop"/>
      <sheetName val="Emissions Summary"/>
      <sheetName val="PBR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Questions"/>
      <sheetName val="Revisit"/>
      <sheetName val="MailMerge"/>
      <sheetName val="Engines"/>
      <sheetName val="Compr-PJ"/>
      <sheetName val="Wells"/>
      <sheetName val="Fired Anc"/>
      <sheetName val="Section 5"/>
      <sheetName val="Section 4"/>
      <sheetName val="Section 3"/>
      <sheetName val="Ajax C 42"/>
      <sheetName val="Ajax DPC 180"/>
      <sheetName val="Ajax DPC 230"/>
      <sheetName val="Ajax DPC 81"/>
      <sheetName val="Ariel JGS 325"/>
      <sheetName val="Arrow C46"/>
      <sheetName val="Arrow C66"/>
      <sheetName val="Arrow VRG 220"/>
      <sheetName val="Arrow VRG 330"/>
      <sheetName val="Caterpillar 3304 NA"/>
      <sheetName val="Caterpillar 3304 STD"/>
      <sheetName val="Caterpillar 3306 NA"/>
      <sheetName val="Caterpillar 3306 TA"/>
      <sheetName val="Caterpillar 3406 TA"/>
      <sheetName val="Caterpillar 3412 LE"/>
      <sheetName val="Compressco Ford 460"/>
      <sheetName val="Continental Emsco C E 66"/>
      <sheetName val="Cummins 683C"/>
      <sheetName val="Ford 300"/>
      <sheetName val="Jensen -"/>
      <sheetName val="Koehler 624 CC"/>
      <sheetName val="Koehler VRG 330"/>
      <sheetName val="NGSG 350"/>
      <sheetName val="NGSG UNKNOWN"/>
      <sheetName val="Oil well E-20RC"/>
      <sheetName val="Waukesha F11 G"/>
      <sheetName val="Waukesha F18GL"/>
      <sheetName val="Waukesha F817G"/>
      <sheetName val="Waukesha F817GU"/>
      <sheetName val="Waukesha VRG 220"/>
      <sheetName val="Waukesha VRG 220U"/>
      <sheetName val="Waukesha VRG 330"/>
      <sheetName val="Waukesha VRG 330U"/>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EFR"/>
      <sheetName val="FX"/>
      <sheetName val="IFR"/>
      <sheetName val="CT"/>
      <sheetName val="EXC"/>
      <sheetName val="IC"/>
      <sheetName val="GT"/>
      <sheetName val="HTR FACT"/>
      <sheetName val="Table 1a 1"/>
      <sheetName val="Table 1a 2"/>
      <sheetName val="Emissions Bubble Summary"/>
      <sheetName val="Turnaround Emissions Summary"/>
      <sheetName val="Vessel Properties"/>
      <sheetName val="T-A Compositions"/>
      <sheetName val="Deinventory Sample Calc"/>
      <sheetName val="Bypassing Sample Calc"/>
      <sheetName val="Sheet1"/>
      <sheetName val="ACU-1"/>
      <sheetName val="ACU-2"/>
      <sheetName val="Alky SD"/>
      <sheetName val="Alky SD ATM"/>
      <sheetName val="Amine"/>
      <sheetName val="BTX"/>
      <sheetName val="Condensate Spltr"/>
      <sheetName val="Demex"/>
      <sheetName val="DHT-1"/>
      <sheetName val="DHT-2"/>
      <sheetName val="FCCU SD"/>
      <sheetName val="FCCU SD ATM"/>
      <sheetName val="FCCU SD Bypass"/>
      <sheetName val="FCCU SU"/>
      <sheetName val="GHT"/>
      <sheetName val="GRU"/>
      <sheetName val="Isom"/>
      <sheetName val="Ref-NHT SD"/>
      <sheetName val="Ref-NHT SD Bypass"/>
      <sheetName val="Ref-NHT SU"/>
      <sheetName val="Sat. Liq. SD"/>
      <sheetName val="SWS-1 SD"/>
      <sheetName val="SWS-1 SU"/>
      <sheetName val="SWS-2"/>
      <sheetName val="TDP"/>
      <sheetName val="Unibon SD"/>
      <sheetName val="Unibon SD Bypass"/>
      <sheetName val="Unibon SU"/>
      <sheetName val="Disulfide Gas"/>
      <sheetName val="Routine MSS Emissions Summary"/>
      <sheetName val="Pumps"/>
      <sheetName val="Compressors"/>
      <sheetName val="Pipes"/>
      <sheetName val="Valves"/>
      <sheetName val="Vessels"/>
      <sheetName val="Exchangers"/>
      <sheetName val="Painting"/>
      <sheetName val="IFR-hr"/>
      <sheetName val="IFR-ann"/>
      <sheetName val="EFR-hr"/>
      <sheetName val="EFR-ann"/>
      <sheetName val="FXR-hr "/>
      <sheetName val="FXR-annual"/>
      <sheetName val="Tank Combustion"/>
      <sheetName val="Vacuum Truck-loading"/>
      <sheetName val="Vacuum Truck-unloadin"/>
      <sheetName val="Vac Truck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S Heat"/>
      <sheetName val="NFS VOC"/>
      <sheetName val="Calc 1"/>
      <sheetName val="Calc 2"/>
      <sheetName val="Calc 3"/>
      <sheetName val="Table 8 Att"/>
    </sheetNames>
    <sheetDataSet>
      <sheetData sheetId="0"/>
      <sheetData sheetId="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ility Information"/>
      <sheetName val="Site Wide Gas &amp; Liquid Analyses"/>
      <sheetName val="IC Engines"/>
      <sheetName val="Turbines"/>
      <sheetName val="Diesel Engines"/>
      <sheetName val="Heaters-Boilers"/>
      <sheetName val="Fugitives"/>
      <sheetName val="Direct Measurement"/>
      <sheetName val="Tanks 4.0"/>
      <sheetName val="Process Simulator"/>
      <sheetName val="E&amp;P Tanks L l HP OIL"/>
      <sheetName val="E&amp;P Tanks LP Gas"/>
      <sheetName val="E&amp;P Tanks Stable Oil"/>
      <sheetName val="E&amp;P Tanks Geo"/>
      <sheetName val="GOR"/>
      <sheetName val="GWR"/>
      <sheetName val="Vasquez-Beggs"/>
      <sheetName val="Loading Jobs"/>
      <sheetName val="Glycol Units"/>
      <sheetName val="Amine Units"/>
      <sheetName val="Vapor Recovery Units"/>
      <sheetName val="Flares-Vapor Combustors"/>
      <sheetName val="Thermal Oxidizers"/>
      <sheetName val="Emissions Summary-New Requ"/>
      <sheetName val="Other"/>
      <sheetName val="Emissions Summary-Old Requ"/>
      <sheetName val="Major Source check-Old Requ"/>
      <sheetName val="Major Source check-New Requ"/>
      <sheetName val="Level of Authorization-New Requ"/>
      <sheetName val="Level of Authorization-Old Requ"/>
      <sheetName val="MSS Blowdowns"/>
      <sheetName val="MSS FLR Tank Landing Loss"/>
      <sheetName val="MSS Tank Forced Vent Degas"/>
      <sheetName val="MSS Tank Non Forced Vent"/>
      <sheetName val="MSS Other"/>
      <sheetName val="Is Full Impacts Review Required"/>
      <sheetName val="Impacts Scope"/>
      <sheetName val="Benzene Full Impacts"/>
      <sheetName val="H2S Full Impacts"/>
      <sheetName val="SO2 Full Impacts"/>
      <sheetName val="NO2 Full Impacts"/>
      <sheetName val="Fugitives and Vents"/>
      <sheetName val="Blowdowns, Purging, and Pigging"/>
      <sheetName val="Flares and Thermal Dest. Dev."/>
      <sheetName val="Engines ≤ 250 HP"/>
      <sheetName val="Eng. 250 &lt; HP ≤ 500"/>
      <sheetName val="Eng. 500 &lt; hp ≤ 1000"/>
      <sheetName val="Eng. 1000 &lt; hp ≤ 1500"/>
      <sheetName val="Eng. 1500 &lt; hp ≤ 2000"/>
      <sheetName val="Eng. &gt; 2000 h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OC"/>
      <sheetName val="AQB Forms"/>
      <sheetName val="2-A All"/>
      <sheetName val="2-A_NoTURB"/>
      <sheetName val="2-A_4TURB"/>
      <sheetName val="2-A_3TURB"/>
      <sheetName val="2-A_2TURB"/>
      <sheetName val="2-A_1TURB"/>
      <sheetName val="2-B"/>
      <sheetName val="2-C"/>
      <sheetName val="Sum UC-NoCo11X17"/>
      <sheetName val="Sum-NoCo11X17"/>
      <sheetName val="Sum UC-Co11X17"/>
      <sheetName val="Summary-Co 11x17"/>
      <sheetName val="2-D-NoCo"/>
      <sheetName val="2-D-Co"/>
      <sheetName val="2-E-NoCo"/>
      <sheetName val="2-E-Co"/>
      <sheetName val="2-F"/>
      <sheetName val="2-G"/>
      <sheetName val="2-G-Co"/>
      <sheetName val="2-H-Co"/>
      <sheetName val="2-H"/>
      <sheetName val="2-I_NoCo"/>
      <sheetName val="2-I-Co"/>
      <sheetName val="2-J"/>
      <sheetName val="2-K"/>
      <sheetName val="2-L"/>
      <sheetName val="2-M"/>
      <sheetName val="2-N"/>
      <sheetName val="2-O"/>
      <sheetName val="2-P_NoCo"/>
      <sheetName val="2-P_Co"/>
      <sheetName val="2-B-Co"/>
      <sheetName val="2-C-Co"/>
      <sheetName val="2-F-Co"/>
      <sheetName val="Calcs"/>
      <sheetName val="Summary UC-NoCo"/>
      <sheetName val="Summary-NoCo"/>
      <sheetName val="PSD-NoCo"/>
      <sheetName val="Summary-Co"/>
      <sheetName val="Summary UC-Co"/>
      <sheetName val="PSD-Co"/>
      <sheetName val="Q-d Analysis"/>
      <sheetName val="Cogen-SO2_H2SO4"/>
      <sheetName val="VOC, HAPs- Case 5a"/>
      <sheetName val="Burners"/>
      <sheetName val="Burners No Cogen"/>
      <sheetName val="HT Flow &amp; Fuel "/>
      <sheetName val="SHTRGHG"/>
      <sheetName val="CHTRGHG"/>
      <sheetName val="RegenGHG"/>
      <sheetName val="COGEN GHG "/>
      <sheetName val="Flare Summary"/>
      <sheetName val="Hrly (FL1-FL3CRYO-SSM)"/>
      <sheetName val="Ann (FL1-FL3CRYO-MSS)"/>
      <sheetName val="Hrly (FL1-FL3OVHD-SSM)"/>
      <sheetName val="Ann (FL1-FL3OVHD-MSS)"/>
      <sheetName val="Hrly (FL1-FL3)"/>
      <sheetName val="Ann (FL1-FL3)"/>
      <sheetName val="FL1-FL3 GHG"/>
      <sheetName val="Tank Summary"/>
      <sheetName val="IFR Tanks (IFR1-IFR4)"/>
      <sheetName val="Hrly (ECD1)"/>
      <sheetName val=" Ann (ECD1)"/>
      <sheetName val="ECD1 GHG"/>
      <sheetName val="TO Hrly (TO1-TO3)"/>
      <sheetName val="TO Ann (TO1-TO3)"/>
      <sheetName val="TO GHG-Flash "/>
      <sheetName val="TO GHG-Still"/>
      <sheetName val="Fugitive"/>
      <sheetName val="Fugitives HAPs"/>
      <sheetName val="Load-Slop Oil"/>
      <sheetName val="Load-H2O"/>
      <sheetName val="Road"/>
      <sheetName val="ProMax--&gt;"/>
      <sheetName val=" UserValueSets Report"/>
      <sheetName val="CDP + Flare PStreams"/>
      <sheetName val="Amine PStreams"/>
      <sheetName val="Components - INLET GAS"/>
      <sheetName val="Components - 3RD PARTY OIL"/>
      <sheetName val="Components - IFR INLET"/>
      <sheetName val="Components - DRAIN OUTLET OIL"/>
      <sheetName val="Components - DRAIN OUTLET WATER"/>
      <sheetName val="Components - SURGE WATER"/>
      <sheetName val="Components -Stabilizer Overhead"/>
      <sheetName val="Components - RESIDUE GAS"/>
      <sheetName val="Components - PVT Sample"/>
      <sheetName val="Not Used"/>
      <sheetName val="Generator Insig"/>
      <sheetName val="Summary-AllForAERMOd"/>
      <sheetName val=" Tank SSM IFR Landing"/>
      <sheetName val="Tank SSM IFR Clean"/>
      <sheetName val="AltHeatScenarios"/>
      <sheetName val="Summary_1TUR"/>
      <sheetName val="Summary_2TUR"/>
      <sheetName val="Summary_3TUR"/>
      <sheetName val="Cogen-SO2_H2SO4 (2)"/>
      <sheetName val="COGEN-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3">
          <cell r="E13">
            <v>1.730961</v>
          </cell>
        </row>
      </sheetData>
      <sheetData sheetId="42" refreshError="1"/>
      <sheetData sheetId="43" refreshError="1"/>
      <sheetData sheetId="44"/>
      <sheetData sheetId="45">
        <row r="49">
          <cell r="I49">
            <v>0.87780643847917583</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2">
          <cell r="I12">
            <v>146.8103605897619</v>
          </cell>
        </row>
      </sheetData>
      <sheetData sheetId="56" refreshError="1"/>
      <sheetData sheetId="57">
        <row r="2">
          <cell r="B2" t="str">
            <v>XTO ENERGY INC.</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sion Units"/>
      <sheetName val="Criteria Summary"/>
      <sheetName val="HAP Summary"/>
      <sheetName val="Title 129, Chapters 20 &amp; 24"/>
      <sheetName val="PM Process Emissions"/>
      <sheetName val="Steeping&amp;Milling"/>
      <sheetName val="Germ Dryers, cooling"/>
      <sheetName val="Gluten Flash Dryers"/>
      <sheetName val="Fluid Bed Germ Dryer"/>
      <sheetName val="Fermentation, Distillation"/>
      <sheetName val="Storage Tanks"/>
      <sheetName val="Product Loadout"/>
      <sheetName val="Product Loadout HAPs"/>
      <sheetName val="EtOH LO Flare"/>
      <sheetName val="Carbon Furnaces"/>
      <sheetName val="NG Boilers #1-4"/>
      <sheetName val="NG Boiler #5"/>
      <sheetName val="Coal fired Boilers"/>
      <sheetName val="Cooling Towers"/>
      <sheetName val="Equipment Leaks"/>
      <sheetName val="Paved Road Fugitives"/>
      <sheetName val="Emergency Equipment"/>
      <sheetName val="Biogas Flare"/>
      <sheetName val="Wet Feed Pile"/>
      <sheetName val="HCl Scrubber"/>
      <sheetName val="Process T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ing Info"/>
      <sheetName val="TCEQ Fugitives"/>
      <sheetName val="Project Budget"/>
      <sheetName val="Std. @ elev."/>
      <sheetName val="F Factor Flow Rates"/>
      <sheetName val="PPM To Mass Rate"/>
      <sheetName val="Nat Gas Engine Port Analyzer"/>
      <sheetName val="Diesel Engine Port Analyzer"/>
      <sheetName val="Coversions for acfm &amp; scfm"/>
      <sheetName val="Exhaust Mass to Volume"/>
      <sheetName val="NSPS 000 Baghouse"/>
      <sheetName val="Ensor-Pilot"/>
      <sheetName val="VP of EG &amp; TEG"/>
      <sheetName val="VP of Mixed Liquid"/>
      <sheetName val="Tank"/>
      <sheetName val="Tank Summary"/>
      <sheetName val="Flash Part I"/>
      <sheetName val="Flash Part II"/>
      <sheetName val="Building Rotate"/>
      <sheetName val="Shively Velocity Check"/>
      <sheetName val="Truck Loading"/>
      <sheetName val="Modeling Result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v>0</v>
          </cell>
          <cell r="C3">
            <v>0</v>
          </cell>
        </row>
        <row r="5">
          <cell r="D5">
            <v>0</v>
          </cell>
        </row>
        <row r="6">
          <cell r="D6">
            <v>5</v>
          </cell>
        </row>
      </sheetData>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sheetName val="Cummins G5.9"/>
      <sheetName val="Cummins GTA8.3"/>
      <sheetName val="Heaters"/>
      <sheetName val="E20RC"/>
      <sheetName val="Flashing"/>
    </sheetNames>
    <sheetDataSet>
      <sheetData sheetId="0" refreshError="1"/>
      <sheetData sheetId="1" refreshError="1"/>
      <sheetData sheetId="2" refreshError="1"/>
      <sheetData sheetId="3" refreshError="1"/>
      <sheetData sheetId="4" refreshError="1"/>
      <sheetData sheetId="5" refreshError="1">
        <row r="12">
          <cell r="F12">
            <v>34</v>
          </cell>
        </row>
        <row r="13">
          <cell r="F13">
            <v>125</v>
          </cell>
        </row>
        <row r="14">
          <cell r="F14">
            <v>70</v>
          </cell>
        </row>
        <row r="15">
          <cell r="F15">
            <v>0.68</v>
          </cell>
        </row>
        <row r="16">
          <cell r="F16">
            <v>1.2</v>
          </cell>
        </row>
        <row r="17">
          <cell r="F17">
            <v>28.97</v>
          </cell>
        </row>
        <row r="18">
          <cell r="F18">
            <v>7.1300000000000002E-2</v>
          </cell>
        </row>
        <row r="26">
          <cell r="C26">
            <v>0.68819334787067798</v>
          </cell>
        </row>
        <row r="57">
          <cell r="C57">
            <v>0.32971426490079608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a"/>
      <sheetName val="Table Index"/>
      <sheetName val="Fees"/>
      <sheetName val="Source List"/>
      <sheetName val="Emissions Summary"/>
      <sheetName val="New Source Emissions"/>
      <sheetName val="Source Emission Reductions"/>
      <sheetName val="Tank Dome"/>
      <sheetName val="Combustion EFs"/>
      <sheetName val="Combustion Normal"/>
      <sheetName val="Combustion MSS"/>
      <sheetName val="Compressors"/>
      <sheetName val="FCCU"/>
      <sheetName val="FCCU PM"/>
      <sheetName val="Flares"/>
      <sheetName val="WWCTS"/>
      <sheetName val="SVE Units"/>
      <sheetName val="Rheniformer"/>
      <sheetName val="South SRU"/>
      <sheetName val="North SRU"/>
      <sheetName val="OWS"/>
      <sheetName val="Load Rack Summary"/>
      <sheetName val="Liquid Loading"/>
      <sheetName val="LPG Loading"/>
      <sheetName val="Sulfur Loading"/>
      <sheetName val="Gondola Loading"/>
      <sheetName val="Tank Data"/>
      <sheetName val="Tank Normal"/>
      <sheetName val="Cooling Towers PM"/>
      <sheetName val="Cooling Towers VOC"/>
      <sheetName val="Cooling Towers MSS"/>
      <sheetName val="Fugitive Calcs"/>
      <sheetName val="Fugitive Summary"/>
      <sheetName val="MSS - Vessel Blowdown"/>
      <sheetName val="MSS - Vessel Cleaning"/>
      <sheetName val="MSS - Tank Landing Refill"/>
      <sheetName val="MSS - Tank Degas Clean"/>
      <sheetName val="Fugitive Counts"/>
      <sheetName val="Fug Emission Factors"/>
      <sheetName val="CGHT Fugitives"/>
      <sheetName val="Refinery Stream Composition"/>
      <sheetName val="CGHT Vessel Data"/>
      <sheetName val="LSR HT Vessel Data"/>
      <sheetName val="Operational Ba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st. - Fugitives"/>
      <sheetName val="Wind Erosion"/>
      <sheetName val="Traffic- Dust Fugitives"/>
      <sheetName val="Traffic- Dust Fug Production"/>
      <sheetName val="Traffic Fug break&amp;tire"/>
      <sheetName val="Traffic- Fug break&amp;tire prod"/>
      <sheetName val="Const. - Tailpipe Heavy Equip"/>
      <sheetName val="Tailpipe Emissions"/>
      <sheetName val="Comp- Tailpipe Heavy Equip"/>
      <sheetName val="Operations - Tailpipe Emissions"/>
      <sheetName val="Compression Emissions"/>
      <sheetName val="Drill Rig Emissions"/>
      <sheetName val="WD Drill Rig Emissions Tier0"/>
      <sheetName val="WD Drill Rig Emissions Tier1"/>
      <sheetName val="WD Drill Rig Emissions"/>
      <sheetName val=" WD Drill Rig Emissions Tier3"/>
      <sheetName val="Workover Emissions Tier 0"/>
      <sheetName val="Workover Emissions Tier 1"/>
      <sheetName val="Workover Emissions Tier 3"/>
      <sheetName val="Completion Emissions Tier0"/>
      <sheetName val="Completion Emissions Tier1"/>
      <sheetName val="Completion Emissions Tier3"/>
      <sheetName val="Completion Emissions"/>
      <sheetName val="Workover Emissions"/>
      <sheetName val="Completion Vent_Flare"/>
      <sheetName val="Central Production Facilities"/>
      <sheetName val="Pneumatic Controllers Conv."/>
      <sheetName val="Oil-Condensate Tanks"/>
      <sheetName val="Treater Flare"/>
      <sheetName val="Treater Burner"/>
      <sheetName val="RICE Engine"/>
      <sheetName val="Truck Loading"/>
      <sheetName val="Produced Water Tank"/>
      <sheetName val="Fugitive Emissions"/>
      <sheetName val="Pneumatic Controllers"/>
      <sheetName val="GHG Emissions"/>
      <sheetName val="GHG Emissions (W)"/>
      <sheetName val="EmissionSummary w Tier 0"/>
      <sheetName val="EmissionSummary w Tier 1"/>
      <sheetName val="EmissionSummary w Tier 2"/>
      <sheetName val="EmissionSummary w Tier 3"/>
      <sheetName val="EmissionSummary w Tier 4"/>
      <sheetName val="Drilling Completions Emiss T0"/>
      <sheetName val="Drilling Completions Emiss  T1"/>
      <sheetName val="Total Emissions per Year "/>
      <sheetName val="Emission Summary"/>
      <sheetName val="Construction Emissions Summary"/>
      <sheetName val="Drilling-Completions Summary"/>
      <sheetName val="Drilling Completions Emiss T2"/>
      <sheetName val="Drilling Completions Emiss T4"/>
      <sheetName val="30 Day Production Sum"/>
      <sheetName val="Long Term Summary"/>
      <sheetName val="Drilling Completions Emiss T3"/>
      <sheetName val="Drilling and Compl Sum T0-T4"/>
      <sheetName val="Input Sheet_Cons."/>
      <sheetName val="Summary Lab-Datagas"/>
      <sheetName val="App-Lab Reportgas"/>
      <sheetName val="Input Information"/>
      <sheetName val="Summary Lab data-Liquid"/>
      <sheetName val="App-Lab ReportLiquid"/>
      <sheetName val="Summary Lab-DatagasTV"/>
      <sheetName val="MOVES-RESULTS-2012-MONTHS"/>
      <sheetName val="Moves(OLD)-Dust Particulates"/>
      <sheetName val="App-LAbData-GasTV"/>
      <sheetName val="MOVES-TAILPIPE"/>
      <sheetName val="MOVES-Dust Particulates"/>
      <sheetName val="Do Not Include"/>
      <sheetName val="Facility Information"/>
    </sheetNames>
    <sheetDataSet>
      <sheetData sheetId="0"/>
      <sheetData sheetId="1">
        <row r="2">
          <cell r="A2" t="str">
            <v>Project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4">
          <cell r="B4">
            <v>87</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Yeast Props"/>
      <sheetName val="Fermenters"/>
      <sheetName val="Beer Well"/>
      <sheetName val="Beer Stills"/>
      <sheetName val="Anhydrous NCG Vents"/>
      <sheetName val="Mole Sieve NCG Vent"/>
      <sheetName val="MR1-3 Vent"/>
      <sheetName val="MR4 Vent"/>
      <sheetName val="Beverage Stills"/>
      <sheetName val="Gin Stills"/>
      <sheetName val="R-1 Stripper NCG Vent"/>
      <sheetName val="A-1 Stripper NCG Vent"/>
      <sheetName val="A-1A Stripper NCG Vent"/>
      <sheetName val="CO2 Scrubber Stripper NCG Vent"/>
      <sheetName val="Stillage Tank 108"/>
      <sheetName val="Stillage Tank 110"/>
      <sheetName val="Stillage Tank #3"/>
      <sheetName val="Recycle Tank"/>
      <sheetName val="Tanks TH1 &amp; TH2"/>
      <sheetName val="Tank A6"/>
      <sheetName val="A1 Feed Tank"/>
      <sheetName val="Fusel Oil Tank"/>
      <sheetName val="Mix Tank"/>
      <sheetName val="Process &amp; Storage Tanks"/>
      <sheetName val="Uncontrolled Fuel Loadout PTE"/>
      <sheetName val="Controlled Fuel Loadout PTE"/>
      <sheetName val="Beverage Loadout PTE"/>
      <sheetName val="Barge Beverage Loadout Baseline"/>
      <sheetName val="Rail Beverage Loadout Baseline"/>
      <sheetName val="Truck Beverage Loadout Baseline"/>
      <sheetName val="Barge CDA Baseline"/>
      <sheetName val="Rail CDA Baseline"/>
      <sheetName val="Dedicated Truck CDA Baseline"/>
      <sheetName val="Switch Truck CDA Baseline"/>
      <sheetName val="Loadout Flare Emissions"/>
      <sheetName val="VOC Fugitives"/>
      <sheetName val="WWTP"/>
      <sheetName val="Biomass Drying"/>
      <sheetName val="Feed Dryer EF Basis"/>
      <sheetName val="Road Dust Fugitives"/>
      <sheetName val="Road Rates"/>
      <sheetName val="Baseline Data"/>
      <sheetName val="Fermenter Test Data"/>
      <sheetName val="Constants"/>
      <sheetName val="Hourly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5">
          <cell r="B5">
            <v>1.05</v>
          </cell>
        </row>
      </sheetData>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94.bin"/><Relationship Id="rId4" Type="http://schemas.openxmlformats.org/officeDocument/2006/relationships/comments" Target="../comments4.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9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J52"/>
  <sheetViews>
    <sheetView view="pageBreakPreview" topLeftCell="A28" zoomScale="70" zoomScaleNormal="100" zoomScaleSheetLayoutView="70" workbookViewId="0">
      <selection activeCell="C29" sqref="C29:H29"/>
    </sheetView>
  </sheetViews>
  <sheetFormatPr defaultColWidth="9.36328125" defaultRowHeight="12.5"/>
  <cols>
    <col min="1" max="4" width="9.453125" style="12" customWidth="1"/>
    <col min="5" max="6" width="9.453125" style="3" customWidth="1"/>
    <col min="7" max="10" width="9.453125" style="12" customWidth="1"/>
    <col min="11" max="16384" width="9.36328125" style="12"/>
  </cols>
  <sheetData>
    <row r="1" spans="1:10">
      <c r="A1" s="3785"/>
      <c r="B1" s="3785"/>
      <c r="C1" s="3785"/>
      <c r="D1" s="3785"/>
      <c r="E1" s="3785"/>
      <c r="F1" s="3785"/>
      <c r="G1" s="3785"/>
      <c r="H1" s="3785"/>
      <c r="I1" s="3785"/>
      <c r="J1" s="3785"/>
    </row>
    <row r="2" spans="1:10">
      <c r="A2" s="3785"/>
      <c r="B2" s="3785"/>
      <c r="C2" s="3785"/>
      <c r="D2" s="3785"/>
      <c r="E2" s="3785"/>
      <c r="F2" s="3785"/>
      <c r="G2" s="3785"/>
      <c r="H2" s="3785"/>
      <c r="I2" s="3785"/>
      <c r="J2" s="3785"/>
    </row>
    <row r="3" spans="1:10">
      <c r="A3" s="3"/>
      <c r="B3" s="3"/>
      <c r="C3" s="3"/>
      <c r="D3" s="3"/>
      <c r="G3" s="3"/>
      <c r="H3" s="3"/>
      <c r="I3" s="3"/>
      <c r="J3" s="3"/>
    </row>
    <row r="4" spans="1:10" ht="27.75" customHeight="1">
      <c r="A4" s="3785" t="s">
        <v>634</v>
      </c>
      <c r="B4" s="3785"/>
      <c r="C4" s="3785"/>
      <c r="D4" s="3785"/>
      <c r="E4" s="3785"/>
      <c r="F4" s="3785"/>
      <c r="G4" s="3785"/>
      <c r="H4" s="3785"/>
      <c r="I4" s="3785"/>
      <c r="J4" s="3785"/>
    </row>
    <row r="5" spans="1:10" ht="27.75" customHeight="1">
      <c r="A5" s="3785" t="s">
        <v>591</v>
      </c>
      <c r="B5" s="3785"/>
      <c r="C5" s="3785"/>
      <c r="D5" s="3785"/>
      <c r="E5" s="3785"/>
      <c r="F5" s="3785"/>
      <c r="G5" s="3785"/>
      <c r="H5" s="3785"/>
      <c r="I5" s="3785"/>
      <c r="J5" s="3785"/>
    </row>
    <row r="6" spans="1:10" s="27" customFormat="1" ht="27.75" customHeight="1">
      <c r="A6" s="3785" t="s">
        <v>352</v>
      </c>
      <c r="B6" s="3785"/>
      <c r="C6" s="3785"/>
      <c r="D6" s="3785"/>
      <c r="E6" s="3785"/>
      <c r="F6" s="3785"/>
      <c r="G6" s="3785"/>
      <c r="H6" s="3785"/>
      <c r="I6" s="3785"/>
      <c r="J6" s="3785"/>
    </row>
    <row r="7" spans="1:10" s="27" customFormat="1" ht="27.75" customHeight="1">
      <c r="A7" s="3786"/>
      <c r="B7" s="3786"/>
      <c r="C7" s="3786"/>
      <c r="D7" s="3786"/>
      <c r="E7" s="3786"/>
      <c r="F7" s="3786"/>
      <c r="G7" s="3786"/>
      <c r="H7" s="3786"/>
      <c r="I7" s="3786"/>
      <c r="J7" s="3786"/>
    </row>
    <row r="8" spans="1:10" s="27" customFormat="1" ht="27.75" customHeight="1">
      <c r="A8" s="3787"/>
      <c r="B8" s="3787"/>
      <c r="C8" s="3787"/>
      <c r="D8" s="3787"/>
      <c r="E8" s="3787"/>
      <c r="F8" s="3787"/>
      <c r="G8" s="3787"/>
      <c r="H8" s="3787"/>
      <c r="I8" s="3787"/>
      <c r="J8" s="3787"/>
    </row>
    <row r="9" spans="1:10">
      <c r="A9" s="3"/>
      <c r="B9" s="3"/>
      <c r="C9" s="3"/>
      <c r="D9" s="3"/>
      <c r="G9" s="3"/>
      <c r="H9" s="3"/>
      <c r="I9" s="3"/>
      <c r="J9" s="3"/>
    </row>
    <row r="10" spans="1:10">
      <c r="A10" s="3"/>
      <c r="B10" s="3"/>
      <c r="C10" s="3"/>
      <c r="D10" s="3"/>
      <c r="G10" s="3"/>
      <c r="H10" s="3"/>
      <c r="I10" s="3"/>
      <c r="J10" s="3"/>
    </row>
    <row r="11" spans="1:10">
      <c r="A11" s="3"/>
      <c r="B11" s="3"/>
      <c r="C11" s="3"/>
      <c r="D11" s="3"/>
      <c r="G11" s="3"/>
      <c r="H11" s="3"/>
      <c r="I11" s="3"/>
      <c r="J11" s="3"/>
    </row>
    <row r="12" spans="1:10">
      <c r="A12" s="3"/>
      <c r="B12" s="3"/>
      <c r="C12" s="3"/>
      <c r="D12" s="3"/>
      <c r="G12" s="3"/>
      <c r="H12" s="3"/>
      <c r="I12" s="3"/>
      <c r="J12" s="3"/>
    </row>
    <row r="13" spans="1:10">
      <c r="A13" s="3"/>
      <c r="B13" s="3"/>
      <c r="C13" s="3"/>
      <c r="D13" s="3"/>
      <c r="G13" s="3"/>
      <c r="H13" s="3"/>
      <c r="I13" s="3"/>
      <c r="J13" s="3"/>
    </row>
    <row r="14" spans="1:10">
      <c r="A14" s="3"/>
      <c r="B14" s="3"/>
      <c r="C14" s="3"/>
      <c r="D14" s="3"/>
      <c r="G14" s="3"/>
      <c r="H14" s="3"/>
      <c r="I14" s="3"/>
      <c r="J14" s="3"/>
    </row>
    <row r="15" spans="1:10">
      <c r="A15" s="3"/>
      <c r="B15" s="3"/>
      <c r="C15" s="3"/>
      <c r="D15" s="3"/>
      <c r="G15" s="3"/>
      <c r="H15" s="3"/>
      <c r="I15" s="3"/>
      <c r="J15" s="3"/>
    </row>
    <row r="16" spans="1:10">
      <c r="A16" s="3"/>
      <c r="B16" s="3"/>
      <c r="C16" s="3"/>
      <c r="D16" s="3"/>
      <c r="G16" s="3"/>
      <c r="H16" s="3"/>
      <c r="I16" s="3"/>
      <c r="J16" s="3"/>
    </row>
    <row r="17" spans="1:10">
      <c r="A17" s="3"/>
      <c r="B17" s="3"/>
      <c r="C17" s="3"/>
      <c r="D17" s="3"/>
      <c r="G17" s="3"/>
      <c r="H17" s="3"/>
      <c r="I17" s="3"/>
      <c r="J17" s="3"/>
    </row>
    <row r="18" spans="1:10">
      <c r="A18" s="3"/>
      <c r="B18" s="3"/>
      <c r="C18" s="3"/>
      <c r="D18" s="3"/>
      <c r="G18" s="3"/>
      <c r="H18" s="3"/>
      <c r="I18" s="3"/>
      <c r="J18" s="3"/>
    </row>
    <row r="19" spans="1:10">
      <c r="A19" s="3"/>
      <c r="B19" s="3"/>
      <c r="C19" s="3"/>
      <c r="D19" s="3"/>
      <c r="G19" s="3"/>
      <c r="H19" s="3"/>
      <c r="I19" s="3"/>
      <c r="J19" s="3"/>
    </row>
    <row r="20" spans="1:10">
      <c r="A20" s="3"/>
      <c r="B20" s="3"/>
      <c r="C20" s="3"/>
      <c r="D20" s="3"/>
      <c r="G20" s="3"/>
      <c r="H20" s="3"/>
      <c r="I20" s="3"/>
      <c r="J20" s="3"/>
    </row>
    <row r="21" spans="1:10">
      <c r="A21" s="3"/>
      <c r="B21" s="3"/>
      <c r="C21" s="3"/>
      <c r="D21" s="3"/>
      <c r="G21" s="3"/>
      <c r="H21" s="3"/>
      <c r="I21" s="3"/>
      <c r="J21" s="3"/>
    </row>
    <row r="22" spans="1:10">
      <c r="A22" s="3"/>
      <c r="B22" s="3"/>
      <c r="C22" s="3"/>
      <c r="D22" s="3"/>
      <c r="G22" s="3"/>
      <c r="H22" s="3"/>
      <c r="I22" s="3"/>
      <c r="J22" s="3"/>
    </row>
    <row r="23" spans="1:10" ht="15.5">
      <c r="A23" s="3"/>
      <c r="B23" s="3"/>
      <c r="C23" s="3783"/>
      <c r="D23" s="3783"/>
      <c r="E23" s="3783"/>
      <c r="F23" s="3783"/>
      <c r="G23" s="3783"/>
      <c r="H23" s="3783"/>
      <c r="I23" s="3"/>
      <c r="J23" s="3"/>
    </row>
    <row r="24" spans="1:10" ht="15.5">
      <c r="A24" s="3"/>
      <c r="B24" s="3"/>
      <c r="C24" s="3783"/>
      <c r="D24" s="3783"/>
      <c r="E24" s="3783"/>
      <c r="F24" s="3783"/>
      <c r="G24" s="3783"/>
      <c r="H24" s="3783"/>
      <c r="I24" s="3"/>
      <c r="J24" s="3"/>
    </row>
    <row r="25" spans="1:10" ht="15.5">
      <c r="A25" s="3"/>
      <c r="B25" s="3"/>
      <c r="C25" s="3783" t="s">
        <v>462</v>
      </c>
      <c r="D25" s="3783"/>
      <c r="E25" s="3783"/>
      <c r="F25" s="3783"/>
      <c r="G25" s="3783"/>
      <c r="H25" s="3783"/>
      <c r="I25" s="3"/>
      <c r="J25" s="3"/>
    </row>
    <row r="26" spans="1:10" ht="15.5">
      <c r="A26" s="3"/>
      <c r="B26" s="3"/>
      <c r="C26" s="3782" t="s">
        <v>2030</v>
      </c>
      <c r="D26" s="3782"/>
      <c r="E26" s="3782"/>
      <c r="F26" s="3783"/>
      <c r="G26" s="3783"/>
      <c r="H26" s="3783"/>
      <c r="I26" s="3"/>
      <c r="J26" s="3"/>
    </row>
    <row r="27" spans="1:10" ht="15.5">
      <c r="A27" s="3"/>
      <c r="B27" s="3"/>
      <c r="C27" s="3782" t="s">
        <v>2028</v>
      </c>
      <c r="D27" s="3782"/>
      <c r="E27" s="3782"/>
      <c r="F27" s="3783"/>
      <c r="G27" s="3783"/>
      <c r="H27" s="3783"/>
      <c r="I27" s="3"/>
      <c r="J27" s="3"/>
    </row>
    <row r="28" spans="1:10" ht="15.5">
      <c r="A28" s="3"/>
      <c r="B28" s="3"/>
      <c r="C28" s="3782" t="s">
        <v>2056</v>
      </c>
      <c r="D28" s="3782"/>
      <c r="E28" s="3782"/>
      <c r="F28" s="3783"/>
      <c r="G28" s="3783"/>
      <c r="H28" s="3783"/>
      <c r="I28" s="3"/>
      <c r="J28" s="3"/>
    </row>
    <row r="29" spans="1:10" ht="15.5">
      <c r="A29" s="3"/>
      <c r="B29" s="3"/>
      <c r="C29" s="3784" t="s">
        <v>2029</v>
      </c>
      <c r="D29" s="3784"/>
      <c r="E29" s="3784"/>
      <c r="F29" s="3784"/>
      <c r="G29" s="3784"/>
      <c r="H29" s="3784"/>
      <c r="I29" s="3"/>
      <c r="J29" s="3"/>
    </row>
    <row r="30" spans="1:10">
      <c r="A30" s="3"/>
      <c r="B30" s="3"/>
      <c r="C30" s="3"/>
      <c r="D30" s="3"/>
      <c r="G30" s="3"/>
      <c r="H30" s="3"/>
      <c r="I30" s="3"/>
      <c r="J30" s="3"/>
    </row>
    <row r="31" spans="1:10">
      <c r="A31" s="3"/>
      <c r="B31" s="3"/>
      <c r="C31" s="3"/>
      <c r="D31" s="3"/>
      <c r="G31" s="3"/>
      <c r="H31" s="3"/>
      <c r="I31" s="3"/>
      <c r="J31" s="3"/>
    </row>
    <row r="32" spans="1:10">
      <c r="A32" s="3"/>
      <c r="B32" s="3"/>
      <c r="C32" s="3"/>
      <c r="D32" s="3"/>
      <c r="G32" s="3"/>
      <c r="H32" s="3"/>
      <c r="I32" s="3"/>
      <c r="J32" s="3"/>
    </row>
    <row r="33" spans="1:10" ht="12.65" customHeight="1">
      <c r="A33" s="3"/>
      <c r="B33" s="3"/>
      <c r="C33" s="3783" t="s">
        <v>1749</v>
      </c>
      <c r="D33" s="3783"/>
      <c r="E33" s="3783"/>
      <c r="F33" s="3783"/>
      <c r="G33" s="3783"/>
      <c r="H33" s="3783"/>
      <c r="I33" s="3"/>
      <c r="J33" s="3"/>
    </row>
    <row r="34" spans="1:10" ht="12.65" customHeight="1">
      <c r="A34" s="3"/>
      <c r="B34" s="3"/>
      <c r="C34" s="3783"/>
      <c r="D34" s="3783"/>
      <c r="E34" s="3783"/>
      <c r="F34" s="3783"/>
      <c r="G34" s="3783"/>
      <c r="H34" s="3783"/>
      <c r="I34" s="3"/>
      <c r="J34" s="3"/>
    </row>
    <row r="35" spans="1:10" ht="12.65" customHeight="1">
      <c r="A35" s="3"/>
      <c r="B35" s="3"/>
      <c r="C35" s="3783"/>
      <c r="D35" s="3783"/>
      <c r="E35" s="3783"/>
      <c r="F35" s="3783"/>
      <c r="G35" s="3783"/>
      <c r="H35" s="3783"/>
      <c r="I35" s="3"/>
      <c r="J35" s="3"/>
    </row>
    <row r="36" spans="1:10" ht="12.65" customHeight="1">
      <c r="A36" s="3"/>
      <c r="B36" s="3"/>
      <c r="C36" s="3783"/>
      <c r="D36" s="3783"/>
      <c r="E36" s="3783"/>
      <c r="F36" s="3783"/>
      <c r="G36" s="3783"/>
      <c r="H36" s="3783"/>
      <c r="I36" s="3"/>
      <c r="J36" s="3"/>
    </row>
    <row r="37" spans="1:10" ht="12.65" customHeight="1">
      <c r="A37" s="3"/>
      <c r="B37" s="3"/>
      <c r="I37" s="3"/>
      <c r="J37" s="3"/>
    </row>
    <row r="38" spans="1:10" ht="12.65" customHeight="1">
      <c r="A38" s="3"/>
      <c r="B38" s="3"/>
      <c r="C38" s="3783" t="s">
        <v>2031</v>
      </c>
      <c r="D38" s="3783"/>
      <c r="E38" s="3783"/>
      <c r="F38" s="3783"/>
      <c r="G38" s="3783"/>
      <c r="H38" s="3783"/>
      <c r="I38" s="3"/>
      <c r="J38" s="3"/>
    </row>
    <row r="39" spans="1:10" ht="12.65" customHeight="1">
      <c r="A39" s="3"/>
      <c r="B39" s="3"/>
      <c r="C39" s="3783" t="s">
        <v>2032</v>
      </c>
      <c r="D39" s="3783"/>
      <c r="E39" s="3783"/>
      <c r="F39" s="3783"/>
      <c r="G39" s="3783"/>
      <c r="H39" s="3783"/>
      <c r="I39" s="3"/>
      <c r="J39" s="3"/>
    </row>
    <row r="40" spans="1:10" ht="12.65" customHeight="1">
      <c r="A40" s="3"/>
      <c r="B40" s="3"/>
      <c r="C40" s="3784"/>
      <c r="D40" s="3784"/>
      <c r="E40" s="3784"/>
      <c r="F40" s="3784"/>
      <c r="G40" s="3784"/>
      <c r="H40" s="3784"/>
      <c r="I40" s="3"/>
      <c r="J40" s="3"/>
    </row>
    <row r="41" spans="1:10">
      <c r="C41" s="3781"/>
      <c r="D41" s="3781"/>
      <c r="E41" s="3781"/>
      <c r="F41" s="3781"/>
      <c r="G41" s="3781"/>
      <c r="H41" s="3781"/>
    </row>
    <row r="43" spans="1:10" ht="15.5">
      <c r="C43" s="3784">
        <f ca="1">NOW()</f>
        <v>43762.39243472222</v>
      </c>
      <c r="D43" s="3784"/>
      <c r="E43" s="3784"/>
      <c r="F43" s="3784"/>
      <c r="G43" s="3784"/>
      <c r="H43" s="3784"/>
    </row>
    <row r="47" spans="1:10">
      <c r="D47" s="3781"/>
      <c r="E47" s="3781"/>
      <c r="F47" s="3781"/>
      <c r="G47" s="3781"/>
    </row>
    <row r="48" spans="1:10">
      <c r="D48" s="3781"/>
      <c r="E48" s="3781"/>
      <c r="F48" s="3781"/>
      <c r="G48" s="3781"/>
    </row>
    <row r="49" spans="4:7">
      <c r="D49" s="3781"/>
      <c r="E49" s="3781"/>
      <c r="F49" s="3781"/>
      <c r="G49" s="3781"/>
    </row>
    <row r="50" spans="4:7">
      <c r="D50" s="3781"/>
      <c r="E50" s="3781"/>
      <c r="F50" s="3781"/>
      <c r="G50" s="3781"/>
    </row>
    <row r="51" spans="4:7">
      <c r="D51" s="3781"/>
      <c r="E51" s="3781"/>
      <c r="F51" s="3781"/>
      <c r="G51" s="3781"/>
    </row>
    <row r="52" spans="4:7">
      <c r="D52" s="3781"/>
      <c r="E52" s="3781"/>
      <c r="F52" s="3781"/>
      <c r="G52" s="3781"/>
    </row>
  </sheetData>
  <mergeCells count="28">
    <mergeCell ref="C23:H23"/>
    <mergeCell ref="C24:H24"/>
    <mergeCell ref="C25:H25"/>
    <mergeCell ref="C26:H26"/>
    <mergeCell ref="A1:J2"/>
    <mergeCell ref="A4:J4"/>
    <mergeCell ref="A5:J5"/>
    <mergeCell ref="A7:J7"/>
    <mergeCell ref="A8:J8"/>
    <mergeCell ref="A6:J6"/>
    <mergeCell ref="C27:H27"/>
    <mergeCell ref="C36:H36"/>
    <mergeCell ref="C38:H38"/>
    <mergeCell ref="C39:H39"/>
    <mergeCell ref="C43:H43"/>
    <mergeCell ref="C28:H28"/>
    <mergeCell ref="C29:H29"/>
    <mergeCell ref="C40:H40"/>
    <mergeCell ref="C35:H35"/>
    <mergeCell ref="C33:H33"/>
    <mergeCell ref="C34:H34"/>
    <mergeCell ref="D52:G52"/>
    <mergeCell ref="C41:H41"/>
    <mergeCell ref="D47:G47"/>
    <mergeCell ref="D48:G48"/>
    <mergeCell ref="D49:G49"/>
    <mergeCell ref="D50:G50"/>
    <mergeCell ref="D51:G51"/>
  </mergeCells>
  <pageMargins left="0.7" right="0.7" top="0.75" bottom="0.75" header="0.3" footer="0.3"/>
  <pageSetup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theme="1"/>
  </sheetPr>
  <dimension ref="A1:L55"/>
  <sheetViews>
    <sheetView view="pageBreakPreview" topLeftCell="A34" zoomScale="70" zoomScaleNormal="100" zoomScaleSheetLayoutView="70" zoomScalePageLayoutView="85" workbookViewId="0">
      <selection activeCell="E19" sqref="E19:R20"/>
    </sheetView>
  </sheetViews>
  <sheetFormatPr defaultColWidth="9.36328125" defaultRowHeight="13"/>
  <cols>
    <col min="1" max="1" width="11.6328125" style="211" customWidth="1"/>
    <col min="2" max="2" width="22.54296875" style="211" customWidth="1"/>
    <col min="3" max="3" width="14.36328125" style="211" customWidth="1"/>
    <col min="4" max="4" width="13.6328125" style="211" customWidth="1"/>
    <col min="5" max="5" width="13.54296875" style="211" customWidth="1"/>
    <col min="6" max="6" width="28.54296875" style="211" customWidth="1"/>
    <col min="7" max="7" width="13.36328125" style="211" customWidth="1"/>
    <col min="8" max="8" width="35.36328125" style="211" customWidth="1"/>
    <col min="9" max="9" width="8.6328125" style="211" customWidth="1"/>
    <col min="10" max="10" width="9.36328125" style="217"/>
    <col min="11" max="11" width="9" style="217" customWidth="1"/>
    <col min="12" max="12" width="9.36328125" style="217" hidden="1" customWidth="1"/>
    <col min="13" max="256" width="9.36328125" style="217"/>
    <col min="257" max="257" width="11.6328125" style="217" customWidth="1"/>
    <col min="258" max="258" width="22.54296875" style="217" customWidth="1"/>
    <col min="259" max="259" width="14.36328125" style="217" customWidth="1"/>
    <col min="260" max="260" width="13.6328125" style="217" customWidth="1"/>
    <col min="261" max="261" width="13.54296875" style="217" customWidth="1"/>
    <col min="262" max="262" width="28.54296875" style="217" customWidth="1"/>
    <col min="263" max="263" width="13.36328125" style="217" customWidth="1"/>
    <col min="264" max="264" width="35.36328125" style="217" customWidth="1"/>
    <col min="265" max="265" width="8.6328125" style="217" customWidth="1"/>
    <col min="266" max="266" width="9.36328125" style="217"/>
    <col min="267" max="267" width="9" style="217" customWidth="1"/>
    <col min="268" max="268" width="0" style="217" hidden="1" customWidth="1"/>
    <col min="269" max="512" width="9.36328125" style="217"/>
    <col min="513" max="513" width="11.6328125" style="217" customWidth="1"/>
    <col min="514" max="514" width="22.54296875" style="217" customWidth="1"/>
    <col min="515" max="515" width="14.36328125" style="217" customWidth="1"/>
    <col min="516" max="516" width="13.6328125" style="217" customWidth="1"/>
    <col min="517" max="517" width="13.54296875" style="217" customWidth="1"/>
    <col min="518" max="518" width="28.54296875" style="217" customWidth="1"/>
    <col min="519" max="519" width="13.36328125" style="217" customWidth="1"/>
    <col min="520" max="520" width="35.36328125" style="217" customWidth="1"/>
    <col min="521" max="521" width="8.6328125" style="217" customWidth="1"/>
    <col min="522" max="522" width="9.36328125" style="217"/>
    <col min="523" max="523" width="9" style="217" customWidth="1"/>
    <col min="524" max="524" width="0" style="217" hidden="1" customWidth="1"/>
    <col min="525" max="768" width="9.36328125" style="217"/>
    <col min="769" max="769" width="11.6328125" style="217" customWidth="1"/>
    <col min="770" max="770" width="22.54296875" style="217" customWidth="1"/>
    <col min="771" max="771" width="14.36328125" style="217" customWidth="1"/>
    <col min="772" max="772" width="13.6328125" style="217" customWidth="1"/>
    <col min="773" max="773" width="13.54296875" style="217" customWidth="1"/>
    <col min="774" max="774" width="28.54296875" style="217" customWidth="1"/>
    <col min="775" max="775" width="13.36328125" style="217" customWidth="1"/>
    <col min="776" max="776" width="35.36328125" style="217" customWidth="1"/>
    <col min="777" max="777" width="8.6328125" style="217" customWidth="1"/>
    <col min="778" max="778" width="9.36328125" style="217"/>
    <col min="779" max="779" width="9" style="217" customWidth="1"/>
    <col min="780" max="780" width="0" style="217" hidden="1" customWidth="1"/>
    <col min="781" max="1024" width="9.36328125" style="217"/>
    <col min="1025" max="1025" width="11.6328125" style="217" customWidth="1"/>
    <col min="1026" max="1026" width="22.54296875" style="217" customWidth="1"/>
    <col min="1027" max="1027" width="14.36328125" style="217" customWidth="1"/>
    <col min="1028" max="1028" width="13.6328125" style="217" customWidth="1"/>
    <col min="1029" max="1029" width="13.54296875" style="217" customWidth="1"/>
    <col min="1030" max="1030" width="28.54296875" style="217" customWidth="1"/>
    <col min="1031" max="1031" width="13.36328125" style="217" customWidth="1"/>
    <col min="1032" max="1032" width="35.36328125" style="217" customWidth="1"/>
    <col min="1033" max="1033" width="8.6328125" style="217" customWidth="1"/>
    <col min="1034" max="1034" width="9.36328125" style="217"/>
    <col min="1035" max="1035" width="9" style="217" customWidth="1"/>
    <col min="1036" max="1036" width="0" style="217" hidden="1" customWidth="1"/>
    <col min="1037" max="1280" width="9.36328125" style="217"/>
    <col min="1281" max="1281" width="11.6328125" style="217" customWidth="1"/>
    <col min="1282" max="1282" width="22.54296875" style="217" customWidth="1"/>
    <col min="1283" max="1283" width="14.36328125" style="217" customWidth="1"/>
    <col min="1284" max="1284" width="13.6328125" style="217" customWidth="1"/>
    <col min="1285" max="1285" width="13.54296875" style="217" customWidth="1"/>
    <col min="1286" max="1286" width="28.54296875" style="217" customWidth="1"/>
    <col min="1287" max="1287" width="13.36328125" style="217" customWidth="1"/>
    <col min="1288" max="1288" width="35.36328125" style="217" customWidth="1"/>
    <col min="1289" max="1289" width="8.6328125" style="217" customWidth="1"/>
    <col min="1290" max="1290" width="9.36328125" style="217"/>
    <col min="1291" max="1291" width="9" style="217" customWidth="1"/>
    <col min="1292" max="1292" width="0" style="217" hidden="1" customWidth="1"/>
    <col min="1293" max="1536" width="9.36328125" style="217"/>
    <col min="1537" max="1537" width="11.6328125" style="217" customWidth="1"/>
    <col min="1538" max="1538" width="22.54296875" style="217" customWidth="1"/>
    <col min="1539" max="1539" width="14.36328125" style="217" customWidth="1"/>
    <col min="1540" max="1540" width="13.6328125" style="217" customWidth="1"/>
    <col min="1541" max="1541" width="13.54296875" style="217" customWidth="1"/>
    <col min="1542" max="1542" width="28.54296875" style="217" customWidth="1"/>
    <col min="1543" max="1543" width="13.36328125" style="217" customWidth="1"/>
    <col min="1544" max="1544" width="35.36328125" style="217" customWidth="1"/>
    <col min="1545" max="1545" width="8.6328125" style="217" customWidth="1"/>
    <col min="1546" max="1546" width="9.36328125" style="217"/>
    <col min="1547" max="1547" width="9" style="217" customWidth="1"/>
    <col min="1548" max="1548" width="0" style="217" hidden="1" customWidth="1"/>
    <col min="1549" max="1792" width="9.36328125" style="217"/>
    <col min="1793" max="1793" width="11.6328125" style="217" customWidth="1"/>
    <col min="1794" max="1794" width="22.54296875" style="217" customWidth="1"/>
    <col min="1795" max="1795" width="14.36328125" style="217" customWidth="1"/>
    <col min="1796" max="1796" width="13.6328125" style="217" customWidth="1"/>
    <col min="1797" max="1797" width="13.54296875" style="217" customWidth="1"/>
    <col min="1798" max="1798" width="28.54296875" style="217" customWidth="1"/>
    <col min="1799" max="1799" width="13.36328125" style="217" customWidth="1"/>
    <col min="1800" max="1800" width="35.36328125" style="217" customWidth="1"/>
    <col min="1801" max="1801" width="8.6328125" style="217" customWidth="1"/>
    <col min="1802" max="1802" width="9.36328125" style="217"/>
    <col min="1803" max="1803" width="9" style="217" customWidth="1"/>
    <col min="1804" max="1804" width="0" style="217" hidden="1" customWidth="1"/>
    <col min="1805" max="2048" width="9.36328125" style="217"/>
    <col min="2049" max="2049" width="11.6328125" style="217" customWidth="1"/>
    <col min="2050" max="2050" width="22.54296875" style="217" customWidth="1"/>
    <col min="2051" max="2051" width="14.36328125" style="217" customWidth="1"/>
    <col min="2052" max="2052" width="13.6328125" style="217" customWidth="1"/>
    <col min="2053" max="2053" width="13.54296875" style="217" customWidth="1"/>
    <col min="2054" max="2054" width="28.54296875" style="217" customWidth="1"/>
    <col min="2055" max="2055" width="13.36328125" style="217" customWidth="1"/>
    <col min="2056" max="2056" width="35.36328125" style="217" customWidth="1"/>
    <col min="2057" max="2057" width="8.6328125" style="217" customWidth="1"/>
    <col min="2058" max="2058" width="9.36328125" style="217"/>
    <col min="2059" max="2059" width="9" style="217" customWidth="1"/>
    <col min="2060" max="2060" width="0" style="217" hidden="1" customWidth="1"/>
    <col min="2061" max="2304" width="9.36328125" style="217"/>
    <col min="2305" max="2305" width="11.6328125" style="217" customWidth="1"/>
    <col min="2306" max="2306" width="22.54296875" style="217" customWidth="1"/>
    <col min="2307" max="2307" width="14.36328125" style="217" customWidth="1"/>
    <col min="2308" max="2308" width="13.6328125" style="217" customWidth="1"/>
    <col min="2309" max="2309" width="13.54296875" style="217" customWidth="1"/>
    <col min="2310" max="2310" width="28.54296875" style="217" customWidth="1"/>
    <col min="2311" max="2311" width="13.36328125" style="217" customWidth="1"/>
    <col min="2312" max="2312" width="35.36328125" style="217" customWidth="1"/>
    <col min="2313" max="2313" width="8.6328125" style="217" customWidth="1"/>
    <col min="2314" max="2314" width="9.36328125" style="217"/>
    <col min="2315" max="2315" width="9" style="217" customWidth="1"/>
    <col min="2316" max="2316" width="0" style="217" hidden="1" customWidth="1"/>
    <col min="2317" max="2560" width="9.36328125" style="217"/>
    <col min="2561" max="2561" width="11.6328125" style="217" customWidth="1"/>
    <col min="2562" max="2562" width="22.54296875" style="217" customWidth="1"/>
    <col min="2563" max="2563" width="14.36328125" style="217" customWidth="1"/>
    <col min="2564" max="2564" width="13.6328125" style="217" customWidth="1"/>
    <col min="2565" max="2565" width="13.54296875" style="217" customWidth="1"/>
    <col min="2566" max="2566" width="28.54296875" style="217" customWidth="1"/>
    <col min="2567" max="2567" width="13.36328125" style="217" customWidth="1"/>
    <col min="2568" max="2568" width="35.36328125" style="217" customWidth="1"/>
    <col min="2569" max="2569" width="8.6328125" style="217" customWidth="1"/>
    <col min="2570" max="2570" width="9.36328125" style="217"/>
    <col min="2571" max="2571" width="9" style="217" customWidth="1"/>
    <col min="2572" max="2572" width="0" style="217" hidden="1" customWidth="1"/>
    <col min="2573" max="2816" width="9.36328125" style="217"/>
    <col min="2817" max="2817" width="11.6328125" style="217" customWidth="1"/>
    <col min="2818" max="2818" width="22.54296875" style="217" customWidth="1"/>
    <col min="2819" max="2819" width="14.36328125" style="217" customWidth="1"/>
    <col min="2820" max="2820" width="13.6328125" style="217" customWidth="1"/>
    <col min="2821" max="2821" width="13.54296875" style="217" customWidth="1"/>
    <col min="2822" max="2822" width="28.54296875" style="217" customWidth="1"/>
    <col min="2823" max="2823" width="13.36328125" style="217" customWidth="1"/>
    <col min="2824" max="2824" width="35.36328125" style="217" customWidth="1"/>
    <col min="2825" max="2825" width="8.6328125" style="217" customWidth="1"/>
    <col min="2826" max="2826" width="9.36328125" style="217"/>
    <col min="2827" max="2827" width="9" style="217" customWidth="1"/>
    <col min="2828" max="2828" width="0" style="217" hidden="1" customWidth="1"/>
    <col min="2829" max="3072" width="9.36328125" style="217"/>
    <col min="3073" max="3073" width="11.6328125" style="217" customWidth="1"/>
    <col min="3074" max="3074" width="22.54296875" style="217" customWidth="1"/>
    <col min="3075" max="3075" width="14.36328125" style="217" customWidth="1"/>
    <col min="3076" max="3076" width="13.6328125" style="217" customWidth="1"/>
    <col min="3077" max="3077" width="13.54296875" style="217" customWidth="1"/>
    <col min="3078" max="3078" width="28.54296875" style="217" customWidth="1"/>
    <col min="3079" max="3079" width="13.36328125" style="217" customWidth="1"/>
    <col min="3080" max="3080" width="35.36328125" style="217" customWidth="1"/>
    <col min="3081" max="3081" width="8.6328125" style="217" customWidth="1"/>
    <col min="3082" max="3082" width="9.36328125" style="217"/>
    <col min="3083" max="3083" width="9" style="217" customWidth="1"/>
    <col min="3084" max="3084" width="0" style="217" hidden="1" customWidth="1"/>
    <col min="3085" max="3328" width="9.36328125" style="217"/>
    <col min="3329" max="3329" width="11.6328125" style="217" customWidth="1"/>
    <col min="3330" max="3330" width="22.54296875" style="217" customWidth="1"/>
    <col min="3331" max="3331" width="14.36328125" style="217" customWidth="1"/>
    <col min="3332" max="3332" width="13.6328125" style="217" customWidth="1"/>
    <col min="3333" max="3333" width="13.54296875" style="217" customWidth="1"/>
    <col min="3334" max="3334" width="28.54296875" style="217" customWidth="1"/>
    <col min="3335" max="3335" width="13.36328125" style="217" customWidth="1"/>
    <col min="3336" max="3336" width="35.36328125" style="217" customWidth="1"/>
    <col min="3337" max="3337" width="8.6328125" style="217" customWidth="1"/>
    <col min="3338" max="3338" width="9.36328125" style="217"/>
    <col min="3339" max="3339" width="9" style="217" customWidth="1"/>
    <col min="3340" max="3340" width="0" style="217" hidden="1" customWidth="1"/>
    <col min="3341" max="3584" width="9.36328125" style="217"/>
    <col min="3585" max="3585" width="11.6328125" style="217" customWidth="1"/>
    <col min="3586" max="3586" width="22.54296875" style="217" customWidth="1"/>
    <col min="3587" max="3587" width="14.36328125" style="217" customWidth="1"/>
    <col min="3588" max="3588" width="13.6328125" style="217" customWidth="1"/>
    <col min="3589" max="3589" width="13.54296875" style="217" customWidth="1"/>
    <col min="3590" max="3590" width="28.54296875" style="217" customWidth="1"/>
    <col min="3591" max="3591" width="13.36328125" style="217" customWidth="1"/>
    <col min="3592" max="3592" width="35.36328125" style="217" customWidth="1"/>
    <col min="3593" max="3593" width="8.6328125" style="217" customWidth="1"/>
    <col min="3594" max="3594" width="9.36328125" style="217"/>
    <col min="3595" max="3595" width="9" style="217" customWidth="1"/>
    <col min="3596" max="3596" width="0" style="217" hidden="1" customWidth="1"/>
    <col min="3597" max="3840" width="9.36328125" style="217"/>
    <col min="3841" max="3841" width="11.6328125" style="217" customWidth="1"/>
    <col min="3842" max="3842" width="22.54296875" style="217" customWidth="1"/>
    <col min="3843" max="3843" width="14.36328125" style="217" customWidth="1"/>
    <col min="3844" max="3844" width="13.6328125" style="217" customWidth="1"/>
    <col min="3845" max="3845" width="13.54296875" style="217" customWidth="1"/>
    <col min="3846" max="3846" width="28.54296875" style="217" customWidth="1"/>
    <col min="3847" max="3847" width="13.36328125" style="217" customWidth="1"/>
    <col min="3848" max="3848" width="35.36328125" style="217" customWidth="1"/>
    <col min="3849" max="3849" width="8.6328125" style="217" customWidth="1"/>
    <col min="3850" max="3850" width="9.36328125" style="217"/>
    <col min="3851" max="3851" width="9" style="217" customWidth="1"/>
    <col min="3852" max="3852" width="0" style="217" hidden="1" customWidth="1"/>
    <col min="3853" max="4096" width="9.36328125" style="217"/>
    <col min="4097" max="4097" width="11.6328125" style="217" customWidth="1"/>
    <col min="4098" max="4098" width="22.54296875" style="217" customWidth="1"/>
    <col min="4099" max="4099" width="14.36328125" style="217" customWidth="1"/>
    <col min="4100" max="4100" width="13.6328125" style="217" customWidth="1"/>
    <col min="4101" max="4101" width="13.54296875" style="217" customWidth="1"/>
    <col min="4102" max="4102" width="28.54296875" style="217" customWidth="1"/>
    <col min="4103" max="4103" width="13.36328125" style="217" customWidth="1"/>
    <col min="4104" max="4104" width="35.36328125" style="217" customWidth="1"/>
    <col min="4105" max="4105" width="8.6328125" style="217" customWidth="1"/>
    <col min="4106" max="4106" width="9.36328125" style="217"/>
    <col min="4107" max="4107" width="9" style="217" customWidth="1"/>
    <col min="4108" max="4108" width="0" style="217" hidden="1" customWidth="1"/>
    <col min="4109" max="4352" width="9.36328125" style="217"/>
    <col min="4353" max="4353" width="11.6328125" style="217" customWidth="1"/>
    <col min="4354" max="4354" width="22.54296875" style="217" customWidth="1"/>
    <col min="4355" max="4355" width="14.36328125" style="217" customWidth="1"/>
    <col min="4356" max="4356" width="13.6328125" style="217" customWidth="1"/>
    <col min="4357" max="4357" width="13.54296875" style="217" customWidth="1"/>
    <col min="4358" max="4358" width="28.54296875" style="217" customWidth="1"/>
    <col min="4359" max="4359" width="13.36328125" style="217" customWidth="1"/>
    <col min="4360" max="4360" width="35.36328125" style="217" customWidth="1"/>
    <col min="4361" max="4361" width="8.6328125" style="217" customWidth="1"/>
    <col min="4362" max="4362" width="9.36328125" style="217"/>
    <col min="4363" max="4363" width="9" style="217" customWidth="1"/>
    <col min="4364" max="4364" width="0" style="217" hidden="1" customWidth="1"/>
    <col min="4365" max="4608" width="9.36328125" style="217"/>
    <col min="4609" max="4609" width="11.6328125" style="217" customWidth="1"/>
    <col min="4610" max="4610" width="22.54296875" style="217" customWidth="1"/>
    <col min="4611" max="4611" width="14.36328125" style="217" customWidth="1"/>
    <col min="4612" max="4612" width="13.6328125" style="217" customWidth="1"/>
    <col min="4613" max="4613" width="13.54296875" style="217" customWidth="1"/>
    <col min="4614" max="4614" width="28.54296875" style="217" customWidth="1"/>
    <col min="4615" max="4615" width="13.36328125" style="217" customWidth="1"/>
    <col min="4616" max="4616" width="35.36328125" style="217" customWidth="1"/>
    <col min="4617" max="4617" width="8.6328125" style="217" customWidth="1"/>
    <col min="4618" max="4618" width="9.36328125" style="217"/>
    <col min="4619" max="4619" width="9" style="217" customWidth="1"/>
    <col min="4620" max="4620" width="0" style="217" hidden="1" customWidth="1"/>
    <col min="4621" max="4864" width="9.36328125" style="217"/>
    <col min="4865" max="4865" width="11.6328125" style="217" customWidth="1"/>
    <col min="4866" max="4866" width="22.54296875" style="217" customWidth="1"/>
    <col min="4867" max="4867" width="14.36328125" style="217" customWidth="1"/>
    <col min="4868" max="4868" width="13.6328125" style="217" customWidth="1"/>
    <col min="4869" max="4869" width="13.54296875" style="217" customWidth="1"/>
    <col min="4870" max="4870" width="28.54296875" style="217" customWidth="1"/>
    <col min="4871" max="4871" width="13.36328125" style="217" customWidth="1"/>
    <col min="4872" max="4872" width="35.36328125" style="217" customWidth="1"/>
    <col min="4873" max="4873" width="8.6328125" style="217" customWidth="1"/>
    <col min="4874" max="4874" width="9.36328125" style="217"/>
    <col min="4875" max="4875" width="9" style="217" customWidth="1"/>
    <col min="4876" max="4876" width="0" style="217" hidden="1" customWidth="1"/>
    <col min="4877" max="5120" width="9.36328125" style="217"/>
    <col min="5121" max="5121" width="11.6328125" style="217" customWidth="1"/>
    <col min="5122" max="5122" width="22.54296875" style="217" customWidth="1"/>
    <col min="5123" max="5123" width="14.36328125" style="217" customWidth="1"/>
    <col min="5124" max="5124" width="13.6328125" style="217" customWidth="1"/>
    <col min="5125" max="5125" width="13.54296875" style="217" customWidth="1"/>
    <col min="5126" max="5126" width="28.54296875" style="217" customWidth="1"/>
    <col min="5127" max="5127" width="13.36328125" style="217" customWidth="1"/>
    <col min="5128" max="5128" width="35.36328125" style="217" customWidth="1"/>
    <col min="5129" max="5129" width="8.6328125" style="217" customWidth="1"/>
    <col min="5130" max="5130" width="9.36328125" style="217"/>
    <col min="5131" max="5131" width="9" style="217" customWidth="1"/>
    <col min="5132" max="5132" width="0" style="217" hidden="1" customWidth="1"/>
    <col min="5133" max="5376" width="9.36328125" style="217"/>
    <col min="5377" max="5377" width="11.6328125" style="217" customWidth="1"/>
    <col min="5378" max="5378" width="22.54296875" style="217" customWidth="1"/>
    <col min="5379" max="5379" width="14.36328125" style="217" customWidth="1"/>
    <col min="5380" max="5380" width="13.6328125" style="217" customWidth="1"/>
    <col min="5381" max="5381" width="13.54296875" style="217" customWidth="1"/>
    <col min="5382" max="5382" width="28.54296875" style="217" customWidth="1"/>
    <col min="5383" max="5383" width="13.36328125" style="217" customWidth="1"/>
    <col min="5384" max="5384" width="35.36328125" style="217" customWidth="1"/>
    <col min="5385" max="5385" width="8.6328125" style="217" customWidth="1"/>
    <col min="5386" max="5386" width="9.36328125" style="217"/>
    <col min="5387" max="5387" width="9" style="217" customWidth="1"/>
    <col min="5388" max="5388" width="0" style="217" hidden="1" customWidth="1"/>
    <col min="5389" max="5632" width="9.36328125" style="217"/>
    <col min="5633" max="5633" width="11.6328125" style="217" customWidth="1"/>
    <col min="5634" max="5634" width="22.54296875" style="217" customWidth="1"/>
    <col min="5635" max="5635" width="14.36328125" style="217" customWidth="1"/>
    <col min="5636" max="5636" width="13.6328125" style="217" customWidth="1"/>
    <col min="5637" max="5637" width="13.54296875" style="217" customWidth="1"/>
    <col min="5638" max="5638" width="28.54296875" style="217" customWidth="1"/>
    <col min="5639" max="5639" width="13.36328125" style="217" customWidth="1"/>
    <col min="5640" max="5640" width="35.36328125" style="217" customWidth="1"/>
    <col min="5641" max="5641" width="8.6328125" style="217" customWidth="1"/>
    <col min="5642" max="5642" width="9.36328125" style="217"/>
    <col min="5643" max="5643" width="9" style="217" customWidth="1"/>
    <col min="5644" max="5644" width="0" style="217" hidden="1" customWidth="1"/>
    <col min="5645" max="5888" width="9.36328125" style="217"/>
    <col min="5889" max="5889" width="11.6328125" style="217" customWidth="1"/>
    <col min="5890" max="5890" width="22.54296875" style="217" customWidth="1"/>
    <col min="5891" max="5891" width="14.36328125" style="217" customWidth="1"/>
    <col min="5892" max="5892" width="13.6328125" style="217" customWidth="1"/>
    <col min="5893" max="5893" width="13.54296875" style="217" customWidth="1"/>
    <col min="5894" max="5894" width="28.54296875" style="217" customWidth="1"/>
    <col min="5895" max="5895" width="13.36328125" style="217" customWidth="1"/>
    <col min="5896" max="5896" width="35.36328125" style="217" customWidth="1"/>
    <col min="5897" max="5897" width="8.6328125" style="217" customWidth="1"/>
    <col min="5898" max="5898" width="9.36328125" style="217"/>
    <col min="5899" max="5899" width="9" style="217" customWidth="1"/>
    <col min="5900" max="5900" width="0" style="217" hidden="1" customWidth="1"/>
    <col min="5901" max="6144" width="9.36328125" style="217"/>
    <col min="6145" max="6145" width="11.6328125" style="217" customWidth="1"/>
    <col min="6146" max="6146" width="22.54296875" style="217" customWidth="1"/>
    <col min="6147" max="6147" width="14.36328125" style="217" customWidth="1"/>
    <col min="6148" max="6148" width="13.6328125" style="217" customWidth="1"/>
    <col min="6149" max="6149" width="13.54296875" style="217" customWidth="1"/>
    <col min="6150" max="6150" width="28.54296875" style="217" customWidth="1"/>
    <col min="6151" max="6151" width="13.36328125" style="217" customWidth="1"/>
    <col min="6152" max="6152" width="35.36328125" style="217" customWidth="1"/>
    <col min="6153" max="6153" width="8.6328125" style="217" customWidth="1"/>
    <col min="6154" max="6154" width="9.36328125" style="217"/>
    <col min="6155" max="6155" width="9" style="217" customWidth="1"/>
    <col min="6156" max="6156" width="0" style="217" hidden="1" customWidth="1"/>
    <col min="6157" max="6400" width="9.36328125" style="217"/>
    <col min="6401" max="6401" width="11.6328125" style="217" customWidth="1"/>
    <col min="6402" max="6402" width="22.54296875" style="217" customWidth="1"/>
    <col min="6403" max="6403" width="14.36328125" style="217" customWidth="1"/>
    <col min="6404" max="6404" width="13.6328125" style="217" customWidth="1"/>
    <col min="6405" max="6405" width="13.54296875" style="217" customWidth="1"/>
    <col min="6406" max="6406" width="28.54296875" style="217" customWidth="1"/>
    <col min="6407" max="6407" width="13.36328125" style="217" customWidth="1"/>
    <col min="6408" max="6408" width="35.36328125" style="217" customWidth="1"/>
    <col min="6409" max="6409" width="8.6328125" style="217" customWidth="1"/>
    <col min="6410" max="6410" width="9.36328125" style="217"/>
    <col min="6411" max="6411" width="9" style="217" customWidth="1"/>
    <col min="6412" max="6412" width="0" style="217" hidden="1" customWidth="1"/>
    <col min="6413" max="6656" width="9.36328125" style="217"/>
    <col min="6657" max="6657" width="11.6328125" style="217" customWidth="1"/>
    <col min="6658" max="6658" width="22.54296875" style="217" customWidth="1"/>
    <col min="6659" max="6659" width="14.36328125" style="217" customWidth="1"/>
    <col min="6660" max="6660" width="13.6328125" style="217" customWidth="1"/>
    <col min="6661" max="6661" width="13.54296875" style="217" customWidth="1"/>
    <col min="6662" max="6662" width="28.54296875" style="217" customWidth="1"/>
    <col min="6663" max="6663" width="13.36328125" style="217" customWidth="1"/>
    <col min="6664" max="6664" width="35.36328125" style="217" customWidth="1"/>
    <col min="6665" max="6665" width="8.6328125" style="217" customWidth="1"/>
    <col min="6666" max="6666" width="9.36328125" style="217"/>
    <col min="6667" max="6667" width="9" style="217" customWidth="1"/>
    <col min="6668" max="6668" width="0" style="217" hidden="1" customWidth="1"/>
    <col min="6669" max="6912" width="9.36328125" style="217"/>
    <col min="6913" max="6913" width="11.6328125" style="217" customWidth="1"/>
    <col min="6914" max="6914" width="22.54296875" style="217" customWidth="1"/>
    <col min="6915" max="6915" width="14.36328125" style="217" customWidth="1"/>
    <col min="6916" max="6916" width="13.6328125" style="217" customWidth="1"/>
    <col min="6917" max="6917" width="13.54296875" style="217" customWidth="1"/>
    <col min="6918" max="6918" width="28.54296875" style="217" customWidth="1"/>
    <col min="6919" max="6919" width="13.36328125" style="217" customWidth="1"/>
    <col min="6920" max="6920" width="35.36328125" style="217" customWidth="1"/>
    <col min="6921" max="6921" width="8.6328125" style="217" customWidth="1"/>
    <col min="6922" max="6922" width="9.36328125" style="217"/>
    <col min="6923" max="6923" width="9" style="217" customWidth="1"/>
    <col min="6924" max="6924" width="0" style="217" hidden="1" customWidth="1"/>
    <col min="6925" max="7168" width="9.36328125" style="217"/>
    <col min="7169" max="7169" width="11.6328125" style="217" customWidth="1"/>
    <col min="7170" max="7170" width="22.54296875" style="217" customWidth="1"/>
    <col min="7171" max="7171" width="14.36328125" style="217" customWidth="1"/>
    <col min="7172" max="7172" width="13.6328125" style="217" customWidth="1"/>
    <col min="7173" max="7173" width="13.54296875" style="217" customWidth="1"/>
    <col min="7174" max="7174" width="28.54296875" style="217" customWidth="1"/>
    <col min="7175" max="7175" width="13.36328125" style="217" customWidth="1"/>
    <col min="7176" max="7176" width="35.36328125" style="217" customWidth="1"/>
    <col min="7177" max="7177" width="8.6328125" style="217" customWidth="1"/>
    <col min="7178" max="7178" width="9.36328125" style="217"/>
    <col min="7179" max="7179" width="9" style="217" customWidth="1"/>
    <col min="7180" max="7180" width="0" style="217" hidden="1" customWidth="1"/>
    <col min="7181" max="7424" width="9.36328125" style="217"/>
    <col min="7425" max="7425" width="11.6328125" style="217" customWidth="1"/>
    <col min="7426" max="7426" width="22.54296875" style="217" customWidth="1"/>
    <col min="7427" max="7427" width="14.36328125" style="217" customWidth="1"/>
    <col min="7428" max="7428" width="13.6328125" style="217" customWidth="1"/>
    <col min="7429" max="7429" width="13.54296875" style="217" customWidth="1"/>
    <col min="7430" max="7430" width="28.54296875" style="217" customWidth="1"/>
    <col min="7431" max="7431" width="13.36328125" style="217" customWidth="1"/>
    <col min="7432" max="7432" width="35.36328125" style="217" customWidth="1"/>
    <col min="7433" max="7433" width="8.6328125" style="217" customWidth="1"/>
    <col min="7434" max="7434" width="9.36328125" style="217"/>
    <col min="7435" max="7435" width="9" style="217" customWidth="1"/>
    <col min="7436" max="7436" width="0" style="217" hidden="1" customWidth="1"/>
    <col min="7437" max="7680" width="9.36328125" style="217"/>
    <col min="7681" max="7681" width="11.6328125" style="217" customWidth="1"/>
    <col min="7682" max="7682" width="22.54296875" style="217" customWidth="1"/>
    <col min="7683" max="7683" width="14.36328125" style="217" customWidth="1"/>
    <col min="7684" max="7684" width="13.6328125" style="217" customWidth="1"/>
    <col min="7685" max="7685" width="13.54296875" style="217" customWidth="1"/>
    <col min="7686" max="7686" width="28.54296875" style="217" customWidth="1"/>
    <col min="7687" max="7687" width="13.36328125" style="217" customWidth="1"/>
    <col min="7688" max="7688" width="35.36328125" style="217" customWidth="1"/>
    <col min="7689" max="7689" width="8.6328125" style="217" customWidth="1"/>
    <col min="7690" max="7690" width="9.36328125" style="217"/>
    <col min="7691" max="7691" width="9" style="217" customWidth="1"/>
    <col min="7692" max="7692" width="0" style="217" hidden="1" customWidth="1"/>
    <col min="7693" max="7936" width="9.36328125" style="217"/>
    <col min="7937" max="7937" width="11.6328125" style="217" customWidth="1"/>
    <col min="7938" max="7938" width="22.54296875" style="217" customWidth="1"/>
    <col min="7939" max="7939" width="14.36328125" style="217" customWidth="1"/>
    <col min="7940" max="7940" width="13.6328125" style="217" customWidth="1"/>
    <col min="7941" max="7941" width="13.54296875" style="217" customWidth="1"/>
    <col min="7942" max="7942" width="28.54296875" style="217" customWidth="1"/>
    <col min="7943" max="7943" width="13.36328125" style="217" customWidth="1"/>
    <col min="7944" max="7944" width="35.36328125" style="217" customWidth="1"/>
    <col min="7945" max="7945" width="8.6328125" style="217" customWidth="1"/>
    <col min="7946" max="7946" width="9.36328125" style="217"/>
    <col min="7947" max="7947" width="9" style="217" customWidth="1"/>
    <col min="7948" max="7948" width="0" style="217" hidden="1" customWidth="1"/>
    <col min="7949" max="8192" width="9.36328125" style="217"/>
    <col min="8193" max="8193" width="11.6328125" style="217" customWidth="1"/>
    <col min="8194" max="8194" width="22.54296875" style="217" customWidth="1"/>
    <col min="8195" max="8195" width="14.36328125" style="217" customWidth="1"/>
    <col min="8196" max="8196" width="13.6328125" style="217" customWidth="1"/>
    <col min="8197" max="8197" width="13.54296875" style="217" customWidth="1"/>
    <col min="8198" max="8198" width="28.54296875" style="217" customWidth="1"/>
    <col min="8199" max="8199" width="13.36328125" style="217" customWidth="1"/>
    <col min="8200" max="8200" width="35.36328125" style="217" customWidth="1"/>
    <col min="8201" max="8201" width="8.6328125" style="217" customWidth="1"/>
    <col min="8202" max="8202" width="9.36328125" style="217"/>
    <col min="8203" max="8203" width="9" style="217" customWidth="1"/>
    <col min="8204" max="8204" width="0" style="217" hidden="1" customWidth="1"/>
    <col min="8205" max="8448" width="9.36328125" style="217"/>
    <col min="8449" max="8449" width="11.6328125" style="217" customWidth="1"/>
    <col min="8450" max="8450" width="22.54296875" style="217" customWidth="1"/>
    <col min="8451" max="8451" width="14.36328125" style="217" customWidth="1"/>
    <col min="8452" max="8452" width="13.6328125" style="217" customWidth="1"/>
    <col min="8453" max="8453" width="13.54296875" style="217" customWidth="1"/>
    <col min="8454" max="8454" width="28.54296875" style="217" customWidth="1"/>
    <col min="8455" max="8455" width="13.36328125" style="217" customWidth="1"/>
    <col min="8456" max="8456" width="35.36328125" style="217" customWidth="1"/>
    <col min="8457" max="8457" width="8.6328125" style="217" customWidth="1"/>
    <col min="8458" max="8458" width="9.36328125" style="217"/>
    <col min="8459" max="8459" width="9" style="217" customWidth="1"/>
    <col min="8460" max="8460" width="0" style="217" hidden="1" customWidth="1"/>
    <col min="8461" max="8704" width="9.36328125" style="217"/>
    <col min="8705" max="8705" width="11.6328125" style="217" customWidth="1"/>
    <col min="8706" max="8706" width="22.54296875" style="217" customWidth="1"/>
    <col min="8707" max="8707" width="14.36328125" style="217" customWidth="1"/>
    <col min="8708" max="8708" width="13.6328125" style="217" customWidth="1"/>
    <col min="8709" max="8709" width="13.54296875" style="217" customWidth="1"/>
    <col min="8710" max="8710" width="28.54296875" style="217" customWidth="1"/>
    <col min="8711" max="8711" width="13.36328125" style="217" customWidth="1"/>
    <col min="8712" max="8712" width="35.36328125" style="217" customWidth="1"/>
    <col min="8713" max="8713" width="8.6328125" style="217" customWidth="1"/>
    <col min="8714" max="8714" width="9.36328125" style="217"/>
    <col min="8715" max="8715" width="9" style="217" customWidth="1"/>
    <col min="8716" max="8716" width="0" style="217" hidden="1" customWidth="1"/>
    <col min="8717" max="8960" width="9.36328125" style="217"/>
    <col min="8961" max="8961" width="11.6328125" style="217" customWidth="1"/>
    <col min="8962" max="8962" width="22.54296875" style="217" customWidth="1"/>
    <col min="8963" max="8963" width="14.36328125" style="217" customWidth="1"/>
    <col min="8964" max="8964" width="13.6328125" style="217" customWidth="1"/>
    <col min="8965" max="8965" width="13.54296875" style="217" customWidth="1"/>
    <col min="8966" max="8966" width="28.54296875" style="217" customWidth="1"/>
    <col min="8967" max="8967" width="13.36328125" style="217" customWidth="1"/>
    <col min="8968" max="8968" width="35.36328125" style="217" customWidth="1"/>
    <col min="8969" max="8969" width="8.6328125" style="217" customWidth="1"/>
    <col min="8970" max="8970" width="9.36328125" style="217"/>
    <col min="8971" max="8971" width="9" style="217" customWidth="1"/>
    <col min="8972" max="8972" width="0" style="217" hidden="1" customWidth="1"/>
    <col min="8973" max="9216" width="9.36328125" style="217"/>
    <col min="9217" max="9217" width="11.6328125" style="217" customWidth="1"/>
    <col min="9218" max="9218" width="22.54296875" style="217" customWidth="1"/>
    <col min="9219" max="9219" width="14.36328125" style="217" customWidth="1"/>
    <col min="9220" max="9220" width="13.6328125" style="217" customWidth="1"/>
    <col min="9221" max="9221" width="13.54296875" style="217" customWidth="1"/>
    <col min="9222" max="9222" width="28.54296875" style="217" customWidth="1"/>
    <col min="9223" max="9223" width="13.36328125" style="217" customWidth="1"/>
    <col min="9224" max="9224" width="35.36328125" style="217" customWidth="1"/>
    <col min="9225" max="9225" width="8.6328125" style="217" customWidth="1"/>
    <col min="9226" max="9226" width="9.36328125" style="217"/>
    <col min="9227" max="9227" width="9" style="217" customWidth="1"/>
    <col min="9228" max="9228" width="0" style="217" hidden="1" customWidth="1"/>
    <col min="9229" max="9472" width="9.36328125" style="217"/>
    <col min="9473" max="9473" width="11.6328125" style="217" customWidth="1"/>
    <col min="9474" max="9474" width="22.54296875" style="217" customWidth="1"/>
    <col min="9475" max="9475" width="14.36328125" style="217" customWidth="1"/>
    <col min="9476" max="9476" width="13.6328125" style="217" customWidth="1"/>
    <col min="9477" max="9477" width="13.54296875" style="217" customWidth="1"/>
    <col min="9478" max="9478" width="28.54296875" style="217" customWidth="1"/>
    <col min="9479" max="9479" width="13.36328125" style="217" customWidth="1"/>
    <col min="9480" max="9480" width="35.36328125" style="217" customWidth="1"/>
    <col min="9481" max="9481" width="8.6328125" style="217" customWidth="1"/>
    <col min="9482" max="9482" width="9.36328125" style="217"/>
    <col min="9483" max="9483" width="9" style="217" customWidth="1"/>
    <col min="9484" max="9484" width="0" style="217" hidden="1" customWidth="1"/>
    <col min="9485" max="9728" width="9.36328125" style="217"/>
    <col min="9729" max="9729" width="11.6328125" style="217" customWidth="1"/>
    <col min="9730" max="9730" width="22.54296875" style="217" customWidth="1"/>
    <col min="9731" max="9731" width="14.36328125" style="217" customWidth="1"/>
    <col min="9732" max="9732" width="13.6328125" style="217" customWidth="1"/>
    <col min="9733" max="9733" width="13.54296875" style="217" customWidth="1"/>
    <col min="9734" max="9734" width="28.54296875" style="217" customWidth="1"/>
    <col min="9735" max="9735" width="13.36328125" style="217" customWidth="1"/>
    <col min="9736" max="9736" width="35.36328125" style="217" customWidth="1"/>
    <col min="9737" max="9737" width="8.6328125" style="217" customWidth="1"/>
    <col min="9738" max="9738" width="9.36328125" style="217"/>
    <col min="9739" max="9739" width="9" style="217" customWidth="1"/>
    <col min="9740" max="9740" width="0" style="217" hidden="1" customWidth="1"/>
    <col min="9741" max="9984" width="9.36328125" style="217"/>
    <col min="9985" max="9985" width="11.6328125" style="217" customWidth="1"/>
    <col min="9986" max="9986" width="22.54296875" style="217" customWidth="1"/>
    <col min="9987" max="9987" width="14.36328125" style="217" customWidth="1"/>
    <col min="9988" max="9988" width="13.6328125" style="217" customWidth="1"/>
    <col min="9989" max="9989" width="13.54296875" style="217" customWidth="1"/>
    <col min="9990" max="9990" width="28.54296875" style="217" customWidth="1"/>
    <col min="9991" max="9991" width="13.36328125" style="217" customWidth="1"/>
    <col min="9992" max="9992" width="35.36328125" style="217" customWidth="1"/>
    <col min="9993" max="9993" width="8.6328125" style="217" customWidth="1"/>
    <col min="9994" max="9994" width="9.36328125" style="217"/>
    <col min="9995" max="9995" width="9" style="217" customWidth="1"/>
    <col min="9996" max="9996" width="0" style="217" hidden="1" customWidth="1"/>
    <col min="9997" max="10240" width="9.36328125" style="217"/>
    <col min="10241" max="10241" width="11.6328125" style="217" customWidth="1"/>
    <col min="10242" max="10242" width="22.54296875" style="217" customWidth="1"/>
    <col min="10243" max="10243" width="14.36328125" style="217" customWidth="1"/>
    <col min="10244" max="10244" width="13.6328125" style="217" customWidth="1"/>
    <col min="10245" max="10245" width="13.54296875" style="217" customWidth="1"/>
    <col min="10246" max="10246" width="28.54296875" style="217" customWidth="1"/>
    <col min="10247" max="10247" width="13.36328125" style="217" customWidth="1"/>
    <col min="10248" max="10248" width="35.36328125" style="217" customWidth="1"/>
    <col min="10249" max="10249" width="8.6328125" style="217" customWidth="1"/>
    <col min="10250" max="10250" width="9.36328125" style="217"/>
    <col min="10251" max="10251" width="9" style="217" customWidth="1"/>
    <col min="10252" max="10252" width="0" style="217" hidden="1" customWidth="1"/>
    <col min="10253" max="10496" width="9.36328125" style="217"/>
    <col min="10497" max="10497" width="11.6328125" style="217" customWidth="1"/>
    <col min="10498" max="10498" width="22.54296875" style="217" customWidth="1"/>
    <col min="10499" max="10499" width="14.36328125" style="217" customWidth="1"/>
    <col min="10500" max="10500" width="13.6328125" style="217" customWidth="1"/>
    <col min="10501" max="10501" width="13.54296875" style="217" customWidth="1"/>
    <col min="10502" max="10502" width="28.54296875" style="217" customWidth="1"/>
    <col min="10503" max="10503" width="13.36328125" style="217" customWidth="1"/>
    <col min="10504" max="10504" width="35.36328125" style="217" customWidth="1"/>
    <col min="10505" max="10505" width="8.6328125" style="217" customWidth="1"/>
    <col min="10506" max="10506" width="9.36328125" style="217"/>
    <col min="10507" max="10507" width="9" style="217" customWidth="1"/>
    <col min="10508" max="10508" width="0" style="217" hidden="1" customWidth="1"/>
    <col min="10509" max="10752" width="9.36328125" style="217"/>
    <col min="10753" max="10753" width="11.6328125" style="217" customWidth="1"/>
    <col min="10754" max="10754" width="22.54296875" style="217" customWidth="1"/>
    <col min="10755" max="10755" width="14.36328125" style="217" customWidth="1"/>
    <col min="10756" max="10756" width="13.6328125" style="217" customWidth="1"/>
    <col min="10757" max="10757" width="13.54296875" style="217" customWidth="1"/>
    <col min="10758" max="10758" width="28.54296875" style="217" customWidth="1"/>
    <col min="10759" max="10759" width="13.36328125" style="217" customWidth="1"/>
    <col min="10760" max="10760" width="35.36328125" style="217" customWidth="1"/>
    <col min="10761" max="10761" width="8.6328125" style="217" customWidth="1"/>
    <col min="10762" max="10762" width="9.36328125" style="217"/>
    <col min="10763" max="10763" width="9" style="217" customWidth="1"/>
    <col min="10764" max="10764" width="0" style="217" hidden="1" customWidth="1"/>
    <col min="10765" max="11008" width="9.36328125" style="217"/>
    <col min="11009" max="11009" width="11.6328125" style="217" customWidth="1"/>
    <col min="11010" max="11010" width="22.54296875" style="217" customWidth="1"/>
    <col min="11011" max="11011" width="14.36328125" style="217" customWidth="1"/>
    <col min="11012" max="11012" width="13.6328125" style="217" customWidth="1"/>
    <col min="11013" max="11013" width="13.54296875" style="217" customWidth="1"/>
    <col min="11014" max="11014" width="28.54296875" style="217" customWidth="1"/>
    <col min="11015" max="11015" width="13.36328125" style="217" customWidth="1"/>
    <col min="11016" max="11016" width="35.36328125" style="217" customWidth="1"/>
    <col min="11017" max="11017" width="8.6328125" style="217" customWidth="1"/>
    <col min="11018" max="11018" width="9.36328125" style="217"/>
    <col min="11019" max="11019" width="9" style="217" customWidth="1"/>
    <col min="11020" max="11020" width="0" style="217" hidden="1" customWidth="1"/>
    <col min="11021" max="11264" width="9.36328125" style="217"/>
    <col min="11265" max="11265" width="11.6328125" style="217" customWidth="1"/>
    <col min="11266" max="11266" width="22.54296875" style="217" customWidth="1"/>
    <col min="11267" max="11267" width="14.36328125" style="217" customWidth="1"/>
    <col min="11268" max="11268" width="13.6328125" style="217" customWidth="1"/>
    <col min="11269" max="11269" width="13.54296875" style="217" customWidth="1"/>
    <col min="11270" max="11270" width="28.54296875" style="217" customWidth="1"/>
    <col min="11271" max="11271" width="13.36328125" style="217" customWidth="1"/>
    <col min="11272" max="11272" width="35.36328125" style="217" customWidth="1"/>
    <col min="11273" max="11273" width="8.6328125" style="217" customWidth="1"/>
    <col min="11274" max="11274" width="9.36328125" style="217"/>
    <col min="11275" max="11275" width="9" style="217" customWidth="1"/>
    <col min="11276" max="11276" width="0" style="217" hidden="1" customWidth="1"/>
    <col min="11277" max="11520" width="9.36328125" style="217"/>
    <col min="11521" max="11521" width="11.6328125" style="217" customWidth="1"/>
    <col min="11522" max="11522" width="22.54296875" style="217" customWidth="1"/>
    <col min="11523" max="11523" width="14.36328125" style="217" customWidth="1"/>
    <col min="11524" max="11524" width="13.6328125" style="217" customWidth="1"/>
    <col min="11525" max="11525" width="13.54296875" style="217" customWidth="1"/>
    <col min="11526" max="11526" width="28.54296875" style="217" customWidth="1"/>
    <col min="11527" max="11527" width="13.36328125" style="217" customWidth="1"/>
    <col min="11528" max="11528" width="35.36328125" style="217" customWidth="1"/>
    <col min="11529" max="11529" width="8.6328125" style="217" customWidth="1"/>
    <col min="11530" max="11530" width="9.36328125" style="217"/>
    <col min="11531" max="11531" width="9" style="217" customWidth="1"/>
    <col min="11532" max="11532" width="0" style="217" hidden="1" customWidth="1"/>
    <col min="11533" max="11776" width="9.36328125" style="217"/>
    <col min="11777" max="11777" width="11.6328125" style="217" customWidth="1"/>
    <col min="11778" max="11778" width="22.54296875" style="217" customWidth="1"/>
    <col min="11779" max="11779" width="14.36328125" style="217" customWidth="1"/>
    <col min="11780" max="11780" width="13.6328125" style="217" customWidth="1"/>
    <col min="11781" max="11781" width="13.54296875" style="217" customWidth="1"/>
    <col min="11782" max="11782" width="28.54296875" style="217" customWidth="1"/>
    <col min="11783" max="11783" width="13.36328125" style="217" customWidth="1"/>
    <col min="11784" max="11784" width="35.36328125" style="217" customWidth="1"/>
    <col min="11785" max="11785" width="8.6328125" style="217" customWidth="1"/>
    <col min="11786" max="11786" width="9.36328125" style="217"/>
    <col min="11787" max="11787" width="9" style="217" customWidth="1"/>
    <col min="11788" max="11788" width="0" style="217" hidden="1" customWidth="1"/>
    <col min="11789" max="12032" width="9.36328125" style="217"/>
    <col min="12033" max="12033" width="11.6328125" style="217" customWidth="1"/>
    <col min="12034" max="12034" width="22.54296875" style="217" customWidth="1"/>
    <col min="12035" max="12035" width="14.36328125" style="217" customWidth="1"/>
    <col min="12036" max="12036" width="13.6328125" style="217" customWidth="1"/>
    <col min="12037" max="12037" width="13.54296875" style="217" customWidth="1"/>
    <col min="12038" max="12038" width="28.54296875" style="217" customWidth="1"/>
    <col min="12039" max="12039" width="13.36328125" style="217" customWidth="1"/>
    <col min="12040" max="12040" width="35.36328125" style="217" customWidth="1"/>
    <col min="12041" max="12041" width="8.6328125" style="217" customWidth="1"/>
    <col min="12042" max="12042" width="9.36328125" style="217"/>
    <col min="12043" max="12043" width="9" style="217" customWidth="1"/>
    <col min="12044" max="12044" width="0" style="217" hidden="1" customWidth="1"/>
    <col min="12045" max="12288" width="9.36328125" style="217"/>
    <col min="12289" max="12289" width="11.6328125" style="217" customWidth="1"/>
    <col min="12290" max="12290" width="22.54296875" style="217" customWidth="1"/>
    <col min="12291" max="12291" width="14.36328125" style="217" customWidth="1"/>
    <col min="12292" max="12292" width="13.6328125" style="217" customWidth="1"/>
    <col min="12293" max="12293" width="13.54296875" style="217" customWidth="1"/>
    <col min="12294" max="12294" width="28.54296875" style="217" customWidth="1"/>
    <col min="12295" max="12295" width="13.36328125" style="217" customWidth="1"/>
    <col min="12296" max="12296" width="35.36328125" style="217" customWidth="1"/>
    <col min="12297" max="12297" width="8.6328125" style="217" customWidth="1"/>
    <col min="12298" max="12298" width="9.36328125" style="217"/>
    <col min="12299" max="12299" width="9" style="217" customWidth="1"/>
    <col min="12300" max="12300" width="0" style="217" hidden="1" customWidth="1"/>
    <col min="12301" max="12544" width="9.36328125" style="217"/>
    <col min="12545" max="12545" width="11.6328125" style="217" customWidth="1"/>
    <col min="12546" max="12546" width="22.54296875" style="217" customWidth="1"/>
    <col min="12547" max="12547" width="14.36328125" style="217" customWidth="1"/>
    <col min="12548" max="12548" width="13.6328125" style="217" customWidth="1"/>
    <col min="12549" max="12549" width="13.54296875" style="217" customWidth="1"/>
    <col min="12550" max="12550" width="28.54296875" style="217" customWidth="1"/>
    <col min="12551" max="12551" width="13.36328125" style="217" customWidth="1"/>
    <col min="12552" max="12552" width="35.36328125" style="217" customWidth="1"/>
    <col min="12553" max="12553" width="8.6328125" style="217" customWidth="1"/>
    <col min="12554" max="12554" width="9.36328125" style="217"/>
    <col min="12555" max="12555" width="9" style="217" customWidth="1"/>
    <col min="12556" max="12556" width="0" style="217" hidden="1" customWidth="1"/>
    <col min="12557" max="12800" width="9.36328125" style="217"/>
    <col min="12801" max="12801" width="11.6328125" style="217" customWidth="1"/>
    <col min="12802" max="12802" width="22.54296875" style="217" customWidth="1"/>
    <col min="12803" max="12803" width="14.36328125" style="217" customWidth="1"/>
    <col min="12804" max="12804" width="13.6328125" style="217" customWidth="1"/>
    <col min="12805" max="12805" width="13.54296875" style="217" customWidth="1"/>
    <col min="12806" max="12806" width="28.54296875" style="217" customWidth="1"/>
    <col min="12807" max="12807" width="13.36328125" style="217" customWidth="1"/>
    <col min="12808" max="12808" width="35.36328125" style="217" customWidth="1"/>
    <col min="12809" max="12809" width="8.6328125" style="217" customWidth="1"/>
    <col min="12810" max="12810" width="9.36328125" style="217"/>
    <col min="12811" max="12811" width="9" style="217" customWidth="1"/>
    <col min="12812" max="12812" width="0" style="217" hidden="1" customWidth="1"/>
    <col min="12813" max="13056" width="9.36328125" style="217"/>
    <col min="13057" max="13057" width="11.6328125" style="217" customWidth="1"/>
    <col min="13058" max="13058" width="22.54296875" style="217" customWidth="1"/>
    <col min="13059" max="13059" width="14.36328125" style="217" customWidth="1"/>
    <col min="13060" max="13060" width="13.6328125" style="217" customWidth="1"/>
    <col min="13061" max="13061" width="13.54296875" style="217" customWidth="1"/>
    <col min="13062" max="13062" width="28.54296875" style="217" customWidth="1"/>
    <col min="13063" max="13063" width="13.36328125" style="217" customWidth="1"/>
    <col min="13064" max="13064" width="35.36328125" style="217" customWidth="1"/>
    <col min="13065" max="13065" width="8.6328125" style="217" customWidth="1"/>
    <col min="13066" max="13066" width="9.36328125" style="217"/>
    <col min="13067" max="13067" width="9" style="217" customWidth="1"/>
    <col min="13068" max="13068" width="0" style="217" hidden="1" customWidth="1"/>
    <col min="13069" max="13312" width="9.36328125" style="217"/>
    <col min="13313" max="13313" width="11.6328125" style="217" customWidth="1"/>
    <col min="13314" max="13314" width="22.54296875" style="217" customWidth="1"/>
    <col min="13315" max="13315" width="14.36328125" style="217" customWidth="1"/>
    <col min="13316" max="13316" width="13.6328125" style="217" customWidth="1"/>
    <col min="13317" max="13317" width="13.54296875" style="217" customWidth="1"/>
    <col min="13318" max="13318" width="28.54296875" style="217" customWidth="1"/>
    <col min="13319" max="13319" width="13.36328125" style="217" customWidth="1"/>
    <col min="13320" max="13320" width="35.36328125" style="217" customWidth="1"/>
    <col min="13321" max="13321" width="8.6328125" style="217" customWidth="1"/>
    <col min="13322" max="13322" width="9.36328125" style="217"/>
    <col min="13323" max="13323" width="9" style="217" customWidth="1"/>
    <col min="13324" max="13324" width="0" style="217" hidden="1" customWidth="1"/>
    <col min="13325" max="13568" width="9.36328125" style="217"/>
    <col min="13569" max="13569" width="11.6328125" style="217" customWidth="1"/>
    <col min="13570" max="13570" width="22.54296875" style="217" customWidth="1"/>
    <col min="13571" max="13571" width="14.36328125" style="217" customWidth="1"/>
    <col min="13572" max="13572" width="13.6328125" style="217" customWidth="1"/>
    <col min="13573" max="13573" width="13.54296875" style="217" customWidth="1"/>
    <col min="13574" max="13574" width="28.54296875" style="217" customWidth="1"/>
    <col min="13575" max="13575" width="13.36328125" style="217" customWidth="1"/>
    <col min="13576" max="13576" width="35.36328125" style="217" customWidth="1"/>
    <col min="13577" max="13577" width="8.6328125" style="217" customWidth="1"/>
    <col min="13578" max="13578" width="9.36328125" style="217"/>
    <col min="13579" max="13579" width="9" style="217" customWidth="1"/>
    <col min="13580" max="13580" width="0" style="217" hidden="1" customWidth="1"/>
    <col min="13581" max="13824" width="9.36328125" style="217"/>
    <col min="13825" max="13825" width="11.6328125" style="217" customWidth="1"/>
    <col min="13826" max="13826" width="22.54296875" style="217" customWidth="1"/>
    <col min="13827" max="13827" width="14.36328125" style="217" customWidth="1"/>
    <col min="13828" max="13828" width="13.6328125" style="217" customWidth="1"/>
    <col min="13829" max="13829" width="13.54296875" style="217" customWidth="1"/>
    <col min="13830" max="13830" width="28.54296875" style="217" customWidth="1"/>
    <col min="13831" max="13831" width="13.36328125" style="217" customWidth="1"/>
    <col min="13832" max="13832" width="35.36328125" style="217" customWidth="1"/>
    <col min="13833" max="13833" width="8.6328125" style="217" customWidth="1"/>
    <col min="13834" max="13834" width="9.36328125" style="217"/>
    <col min="13835" max="13835" width="9" style="217" customWidth="1"/>
    <col min="13836" max="13836" width="0" style="217" hidden="1" customWidth="1"/>
    <col min="13837" max="14080" width="9.36328125" style="217"/>
    <col min="14081" max="14081" width="11.6328125" style="217" customWidth="1"/>
    <col min="14082" max="14082" width="22.54296875" style="217" customWidth="1"/>
    <col min="14083" max="14083" width="14.36328125" style="217" customWidth="1"/>
    <col min="14084" max="14084" width="13.6328125" style="217" customWidth="1"/>
    <col min="14085" max="14085" width="13.54296875" style="217" customWidth="1"/>
    <col min="14086" max="14086" width="28.54296875" style="217" customWidth="1"/>
    <col min="14087" max="14087" width="13.36328125" style="217" customWidth="1"/>
    <col min="14088" max="14088" width="35.36328125" style="217" customWidth="1"/>
    <col min="14089" max="14089" width="8.6328125" style="217" customWidth="1"/>
    <col min="14090" max="14090" width="9.36328125" style="217"/>
    <col min="14091" max="14091" width="9" style="217" customWidth="1"/>
    <col min="14092" max="14092" width="0" style="217" hidden="1" customWidth="1"/>
    <col min="14093" max="14336" width="9.36328125" style="217"/>
    <col min="14337" max="14337" width="11.6328125" style="217" customWidth="1"/>
    <col min="14338" max="14338" width="22.54296875" style="217" customWidth="1"/>
    <col min="14339" max="14339" width="14.36328125" style="217" customWidth="1"/>
    <col min="14340" max="14340" width="13.6328125" style="217" customWidth="1"/>
    <col min="14341" max="14341" width="13.54296875" style="217" customWidth="1"/>
    <col min="14342" max="14342" width="28.54296875" style="217" customWidth="1"/>
    <col min="14343" max="14343" width="13.36328125" style="217" customWidth="1"/>
    <col min="14344" max="14344" width="35.36328125" style="217" customWidth="1"/>
    <col min="14345" max="14345" width="8.6328125" style="217" customWidth="1"/>
    <col min="14346" max="14346" width="9.36328125" style="217"/>
    <col min="14347" max="14347" width="9" style="217" customWidth="1"/>
    <col min="14348" max="14348" width="0" style="217" hidden="1" customWidth="1"/>
    <col min="14349" max="14592" width="9.36328125" style="217"/>
    <col min="14593" max="14593" width="11.6328125" style="217" customWidth="1"/>
    <col min="14594" max="14594" width="22.54296875" style="217" customWidth="1"/>
    <col min="14595" max="14595" width="14.36328125" style="217" customWidth="1"/>
    <col min="14596" max="14596" width="13.6328125" style="217" customWidth="1"/>
    <col min="14597" max="14597" width="13.54296875" style="217" customWidth="1"/>
    <col min="14598" max="14598" width="28.54296875" style="217" customWidth="1"/>
    <col min="14599" max="14599" width="13.36328125" style="217" customWidth="1"/>
    <col min="14600" max="14600" width="35.36328125" style="217" customWidth="1"/>
    <col min="14601" max="14601" width="8.6328125" style="217" customWidth="1"/>
    <col min="14602" max="14602" width="9.36328125" style="217"/>
    <col min="14603" max="14603" width="9" style="217" customWidth="1"/>
    <col min="14604" max="14604" width="0" style="217" hidden="1" customWidth="1"/>
    <col min="14605" max="14848" width="9.36328125" style="217"/>
    <col min="14849" max="14849" width="11.6328125" style="217" customWidth="1"/>
    <col min="14850" max="14850" width="22.54296875" style="217" customWidth="1"/>
    <col min="14851" max="14851" width="14.36328125" style="217" customWidth="1"/>
    <col min="14852" max="14852" width="13.6328125" style="217" customWidth="1"/>
    <col min="14853" max="14853" width="13.54296875" style="217" customWidth="1"/>
    <col min="14854" max="14854" width="28.54296875" style="217" customWidth="1"/>
    <col min="14855" max="14855" width="13.36328125" style="217" customWidth="1"/>
    <col min="14856" max="14856" width="35.36328125" style="217" customWidth="1"/>
    <col min="14857" max="14857" width="8.6328125" style="217" customWidth="1"/>
    <col min="14858" max="14858" width="9.36328125" style="217"/>
    <col min="14859" max="14859" width="9" style="217" customWidth="1"/>
    <col min="14860" max="14860" width="0" style="217" hidden="1" customWidth="1"/>
    <col min="14861" max="15104" width="9.36328125" style="217"/>
    <col min="15105" max="15105" width="11.6328125" style="217" customWidth="1"/>
    <col min="15106" max="15106" width="22.54296875" style="217" customWidth="1"/>
    <col min="15107" max="15107" width="14.36328125" style="217" customWidth="1"/>
    <col min="15108" max="15108" width="13.6328125" style="217" customWidth="1"/>
    <col min="15109" max="15109" width="13.54296875" style="217" customWidth="1"/>
    <col min="15110" max="15110" width="28.54296875" style="217" customWidth="1"/>
    <col min="15111" max="15111" width="13.36328125" style="217" customWidth="1"/>
    <col min="15112" max="15112" width="35.36328125" style="217" customWidth="1"/>
    <col min="15113" max="15113" width="8.6328125" style="217" customWidth="1"/>
    <col min="15114" max="15114" width="9.36328125" style="217"/>
    <col min="15115" max="15115" width="9" style="217" customWidth="1"/>
    <col min="15116" max="15116" width="0" style="217" hidden="1" customWidth="1"/>
    <col min="15117" max="15360" width="9.36328125" style="217"/>
    <col min="15361" max="15361" width="11.6328125" style="217" customWidth="1"/>
    <col min="15362" max="15362" width="22.54296875" style="217" customWidth="1"/>
    <col min="15363" max="15363" width="14.36328125" style="217" customWidth="1"/>
    <col min="15364" max="15364" width="13.6328125" style="217" customWidth="1"/>
    <col min="15365" max="15365" width="13.54296875" style="217" customWidth="1"/>
    <col min="15366" max="15366" width="28.54296875" style="217" customWidth="1"/>
    <col min="15367" max="15367" width="13.36328125" style="217" customWidth="1"/>
    <col min="15368" max="15368" width="35.36328125" style="217" customWidth="1"/>
    <col min="15369" max="15369" width="8.6328125" style="217" customWidth="1"/>
    <col min="15370" max="15370" width="9.36328125" style="217"/>
    <col min="15371" max="15371" width="9" style="217" customWidth="1"/>
    <col min="15372" max="15372" width="0" style="217" hidden="1" customWidth="1"/>
    <col min="15373" max="15616" width="9.36328125" style="217"/>
    <col min="15617" max="15617" width="11.6328125" style="217" customWidth="1"/>
    <col min="15618" max="15618" width="22.54296875" style="217" customWidth="1"/>
    <col min="15619" max="15619" width="14.36328125" style="217" customWidth="1"/>
    <col min="15620" max="15620" width="13.6328125" style="217" customWidth="1"/>
    <col min="15621" max="15621" width="13.54296875" style="217" customWidth="1"/>
    <col min="15622" max="15622" width="28.54296875" style="217" customWidth="1"/>
    <col min="15623" max="15623" width="13.36328125" style="217" customWidth="1"/>
    <col min="15624" max="15624" width="35.36328125" style="217" customWidth="1"/>
    <col min="15625" max="15625" width="8.6328125" style="217" customWidth="1"/>
    <col min="15626" max="15626" width="9.36328125" style="217"/>
    <col min="15627" max="15627" width="9" style="217" customWidth="1"/>
    <col min="15628" max="15628" width="0" style="217" hidden="1" customWidth="1"/>
    <col min="15629" max="15872" width="9.36328125" style="217"/>
    <col min="15873" max="15873" width="11.6328125" style="217" customWidth="1"/>
    <col min="15874" max="15874" width="22.54296875" style="217" customWidth="1"/>
    <col min="15875" max="15875" width="14.36328125" style="217" customWidth="1"/>
    <col min="15876" max="15876" width="13.6328125" style="217" customWidth="1"/>
    <col min="15877" max="15877" width="13.54296875" style="217" customWidth="1"/>
    <col min="15878" max="15878" width="28.54296875" style="217" customWidth="1"/>
    <col min="15879" max="15879" width="13.36328125" style="217" customWidth="1"/>
    <col min="15880" max="15880" width="35.36328125" style="217" customWidth="1"/>
    <col min="15881" max="15881" width="8.6328125" style="217" customWidth="1"/>
    <col min="15882" max="15882" width="9.36328125" style="217"/>
    <col min="15883" max="15883" width="9" style="217" customWidth="1"/>
    <col min="15884" max="15884" width="0" style="217" hidden="1" customWidth="1"/>
    <col min="15885" max="16128" width="9.36328125" style="217"/>
    <col min="16129" max="16129" width="11.6328125" style="217" customWidth="1"/>
    <col min="16130" max="16130" width="22.54296875" style="217" customWidth="1"/>
    <col min="16131" max="16131" width="14.36328125" style="217" customWidth="1"/>
    <col min="16132" max="16132" width="13.6328125" style="217" customWidth="1"/>
    <col min="16133" max="16133" width="13.54296875" style="217" customWidth="1"/>
    <col min="16134" max="16134" width="28.54296875" style="217" customWidth="1"/>
    <col min="16135" max="16135" width="13.36328125" style="217" customWidth="1"/>
    <col min="16136" max="16136" width="35.36328125" style="217" customWidth="1"/>
    <col min="16137" max="16137" width="8.6328125" style="217" customWidth="1"/>
    <col min="16138" max="16138" width="9.36328125" style="217"/>
    <col min="16139" max="16139" width="9" style="217" customWidth="1"/>
    <col min="16140" max="16140" width="0" style="217" hidden="1" customWidth="1"/>
    <col min="16141" max="16384" width="9.36328125" style="217"/>
  </cols>
  <sheetData>
    <row r="1" spans="1:12" s="211" customFormat="1" ht="19.5" customHeight="1">
      <c r="A1" s="3882" t="s">
        <v>310</v>
      </c>
      <c r="B1" s="3883"/>
      <c r="C1" s="3883"/>
      <c r="D1" s="3883"/>
      <c r="E1" s="3883"/>
      <c r="F1" s="3883"/>
      <c r="G1" s="3883"/>
      <c r="H1" s="3883"/>
      <c r="I1" s="210"/>
      <c r="J1" s="210"/>
      <c r="K1" s="210"/>
      <c r="L1" s="210"/>
    </row>
    <row r="2" spans="1:12" s="211" customFormat="1" ht="78" customHeight="1" thickBot="1">
      <c r="A2" s="3884" t="s">
        <v>311</v>
      </c>
      <c r="B2" s="3884"/>
      <c r="C2" s="3884"/>
      <c r="D2" s="3884"/>
      <c r="E2" s="3884"/>
      <c r="F2" s="3884"/>
      <c r="G2" s="3884"/>
      <c r="H2" s="3884"/>
      <c r="I2" s="212"/>
      <c r="J2" s="212"/>
      <c r="K2" s="212"/>
      <c r="L2" s="212"/>
    </row>
    <row r="3" spans="1:12" s="211" customFormat="1" ht="15.75" customHeight="1">
      <c r="A3" s="3885" t="s">
        <v>312</v>
      </c>
      <c r="B3" s="3888" t="s">
        <v>120</v>
      </c>
      <c r="C3" s="3888" t="s">
        <v>288</v>
      </c>
      <c r="D3" s="3888" t="s">
        <v>313</v>
      </c>
      <c r="E3" s="3892" t="s">
        <v>314</v>
      </c>
      <c r="F3" s="3892" t="s">
        <v>315</v>
      </c>
      <c r="G3" s="3892" t="s">
        <v>316</v>
      </c>
      <c r="H3" s="3895" t="s">
        <v>317</v>
      </c>
    </row>
    <row r="4" spans="1:12" s="211" customFormat="1" ht="15.75" customHeight="1">
      <c r="A4" s="3886"/>
      <c r="B4" s="3889"/>
      <c r="C4" s="3889"/>
      <c r="D4" s="3891"/>
      <c r="E4" s="3893"/>
      <c r="F4" s="3894"/>
      <c r="G4" s="3894"/>
      <c r="H4" s="3896"/>
    </row>
    <row r="5" spans="1:12" s="211" customFormat="1" ht="15.75" customHeight="1">
      <c r="A5" s="3886"/>
      <c r="B5" s="3889"/>
      <c r="C5" s="3889"/>
      <c r="D5" s="3898" t="s">
        <v>318</v>
      </c>
      <c r="E5" s="3900" t="s">
        <v>319</v>
      </c>
      <c r="F5" s="3900" t="s">
        <v>320</v>
      </c>
      <c r="G5" s="3900" t="s">
        <v>321</v>
      </c>
      <c r="H5" s="3896"/>
    </row>
    <row r="6" spans="1:12" s="211" customFormat="1" ht="15.75" customHeight="1">
      <c r="A6" s="3887"/>
      <c r="B6" s="3890"/>
      <c r="C6" s="3890"/>
      <c r="D6" s="3899"/>
      <c r="E6" s="3901"/>
      <c r="F6" s="3902"/>
      <c r="G6" s="3902"/>
      <c r="H6" s="3897"/>
    </row>
    <row r="7" spans="1:12" s="215" customFormat="1" ht="17.25" customHeight="1">
      <c r="A7" s="3903" t="s">
        <v>1687</v>
      </c>
      <c r="B7" s="3876" t="s">
        <v>1688</v>
      </c>
      <c r="C7" s="3876" t="s">
        <v>1677</v>
      </c>
      <c r="D7" s="2444" t="s">
        <v>133</v>
      </c>
      <c r="E7" s="2444" t="s">
        <v>133</v>
      </c>
      <c r="F7" s="2442" t="s">
        <v>1689</v>
      </c>
      <c r="G7" s="2442" t="s">
        <v>94</v>
      </c>
      <c r="H7" s="3880" t="s">
        <v>1263</v>
      </c>
    </row>
    <row r="8" spans="1:12" s="215" customFormat="1" ht="17.25" customHeight="1">
      <c r="A8" s="3904"/>
      <c r="B8" s="3877"/>
      <c r="C8" s="3877"/>
      <c r="D8" s="2445" t="s">
        <v>133</v>
      </c>
      <c r="E8" s="2445" t="s">
        <v>133</v>
      </c>
      <c r="F8" s="2446" t="s">
        <v>1690</v>
      </c>
      <c r="G8" s="2443" t="s">
        <v>94</v>
      </c>
      <c r="H8" s="3881"/>
    </row>
    <row r="9" spans="1:12" s="215" customFormat="1" ht="17.25" customHeight="1">
      <c r="A9" s="3903" t="s">
        <v>1691</v>
      </c>
      <c r="B9" s="3876" t="s">
        <v>1688</v>
      </c>
      <c r="C9" s="3876" t="s">
        <v>1677</v>
      </c>
      <c r="D9" s="2444" t="s">
        <v>133</v>
      </c>
      <c r="E9" s="2444" t="s">
        <v>133</v>
      </c>
      <c r="F9" s="2442" t="s">
        <v>1689</v>
      </c>
      <c r="G9" s="2442" t="s">
        <v>94</v>
      </c>
      <c r="H9" s="3880" t="s">
        <v>1263</v>
      </c>
    </row>
    <row r="10" spans="1:12" s="215" customFormat="1" ht="17.25" customHeight="1">
      <c r="A10" s="3904"/>
      <c r="B10" s="3877"/>
      <c r="C10" s="3877"/>
      <c r="D10" s="2445" t="s">
        <v>133</v>
      </c>
      <c r="E10" s="2445" t="s">
        <v>133</v>
      </c>
      <c r="F10" s="2446" t="s">
        <v>1690</v>
      </c>
      <c r="G10" s="2443" t="s">
        <v>94</v>
      </c>
      <c r="H10" s="3881"/>
    </row>
    <row r="11" spans="1:12" s="215" customFormat="1" ht="17.25" customHeight="1">
      <c r="A11" s="3903" t="s">
        <v>1692</v>
      </c>
      <c r="B11" s="3876" t="s">
        <v>1688</v>
      </c>
      <c r="C11" s="3876" t="s">
        <v>1677</v>
      </c>
      <c r="D11" s="2444" t="s">
        <v>133</v>
      </c>
      <c r="E11" s="2444" t="s">
        <v>133</v>
      </c>
      <c r="F11" s="2442" t="s">
        <v>1689</v>
      </c>
      <c r="G11" s="2442" t="s">
        <v>94</v>
      </c>
      <c r="H11" s="3880" t="s">
        <v>1263</v>
      </c>
    </row>
    <row r="12" spans="1:12" s="215" customFormat="1" ht="17.25" customHeight="1">
      <c r="A12" s="3904"/>
      <c r="B12" s="3877"/>
      <c r="C12" s="3877"/>
      <c r="D12" s="2445" t="s">
        <v>133</v>
      </c>
      <c r="E12" s="2445" t="s">
        <v>133</v>
      </c>
      <c r="F12" s="2446" t="s">
        <v>1690</v>
      </c>
      <c r="G12" s="2443" t="s">
        <v>94</v>
      </c>
      <c r="H12" s="3881"/>
    </row>
    <row r="13" spans="1:12" s="215" customFormat="1" ht="17.25" customHeight="1">
      <c r="A13" s="3903" t="s">
        <v>1693</v>
      </c>
      <c r="B13" s="3876" t="s">
        <v>1688</v>
      </c>
      <c r="C13" s="3876" t="s">
        <v>1677</v>
      </c>
      <c r="D13" s="2444" t="s">
        <v>133</v>
      </c>
      <c r="E13" s="2444" t="s">
        <v>133</v>
      </c>
      <c r="F13" s="2442" t="s">
        <v>1689</v>
      </c>
      <c r="G13" s="2442" t="s">
        <v>94</v>
      </c>
      <c r="H13" s="3880" t="s">
        <v>1263</v>
      </c>
    </row>
    <row r="14" spans="1:12" s="215" customFormat="1" ht="17.25" customHeight="1">
      <c r="A14" s="3904"/>
      <c r="B14" s="3877"/>
      <c r="C14" s="3877"/>
      <c r="D14" s="2445" t="s">
        <v>133</v>
      </c>
      <c r="E14" s="2445" t="s">
        <v>133</v>
      </c>
      <c r="F14" s="2446" t="s">
        <v>1690</v>
      </c>
      <c r="G14" s="2443" t="s">
        <v>94</v>
      </c>
      <c r="H14" s="3881"/>
    </row>
    <row r="15" spans="1:12" s="215" customFormat="1" ht="17.25" customHeight="1">
      <c r="A15" s="3874" t="s">
        <v>1694</v>
      </c>
      <c r="B15" s="3876" t="s">
        <v>1696</v>
      </c>
      <c r="C15" s="3878" t="s">
        <v>94</v>
      </c>
      <c r="D15" s="2444" t="s">
        <v>133</v>
      </c>
      <c r="E15" s="2444" t="s">
        <v>133</v>
      </c>
      <c r="F15" s="2442" t="s">
        <v>1689</v>
      </c>
      <c r="G15" s="2442" t="s">
        <v>94</v>
      </c>
      <c r="H15" s="3880" t="s">
        <v>1263</v>
      </c>
    </row>
    <row r="16" spans="1:12" s="215" customFormat="1" ht="17.25" customHeight="1">
      <c r="A16" s="3905"/>
      <c r="B16" s="3877"/>
      <c r="C16" s="3890"/>
      <c r="D16" s="2445" t="s">
        <v>133</v>
      </c>
      <c r="E16" s="2445" t="s">
        <v>133</v>
      </c>
      <c r="F16" s="2446" t="s">
        <v>1690</v>
      </c>
      <c r="G16" s="2443" t="s">
        <v>94</v>
      </c>
      <c r="H16" s="3881"/>
    </row>
    <row r="17" spans="1:8" s="215" customFormat="1" ht="17.25" customHeight="1">
      <c r="A17" s="3874" t="s">
        <v>1695</v>
      </c>
      <c r="B17" s="3876" t="s">
        <v>1696</v>
      </c>
      <c r="C17" s="3878" t="s">
        <v>94</v>
      </c>
      <c r="D17" s="2444" t="s">
        <v>133</v>
      </c>
      <c r="E17" s="2444" t="s">
        <v>133</v>
      </c>
      <c r="F17" s="2442" t="s">
        <v>1689</v>
      </c>
      <c r="G17" s="2442" t="s">
        <v>94</v>
      </c>
      <c r="H17" s="3880" t="s">
        <v>1263</v>
      </c>
    </row>
    <row r="18" spans="1:8" s="215" customFormat="1" ht="17.25" customHeight="1">
      <c r="A18" s="3875"/>
      <c r="B18" s="3877"/>
      <c r="C18" s="3879"/>
      <c r="D18" s="2445" t="s">
        <v>133</v>
      </c>
      <c r="E18" s="2445" t="s">
        <v>133</v>
      </c>
      <c r="F18" s="2446" t="s">
        <v>1690</v>
      </c>
      <c r="G18" s="2443" t="s">
        <v>94</v>
      </c>
      <c r="H18" s="3881"/>
    </row>
    <row r="19" spans="1:8" s="215" customFormat="1" ht="17.25" customHeight="1">
      <c r="A19" s="3874" t="s">
        <v>2020</v>
      </c>
      <c r="B19" s="3876" t="s">
        <v>1753</v>
      </c>
      <c r="C19" s="3878" t="s">
        <v>94</v>
      </c>
      <c r="D19" s="2444" t="s">
        <v>133</v>
      </c>
      <c r="E19" s="2444" t="s">
        <v>133</v>
      </c>
      <c r="F19" s="2442" t="s">
        <v>2033</v>
      </c>
      <c r="G19" s="2442" t="s">
        <v>94</v>
      </c>
      <c r="H19" s="3880" t="s">
        <v>1263</v>
      </c>
    </row>
    <row r="20" spans="1:8" s="215" customFormat="1" ht="17.25" customHeight="1">
      <c r="A20" s="3875"/>
      <c r="B20" s="3877"/>
      <c r="C20" s="3879"/>
      <c r="D20" s="2445" t="s">
        <v>133</v>
      </c>
      <c r="E20" s="2445" t="s">
        <v>133</v>
      </c>
      <c r="F20" s="2446"/>
      <c r="G20" s="2443" t="s">
        <v>94</v>
      </c>
      <c r="H20" s="3881"/>
    </row>
    <row r="21" spans="1:8" s="215" customFormat="1" ht="17.25" customHeight="1">
      <c r="A21" s="3874" t="s">
        <v>2021</v>
      </c>
      <c r="B21" s="3876" t="s">
        <v>1754</v>
      </c>
      <c r="C21" s="3878" t="s">
        <v>94</v>
      </c>
      <c r="D21" s="2444" t="s">
        <v>133</v>
      </c>
      <c r="E21" s="2444" t="s">
        <v>133</v>
      </c>
      <c r="F21" s="2442" t="s">
        <v>2033</v>
      </c>
      <c r="G21" s="2442" t="s">
        <v>94</v>
      </c>
      <c r="H21" s="3880" t="s">
        <v>1263</v>
      </c>
    </row>
    <row r="22" spans="1:8" s="215" customFormat="1" ht="17.25" customHeight="1">
      <c r="A22" s="3875"/>
      <c r="B22" s="3877"/>
      <c r="C22" s="3879"/>
      <c r="D22" s="2445" t="s">
        <v>133</v>
      </c>
      <c r="E22" s="2445" t="s">
        <v>133</v>
      </c>
      <c r="F22" s="2446"/>
      <c r="G22" s="2443" t="s">
        <v>94</v>
      </c>
      <c r="H22" s="3881"/>
    </row>
    <row r="23" spans="1:8" s="215" customFormat="1" ht="17.25" customHeight="1">
      <c r="A23" s="3874" t="s">
        <v>2018</v>
      </c>
      <c r="B23" s="3876" t="s">
        <v>1754</v>
      </c>
      <c r="C23" s="3878" t="s">
        <v>94</v>
      </c>
      <c r="D23" s="2444" t="s">
        <v>133</v>
      </c>
      <c r="E23" s="2444" t="s">
        <v>133</v>
      </c>
      <c r="F23" s="2442" t="s">
        <v>2033</v>
      </c>
      <c r="G23" s="2442" t="s">
        <v>94</v>
      </c>
      <c r="H23" s="3880" t="s">
        <v>1263</v>
      </c>
    </row>
    <row r="24" spans="1:8" s="215" customFormat="1" ht="17.25" customHeight="1">
      <c r="A24" s="3875"/>
      <c r="B24" s="3877"/>
      <c r="C24" s="3879"/>
      <c r="D24" s="2445" t="s">
        <v>133</v>
      </c>
      <c r="E24" s="2445" t="s">
        <v>133</v>
      </c>
      <c r="F24" s="2446"/>
      <c r="G24" s="2443" t="s">
        <v>94</v>
      </c>
      <c r="H24" s="3881"/>
    </row>
    <row r="25" spans="1:8" s="215" customFormat="1" ht="17.25" customHeight="1">
      <c r="A25" s="3874" t="s">
        <v>2019</v>
      </c>
      <c r="B25" s="3876" t="s">
        <v>1754</v>
      </c>
      <c r="C25" s="3878" t="s">
        <v>94</v>
      </c>
      <c r="D25" s="2444" t="s">
        <v>133</v>
      </c>
      <c r="E25" s="2444" t="s">
        <v>133</v>
      </c>
      <c r="F25" s="2442" t="s">
        <v>2033</v>
      </c>
      <c r="G25" s="2442" t="s">
        <v>94</v>
      </c>
      <c r="H25" s="3880" t="s">
        <v>1263</v>
      </c>
    </row>
    <row r="26" spans="1:8" s="215" customFormat="1" ht="17.25" customHeight="1">
      <c r="A26" s="3875"/>
      <c r="B26" s="3877"/>
      <c r="C26" s="3879"/>
      <c r="D26" s="2445" t="s">
        <v>133</v>
      </c>
      <c r="E26" s="2445" t="s">
        <v>133</v>
      </c>
      <c r="F26" s="2446"/>
      <c r="G26" s="2443" t="s">
        <v>94</v>
      </c>
      <c r="H26" s="3881"/>
    </row>
    <row r="27" spans="1:8" s="215" customFormat="1" ht="17.25" customHeight="1">
      <c r="A27" s="3874">
        <v>77</v>
      </c>
      <c r="B27" s="3876" t="s">
        <v>1755</v>
      </c>
      <c r="C27" s="3878" t="s">
        <v>94</v>
      </c>
      <c r="D27" s="2444" t="s">
        <v>133</v>
      </c>
      <c r="E27" s="2444" t="s">
        <v>133</v>
      </c>
      <c r="F27" s="2442" t="s">
        <v>2033</v>
      </c>
      <c r="G27" s="2442" t="s">
        <v>94</v>
      </c>
      <c r="H27" s="3880" t="s">
        <v>1263</v>
      </c>
    </row>
    <row r="28" spans="1:8" s="215" customFormat="1" ht="17.25" customHeight="1">
      <c r="A28" s="3875"/>
      <c r="B28" s="3877"/>
      <c r="C28" s="3879"/>
      <c r="D28" s="2445" t="s">
        <v>133</v>
      </c>
      <c r="E28" s="2445" t="s">
        <v>133</v>
      </c>
      <c r="F28" s="2446"/>
      <c r="G28" s="2443" t="s">
        <v>94</v>
      </c>
      <c r="H28" s="3881"/>
    </row>
    <row r="29" spans="1:8" s="215" customFormat="1" ht="17.25" customHeight="1">
      <c r="A29" s="3874">
        <v>70</v>
      </c>
      <c r="B29" s="3876" t="s">
        <v>1756</v>
      </c>
      <c r="C29" s="3878" t="s">
        <v>94</v>
      </c>
      <c r="D29" s="2444" t="s">
        <v>133</v>
      </c>
      <c r="E29" s="2444" t="s">
        <v>133</v>
      </c>
      <c r="F29" s="2442" t="s">
        <v>1689</v>
      </c>
      <c r="G29" s="2442" t="s">
        <v>94</v>
      </c>
      <c r="H29" s="3880" t="s">
        <v>1263</v>
      </c>
    </row>
    <row r="30" spans="1:8" s="215" customFormat="1" ht="17.25" customHeight="1">
      <c r="A30" s="3875"/>
      <c r="B30" s="3877"/>
      <c r="C30" s="3879"/>
      <c r="D30" s="2445" t="s">
        <v>133</v>
      </c>
      <c r="E30" s="2445" t="s">
        <v>133</v>
      </c>
      <c r="F30" s="2446" t="s">
        <v>1690</v>
      </c>
      <c r="G30" s="2443" t="s">
        <v>94</v>
      </c>
      <c r="H30" s="3881"/>
    </row>
    <row r="31" spans="1:8" s="215" customFormat="1" ht="17.25" customHeight="1">
      <c r="A31" s="3874">
        <v>71</v>
      </c>
      <c r="B31" s="3876" t="s">
        <v>1756</v>
      </c>
      <c r="C31" s="3878" t="s">
        <v>94</v>
      </c>
      <c r="D31" s="2444" t="s">
        <v>133</v>
      </c>
      <c r="E31" s="2444" t="s">
        <v>133</v>
      </c>
      <c r="F31" s="2442" t="s">
        <v>1689</v>
      </c>
      <c r="G31" s="2442" t="s">
        <v>94</v>
      </c>
      <c r="H31" s="3880" t="s">
        <v>1263</v>
      </c>
    </row>
    <row r="32" spans="1:8" s="215" customFormat="1" ht="17.25" customHeight="1">
      <c r="A32" s="3875"/>
      <c r="B32" s="3877"/>
      <c r="C32" s="3879"/>
      <c r="D32" s="2445" t="s">
        <v>133</v>
      </c>
      <c r="E32" s="2445" t="s">
        <v>133</v>
      </c>
      <c r="F32" s="2446" t="s">
        <v>1690</v>
      </c>
      <c r="G32" s="2443" t="s">
        <v>94</v>
      </c>
      <c r="H32" s="3881"/>
    </row>
    <row r="33" spans="1:8" s="215" customFormat="1" ht="17.25" customHeight="1">
      <c r="A33" s="3874">
        <v>72</v>
      </c>
      <c r="B33" s="3876" t="s">
        <v>1756</v>
      </c>
      <c r="C33" s="3878" t="s">
        <v>94</v>
      </c>
      <c r="D33" s="2444" t="s">
        <v>133</v>
      </c>
      <c r="E33" s="2444" t="s">
        <v>133</v>
      </c>
      <c r="F33" s="2442" t="s">
        <v>1689</v>
      </c>
      <c r="G33" s="2442" t="s">
        <v>94</v>
      </c>
      <c r="H33" s="3880" t="s">
        <v>1263</v>
      </c>
    </row>
    <row r="34" spans="1:8" s="215" customFormat="1" ht="17.25" customHeight="1">
      <c r="A34" s="3875"/>
      <c r="B34" s="3877"/>
      <c r="C34" s="3879"/>
      <c r="D34" s="2445" t="s">
        <v>133</v>
      </c>
      <c r="E34" s="2445" t="s">
        <v>133</v>
      </c>
      <c r="F34" s="2446" t="s">
        <v>1690</v>
      </c>
      <c r="G34" s="2443" t="s">
        <v>94</v>
      </c>
      <c r="H34" s="3881"/>
    </row>
    <row r="35" spans="1:8" s="215" customFormat="1" ht="17.25" customHeight="1">
      <c r="A35" s="3874">
        <v>41</v>
      </c>
      <c r="B35" s="3876" t="s">
        <v>1751</v>
      </c>
      <c r="C35" s="3878" t="s">
        <v>94</v>
      </c>
      <c r="D35" s="2444" t="s">
        <v>133</v>
      </c>
      <c r="E35" s="2444" t="s">
        <v>133</v>
      </c>
      <c r="F35" s="2442" t="s">
        <v>2033</v>
      </c>
      <c r="G35" s="2442" t="s">
        <v>94</v>
      </c>
      <c r="H35" s="3880" t="s">
        <v>1263</v>
      </c>
    </row>
    <row r="36" spans="1:8" s="215" customFormat="1" ht="17.25" customHeight="1">
      <c r="A36" s="3875"/>
      <c r="B36" s="3877"/>
      <c r="C36" s="3879"/>
      <c r="D36" s="2445" t="s">
        <v>133</v>
      </c>
      <c r="E36" s="2445" t="s">
        <v>133</v>
      </c>
      <c r="F36" s="2446"/>
      <c r="G36" s="2443" t="s">
        <v>94</v>
      </c>
      <c r="H36" s="3881"/>
    </row>
    <row r="37" spans="1:8" s="215" customFormat="1" ht="17.25" customHeight="1">
      <c r="A37" s="3874">
        <v>39</v>
      </c>
      <c r="B37" s="3876" t="s">
        <v>1752</v>
      </c>
      <c r="C37" s="3878" t="s">
        <v>94</v>
      </c>
      <c r="D37" s="2444" t="s">
        <v>133</v>
      </c>
      <c r="E37" s="2444" t="s">
        <v>133</v>
      </c>
      <c r="F37" s="2442" t="s">
        <v>2033</v>
      </c>
      <c r="G37" s="2442" t="s">
        <v>94</v>
      </c>
      <c r="H37" s="3880" t="s">
        <v>1263</v>
      </c>
    </row>
    <row r="38" spans="1:8" s="215" customFormat="1" ht="17.25" customHeight="1">
      <c r="A38" s="3906"/>
      <c r="B38" s="3907"/>
      <c r="C38" s="3908"/>
      <c r="D38" s="3607" t="s">
        <v>133</v>
      </c>
      <c r="E38" s="3607" t="s">
        <v>133</v>
      </c>
      <c r="F38" s="2446"/>
      <c r="G38" s="3608" t="s">
        <v>94</v>
      </c>
      <c r="H38" s="3872"/>
    </row>
    <row r="39" spans="1:8" s="215" customFormat="1" ht="17.25" customHeight="1">
      <c r="A39" s="3874">
        <v>40</v>
      </c>
      <c r="B39" s="3876" t="s">
        <v>2017</v>
      </c>
      <c r="C39" s="3878" t="s">
        <v>94</v>
      </c>
      <c r="D39" s="2444" t="s">
        <v>133</v>
      </c>
      <c r="E39" s="2444" t="s">
        <v>133</v>
      </c>
      <c r="F39" s="2442" t="s">
        <v>2033</v>
      </c>
      <c r="G39" s="2442" t="s">
        <v>94</v>
      </c>
      <c r="H39" s="3880" t="s">
        <v>1263</v>
      </c>
    </row>
    <row r="40" spans="1:8" s="215" customFormat="1" ht="17.25" customHeight="1">
      <c r="A40" s="3875"/>
      <c r="B40" s="3877"/>
      <c r="C40" s="3879"/>
      <c r="D40" s="2445" t="s">
        <v>133</v>
      </c>
      <c r="E40" s="2445" t="s">
        <v>133</v>
      </c>
      <c r="F40" s="2446"/>
      <c r="G40" s="2443" t="s">
        <v>94</v>
      </c>
      <c r="H40" s="3881"/>
    </row>
    <row r="41" spans="1:8" s="215" customFormat="1" ht="17.25" customHeight="1">
      <c r="A41" s="3874">
        <v>41</v>
      </c>
      <c r="B41" s="3876" t="s">
        <v>1752</v>
      </c>
      <c r="C41" s="3878" t="s">
        <v>94</v>
      </c>
      <c r="D41" s="2444" t="s">
        <v>133</v>
      </c>
      <c r="E41" s="2444" t="s">
        <v>133</v>
      </c>
      <c r="F41" s="2442" t="s">
        <v>2033</v>
      </c>
      <c r="G41" s="2442" t="s">
        <v>94</v>
      </c>
      <c r="H41" s="3880" t="s">
        <v>1263</v>
      </c>
    </row>
    <row r="42" spans="1:8" s="215" customFormat="1" ht="17.25" customHeight="1">
      <c r="A42" s="3875"/>
      <c r="B42" s="3877"/>
      <c r="C42" s="3879"/>
      <c r="D42" s="2445" t="s">
        <v>133</v>
      </c>
      <c r="E42" s="2445" t="s">
        <v>133</v>
      </c>
      <c r="F42" s="2446"/>
      <c r="G42" s="2443" t="s">
        <v>94</v>
      </c>
      <c r="H42" s="3881"/>
    </row>
    <row r="43" spans="1:8" s="215" customFormat="1" ht="17.25" customHeight="1">
      <c r="A43" s="5359" t="s">
        <v>2046</v>
      </c>
      <c r="B43" s="3876" t="s">
        <v>2047</v>
      </c>
      <c r="C43" s="3878" t="s">
        <v>94</v>
      </c>
      <c r="D43" s="2444" t="s">
        <v>133</v>
      </c>
      <c r="E43" s="2444" t="s">
        <v>133</v>
      </c>
      <c r="F43" s="2442" t="s">
        <v>2033</v>
      </c>
      <c r="G43" s="2442" t="s">
        <v>94</v>
      </c>
      <c r="H43" s="3880" t="s">
        <v>1263</v>
      </c>
    </row>
    <row r="44" spans="1:8" s="215" customFormat="1" ht="17.25" customHeight="1">
      <c r="A44" s="4227"/>
      <c r="B44" s="3877"/>
      <c r="C44" s="3879"/>
      <c r="D44" s="2445" t="s">
        <v>133</v>
      </c>
      <c r="E44" s="2445" t="s">
        <v>133</v>
      </c>
      <c r="F44" s="2446"/>
      <c r="G44" s="2443" t="s">
        <v>94</v>
      </c>
      <c r="H44" s="3881"/>
    </row>
    <row r="45" spans="1:8" s="215" customFormat="1" ht="17.25" customHeight="1">
      <c r="A45" s="5359" t="s">
        <v>2048</v>
      </c>
      <c r="B45" s="3876" t="s">
        <v>2049</v>
      </c>
      <c r="C45" s="3878" t="s">
        <v>94</v>
      </c>
      <c r="D45" s="2444" t="s">
        <v>133</v>
      </c>
      <c r="E45" s="2444" t="s">
        <v>133</v>
      </c>
      <c r="F45" s="2442" t="s">
        <v>2033</v>
      </c>
      <c r="G45" s="2442" t="s">
        <v>94</v>
      </c>
      <c r="H45" s="3880" t="s">
        <v>1263</v>
      </c>
    </row>
    <row r="46" spans="1:8" s="215" customFormat="1" ht="17.25" customHeight="1">
      <c r="A46" s="4227"/>
      <c r="B46" s="3877"/>
      <c r="C46" s="3879"/>
      <c r="D46" s="2445" t="s">
        <v>133</v>
      </c>
      <c r="E46" s="2445" t="s">
        <v>133</v>
      </c>
      <c r="F46" s="2446"/>
      <c r="G46" s="2443" t="s">
        <v>94</v>
      </c>
      <c r="H46" s="3881"/>
    </row>
    <row r="47" spans="1:8" s="215" customFormat="1" ht="17.25" customHeight="1">
      <c r="A47" s="5359" t="s">
        <v>2050</v>
      </c>
      <c r="B47" s="3876" t="s">
        <v>2053</v>
      </c>
      <c r="C47" s="3878" t="s">
        <v>94</v>
      </c>
      <c r="D47" s="2444" t="s">
        <v>133</v>
      </c>
      <c r="E47" s="2444" t="s">
        <v>133</v>
      </c>
      <c r="F47" s="2442" t="s">
        <v>2033</v>
      </c>
      <c r="G47" s="2442" t="s">
        <v>94</v>
      </c>
      <c r="H47" s="3880" t="s">
        <v>1263</v>
      </c>
    </row>
    <row r="48" spans="1:8" s="215" customFormat="1" ht="17.25" customHeight="1">
      <c r="A48" s="4227"/>
      <c r="B48" s="3877"/>
      <c r="C48" s="3879"/>
      <c r="D48" s="2445" t="s">
        <v>133</v>
      </c>
      <c r="E48" s="2445" t="s">
        <v>133</v>
      </c>
      <c r="F48" s="2446"/>
      <c r="G48" s="2443" t="s">
        <v>94</v>
      </c>
      <c r="H48" s="3881"/>
    </row>
    <row r="49" spans="1:8" s="215" customFormat="1" ht="17.25" customHeight="1">
      <c r="A49" s="5359" t="s">
        <v>2051</v>
      </c>
      <c r="B49" s="3876" t="s">
        <v>2052</v>
      </c>
      <c r="C49" s="3878" t="s">
        <v>94</v>
      </c>
      <c r="D49" s="2444" t="s">
        <v>133</v>
      </c>
      <c r="E49" s="2444" t="s">
        <v>133</v>
      </c>
      <c r="F49" s="2442" t="s">
        <v>2033</v>
      </c>
      <c r="G49" s="2442" t="s">
        <v>94</v>
      </c>
      <c r="H49" s="3880" t="s">
        <v>1263</v>
      </c>
    </row>
    <row r="50" spans="1:8" s="215" customFormat="1" ht="17.25" customHeight="1">
      <c r="A50" s="4227"/>
      <c r="B50" s="3877"/>
      <c r="C50" s="3879"/>
      <c r="D50" s="2445" t="s">
        <v>133</v>
      </c>
      <c r="E50" s="2445" t="s">
        <v>133</v>
      </c>
      <c r="F50" s="2446"/>
      <c r="G50" s="2443" t="s">
        <v>94</v>
      </c>
      <c r="H50" s="3881"/>
    </row>
    <row r="51" spans="1:8" s="215" customFormat="1" ht="17.25" customHeight="1">
      <c r="A51" s="5359" t="s">
        <v>2054</v>
      </c>
      <c r="B51" s="3911" t="s">
        <v>2055</v>
      </c>
      <c r="C51" s="3908" t="s">
        <v>94</v>
      </c>
      <c r="D51" s="3609" t="s">
        <v>133</v>
      </c>
      <c r="E51" s="3609" t="s">
        <v>133</v>
      </c>
      <c r="F51" s="3610" t="s">
        <v>2033</v>
      </c>
      <c r="G51" s="3610" t="s">
        <v>94</v>
      </c>
      <c r="H51" s="3872" t="s">
        <v>1263</v>
      </c>
    </row>
    <row r="52" spans="1:8" s="215" customFormat="1" ht="17.25" customHeight="1" thickBot="1">
      <c r="A52" s="4227"/>
      <c r="B52" s="3912"/>
      <c r="C52" s="3913"/>
      <c r="D52" s="2447" t="s">
        <v>133</v>
      </c>
      <c r="E52" s="2447" t="s">
        <v>133</v>
      </c>
      <c r="F52" s="2446"/>
      <c r="G52" s="2448" t="s">
        <v>94</v>
      </c>
      <c r="H52" s="3873"/>
    </row>
    <row r="53" spans="1:8">
      <c r="A53" s="3909" t="s">
        <v>323</v>
      </c>
      <c r="B53" s="3909"/>
      <c r="C53" s="3909"/>
      <c r="D53" s="3909"/>
      <c r="E53" s="3909"/>
      <c r="F53" s="3909"/>
      <c r="G53" s="3909"/>
      <c r="H53" s="3909"/>
    </row>
    <row r="54" spans="1:8" ht="12" customHeight="1">
      <c r="A54" s="3910"/>
      <c r="B54" s="3910"/>
      <c r="C54" s="3910"/>
      <c r="D54" s="3910"/>
      <c r="E54" s="3910"/>
      <c r="F54" s="3910"/>
      <c r="G54" s="3910"/>
      <c r="H54" s="3910"/>
    </row>
    <row r="55" spans="1:8" ht="12" customHeight="1">
      <c r="A55" s="216" t="s">
        <v>324</v>
      </c>
    </row>
  </sheetData>
  <mergeCells count="107">
    <mergeCell ref="A49:A50"/>
    <mergeCell ref="B49:B50"/>
    <mergeCell ref="C49:C50"/>
    <mergeCell ref="H49:H50"/>
    <mergeCell ref="H45:H46"/>
    <mergeCell ref="A47:A48"/>
    <mergeCell ref="B47:B48"/>
    <mergeCell ref="C47:C48"/>
    <mergeCell ref="H47:H48"/>
    <mergeCell ref="A53:H54"/>
    <mergeCell ref="A39:A40"/>
    <mergeCell ref="B39:B40"/>
    <mergeCell ref="C39:C40"/>
    <mergeCell ref="H39:H40"/>
    <mergeCell ref="A41:A42"/>
    <mergeCell ref="B41:B42"/>
    <mergeCell ref="C41:C42"/>
    <mergeCell ref="H41:H42"/>
    <mergeCell ref="A51:A52"/>
    <mergeCell ref="B51:B52"/>
    <mergeCell ref="C51:C52"/>
    <mergeCell ref="A43:A44"/>
    <mergeCell ref="B43:B44"/>
    <mergeCell ref="C43:C44"/>
    <mergeCell ref="H43:H44"/>
    <mergeCell ref="A15:A16"/>
    <mergeCell ref="B15:B16"/>
    <mergeCell ref="C15:C16"/>
    <mergeCell ref="H15:H16"/>
    <mergeCell ref="A17:A18"/>
    <mergeCell ref="B17:B18"/>
    <mergeCell ref="C17:C18"/>
    <mergeCell ref="H17:H18"/>
    <mergeCell ref="A11:A12"/>
    <mergeCell ref="B11:B12"/>
    <mergeCell ref="C11:C12"/>
    <mergeCell ref="H11:H12"/>
    <mergeCell ref="A13:A14"/>
    <mergeCell ref="B13:B14"/>
    <mergeCell ref="C13:C14"/>
    <mergeCell ref="H13:H14"/>
    <mergeCell ref="A7:A8"/>
    <mergeCell ref="B7:B8"/>
    <mergeCell ref="C7:C8"/>
    <mergeCell ref="H7:H8"/>
    <mergeCell ref="A9:A10"/>
    <mergeCell ref="B9:B10"/>
    <mergeCell ref="C9:C10"/>
    <mergeCell ref="H9:H10"/>
    <mergeCell ref="A1:H1"/>
    <mergeCell ref="A2:H2"/>
    <mergeCell ref="A3:A6"/>
    <mergeCell ref="B3:B6"/>
    <mergeCell ref="C3:C6"/>
    <mergeCell ref="D3:D4"/>
    <mergeCell ref="E3:E4"/>
    <mergeCell ref="F3:F4"/>
    <mergeCell ref="G3:G4"/>
    <mergeCell ref="H3:H6"/>
    <mergeCell ref="D5:D6"/>
    <mergeCell ref="E5:E6"/>
    <mergeCell ref="F5:F6"/>
    <mergeCell ref="G5:G6"/>
    <mergeCell ref="A19:A20"/>
    <mergeCell ref="B19:B20"/>
    <mergeCell ref="C19:C20"/>
    <mergeCell ref="H19:H20"/>
    <mergeCell ref="A21:A22"/>
    <mergeCell ref="B21:B22"/>
    <mergeCell ref="C21:C22"/>
    <mergeCell ref="H21:H22"/>
    <mergeCell ref="A23:A24"/>
    <mergeCell ref="B23:B24"/>
    <mergeCell ref="C23:C24"/>
    <mergeCell ref="H23:H24"/>
    <mergeCell ref="A27:A28"/>
    <mergeCell ref="B27:B28"/>
    <mergeCell ref="C27:C28"/>
    <mergeCell ref="H27:H28"/>
    <mergeCell ref="A25:A26"/>
    <mergeCell ref="B25:B26"/>
    <mergeCell ref="C25:C26"/>
    <mergeCell ref="H25:H26"/>
    <mergeCell ref="A29:A30"/>
    <mergeCell ref="B29:B30"/>
    <mergeCell ref="C29:C30"/>
    <mergeCell ref="H29:H30"/>
    <mergeCell ref="A31:A32"/>
    <mergeCell ref="B31:B32"/>
    <mergeCell ref="C31:C32"/>
    <mergeCell ref="H31:H32"/>
    <mergeCell ref="H51:H52"/>
    <mergeCell ref="A33:A34"/>
    <mergeCell ref="B33:B34"/>
    <mergeCell ref="C33:C34"/>
    <mergeCell ref="H33:H34"/>
    <mergeCell ref="A35:A36"/>
    <mergeCell ref="B35:B36"/>
    <mergeCell ref="C35:C36"/>
    <mergeCell ref="H35:H36"/>
    <mergeCell ref="A37:A38"/>
    <mergeCell ref="B37:B38"/>
    <mergeCell ref="C37:C38"/>
    <mergeCell ref="H37:H38"/>
    <mergeCell ref="A45:A46"/>
    <mergeCell ref="B45:B46"/>
    <mergeCell ref="C45:C46"/>
  </mergeCells>
  <printOptions horizontalCentered="1" verticalCentered="1"/>
  <pageMargins left="0.5" right="0.5" top="0.5" bottom="0.5" header="0.35" footer="0.35"/>
  <pageSetup scale="85"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2-B:  Page &amp;P&amp;R&amp;8Printed &amp;D &amp;T</oddFooter>
  </headerFooter>
  <rowBreaks count="1" manualBreakCount="1">
    <brk id="30" max="7" man="1"/>
  </rowBreaks>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Y155"/>
  <sheetViews>
    <sheetView showGridLines="0" view="pageBreakPreview" topLeftCell="A132" zoomScale="85" zoomScaleNormal="100" zoomScaleSheetLayoutView="85" zoomScalePageLayoutView="70" workbookViewId="0">
      <selection activeCell="B50" sqref="B50"/>
    </sheetView>
  </sheetViews>
  <sheetFormatPr defaultRowHeight="13"/>
  <cols>
    <col min="1" max="1" width="48.54296875" style="941" customWidth="1"/>
    <col min="2" max="3" width="21.453125" style="941" customWidth="1"/>
    <col min="4" max="4" width="28" style="941" customWidth="1"/>
    <col min="5" max="5" width="10.6328125" style="941" customWidth="1"/>
    <col min="6" max="6" width="11.453125" style="941" customWidth="1"/>
    <col min="7" max="256" width="8.54296875" style="941"/>
    <col min="257" max="257" width="35" style="941" customWidth="1"/>
    <col min="258" max="258" width="11.453125" style="941" customWidth="1"/>
    <col min="259" max="259" width="10.54296875" style="941" customWidth="1"/>
    <col min="260" max="512" width="8.54296875" style="941"/>
    <col min="513" max="513" width="35" style="941" customWidth="1"/>
    <col min="514" max="514" width="11.453125" style="941" customWidth="1"/>
    <col min="515" max="515" width="10.54296875" style="941" customWidth="1"/>
    <col min="516" max="768" width="8.54296875" style="941"/>
    <col min="769" max="769" width="35" style="941" customWidth="1"/>
    <col min="770" max="770" width="11.453125" style="941" customWidth="1"/>
    <col min="771" max="771" width="10.54296875" style="941" customWidth="1"/>
    <col min="772" max="1024" width="8.54296875" style="941"/>
    <col min="1025" max="1025" width="35" style="941" customWidth="1"/>
    <col min="1026" max="1026" width="11.453125" style="941" customWidth="1"/>
    <col min="1027" max="1027" width="10.54296875" style="941" customWidth="1"/>
    <col min="1028" max="1280" width="8.54296875" style="941"/>
    <col min="1281" max="1281" width="35" style="941" customWidth="1"/>
    <col min="1282" max="1282" width="11.453125" style="941" customWidth="1"/>
    <col min="1283" max="1283" width="10.54296875" style="941" customWidth="1"/>
    <col min="1284" max="1536" width="8.54296875" style="941"/>
    <col min="1537" max="1537" width="35" style="941" customWidth="1"/>
    <col min="1538" max="1538" width="11.453125" style="941" customWidth="1"/>
    <col min="1539" max="1539" width="10.54296875" style="941" customWidth="1"/>
    <col min="1540" max="1792" width="8.54296875" style="941"/>
    <col min="1793" max="1793" width="35" style="941" customWidth="1"/>
    <col min="1794" max="1794" width="11.453125" style="941" customWidth="1"/>
    <col min="1795" max="1795" width="10.54296875" style="941" customWidth="1"/>
    <col min="1796" max="2048" width="8.54296875" style="941"/>
    <col min="2049" max="2049" width="35" style="941" customWidth="1"/>
    <col min="2050" max="2050" width="11.453125" style="941" customWidth="1"/>
    <col min="2051" max="2051" width="10.54296875" style="941" customWidth="1"/>
    <col min="2052" max="2304" width="8.54296875" style="941"/>
    <col min="2305" max="2305" width="35" style="941" customWidth="1"/>
    <col min="2306" max="2306" width="11.453125" style="941" customWidth="1"/>
    <col min="2307" max="2307" width="10.54296875" style="941" customWidth="1"/>
    <col min="2308" max="2560" width="8.54296875" style="941"/>
    <col min="2561" max="2561" width="35" style="941" customWidth="1"/>
    <col min="2562" max="2562" width="11.453125" style="941" customWidth="1"/>
    <col min="2563" max="2563" width="10.54296875" style="941" customWidth="1"/>
    <col min="2564" max="2816" width="8.54296875" style="941"/>
    <col min="2817" max="2817" width="35" style="941" customWidth="1"/>
    <col min="2818" max="2818" width="11.453125" style="941" customWidth="1"/>
    <col min="2819" max="2819" width="10.54296875" style="941" customWidth="1"/>
    <col min="2820" max="3072" width="8.54296875" style="941"/>
    <col min="3073" max="3073" width="35" style="941" customWidth="1"/>
    <col min="3074" max="3074" width="11.453125" style="941" customWidth="1"/>
    <col min="3075" max="3075" width="10.54296875" style="941" customWidth="1"/>
    <col min="3076" max="3328" width="8.54296875" style="941"/>
    <col min="3329" max="3329" width="35" style="941" customWidth="1"/>
    <col min="3330" max="3330" width="11.453125" style="941" customWidth="1"/>
    <col min="3331" max="3331" width="10.54296875" style="941" customWidth="1"/>
    <col min="3332" max="3584" width="8.54296875" style="941"/>
    <col min="3585" max="3585" width="35" style="941" customWidth="1"/>
    <col min="3586" max="3586" width="11.453125" style="941" customWidth="1"/>
    <col min="3587" max="3587" width="10.54296875" style="941" customWidth="1"/>
    <col min="3588" max="3840" width="8.54296875" style="941"/>
    <col min="3841" max="3841" width="35" style="941" customWidth="1"/>
    <col min="3842" max="3842" width="11.453125" style="941" customWidth="1"/>
    <col min="3843" max="3843" width="10.54296875" style="941" customWidth="1"/>
    <col min="3844" max="4096" width="8.54296875" style="941"/>
    <col min="4097" max="4097" width="35" style="941" customWidth="1"/>
    <col min="4098" max="4098" width="11.453125" style="941" customWidth="1"/>
    <col min="4099" max="4099" width="10.54296875" style="941" customWidth="1"/>
    <col min="4100" max="4352" width="8.54296875" style="941"/>
    <col min="4353" max="4353" width="35" style="941" customWidth="1"/>
    <col min="4354" max="4354" width="11.453125" style="941" customWidth="1"/>
    <col min="4355" max="4355" width="10.54296875" style="941" customWidth="1"/>
    <col min="4356" max="4608" width="8.54296875" style="941"/>
    <col min="4609" max="4609" width="35" style="941" customWidth="1"/>
    <col min="4610" max="4610" width="11.453125" style="941" customWidth="1"/>
    <col min="4611" max="4611" width="10.54296875" style="941" customWidth="1"/>
    <col min="4612" max="4864" width="8.54296875" style="941"/>
    <col min="4865" max="4865" width="35" style="941" customWidth="1"/>
    <col min="4866" max="4866" width="11.453125" style="941" customWidth="1"/>
    <col min="4867" max="4867" width="10.54296875" style="941" customWidth="1"/>
    <col min="4868" max="5120" width="8.54296875" style="941"/>
    <col min="5121" max="5121" width="35" style="941" customWidth="1"/>
    <col min="5122" max="5122" width="11.453125" style="941" customWidth="1"/>
    <col min="5123" max="5123" width="10.54296875" style="941" customWidth="1"/>
    <col min="5124" max="5376" width="8.54296875" style="941"/>
    <col min="5377" max="5377" width="35" style="941" customWidth="1"/>
    <col min="5378" max="5378" width="11.453125" style="941" customWidth="1"/>
    <col min="5379" max="5379" width="10.54296875" style="941" customWidth="1"/>
    <col min="5380" max="5632" width="8.54296875" style="941"/>
    <col min="5633" max="5633" width="35" style="941" customWidth="1"/>
    <col min="5634" max="5634" width="11.453125" style="941" customWidth="1"/>
    <col min="5635" max="5635" width="10.54296875" style="941" customWidth="1"/>
    <col min="5636" max="5888" width="8.54296875" style="941"/>
    <col min="5889" max="5889" width="35" style="941" customWidth="1"/>
    <col min="5890" max="5890" width="11.453125" style="941" customWidth="1"/>
    <col min="5891" max="5891" width="10.54296875" style="941" customWidth="1"/>
    <col min="5892" max="6144" width="8.54296875" style="941"/>
    <col min="6145" max="6145" width="35" style="941" customWidth="1"/>
    <col min="6146" max="6146" width="11.453125" style="941" customWidth="1"/>
    <col min="6147" max="6147" width="10.54296875" style="941" customWidth="1"/>
    <col min="6148" max="6400" width="8.54296875" style="941"/>
    <col min="6401" max="6401" width="35" style="941" customWidth="1"/>
    <col min="6402" max="6402" width="11.453125" style="941" customWidth="1"/>
    <col min="6403" max="6403" width="10.54296875" style="941" customWidth="1"/>
    <col min="6404" max="6656" width="8.54296875" style="941"/>
    <col min="6657" max="6657" width="35" style="941" customWidth="1"/>
    <col min="6658" max="6658" width="11.453125" style="941" customWidth="1"/>
    <col min="6659" max="6659" width="10.54296875" style="941" customWidth="1"/>
    <col min="6660" max="6912" width="8.54296875" style="941"/>
    <col min="6913" max="6913" width="35" style="941" customWidth="1"/>
    <col min="6914" max="6914" width="11.453125" style="941" customWidth="1"/>
    <col min="6915" max="6915" width="10.54296875" style="941" customWidth="1"/>
    <col min="6916" max="7168" width="8.54296875" style="941"/>
    <col min="7169" max="7169" width="35" style="941" customWidth="1"/>
    <col min="7170" max="7170" width="11.453125" style="941" customWidth="1"/>
    <col min="7171" max="7171" width="10.54296875" style="941" customWidth="1"/>
    <col min="7172" max="7424" width="8.54296875" style="941"/>
    <col min="7425" max="7425" width="35" style="941" customWidth="1"/>
    <col min="7426" max="7426" width="11.453125" style="941" customWidth="1"/>
    <col min="7427" max="7427" width="10.54296875" style="941" customWidth="1"/>
    <col min="7428" max="7680" width="8.54296875" style="941"/>
    <col min="7681" max="7681" width="35" style="941" customWidth="1"/>
    <col min="7682" max="7682" width="11.453125" style="941" customWidth="1"/>
    <col min="7683" max="7683" width="10.54296875" style="941" customWidth="1"/>
    <col min="7684" max="7936" width="8.54296875" style="941"/>
    <col min="7937" max="7937" width="35" style="941" customWidth="1"/>
    <col min="7938" max="7938" width="11.453125" style="941" customWidth="1"/>
    <col min="7939" max="7939" width="10.54296875" style="941" customWidth="1"/>
    <col min="7940" max="8192" width="8.54296875" style="941"/>
    <col min="8193" max="8193" width="35" style="941" customWidth="1"/>
    <col min="8194" max="8194" width="11.453125" style="941" customWidth="1"/>
    <col min="8195" max="8195" width="10.54296875" style="941" customWidth="1"/>
    <col min="8196" max="8448" width="8.54296875" style="941"/>
    <col min="8449" max="8449" width="35" style="941" customWidth="1"/>
    <col min="8450" max="8450" width="11.453125" style="941" customWidth="1"/>
    <col min="8451" max="8451" width="10.54296875" style="941" customWidth="1"/>
    <col min="8452" max="8704" width="8.54296875" style="941"/>
    <col min="8705" max="8705" width="35" style="941" customWidth="1"/>
    <col min="8706" max="8706" width="11.453125" style="941" customWidth="1"/>
    <col min="8707" max="8707" width="10.54296875" style="941" customWidth="1"/>
    <col min="8708" max="8960" width="8.54296875" style="941"/>
    <col min="8961" max="8961" width="35" style="941" customWidth="1"/>
    <col min="8962" max="8962" width="11.453125" style="941" customWidth="1"/>
    <col min="8963" max="8963" width="10.54296875" style="941" customWidth="1"/>
    <col min="8964" max="9216" width="8.54296875" style="941"/>
    <col min="9217" max="9217" width="35" style="941" customWidth="1"/>
    <col min="9218" max="9218" width="11.453125" style="941" customWidth="1"/>
    <col min="9219" max="9219" width="10.54296875" style="941" customWidth="1"/>
    <col min="9220" max="9472" width="8.54296875" style="941"/>
    <col min="9473" max="9473" width="35" style="941" customWidth="1"/>
    <col min="9474" max="9474" width="11.453125" style="941" customWidth="1"/>
    <col min="9475" max="9475" width="10.54296875" style="941" customWidth="1"/>
    <col min="9476" max="9728" width="8.54296875" style="941"/>
    <col min="9729" max="9729" width="35" style="941" customWidth="1"/>
    <col min="9730" max="9730" width="11.453125" style="941" customWidth="1"/>
    <col min="9731" max="9731" width="10.54296875" style="941" customWidth="1"/>
    <col min="9732" max="9984" width="8.54296875" style="941"/>
    <col min="9985" max="9985" width="35" style="941" customWidth="1"/>
    <col min="9986" max="9986" width="11.453125" style="941" customWidth="1"/>
    <col min="9987" max="9987" width="10.54296875" style="941" customWidth="1"/>
    <col min="9988" max="10240" width="8.54296875" style="941"/>
    <col min="10241" max="10241" width="35" style="941" customWidth="1"/>
    <col min="10242" max="10242" width="11.453125" style="941" customWidth="1"/>
    <col min="10243" max="10243" width="10.54296875" style="941" customWidth="1"/>
    <col min="10244" max="10496" width="8.54296875" style="941"/>
    <col min="10497" max="10497" width="35" style="941" customWidth="1"/>
    <col min="10498" max="10498" width="11.453125" style="941" customWidth="1"/>
    <col min="10499" max="10499" width="10.54296875" style="941" customWidth="1"/>
    <col min="10500" max="10752" width="8.54296875" style="941"/>
    <col min="10753" max="10753" width="35" style="941" customWidth="1"/>
    <col min="10754" max="10754" width="11.453125" style="941" customWidth="1"/>
    <col min="10755" max="10755" width="10.54296875" style="941" customWidth="1"/>
    <col min="10756" max="11008" width="8.54296875" style="941"/>
    <col min="11009" max="11009" width="35" style="941" customWidth="1"/>
    <col min="11010" max="11010" width="11.453125" style="941" customWidth="1"/>
    <col min="11011" max="11011" width="10.54296875" style="941" customWidth="1"/>
    <col min="11012" max="11264" width="8.54296875" style="941"/>
    <col min="11265" max="11265" width="35" style="941" customWidth="1"/>
    <col min="11266" max="11266" width="11.453125" style="941" customWidth="1"/>
    <col min="11267" max="11267" width="10.54296875" style="941" customWidth="1"/>
    <col min="11268" max="11520" width="8.54296875" style="941"/>
    <col min="11521" max="11521" width="35" style="941" customWidth="1"/>
    <col min="11522" max="11522" width="11.453125" style="941" customWidth="1"/>
    <col min="11523" max="11523" width="10.54296875" style="941" customWidth="1"/>
    <col min="11524" max="11776" width="8.54296875" style="941"/>
    <col min="11777" max="11777" width="35" style="941" customWidth="1"/>
    <col min="11778" max="11778" width="11.453125" style="941" customWidth="1"/>
    <col min="11779" max="11779" width="10.54296875" style="941" customWidth="1"/>
    <col min="11780" max="12032" width="8.54296875" style="941"/>
    <col min="12033" max="12033" width="35" style="941" customWidth="1"/>
    <col min="12034" max="12034" width="11.453125" style="941" customWidth="1"/>
    <col min="12035" max="12035" width="10.54296875" style="941" customWidth="1"/>
    <col min="12036" max="12288" width="8.54296875" style="941"/>
    <col min="12289" max="12289" width="35" style="941" customWidth="1"/>
    <col min="12290" max="12290" width="11.453125" style="941" customWidth="1"/>
    <col min="12291" max="12291" width="10.54296875" style="941" customWidth="1"/>
    <col min="12292" max="12544" width="8.54296875" style="941"/>
    <col min="12545" max="12545" width="35" style="941" customWidth="1"/>
    <col min="12546" max="12546" width="11.453125" style="941" customWidth="1"/>
    <col min="12547" max="12547" width="10.54296875" style="941" customWidth="1"/>
    <col min="12548" max="12800" width="8.54296875" style="941"/>
    <col min="12801" max="12801" width="35" style="941" customWidth="1"/>
    <col min="12802" max="12802" width="11.453125" style="941" customWidth="1"/>
    <col min="12803" max="12803" width="10.54296875" style="941" customWidth="1"/>
    <col min="12804" max="13056" width="8.54296875" style="941"/>
    <col min="13057" max="13057" width="35" style="941" customWidth="1"/>
    <col min="13058" max="13058" width="11.453125" style="941" customWidth="1"/>
    <col min="13059" max="13059" width="10.54296875" style="941" customWidth="1"/>
    <col min="13060" max="13312" width="8.54296875" style="941"/>
    <col min="13313" max="13313" width="35" style="941" customWidth="1"/>
    <col min="13314" max="13314" width="11.453125" style="941" customWidth="1"/>
    <col min="13315" max="13315" width="10.54296875" style="941" customWidth="1"/>
    <col min="13316" max="13568" width="8.54296875" style="941"/>
    <col min="13569" max="13569" width="35" style="941" customWidth="1"/>
    <col min="13570" max="13570" width="11.453125" style="941" customWidth="1"/>
    <col min="13571" max="13571" width="10.54296875" style="941" customWidth="1"/>
    <col min="13572" max="13824" width="8.54296875" style="941"/>
    <col min="13825" max="13825" width="35" style="941" customWidth="1"/>
    <col min="13826" max="13826" width="11.453125" style="941" customWidth="1"/>
    <col min="13827" max="13827" width="10.54296875" style="941" customWidth="1"/>
    <col min="13828" max="14080" width="8.54296875" style="941"/>
    <col min="14081" max="14081" width="35" style="941" customWidth="1"/>
    <col min="14082" max="14082" width="11.453125" style="941" customWidth="1"/>
    <col min="14083" max="14083" width="10.54296875" style="941" customWidth="1"/>
    <col min="14084" max="14336" width="8.54296875" style="941"/>
    <col min="14337" max="14337" width="35" style="941" customWidth="1"/>
    <col min="14338" max="14338" width="11.453125" style="941" customWidth="1"/>
    <col min="14339" max="14339" width="10.54296875" style="941" customWidth="1"/>
    <col min="14340" max="14592" width="8.54296875" style="941"/>
    <col min="14593" max="14593" width="35" style="941" customWidth="1"/>
    <col min="14594" max="14594" width="11.453125" style="941" customWidth="1"/>
    <col min="14595" max="14595" width="10.54296875" style="941" customWidth="1"/>
    <col min="14596" max="14848" width="8.54296875" style="941"/>
    <col min="14849" max="14849" width="35" style="941" customWidth="1"/>
    <col min="14850" max="14850" width="11.453125" style="941" customWidth="1"/>
    <col min="14851" max="14851" width="10.54296875" style="941" customWidth="1"/>
    <col min="14852" max="15104" width="8.54296875" style="941"/>
    <col min="15105" max="15105" width="35" style="941" customWidth="1"/>
    <col min="15106" max="15106" width="11.453125" style="941" customWidth="1"/>
    <col min="15107" max="15107" width="10.54296875" style="941" customWidth="1"/>
    <col min="15108" max="15360" width="8.54296875" style="941"/>
    <col min="15361" max="15361" width="35" style="941" customWidth="1"/>
    <col min="15362" max="15362" width="11.453125" style="941" customWidth="1"/>
    <col min="15363" max="15363" width="10.54296875" style="941" customWidth="1"/>
    <col min="15364" max="15616" width="8.54296875" style="941"/>
    <col min="15617" max="15617" width="35" style="941" customWidth="1"/>
    <col min="15618" max="15618" width="11.453125" style="941" customWidth="1"/>
    <col min="15619" max="15619" width="10.54296875" style="941" customWidth="1"/>
    <col min="15620" max="15872" width="8.54296875" style="941"/>
    <col min="15873" max="15873" width="35" style="941" customWidth="1"/>
    <col min="15874" max="15874" width="11.453125" style="941" customWidth="1"/>
    <col min="15875" max="15875" width="10.54296875" style="941" customWidth="1"/>
    <col min="15876" max="16128" width="8.54296875" style="941"/>
    <col min="16129" max="16129" width="35" style="941" customWidth="1"/>
    <col min="16130" max="16130" width="11.453125" style="941" customWidth="1"/>
    <col min="16131" max="16131" width="10.54296875" style="941" customWidth="1"/>
    <col min="16132" max="16384" width="8.54296875" style="941"/>
  </cols>
  <sheetData>
    <row r="1" spans="1:7" ht="13.5" thickBot="1"/>
    <row r="2" spans="1:7" ht="16.25" hidden="1" customHeight="1">
      <c r="A2" s="5249" t="s">
        <v>1077</v>
      </c>
      <c r="B2" s="5249"/>
      <c r="C2" s="5249"/>
      <c r="D2" s="5249"/>
      <c r="E2" s="5249"/>
      <c r="F2" s="5249"/>
      <c r="G2" s="5249"/>
    </row>
    <row r="3" spans="1:7" ht="13.5" hidden="1" thickBot="1">
      <c r="A3" s="5250"/>
      <c r="B3" s="5250"/>
      <c r="C3" s="5250"/>
      <c r="D3" s="5250"/>
      <c r="E3" s="5250"/>
      <c r="F3" s="5250"/>
      <c r="G3" s="5250"/>
    </row>
    <row r="4" spans="1:7" ht="16" hidden="1" thickBot="1">
      <c r="A4" s="942"/>
      <c r="B4" s="942"/>
      <c r="C4" s="942"/>
      <c r="D4" s="942"/>
      <c r="E4" s="942"/>
      <c r="F4" s="942"/>
      <c r="G4" s="942"/>
    </row>
    <row r="5" spans="1:7" ht="16.25" hidden="1" customHeight="1">
      <c r="A5" s="5251" t="s">
        <v>1078</v>
      </c>
      <c r="B5" s="5252"/>
      <c r="C5" s="5252"/>
      <c r="D5" s="5252"/>
      <c r="E5" s="5252"/>
      <c r="F5" s="5252"/>
      <c r="G5" s="5253"/>
    </row>
    <row r="6" spans="1:7" ht="10.5" hidden="1" customHeight="1">
      <c r="A6" s="5254"/>
      <c r="B6" s="5255"/>
      <c r="C6" s="5255"/>
      <c r="D6" s="5255"/>
      <c r="E6" s="5255"/>
      <c r="F6" s="5255"/>
      <c r="G6" s="5256"/>
    </row>
    <row r="7" spans="1:7" ht="91.25" hidden="1" customHeight="1">
      <c r="A7" s="5254" t="s">
        <v>1079</v>
      </c>
      <c r="B7" s="5255"/>
      <c r="C7" s="5255"/>
      <c r="D7" s="5255"/>
      <c r="E7" s="5255"/>
      <c r="F7" s="5255"/>
      <c r="G7" s="5256"/>
    </row>
    <row r="8" spans="1:7" ht="13.5" hidden="1" thickBot="1">
      <c r="A8" s="5254" t="s">
        <v>927</v>
      </c>
      <c r="B8" s="5255"/>
      <c r="C8" s="5255"/>
      <c r="D8" s="5255"/>
      <c r="E8" s="5255"/>
      <c r="F8" s="5255"/>
      <c r="G8" s="5256"/>
    </row>
    <row r="9" spans="1:7" ht="13.5" hidden="1" thickBot="1">
      <c r="A9" s="5254" t="s">
        <v>1080</v>
      </c>
      <c r="B9" s="5255"/>
      <c r="C9" s="5255"/>
      <c r="D9" s="5255"/>
      <c r="E9" s="5255"/>
      <c r="F9" s="5255"/>
      <c r="G9" s="5256"/>
    </row>
    <row r="10" spans="1:7" ht="13.5" hidden="1" customHeight="1">
      <c r="A10" s="5254" t="s">
        <v>1081</v>
      </c>
      <c r="B10" s="5255"/>
      <c r="C10" s="5255"/>
      <c r="D10" s="5255"/>
      <c r="E10" s="5255"/>
      <c r="F10" s="5255"/>
      <c r="G10" s="5256"/>
    </row>
    <row r="11" spans="1:7" ht="13.5" hidden="1" customHeight="1" thickBot="1">
      <c r="A11" s="5257" t="s">
        <v>1082</v>
      </c>
      <c r="B11" s="5258"/>
      <c r="C11" s="5258"/>
      <c r="D11" s="5258"/>
      <c r="E11" s="5258"/>
      <c r="F11" s="5258"/>
      <c r="G11" s="5259"/>
    </row>
    <row r="12" spans="1:7" ht="13.5" hidden="1" thickBot="1">
      <c r="A12" s="943"/>
      <c r="B12" s="943"/>
      <c r="C12" s="943"/>
      <c r="D12" s="943"/>
      <c r="E12" s="943"/>
      <c r="F12" s="943"/>
      <c r="G12" s="943"/>
    </row>
    <row r="13" spans="1:7" ht="13.5" hidden="1" thickBot="1">
      <c r="A13" s="943"/>
      <c r="B13" s="943"/>
      <c r="C13" s="943"/>
      <c r="D13" s="943"/>
      <c r="E13" s="943"/>
      <c r="F13" s="943"/>
      <c r="G13" s="943"/>
    </row>
    <row r="14" spans="1:7" ht="13.5" hidden="1" thickBot="1">
      <c r="A14" s="943"/>
      <c r="B14" s="943"/>
      <c r="C14" s="943"/>
      <c r="D14" s="943"/>
      <c r="E14" s="943"/>
      <c r="F14" s="943"/>
      <c r="G14" s="943"/>
    </row>
    <row r="15" spans="1:7" ht="13.5" thickBot="1">
      <c r="A15" s="5260"/>
      <c r="B15" s="5261"/>
    </row>
    <row r="16" spans="1:7">
      <c r="A16" s="944" t="s">
        <v>934</v>
      </c>
      <c r="B16" s="945" t="s">
        <v>1083</v>
      </c>
    </row>
    <row r="17" spans="1:25">
      <c r="A17" s="946" t="s">
        <v>1084</v>
      </c>
      <c r="B17" s="947" t="s">
        <v>1085</v>
      </c>
    </row>
    <row r="18" spans="1:25">
      <c r="A18" s="948" t="s">
        <v>935</v>
      </c>
      <c r="B18" s="949" t="str">
        <f>' Tank SSM IFR Landing'!B21</f>
        <v>28-31</v>
      </c>
    </row>
    <row r="19" spans="1:25">
      <c r="A19" s="948" t="s">
        <v>914</v>
      </c>
      <c r="B19" s="950" t="s">
        <v>1086</v>
      </c>
      <c r="C19" s="951"/>
    </row>
    <row r="20" spans="1:25">
      <c r="A20" s="948" t="s">
        <v>936</v>
      </c>
      <c r="B20" s="949" t="s">
        <v>1347</v>
      </c>
    </row>
    <row r="21" spans="1:25">
      <c r="A21" s="948" t="s">
        <v>937</v>
      </c>
      <c r="B21" s="949" t="s">
        <v>1087</v>
      </c>
    </row>
    <row r="22" spans="1:25">
      <c r="A22" s="948" t="s">
        <v>1088</v>
      </c>
      <c r="B22" s="949" t="s">
        <v>846</v>
      </c>
    </row>
    <row r="23" spans="1:25">
      <c r="A23" s="948" t="s">
        <v>944</v>
      </c>
      <c r="B23" s="949">
        <v>100000</v>
      </c>
    </row>
    <row r="24" spans="1:25">
      <c r="A24" s="952" t="s">
        <v>947</v>
      </c>
      <c r="B24" s="953">
        <f>' UserValueSets Report'!C20</f>
        <v>130.5</v>
      </c>
      <c r="P24" s="941" t="e">
        <f>'Tank SSM IFR Clean'!B83_</f>
        <v>#NAME?</v>
      </c>
    </row>
    <row r="25" spans="1:25" ht="15">
      <c r="A25" s="952" t="s">
        <v>1089</v>
      </c>
      <c r="B25" s="953">
        <f>' Tank SSM IFR Landing'!B30</f>
        <v>83.460429113907793</v>
      </c>
      <c r="K25" s="954"/>
      <c r="L25" s="954"/>
      <c r="M25" s="954"/>
      <c r="N25" s="955"/>
      <c r="O25" s="954"/>
      <c r="P25" s="954"/>
      <c r="Q25" s="954"/>
    </row>
    <row r="26" spans="1:25" ht="14.5">
      <c r="A26" s="952" t="s">
        <v>1090</v>
      </c>
      <c r="B26" s="949">
        <v>1</v>
      </c>
      <c r="K26" s="954"/>
      <c r="L26" s="954"/>
      <c r="M26" s="954"/>
      <c r="N26" s="954"/>
      <c r="O26" s="954"/>
      <c r="P26" s="954"/>
      <c r="Q26" s="954"/>
    </row>
    <row r="27" spans="1:25">
      <c r="A27" s="952" t="s">
        <v>1091</v>
      </c>
      <c r="B27" s="953">
        <f>' UserValueSets Report'!C16</f>
        <v>50</v>
      </c>
      <c r="K27" s="956"/>
      <c r="L27" s="956"/>
      <c r="M27" s="957"/>
      <c r="N27" s="956"/>
      <c r="O27" s="958"/>
      <c r="P27" s="956"/>
      <c r="Q27" s="959"/>
    </row>
    <row r="28" spans="1:25" ht="15" customHeight="1" thickBot="1">
      <c r="A28" s="960" t="s">
        <v>1092</v>
      </c>
      <c r="B28" s="961">
        <v>1</v>
      </c>
      <c r="K28" s="962"/>
      <c r="L28" s="962"/>
      <c r="M28" s="957"/>
      <c r="N28" s="956"/>
      <c r="O28" s="958"/>
      <c r="P28" s="956"/>
      <c r="Q28" s="959"/>
      <c r="S28" s="954"/>
      <c r="T28" s="954"/>
      <c r="U28" s="954" t="s">
        <v>898</v>
      </c>
      <c r="V28" s="955" t="s">
        <v>1093</v>
      </c>
      <c r="W28" s="954" t="s">
        <v>1094</v>
      </c>
      <c r="X28" s="954" t="s">
        <v>1095</v>
      </c>
      <c r="Y28" s="954" t="s">
        <v>1094</v>
      </c>
    </row>
    <row r="29" spans="1:25" ht="15" thickBot="1">
      <c r="S29" s="954"/>
      <c r="T29" s="954"/>
      <c r="U29" s="954" t="s">
        <v>1096</v>
      </c>
      <c r="V29" s="954" t="s">
        <v>175</v>
      </c>
      <c r="W29" s="954" t="s">
        <v>1096</v>
      </c>
      <c r="X29" s="954" t="s">
        <v>175</v>
      </c>
      <c r="Y29" s="954" t="s">
        <v>1096</v>
      </c>
    </row>
    <row r="30" spans="1:25" ht="15.5">
      <c r="A30" s="963" t="s">
        <v>1097</v>
      </c>
      <c r="B30" s="964">
        <f>(B27)*(PI()*(B24^2)/4)</f>
        <v>668776.35360996961</v>
      </c>
      <c r="S30" s="956"/>
      <c r="T30" s="956" t="s">
        <v>95</v>
      </c>
      <c r="U30" s="957">
        <v>11.7515</v>
      </c>
      <c r="V30" s="956">
        <v>95</v>
      </c>
      <c r="W30" s="958">
        <f>EXP((2799/(V30+459.6)-2.227)*LOG10($U30)-7261/(V30+459.6)+12.82)</f>
        <v>15.567985585468378</v>
      </c>
      <c r="X30" s="965">
        <f>C38</f>
        <v>63</v>
      </c>
      <c r="Y30" s="959">
        <f>EXP((2799/(X30+459.6)-2.227)*LOG10($U30)-7261/(X30+459.6)+12.82)</f>
        <v>9.720499426102883</v>
      </c>
    </row>
    <row r="31" spans="1:25" ht="15.5" thickBot="1">
      <c r="A31" s="960" t="s">
        <v>1098</v>
      </c>
      <c r="B31" s="966">
        <f>B27</f>
        <v>50</v>
      </c>
      <c r="S31" s="962"/>
      <c r="T31" s="962" t="s">
        <v>298</v>
      </c>
      <c r="U31" s="957">
        <v>1</v>
      </c>
      <c r="V31" s="956">
        <v>95</v>
      </c>
      <c r="W31" s="958">
        <f>EXP((2799/(V31+459.6)-2.227)*LOG10($U31)-7261/(V31+459.6)+12.82)</f>
        <v>0.76161142956096572</v>
      </c>
      <c r="X31" s="956">
        <v>71.7</v>
      </c>
      <c r="Y31" s="959">
        <f>EXP((2799/(X31+459.6)-2.227)*LOG10($U31)-7261/(X31+459.6)+12.82)</f>
        <v>0.42892274876109282</v>
      </c>
    </row>
    <row r="32" spans="1:25" ht="13.5" thickBot="1"/>
    <row r="33" spans="1:4" ht="13.25" customHeight="1">
      <c r="B33" s="5262" t="s">
        <v>1000</v>
      </c>
      <c r="C33" s="5264" t="s">
        <v>1001</v>
      </c>
    </row>
    <row r="34" spans="1:4">
      <c r="B34" s="5263"/>
      <c r="C34" s="5239"/>
    </row>
    <row r="35" spans="1:4" ht="13.5" thickBot="1">
      <c r="B35" s="5263"/>
      <c r="C35" s="5239"/>
    </row>
    <row r="36" spans="1:4">
      <c r="A36" s="967" t="s">
        <v>1099</v>
      </c>
      <c r="B36" s="968">
        <v>16</v>
      </c>
      <c r="C36" s="969">
        <f>B36</f>
        <v>16</v>
      </c>
    </row>
    <row r="37" spans="1:4">
      <c r="A37" s="970" t="s">
        <v>1100</v>
      </c>
      <c r="B37" s="971">
        <f>' UserValueSets Report'!C108</f>
        <v>7.6853545915411798</v>
      </c>
      <c r="C37" s="972">
        <f>' UserValueSets Report'!C104</f>
        <v>6.7975784768895098</v>
      </c>
      <c r="D37" s="973" t="str">
        <f>IF(OR(B37&lt;=C37,B37&lt;=0,C37&lt;=0),"ERROR","Max &gt; Avg")</f>
        <v>Max &gt; Avg</v>
      </c>
    </row>
    <row r="38" spans="1:4">
      <c r="A38" s="970" t="s">
        <v>1101</v>
      </c>
      <c r="B38" s="971">
        <v>95.4</v>
      </c>
      <c r="C38" s="972">
        <v>63</v>
      </c>
      <c r="D38" s="973" t="str">
        <f>IF(OR(B38&lt;=C38,B38&lt;=0,C38&lt;=0),"ERROR","Max &gt; Avg")</f>
        <v>Max &gt; Avg</v>
      </c>
    </row>
    <row r="39" spans="1:4">
      <c r="A39" s="970" t="s">
        <v>1102</v>
      </c>
      <c r="B39" s="971">
        <v>55.73</v>
      </c>
      <c r="C39" s="972">
        <v>49.1</v>
      </c>
    </row>
    <row r="40" spans="1:4">
      <c r="A40" s="970" t="s">
        <v>1103</v>
      </c>
      <c r="B40" s="974">
        <f>((B38-B39)/(B38+460))*100</f>
        <v>7.1425999279798367</v>
      </c>
      <c r="C40" s="975">
        <f>((C38-C39)/(C38+460))*100</f>
        <v>2.6577437858508599</v>
      </c>
    </row>
    <row r="41" spans="1:4">
      <c r="A41" s="970" t="s">
        <v>1104</v>
      </c>
      <c r="B41" s="974">
        <f>(((B37*B30)/(10.731*(B38+460)))*B25)</f>
        <v>71974.616931871831</v>
      </c>
      <c r="C41" s="975">
        <f>(((C37*B30)/(10.731*(C38+460)))*B25)</f>
        <v>67604.22971326625</v>
      </c>
    </row>
    <row r="42" spans="1:4">
      <c r="A42" s="976" t="s">
        <v>1105</v>
      </c>
      <c r="B42" s="977">
        <f>IF(B36="",0,((B41*B40/100)/B36))</f>
        <v>321.30368357122757</v>
      </c>
      <c r="C42" s="978"/>
    </row>
    <row r="43" spans="1:4">
      <c r="A43" s="970" t="s">
        <v>1106</v>
      </c>
      <c r="B43" s="952"/>
      <c r="C43" s="979">
        <f>IF(C36="",0,((C41*C40/100)/C36))</f>
        <v>112.29670088604215</v>
      </c>
    </row>
    <row r="44" spans="1:4" ht="13.5" thickBot="1">
      <c r="A44" s="980" t="s">
        <v>1107</v>
      </c>
      <c r="B44" s="960"/>
      <c r="C44" s="981">
        <f>(C43*(C36*B26))/2000</f>
        <v>0.89837360708833713</v>
      </c>
    </row>
    <row r="46" spans="1:4" ht="13.5" thickBot="1"/>
    <row r="47" spans="1:4">
      <c r="A47" s="963" t="s">
        <v>905</v>
      </c>
      <c r="B47" s="982" t="e">
        <f>' Tank SSM IFR Landing'!B84</f>
        <v>#REF!</v>
      </c>
    </row>
    <row r="48" spans="1:4" ht="15">
      <c r="A48" s="952" t="s">
        <v>1108</v>
      </c>
      <c r="B48" s="983">
        <f>' Tank SSM IFR Landing'!B85</f>
        <v>0</v>
      </c>
    </row>
    <row r="49" spans="1:6" ht="13.5" thickBot="1">
      <c r="A49" s="960" t="s">
        <v>906</v>
      </c>
      <c r="B49" s="984" t="e">
        <f>' Tank SSM IFR Landing'!B86</f>
        <v>#REF!</v>
      </c>
    </row>
    <row r="50" spans="1:6" ht="13.5" thickBot="1"/>
    <row r="51" spans="1:6" ht="13.5" thickBot="1">
      <c r="A51" s="5265" t="s">
        <v>1109</v>
      </c>
      <c r="B51" s="5266"/>
    </row>
    <row r="52" spans="1:6" ht="39">
      <c r="A52" s="985" t="s">
        <v>1110</v>
      </c>
      <c r="B52" s="986" t="s">
        <v>992</v>
      </c>
    </row>
    <row r="53" spans="1:6">
      <c r="A53" s="952" t="s">
        <v>993</v>
      </c>
      <c r="B53" s="987"/>
    </row>
    <row r="54" spans="1:6" ht="15.5" thickBot="1">
      <c r="A54" s="960" t="s">
        <v>1111</v>
      </c>
      <c r="B54" s="988"/>
    </row>
    <row r="55" spans="1:6" ht="13.5" thickBot="1"/>
    <row r="56" spans="1:6">
      <c r="A56" s="989" t="s">
        <v>1112</v>
      </c>
    </row>
    <row r="57" spans="1:6" ht="13.5" thickBot="1">
      <c r="A57" s="990" t="s">
        <v>668</v>
      </c>
    </row>
    <row r="58" spans="1:6" ht="13.5" thickBot="1">
      <c r="A58" s="991"/>
    </row>
    <row r="59" spans="1:6" ht="13.5" thickBot="1">
      <c r="A59" s="992" t="s">
        <v>1113</v>
      </c>
    </row>
    <row r="60" spans="1:6" ht="13.5" thickBot="1">
      <c r="A60" s="993" t="s">
        <v>997</v>
      </c>
    </row>
    <row r="61" spans="1:6" ht="13.5" thickBot="1"/>
    <row r="62" spans="1:6">
      <c r="A62" s="5246" t="s">
        <v>998</v>
      </c>
      <c r="B62" s="5247"/>
      <c r="C62" s="5248"/>
    </row>
    <row r="63" spans="1:6" ht="16.25" customHeight="1">
      <c r="A63" s="5233" t="s">
        <v>999</v>
      </c>
      <c r="B63" s="5236" t="s">
        <v>1000</v>
      </c>
      <c r="C63" s="5239" t="s">
        <v>1001</v>
      </c>
      <c r="E63" s="994"/>
      <c r="F63" s="994"/>
    </row>
    <row r="64" spans="1:6" ht="15.5">
      <c r="A64" s="5234"/>
      <c r="B64" s="5237"/>
      <c r="C64" s="5239"/>
      <c r="E64" s="994"/>
      <c r="F64" s="994"/>
    </row>
    <row r="65" spans="1:6" ht="15.5">
      <c r="A65" s="5235"/>
      <c r="B65" s="5238"/>
      <c r="C65" s="5239"/>
      <c r="E65" s="994"/>
      <c r="F65" s="994"/>
    </row>
    <row r="66" spans="1:6" ht="15.5">
      <c r="A66" s="952" t="s">
        <v>1114</v>
      </c>
      <c r="B66" s="995">
        <f>B42</f>
        <v>321.30368357122757</v>
      </c>
      <c r="C66" s="996">
        <f>C44</f>
        <v>0.89837360708833713</v>
      </c>
      <c r="E66" s="994"/>
      <c r="F66" s="994"/>
    </row>
    <row r="67" spans="1:6" ht="15.5">
      <c r="A67" s="997"/>
      <c r="B67" s="998"/>
      <c r="C67" s="999"/>
      <c r="E67" s="994"/>
      <c r="F67" s="994"/>
    </row>
    <row r="68" spans="1:6" ht="15.5">
      <c r="A68" s="5240" t="s">
        <v>1006</v>
      </c>
      <c r="B68" s="5241"/>
      <c r="C68" s="5242"/>
      <c r="E68" s="994"/>
      <c r="F68" s="994"/>
    </row>
    <row r="69" spans="1:6" ht="15.5">
      <c r="A69" s="5240"/>
      <c r="B69" s="5241"/>
      <c r="C69" s="5242"/>
      <c r="E69" s="994"/>
      <c r="F69" s="994"/>
    </row>
    <row r="70" spans="1:6" ht="15.5">
      <c r="A70" s="5243" t="s">
        <v>1115</v>
      </c>
      <c r="B70" s="5236" t="s">
        <v>1000</v>
      </c>
      <c r="C70" s="5239" t="s">
        <v>1001</v>
      </c>
      <c r="E70" s="994"/>
      <c r="F70" s="994"/>
    </row>
    <row r="71" spans="1:6" ht="15.5">
      <c r="A71" s="5244"/>
      <c r="B71" s="5237"/>
      <c r="C71" s="5239"/>
      <c r="E71" s="994"/>
      <c r="F71" s="994"/>
    </row>
    <row r="72" spans="1:6" ht="15.5">
      <c r="A72" s="5245"/>
      <c r="B72" s="5238"/>
      <c r="C72" s="5239"/>
      <c r="E72" s="994"/>
      <c r="F72" s="994"/>
    </row>
    <row r="73" spans="1:6" ht="15.5">
      <c r="A73" s="952" t="s">
        <v>55</v>
      </c>
      <c r="B73" s="995" t="e">
        <f>IF(B47="",(B66*(B53/100)),((B66*B47/100)*(B53/100)))</f>
        <v>#REF!</v>
      </c>
      <c r="C73" s="996" t="e">
        <f>IF(B47="",(C66*(B53/100)),((C66*B47/100)*(B53/100)))</f>
        <v>#REF!</v>
      </c>
      <c r="E73" s="994"/>
      <c r="F73" s="994"/>
    </row>
    <row r="74" spans="1:6" ht="16">
      <c r="A74" s="952" t="s">
        <v>1116</v>
      </c>
      <c r="B74" s="995">
        <f>IF(B48="",(B66*(0.001/100)*B54/100),((B66*B48/100)*B54/100))</f>
        <v>0</v>
      </c>
      <c r="C74" s="996">
        <f>IF(B48="",(C66*(0.001/100)*B54/100),((C66*B48/100)*B54/100))</f>
        <v>0</v>
      </c>
      <c r="E74" s="994"/>
      <c r="F74" s="994"/>
    </row>
    <row r="75" spans="1:6" ht="15.5">
      <c r="A75" s="952" t="s">
        <v>1009</v>
      </c>
      <c r="B75" s="995" t="e">
        <f>IF(B49="",(B66*0.03*B53/100),((B66*B49/100)*B53/100))</f>
        <v>#REF!</v>
      </c>
      <c r="C75" s="996" t="e">
        <f>IF(B49="",(C66*0.03*B53/100),((C66*B49/100)*B53/100))</f>
        <v>#REF!</v>
      </c>
      <c r="E75" s="994"/>
      <c r="F75" s="994"/>
    </row>
    <row r="76" spans="1:6" ht="15.5">
      <c r="A76" s="997"/>
      <c r="B76" s="998"/>
      <c r="C76" s="999"/>
      <c r="E76" s="994"/>
      <c r="F76" s="994"/>
    </row>
    <row r="77" spans="1:6">
      <c r="A77" s="5202" t="s">
        <v>1010</v>
      </c>
      <c r="B77" s="5203"/>
      <c r="C77" s="5204"/>
    </row>
    <row r="78" spans="1:6">
      <c r="A78" s="5205"/>
      <c r="B78" s="5206"/>
      <c r="C78" s="5207"/>
    </row>
    <row r="79" spans="1:6" ht="13.25" customHeight="1">
      <c r="A79" s="5202" t="s">
        <v>1115</v>
      </c>
      <c r="B79" s="5209" t="s">
        <v>1000</v>
      </c>
      <c r="C79" s="5212" t="s">
        <v>1001</v>
      </c>
    </row>
    <row r="80" spans="1:6">
      <c r="A80" s="5208"/>
      <c r="B80" s="5210"/>
      <c r="C80" s="5212"/>
    </row>
    <row r="81" spans="1:12" ht="20.75" customHeight="1">
      <c r="A81" s="5205"/>
      <c r="B81" s="5211"/>
      <c r="C81" s="5212"/>
    </row>
    <row r="82" spans="1:12">
      <c r="A82" s="1000" t="s">
        <v>55</v>
      </c>
      <c r="B82" s="1001" t="e">
        <f>IF(B47="",(B66*((100-B53)/100)),((B66*B47/100)*((100-B53)/100)))</f>
        <v>#REF!</v>
      </c>
      <c r="C82" s="1002" t="e">
        <f>IF(B47="",(C66*((100-B53)/100)),((C66*B47/100)*((100-B53)/100)))</f>
        <v>#REF!</v>
      </c>
    </row>
    <row r="83" spans="1:12" ht="15">
      <c r="A83" s="1000" t="s">
        <v>1117</v>
      </c>
      <c r="B83" s="1001">
        <f>IF(B48="",(B66*(0.001/100)*((100-B54)/100)),((B66*B48/100)*((100-B54)/100)))</f>
        <v>0</v>
      </c>
      <c r="C83" s="1002">
        <f>IF(B48="",(C66*(0.001/100)*((100-B54)/100)),((C66*B48/100)*((100-B54)/100)))</f>
        <v>0</v>
      </c>
    </row>
    <row r="84" spans="1:12" ht="13.5" thickBot="1">
      <c r="A84" s="1003" t="s">
        <v>693</v>
      </c>
      <c r="B84" s="1004" t="e">
        <f>IF(B49="",(B66*0.03*((100-B53)/100)),((B66*B49/100)*((100-B53)/100)))</f>
        <v>#REF!</v>
      </c>
      <c r="C84" s="1005" t="e">
        <f>IF(B49="",(C66*0.03*((100-B53)/100)),((C66*B49/100)*((100-B53)/100)))</f>
        <v>#REF!</v>
      </c>
    </row>
    <row r="87" spans="1:12" ht="13.4" customHeight="1">
      <c r="A87" s="5213" t="s">
        <v>521</v>
      </c>
      <c r="B87" s="5214"/>
      <c r="C87" s="5214"/>
      <c r="D87" s="5215"/>
      <c r="E87" s="1006"/>
      <c r="F87" s="1007"/>
    </row>
    <row r="88" spans="1:12">
      <c r="A88" s="5216"/>
      <c r="B88" s="5217"/>
      <c r="C88" s="5217"/>
      <c r="D88" s="5218"/>
      <c r="E88" s="1008"/>
      <c r="F88" s="1009"/>
    </row>
    <row r="89" spans="1:12">
      <c r="A89" s="5216"/>
      <c r="B89" s="5217"/>
      <c r="C89" s="5217"/>
      <c r="D89" s="5218"/>
      <c r="E89" s="1008"/>
      <c r="F89" s="1009"/>
    </row>
    <row r="90" spans="1:12">
      <c r="A90" s="5216"/>
      <c r="B90" s="5217"/>
      <c r="C90" s="5217"/>
      <c r="D90" s="5218"/>
      <c r="E90" s="1008"/>
      <c r="F90" s="1009"/>
    </row>
    <row r="91" spans="1:12">
      <c r="A91" s="5216"/>
      <c r="B91" s="5217"/>
      <c r="C91" s="5217"/>
      <c r="D91" s="5218"/>
      <c r="E91" s="1008"/>
      <c r="F91" s="1009"/>
    </row>
    <row r="92" spans="1:12">
      <c r="A92" s="5219"/>
      <c r="B92" s="5220"/>
      <c r="C92" s="5220"/>
      <c r="D92" s="5221"/>
      <c r="E92" s="1010"/>
      <c r="F92" s="1011"/>
    </row>
    <row r="94" spans="1:12">
      <c r="A94" s="1012"/>
      <c r="B94" s="1012"/>
      <c r="C94" s="1012"/>
      <c r="D94" s="1012"/>
      <c r="E94" s="1012"/>
      <c r="F94" s="1012"/>
      <c r="G94" s="1012"/>
      <c r="H94" s="1012"/>
      <c r="I94" s="1012"/>
      <c r="J94" s="1012"/>
      <c r="K94" s="1012"/>
      <c r="L94" s="1012"/>
    </row>
    <row r="95" spans="1:12" ht="13.5" thickBot="1">
      <c r="A95" s="1012"/>
      <c r="B95" s="1012"/>
      <c r="C95" s="1012"/>
      <c r="D95" s="1012"/>
      <c r="E95" s="1012"/>
      <c r="F95" s="1012"/>
      <c r="G95" s="1012"/>
      <c r="H95" s="1012"/>
      <c r="I95" s="1012"/>
      <c r="J95" s="1012"/>
      <c r="K95" s="1012"/>
      <c r="L95" s="1012"/>
    </row>
    <row r="96" spans="1:12" ht="13.5" customHeight="1" thickTop="1">
      <c r="A96" s="1013" t="s">
        <v>1019</v>
      </c>
      <c r="B96" s="5222" t="s">
        <v>1118</v>
      </c>
      <c r="C96" s="5225" t="s">
        <v>1119</v>
      </c>
      <c r="D96" s="5226"/>
      <c r="E96" s="5226"/>
      <c r="F96" s="5226"/>
      <c r="G96" s="5226"/>
      <c r="H96" s="5226"/>
      <c r="I96" s="5227"/>
      <c r="J96" s="1012"/>
      <c r="K96" s="1012"/>
      <c r="L96" s="1012"/>
    </row>
    <row r="97" spans="1:12" ht="25.5" customHeight="1">
      <c r="A97" s="5231" t="s">
        <v>1022</v>
      </c>
      <c r="B97" s="5223"/>
      <c r="C97" s="5228"/>
      <c r="D97" s="5229"/>
      <c r="E97" s="5229"/>
      <c r="F97" s="5229"/>
      <c r="G97" s="5229"/>
      <c r="H97" s="5229"/>
      <c r="I97" s="5230"/>
      <c r="J97" s="1012"/>
      <c r="K97" s="1012"/>
      <c r="L97" s="1012"/>
    </row>
    <row r="98" spans="1:12">
      <c r="A98" s="5232"/>
      <c r="B98" s="5224"/>
      <c r="C98" s="1014" t="s">
        <v>1023</v>
      </c>
      <c r="D98" s="1014" t="s">
        <v>1024</v>
      </c>
      <c r="E98" s="1014" t="s">
        <v>1025</v>
      </c>
      <c r="F98" s="1014" t="s">
        <v>1026</v>
      </c>
      <c r="G98" s="1014" t="s">
        <v>1027</v>
      </c>
      <c r="H98" s="1014" t="s">
        <v>1028</v>
      </c>
      <c r="I98" s="1015" t="s">
        <v>1029</v>
      </c>
      <c r="J98" s="1012"/>
      <c r="K98" s="1012"/>
      <c r="L98" s="1012"/>
    </row>
    <row r="99" spans="1:12">
      <c r="A99" s="1016" t="s">
        <v>1030</v>
      </c>
      <c r="B99" s="1017">
        <v>50</v>
      </c>
      <c r="C99" s="1014">
        <v>1.8</v>
      </c>
      <c r="D99" s="1014">
        <v>2.2999999999999998</v>
      </c>
      <c r="E99" s="1014">
        <v>2.8</v>
      </c>
      <c r="F99" s="1014">
        <v>3.4</v>
      </c>
      <c r="G99" s="1014">
        <v>4</v>
      </c>
      <c r="H99" s="1014">
        <v>4.8</v>
      </c>
      <c r="I99" s="1015">
        <v>5.7</v>
      </c>
      <c r="J99" s="1012"/>
      <c r="K99" s="1012"/>
      <c r="L99" s="1012"/>
    </row>
    <row r="100" spans="1:12">
      <c r="A100" s="1016" t="s">
        <v>1031</v>
      </c>
      <c r="B100" s="1017">
        <v>68</v>
      </c>
      <c r="C100" s="1014">
        <v>2.2999999999999998</v>
      </c>
      <c r="D100" s="1014">
        <v>2.9</v>
      </c>
      <c r="E100" s="1014">
        <v>3.5</v>
      </c>
      <c r="F100" s="1014">
        <v>4.3</v>
      </c>
      <c r="G100" s="1014">
        <v>5.2</v>
      </c>
      <c r="H100" s="1014">
        <v>6.2</v>
      </c>
      <c r="I100" s="1015">
        <v>7.4</v>
      </c>
      <c r="J100" s="1012"/>
      <c r="K100" s="1012"/>
      <c r="L100" s="1012"/>
    </row>
    <row r="101" spans="1:12">
      <c r="A101" s="1016" t="s">
        <v>1032</v>
      </c>
      <c r="B101" s="1017">
        <v>68</v>
      </c>
      <c r="C101" s="1014">
        <v>2.5929000000000002</v>
      </c>
      <c r="D101" s="1014">
        <v>3.2079</v>
      </c>
      <c r="E101" s="1014">
        <v>3.9363000000000001</v>
      </c>
      <c r="F101" s="1014">
        <v>4.7930000000000001</v>
      </c>
      <c r="G101" s="1014">
        <v>5.7937000000000003</v>
      </c>
      <c r="H101" s="1014">
        <v>6.9551999999999996</v>
      </c>
      <c r="I101" s="1015">
        <v>8.2951999999999995</v>
      </c>
      <c r="J101" s="1012"/>
      <c r="K101" s="1012"/>
      <c r="L101" s="1012"/>
    </row>
    <row r="102" spans="1:12">
      <c r="A102" s="1016" t="s">
        <v>1033</v>
      </c>
      <c r="B102" s="1017">
        <v>68</v>
      </c>
      <c r="C102" s="1014">
        <v>2.7879999999999998</v>
      </c>
      <c r="D102" s="1014">
        <v>3.444</v>
      </c>
      <c r="E102" s="1014">
        <v>4.2187999999999999</v>
      </c>
      <c r="F102" s="1014">
        <v>5.1284000000000001</v>
      </c>
      <c r="G102" s="1014">
        <v>6.1890999999999998</v>
      </c>
      <c r="H102" s="1014">
        <v>7.4184000000000001</v>
      </c>
      <c r="I102" s="1015">
        <v>8.8344000000000005</v>
      </c>
      <c r="J102" s="1012"/>
      <c r="K102" s="1012"/>
      <c r="L102" s="1012"/>
    </row>
    <row r="103" spans="1:12">
      <c r="A103" s="1016" t="s">
        <v>1034</v>
      </c>
      <c r="B103" s="1017">
        <v>66</v>
      </c>
      <c r="C103" s="1014">
        <v>3.4</v>
      </c>
      <c r="D103" s="1014">
        <v>4.2</v>
      </c>
      <c r="E103" s="1014">
        <v>5.2</v>
      </c>
      <c r="F103" s="1014">
        <v>6.2</v>
      </c>
      <c r="G103" s="1014">
        <v>7.4</v>
      </c>
      <c r="H103" s="1014">
        <v>8.8000000000000007</v>
      </c>
      <c r="I103" s="1015">
        <v>10.5</v>
      </c>
      <c r="J103" s="1012"/>
      <c r="K103" s="1012"/>
      <c r="L103" s="1012"/>
    </row>
    <row r="104" spans="1:12">
      <c r="A104" s="1016" t="s">
        <v>1035</v>
      </c>
      <c r="B104" s="1017">
        <v>65</v>
      </c>
      <c r="C104" s="1014">
        <v>4.0869999999999997</v>
      </c>
      <c r="D104" s="1014">
        <v>4.9996999999999998</v>
      </c>
      <c r="E104" s="1014">
        <v>6.069</v>
      </c>
      <c r="F104" s="1014">
        <v>7.3132000000000001</v>
      </c>
      <c r="G104" s="1014">
        <v>8.7518999999999991</v>
      </c>
      <c r="H104" s="1014">
        <v>10.4053</v>
      </c>
      <c r="I104" s="1015">
        <v>12.2949</v>
      </c>
      <c r="J104" s="1012"/>
      <c r="K104" s="1012"/>
      <c r="L104" s="1012"/>
    </row>
    <row r="105" spans="1:12">
      <c r="A105" s="1016" t="s">
        <v>1036</v>
      </c>
      <c r="B105" s="1017">
        <v>62</v>
      </c>
      <c r="C105" s="1014">
        <v>4.7</v>
      </c>
      <c r="D105" s="1014">
        <v>5.7</v>
      </c>
      <c r="E105" s="1014">
        <v>6.9</v>
      </c>
      <c r="F105" s="1014">
        <v>8.3000000000000007</v>
      </c>
      <c r="G105" s="1014">
        <v>9.9</v>
      </c>
      <c r="H105" s="1014">
        <v>11.7</v>
      </c>
      <c r="I105" s="1015">
        <v>13.8</v>
      </c>
      <c r="J105" s="1012"/>
      <c r="K105" s="1012"/>
      <c r="L105" s="1012"/>
    </row>
    <row r="106" spans="1:12">
      <c r="A106" s="1016" t="s">
        <v>1037</v>
      </c>
      <c r="B106" s="1017">
        <v>62</v>
      </c>
      <c r="C106" s="1014">
        <v>4.9320000000000004</v>
      </c>
      <c r="D106" s="1014">
        <v>6.0053999999999998</v>
      </c>
      <c r="E106" s="1014">
        <v>7.2572999999999999</v>
      </c>
      <c r="F106" s="1014">
        <v>8.7075999999999993</v>
      </c>
      <c r="G106" s="1014">
        <v>10.3774</v>
      </c>
      <c r="H106" s="1014">
        <v>12.2888</v>
      </c>
      <c r="I106" s="1015">
        <v>14.464600000000001</v>
      </c>
      <c r="J106" s="1012"/>
      <c r="K106" s="1012"/>
      <c r="L106" s="1012"/>
    </row>
    <row r="107" spans="1:12">
      <c r="A107" s="1016" t="s">
        <v>1038</v>
      </c>
      <c r="B107" s="1017">
        <v>60</v>
      </c>
      <c r="C107" s="1014">
        <v>5.5801999999999996</v>
      </c>
      <c r="D107" s="1014">
        <v>6.774</v>
      </c>
      <c r="E107" s="1014">
        <v>8.1621000000000006</v>
      </c>
      <c r="F107" s="1014">
        <v>9.7655999999999992</v>
      </c>
      <c r="G107" s="1014">
        <v>11.6067</v>
      </c>
      <c r="H107" s="1014">
        <v>13.708500000000001</v>
      </c>
      <c r="I107" s="1015">
        <v>16.094799999999999</v>
      </c>
      <c r="J107" s="1012"/>
      <c r="K107" s="1012"/>
      <c r="L107" s="1012"/>
    </row>
    <row r="108" spans="1:12" ht="15" customHeight="1">
      <c r="A108" s="1016" t="s">
        <v>1039</v>
      </c>
      <c r="B108" s="1017">
        <v>80</v>
      </c>
      <c r="C108" s="1014">
        <v>0.8</v>
      </c>
      <c r="D108" s="1014">
        <v>1</v>
      </c>
      <c r="E108" s="1014">
        <v>1.3</v>
      </c>
      <c r="F108" s="1014">
        <v>1.6</v>
      </c>
      <c r="G108" s="1014">
        <v>1.9</v>
      </c>
      <c r="H108" s="1014">
        <v>2.4</v>
      </c>
      <c r="I108" s="1015">
        <v>2.7</v>
      </c>
      <c r="J108" s="1012"/>
      <c r="K108" s="1012"/>
      <c r="L108" s="1012"/>
    </row>
    <row r="109" spans="1:12" ht="15" customHeight="1">
      <c r="A109" s="1016" t="s">
        <v>1040</v>
      </c>
      <c r="B109" s="1017">
        <v>130</v>
      </c>
      <c r="C109" s="1014">
        <v>3.0999999999999999E-3</v>
      </c>
      <c r="D109" s="1014">
        <v>4.4999999999999997E-3</v>
      </c>
      <c r="E109" s="1014">
        <v>6.4999999999999997E-3</v>
      </c>
      <c r="F109" s="1014">
        <v>8.9999999999999993E-3</v>
      </c>
      <c r="G109" s="1014">
        <v>1.2E-2</v>
      </c>
      <c r="H109" s="1014">
        <v>1.6E-2</v>
      </c>
      <c r="I109" s="1015">
        <v>2.1999999999999999E-2</v>
      </c>
      <c r="J109" s="1012"/>
      <c r="K109" s="1012"/>
      <c r="L109" s="1012"/>
    </row>
    <row r="110" spans="1:12">
      <c r="A110" s="1016" t="s">
        <v>1041</v>
      </c>
      <c r="B110" s="1017">
        <v>130</v>
      </c>
      <c r="C110" s="1014">
        <v>4.1000000000000003E-3</v>
      </c>
      <c r="D110" s="1014">
        <v>6.0000000000000001E-3</v>
      </c>
      <c r="E110" s="1014">
        <v>8.5000000000000006E-3</v>
      </c>
      <c r="F110" s="1014">
        <v>1.0999999999999999E-2</v>
      </c>
      <c r="G110" s="1014">
        <v>1.4999999999999999E-2</v>
      </c>
      <c r="H110" s="1014">
        <v>2.1000000000000001E-2</v>
      </c>
      <c r="I110" s="1015">
        <v>2.9000000000000001E-2</v>
      </c>
      <c r="J110" s="1012"/>
      <c r="K110" s="1012"/>
      <c r="L110" s="1012"/>
    </row>
    <row r="111" spans="1:12" ht="14.9" customHeight="1" thickBot="1">
      <c r="A111" s="1018" t="s">
        <v>1042</v>
      </c>
      <c r="B111" s="1019">
        <v>190</v>
      </c>
      <c r="C111" s="1020">
        <v>2.0000000000000002E-5</v>
      </c>
      <c r="D111" s="1020">
        <v>3.0000000000000001E-5</v>
      </c>
      <c r="E111" s="1020">
        <v>4.0000000000000003E-5</v>
      </c>
      <c r="F111" s="1020">
        <v>6.0000000000000002E-5</v>
      </c>
      <c r="G111" s="1020">
        <v>9.0000000000000006E-5</v>
      </c>
      <c r="H111" s="1020">
        <v>1.2999999999999999E-4</v>
      </c>
      <c r="I111" s="1021">
        <v>1.9000000000000001E-4</v>
      </c>
      <c r="J111" s="1012"/>
      <c r="K111" s="1012"/>
      <c r="L111" s="1012"/>
    </row>
    <row r="112" spans="1:12" ht="13.5" thickTop="1">
      <c r="A112" s="1012"/>
      <c r="B112" s="1012"/>
      <c r="C112" s="1012"/>
      <c r="D112" s="1012"/>
      <c r="E112" s="1012"/>
      <c r="F112" s="1012"/>
      <c r="G112" s="1012"/>
      <c r="H112" s="1012"/>
      <c r="I112" s="1012"/>
      <c r="J112" s="1012"/>
      <c r="K112" s="1012"/>
      <c r="L112" s="1012"/>
    </row>
    <row r="113" spans="1:12">
      <c r="A113" s="1012"/>
      <c r="B113" s="1022"/>
      <c r="C113" s="1022"/>
      <c r="D113" s="1022"/>
      <c r="E113" s="1022"/>
      <c r="F113" s="1022"/>
      <c r="G113" s="1012"/>
      <c r="H113" s="1012"/>
      <c r="I113" s="1012"/>
      <c r="J113" s="1012"/>
      <c r="K113" s="1012"/>
      <c r="L113" s="1012"/>
    </row>
    <row r="114" spans="1:12">
      <c r="A114" s="1012"/>
      <c r="B114" s="1012"/>
      <c r="C114" s="1012"/>
      <c r="D114" s="1012"/>
      <c r="E114" s="1012"/>
      <c r="F114" s="1012"/>
      <c r="G114" s="1012"/>
      <c r="H114" s="1012"/>
      <c r="I114" s="1012"/>
      <c r="J114" s="1012"/>
      <c r="K114" s="1012"/>
      <c r="L114" s="1012"/>
    </row>
    <row r="115" spans="1:12">
      <c r="A115" s="1012" t="s">
        <v>1054</v>
      </c>
      <c r="B115" s="1012"/>
      <c r="C115" s="1012"/>
      <c r="D115" s="1012"/>
      <c r="E115" s="1012"/>
      <c r="F115" s="1012"/>
      <c r="G115" s="1012"/>
      <c r="H115" s="1012"/>
      <c r="I115" s="1012"/>
      <c r="J115" s="1012"/>
      <c r="K115" s="1012"/>
      <c r="L115" s="1012"/>
    </row>
    <row r="116" spans="1:12" ht="15">
      <c r="A116" s="1023"/>
      <c r="B116" s="1023" t="s">
        <v>1120</v>
      </c>
      <c r="C116" s="1023" t="s">
        <v>1056</v>
      </c>
      <c r="D116" s="1023" t="s">
        <v>1057</v>
      </c>
      <c r="E116" s="1023" t="s">
        <v>1058</v>
      </c>
      <c r="F116" s="5198" t="s">
        <v>1059</v>
      </c>
      <c r="G116" s="5199"/>
      <c r="H116" s="5199"/>
      <c r="I116" s="5199"/>
      <c r="J116" s="5199"/>
      <c r="K116" s="5200"/>
      <c r="L116" s="1012"/>
    </row>
    <row r="117" spans="1:12">
      <c r="A117" s="1023" t="s">
        <v>1060</v>
      </c>
      <c r="B117" s="1023" t="s">
        <v>1061</v>
      </c>
      <c r="C117" s="1024" t="s">
        <v>1062</v>
      </c>
      <c r="D117" s="1023" t="s">
        <v>1063</v>
      </c>
      <c r="E117" s="1023" t="s">
        <v>1064</v>
      </c>
      <c r="F117" s="1023">
        <v>40</v>
      </c>
      <c r="G117" s="1023">
        <v>50</v>
      </c>
      <c r="H117" s="1023">
        <v>60</v>
      </c>
      <c r="I117" s="1023">
        <v>70</v>
      </c>
      <c r="J117" s="1023">
        <v>80</v>
      </c>
      <c r="K117" s="1023">
        <v>90</v>
      </c>
      <c r="L117" s="1012"/>
    </row>
    <row r="118" spans="1:12">
      <c r="A118" s="1023" t="s">
        <v>1065</v>
      </c>
      <c r="B118" s="1023">
        <v>5.6</v>
      </c>
      <c r="C118" s="1023">
        <v>62</v>
      </c>
      <c r="D118" s="1023">
        <v>11.644</v>
      </c>
      <c r="E118" s="1023">
        <v>5043.6000000000004</v>
      </c>
      <c r="F118" s="1023">
        <v>4.7</v>
      </c>
      <c r="G118" s="1023">
        <v>5.7</v>
      </c>
      <c r="H118" s="1023">
        <v>6.9</v>
      </c>
      <c r="I118" s="1023">
        <v>8.3000000000000007</v>
      </c>
      <c r="J118" s="1023">
        <v>9.9</v>
      </c>
      <c r="K118" s="1023">
        <v>11.7</v>
      </c>
      <c r="L118" s="1012"/>
    </row>
    <row r="119" spans="1:12">
      <c r="A119" s="1023" t="s">
        <v>1066</v>
      </c>
      <c r="B119" s="1023">
        <v>5.6</v>
      </c>
      <c r="C119" s="1023">
        <v>66</v>
      </c>
      <c r="D119" s="1023">
        <v>11.724</v>
      </c>
      <c r="E119" s="1023">
        <v>5237.3</v>
      </c>
      <c r="F119" s="1023">
        <v>3.4</v>
      </c>
      <c r="G119" s="1023">
        <v>4.2</v>
      </c>
      <c r="H119" s="1023">
        <v>5.2</v>
      </c>
      <c r="I119" s="1023">
        <v>6.2</v>
      </c>
      <c r="J119" s="1023">
        <v>7.4</v>
      </c>
      <c r="K119" s="1023">
        <v>8.8000000000000007</v>
      </c>
      <c r="L119" s="1012"/>
    </row>
    <row r="120" spans="1:12" ht="15" customHeight="1">
      <c r="A120" s="1023" t="s">
        <v>1067</v>
      </c>
      <c r="B120" s="1023">
        <v>5.6</v>
      </c>
      <c r="C120" s="1023">
        <v>68</v>
      </c>
      <c r="D120" s="1023">
        <v>11.833</v>
      </c>
      <c r="E120" s="1023">
        <v>5500.6</v>
      </c>
      <c r="F120" s="1023">
        <v>2.2999999999999998</v>
      </c>
      <c r="G120" s="1023">
        <v>2.9</v>
      </c>
      <c r="H120" s="1023">
        <v>3.5</v>
      </c>
      <c r="I120" s="1023">
        <v>4.3</v>
      </c>
      <c r="J120" s="1023">
        <v>5.2</v>
      </c>
      <c r="K120" s="1023">
        <v>6.2</v>
      </c>
      <c r="L120" s="1012"/>
    </row>
    <row r="121" spans="1:12">
      <c r="A121" s="1023" t="s">
        <v>1068</v>
      </c>
      <c r="B121" s="1023">
        <v>7.1</v>
      </c>
      <c r="C121" s="1023">
        <v>50</v>
      </c>
      <c r="D121" s="1023">
        <v>11.263</v>
      </c>
      <c r="E121" s="1023">
        <v>5303.9</v>
      </c>
      <c r="F121" s="1023">
        <v>1.9</v>
      </c>
      <c r="G121" s="1023">
        <v>2.4</v>
      </c>
      <c r="H121" s="1023">
        <v>2.9</v>
      </c>
      <c r="I121" s="1023">
        <v>3.5</v>
      </c>
      <c r="J121" s="1023">
        <v>4.2</v>
      </c>
      <c r="K121" s="1023">
        <v>5</v>
      </c>
      <c r="L121" s="1012"/>
    </row>
    <row r="122" spans="1:12">
      <c r="A122" s="1023" t="s">
        <v>1069</v>
      </c>
      <c r="B122" s="1023">
        <v>6.4</v>
      </c>
      <c r="C122" s="1023">
        <v>80</v>
      </c>
      <c r="D122" s="1023">
        <v>11.368</v>
      </c>
      <c r="E122" s="1023">
        <v>5784.3</v>
      </c>
      <c r="F122" s="1023">
        <v>0.8</v>
      </c>
      <c r="G122" s="1023">
        <v>1</v>
      </c>
      <c r="H122" s="1023">
        <v>1.3</v>
      </c>
      <c r="I122" s="1023">
        <v>1.6</v>
      </c>
      <c r="J122" s="1023">
        <v>1.9</v>
      </c>
      <c r="K122" s="1023">
        <v>2.4</v>
      </c>
      <c r="L122" s="1012"/>
    </row>
    <row r="123" spans="1:12">
      <c r="A123" s="1023" t="s">
        <v>1070</v>
      </c>
      <c r="B123" s="1023">
        <v>7</v>
      </c>
      <c r="C123" s="1023">
        <v>130</v>
      </c>
      <c r="D123" s="1023">
        <v>12.39</v>
      </c>
      <c r="E123" s="1023">
        <v>8933</v>
      </c>
      <c r="F123" s="1023">
        <v>4.0000000000000001E-3</v>
      </c>
      <c r="G123" s="1023">
        <v>6.0000000000000001E-3</v>
      </c>
      <c r="H123" s="1023">
        <v>8.0000000000000002E-3</v>
      </c>
      <c r="I123" s="1023">
        <v>1.0999999999999999E-2</v>
      </c>
      <c r="J123" s="1023">
        <v>1.4999999999999999E-2</v>
      </c>
      <c r="K123" s="1023">
        <v>2.1000000000000001E-2</v>
      </c>
      <c r="L123" s="1012"/>
    </row>
    <row r="124" spans="1:12">
      <c r="A124" s="1023" t="s">
        <v>1071</v>
      </c>
      <c r="B124" s="1023">
        <v>7.1</v>
      </c>
      <c r="C124" s="1023">
        <v>130</v>
      </c>
      <c r="D124" s="1023">
        <v>12.101000000000001</v>
      </c>
      <c r="E124" s="1023">
        <v>8907</v>
      </c>
      <c r="F124" s="1023">
        <v>3.0000000000000001E-3</v>
      </c>
      <c r="G124" s="1023">
        <v>5.0000000000000001E-3</v>
      </c>
      <c r="H124" s="1023">
        <v>7.0000000000000001E-3</v>
      </c>
      <c r="I124" s="1023">
        <v>8.9999999999999993E-3</v>
      </c>
      <c r="J124" s="1023">
        <v>1.2E-2</v>
      </c>
      <c r="K124" s="1023">
        <v>1.6E-2</v>
      </c>
      <c r="L124" s="1012"/>
    </row>
    <row r="125" spans="1:12" ht="13.25" customHeight="1">
      <c r="A125" s="5201" t="s">
        <v>1072</v>
      </c>
      <c r="B125" s="5201"/>
      <c r="C125" s="5201"/>
      <c r="D125" s="5201"/>
      <c r="E125" s="5201"/>
      <c r="F125" s="5201"/>
      <c r="G125" s="5201"/>
      <c r="H125" s="5201"/>
      <c r="I125" s="5201"/>
      <c r="J125" s="5201"/>
      <c r="K125" s="5201"/>
      <c r="L125" s="1012"/>
    </row>
    <row r="126" spans="1:12">
      <c r="A126" s="5201"/>
      <c r="B126" s="5201"/>
      <c r="C126" s="5201"/>
      <c r="D126" s="5201"/>
      <c r="E126" s="5201"/>
      <c r="F126" s="5201"/>
      <c r="G126" s="5201"/>
      <c r="H126" s="5201"/>
      <c r="I126" s="5201"/>
      <c r="J126" s="5201"/>
      <c r="K126" s="5201"/>
      <c r="L126" s="1012"/>
    </row>
    <row r="127" spans="1:12">
      <c r="A127" s="5201"/>
      <c r="B127" s="5201"/>
      <c r="C127" s="5201"/>
      <c r="D127" s="5201"/>
      <c r="E127" s="5201"/>
      <c r="F127" s="5201"/>
      <c r="G127" s="5201"/>
      <c r="H127" s="5201"/>
      <c r="I127" s="5201"/>
      <c r="J127" s="5201"/>
      <c r="K127" s="5201"/>
      <c r="L127" s="1012"/>
    </row>
    <row r="128" spans="1:12">
      <c r="A128" s="5201"/>
      <c r="B128" s="5201"/>
      <c r="C128" s="5201"/>
      <c r="D128" s="5201"/>
      <c r="E128" s="5201"/>
      <c r="F128" s="5201"/>
      <c r="G128" s="5201"/>
      <c r="H128" s="5201"/>
      <c r="I128" s="5201"/>
      <c r="J128" s="5201"/>
      <c r="K128" s="5201"/>
      <c r="L128" s="1012"/>
    </row>
    <row r="129" spans="1:12">
      <c r="A129" s="1025"/>
      <c r="B129" s="1025"/>
      <c r="C129" s="1025"/>
      <c r="D129" s="1025"/>
      <c r="E129" s="1012"/>
      <c r="F129" s="1012"/>
      <c r="G129" s="1012"/>
      <c r="H129" s="1012"/>
      <c r="I129" s="1012"/>
      <c r="J129" s="1012"/>
      <c r="K129" s="1012"/>
      <c r="L129" s="1012"/>
    </row>
    <row r="130" spans="1:12">
      <c r="A130" s="1012"/>
      <c r="B130" s="1012"/>
      <c r="C130" s="1012"/>
      <c r="D130" s="1012"/>
      <c r="E130" s="1012"/>
      <c r="F130" s="1012"/>
      <c r="G130" s="1012"/>
      <c r="H130" s="1012"/>
      <c r="I130" s="1012"/>
      <c r="J130" s="1012"/>
      <c r="K130" s="1012"/>
      <c r="L130" s="1012"/>
    </row>
    <row r="131" spans="1:12">
      <c r="A131" s="1012"/>
      <c r="B131" s="1012"/>
      <c r="C131" s="1012"/>
      <c r="D131" s="1012"/>
      <c r="E131" s="1012"/>
      <c r="F131" s="1012"/>
      <c r="G131" s="1012"/>
      <c r="H131" s="1012"/>
      <c r="I131" s="1012"/>
      <c r="J131" s="1012"/>
      <c r="K131" s="1012"/>
      <c r="L131" s="1012"/>
    </row>
    <row r="132" spans="1:12">
      <c r="K132" s="1012"/>
      <c r="L132" s="1012"/>
    </row>
    <row r="133" spans="1:12">
      <c r="K133" s="1012"/>
      <c r="L133" s="1012"/>
    </row>
    <row r="134" spans="1:12">
      <c r="K134" s="1012"/>
      <c r="L134" s="1012"/>
    </row>
    <row r="135" spans="1:12">
      <c r="K135" s="1012"/>
      <c r="L135" s="1012"/>
    </row>
    <row r="136" spans="1:12">
      <c r="K136" s="1012"/>
      <c r="L136" s="1012"/>
    </row>
    <row r="137" spans="1:12">
      <c r="K137" s="1012"/>
      <c r="L137" s="1012"/>
    </row>
    <row r="138" spans="1:12">
      <c r="K138" s="1012"/>
      <c r="L138" s="1012"/>
    </row>
    <row r="139" spans="1:12">
      <c r="K139" s="1012"/>
      <c r="L139" s="1012"/>
    </row>
    <row r="140" spans="1:12">
      <c r="K140" s="1012"/>
      <c r="L140" s="1012"/>
    </row>
    <row r="141" spans="1:12">
      <c r="K141" s="1012"/>
      <c r="L141" s="1012"/>
    </row>
    <row r="142" spans="1:12">
      <c r="K142" s="1012"/>
      <c r="L142" s="1012"/>
    </row>
    <row r="143" spans="1:12">
      <c r="K143" s="1012"/>
      <c r="L143" s="1012"/>
    </row>
    <row r="144" spans="1:12">
      <c r="K144" s="1012"/>
      <c r="L144" s="1012"/>
    </row>
    <row r="145" spans="11:12">
      <c r="K145" s="1012"/>
      <c r="L145" s="1012"/>
    </row>
    <row r="146" spans="11:12">
      <c r="K146" s="1012"/>
      <c r="L146" s="1012"/>
    </row>
    <row r="147" spans="11:12">
      <c r="K147" s="1012"/>
      <c r="L147" s="1012"/>
    </row>
    <row r="148" spans="11:12">
      <c r="K148" s="1012"/>
      <c r="L148" s="1012"/>
    </row>
    <row r="149" spans="11:12">
      <c r="K149" s="1012"/>
      <c r="L149" s="1012"/>
    </row>
    <row r="150" spans="11:12">
      <c r="K150" s="1012"/>
      <c r="L150" s="1012"/>
    </row>
    <row r="151" spans="11:12">
      <c r="K151" s="1012"/>
      <c r="L151" s="1012"/>
    </row>
    <row r="152" spans="11:12">
      <c r="K152" s="1012"/>
      <c r="L152" s="1012"/>
    </row>
    <row r="153" spans="11:12">
      <c r="K153" s="1012"/>
      <c r="L153" s="1012"/>
    </row>
    <row r="154" spans="11:12">
      <c r="K154" s="1012"/>
      <c r="L154" s="1012"/>
    </row>
    <row r="155" spans="11:12">
      <c r="K155" s="1012"/>
      <c r="L155" s="1012"/>
    </row>
  </sheetData>
  <mergeCells count="29">
    <mergeCell ref="A62:C62"/>
    <mergeCell ref="A2:G3"/>
    <mergeCell ref="A5:G6"/>
    <mergeCell ref="A7:G7"/>
    <mergeCell ref="A8:G8"/>
    <mergeCell ref="A9:G9"/>
    <mergeCell ref="A10:G10"/>
    <mergeCell ref="A11:G11"/>
    <mergeCell ref="A15:B15"/>
    <mergeCell ref="B33:B35"/>
    <mergeCell ref="C33:C35"/>
    <mergeCell ref="A51:B51"/>
    <mergeCell ref="A63:A65"/>
    <mergeCell ref="B63:B65"/>
    <mergeCell ref="C63:C65"/>
    <mergeCell ref="A68:C69"/>
    <mergeCell ref="A70:A72"/>
    <mergeCell ref="B70:B72"/>
    <mergeCell ref="C70:C72"/>
    <mergeCell ref="F116:K116"/>
    <mergeCell ref="A125:K128"/>
    <mergeCell ref="A77:C78"/>
    <mergeCell ref="A79:A81"/>
    <mergeCell ref="B79:B81"/>
    <mergeCell ref="C79:C81"/>
    <mergeCell ref="A87:D92"/>
    <mergeCell ref="B96:B98"/>
    <mergeCell ref="C96:I97"/>
    <mergeCell ref="A97:A98"/>
  </mergeCells>
  <conditionalFormatting sqref="B82:C84">
    <cfRule type="cellIs" dxfId="3" priority="1" operator="between">
      <formula>0.0000001</formula>
      <formula>0.009999</formula>
    </cfRule>
  </conditionalFormatting>
  <dataValidations count="4">
    <dataValidation type="list" allowBlank="1" showInputMessage="1" showErrorMessage="1" sqref="B52" xr:uid="{00000000-0002-0000-6300-000000000000}">
      <formula1>"(A) uncontrolled, (B) cont. by flare/ VC/TO/VRU, (C) cont. by other control device"</formula1>
    </dataValidation>
    <dataValidation type="list" allowBlank="1" showInputMessage="1" showErrorMessage="1" sqref="A57" xr:uid="{00000000-0002-0000-6300-000001000000}">
      <formula1>"Crude Oil or Condensate VOC, Natural Gas VOC, Other"</formula1>
    </dataValidation>
    <dataValidation type="list" allowBlank="1" showInputMessage="1" showErrorMessage="1" sqref="A60" xr:uid="{00000000-0002-0000-6300-000002000000}">
      <formula1>"Steady State (continuous), Low Pressure Periodic, High Pressure Periodic"</formula1>
    </dataValidation>
    <dataValidation type="list" allowBlank="1" showInputMessage="1" showErrorMessage="1"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98 IX65598 ST65598 ACP65598 AML65598 AWH65598 BGD65598 BPZ65598 BZV65598 CJR65598 CTN65598 DDJ65598 DNF65598 DXB65598 EGX65598 EQT65598 FAP65598 FKL65598 FUH65598 GED65598 GNZ65598 GXV65598 HHR65598 HRN65598 IBJ65598 ILF65598 IVB65598 JEX65598 JOT65598 JYP65598 KIL65598 KSH65598 LCD65598 LLZ65598 LVV65598 MFR65598 MPN65598 MZJ65598 NJF65598 NTB65598 OCX65598 OMT65598 OWP65598 PGL65598 PQH65598 QAD65598 QJZ65598 QTV65598 RDR65598 RNN65598 RXJ65598 SHF65598 SRB65598 TAX65598 TKT65598 TUP65598 UEL65598 UOH65598 UYD65598 VHZ65598 VRV65598 WBR65598 WLN65598 WVJ65598 B131134 IX131134 ST131134 ACP131134 AML131134 AWH131134 BGD131134 BPZ131134 BZV131134 CJR131134 CTN131134 DDJ131134 DNF131134 DXB131134 EGX131134 EQT131134 FAP131134 FKL131134 FUH131134 GED131134 GNZ131134 GXV131134 HHR131134 HRN131134 IBJ131134 ILF131134 IVB131134 JEX131134 JOT131134 JYP131134 KIL131134 KSH131134 LCD131134 LLZ131134 LVV131134 MFR131134 MPN131134 MZJ131134 NJF131134 NTB131134 OCX131134 OMT131134 OWP131134 PGL131134 PQH131134 QAD131134 QJZ131134 QTV131134 RDR131134 RNN131134 RXJ131134 SHF131134 SRB131134 TAX131134 TKT131134 TUP131134 UEL131134 UOH131134 UYD131134 VHZ131134 VRV131134 WBR131134 WLN131134 WVJ131134 B196670 IX196670 ST196670 ACP196670 AML196670 AWH196670 BGD196670 BPZ196670 BZV196670 CJR196670 CTN196670 DDJ196670 DNF196670 DXB196670 EGX196670 EQT196670 FAP196670 FKL196670 FUH196670 GED196670 GNZ196670 GXV196670 HHR196670 HRN196670 IBJ196670 ILF196670 IVB196670 JEX196670 JOT196670 JYP196670 KIL196670 KSH196670 LCD196670 LLZ196670 LVV196670 MFR196670 MPN196670 MZJ196670 NJF196670 NTB196670 OCX196670 OMT196670 OWP196670 PGL196670 PQH196670 QAD196670 QJZ196670 QTV196670 RDR196670 RNN196670 RXJ196670 SHF196670 SRB196670 TAX196670 TKT196670 TUP196670 UEL196670 UOH196670 UYD196670 VHZ196670 VRV196670 WBR196670 WLN196670 WVJ196670 B262206 IX262206 ST262206 ACP262206 AML262206 AWH262206 BGD262206 BPZ262206 BZV262206 CJR262206 CTN262206 DDJ262206 DNF262206 DXB262206 EGX262206 EQT262206 FAP262206 FKL262206 FUH262206 GED262206 GNZ262206 GXV262206 HHR262206 HRN262206 IBJ262206 ILF262206 IVB262206 JEX262206 JOT262206 JYP262206 KIL262206 KSH262206 LCD262206 LLZ262206 LVV262206 MFR262206 MPN262206 MZJ262206 NJF262206 NTB262206 OCX262206 OMT262206 OWP262206 PGL262206 PQH262206 QAD262206 QJZ262206 QTV262206 RDR262206 RNN262206 RXJ262206 SHF262206 SRB262206 TAX262206 TKT262206 TUP262206 UEL262206 UOH262206 UYD262206 VHZ262206 VRV262206 WBR262206 WLN262206 WVJ262206 B327742 IX327742 ST327742 ACP327742 AML327742 AWH327742 BGD327742 BPZ327742 BZV327742 CJR327742 CTN327742 DDJ327742 DNF327742 DXB327742 EGX327742 EQT327742 FAP327742 FKL327742 FUH327742 GED327742 GNZ327742 GXV327742 HHR327742 HRN327742 IBJ327742 ILF327742 IVB327742 JEX327742 JOT327742 JYP327742 KIL327742 KSH327742 LCD327742 LLZ327742 LVV327742 MFR327742 MPN327742 MZJ327742 NJF327742 NTB327742 OCX327742 OMT327742 OWP327742 PGL327742 PQH327742 QAD327742 QJZ327742 QTV327742 RDR327742 RNN327742 RXJ327742 SHF327742 SRB327742 TAX327742 TKT327742 TUP327742 UEL327742 UOH327742 UYD327742 VHZ327742 VRV327742 WBR327742 WLN327742 WVJ327742 B393278 IX393278 ST393278 ACP393278 AML393278 AWH393278 BGD393278 BPZ393278 BZV393278 CJR393278 CTN393278 DDJ393278 DNF393278 DXB393278 EGX393278 EQT393278 FAP393278 FKL393278 FUH393278 GED393278 GNZ393278 GXV393278 HHR393278 HRN393278 IBJ393278 ILF393278 IVB393278 JEX393278 JOT393278 JYP393278 KIL393278 KSH393278 LCD393278 LLZ393278 LVV393278 MFR393278 MPN393278 MZJ393278 NJF393278 NTB393278 OCX393278 OMT393278 OWP393278 PGL393278 PQH393278 QAD393278 QJZ393278 QTV393278 RDR393278 RNN393278 RXJ393278 SHF393278 SRB393278 TAX393278 TKT393278 TUP393278 UEL393278 UOH393278 UYD393278 VHZ393278 VRV393278 WBR393278 WLN393278 WVJ393278 B458814 IX458814 ST458814 ACP458814 AML458814 AWH458814 BGD458814 BPZ458814 BZV458814 CJR458814 CTN458814 DDJ458814 DNF458814 DXB458814 EGX458814 EQT458814 FAP458814 FKL458814 FUH458814 GED458814 GNZ458814 GXV458814 HHR458814 HRN458814 IBJ458814 ILF458814 IVB458814 JEX458814 JOT458814 JYP458814 KIL458814 KSH458814 LCD458814 LLZ458814 LVV458814 MFR458814 MPN458814 MZJ458814 NJF458814 NTB458814 OCX458814 OMT458814 OWP458814 PGL458814 PQH458814 QAD458814 QJZ458814 QTV458814 RDR458814 RNN458814 RXJ458814 SHF458814 SRB458814 TAX458814 TKT458814 TUP458814 UEL458814 UOH458814 UYD458814 VHZ458814 VRV458814 WBR458814 WLN458814 WVJ458814 B524350 IX524350 ST524350 ACP524350 AML524350 AWH524350 BGD524350 BPZ524350 BZV524350 CJR524350 CTN524350 DDJ524350 DNF524350 DXB524350 EGX524350 EQT524350 FAP524350 FKL524350 FUH524350 GED524350 GNZ524350 GXV524350 HHR524350 HRN524350 IBJ524350 ILF524350 IVB524350 JEX524350 JOT524350 JYP524350 KIL524350 KSH524350 LCD524350 LLZ524350 LVV524350 MFR524350 MPN524350 MZJ524350 NJF524350 NTB524350 OCX524350 OMT524350 OWP524350 PGL524350 PQH524350 QAD524350 QJZ524350 QTV524350 RDR524350 RNN524350 RXJ524350 SHF524350 SRB524350 TAX524350 TKT524350 TUP524350 UEL524350 UOH524350 UYD524350 VHZ524350 VRV524350 WBR524350 WLN524350 WVJ524350 B589886 IX589886 ST589886 ACP589886 AML589886 AWH589886 BGD589886 BPZ589886 BZV589886 CJR589886 CTN589886 DDJ589886 DNF589886 DXB589886 EGX589886 EQT589886 FAP589886 FKL589886 FUH589886 GED589886 GNZ589886 GXV589886 HHR589886 HRN589886 IBJ589886 ILF589886 IVB589886 JEX589886 JOT589886 JYP589886 KIL589886 KSH589886 LCD589886 LLZ589886 LVV589886 MFR589886 MPN589886 MZJ589886 NJF589886 NTB589886 OCX589886 OMT589886 OWP589886 PGL589886 PQH589886 QAD589886 QJZ589886 QTV589886 RDR589886 RNN589886 RXJ589886 SHF589886 SRB589886 TAX589886 TKT589886 TUP589886 UEL589886 UOH589886 UYD589886 VHZ589886 VRV589886 WBR589886 WLN589886 WVJ589886 B655422 IX655422 ST655422 ACP655422 AML655422 AWH655422 BGD655422 BPZ655422 BZV655422 CJR655422 CTN655422 DDJ655422 DNF655422 DXB655422 EGX655422 EQT655422 FAP655422 FKL655422 FUH655422 GED655422 GNZ655422 GXV655422 HHR655422 HRN655422 IBJ655422 ILF655422 IVB655422 JEX655422 JOT655422 JYP655422 KIL655422 KSH655422 LCD655422 LLZ655422 LVV655422 MFR655422 MPN655422 MZJ655422 NJF655422 NTB655422 OCX655422 OMT655422 OWP655422 PGL655422 PQH655422 QAD655422 QJZ655422 QTV655422 RDR655422 RNN655422 RXJ655422 SHF655422 SRB655422 TAX655422 TKT655422 TUP655422 UEL655422 UOH655422 UYD655422 VHZ655422 VRV655422 WBR655422 WLN655422 WVJ655422 B720958 IX720958 ST720958 ACP720958 AML720958 AWH720958 BGD720958 BPZ720958 BZV720958 CJR720958 CTN720958 DDJ720958 DNF720958 DXB720958 EGX720958 EQT720958 FAP720958 FKL720958 FUH720958 GED720958 GNZ720958 GXV720958 HHR720958 HRN720958 IBJ720958 ILF720958 IVB720958 JEX720958 JOT720958 JYP720958 KIL720958 KSH720958 LCD720958 LLZ720958 LVV720958 MFR720958 MPN720958 MZJ720958 NJF720958 NTB720958 OCX720958 OMT720958 OWP720958 PGL720958 PQH720958 QAD720958 QJZ720958 QTV720958 RDR720958 RNN720958 RXJ720958 SHF720958 SRB720958 TAX720958 TKT720958 TUP720958 UEL720958 UOH720958 UYD720958 VHZ720958 VRV720958 WBR720958 WLN720958 WVJ720958 B786494 IX786494 ST786494 ACP786494 AML786494 AWH786494 BGD786494 BPZ786494 BZV786494 CJR786494 CTN786494 DDJ786494 DNF786494 DXB786494 EGX786494 EQT786494 FAP786494 FKL786494 FUH786494 GED786494 GNZ786494 GXV786494 HHR786494 HRN786494 IBJ786494 ILF786494 IVB786494 JEX786494 JOT786494 JYP786494 KIL786494 KSH786494 LCD786494 LLZ786494 LVV786494 MFR786494 MPN786494 MZJ786494 NJF786494 NTB786494 OCX786494 OMT786494 OWP786494 PGL786494 PQH786494 QAD786494 QJZ786494 QTV786494 RDR786494 RNN786494 RXJ786494 SHF786494 SRB786494 TAX786494 TKT786494 TUP786494 UEL786494 UOH786494 UYD786494 VHZ786494 VRV786494 WBR786494 WLN786494 WVJ786494 B852030 IX852030 ST852030 ACP852030 AML852030 AWH852030 BGD852030 BPZ852030 BZV852030 CJR852030 CTN852030 DDJ852030 DNF852030 DXB852030 EGX852030 EQT852030 FAP852030 FKL852030 FUH852030 GED852030 GNZ852030 GXV852030 HHR852030 HRN852030 IBJ852030 ILF852030 IVB852030 JEX852030 JOT852030 JYP852030 KIL852030 KSH852030 LCD852030 LLZ852030 LVV852030 MFR852030 MPN852030 MZJ852030 NJF852030 NTB852030 OCX852030 OMT852030 OWP852030 PGL852030 PQH852030 QAD852030 QJZ852030 QTV852030 RDR852030 RNN852030 RXJ852030 SHF852030 SRB852030 TAX852030 TKT852030 TUP852030 UEL852030 UOH852030 UYD852030 VHZ852030 VRV852030 WBR852030 WLN852030 WVJ852030 B917566 IX917566 ST917566 ACP917566 AML917566 AWH917566 BGD917566 BPZ917566 BZV917566 CJR917566 CTN917566 DDJ917566 DNF917566 DXB917566 EGX917566 EQT917566 FAP917566 FKL917566 FUH917566 GED917566 GNZ917566 GXV917566 HHR917566 HRN917566 IBJ917566 ILF917566 IVB917566 JEX917566 JOT917566 JYP917566 KIL917566 KSH917566 LCD917566 LLZ917566 LVV917566 MFR917566 MPN917566 MZJ917566 NJF917566 NTB917566 OCX917566 OMT917566 OWP917566 PGL917566 PQH917566 QAD917566 QJZ917566 QTV917566 RDR917566 RNN917566 RXJ917566 SHF917566 SRB917566 TAX917566 TKT917566 TUP917566 UEL917566 UOH917566 UYD917566 VHZ917566 VRV917566 WBR917566 WLN917566 WVJ917566 B983102 IX983102 ST983102 ACP983102 AML983102 AWH983102 BGD983102 BPZ983102 BZV983102 CJR983102 CTN983102 DDJ983102 DNF983102 DXB983102 EGX983102 EQT983102 FAP983102 FKL983102 FUH983102 GED983102 GNZ983102 GXV983102 HHR983102 HRN983102 IBJ983102 ILF983102 IVB983102 JEX983102 JOT983102 JYP983102 KIL983102 KSH983102 LCD983102 LLZ983102 LVV983102 MFR983102 MPN983102 MZJ983102 NJF983102 NTB983102 OCX983102 OMT983102 OWP983102 PGL983102 PQH983102 QAD983102 QJZ983102 QTV983102 RDR983102 RNN983102 RXJ983102 SHF983102 SRB983102 TAX983102 TKT983102 TUP983102 UEL983102 UOH983102 UYD983102 VHZ983102 VRV983102 WBR983102 WLN983102 WVJ983102" xr:uid="{00000000-0002-0000-6300-000003000000}">
      <formula1>"IFR, EFR, Fixed Roof"</formula1>
    </dataValidation>
  </dataValidations>
  <printOptions horizontalCentered="1"/>
  <pageMargins left="0.25" right="0.25" top="1.64" bottom="0.5" header="0.25" footer="0.25"/>
  <pageSetup scale="72" fitToHeight="100" orientation="portrait" r:id="rId1"/>
  <headerFooter scaleWithDoc="0">
    <oddHeader>&amp;C&amp;"Arial,Bold"Table 18
MSS Emissions - Fixed Roof Tank Cleaning
Husky CDP
XTO Energy, Inc&amp;RPage &amp;P of &amp;N</oddHeader>
    <oddFooter>&amp;L&amp;6&amp;F</oddFooter>
  </headerFooter>
  <rowBreaks count="1" manualBreakCount="1">
    <brk id="61" max="5" man="1"/>
  </rowBreaks>
  <colBreaks count="1" manualBreakCount="1">
    <brk id="6" max="1048575" man="1"/>
  </colBreaks>
  <drawing r:id="rId2"/>
  <legacy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tabColor rgb="FFFF0000"/>
    <pageSetUpPr fitToPage="1"/>
  </sheetPr>
  <dimension ref="B1:V35"/>
  <sheetViews>
    <sheetView topLeftCell="A7" zoomScale="55" zoomScaleNormal="55" zoomScaleSheetLayoutView="55" zoomScalePageLayoutView="40" workbookViewId="0">
      <selection activeCell="I14" sqref="I14"/>
    </sheetView>
  </sheetViews>
  <sheetFormatPr defaultColWidth="9.36328125" defaultRowHeight="13"/>
  <cols>
    <col min="1" max="1" width="9.36328125" style="38"/>
    <col min="2" max="2" width="3.6328125" style="38" customWidth="1"/>
    <col min="3" max="3" width="31.6328125" style="38" customWidth="1"/>
    <col min="4" max="4" width="23.54296875" style="38" customWidth="1"/>
    <col min="5" max="5" width="18.6328125" style="38" customWidth="1"/>
    <col min="6" max="9" width="10.36328125" style="38" customWidth="1"/>
    <col min="10" max="11" width="13.6328125" style="38" customWidth="1"/>
    <col min="12" max="19" width="10.36328125" style="38" customWidth="1"/>
    <col min="20" max="21" width="9.6328125" style="38" customWidth="1"/>
    <col min="22" max="22" width="3.6328125" style="38" customWidth="1"/>
    <col min="23" max="23" width="9.36328125" style="38"/>
    <col min="24" max="24" width="23.6328125" style="38" customWidth="1"/>
    <col min="25" max="16384" width="9.36328125" style="38"/>
  </cols>
  <sheetData>
    <row r="1" spans="2:22" ht="13.5" thickBot="1"/>
    <row r="2" spans="2:22" ht="20.25" customHeight="1" thickBot="1">
      <c r="B2" s="33"/>
      <c r="C2" s="34"/>
      <c r="D2" s="34"/>
      <c r="E2" s="34"/>
      <c r="F2" s="34"/>
      <c r="G2" s="34"/>
      <c r="H2" s="34"/>
      <c r="I2" s="34"/>
      <c r="J2" s="34"/>
      <c r="K2" s="34"/>
      <c r="L2" s="34"/>
      <c r="M2" s="34"/>
      <c r="N2" s="34"/>
      <c r="O2" s="34"/>
      <c r="P2" s="34"/>
      <c r="Q2" s="34"/>
      <c r="R2" s="34"/>
      <c r="S2" s="34"/>
      <c r="T2" s="34"/>
      <c r="U2" s="34"/>
      <c r="V2" s="32"/>
    </row>
    <row r="3" spans="2:22" s="2" customFormat="1" ht="39.75" customHeight="1">
      <c r="B3" s="54"/>
      <c r="C3" s="5272" t="s">
        <v>54</v>
      </c>
      <c r="D3" s="5273"/>
      <c r="E3" s="5273"/>
      <c r="F3" s="5273"/>
      <c r="G3" s="5273"/>
      <c r="H3" s="5273"/>
      <c r="I3" s="5273"/>
      <c r="J3" s="5273"/>
      <c r="K3" s="5273"/>
      <c r="L3" s="5273"/>
      <c r="M3" s="5273"/>
      <c r="N3" s="5273"/>
      <c r="O3" s="5273"/>
      <c r="P3" s="5273"/>
      <c r="Q3" s="5273"/>
      <c r="R3" s="5273"/>
      <c r="S3" s="5273"/>
      <c r="T3" s="5273"/>
      <c r="U3" s="5274"/>
      <c r="V3" s="22"/>
    </row>
    <row r="4" spans="2:22" s="2" customFormat="1" ht="39.75" customHeight="1">
      <c r="B4" s="54"/>
      <c r="C4" s="5275" t="s">
        <v>634</v>
      </c>
      <c r="D4" s="5276"/>
      <c r="E4" s="5276"/>
      <c r="F4" s="5276"/>
      <c r="G4" s="5276"/>
      <c r="H4" s="5276"/>
      <c r="I4" s="5276"/>
      <c r="J4" s="5276"/>
      <c r="K4" s="5276"/>
      <c r="L4" s="5276"/>
      <c r="M4" s="5276"/>
      <c r="N4" s="5276"/>
      <c r="O4" s="5276"/>
      <c r="P4" s="5276"/>
      <c r="Q4" s="5276"/>
      <c r="R4" s="5276"/>
      <c r="S4" s="5276"/>
      <c r="T4" s="5276"/>
      <c r="U4" s="5277"/>
      <c r="V4" s="22"/>
    </row>
    <row r="5" spans="2:22" s="2" customFormat="1" ht="39.75" customHeight="1" thickBot="1">
      <c r="B5" s="54"/>
      <c r="C5" s="5278" t="s">
        <v>1364</v>
      </c>
      <c r="D5" s="5279"/>
      <c r="E5" s="5279"/>
      <c r="F5" s="5279"/>
      <c r="G5" s="5279"/>
      <c r="H5" s="5279"/>
      <c r="I5" s="5279"/>
      <c r="J5" s="5279"/>
      <c r="K5" s="5279"/>
      <c r="L5" s="5279"/>
      <c r="M5" s="5279"/>
      <c r="N5" s="5280"/>
      <c r="O5" s="5280"/>
      <c r="P5" s="5279"/>
      <c r="Q5" s="5279"/>
      <c r="R5" s="5279"/>
      <c r="S5" s="5279"/>
      <c r="T5" s="5279"/>
      <c r="U5" s="5281"/>
      <c r="V5" s="22"/>
    </row>
    <row r="6" spans="2:22" ht="21" customHeight="1" thickBot="1">
      <c r="B6" s="31"/>
      <c r="C6" s="25"/>
      <c r="D6" s="25"/>
      <c r="E6" s="25"/>
      <c r="F6" s="25"/>
      <c r="G6" s="25"/>
      <c r="H6" s="25"/>
      <c r="I6" s="25"/>
      <c r="J6" s="25"/>
      <c r="K6" s="25"/>
      <c r="L6" s="25"/>
      <c r="M6" s="25"/>
      <c r="N6" s="25"/>
      <c r="O6" s="25"/>
      <c r="P6" s="25"/>
      <c r="Q6" s="25"/>
      <c r="R6" s="25"/>
      <c r="S6" s="25"/>
      <c r="T6" s="25"/>
      <c r="U6" s="25"/>
      <c r="V6" s="40"/>
    </row>
    <row r="7" spans="2:22" ht="30.75" customHeight="1">
      <c r="C7" s="4"/>
      <c r="D7" s="4"/>
      <c r="E7" s="4"/>
      <c r="F7" s="4"/>
      <c r="G7" s="4"/>
      <c r="H7" s="4"/>
      <c r="I7" s="4"/>
      <c r="J7" s="4"/>
      <c r="K7" s="4"/>
      <c r="L7" s="4"/>
      <c r="M7" s="4"/>
      <c r="N7" s="4"/>
      <c r="O7" s="4"/>
      <c r="P7" s="4"/>
      <c r="Q7" s="4"/>
      <c r="R7" s="4"/>
      <c r="S7" s="4"/>
      <c r="T7" s="4"/>
      <c r="U7" s="4"/>
    </row>
    <row r="8" spans="2:22" ht="16.5" customHeight="1" thickBot="1">
      <c r="C8" s="4"/>
      <c r="D8" s="4"/>
      <c r="E8" s="4"/>
      <c r="F8" s="4"/>
      <c r="G8" s="4"/>
      <c r="H8" s="4"/>
      <c r="I8" s="4"/>
      <c r="J8" s="4"/>
      <c r="K8" s="4"/>
      <c r="L8" s="4"/>
      <c r="M8" s="4"/>
      <c r="N8" s="4"/>
      <c r="O8" s="4"/>
      <c r="P8" s="4"/>
      <c r="Q8" s="4"/>
      <c r="R8" s="4"/>
      <c r="S8" s="4"/>
      <c r="T8" s="4"/>
      <c r="U8" s="4"/>
    </row>
    <row r="9" spans="2:22" ht="32.25" customHeight="1">
      <c r="B9" s="5267" t="s">
        <v>2016</v>
      </c>
      <c r="C9" s="5268"/>
      <c r="D9" s="5268"/>
      <c r="E9" s="5268"/>
      <c r="F9" s="5268"/>
      <c r="G9" s="5268"/>
      <c r="H9" s="5268"/>
      <c r="I9" s="5268"/>
      <c r="J9" s="5268"/>
      <c r="K9" s="5268"/>
      <c r="L9" s="5268"/>
      <c r="M9" s="5268"/>
      <c r="N9" s="5268"/>
      <c r="O9" s="5268"/>
      <c r="P9" s="5268"/>
      <c r="Q9" s="5268"/>
      <c r="R9" s="5268"/>
      <c r="S9" s="5268"/>
      <c r="T9" s="5268"/>
      <c r="U9" s="5268"/>
      <c r="V9" s="5269"/>
    </row>
    <row r="10" spans="2:22" ht="32.25" customHeight="1" thickBot="1">
      <c r="B10" s="5282" t="s">
        <v>1686</v>
      </c>
      <c r="C10" s="5283"/>
      <c r="D10" s="5283"/>
      <c r="E10" s="5283"/>
      <c r="F10" s="5283"/>
      <c r="G10" s="5283"/>
      <c r="H10" s="5283"/>
      <c r="I10" s="5283"/>
      <c r="J10" s="5283"/>
      <c r="K10" s="5283"/>
      <c r="L10" s="5283"/>
      <c r="M10" s="5283"/>
      <c r="N10" s="5283"/>
      <c r="O10" s="5283"/>
      <c r="P10" s="5283"/>
      <c r="Q10" s="5283"/>
      <c r="R10" s="5283"/>
      <c r="S10" s="5283"/>
      <c r="T10" s="5283"/>
      <c r="U10" s="5283"/>
      <c r="V10" s="5284"/>
    </row>
    <row r="11" spans="2:22" ht="24" customHeight="1" thickBot="1">
      <c r="B11" s="33"/>
      <c r="C11" s="34"/>
      <c r="D11" s="34"/>
      <c r="E11" s="34"/>
      <c r="F11" s="34"/>
      <c r="G11" s="34"/>
      <c r="H11" s="34"/>
      <c r="I11" s="34"/>
      <c r="J11" s="34"/>
      <c r="K11" s="34"/>
      <c r="L11" s="34"/>
      <c r="M11" s="34"/>
      <c r="N11" s="34"/>
      <c r="O11" s="34"/>
      <c r="P11" s="34"/>
      <c r="Q11" s="34"/>
      <c r="R11" s="34"/>
      <c r="S11" s="34"/>
      <c r="T11" s="34"/>
      <c r="U11" s="34"/>
      <c r="V11" s="32"/>
    </row>
    <row r="12" spans="2:22" ht="68.150000000000006" customHeight="1">
      <c r="B12" s="36"/>
      <c r="C12" s="5285" t="s">
        <v>1353</v>
      </c>
      <c r="D12" s="5287" t="s">
        <v>1354</v>
      </c>
      <c r="E12" s="5289" t="s">
        <v>1761</v>
      </c>
      <c r="F12" s="5291" t="s">
        <v>21</v>
      </c>
      <c r="G12" s="5292"/>
      <c r="H12" s="5293" t="s">
        <v>0</v>
      </c>
      <c r="I12" s="5294"/>
      <c r="J12" s="5287" t="s">
        <v>283</v>
      </c>
      <c r="K12" s="5295"/>
      <c r="L12" s="5293" t="s">
        <v>1762</v>
      </c>
      <c r="M12" s="5294"/>
      <c r="N12" s="5293" t="s">
        <v>1311</v>
      </c>
      <c r="O12" s="5294"/>
      <c r="P12" s="5291" t="s">
        <v>1763</v>
      </c>
      <c r="Q12" s="5292"/>
      <c r="R12" s="5293" t="s">
        <v>15</v>
      </c>
      <c r="S12" s="5294"/>
      <c r="T12" s="5293" t="s">
        <v>273</v>
      </c>
      <c r="U12" s="5294"/>
      <c r="V12" s="44"/>
    </row>
    <row r="13" spans="2:22" ht="29.25" customHeight="1" thickBot="1">
      <c r="B13" s="36"/>
      <c r="C13" s="5286"/>
      <c r="D13" s="5288"/>
      <c r="E13" s="5290"/>
      <c r="F13" s="2410" t="s">
        <v>22</v>
      </c>
      <c r="G13" s="2411" t="s">
        <v>37</v>
      </c>
      <c r="H13" s="2412" t="s">
        <v>22</v>
      </c>
      <c r="I13" s="2413" t="s">
        <v>37</v>
      </c>
      <c r="J13" s="2410" t="s">
        <v>22</v>
      </c>
      <c r="K13" s="2411" t="s">
        <v>37</v>
      </c>
      <c r="L13" s="2412" t="s">
        <v>22</v>
      </c>
      <c r="M13" s="2413" t="s">
        <v>37</v>
      </c>
      <c r="N13" s="2410" t="s">
        <v>22</v>
      </c>
      <c r="O13" s="2414" t="s">
        <v>37</v>
      </c>
      <c r="P13" s="2410" t="s">
        <v>22</v>
      </c>
      <c r="Q13" s="2411" t="s">
        <v>37</v>
      </c>
      <c r="R13" s="2412" t="s">
        <v>22</v>
      </c>
      <c r="S13" s="2413" t="s">
        <v>37</v>
      </c>
      <c r="T13" s="5270" t="s">
        <v>37</v>
      </c>
      <c r="U13" s="5271"/>
      <c r="V13" s="44"/>
    </row>
    <row r="14" spans="2:22" ht="44.25" customHeight="1">
      <c r="B14" s="36"/>
      <c r="C14" s="2415">
        <v>4</v>
      </c>
      <c r="D14" s="2416">
        <v>2</v>
      </c>
      <c r="E14" s="2417">
        <v>0</v>
      </c>
      <c r="F14" s="2418">
        <f>'Summary-Co'!E64</f>
        <v>154.45156750745792</v>
      </c>
      <c r="G14" s="2419">
        <f>'Summary-Co'!F64</f>
        <v>259.85892722120138</v>
      </c>
      <c r="H14" s="2418">
        <f>'Summary-Co'!G64</f>
        <v>243.69939935736701</v>
      </c>
      <c r="I14" s="2419">
        <f>'Summary-Co'!H64</f>
        <v>234.67308957151553</v>
      </c>
      <c r="J14" s="2418">
        <f>'Summary-Co'!I64</f>
        <v>489.04053591655395</v>
      </c>
      <c r="K14" s="2419">
        <f>'Summary-Co'!J64</f>
        <v>489.19799293490405</v>
      </c>
      <c r="L14" s="2418">
        <f>'Summary-Co'!K64</f>
        <v>11.722999774892124</v>
      </c>
      <c r="M14" s="2419">
        <f>'Summary-Co'!L64</f>
        <v>51.155210496976323</v>
      </c>
      <c r="N14" s="2418">
        <f>'Summary-Co'!M64</f>
        <v>47.616904936951528</v>
      </c>
      <c r="O14" s="2419">
        <f>'Summary-Co'!N64</f>
        <v>183.56861153810843</v>
      </c>
      <c r="P14" s="2418">
        <f>'Summary-Co'!O64</f>
        <v>45.563538823324592</v>
      </c>
      <c r="Q14" s="2419">
        <f>'Summary-Co'!P64</f>
        <v>176.99247552551469</v>
      </c>
      <c r="R14" s="2418">
        <f>'Summary-Co'!Q64</f>
        <v>22.185991639002431</v>
      </c>
      <c r="S14" s="2419">
        <f>'Summary-Co'!R64</f>
        <v>25.324276780210063</v>
      </c>
      <c r="T14" s="5300">
        <f>'Summary-Co'!S64</f>
        <v>2640840.1121065784</v>
      </c>
      <c r="U14" s="5301"/>
      <c r="V14" s="44"/>
    </row>
    <row r="15" spans="2:22" ht="44.15" customHeight="1">
      <c r="B15" s="36"/>
      <c r="C15" s="2415">
        <v>3</v>
      </c>
      <c r="D15" s="2416">
        <v>4</v>
      </c>
      <c r="E15" s="2417">
        <v>1</v>
      </c>
      <c r="F15" s="2420">
        <f>Summary_3TUR!E65</f>
        <v>152.9867555074579</v>
      </c>
      <c r="G15" s="2421">
        <f>Summary_3TUR!F65</f>
        <v>253.4430506612014</v>
      </c>
      <c r="H15" s="2420">
        <f>Summary_3TUR!G65</f>
        <v>242.40789435736707</v>
      </c>
      <c r="I15" s="2421">
        <f>Summary_3TUR!H65</f>
        <v>229.01629767151556</v>
      </c>
      <c r="J15" s="2420">
        <f>Summary_3TUR!I65</f>
        <v>444.91752484709582</v>
      </c>
      <c r="K15" s="2421">
        <f>Summary_3TUR!J65</f>
        <v>455.31748957227279</v>
      </c>
      <c r="L15" s="2420">
        <f>Summary_3TUR!K65</f>
        <v>10.103350976164879</v>
      </c>
      <c r="M15" s="2421">
        <f>Summary_3TUR!L65</f>
        <v>44.061148758550999</v>
      </c>
      <c r="N15" s="2420">
        <f>Summary_3TUR!M65</f>
        <v>37.402136292241934</v>
      </c>
      <c r="O15" s="2421">
        <f>Summary_3TUR!N65</f>
        <v>150.89784800869666</v>
      </c>
      <c r="P15" s="2420">
        <f>Summary_3TUR!O65</f>
        <v>37.402136292241934</v>
      </c>
      <c r="Q15" s="2421">
        <f>Summary_3TUR!P65</f>
        <v>144.32171199610292</v>
      </c>
      <c r="R15" s="2420">
        <f>Summary_3TUR!Q65</f>
        <v>19.915697614788129</v>
      </c>
      <c r="S15" s="2421">
        <f>Summary_3TUR!R65</f>
        <v>24.682685212248586</v>
      </c>
      <c r="T15" s="5296">
        <f>Summary_3TUR!S65</f>
        <v>2216014.8659521169</v>
      </c>
      <c r="U15" s="5297"/>
      <c r="V15" s="44"/>
    </row>
    <row r="16" spans="2:22" ht="44.15" customHeight="1">
      <c r="B16" s="36"/>
      <c r="C16" s="2415">
        <v>2</v>
      </c>
      <c r="D16" s="2416">
        <v>6</v>
      </c>
      <c r="E16" s="2422">
        <v>2</v>
      </c>
      <c r="F16" s="2423">
        <f>Summary_2TUR!E67</f>
        <v>151.52194350745788</v>
      </c>
      <c r="G16" s="2424">
        <f>Summary_2TUR!F67</f>
        <v>247.02717410120144</v>
      </c>
      <c r="H16" s="2423">
        <f>Summary_2TUR!G67</f>
        <v>241.11638935736707</v>
      </c>
      <c r="I16" s="2424">
        <f>Summary_2TUR!H67</f>
        <v>223.35950577151559</v>
      </c>
      <c r="J16" s="2423">
        <f>Summary_2TUR!I67</f>
        <v>437.21288484709584</v>
      </c>
      <c r="K16" s="2424">
        <f>Summary_2TUR!J67</f>
        <v>421.57116637227284</v>
      </c>
      <c r="L16" s="2423">
        <f>Summary_2TUR!K67</f>
        <v>8.4837021774376336</v>
      </c>
      <c r="M16" s="2424">
        <f>Summary_2TUR!L67</f>
        <v>36.967087020125668</v>
      </c>
      <c r="N16" s="2423">
        <f>Summary_2TUR!M67</f>
        <v>29.943057860869384</v>
      </c>
      <c r="O16" s="2424">
        <f>Summary_2TUR!N67</f>
        <v>118.227084479285</v>
      </c>
      <c r="P16" s="2423">
        <f>Summary_2TUR!O67</f>
        <v>29.943057860869384</v>
      </c>
      <c r="Q16" s="2424">
        <f>Summary_2TUR!P67</f>
        <v>111.65094846669126</v>
      </c>
      <c r="R16" s="2423">
        <f>Summary_2TUR!Q67</f>
        <v>19.771584358210134</v>
      </c>
      <c r="S16" s="2424">
        <f>Summary_2TUR!R67</f>
        <v>24.051469148436958</v>
      </c>
      <c r="T16" s="5296">
        <f>Summary_2TUR!S67</f>
        <v>1791818.1848621098</v>
      </c>
      <c r="U16" s="5297"/>
      <c r="V16" s="44"/>
    </row>
    <row r="17" spans="2:22" ht="44.15" customHeight="1">
      <c r="B17" s="36"/>
      <c r="C17" s="2415">
        <v>1</v>
      </c>
      <c r="D17" s="2416">
        <v>8</v>
      </c>
      <c r="E17" s="2422">
        <v>3</v>
      </c>
      <c r="F17" s="2423">
        <f>Summary_1TUR!E69</f>
        <v>150.05713150745785</v>
      </c>
      <c r="G17" s="2424">
        <f>Summary_1TUR!F69</f>
        <v>240.6112975412014</v>
      </c>
      <c r="H17" s="2423">
        <f>Summary_1TUR!G69</f>
        <v>239.82488435736707</v>
      </c>
      <c r="I17" s="2424">
        <f>Summary_1TUR!H69</f>
        <v>217.70271387151558</v>
      </c>
      <c r="J17" s="2423">
        <f>Summary_1TUR!I69</f>
        <v>465.926615916554</v>
      </c>
      <c r="K17" s="2424">
        <f>Summary_1TUR!J69</f>
        <v>387.95902333490409</v>
      </c>
      <c r="L17" s="2423">
        <f>Summary_1TUR!K69</f>
        <v>6.8640533787103895</v>
      </c>
      <c r="M17" s="2424">
        <f>Summary_1TUR!L69</f>
        <v>29.873025281700308</v>
      </c>
      <c r="N17" s="2423">
        <f>Summary_1TUR!M69</f>
        <v>22.483979429496834</v>
      </c>
      <c r="O17" s="2424">
        <f>Summary_1TUR!N69</f>
        <v>85.556320949873253</v>
      </c>
      <c r="P17" s="2423">
        <f>Summary_1TUR!O69</f>
        <v>22.483979429496834</v>
      </c>
      <c r="Q17" s="2424">
        <f>Summary_1TUR!P69</f>
        <v>78.980184937279517</v>
      </c>
      <c r="R17" s="2423">
        <f>Summary_1TUR!Q69</f>
        <v>21.482752052988495</v>
      </c>
      <c r="S17" s="2424">
        <f>Summary_1TUR!R69</f>
        <v>23.430879137657524</v>
      </c>
      <c r="T17" s="5296">
        <f>Summary_1TUR!S69</f>
        <v>1366952.1153684049</v>
      </c>
      <c r="U17" s="5297"/>
      <c r="V17" s="44"/>
    </row>
    <row r="18" spans="2:22" ht="44.15" customHeight="1" thickBot="1">
      <c r="B18" s="36"/>
      <c r="C18" s="2425">
        <v>0</v>
      </c>
      <c r="D18" s="2426">
        <v>12</v>
      </c>
      <c r="E18" s="2427">
        <v>3</v>
      </c>
      <c r="F18" s="2428">
        <f>'Summary-NoCo'!E73</f>
        <v>148.58097550745785</v>
      </c>
      <c r="G18" s="2429">
        <f>'Summary-NoCo'!F73</f>
        <v>234.14573426120137</v>
      </c>
      <c r="H18" s="2428">
        <f>'Summary-NoCo'!G73</f>
        <v>238.95180035736709</v>
      </c>
      <c r="I18" s="2429">
        <f>'Summary-NoCo'!H73</f>
        <v>213.8786059515156</v>
      </c>
      <c r="J18" s="2428">
        <f>'Summary-NoCo'!I73</f>
        <v>458.38626391655401</v>
      </c>
      <c r="K18" s="2429">
        <f>'Summary-NoCo'!J73</f>
        <v>354.9322815749041</v>
      </c>
      <c r="L18" s="2428">
        <f>'Summary-NoCo'!K73</f>
        <v>5.3010295799831439</v>
      </c>
      <c r="M18" s="2429">
        <f>'Summary-NoCo'!L73</f>
        <v>23.026981043274976</v>
      </c>
      <c r="N18" s="2428">
        <f>'Summary-NoCo'!M73</f>
        <v>17.971857878127999</v>
      </c>
      <c r="O18" s="2429">
        <f>'Summary-NoCo'!N73</f>
        <v>53.7233054204615</v>
      </c>
      <c r="P18" s="2428">
        <f>'Summary-NoCo'!O73</f>
        <v>15.918491764501066</v>
      </c>
      <c r="Q18" s="2429">
        <f>'Summary-NoCo'!P73</f>
        <v>47.14716940786775</v>
      </c>
      <c r="R18" s="2428">
        <f>'Summary-NoCo'!Q73</f>
        <v>21.656951932298298</v>
      </c>
      <c r="S18" s="2429">
        <f>'Summary-NoCo'!R73</f>
        <v>23.007082864845895</v>
      </c>
      <c r="T18" s="5298">
        <f>'Summary-NoCo'!S73</f>
        <v>955964.55779983103</v>
      </c>
      <c r="U18" s="5299"/>
      <c r="V18" s="44"/>
    </row>
    <row r="19" spans="2:22" ht="7.5" customHeight="1">
      <c r="B19" s="36"/>
      <c r="C19" s="180"/>
      <c r="D19" s="180"/>
      <c r="E19" s="180"/>
      <c r="F19" s="181"/>
      <c r="G19" s="181"/>
      <c r="H19" s="181"/>
      <c r="I19" s="182"/>
      <c r="J19" s="182"/>
      <c r="K19" s="182"/>
      <c r="L19" s="182"/>
      <c r="M19" s="182"/>
      <c r="N19" s="182"/>
      <c r="O19" s="182"/>
      <c r="P19" s="182"/>
      <c r="Q19" s="182"/>
      <c r="R19" s="182"/>
      <c r="S19" s="182"/>
      <c r="T19" s="182"/>
      <c r="U19" s="182"/>
      <c r="V19" s="44"/>
    </row>
    <row r="20" spans="2:22" ht="18.649999999999999" customHeight="1" thickBot="1">
      <c r="B20" s="31"/>
      <c r="C20" s="3956"/>
      <c r="D20" s="3956"/>
      <c r="E20" s="3956"/>
      <c r="F20" s="3956"/>
      <c r="G20" s="3956"/>
      <c r="H20" s="3956"/>
      <c r="I20" s="3956"/>
      <c r="J20" s="3956"/>
      <c r="K20" s="3956"/>
      <c r="L20" s="3956"/>
      <c r="M20" s="3956"/>
      <c r="N20" s="3957"/>
      <c r="O20" s="3957"/>
      <c r="P20" s="3956"/>
      <c r="Q20" s="3956"/>
      <c r="R20" s="3956"/>
      <c r="S20" s="3956"/>
      <c r="T20" s="1498"/>
      <c r="U20" s="1498"/>
      <c r="V20" s="40"/>
    </row>
    <row r="21" spans="2:22">
      <c r="C21" s="6"/>
      <c r="D21" s="6"/>
      <c r="E21" s="6"/>
      <c r="F21" s="6"/>
      <c r="G21" s="6"/>
      <c r="H21" s="6"/>
      <c r="I21" s="6"/>
      <c r="J21" s="6"/>
      <c r="K21" s="6"/>
      <c r="L21" s="6"/>
      <c r="M21" s="6"/>
      <c r="N21" s="5"/>
      <c r="O21" s="5"/>
      <c r="P21" s="5"/>
      <c r="Q21" s="5"/>
      <c r="R21" s="5"/>
      <c r="S21" s="5"/>
      <c r="T21" s="5"/>
      <c r="U21" s="5"/>
    </row>
    <row r="22" spans="2:22" ht="29.25" customHeight="1">
      <c r="E22" s="1216"/>
      <c r="F22" s="3616">
        <f>MAX(F14:F18)</f>
        <v>154.45156750745792</v>
      </c>
      <c r="G22" s="3616">
        <f t="shared" ref="G22:S22" si="0">MAX(G14:G18)</f>
        <v>259.85892722120138</v>
      </c>
      <c r="H22" s="3616">
        <f t="shared" si="0"/>
        <v>243.69939935736701</v>
      </c>
      <c r="I22" s="3616">
        <f t="shared" si="0"/>
        <v>234.67308957151553</v>
      </c>
      <c r="J22" s="3616">
        <f t="shared" si="0"/>
        <v>489.04053591655395</v>
      </c>
      <c r="K22" s="3616">
        <f t="shared" si="0"/>
        <v>489.19799293490405</v>
      </c>
      <c r="L22" s="3616">
        <f t="shared" si="0"/>
        <v>11.722999774892124</v>
      </c>
      <c r="M22" s="3616">
        <f t="shared" si="0"/>
        <v>51.155210496976323</v>
      </c>
      <c r="N22" s="3616">
        <f t="shared" si="0"/>
        <v>47.616904936951528</v>
      </c>
      <c r="O22" s="3616">
        <f t="shared" si="0"/>
        <v>183.56861153810843</v>
      </c>
      <c r="P22" s="3616">
        <f t="shared" si="0"/>
        <v>45.563538823324592</v>
      </c>
      <c r="Q22" s="3616">
        <f t="shared" si="0"/>
        <v>176.99247552551469</v>
      </c>
      <c r="R22" s="3616">
        <f t="shared" si="0"/>
        <v>22.185991639002431</v>
      </c>
      <c r="S22" s="3616">
        <f t="shared" si="0"/>
        <v>25.324276780210063</v>
      </c>
      <c r="T22" s="3400"/>
      <c r="U22" s="3400"/>
    </row>
    <row r="23" spans="2:22" ht="26.25" customHeight="1">
      <c r="E23" s="1209"/>
      <c r="F23" s="1211"/>
      <c r="G23" s="1212"/>
      <c r="H23" s="1430"/>
      <c r="I23" s="1431"/>
      <c r="J23" s="1432"/>
      <c r="K23" s="1210"/>
      <c r="L23" s="1210"/>
      <c r="M23" s="1344"/>
      <c r="N23" s="8"/>
      <c r="P23" s="8"/>
      <c r="S23" s="199"/>
    </row>
    <row r="24" spans="2:22" s="1029" customFormat="1" ht="26.25" customHeight="1">
      <c r="E24" s="1209"/>
      <c r="F24" s="1211"/>
      <c r="G24" s="1212"/>
      <c r="H24" s="1433"/>
      <c r="I24" s="1434"/>
      <c r="J24" s="1432"/>
      <c r="K24" s="1210"/>
      <c r="L24" s="1210"/>
      <c r="M24" s="1344"/>
      <c r="N24" s="8"/>
      <c r="P24" s="8"/>
      <c r="S24" s="1035"/>
      <c r="T24" s="1036"/>
      <c r="U24" s="1036"/>
    </row>
    <row r="25" spans="2:22" s="1029" customFormat="1" ht="23.5">
      <c r="E25" s="1209"/>
      <c r="F25" s="1211"/>
      <c r="G25" s="1212"/>
      <c r="H25" s="1433"/>
      <c r="I25" s="1435"/>
      <c r="J25" s="1434"/>
      <c r="K25" s="1210"/>
      <c r="L25" s="1210"/>
      <c r="M25" s="1344"/>
      <c r="N25" s="8"/>
      <c r="P25" s="8"/>
      <c r="S25" s="1035"/>
      <c r="U25" s="1036"/>
    </row>
    <row r="26" spans="2:22" s="1029" customFormat="1" ht="23.5">
      <c r="E26" s="1209"/>
      <c r="F26" s="1210"/>
      <c r="G26" s="1213"/>
      <c r="H26" s="1211"/>
      <c r="I26" s="1210"/>
      <c r="J26" s="1210"/>
      <c r="K26" s="1210"/>
      <c r="L26" s="1210"/>
      <c r="M26" s="1036"/>
      <c r="S26" s="1035"/>
      <c r="U26" s="1036"/>
    </row>
    <row r="27" spans="2:22" ht="23.5">
      <c r="E27" s="1216"/>
      <c r="G27" s="1213"/>
      <c r="H27" s="8"/>
      <c r="I27" s="1210"/>
      <c r="J27" s="1210"/>
      <c r="K27" s="1210"/>
      <c r="L27" s="1210"/>
      <c r="M27" s="1029"/>
      <c r="N27" s="1029"/>
      <c r="O27" s="8"/>
      <c r="P27" s="1029"/>
      <c r="Q27" s="8"/>
      <c r="R27" s="8"/>
      <c r="S27" s="199"/>
      <c r="T27" s="8"/>
      <c r="U27" s="8"/>
    </row>
    <row r="28" spans="2:22" ht="23.5">
      <c r="E28" s="1209"/>
      <c r="F28" s="1211"/>
      <c r="G28" s="1212"/>
      <c r="H28" s="1211"/>
      <c r="I28" s="1210"/>
      <c r="J28" s="1210"/>
      <c r="K28" s="1211"/>
      <c r="L28" s="1210"/>
      <c r="M28" s="1036"/>
      <c r="N28" s="1029"/>
      <c r="P28" s="1029"/>
      <c r="S28" s="199"/>
      <c r="U28" s="8"/>
    </row>
    <row r="29" spans="2:22" ht="23.5">
      <c r="E29" s="1209"/>
      <c r="F29" s="1210"/>
      <c r="G29" s="1213"/>
      <c r="H29" s="1211"/>
      <c r="I29" s="1211"/>
      <c r="J29" s="1211"/>
      <c r="K29" s="1211"/>
      <c r="L29" s="1211"/>
      <c r="M29" s="8"/>
      <c r="N29" s="8"/>
      <c r="P29" s="8"/>
      <c r="S29" s="8"/>
    </row>
    <row r="30" spans="2:22" ht="23.5">
      <c r="E30" s="1216"/>
      <c r="G30" s="1213"/>
      <c r="H30" s="8"/>
      <c r="I30" s="1210"/>
      <c r="J30" s="1210"/>
      <c r="K30" s="1211"/>
      <c r="L30" s="1211"/>
    </row>
    <row r="31" spans="2:22" ht="23.5">
      <c r="E31" s="1209"/>
      <c r="F31" s="1211"/>
      <c r="G31" s="1212"/>
      <c r="H31" s="1211"/>
      <c r="I31" s="1210"/>
      <c r="J31" s="1210"/>
      <c r="K31" s="1211"/>
      <c r="L31" s="1211"/>
    </row>
    <row r="32" spans="2:22" ht="23.5">
      <c r="E32" s="1209"/>
      <c r="F32" s="1210"/>
      <c r="G32" s="1213"/>
      <c r="H32" s="1211"/>
      <c r="I32" s="1210"/>
      <c r="J32" s="1210"/>
      <c r="K32" s="1211"/>
      <c r="L32" s="1211"/>
    </row>
    <row r="33" spans="5:19" ht="20.5">
      <c r="E33" s="1216"/>
      <c r="G33" s="1213"/>
      <c r="H33" s="8"/>
      <c r="R33" s="8"/>
      <c r="S33" s="8"/>
    </row>
    <row r="34" spans="5:19" ht="23.5">
      <c r="E34" s="1209"/>
      <c r="F34" s="1211"/>
      <c r="G34" s="1212"/>
      <c r="H34" s="1211"/>
    </row>
    <row r="35" spans="5:19" ht="23.5">
      <c r="E35" s="1209"/>
      <c r="F35" s="1210"/>
      <c r="G35" s="1213"/>
      <c r="H35" s="1211"/>
      <c r="J35" s="8"/>
      <c r="K35" s="8"/>
    </row>
  </sheetData>
  <mergeCells count="23">
    <mergeCell ref="T12:U12"/>
    <mergeCell ref="T16:U16"/>
    <mergeCell ref="T17:U17"/>
    <mergeCell ref="T18:U18"/>
    <mergeCell ref="C20:S20"/>
    <mergeCell ref="T14:U14"/>
    <mergeCell ref="T15:U15"/>
    <mergeCell ref="B9:V9"/>
    <mergeCell ref="T13:U13"/>
    <mergeCell ref="C3:U3"/>
    <mergeCell ref="C4:U4"/>
    <mergeCell ref="C5:U5"/>
    <mergeCell ref="B10:V10"/>
    <mergeCell ref="C12:C13"/>
    <mergeCell ref="D12:D13"/>
    <mergeCell ref="E12:E13"/>
    <mergeCell ref="F12:G12"/>
    <mergeCell ref="H12:I12"/>
    <mergeCell ref="J12:K12"/>
    <mergeCell ref="L12:M12"/>
    <mergeCell ref="N12:O12"/>
    <mergeCell ref="P12:Q12"/>
    <mergeCell ref="R12:S12"/>
  </mergeCells>
  <pageMargins left="0.7" right="0.7" top="0.75" bottom="0.75" header="0.3" footer="0.3"/>
  <pageSetup scale="48"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tabColor theme="6" tint="-0.249977111117893"/>
  </sheetPr>
  <dimension ref="A1:BT90"/>
  <sheetViews>
    <sheetView view="pageBreakPreview" topLeftCell="A60" zoomScale="53" zoomScaleNormal="50" zoomScaleSheetLayoutView="53" zoomScalePageLayoutView="55" workbookViewId="0">
      <selection activeCell="Q51" sqref="Q51:R51"/>
    </sheetView>
  </sheetViews>
  <sheetFormatPr defaultColWidth="9.36328125" defaultRowHeight="13"/>
  <cols>
    <col min="1" max="1" width="3.6328125" style="38" customWidth="1"/>
    <col min="2" max="2" width="46" style="38" customWidth="1"/>
    <col min="3" max="3" width="24.36328125" style="38" customWidth="1"/>
    <col min="4" max="4" width="22" style="38" customWidth="1"/>
    <col min="5" max="18" width="15" style="38" customWidth="1"/>
    <col min="19" max="20" width="12.54296875" style="38" customWidth="1"/>
    <col min="21" max="21" width="3.6328125" style="38" customWidth="1"/>
    <col min="22" max="22" width="9.36328125" style="38"/>
    <col min="23" max="23" width="23.6328125" style="38" customWidth="1"/>
    <col min="24" max="16384" width="9.36328125" style="38"/>
  </cols>
  <sheetData>
    <row r="1" spans="1:21" ht="13.5" thickBot="1"/>
    <row r="2" spans="1:21" ht="20.25" customHeight="1" thickBot="1">
      <c r="A2" s="33"/>
      <c r="B2" s="34"/>
      <c r="C2" s="34"/>
      <c r="D2" s="34"/>
      <c r="E2" s="34"/>
      <c r="F2" s="34"/>
      <c r="G2" s="34"/>
      <c r="H2" s="34"/>
      <c r="I2" s="34"/>
      <c r="J2" s="34"/>
      <c r="K2" s="34"/>
      <c r="L2" s="34"/>
      <c r="M2" s="34"/>
      <c r="N2" s="34"/>
      <c r="O2" s="34"/>
      <c r="P2" s="34"/>
      <c r="Q2" s="34"/>
      <c r="R2" s="34"/>
      <c r="S2" s="34"/>
      <c r="T2" s="34"/>
      <c r="U2" s="32"/>
    </row>
    <row r="3" spans="1:21"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1" s="2" customFormat="1" ht="39.75" customHeight="1">
      <c r="A4" s="54"/>
      <c r="B4" s="4326" t="s">
        <v>634</v>
      </c>
      <c r="C4" s="4327"/>
      <c r="D4" s="4327"/>
      <c r="E4" s="4327"/>
      <c r="F4" s="4327"/>
      <c r="G4" s="4327"/>
      <c r="H4" s="4327"/>
      <c r="I4" s="4327"/>
      <c r="J4" s="4327"/>
      <c r="K4" s="4327"/>
      <c r="L4" s="4327"/>
      <c r="M4" s="4327"/>
      <c r="N4" s="4327"/>
      <c r="O4" s="4327"/>
      <c r="P4" s="4327"/>
      <c r="Q4" s="4327"/>
      <c r="R4" s="4327"/>
      <c r="S4" s="4327"/>
      <c r="T4" s="4365"/>
      <c r="U4" s="22"/>
    </row>
    <row r="5" spans="1:21" s="2" customFormat="1" ht="39.75" customHeight="1" thickBot="1">
      <c r="A5" s="54"/>
      <c r="B5" s="4366" t="s">
        <v>1363</v>
      </c>
      <c r="C5" s="4367"/>
      <c r="D5" s="4367"/>
      <c r="E5" s="4367"/>
      <c r="F5" s="4367"/>
      <c r="G5" s="4367"/>
      <c r="H5" s="4367"/>
      <c r="I5" s="4367"/>
      <c r="J5" s="4367"/>
      <c r="K5" s="4367"/>
      <c r="L5" s="4367"/>
      <c r="M5" s="4329"/>
      <c r="N5" s="4329"/>
      <c r="O5" s="4367"/>
      <c r="P5" s="4367"/>
      <c r="Q5" s="4367"/>
      <c r="R5" s="4367"/>
      <c r="S5" s="4367"/>
      <c r="T5" s="4368"/>
      <c r="U5" s="22"/>
    </row>
    <row r="6" spans="1:21" ht="21" customHeight="1" thickBot="1">
      <c r="A6" s="31"/>
      <c r="B6" s="25"/>
      <c r="C6" s="25"/>
      <c r="D6" s="25"/>
      <c r="E6" s="25"/>
      <c r="F6" s="25"/>
      <c r="G6" s="25"/>
      <c r="H6" s="25"/>
      <c r="I6" s="25"/>
      <c r="J6" s="25"/>
      <c r="K6" s="25"/>
      <c r="L6" s="25"/>
      <c r="M6" s="25"/>
      <c r="N6" s="25"/>
      <c r="O6" s="25"/>
      <c r="P6" s="25"/>
      <c r="Q6" s="25"/>
      <c r="R6" s="25"/>
      <c r="S6" s="25"/>
      <c r="T6" s="25"/>
      <c r="U6" s="40"/>
    </row>
    <row r="7" spans="1:21" ht="30.75" customHeight="1" thickBot="1">
      <c r="B7" s="4"/>
      <c r="C7" s="4"/>
      <c r="D7" s="4"/>
      <c r="E7" s="4"/>
      <c r="F7" s="4"/>
      <c r="G7" s="4"/>
      <c r="H7" s="4"/>
      <c r="I7" s="4"/>
      <c r="J7" s="4"/>
      <c r="K7" s="4"/>
      <c r="L7" s="4"/>
      <c r="M7" s="4"/>
      <c r="N7" s="4"/>
      <c r="O7" s="4"/>
      <c r="P7" s="4"/>
      <c r="Q7" s="4"/>
      <c r="R7" s="4"/>
      <c r="S7" s="4"/>
      <c r="T7" s="4"/>
    </row>
    <row r="8" spans="1:21" ht="32.25" customHeight="1" thickBot="1">
      <c r="A8" s="3937" t="s">
        <v>309</v>
      </c>
      <c r="B8" s="3938"/>
      <c r="C8" s="3938"/>
      <c r="D8" s="3938"/>
      <c r="E8" s="3938"/>
      <c r="F8" s="3938"/>
      <c r="G8" s="3938"/>
      <c r="H8" s="3938"/>
      <c r="I8" s="3938"/>
      <c r="J8" s="3938"/>
      <c r="K8" s="3938"/>
      <c r="L8" s="3938"/>
      <c r="M8" s="3938"/>
      <c r="N8" s="3938"/>
      <c r="O8" s="3938"/>
      <c r="P8" s="3938"/>
      <c r="Q8" s="3938"/>
      <c r="R8" s="3938"/>
      <c r="S8" s="3938"/>
      <c r="T8" s="3938"/>
      <c r="U8" s="3939"/>
    </row>
    <row r="9" spans="1:21" ht="24" customHeight="1" thickBot="1">
      <c r="A9" s="33"/>
      <c r="B9" s="34"/>
      <c r="C9" s="34"/>
      <c r="D9" s="34"/>
      <c r="E9" s="34"/>
      <c r="F9" s="34"/>
      <c r="G9" s="34"/>
      <c r="H9" s="34"/>
      <c r="I9" s="34"/>
      <c r="J9" s="34"/>
      <c r="K9" s="34"/>
      <c r="L9" s="34"/>
      <c r="M9" s="34"/>
      <c r="N9" s="34"/>
      <c r="O9" s="34"/>
      <c r="P9" s="34"/>
      <c r="Q9" s="34"/>
      <c r="R9" s="34"/>
      <c r="S9" s="34"/>
      <c r="T9" s="34"/>
      <c r="U9" s="32"/>
    </row>
    <row r="10" spans="1:21" ht="42" customHeight="1">
      <c r="A10" s="36"/>
      <c r="B10" s="5310" t="s">
        <v>91</v>
      </c>
      <c r="C10" s="5312" t="s">
        <v>555</v>
      </c>
      <c r="D10" s="5314" t="s">
        <v>556</v>
      </c>
      <c r="E10" s="3954" t="s">
        <v>21</v>
      </c>
      <c r="F10" s="3955"/>
      <c r="G10" s="3952" t="s">
        <v>0</v>
      </c>
      <c r="H10" s="3953"/>
      <c r="I10" s="5316" t="s">
        <v>283</v>
      </c>
      <c r="J10" s="5317"/>
      <c r="K10" s="3952" t="s">
        <v>284</v>
      </c>
      <c r="L10" s="3953"/>
      <c r="M10" s="3952" t="s">
        <v>1311</v>
      </c>
      <c r="N10" s="3953"/>
      <c r="O10" s="3954" t="s">
        <v>285</v>
      </c>
      <c r="P10" s="3955"/>
      <c r="Q10" s="3952" t="s">
        <v>15</v>
      </c>
      <c r="R10" s="3953"/>
      <c r="S10" s="3952" t="s">
        <v>273</v>
      </c>
      <c r="T10" s="3953"/>
      <c r="U10" s="44"/>
    </row>
    <row r="11" spans="1:21" ht="29.25" customHeight="1" thickBot="1">
      <c r="A11" s="36"/>
      <c r="B11" s="5311"/>
      <c r="C11" s="5313"/>
      <c r="D11" s="5315"/>
      <c r="E11" s="3406" t="s">
        <v>22</v>
      </c>
      <c r="F11" s="3058" t="s">
        <v>37</v>
      </c>
      <c r="G11" s="3057" t="s">
        <v>22</v>
      </c>
      <c r="H11" s="3407" t="s">
        <v>37</v>
      </c>
      <c r="I11" s="3406" t="s">
        <v>22</v>
      </c>
      <c r="J11" s="3058" t="s">
        <v>37</v>
      </c>
      <c r="K11" s="3057" t="s">
        <v>22</v>
      </c>
      <c r="L11" s="3407" t="s">
        <v>37</v>
      </c>
      <c r="M11" s="3406" t="s">
        <v>22</v>
      </c>
      <c r="N11" s="3408" t="s">
        <v>37</v>
      </c>
      <c r="O11" s="3406" t="s">
        <v>22</v>
      </c>
      <c r="P11" s="3058" t="s">
        <v>37</v>
      </c>
      <c r="Q11" s="3057" t="s">
        <v>22</v>
      </c>
      <c r="R11" s="3407" t="s">
        <v>37</v>
      </c>
      <c r="S11" s="5318" t="s">
        <v>37</v>
      </c>
      <c r="T11" s="5319"/>
      <c r="U11" s="44"/>
    </row>
    <row r="12" spans="1:21" ht="42" customHeight="1">
      <c r="A12" s="36"/>
      <c r="B12" s="1523" t="str">
        <f>'Summary-NoCo'!B13</f>
        <v>Stabilization Hot Oil Heater
(64.83 MMBtu/hr)</v>
      </c>
      <c r="C12" s="1524" t="str">
        <f>'Summary-NoCo'!C13</f>
        <v>SHTR1</v>
      </c>
      <c r="D12" s="191" t="str">
        <f>'Summary-NoCo'!D13</f>
        <v>SHTR1</v>
      </c>
      <c r="E12" s="1668">
        <f>'Summary-NoCo'!E13</f>
        <v>1.730961</v>
      </c>
      <c r="F12" s="1669">
        <f>'Summary-NoCo'!F13</f>
        <v>7.5816091799999992</v>
      </c>
      <c r="G12" s="1668">
        <f>'Summary-NoCo'!G13</f>
        <v>1.0567289999999998</v>
      </c>
      <c r="H12" s="1669">
        <f>'Summary-NoCo'!H13</f>
        <v>4.6284730199999995</v>
      </c>
      <c r="I12" s="1668">
        <f>'Summary-NoCo'!I13</f>
        <v>0.414912</v>
      </c>
      <c r="J12" s="1669">
        <f>'Summary-NoCo'!J13</f>
        <v>1.81731456</v>
      </c>
      <c r="K12" s="1668">
        <f>'Summary-NoCo'!K13</f>
        <v>0.14300735294117647</v>
      </c>
      <c r="L12" s="1669">
        <f>'Summary-NoCo'!L13</f>
        <v>0.62637220588235298</v>
      </c>
      <c r="M12" s="1668">
        <f>'Summary-NoCo'!M13</f>
        <v>0.48304705882352933</v>
      </c>
      <c r="N12" s="1669">
        <f>'Summary-NoCo'!N13</f>
        <v>2.1157461176470584</v>
      </c>
      <c r="O12" s="1668">
        <f>'Summary-NoCo'!O13</f>
        <v>0.48304705882352933</v>
      </c>
      <c r="P12" s="1669">
        <f>'Summary-NoCo'!P13</f>
        <v>2.1157461176470584</v>
      </c>
      <c r="Q12" s="1668">
        <f>'Summary-NoCo'!Q13</f>
        <v>0.1196558411764706</v>
      </c>
      <c r="R12" s="1669">
        <f>'Summary-NoCo'!R13</f>
        <v>0.52409258435294115</v>
      </c>
      <c r="S12" s="5320">
        <f>'Summary-NoCo'!S13:T13</f>
        <v>33256.326587223601</v>
      </c>
      <c r="T12" s="5321"/>
      <c r="U12" s="44"/>
    </row>
    <row r="13" spans="1:21" ht="42" customHeight="1">
      <c r="A13" s="36"/>
      <c r="B13" s="1523" t="str">
        <f>'Summary-NoCo'!B14</f>
        <v>Stabilization Hot Oil Heater
(64.83 MMBtu/hr)</v>
      </c>
      <c r="C13" s="1524" t="str">
        <f>'Summary-NoCo'!C14</f>
        <v>SHTR2</v>
      </c>
      <c r="D13" s="191" t="str">
        <f>'Summary-NoCo'!D14</f>
        <v>SHTR2</v>
      </c>
      <c r="E13" s="1362">
        <f>'Summary-NoCo'!E14</f>
        <v>1.730961</v>
      </c>
      <c r="F13" s="1363">
        <f>'Summary-NoCo'!F14</f>
        <v>7.5816091799999992</v>
      </c>
      <c r="G13" s="1362">
        <f>'Summary-NoCo'!G14</f>
        <v>1.0567289999999998</v>
      </c>
      <c r="H13" s="1363">
        <f>'Summary-NoCo'!H14</f>
        <v>4.6284730199999995</v>
      </c>
      <c r="I13" s="1362">
        <f>'Summary-NoCo'!I14</f>
        <v>0.414912</v>
      </c>
      <c r="J13" s="1363">
        <f>'Summary-NoCo'!J14</f>
        <v>1.81731456</v>
      </c>
      <c r="K13" s="1362">
        <f>'Summary-NoCo'!K14</f>
        <v>0.14300735294117647</v>
      </c>
      <c r="L13" s="1363">
        <f>'Summary-NoCo'!L14</f>
        <v>0.62637220588235298</v>
      </c>
      <c r="M13" s="1362">
        <f>'Summary-NoCo'!M14</f>
        <v>0.48304705882352933</v>
      </c>
      <c r="N13" s="1363">
        <f>'Summary-NoCo'!N14</f>
        <v>2.1157461176470584</v>
      </c>
      <c r="O13" s="1362">
        <f>'Summary-NoCo'!O14</f>
        <v>0.48304705882352933</v>
      </c>
      <c r="P13" s="1363">
        <f>'Summary-NoCo'!P14</f>
        <v>2.1157461176470584</v>
      </c>
      <c r="Q13" s="1362">
        <f>'Summary-NoCo'!Q14</f>
        <v>0.11959863823529414</v>
      </c>
      <c r="R13" s="1363">
        <f>'Summary-NoCo'!R14</f>
        <v>0.52384203547058827</v>
      </c>
      <c r="S13" s="5322">
        <f>'Summary-NoCo'!S14:T14</f>
        <v>33256.326587223601</v>
      </c>
      <c r="T13" s="5323"/>
      <c r="U13" s="44"/>
    </row>
    <row r="14" spans="1:21" ht="42" customHeight="1">
      <c r="A14" s="36"/>
      <c r="B14" s="1523" t="str">
        <f>'Summary-NoCo'!B15</f>
        <v>Stabilization Hot Oil Heater
(64.83 MMBtu/hr)</v>
      </c>
      <c r="C14" s="1524" t="str">
        <f>'Summary-NoCo'!C15</f>
        <v>SHTR3</v>
      </c>
      <c r="D14" s="191" t="str">
        <f>'Summary-NoCo'!D15</f>
        <v>SHTR3</v>
      </c>
      <c r="E14" s="1362">
        <f>'Summary-NoCo'!E15</f>
        <v>1.730961</v>
      </c>
      <c r="F14" s="1363">
        <f>'Summary-NoCo'!F15</f>
        <v>7.5816091799999992</v>
      </c>
      <c r="G14" s="1362">
        <f>'Summary-NoCo'!G15</f>
        <v>1.0567289999999998</v>
      </c>
      <c r="H14" s="1363">
        <f>'Summary-NoCo'!H15</f>
        <v>4.6284730199999995</v>
      </c>
      <c r="I14" s="1362">
        <f>'Summary-NoCo'!I15</f>
        <v>0.414912</v>
      </c>
      <c r="J14" s="1363">
        <f>'Summary-NoCo'!J15</f>
        <v>1.81731456</v>
      </c>
      <c r="K14" s="1362">
        <f>'Summary-NoCo'!K15</f>
        <v>0.14300735294117647</v>
      </c>
      <c r="L14" s="1363">
        <f>'Summary-NoCo'!L15</f>
        <v>0.62637220588235298</v>
      </c>
      <c r="M14" s="1362">
        <f>'Summary-NoCo'!M15</f>
        <v>0.48304705882352933</v>
      </c>
      <c r="N14" s="1363">
        <f>'Summary-NoCo'!N15</f>
        <v>2.1157461176470584</v>
      </c>
      <c r="O14" s="1362">
        <f>'Summary-NoCo'!O15</f>
        <v>0.48304705882352933</v>
      </c>
      <c r="P14" s="1363">
        <f>'Summary-NoCo'!P15</f>
        <v>2.1157461176470584</v>
      </c>
      <c r="Q14" s="1362">
        <f>'Summary-NoCo'!Q15</f>
        <v>0.11959863823529414</v>
      </c>
      <c r="R14" s="1363">
        <f>'Summary-NoCo'!R15</f>
        <v>0.52384203547058827</v>
      </c>
      <c r="S14" s="5322">
        <f>'Summary-NoCo'!S15:T15</f>
        <v>33256.326587223601</v>
      </c>
      <c r="T14" s="5323"/>
      <c r="U14" s="44"/>
    </row>
    <row r="15" spans="1:21" ht="42" customHeight="1">
      <c r="A15" s="36"/>
      <c r="B15" s="1523" t="str">
        <f>'Summary-NoCo'!B16</f>
        <v>Stabilization Hot Oil Heater
(64.83 MMBtu/hr)</v>
      </c>
      <c r="C15" s="1524" t="str">
        <f>'Summary-NoCo'!C16</f>
        <v>SHTR4</v>
      </c>
      <c r="D15" s="191" t="str">
        <f>'Summary-NoCo'!D16</f>
        <v>SHTR4</v>
      </c>
      <c r="E15" s="1362">
        <f>'Summary-NoCo'!E16</f>
        <v>1.730961</v>
      </c>
      <c r="F15" s="1363">
        <f>'Summary-NoCo'!F16</f>
        <v>7.5816091799999992</v>
      </c>
      <c r="G15" s="1362">
        <f>'Summary-NoCo'!G16</f>
        <v>1.0567289999999998</v>
      </c>
      <c r="H15" s="1363">
        <f>'Summary-NoCo'!H16</f>
        <v>4.6284730199999995</v>
      </c>
      <c r="I15" s="1362">
        <f>'Summary-NoCo'!I16</f>
        <v>0.414912</v>
      </c>
      <c r="J15" s="1363">
        <f>'Summary-NoCo'!J16</f>
        <v>1.81731456</v>
      </c>
      <c r="K15" s="1362">
        <f>'Summary-NoCo'!K16</f>
        <v>0.14300735294117647</v>
      </c>
      <c r="L15" s="1363">
        <f>'Summary-NoCo'!L16</f>
        <v>0.62637220588235298</v>
      </c>
      <c r="M15" s="1362">
        <f>'Summary-NoCo'!M16</f>
        <v>0.48304705882352933</v>
      </c>
      <c r="N15" s="1363">
        <f>'Summary-NoCo'!N16</f>
        <v>2.1157461176470584</v>
      </c>
      <c r="O15" s="1362">
        <f>'Summary-NoCo'!O16</f>
        <v>0.48304705882352933</v>
      </c>
      <c r="P15" s="1363">
        <f>'Summary-NoCo'!P16</f>
        <v>2.1157461176470584</v>
      </c>
      <c r="Q15" s="1362">
        <f>'Summary-NoCo'!Q16</f>
        <v>0.11959863823529414</v>
      </c>
      <c r="R15" s="1363">
        <f>'Summary-NoCo'!R16</f>
        <v>0.52384203547058827</v>
      </c>
      <c r="S15" s="5322">
        <f>'Summary-NoCo'!S16:T16</f>
        <v>33256.326587223601</v>
      </c>
      <c r="T15" s="5323"/>
      <c r="U15" s="44"/>
    </row>
    <row r="16" spans="1:21" ht="42" customHeight="1">
      <c r="A16" s="36"/>
      <c r="B16" s="1523" t="str">
        <f>'Summary-NoCo'!B17</f>
        <v>Stabilization Hot Oil Heater
(64.83 MMBtu/hr)</v>
      </c>
      <c r="C16" s="1524" t="str">
        <f>'Summary-NoCo'!C17</f>
        <v>SHTR5</v>
      </c>
      <c r="D16" s="191" t="str">
        <f>'Summary-NoCo'!D17</f>
        <v>SHTR5</v>
      </c>
      <c r="E16" s="1362">
        <f>'Summary-NoCo'!E17</f>
        <v>1.730961</v>
      </c>
      <c r="F16" s="1363">
        <f>'Summary-NoCo'!F17</f>
        <v>7.5816091799999992</v>
      </c>
      <c r="G16" s="1362">
        <f>'Summary-NoCo'!G17</f>
        <v>1.0567289999999998</v>
      </c>
      <c r="H16" s="1363">
        <f>'Summary-NoCo'!H17</f>
        <v>4.6284730199999995</v>
      </c>
      <c r="I16" s="1362">
        <f>'Summary-NoCo'!I17</f>
        <v>0.414912</v>
      </c>
      <c r="J16" s="1363">
        <f>'Summary-NoCo'!J17</f>
        <v>1.81731456</v>
      </c>
      <c r="K16" s="1362">
        <f>'Summary-NoCo'!K17</f>
        <v>0.14300735294117647</v>
      </c>
      <c r="L16" s="1363">
        <f>'Summary-NoCo'!L17</f>
        <v>0.62637220588235298</v>
      </c>
      <c r="M16" s="1362">
        <f>'Summary-NoCo'!M17</f>
        <v>0.48304705882352933</v>
      </c>
      <c r="N16" s="1363">
        <f>'Summary-NoCo'!N17</f>
        <v>2.1157461176470584</v>
      </c>
      <c r="O16" s="1362">
        <f>'Summary-NoCo'!O17</f>
        <v>0.48304705882352933</v>
      </c>
      <c r="P16" s="1363">
        <f>'Summary-NoCo'!P17</f>
        <v>2.1157461176470584</v>
      </c>
      <c r="Q16" s="1362">
        <f>'Summary-NoCo'!Q17</f>
        <v>0.11959863823529414</v>
      </c>
      <c r="R16" s="1363">
        <f>'Summary-NoCo'!R17</f>
        <v>0.52384203547058827</v>
      </c>
      <c r="S16" s="5322">
        <f>'Summary-NoCo'!S17:T17</f>
        <v>33256.326587223601</v>
      </c>
      <c r="T16" s="5323"/>
      <c r="U16" s="44"/>
    </row>
    <row r="17" spans="1:24" ht="42" customHeight="1">
      <c r="A17" s="36"/>
      <c r="B17" s="1523" t="str">
        <f>'Summary-NoCo'!B18</f>
        <v>Stabilization Hot Oil Heater
(64.83 MMBtu/hr)</v>
      </c>
      <c r="C17" s="1524" t="str">
        <f>'Summary-NoCo'!C18</f>
        <v>SHTR6</v>
      </c>
      <c r="D17" s="191" t="str">
        <f>'Summary-NoCo'!D18</f>
        <v>SHTR6</v>
      </c>
      <c r="E17" s="1362">
        <f>'Summary-NoCo'!E18</f>
        <v>1.730961</v>
      </c>
      <c r="F17" s="1363">
        <f>'Summary-NoCo'!F18</f>
        <v>7.5816091799999992</v>
      </c>
      <c r="G17" s="1362">
        <f>'Summary-NoCo'!G18</f>
        <v>1.0567289999999998</v>
      </c>
      <c r="H17" s="1363">
        <f>'Summary-NoCo'!H18</f>
        <v>4.6284730199999995</v>
      </c>
      <c r="I17" s="1362">
        <f>'Summary-NoCo'!I18</f>
        <v>0.414912</v>
      </c>
      <c r="J17" s="1363">
        <f>'Summary-NoCo'!J18</f>
        <v>1.81731456</v>
      </c>
      <c r="K17" s="1362">
        <f>'Summary-NoCo'!K18</f>
        <v>0.14300735294117647</v>
      </c>
      <c r="L17" s="1363">
        <f>'Summary-NoCo'!L18</f>
        <v>0.62637220588235298</v>
      </c>
      <c r="M17" s="1362">
        <f>'Summary-NoCo'!M18</f>
        <v>0.48304705882352933</v>
      </c>
      <c r="N17" s="1363">
        <f>'Summary-NoCo'!N18</f>
        <v>2.1157461176470584</v>
      </c>
      <c r="O17" s="1362">
        <f>'Summary-NoCo'!O18</f>
        <v>0.48304705882352933</v>
      </c>
      <c r="P17" s="1363">
        <f>'Summary-NoCo'!P18</f>
        <v>2.1157461176470584</v>
      </c>
      <c r="Q17" s="1362">
        <f>'Summary-NoCo'!Q18</f>
        <v>0.11959863823529414</v>
      </c>
      <c r="R17" s="1363">
        <f>'Summary-NoCo'!R18</f>
        <v>0.52384203547058827</v>
      </c>
      <c r="S17" s="5322">
        <f>'Summary-NoCo'!S18:T18</f>
        <v>33256.326587223601</v>
      </c>
      <c r="T17" s="5323"/>
      <c r="U17" s="44"/>
    </row>
    <row r="18" spans="1:24" ht="42" customHeight="1">
      <c r="A18" s="36"/>
      <c r="B18" s="1523" t="str">
        <f>'Summary-NoCo'!B19</f>
        <v>Stabilization Hot Oil Heater
(64.83 MMBtu/hr)</v>
      </c>
      <c r="C18" s="1524" t="str">
        <f>'Summary-NoCo'!C19</f>
        <v>SHTR7</v>
      </c>
      <c r="D18" s="191" t="str">
        <f>'Summary-NoCo'!D19</f>
        <v>SHTR7</v>
      </c>
      <c r="E18" s="1362">
        <f>'Summary-NoCo'!E19</f>
        <v>1.730961</v>
      </c>
      <c r="F18" s="1363">
        <f>'Summary-NoCo'!F19</f>
        <v>7.5816091799999992</v>
      </c>
      <c r="G18" s="1362">
        <f>'Summary-NoCo'!G19</f>
        <v>1.0567289999999998</v>
      </c>
      <c r="H18" s="1363">
        <f>'Summary-NoCo'!H19</f>
        <v>4.6284730199999995</v>
      </c>
      <c r="I18" s="1362">
        <f>'Summary-NoCo'!I19</f>
        <v>0.414912</v>
      </c>
      <c r="J18" s="1363">
        <f>'Summary-NoCo'!J19</f>
        <v>1.81731456</v>
      </c>
      <c r="K18" s="1362">
        <f>'Summary-NoCo'!K19</f>
        <v>0.14300735294117647</v>
      </c>
      <c r="L18" s="1363">
        <f>'Summary-NoCo'!L19</f>
        <v>0.62637220588235298</v>
      </c>
      <c r="M18" s="1362">
        <f>'Summary-NoCo'!M19</f>
        <v>0.48304705882352933</v>
      </c>
      <c r="N18" s="1363">
        <f>'Summary-NoCo'!N19</f>
        <v>2.1157461176470584</v>
      </c>
      <c r="O18" s="1362">
        <f>'Summary-NoCo'!O19</f>
        <v>0.48304705882352933</v>
      </c>
      <c r="P18" s="1363">
        <f>'Summary-NoCo'!P19</f>
        <v>2.1157461176470584</v>
      </c>
      <c r="Q18" s="1362">
        <f>'Summary-NoCo'!Q19</f>
        <v>0.11959863823529414</v>
      </c>
      <c r="R18" s="1363">
        <f>'Summary-NoCo'!R19</f>
        <v>0.52384203547058827</v>
      </c>
      <c r="S18" s="5322">
        <f>'Summary-NoCo'!S19:T19</f>
        <v>33256.326587223601</v>
      </c>
      <c r="T18" s="5323"/>
      <c r="U18" s="44"/>
    </row>
    <row r="19" spans="1:24" ht="42" customHeight="1">
      <c r="A19" s="36"/>
      <c r="B19" s="1523" t="str">
        <f>'Summary-NoCo'!B20</f>
        <v>Stabilization Hot Oil Heater
(64.83 MMBtu/hr)</v>
      </c>
      <c r="C19" s="1524" t="str">
        <f>'Summary-NoCo'!C20</f>
        <v>SHTR8</v>
      </c>
      <c r="D19" s="191" t="str">
        <f>'Summary-NoCo'!D20</f>
        <v>SHTR8</v>
      </c>
      <c r="E19" s="1362">
        <f>'Summary-NoCo'!E20</f>
        <v>1.730961</v>
      </c>
      <c r="F19" s="1363">
        <f>'Summary-NoCo'!F20</f>
        <v>7.5816091799999992</v>
      </c>
      <c r="G19" s="1362">
        <f>'Summary-NoCo'!G20</f>
        <v>1.0567289999999998</v>
      </c>
      <c r="H19" s="1363">
        <f>'Summary-NoCo'!H20</f>
        <v>4.6284730199999995</v>
      </c>
      <c r="I19" s="1362">
        <f>'Summary-NoCo'!I20</f>
        <v>0.414912</v>
      </c>
      <c r="J19" s="1363">
        <f>'Summary-NoCo'!J20</f>
        <v>1.81731456</v>
      </c>
      <c r="K19" s="1362">
        <f>'Summary-NoCo'!K20</f>
        <v>0.14300735294117647</v>
      </c>
      <c r="L19" s="1363">
        <f>'Summary-NoCo'!L20</f>
        <v>0.62637220588235298</v>
      </c>
      <c r="M19" s="1362">
        <f>'Summary-NoCo'!M20</f>
        <v>0.48304705882352933</v>
      </c>
      <c r="N19" s="1363">
        <f>'Summary-NoCo'!N20</f>
        <v>2.1157461176470584</v>
      </c>
      <c r="O19" s="1362">
        <f>'Summary-NoCo'!O20</f>
        <v>0.48304705882352933</v>
      </c>
      <c r="P19" s="1363">
        <f>'Summary-NoCo'!P20</f>
        <v>2.1157461176470584</v>
      </c>
      <c r="Q19" s="1362">
        <f>'Summary-NoCo'!Q20</f>
        <v>0.11959863823529414</v>
      </c>
      <c r="R19" s="1363">
        <f>'Summary-NoCo'!R20</f>
        <v>0.52384203547058827</v>
      </c>
      <c r="S19" s="5322">
        <f>'Summary-NoCo'!S20:T20</f>
        <v>33256.326587223601</v>
      </c>
      <c r="T19" s="5323"/>
      <c r="U19" s="44"/>
    </row>
    <row r="20" spans="1:24" ht="42" customHeight="1">
      <c r="A20" s="36"/>
      <c r="B20" s="1499" t="str">
        <f>'Summary-NoCo'!B25</f>
        <v>Cryo Hot Oil Heater
(103.99 MMBtu/hr)</v>
      </c>
      <c r="C20" s="1524" t="str">
        <f>'Summary-NoCo'!C25</f>
        <v>CHTR1</v>
      </c>
      <c r="D20" s="1525" t="str">
        <f>'Summary-NoCo'!D25</f>
        <v>CHTR1</v>
      </c>
      <c r="E20" s="1649">
        <f>'Summary-NoCo'!E25</f>
        <v>3.4732659999999997</v>
      </c>
      <c r="F20" s="1650">
        <f>'Summary-NoCo'!F25</f>
        <v>15.212905079999999</v>
      </c>
      <c r="G20" s="1649">
        <f>'Summary-NoCo'!G25</f>
        <v>1.6950369999999997</v>
      </c>
      <c r="H20" s="1650">
        <f>'Summary-NoCo'!H25</f>
        <v>7.4242620599999984</v>
      </c>
      <c r="I20" s="1649">
        <f>'Summary-NoCo'!I25</f>
        <v>0.66553600000000002</v>
      </c>
      <c r="J20" s="1650">
        <f>'Summary-NoCo'!J25</f>
        <v>2.9150476800000003</v>
      </c>
      <c r="K20" s="1649">
        <f>'Summary-NoCo'!K25</f>
        <v>0.22938970588235294</v>
      </c>
      <c r="L20" s="1650">
        <f>'Summary-NoCo'!L25</f>
        <v>1.0047269117647057</v>
      </c>
      <c r="M20" s="1649">
        <f>'Summary-NoCo'!M25</f>
        <v>0.77482745098039207</v>
      </c>
      <c r="N20" s="1650">
        <f>'Summary-NoCo'!N25</f>
        <v>3.393744235294117</v>
      </c>
      <c r="O20" s="1649">
        <f>'Summary-NoCo'!O25</f>
        <v>0.77482745098039207</v>
      </c>
      <c r="P20" s="1650">
        <f>'Summary-NoCo'!P25</f>
        <v>3.393744235294117</v>
      </c>
      <c r="Q20" s="1649">
        <f>'Summary-NoCo'!Q25</f>
        <v>0.19184115980392158</v>
      </c>
      <c r="R20" s="1650">
        <f>'Summary-NoCo'!R25</f>
        <v>0.84026427994117647</v>
      </c>
      <c r="S20" s="5322">
        <f>'Summary-NoCo'!S25:T25</f>
        <v>53344.522625410798</v>
      </c>
      <c r="T20" s="5323"/>
      <c r="U20" s="44"/>
    </row>
    <row r="21" spans="1:24" ht="42" customHeight="1">
      <c r="A21" s="36"/>
      <c r="B21" s="1499" t="str">
        <f>'Summary-NoCo'!B26</f>
        <v>Cryo Hot Oil Heater
(103.99 MMBtu/hr)</v>
      </c>
      <c r="C21" s="1524" t="str">
        <f>'Summary-NoCo'!C26</f>
        <v>CHTR2</v>
      </c>
      <c r="D21" s="1525" t="str">
        <f>'Summary-NoCo'!D26</f>
        <v>CHTR2</v>
      </c>
      <c r="E21" s="1649">
        <f>'Summary-NoCo'!E26</f>
        <v>3.4732659999999997</v>
      </c>
      <c r="F21" s="1650">
        <f>'Summary-NoCo'!F26</f>
        <v>15.212905079999999</v>
      </c>
      <c r="G21" s="1649">
        <f>'Summary-NoCo'!G26</f>
        <v>1.6950369999999997</v>
      </c>
      <c r="H21" s="1650">
        <f>'Summary-NoCo'!H26</f>
        <v>7.4242620599999984</v>
      </c>
      <c r="I21" s="1649">
        <f>'Summary-NoCo'!I26</f>
        <v>0.66553600000000002</v>
      </c>
      <c r="J21" s="1650">
        <f>'Summary-NoCo'!J26</f>
        <v>2.9150476800000003</v>
      </c>
      <c r="K21" s="1649">
        <f>'Summary-NoCo'!K26</f>
        <v>0.22938970588235294</v>
      </c>
      <c r="L21" s="1650">
        <f>'Summary-NoCo'!L26</f>
        <v>1.0047269117647057</v>
      </c>
      <c r="M21" s="1649">
        <f>'Summary-NoCo'!M26</f>
        <v>0.77482745098039207</v>
      </c>
      <c r="N21" s="1650">
        <f>'Summary-NoCo'!N26</f>
        <v>3.393744235294117</v>
      </c>
      <c r="O21" s="1649">
        <f>'Summary-NoCo'!O26</f>
        <v>0.77482745098039207</v>
      </c>
      <c r="P21" s="1650">
        <f>'Summary-NoCo'!P26</f>
        <v>3.393744235294117</v>
      </c>
      <c r="Q21" s="1649">
        <f>'Summary-NoCo'!Q26</f>
        <v>0.19184115980392158</v>
      </c>
      <c r="R21" s="1650">
        <f>'Summary-NoCo'!R26</f>
        <v>0.84026427994117647</v>
      </c>
      <c r="S21" s="5322">
        <f>'Summary-NoCo'!S26:T26</f>
        <v>53344.522625410798</v>
      </c>
      <c r="T21" s="5323"/>
      <c r="U21" s="44"/>
    </row>
    <row r="22" spans="1:24" ht="42" customHeight="1">
      <c r="A22" s="36"/>
      <c r="B22" s="1499" t="str">
        <f>'Summary-NoCo'!B27</f>
        <v>Cryo Hot Oil Heater
(103.99 MMBtu/hr)</v>
      </c>
      <c r="C22" s="1524" t="str">
        <f>'Summary-NoCo'!C27</f>
        <v>CHTR3</v>
      </c>
      <c r="D22" s="1525" t="str">
        <f>'Summary-NoCo'!D27</f>
        <v>CHTR3</v>
      </c>
      <c r="E22" s="1649">
        <f>'Summary-NoCo'!E27</f>
        <v>3.4732659999999997</v>
      </c>
      <c r="F22" s="1650">
        <f>'Summary-NoCo'!F27</f>
        <v>15.212905079999999</v>
      </c>
      <c r="G22" s="1649">
        <f>'Summary-NoCo'!G27</f>
        <v>1.6950369999999997</v>
      </c>
      <c r="H22" s="1650">
        <f>'Summary-NoCo'!H27</f>
        <v>7.4242620599999984</v>
      </c>
      <c r="I22" s="1649">
        <f>'Summary-NoCo'!I27</f>
        <v>0.66553600000000002</v>
      </c>
      <c r="J22" s="1650">
        <f>'Summary-NoCo'!J27</f>
        <v>2.9150476800000003</v>
      </c>
      <c r="K22" s="1649">
        <f>'Summary-NoCo'!K27</f>
        <v>0.22938970588235294</v>
      </c>
      <c r="L22" s="1650">
        <f>'Summary-NoCo'!L27</f>
        <v>1.0047269117647057</v>
      </c>
      <c r="M22" s="1649">
        <f>'Summary-NoCo'!M27</f>
        <v>0.77482745098039207</v>
      </c>
      <c r="N22" s="1650">
        <f>'Summary-NoCo'!N27</f>
        <v>3.393744235294117</v>
      </c>
      <c r="O22" s="1649">
        <f>'Summary-NoCo'!O27</f>
        <v>0.77482745098039207</v>
      </c>
      <c r="P22" s="1650">
        <f>'Summary-NoCo'!P27</f>
        <v>3.393744235294117</v>
      </c>
      <c r="Q22" s="1649">
        <f>'Summary-NoCo'!Q27</f>
        <v>0.19184115980392158</v>
      </c>
      <c r="R22" s="1650">
        <f>'Summary-NoCo'!R27</f>
        <v>0.84026427994117647</v>
      </c>
      <c r="S22" s="5322">
        <f>'Summary-NoCo'!S27:T27</f>
        <v>53344.522625410798</v>
      </c>
      <c r="T22" s="5323"/>
      <c r="U22" s="44"/>
    </row>
    <row r="23" spans="1:24" ht="42" customHeight="1">
      <c r="A23" s="36"/>
      <c r="B23" s="1499" t="str">
        <f>'Summary-NoCo'!B28</f>
        <v>Regen Heater 
(39.14 MMBtu/hr)</v>
      </c>
      <c r="C23" s="1524" t="str">
        <f>'Summary-NoCo'!C28</f>
        <v>RHTR1</v>
      </c>
      <c r="D23" s="1525" t="str">
        <f>'Summary-NoCo'!D28</f>
        <v>RHTR1</v>
      </c>
      <c r="E23" s="398">
        <f>Burners!M16</f>
        <v>1.0450380000000001</v>
      </c>
      <c r="F23" s="397">
        <f>Burners!R16</f>
        <v>4.5772664400000007</v>
      </c>
      <c r="G23" s="398">
        <f>Burners!N16</f>
        <v>0.63798199999999994</v>
      </c>
      <c r="H23" s="406">
        <f>Burners!S16</f>
        <v>2.7943611599999998</v>
      </c>
      <c r="I23" s="398">
        <f>Burners!O16</f>
        <v>0.250496</v>
      </c>
      <c r="J23" s="406">
        <f>Burners!T16</f>
        <v>1.09717248</v>
      </c>
      <c r="K23" s="398">
        <f>Burners!P16</f>
        <v>8.633823529411766E-2</v>
      </c>
      <c r="L23" s="406">
        <f>Burners!U16</f>
        <v>0.37816147058823535</v>
      </c>
      <c r="M23" s="398">
        <f t="shared" ref="M23:N25" si="0">O23</f>
        <v>0.29163137254901961</v>
      </c>
      <c r="N23" s="397">
        <f t="shared" si="0"/>
        <v>1.2773454117647058</v>
      </c>
      <c r="O23" s="398">
        <f>Burners!Q16</f>
        <v>0.29163137254901961</v>
      </c>
      <c r="P23" s="406">
        <f>Burners!V16</f>
        <v>1.2773454117647058</v>
      </c>
      <c r="Q23" s="398">
        <f>SUM(Burners!M33:Q33)</f>
        <v>7.2205625490196074E-2</v>
      </c>
      <c r="R23" s="406">
        <f>SUM(Burners!R33:V33)</f>
        <v>0.31626063964705881</v>
      </c>
      <c r="S23" s="3972">
        <f>RegenGHG!H43</f>
        <v>20077.936489648804</v>
      </c>
      <c r="T23" s="3973"/>
      <c r="U23" s="44"/>
    </row>
    <row r="24" spans="1:24" ht="42" customHeight="1">
      <c r="A24" s="36"/>
      <c r="B24" s="1499" t="str">
        <f>'Summary-NoCo'!B29</f>
        <v>Regen Heater
(39.14 MMBtu/hr)</v>
      </c>
      <c r="C24" s="1524" t="str">
        <f>'Summary-NoCo'!C29</f>
        <v>RHTR2</v>
      </c>
      <c r="D24" s="1525" t="str">
        <f>'Summary-NoCo'!D29</f>
        <v>RHTR2</v>
      </c>
      <c r="E24" s="398">
        <f>Burners!M17</f>
        <v>1.0450380000000001</v>
      </c>
      <c r="F24" s="397">
        <f>Burners!R17</f>
        <v>4.5772664400000007</v>
      </c>
      <c r="G24" s="398">
        <f>Burners!N17</f>
        <v>0.63798199999999994</v>
      </c>
      <c r="H24" s="406">
        <f>Burners!S17</f>
        <v>2.7943611599999998</v>
      </c>
      <c r="I24" s="398">
        <f>Burners!O17</f>
        <v>0.250496</v>
      </c>
      <c r="J24" s="406">
        <f>Burners!T17</f>
        <v>1.09717248</v>
      </c>
      <c r="K24" s="398">
        <f>Burners!P17</f>
        <v>8.633823529411766E-2</v>
      </c>
      <c r="L24" s="406">
        <f>Burners!U17</f>
        <v>0.37816147058823535</v>
      </c>
      <c r="M24" s="398">
        <f t="shared" si="0"/>
        <v>0.29163137254901961</v>
      </c>
      <c r="N24" s="397">
        <f t="shared" si="0"/>
        <v>1.2773454117647058</v>
      </c>
      <c r="O24" s="398">
        <f>Burners!Q17</f>
        <v>0.29163137254901961</v>
      </c>
      <c r="P24" s="406">
        <f>Burners!V17</f>
        <v>1.2773454117647058</v>
      </c>
      <c r="Q24" s="398">
        <f>SUM(Burners!M34:Q34)</f>
        <v>7.2205625490196074E-2</v>
      </c>
      <c r="R24" s="406">
        <f>SUM(Burners!R34:V34)</f>
        <v>0.31626063964705881</v>
      </c>
      <c r="S24" s="3972">
        <f>S23</f>
        <v>20077.936489648804</v>
      </c>
      <c r="T24" s="3973"/>
      <c r="U24" s="44"/>
      <c r="W24" s="8"/>
      <c r="X24" s="8"/>
    </row>
    <row r="25" spans="1:24" ht="42" customHeight="1">
      <c r="A25" s="36"/>
      <c r="B25" s="1499" t="str">
        <f>'Summary-NoCo'!B30</f>
        <v>Regen Heater
(39.14 MMBtu/hr)</v>
      </c>
      <c r="C25" s="1524" t="str">
        <f>'Summary-NoCo'!C30</f>
        <v>RHTR3</v>
      </c>
      <c r="D25" s="1525" t="str">
        <f>'Summary-NoCo'!D30</f>
        <v>RHTR3</v>
      </c>
      <c r="E25" s="398">
        <f>Burners!M18</f>
        <v>1.0450380000000001</v>
      </c>
      <c r="F25" s="397">
        <f>Burners!R18</f>
        <v>4.5772664400000007</v>
      </c>
      <c r="G25" s="398">
        <f>Burners!N18</f>
        <v>0.63798199999999994</v>
      </c>
      <c r="H25" s="406">
        <f>Burners!S18</f>
        <v>2.7943611599999998</v>
      </c>
      <c r="I25" s="398">
        <f>Burners!O18</f>
        <v>0.250496</v>
      </c>
      <c r="J25" s="406">
        <f>Burners!T18</f>
        <v>1.09717248</v>
      </c>
      <c r="K25" s="398">
        <f>Burners!P18</f>
        <v>8.633823529411766E-2</v>
      </c>
      <c r="L25" s="406">
        <f>Burners!U18</f>
        <v>0.37816147058823535</v>
      </c>
      <c r="M25" s="398">
        <f t="shared" si="0"/>
        <v>0.29163137254901961</v>
      </c>
      <c r="N25" s="397">
        <f t="shared" si="0"/>
        <v>1.2773454117647058</v>
      </c>
      <c r="O25" s="398">
        <f>Burners!Q18</f>
        <v>0.29163137254901961</v>
      </c>
      <c r="P25" s="406">
        <f>Burners!V18</f>
        <v>1.2773454117647058</v>
      </c>
      <c r="Q25" s="398">
        <f>SUM(Burners!M35:Q35)</f>
        <v>7.2205625490196074E-2</v>
      </c>
      <c r="R25" s="406">
        <f>SUM(Burners!R35:V35)</f>
        <v>0.31626063964705881</v>
      </c>
      <c r="S25" s="3972">
        <f>S23</f>
        <v>20077.936489648804</v>
      </c>
      <c r="T25" s="3973"/>
      <c r="U25" s="44"/>
    </row>
    <row r="26" spans="1:24" ht="42" customHeight="1">
      <c r="A26" s="36"/>
      <c r="B26" s="1499" t="str">
        <f>'Summary-NoCo'!B31</f>
        <v>SSM/Emergency Flare 1 
(Dual Tip Flare) - Pilot/Purge</v>
      </c>
      <c r="C26" s="5302" t="str">
        <f>'Summary-NoCo'!C31</f>
        <v>FL1-FL31</v>
      </c>
      <c r="D26" s="5305" t="str">
        <f>'Summary-NoCo'!D31</f>
        <v>FL1-FL31</v>
      </c>
      <c r="E26" s="3983">
        <f>'Summary-Co'!E18</f>
        <v>2.6783137254439984</v>
      </c>
      <c r="F26" s="3980">
        <f>'Summary-Co'!F18</f>
        <v>11.73101411744471</v>
      </c>
      <c r="G26" s="3983">
        <f>'Summary-Co'!G18</f>
        <v>5.3469234156508803</v>
      </c>
      <c r="H26" s="3980">
        <f>'Summary-Co'!H18</f>
        <v>23.419524560550855</v>
      </c>
      <c r="I26" s="3983">
        <f>'Summary-Co'!I18</f>
        <v>0.80398014094115633</v>
      </c>
      <c r="J26" s="3980">
        <f>'Summary-Co'!J18</f>
        <v>3.5214330173222645</v>
      </c>
      <c r="K26" s="3983">
        <f>'Summary-Co'!K18</f>
        <v>0</v>
      </c>
      <c r="L26" s="3980">
        <f>'Summary-Co'!L18</f>
        <v>0</v>
      </c>
      <c r="M26" s="3983">
        <f>'Summary-Co'!M18</f>
        <v>0.14460915255310022</v>
      </c>
      <c r="N26" s="3980">
        <f>'Summary-Co'!N18</f>
        <v>0.63338808818257897</v>
      </c>
      <c r="O26" s="3983">
        <f>'Summary-Co'!O18</f>
        <v>0.14460915255310022</v>
      </c>
      <c r="P26" s="3980">
        <f>'Summary-Co'!P18</f>
        <v>0.63338808818257897</v>
      </c>
      <c r="Q26" s="3983">
        <f>'Summary-Co'!Q18</f>
        <v>0</v>
      </c>
      <c r="R26" s="3980">
        <f>'Summary-Co'!R18</f>
        <v>0</v>
      </c>
      <c r="S26" s="3989">
        <f>'Summary-Co'!S18</f>
        <v>0</v>
      </c>
      <c r="T26" s="3990"/>
      <c r="U26" s="44"/>
      <c r="V26" s="8"/>
      <c r="W26" s="8"/>
    </row>
    <row r="27" spans="1:24" ht="42" customHeight="1">
      <c r="A27" s="36"/>
      <c r="B27" s="1499" t="str">
        <f>'Summary-NoCo'!B32</f>
        <v>SSM/Emergency Flare 2 
(Dual Tip Flare) - Pilot/Purge</v>
      </c>
      <c r="C27" s="5303"/>
      <c r="D27" s="5306"/>
      <c r="E27" s="3984"/>
      <c r="F27" s="3981"/>
      <c r="G27" s="3984"/>
      <c r="H27" s="3981"/>
      <c r="I27" s="3984"/>
      <c r="J27" s="3981"/>
      <c r="K27" s="3984"/>
      <c r="L27" s="3981"/>
      <c r="M27" s="3984"/>
      <c r="N27" s="3981"/>
      <c r="O27" s="3984"/>
      <c r="P27" s="3981"/>
      <c r="Q27" s="3984"/>
      <c r="R27" s="3981"/>
      <c r="S27" s="3991"/>
      <c r="T27" s="3992"/>
      <c r="U27" s="44"/>
      <c r="X27" s="8"/>
    </row>
    <row r="28" spans="1:24" ht="42" customHeight="1">
      <c r="A28" s="36"/>
      <c r="B28" s="1499" t="str">
        <f>'Summary-NoCo'!B33</f>
        <v>Backup SSM/Emergency Flare (Dual Tip Flare) - Pilot/Purge</v>
      </c>
      <c r="C28" s="5304"/>
      <c r="D28" s="5307"/>
      <c r="E28" s="3985"/>
      <c r="F28" s="3982"/>
      <c r="G28" s="3985"/>
      <c r="H28" s="3982"/>
      <c r="I28" s="3985"/>
      <c r="J28" s="3982"/>
      <c r="K28" s="3985"/>
      <c r="L28" s="3982"/>
      <c r="M28" s="3985"/>
      <c r="N28" s="3982"/>
      <c r="O28" s="3985"/>
      <c r="P28" s="3982"/>
      <c r="Q28" s="3985"/>
      <c r="R28" s="3982"/>
      <c r="S28" s="3978"/>
      <c r="T28" s="3979"/>
      <c r="U28" s="44"/>
      <c r="X28" s="8"/>
    </row>
    <row r="29" spans="1:24" ht="44.25" customHeight="1">
      <c r="A29" s="36"/>
      <c r="B29" s="2562" t="str">
        <f>'Summary-Co'!B21</f>
        <v>FL1-FL3 Stabilizer Overhead SSM Gas</v>
      </c>
      <c r="C29" s="2455" t="str">
        <f>'Summary-Co'!C21</f>
        <v>FL1-FL3OVHD-SSM</v>
      </c>
      <c r="D29" s="2517" t="str">
        <f>C29</f>
        <v>FL1-FL3OVHD-SSM</v>
      </c>
      <c r="E29" s="3069">
        <f>'Summary-Co'!E21</f>
        <v>61.513056157500003</v>
      </c>
      <c r="F29" s="1305">
        <f>'Summary-Co'!F21</f>
        <v>11.195376220665</v>
      </c>
      <c r="G29" s="3069">
        <f>'Summary-Co'!G21</f>
        <v>122.80323892312499</v>
      </c>
      <c r="H29" s="1305">
        <f>'Summary-Co'!H21</f>
        <v>22.350189484008748</v>
      </c>
      <c r="I29" s="3069">
        <f>'Summary-Co'!I21</f>
        <v>404.28661353006083</v>
      </c>
      <c r="J29" s="1305">
        <f>'Summary-Co'!J21</f>
        <v>73.580163662471065</v>
      </c>
      <c r="K29" s="3069">
        <f>'Summary-Co'!K21</f>
        <v>0</v>
      </c>
      <c r="L29" s="1305">
        <f>'Summary-Co'!L21</f>
        <v>0</v>
      </c>
      <c r="M29" s="3069">
        <f>'Summary-Co'!M21</f>
        <v>3.3212505455882351</v>
      </c>
      <c r="N29" s="1305">
        <f>'Summary-Co'!N21</f>
        <v>0.60446759929705873</v>
      </c>
      <c r="O29" s="3069">
        <f>'Summary-Co'!O21</f>
        <v>3.3212505455882351</v>
      </c>
      <c r="P29" s="1305">
        <f>'Summary-Co'!P21</f>
        <v>0.60446759929705873</v>
      </c>
      <c r="Q29" s="3069">
        <f>'Summary-Co'!Q21</f>
        <v>4.4544709510301175</v>
      </c>
      <c r="R29" s="1305">
        <f>'Summary-Co'!R21</f>
        <v>0.81071371308748141</v>
      </c>
      <c r="S29" s="4371">
        <f>'Summary-Co'!S21:T21</f>
        <v>9440.769835467403</v>
      </c>
      <c r="T29" s="4372"/>
      <c r="U29" s="44"/>
      <c r="X29" s="8"/>
    </row>
    <row r="30" spans="1:24" ht="44.25" customHeight="1">
      <c r="A30" s="36"/>
      <c r="B30" s="2562" t="str">
        <f>'Summary-Co'!B22</f>
        <v>FL1-FL3 Cryo Blowdown SSM Gas</v>
      </c>
      <c r="C30" s="2455" t="str">
        <f>'Summary-Co'!C22</f>
        <v>FL1-FL3CRYO-SSM</v>
      </c>
      <c r="D30" s="2517" t="str">
        <f>C30</f>
        <v>FL1-FL3CRYO-SSM</v>
      </c>
      <c r="E30" s="3069">
        <f>'Summary-Co'!E22</f>
        <v>102.42580604979864</v>
      </c>
      <c r="F30" s="1305">
        <f>'Summary-Co'!F22</f>
        <v>18.641496701063353</v>
      </c>
      <c r="G30" s="3069">
        <f>'Summary-Co'!G22</f>
        <v>204.48050410666323</v>
      </c>
      <c r="H30" s="1305">
        <f>'Summary-Co'!H22</f>
        <v>37.215451747412708</v>
      </c>
      <c r="I30" s="3069">
        <f>'Summary-Co'!I22</f>
        <v>210.13055132600644</v>
      </c>
      <c r="J30" s="1305">
        <f>'Summary-Co'!J22</f>
        <v>38.243760341333171</v>
      </c>
      <c r="K30" s="3069">
        <f>'Summary-Co'!K22</f>
        <v>5.0643749702923742E-2</v>
      </c>
      <c r="L30" s="1305">
        <f>'Summary-Co'!L22</f>
        <v>9.2171624459321221E-3</v>
      </c>
      <c r="M30" s="3069">
        <f>'Summary-Co'!M22</f>
        <v>5.2857362398266847</v>
      </c>
      <c r="N30" s="1305">
        <f>'Summary-Co'!N22</f>
        <v>0.96200399564845651</v>
      </c>
      <c r="O30" s="3069">
        <f>'Summary-Co'!O22</f>
        <v>5.2857362398266847</v>
      </c>
      <c r="P30" s="1305">
        <f>'Summary-Co'!P22</f>
        <v>0.96200399564845651</v>
      </c>
      <c r="Q30" s="3069">
        <f>'Summary-Co'!Q22</f>
        <v>1.3117788389852012</v>
      </c>
      <c r="R30" s="1305">
        <f>'Summary-Co'!R22</f>
        <v>0.2387437486953066</v>
      </c>
      <c r="S30" s="4371">
        <f>'Summary-Co'!S22:T22</f>
        <v>16652.240757722175</v>
      </c>
      <c r="T30" s="4372"/>
      <c r="U30" s="44"/>
      <c r="X30" s="8"/>
    </row>
    <row r="31" spans="1:24" ht="42" customHeight="1">
      <c r="A31" s="36"/>
      <c r="B31" s="1499" t="str">
        <f>'Summary-NoCo'!B36</f>
        <v>Oil Storage 1 (100,000 bbl)</v>
      </c>
      <c r="C31" s="1524" t="str">
        <f>'Summary-NoCo'!C36</f>
        <v>IFR1</v>
      </c>
      <c r="D31" s="1525" t="str">
        <f>'Summary-NoCo'!D36</f>
        <v>IFR1</v>
      </c>
      <c r="E31" s="817" t="s">
        <v>445</v>
      </c>
      <c r="F31" s="818" t="s">
        <v>445</v>
      </c>
      <c r="G31" s="817" t="s">
        <v>445</v>
      </c>
      <c r="H31" s="818" t="s">
        <v>445</v>
      </c>
      <c r="I31" s="398">
        <f>'IFR Tanks (IFR1-IFR4)'!C41</f>
        <v>1.1752020371542549</v>
      </c>
      <c r="J31" s="406">
        <f>'IFR Tanks (IFR1-IFR4)'!D41</f>
        <v>5.1473849227356343</v>
      </c>
      <c r="K31" s="817" t="s">
        <v>445</v>
      </c>
      <c r="L31" s="818" t="s">
        <v>445</v>
      </c>
      <c r="M31" s="817" t="s">
        <v>445</v>
      </c>
      <c r="N31" s="818" t="s">
        <v>445</v>
      </c>
      <c r="O31" s="817" t="s">
        <v>445</v>
      </c>
      <c r="P31" s="818" t="s">
        <v>445</v>
      </c>
      <c r="Q31" s="398">
        <f>'Summary-Co'!Q23</f>
        <v>6.7739254805280091E-2</v>
      </c>
      <c r="R31" s="406">
        <f>'Summary-Co'!R23</f>
        <v>0.2966979360471268</v>
      </c>
      <c r="S31" s="3993" t="s">
        <v>445</v>
      </c>
      <c r="T31" s="3994"/>
      <c r="U31" s="44"/>
    </row>
    <row r="32" spans="1:24" ht="42" customHeight="1">
      <c r="A32" s="36"/>
      <c r="B32" s="1499" t="str">
        <f>'Summary-NoCo'!B37</f>
        <v>Oil Storage 2 (100,000 bbl)</v>
      </c>
      <c r="C32" s="1524" t="str">
        <f>'Summary-NoCo'!C37</f>
        <v>IFR2</v>
      </c>
      <c r="D32" s="1525" t="str">
        <f>'Summary-NoCo'!D37</f>
        <v>IFR2</v>
      </c>
      <c r="E32" s="817" t="s">
        <v>445</v>
      </c>
      <c r="F32" s="818" t="s">
        <v>445</v>
      </c>
      <c r="G32" s="817" t="s">
        <v>445</v>
      </c>
      <c r="H32" s="818" t="s">
        <v>445</v>
      </c>
      <c r="I32" s="398">
        <f>I31</f>
        <v>1.1752020371542549</v>
      </c>
      <c r="J32" s="406">
        <f>J31</f>
        <v>5.1473849227356343</v>
      </c>
      <c r="K32" s="817" t="s">
        <v>445</v>
      </c>
      <c r="L32" s="818" t="s">
        <v>445</v>
      </c>
      <c r="M32" s="817" t="s">
        <v>445</v>
      </c>
      <c r="N32" s="818" t="s">
        <v>445</v>
      </c>
      <c r="O32" s="817" t="s">
        <v>445</v>
      </c>
      <c r="P32" s="818" t="s">
        <v>445</v>
      </c>
      <c r="Q32" s="398">
        <f>Q31</f>
        <v>6.7739254805280091E-2</v>
      </c>
      <c r="R32" s="406">
        <f>R31</f>
        <v>0.2966979360471268</v>
      </c>
      <c r="S32" s="3993" t="s">
        <v>445</v>
      </c>
      <c r="T32" s="3994"/>
      <c r="U32" s="44"/>
      <c r="W32" s="8"/>
    </row>
    <row r="33" spans="1:72" ht="42" customHeight="1">
      <c r="A33" s="36"/>
      <c r="B33" s="1499" t="str">
        <f>'Summary-NoCo'!B38</f>
        <v>Oil Storage 3 (100,000 bbl)</v>
      </c>
      <c r="C33" s="1524" t="str">
        <f>'Summary-NoCo'!C38</f>
        <v>IFR3</v>
      </c>
      <c r="D33" s="1525" t="str">
        <f>'Summary-NoCo'!D38</f>
        <v>IFR3</v>
      </c>
      <c r="E33" s="817" t="s">
        <v>445</v>
      </c>
      <c r="F33" s="818" t="s">
        <v>445</v>
      </c>
      <c r="G33" s="817" t="s">
        <v>445</v>
      </c>
      <c r="H33" s="818" t="s">
        <v>445</v>
      </c>
      <c r="I33" s="398">
        <f>I31</f>
        <v>1.1752020371542549</v>
      </c>
      <c r="J33" s="406">
        <f>J31</f>
        <v>5.1473849227356343</v>
      </c>
      <c r="K33" s="817" t="s">
        <v>445</v>
      </c>
      <c r="L33" s="818" t="s">
        <v>445</v>
      </c>
      <c r="M33" s="817" t="s">
        <v>445</v>
      </c>
      <c r="N33" s="818" t="s">
        <v>445</v>
      </c>
      <c r="O33" s="817" t="s">
        <v>445</v>
      </c>
      <c r="P33" s="818" t="s">
        <v>445</v>
      </c>
      <c r="Q33" s="398">
        <f>Q31</f>
        <v>6.7739254805280091E-2</v>
      </c>
      <c r="R33" s="406">
        <f>R31</f>
        <v>0.2966979360471268</v>
      </c>
      <c r="S33" s="3993" t="s">
        <v>445</v>
      </c>
      <c r="T33" s="3994"/>
      <c r="U33" s="44"/>
    </row>
    <row r="34" spans="1:72" ht="42" customHeight="1">
      <c r="A34" s="1656"/>
      <c r="B34" s="1499" t="str">
        <f>'Summary-NoCo'!B39</f>
        <v>Oil Storage 4 (100,000 bbl)</v>
      </c>
      <c r="C34" s="1666" t="str">
        <f>'Summary-NoCo'!C39</f>
        <v>IFR4</v>
      </c>
      <c r="D34" s="1667" t="str">
        <f>'Summary-NoCo'!D39</f>
        <v>IFR4</v>
      </c>
      <c r="E34" s="1585" t="s">
        <v>445</v>
      </c>
      <c r="F34" s="1586" t="s">
        <v>445</v>
      </c>
      <c r="G34" s="1585" t="s">
        <v>445</v>
      </c>
      <c r="H34" s="1586" t="s">
        <v>445</v>
      </c>
      <c r="I34" s="1362">
        <f>I31</f>
        <v>1.1752020371542549</v>
      </c>
      <c r="J34" s="3056">
        <f>J31</f>
        <v>5.1473849227356343</v>
      </c>
      <c r="K34" s="1585" t="s">
        <v>445</v>
      </c>
      <c r="L34" s="1586" t="s">
        <v>445</v>
      </c>
      <c r="M34" s="1585" t="s">
        <v>445</v>
      </c>
      <c r="N34" s="1586" t="s">
        <v>445</v>
      </c>
      <c r="O34" s="1585" t="s">
        <v>445</v>
      </c>
      <c r="P34" s="1586" t="s">
        <v>445</v>
      </c>
      <c r="Q34" s="1362">
        <f>Q31</f>
        <v>6.7739254805280091E-2</v>
      </c>
      <c r="R34" s="3056">
        <f>R31</f>
        <v>0.2966979360471268</v>
      </c>
      <c r="S34" s="5324" t="s">
        <v>445</v>
      </c>
      <c r="T34" s="5325"/>
      <c r="U34" s="1655"/>
    </row>
    <row r="35" spans="1:72" ht="42" customHeight="1">
      <c r="A35" s="36"/>
      <c r="B35" s="1032" t="str">
        <f>'Summary-NoCo'!B40</f>
        <v>3rd-Party Oil Storage 1</v>
      </c>
      <c r="C35" s="1670" t="str">
        <f>'Summary-NoCo'!C40</f>
        <v>OTK1</v>
      </c>
      <c r="D35" s="1671" t="str">
        <f>'Summary-NoCo'!D40</f>
        <v>OTK1</v>
      </c>
      <c r="E35" s="4013" t="str">
        <f>'Summary-NoCo'!E40:T40</f>
        <v>Emissions represented at ECD1.</v>
      </c>
      <c r="F35" s="4014"/>
      <c r="G35" s="4014"/>
      <c r="H35" s="4014"/>
      <c r="I35" s="4014"/>
      <c r="J35" s="4014"/>
      <c r="K35" s="4014"/>
      <c r="L35" s="4014"/>
      <c r="M35" s="4014"/>
      <c r="N35" s="4014"/>
      <c r="O35" s="4014"/>
      <c r="P35" s="4014"/>
      <c r="Q35" s="4014"/>
      <c r="R35" s="4014"/>
      <c r="S35" s="4014"/>
      <c r="T35" s="4015"/>
      <c r="U35" s="44"/>
    </row>
    <row r="36" spans="1:72" ht="42" customHeight="1">
      <c r="A36" s="36"/>
      <c r="B36" s="1499" t="str">
        <f>'Summary-NoCo'!B41</f>
        <v>3rd-Party Oil Storage 2</v>
      </c>
      <c r="C36" s="1524" t="str">
        <f>'Summary-NoCo'!C41</f>
        <v>OTK2</v>
      </c>
      <c r="D36" s="1525" t="str">
        <f>'Summary-NoCo'!D41</f>
        <v>OTK2</v>
      </c>
      <c r="E36" s="3986" t="str">
        <f>'Summary-NoCo'!E41:T41</f>
        <v>Emissions represented at ECD1.</v>
      </c>
      <c r="F36" s="3987"/>
      <c r="G36" s="3987"/>
      <c r="H36" s="3987"/>
      <c r="I36" s="3987"/>
      <c r="J36" s="3987"/>
      <c r="K36" s="3987"/>
      <c r="L36" s="3987"/>
      <c r="M36" s="3929"/>
      <c r="N36" s="3929"/>
      <c r="O36" s="3987"/>
      <c r="P36" s="3987"/>
      <c r="Q36" s="3987"/>
      <c r="R36" s="3987"/>
      <c r="S36" s="3987"/>
      <c r="T36" s="3988"/>
      <c r="U36" s="44"/>
      <c r="W36" s="8"/>
      <c r="X36" s="8"/>
    </row>
    <row r="37" spans="1:72" ht="42" customHeight="1">
      <c r="A37" s="36"/>
      <c r="B37" s="1499" t="str">
        <f>'Summary-NoCo'!B42</f>
        <v>3rd-Party Oil Storage 3</v>
      </c>
      <c r="C37" s="1524" t="str">
        <f>'Summary-NoCo'!C42</f>
        <v>OTK3</v>
      </c>
      <c r="D37" s="1525" t="str">
        <f>'Summary-NoCo'!D42</f>
        <v>OTK3</v>
      </c>
      <c r="E37" s="3986" t="str">
        <f>'Summary-NoCo'!E42:T42</f>
        <v>Emissions represented at ECD1.</v>
      </c>
      <c r="F37" s="3987"/>
      <c r="G37" s="3987"/>
      <c r="H37" s="3987"/>
      <c r="I37" s="3987"/>
      <c r="J37" s="3987"/>
      <c r="K37" s="3987"/>
      <c r="L37" s="3987"/>
      <c r="M37" s="3929"/>
      <c r="N37" s="3929"/>
      <c r="O37" s="3987"/>
      <c r="P37" s="3987"/>
      <c r="Q37" s="3987"/>
      <c r="R37" s="3987"/>
      <c r="S37" s="3987"/>
      <c r="T37" s="3988"/>
      <c r="U37" s="44"/>
      <c r="W37" s="8"/>
    </row>
    <row r="38" spans="1:72" ht="42" customHeight="1">
      <c r="A38" s="36"/>
      <c r="B38" s="1499" t="str">
        <f>'Summary-NoCo'!B43</f>
        <v>3rd-Party Oil Storage 4</v>
      </c>
      <c r="C38" s="1524" t="str">
        <f>'Summary-NoCo'!C43</f>
        <v>OTK4</v>
      </c>
      <c r="D38" s="1525" t="str">
        <f>'Summary-NoCo'!D43</f>
        <v>OTK4</v>
      </c>
      <c r="E38" s="3986" t="str">
        <f>'Summary-NoCo'!E43:T43</f>
        <v>Emissions represented at ECD1.</v>
      </c>
      <c r="F38" s="3987"/>
      <c r="G38" s="3987"/>
      <c r="H38" s="3987"/>
      <c r="I38" s="3987"/>
      <c r="J38" s="3987"/>
      <c r="K38" s="3987"/>
      <c r="L38" s="3987"/>
      <c r="M38" s="3929"/>
      <c r="N38" s="3929"/>
      <c r="O38" s="3987"/>
      <c r="P38" s="3987"/>
      <c r="Q38" s="3987"/>
      <c r="R38" s="3987"/>
      <c r="S38" s="3987"/>
      <c r="T38" s="3988"/>
      <c r="U38" s="44"/>
    </row>
    <row r="39" spans="1:72" ht="42" customHeight="1">
      <c r="A39" s="36"/>
      <c r="B39" s="1499" t="str">
        <f>'Summary-NoCo'!B44</f>
        <v>3rd-Party Oil Storage 5</v>
      </c>
      <c r="C39" s="1524" t="str">
        <f>'Summary-NoCo'!C44</f>
        <v>OTK5</v>
      </c>
      <c r="D39" s="1525" t="str">
        <f>'Summary-NoCo'!D44</f>
        <v>OTK5</v>
      </c>
      <c r="E39" s="3986" t="str">
        <f>'Summary-NoCo'!E44:T44</f>
        <v>Emissions represented at ECD1.</v>
      </c>
      <c r="F39" s="3987"/>
      <c r="G39" s="3987"/>
      <c r="H39" s="3987"/>
      <c r="I39" s="3987"/>
      <c r="J39" s="3987"/>
      <c r="K39" s="3987"/>
      <c r="L39" s="3987"/>
      <c r="M39" s="3929"/>
      <c r="N39" s="3929"/>
      <c r="O39" s="3987"/>
      <c r="P39" s="3987"/>
      <c r="Q39" s="3987"/>
      <c r="R39" s="3987"/>
      <c r="S39" s="3987"/>
      <c r="T39" s="3988"/>
      <c r="U39" s="44"/>
      <c r="W39" s="8"/>
      <c r="X39" s="8"/>
    </row>
    <row r="40" spans="1:72" ht="42" customHeight="1">
      <c r="A40" s="36"/>
      <c r="B40" s="1499" t="str">
        <f>'Summary-NoCo'!B45</f>
        <v>3rd-Party Oil Storage 6</v>
      </c>
      <c r="C40" s="1524" t="str">
        <f>'Summary-NoCo'!C45</f>
        <v>OTK6</v>
      </c>
      <c r="D40" s="1525" t="str">
        <f>'Summary-NoCo'!D45</f>
        <v>OTK6</v>
      </c>
      <c r="E40" s="3986" t="str">
        <f>'Summary-NoCo'!E45:T45</f>
        <v>Emissions represented at ECD1.</v>
      </c>
      <c r="F40" s="3987"/>
      <c r="G40" s="3987"/>
      <c r="H40" s="3987"/>
      <c r="I40" s="3987"/>
      <c r="J40" s="3987"/>
      <c r="K40" s="3987"/>
      <c r="L40" s="3987"/>
      <c r="M40" s="3929"/>
      <c r="N40" s="3929"/>
      <c r="O40" s="3987"/>
      <c r="P40" s="3987"/>
      <c r="Q40" s="3987"/>
      <c r="R40" s="3987"/>
      <c r="S40" s="3987"/>
      <c r="T40" s="3988"/>
      <c r="U40" s="44"/>
    </row>
    <row r="41" spans="1:72" ht="42" customHeight="1">
      <c r="A41" s="36"/>
      <c r="B41" s="1499" t="str">
        <f>'Summary-NoCo'!B46</f>
        <v>Combustor</v>
      </c>
      <c r="C41" s="1524" t="str">
        <f>'Summary-NoCo'!C46</f>
        <v>ECD1</v>
      </c>
      <c r="D41" s="1525" t="str">
        <f>'Summary-NoCo'!D46</f>
        <v>ECD1</v>
      </c>
      <c r="E41" s="398">
        <f>'Hrly (ECD1)'!R12</f>
        <v>1.5931460516780505</v>
      </c>
      <c r="F41" s="397">
        <f>' Ann (ECD1)'!R12</f>
        <v>6.0866344473776257</v>
      </c>
      <c r="G41" s="398">
        <f>'Hrly (ECD1)'!R13</f>
        <v>3.1805198350529196</v>
      </c>
      <c r="H41" s="406">
        <f>' Ann (ECD1)'!R13</f>
        <v>12.151215871395186</v>
      </c>
      <c r="I41" s="398">
        <f>'Hrly (ECD1)'!O41</f>
        <v>7.2766034925122449</v>
      </c>
      <c r="J41" s="406">
        <f>' Ann (ECD1)'!O41</f>
        <v>28.268593950427899</v>
      </c>
      <c r="K41" s="398">
        <f>'Hrly (ECD1)'!R14</f>
        <v>0</v>
      </c>
      <c r="L41" s="406">
        <f>' Ann (ECD1)'!R14</f>
        <v>0</v>
      </c>
      <c r="M41" s="398">
        <f>O41</f>
        <v>8.6018115890545505E-2</v>
      </c>
      <c r="N41" s="397">
        <f>P41</f>
        <v>0.12880069625799914</v>
      </c>
      <c r="O41" s="398">
        <f>'Hrly (ECD1)'!R15</f>
        <v>8.6018115890545505E-2</v>
      </c>
      <c r="P41" s="406">
        <f>' Ann (ECD1)'!R15</f>
        <v>0.12880069625799914</v>
      </c>
      <c r="Q41" s="398">
        <f>'Hrly (ECD1)'!O42</f>
        <v>0.27504072721807626</v>
      </c>
      <c r="R41" s="406">
        <f>' Ann (ECD1)'!O42</f>
        <v>1.0668332259581128</v>
      </c>
      <c r="S41" s="3972">
        <f>'ECD1 GHG'!H50</f>
        <v>4244.370563407545</v>
      </c>
      <c r="T41" s="3973"/>
      <c r="U41" s="44"/>
    </row>
    <row r="42" spans="1:72" ht="42" customHeight="1">
      <c r="A42" s="36"/>
      <c r="B42" s="1499" t="str">
        <f>'Summary-NoCo'!B47</f>
        <v>Thermal Oxidizer</v>
      </c>
      <c r="C42" s="1524" t="str">
        <f>'Summary-NoCo'!C47</f>
        <v>TO1</v>
      </c>
      <c r="D42" s="1525" t="str">
        <f>'Summary-NoCo'!D47</f>
        <v>TO1</v>
      </c>
      <c r="E42" s="410">
        <f>'TO Hrly (TO1-TO3)'!K12</f>
        <v>2.5190885601790693</v>
      </c>
      <c r="F42" s="411">
        <f>'TO Ann (TO1-TO3)'!K12</f>
        <v>11.033607893584323</v>
      </c>
      <c r="G42" s="410">
        <f>'TO Hrly (TO1-TO3)'!K13</f>
        <v>2.0880159999999997</v>
      </c>
      <c r="H42" s="411">
        <f>'TO Ann (TO1-TO3)'!K13</f>
        <v>9.1455100799999975</v>
      </c>
      <c r="I42" s="410">
        <f>'TO Hrly (TO1-TO3)'!H32</f>
        <v>0.62455189452722593</v>
      </c>
      <c r="J42" s="411">
        <f>'TO Ann (TO1-TO3)'!H32</f>
        <v>2.7355372980292492</v>
      </c>
      <c r="K42" s="410">
        <f>'TO Hrly (TO1-TO3)'!K14</f>
        <v>0.86237125715223051</v>
      </c>
      <c r="L42" s="411">
        <f>'TO Ann (TO1-TO3)'!K14</f>
        <v>3.7771861063267695</v>
      </c>
      <c r="M42" s="398">
        <f t="shared" ref="M42:N44" si="1">O42</f>
        <v>0.23462099335001135</v>
      </c>
      <c r="N42" s="1472">
        <f t="shared" si="1"/>
        <v>1.0276399508730496</v>
      </c>
      <c r="O42" s="410">
        <f>'TO Hrly (TO1-TO3)'!K15</f>
        <v>0.23462099335001135</v>
      </c>
      <c r="P42" s="411">
        <f>'TO Ann (TO1-TO3)'!K15</f>
        <v>1.0276399508730496</v>
      </c>
      <c r="Q42" s="410">
        <f>'TO Hrly (TO1-TO3)'!H33</f>
        <v>8.0737606029044826E-2</v>
      </c>
      <c r="R42" s="411">
        <f>'TO Ann (TO1-TO3)'!H33</f>
        <v>0.35363071440721638</v>
      </c>
      <c r="S42" s="3972">
        <f>'TO GHG-Flash '!H50+'TO GHG-Still'!H50</f>
        <v>101557.29956690592</v>
      </c>
      <c r="T42" s="3973"/>
      <c r="U42" s="44"/>
      <c r="W42" s="8"/>
    </row>
    <row r="43" spans="1:72" ht="42" customHeight="1">
      <c r="A43" s="36"/>
      <c r="B43" s="1499" t="str">
        <f>'Summary-NoCo'!B48</f>
        <v>Thermal Oxidizer</v>
      </c>
      <c r="C43" s="1524" t="str">
        <f>'Summary-NoCo'!C48</f>
        <v>TO2</v>
      </c>
      <c r="D43" s="1525" t="str">
        <f>'Summary-NoCo'!D48</f>
        <v>TO2</v>
      </c>
      <c r="E43" s="398">
        <f>E42</f>
        <v>2.5190885601790693</v>
      </c>
      <c r="F43" s="397">
        <f>F42</f>
        <v>11.033607893584323</v>
      </c>
      <c r="G43" s="398">
        <f t="shared" ref="G43:R43" si="2">G42</f>
        <v>2.0880159999999997</v>
      </c>
      <c r="H43" s="397">
        <f t="shared" si="2"/>
        <v>9.1455100799999975</v>
      </c>
      <c r="I43" s="398">
        <f t="shared" si="2"/>
        <v>0.62455189452722593</v>
      </c>
      <c r="J43" s="397">
        <f t="shared" si="2"/>
        <v>2.7355372980292492</v>
      </c>
      <c r="K43" s="398">
        <f t="shared" si="2"/>
        <v>0.86237125715223051</v>
      </c>
      <c r="L43" s="397">
        <f t="shared" si="2"/>
        <v>3.7771861063267695</v>
      </c>
      <c r="M43" s="398">
        <f t="shared" si="1"/>
        <v>0.23462099335001135</v>
      </c>
      <c r="N43" s="397">
        <f t="shared" si="1"/>
        <v>1.0276399508730496</v>
      </c>
      <c r="O43" s="398">
        <f t="shared" si="2"/>
        <v>0.23462099335001135</v>
      </c>
      <c r="P43" s="397">
        <f t="shared" si="2"/>
        <v>1.0276399508730496</v>
      </c>
      <c r="Q43" s="398">
        <f t="shared" si="2"/>
        <v>8.0737606029044826E-2</v>
      </c>
      <c r="R43" s="397">
        <f t="shared" si="2"/>
        <v>0.35363071440721638</v>
      </c>
      <c r="S43" s="3972">
        <f>S42</f>
        <v>101557.29956690592</v>
      </c>
      <c r="T43" s="3973"/>
      <c r="U43" s="44"/>
      <c r="V43" s="8"/>
      <c r="W43" s="8"/>
    </row>
    <row r="44" spans="1:72" ht="42" customHeight="1">
      <c r="A44" s="36"/>
      <c r="B44" s="1499" t="str">
        <f>'Summary-NoCo'!B49</f>
        <v>Thermal Oxidizer</v>
      </c>
      <c r="C44" s="1524" t="str">
        <f>'Summary-NoCo'!C49</f>
        <v>TO3</v>
      </c>
      <c r="D44" s="1525" t="str">
        <f>'Summary-NoCo'!D49</f>
        <v>TO3</v>
      </c>
      <c r="E44" s="398">
        <f>E42</f>
        <v>2.5190885601790693</v>
      </c>
      <c r="F44" s="397">
        <f>F42</f>
        <v>11.033607893584323</v>
      </c>
      <c r="G44" s="398">
        <f t="shared" ref="G44:R44" si="3">G42</f>
        <v>2.0880159999999997</v>
      </c>
      <c r="H44" s="397">
        <f t="shared" si="3"/>
        <v>9.1455100799999975</v>
      </c>
      <c r="I44" s="398">
        <f t="shared" si="3"/>
        <v>0.62455189452722593</v>
      </c>
      <c r="J44" s="397">
        <f t="shared" si="3"/>
        <v>2.7355372980292492</v>
      </c>
      <c r="K44" s="398">
        <f t="shared" si="3"/>
        <v>0.86237125715223051</v>
      </c>
      <c r="L44" s="397">
        <f t="shared" si="3"/>
        <v>3.7771861063267695</v>
      </c>
      <c r="M44" s="398">
        <f t="shared" si="1"/>
        <v>0.23462099335001135</v>
      </c>
      <c r="N44" s="397">
        <f t="shared" si="1"/>
        <v>1.0276399508730496</v>
      </c>
      <c r="O44" s="398">
        <f t="shared" si="3"/>
        <v>0.23462099335001135</v>
      </c>
      <c r="P44" s="397">
        <f t="shared" si="3"/>
        <v>1.0276399508730496</v>
      </c>
      <c r="Q44" s="398">
        <f t="shared" si="3"/>
        <v>8.0737606029044826E-2</v>
      </c>
      <c r="R44" s="397">
        <f t="shared" si="3"/>
        <v>0.35363071440721638</v>
      </c>
      <c r="S44" s="3972">
        <f>S42</f>
        <v>101557.29956690592</v>
      </c>
      <c r="T44" s="3973"/>
      <c r="U44" s="44"/>
      <c r="X44" s="8"/>
    </row>
    <row r="45" spans="1:72" ht="42" customHeight="1">
      <c r="A45" s="36"/>
      <c r="B45" s="1499" t="str">
        <f>'Summary-NoCo'!B50</f>
        <v>Fugitives</v>
      </c>
      <c r="C45" s="1524" t="str">
        <f>'Summary-NoCo'!C50</f>
        <v>FUG</v>
      </c>
      <c r="D45" s="1525" t="str">
        <f>'Summary-NoCo'!D50</f>
        <v>FUG</v>
      </c>
      <c r="E45" s="1281" t="s">
        <v>445</v>
      </c>
      <c r="F45" s="1282" t="s">
        <v>445</v>
      </c>
      <c r="G45" s="1281" t="s">
        <v>445</v>
      </c>
      <c r="H45" s="1282" t="s">
        <v>445</v>
      </c>
      <c r="I45" s="1447">
        <f>Fugitive!G72</f>
        <v>30.616050709592137</v>
      </c>
      <c r="J45" s="3059">
        <f>Fugitive!I72</f>
        <v>134.09830210801351</v>
      </c>
      <c r="K45" s="1281" t="s">
        <v>445</v>
      </c>
      <c r="L45" s="1282" t="s">
        <v>445</v>
      </c>
      <c r="M45" s="1281" t="s">
        <v>445</v>
      </c>
      <c r="N45" s="1282" t="s">
        <v>445</v>
      </c>
      <c r="O45" s="1281" t="s">
        <v>445</v>
      </c>
      <c r="P45" s="1282" t="s">
        <v>445</v>
      </c>
      <c r="Q45" s="1281">
        <f>'Fugitives HAPs'!G39</f>
        <v>1.8349882519246774</v>
      </c>
      <c r="R45" s="1282">
        <f>'Fugitives HAPs'!I39</f>
        <v>8.0372485434300867</v>
      </c>
      <c r="S45" s="3993" t="s">
        <v>445</v>
      </c>
      <c r="T45" s="3994"/>
      <c r="U45" s="44"/>
    </row>
    <row r="46" spans="1:72" ht="42" customHeight="1">
      <c r="A46" s="36"/>
      <c r="B46" s="1499" t="str">
        <f>'Summary-NoCo'!B51</f>
        <v>Storage Tank SSM Emissions</v>
      </c>
      <c r="C46" s="1524" t="str">
        <f>'Summary-NoCo'!C51</f>
        <v>SSM</v>
      </c>
      <c r="D46" s="1525" t="str">
        <f>'Summary-NoCo'!D51</f>
        <v>SSM</v>
      </c>
      <c r="E46" s="817" t="s">
        <v>445</v>
      </c>
      <c r="F46" s="818" t="s">
        <v>445</v>
      </c>
      <c r="G46" s="817" t="s">
        <v>445</v>
      </c>
      <c r="H46" s="818" t="s">
        <v>445</v>
      </c>
      <c r="I46" s="817" t="s">
        <v>445</v>
      </c>
      <c r="J46" s="818">
        <v>10</v>
      </c>
      <c r="K46" s="817" t="s">
        <v>445</v>
      </c>
      <c r="L46" s="818" t="s">
        <v>445</v>
      </c>
      <c r="M46" s="817" t="s">
        <v>445</v>
      </c>
      <c r="N46" s="818" t="s">
        <v>445</v>
      </c>
      <c r="O46" s="817" t="s">
        <v>445</v>
      </c>
      <c r="P46" s="818" t="s">
        <v>445</v>
      </c>
      <c r="Q46" s="817" t="s">
        <v>445</v>
      </c>
      <c r="R46" s="818" t="s">
        <v>445</v>
      </c>
      <c r="S46" s="3993" t="s">
        <v>445</v>
      </c>
      <c r="T46" s="3994"/>
      <c r="U46" s="44"/>
    </row>
    <row r="47" spans="1:72" s="53" customFormat="1" ht="42" customHeight="1">
      <c r="A47" s="36"/>
      <c r="B47" s="1499" t="str">
        <f>'Summary-NoCo'!B52</f>
        <v>Haul Road Fugitives</v>
      </c>
      <c r="C47" s="1524" t="str">
        <f>'Summary-NoCo'!C52</f>
        <v>ROAD</v>
      </c>
      <c r="D47" s="1525" t="str">
        <f>'Summary-NoCo'!D52</f>
        <v>ROAD</v>
      </c>
      <c r="E47" s="817" t="s">
        <v>445</v>
      </c>
      <c r="F47" s="818" t="s">
        <v>445</v>
      </c>
      <c r="G47" s="817" t="s">
        <v>445</v>
      </c>
      <c r="H47" s="818" t="s">
        <v>445</v>
      </c>
      <c r="I47" s="817" t="s">
        <v>445</v>
      </c>
      <c r="J47" s="818" t="s">
        <v>445</v>
      </c>
      <c r="K47" s="817" t="s">
        <v>445</v>
      </c>
      <c r="L47" s="818" t="s">
        <v>445</v>
      </c>
      <c r="M47" s="1281">
        <f>Road!C24</f>
        <v>2.7556902133370476</v>
      </c>
      <c r="N47" s="1282">
        <f>Road!C25</f>
        <v>8.8254079636430482</v>
      </c>
      <c r="O47" s="1281">
        <f>Road!F24</f>
        <v>0.70232409971011567</v>
      </c>
      <c r="P47" s="1282">
        <f>Road!F25</f>
        <v>2.2492719510493018</v>
      </c>
      <c r="Q47" s="817" t="s">
        <v>445</v>
      </c>
      <c r="R47" s="818" t="s">
        <v>445</v>
      </c>
      <c r="S47" s="3993" t="s">
        <v>445</v>
      </c>
      <c r="T47" s="3994"/>
      <c r="U47" s="44"/>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row>
    <row r="48" spans="1:72" ht="42" customHeight="1">
      <c r="A48" s="36"/>
      <c r="B48" s="1499" t="str">
        <f>'Summary-NoCo'!B53</f>
        <v>Produced Water Tank 1</v>
      </c>
      <c r="C48" s="1524" t="str">
        <f>'Summary-NoCo'!C53</f>
        <v>PWTK1</v>
      </c>
      <c r="D48" s="1525" t="str">
        <f>'Summary-NoCo'!D53</f>
        <v>PWTK1</v>
      </c>
      <c r="E48" s="3986" t="str">
        <f>'Summary-NoCo'!E53:T53</f>
        <v>Emissions represented at ECD1.</v>
      </c>
      <c r="F48" s="3987"/>
      <c r="G48" s="3987"/>
      <c r="H48" s="3987"/>
      <c r="I48" s="3987"/>
      <c r="J48" s="3987"/>
      <c r="K48" s="3987"/>
      <c r="L48" s="3987"/>
      <c r="M48" s="3929"/>
      <c r="N48" s="3929"/>
      <c r="O48" s="3987"/>
      <c r="P48" s="3987"/>
      <c r="Q48" s="3987"/>
      <c r="R48" s="3987"/>
      <c r="S48" s="3987"/>
      <c r="T48" s="3988"/>
      <c r="U48" s="44"/>
    </row>
    <row r="49" spans="1:72" s="53" customFormat="1" ht="42" customHeight="1">
      <c r="A49" s="36"/>
      <c r="B49" s="1499" t="str">
        <f>'Summary-NoCo'!B54</f>
        <v>Produced Water Tank 2</v>
      </c>
      <c r="C49" s="1524" t="str">
        <f>'Summary-NoCo'!C54</f>
        <v>PWTK2</v>
      </c>
      <c r="D49" s="1525" t="str">
        <f>'Summary-NoCo'!D54</f>
        <v>PWTK2</v>
      </c>
      <c r="E49" s="3986" t="str">
        <f>'Summary-NoCo'!E54:T54</f>
        <v>Emissions represented at ECD1.</v>
      </c>
      <c r="F49" s="3987"/>
      <c r="G49" s="3987"/>
      <c r="H49" s="3987"/>
      <c r="I49" s="3987"/>
      <c r="J49" s="3987"/>
      <c r="K49" s="3987"/>
      <c r="L49" s="3987"/>
      <c r="M49" s="3929"/>
      <c r="N49" s="3929"/>
      <c r="O49" s="3987"/>
      <c r="P49" s="3987"/>
      <c r="Q49" s="3987"/>
      <c r="R49" s="3987"/>
      <c r="S49" s="3987"/>
      <c r="T49" s="3988"/>
      <c r="U49" s="44"/>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row>
    <row r="50" spans="1:72" ht="42" customHeight="1">
      <c r="A50" s="36"/>
      <c r="B50" s="1499" t="str">
        <f>'Summary-NoCo'!B55</f>
        <v>Produced Water Loading</v>
      </c>
      <c r="C50" s="1524" t="str">
        <f>'Summary-NoCo'!C55</f>
        <v>PWTL</v>
      </c>
      <c r="D50" s="1525" t="str">
        <f>'Summary-NoCo'!D55</f>
        <v>PWTL</v>
      </c>
      <c r="E50" s="817" t="s">
        <v>445</v>
      </c>
      <c r="F50" s="818" t="s">
        <v>445</v>
      </c>
      <c r="G50" s="817" t="s">
        <v>445</v>
      </c>
      <c r="H50" s="818" t="s">
        <v>445</v>
      </c>
      <c r="I50" s="398">
        <f>'Load-H2O'!F33</f>
        <v>0.39339345182963747</v>
      </c>
      <c r="J50" s="406">
        <f>'Load-H2O'!G33</f>
        <v>2.4902276270262185</v>
      </c>
      <c r="K50" s="817" t="s">
        <v>445</v>
      </c>
      <c r="L50" s="818" t="s">
        <v>445</v>
      </c>
      <c r="M50" s="817" t="s">
        <v>445</v>
      </c>
      <c r="N50" s="818" t="s">
        <v>445</v>
      </c>
      <c r="O50" s="817" t="s">
        <v>445</v>
      </c>
      <c r="P50" s="818" t="s">
        <v>445</v>
      </c>
      <c r="Q50" s="817">
        <f>'Summary-Co'!Q42</f>
        <v>1.1042554192857925E-3</v>
      </c>
      <c r="R50" s="818">
        <f>'Summary-Co'!R42</f>
        <v>6.9900689490625953E-3</v>
      </c>
      <c r="S50" s="3993" t="s">
        <v>445</v>
      </c>
      <c r="T50" s="3994"/>
      <c r="U50" s="44"/>
    </row>
    <row r="51" spans="1:72" s="53" customFormat="1" ht="42" customHeight="1">
      <c r="A51" s="36"/>
      <c r="B51" s="1499" t="str">
        <f>'Summary-NoCo'!B56</f>
        <v>Slop Oil Loading</v>
      </c>
      <c r="C51" s="1524" t="str">
        <f>'Summary-NoCo'!C56</f>
        <v>OTL</v>
      </c>
      <c r="D51" s="1525" t="str">
        <f>'Summary-NoCo'!D56</f>
        <v>OTL</v>
      </c>
      <c r="E51" s="817" t="s">
        <v>445</v>
      </c>
      <c r="F51" s="818" t="s">
        <v>445</v>
      </c>
      <c r="G51" s="817" t="s">
        <v>445</v>
      </c>
      <c r="H51" s="818" t="s">
        <v>445</v>
      </c>
      <c r="I51" s="398">
        <f>'Summary-NoCo'!I56</f>
        <v>0.70811875941945179</v>
      </c>
      <c r="J51" s="406">
        <f>'Summary-NoCo'!J56</f>
        <v>0.13418016263117355</v>
      </c>
      <c r="K51" s="817" t="s">
        <v>445</v>
      </c>
      <c r="L51" s="818" t="s">
        <v>445</v>
      </c>
      <c r="M51" s="817" t="s">
        <v>445</v>
      </c>
      <c r="N51" s="818" t="s">
        <v>445</v>
      </c>
      <c r="O51" s="817" t="s">
        <v>445</v>
      </c>
      <c r="P51" s="818" t="s">
        <v>445</v>
      </c>
      <c r="Q51" s="817">
        <f>'Summary-Co'!Q43</f>
        <v>1.9188444012397846E-2</v>
      </c>
      <c r="R51" s="818">
        <f>'Summary-Co'!R43</f>
        <v>3.6359840831410471E-3</v>
      </c>
      <c r="S51" s="3993" t="s">
        <v>445</v>
      </c>
      <c r="T51" s="3994"/>
      <c r="U51" s="44"/>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row>
    <row r="52" spans="1:72" s="53" customFormat="1" ht="42" customHeight="1">
      <c r="A52" s="36"/>
      <c r="B52" s="1499" t="str">
        <f>'Summary-NoCo'!B57</f>
        <v>Amine Unit 1</v>
      </c>
      <c r="C52" s="1524" t="str">
        <f>'Summary-NoCo'!C57</f>
        <v>AU1</v>
      </c>
      <c r="D52" s="1525" t="str">
        <f>'Summary-NoCo'!D57</f>
        <v>AU1</v>
      </c>
      <c r="E52" s="3986" t="str">
        <f>'Summary-NoCo'!E57:T57</f>
        <v>Emissions represented at TO1.</v>
      </c>
      <c r="F52" s="3987"/>
      <c r="G52" s="3987"/>
      <c r="H52" s="3987"/>
      <c r="I52" s="3987"/>
      <c r="J52" s="3987"/>
      <c r="K52" s="3987"/>
      <c r="L52" s="3987"/>
      <c r="M52" s="3929"/>
      <c r="N52" s="3929"/>
      <c r="O52" s="3987"/>
      <c r="P52" s="3987"/>
      <c r="Q52" s="3987"/>
      <c r="R52" s="3987"/>
      <c r="S52" s="3987"/>
      <c r="T52" s="3988"/>
      <c r="U52" s="44"/>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s="53" customFormat="1" ht="42" customHeight="1">
      <c r="A53" s="36"/>
      <c r="B53" s="1499" t="str">
        <f>'Summary-NoCo'!B58</f>
        <v>Amine Unit 2</v>
      </c>
      <c r="C53" s="1524" t="str">
        <f>'Summary-NoCo'!C58</f>
        <v>AU2</v>
      </c>
      <c r="D53" s="1525" t="str">
        <f>'Summary-NoCo'!D58</f>
        <v>AU2</v>
      </c>
      <c r="E53" s="3986" t="str">
        <f>'Summary-NoCo'!E58:T58</f>
        <v>Emissions represented at TO2.</v>
      </c>
      <c r="F53" s="3987"/>
      <c r="G53" s="3987"/>
      <c r="H53" s="3987"/>
      <c r="I53" s="3987"/>
      <c r="J53" s="3987"/>
      <c r="K53" s="3987"/>
      <c r="L53" s="3987"/>
      <c r="M53" s="3929"/>
      <c r="N53" s="3929"/>
      <c r="O53" s="3987"/>
      <c r="P53" s="3987"/>
      <c r="Q53" s="3987"/>
      <c r="R53" s="3987"/>
      <c r="S53" s="3987"/>
      <c r="T53" s="3988"/>
      <c r="U53" s="44"/>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row>
    <row r="54" spans="1:72" s="53" customFormat="1" ht="42" customHeight="1">
      <c r="A54" s="36"/>
      <c r="B54" s="1499" t="str">
        <f>'Summary-NoCo'!B59</f>
        <v>Amine Unit 3</v>
      </c>
      <c r="C54" s="1524" t="str">
        <f>'Summary-NoCo'!C59</f>
        <v>AU3</v>
      </c>
      <c r="D54" s="1525" t="str">
        <f>'Summary-NoCo'!D59</f>
        <v>AU3</v>
      </c>
      <c r="E54" s="3986" t="str">
        <f>'Summary-NoCo'!E59:T59</f>
        <v>Emissions represented at TO3.</v>
      </c>
      <c r="F54" s="3987"/>
      <c r="G54" s="3987"/>
      <c r="H54" s="3987"/>
      <c r="I54" s="3987"/>
      <c r="J54" s="3987"/>
      <c r="K54" s="3987"/>
      <c r="L54" s="3987"/>
      <c r="M54" s="3929"/>
      <c r="N54" s="3929"/>
      <c r="O54" s="3987"/>
      <c r="P54" s="3987"/>
      <c r="Q54" s="3987"/>
      <c r="R54" s="3987"/>
      <c r="S54" s="3987"/>
      <c r="T54" s="3988"/>
      <c r="U54" s="44"/>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row>
    <row r="55" spans="1:72" s="53" customFormat="1" ht="42" customHeight="1">
      <c r="A55" s="36"/>
      <c r="B55" s="1499" t="str">
        <f>'Summary-NoCo'!B60</f>
        <v>Gunbarrel Tank</v>
      </c>
      <c r="C55" s="1524" t="str">
        <f>'Summary-NoCo'!C60</f>
        <v>GBS1</v>
      </c>
      <c r="D55" s="1525" t="str">
        <f>'Summary-NoCo'!D60</f>
        <v>GBS1</v>
      </c>
      <c r="E55" s="3986" t="str">
        <f>'Summary-NoCo'!E60:T60</f>
        <v>Emissions represented at ECD1.</v>
      </c>
      <c r="F55" s="3987"/>
      <c r="G55" s="3987"/>
      <c r="H55" s="3987"/>
      <c r="I55" s="3987"/>
      <c r="J55" s="3987"/>
      <c r="K55" s="3987"/>
      <c r="L55" s="3987"/>
      <c r="M55" s="3929"/>
      <c r="N55" s="3929"/>
      <c r="O55" s="3987"/>
      <c r="P55" s="3987"/>
      <c r="Q55" s="3987"/>
      <c r="R55" s="3987"/>
      <c r="S55" s="3987"/>
      <c r="T55" s="3988"/>
      <c r="U55" s="44"/>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row>
    <row r="56" spans="1:72" ht="42" customHeight="1">
      <c r="A56" s="36"/>
      <c r="B56" s="1499" t="str">
        <f>'Summary-NoCo'!B61</f>
        <v>Slop Oil Tank</v>
      </c>
      <c r="C56" s="1524" t="str">
        <f>'Summary-NoCo'!C61</f>
        <v>OTK7</v>
      </c>
      <c r="D56" s="1525" t="str">
        <f>'Summary-NoCo'!D61</f>
        <v>OTK7</v>
      </c>
      <c r="E56" s="3986" t="str">
        <f>'Summary-NoCo'!E61:T61</f>
        <v>Emissions represented at ECD1.</v>
      </c>
      <c r="F56" s="3987"/>
      <c r="G56" s="3987"/>
      <c r="H56" s="3987"/>
      <c r="I56" s="3987"/>
      <c r="J56" s="3987"/>
      <c r="K56" s="3987"/>
      <c r="L56" s="3987"/>
      <c r="M56" s="3929"/>
      <c r="N56" s="3929"/>
      <c r="O56" s="3987"/>
      <c r="P56" s="3987"/>
      <c r="Q56" s="3987"/>
      <c r="R56" s="3987"/>
      <c r="S56" s="3987"/>
      <c r="T56" s="3988"/>
      <c r="U56" s="44"/>
    </row>
    <row r="57" spans="1:72" ht="42" customHeight="1">
      <c r="A57" s="36"/>
      <c r="B57" s="1499" t="str">
        <f>'Summary-Co'!B49</f>
        <v>Turbine</v>
      </c>
      <c r="C57" s="1500" t="str">
        <f>'Summary-Co'!C49</f>
        <v>TUR1</v>
      </c>
      <c r="D57" s="1501" t="str">
        <f t="shared" ref="D57:D65" si="4">C57</f>
        <v>TUR1</v>
      </c>
      <c r="E57" s="3389">
        <f>'Summary-Co'!E49</f>
        <v>8.4</v>
      </c>
      <c r="F57" s="3390">
        <f>'Summary-Co'!F49</f>
        <v>36.792000000000002</v>
      </c>
      <c r="G57" s="3389">
        <f>'Summary-Co'!G49</f>
        <v>5.0999999999999996</v>
      </c>
      <c r="H57" s="3390">
        <f>'Summary-Co'!H49</f>
        <v>22.338000000000001</v>
      </c>
      <c r="I57" s="3389">
        <f>'Summary-Co'!I49</f>
        <v>9.1999999999999975</v>
      </c>
      <c r="J57" s="3390">
        <f>'Summary-Co'!J49</f>
        <v>40.295999999999992</v>
      </c>
      <c r="K57" s="3389">
        <f>'Summary-Co'!K49</f>
        <v>2.1350532104919506</v>
      </c>
      <c r="L57" s="3390">
        <f>'Summary-Co'!L49</f>
        <v>9.3515330619547434</v>
      </c>
      <c r="M57" s="3389">
        <f>'Summary-Co'!M49</f>
        <v>9.1999999999999993</v>
      </c>
      <c r="N57" s="3390">
        <f>'Summary-Co'!N49</f>
        <v>40.295999999999999</v>
      </c>
      <c r="O57" s="3389">
        <f>'Summary-Co'!O49</f>
        <v>9.1999999999999993</v>
      </c>
      <c r="P57" s="3390">
        <f>'Summary-Co'!P49</f>
        <v>40.295999999999999</v>
      </c>
      <c r="Q57" s="3389">
        <f>'Summary-Co'!Q49</f>
        <v>0.57515169285250722</v>
      </c>
      <c r="R57" s="3390">
        <f>'Summary-Co'!R49</f>
        <v>2.5191644146939818</v>
      </c>
      <c r="S57" s="5332">
        <f>'Summary-Co'!S49:T49</f>
        <v>544368.05460551556</v>
      </c>
      <c r="T57" s="5323"/>
      <c r="U57" s="44"/>
    </row>
    <row r="58" spans="1:72" ht="44.25" customHeight="1">
      <c r="A58" s="36"/>
      <c r="B58" s="1032" t="str">
        <f>'Summary-Co'!B53</f>
        <v>Emergency Generator</v>
      </c>
      <c r="C58" s="1284" t="str">
        <f>'Summary-Co'!C53</f>
        <v>GEN1</v>
      </c>
      <c r="D58" s="1285" t="str">
        <f t="shared" si="4"/>
        <v>GEN1</v>
      </c>
      <c r="E58" s="1291">
        <f>'Summary-Co'!E53</f>
        <v>7.6014109347442673</v>
      </c>
      <c r="F58" s="1292">
        <f>'Summary-Co'!F53</f>
        <v>0.38007054673721336</v>
      </c>
      <c r="G58" s="1291">
        <f>'Summary-Co'!G53</f>
        <v>12.770370370370369</v>
      </c>
      <c r="H58" s="1292">
        <f>'Summary-Co'!H53</f>
        <v>0.63851851851851849</v>
      </c>
      <c r="I58" s="1291">
        <f>'Summary-Co'!I53</f>
        <v>4.887584801621446</v>
      </c>
      <c r="J58" s="1292">
        <f>'Summary-Co'!J53</f>
        <v>0.24437924008107231</v>
      </c>
      <c r="K58" s="1291">
        <f>'Summary-Co'!K53</f>
        <v>5.268486050420168E-2</v>
      </c>
      <c r="L58" s="1292">
        <f>'Summary-Co'!L53</f>
        <v>2.6342430252100841E-3</v>
      </c>
      <c r="M58" s="1291">
        <f>'Summary-Co'!M53</f>
        <v>0.21023717968</v>
      </c>
      <c r="N58" s="1292">
        <f>'Summary-Co'!N53</f>
        <v>1.0511858984E-2</v>
      </c>
      <c r="O58" s="1291">
        <f>'Summary-Co'!O53</f>
        <v>0.21023717968</v>
      </c>
      <c r="P58" s="1292">
        <f>'Summary-Co'!P53</f>
        <v>1.0511858984E-2</v>
      </c>
      <c r="Q58" s="1291">
        <f>'Summary-Co'!Q53</f>
        <v>2.0982598998460671</v>
      </c>
      <c r="R58" s="1292">
        <f>'Summary-Co'!R53</f>
        <v>0.10491299499230333</v>
      </c>
      <c r="S58" s="4016">
        <f>'Summary-Co'!S53:T53</f>
        <v>157.09885782590544</v>
      </c>
      <c r="T58" s="3979"/>
      <c r="U58" s="44"/>
    </row>
    <row r="59" spans="1:72" ht="44.25" customHeight="1">
      <c r="A59" s="36"/>
      <c r="B59" s="1032" t="str">
        <f>'Summary-Co'!B54</f>
        <v>Emergency Generator</v>
      </c>
      <c r="C59" s="1284" t="str">
        <f>'Summary-Co'!C54</f>
        <v>GEN2</v>
      </c>
      <c r="D59" s="191" t="str">
        <f t="shared" si="4"/>
        <v>GEN2</v>
      </c>
      <c r="E59" s="1291">
        <f>'Summary-Co'!E54</f>
        <v>7.6014109347442673</v>
      </c>
      <c r="F59" s="1292">
        <f>'Summary-Co'!F54</f>
        <v>0.38007054673721336</v>
      </c>
      <c r="G59" s="1291">
        <f>'Summary-Co'!G54</f>
        <v>12.770370370370369</v>
      </c>
      <c r="H59" s="1292">
        <f>'Summary-Co'!H54</f>
        <v>0.63851851851851849</v>
      </c>
      <c r="I59" s="1291">
        <f>'Summary-Co'!I54</f>
        <v>4.887584801621446</v>
      </c>
      <c r="J59" s="1292">
        <f>'Summary-Co'!J54</f>
        <v>0.24437924008107231</v>
      </c>
      <c r="K59" s="1291">
        <f>'Summary-Co'!K54</f>
        <v>5.268486050420168E-2</v>
      </c>
      <c r="L59" s="1292">
        <f>'Summary-Co'!L54</f>
        <v>2.6342430252100841E-3</v>
      </c>
      <c r="M59" s="1291">
        <f>'Summary-Co'!M54</f>
        <v>0.21023717968</v>
      </c>
      <c r="N59" s="1292">
        <f>'Summary-Co'!N54</f>
        <v>1.0511858984E-2</v>
      </c>
      <c r="O59" s="1291">
        <f>'Summary-Co'!O54</f>
        <v>0.21023717968</v>
      </c>
      <c r="P59" s="1292">
        <f>'Summary-Co'!P54</f>
        <v>1.0511858984E-2</v>
      </c>
      <c r="Q59" s="1291">
        <f>'Summary-Co'!Q54</f>
        <v>2.0982598998460671</v>
      </c>
      <c r="R59" s="1292">
        <f>'Summary-Co'!R54</f>
        <v>0.10491299499230333</v>
      </c>
      <c r="S59" s="4016">
        <f>'Summary-Co'!S54:T54</f>
        <v>157.09885782590544</v>
      </c>
      <c r="T59" s="3979"/>
      <c r="U59" s="44"/>
    </row>
    <row r="60" spans="1:72" s="53" customFormat="1" ht="44.25" customHeight="1">
      <c r="A60" s="36"/>
      <c r="B60" s="1032" t="str">
        <f>'Summary-Co'!B55</f>
        <v>Emergency Generator</v>
      </c>
      <c r="C60" s="1284" t="str">
        <f>'Summary-Co'!C55</f>
        <v>GEN3</v>
      </c>
      <c r="D60" s="191" t="str">
        <f t="shared" si="4"/>
        <v>GEN3</v>
      </c>
      <c r="E60" s="1291">
        <f>'Summary-Co'!E55</f>
        <v>7.6014109347442673</v>
      </c>
      <c r="F60" s="1292">
        <f>'Summary-Co'!F55</f>
        <v>0.38007054673721336</v>
      </c>
      <c r="G60" s="1291">
        <f>'Summary-Co'!G55</f>
        <v>12.770370370370369</v>
      </c>
      <c r="H60" s="1292">
        <f>'Summary-Co'!H55</f>
        <v>0.63851851851851849</v>
      </c>
      <c r="I60" s="1291">
        <f>'Summary-Co'!I55</f>
        <v>4.887584801621446</v>
      </c>
      <c r="J60" s="1292">
        <f>'Summary-Co'!J55</f>
        <v>0.24437924008107231</v>
      </c>
      <c r="K60" s="1291">
        <f>'Summary-Co'!K55</f>
        <v>5.268486050420168E-2</v>
      </c>
      <c r="L60" s="1292">
        <f>'Summary-Co'!L55</f>
        <v>2.6342430252100841E-3</v>
      </c>
      <c r="M60" s="1291">
        <f>'Summary-Co'!M55</f>
        <v>0.21023717968</v>
      </c>
      <c r="N60" s="1292">
        <f>'Summary-Co'!N55</f>
        <v>1.0511858984E-2</v>
      </c>
      <c r="O60" s="1291">
        <f>'Summary-Co'!O55</f>
        <v>0.21023717968</v>
      </c>
      <c r="P60" s="1292">
        <f>'Summary-Co'!P55</f>
        <v>1.0511858984E-2</v>
      </c>
      <c r="Q60" s="1291">
        <f>'Summary-Co'!Q55</f>
        <v>2.0982598998460671</v>
      </c>
      <c r="R60" s="1292">
        <f>'Summary-Co'!R55</f>
        <v>0.10491299499230333</v>
      </c>
      <c r="S60" s="4016">
        <f>'Summary-Co'!S55:T55</f>
        <v>157.09885782590544</v>
      </c>
      <c r="T60" s="3979"/>
      <c r="U60" s="4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s="53" customFormat="1" ht="44.25" customHeight="1">
      <c r="A61" s="36"/>
      <c r="B61" s="1032" t="str">
        <f>'Summary-Co'!B56</f>
        <v>Emergency Generator</v>
      </c>
      <c r="C61" s="1284" t="str">
        <f>'Summary-Co'!C56</f>
        <v>GEN4</v>
      </c>
      <c r="D61" s="191" t="str">
        <f t="shared" si="4"/>
        <v>GEN4</v>
      </c>
      <c r="E61" s="1291">
        <f>'Summary-Co'!E56</f>
        <v>7.6014109347442673</v>
      </c>
      <c r="F61" s="1292">
        <f>'Summary-Co'!F56</f>
        <v>0.38007054673721336</v>
      </c>
      <c r="G61" s="1291">
        <f>'Summary-Co'!G56</f>
        <v>12.770370370370369</v>
      </c>
      <c r="H61" s="1292">
        <f>'Summary-Co'!H56</f>
        <v>0.63851851851851849</v>
      </c>
      <c r="I61" s="1291">
        <f>'Summary-Co'!I56</f>
        <v>4.887584801621446</v>
      </c>
      <c r="J61" s="1292">
        <f>'Summary-Co'!J56</f>
        <v>0.24437924008107231</v>
      </c>
      <c r="K61" s="1291">
        <f>'Summary-Co'!K56</f>
        <v>5.268486050420168E-2</v>
      </c>
      <c r="L61" s="1292">
        <f>'Summary-Co'!L56</f>
        <v>2.6342430252100841E-3</v>
      </c>
      <c r="M61" s="1291">
        <f>'Summary-Co'!M56</f>
        <v>0.21023717968</v>
      </c>
      <c r="N61" s="1292">
        <f>'Summary-Co'!N56</f>
        <v>1.0511858984E-2</v>
      </c>
      <c r="O61" s="1291">
        <f>'Summary-Co'!O56</f>
        <v>0.21023717968</v>
      </c>
      <c r="P61" s="1292">
        <f>'Summary-Co'!P56</f>
        <v>1.0511858984E-2</v>
      </c>
      <c r="Q61" s="1291">
        <f>'Summary-Co'!Q56</f>
        <v>2.0982598998460671</v>
      </c>
      <c r="R61" s="1292">
        <f>'Summary-Co'!R56</f>
        <v>0.10491299499230333</v>
      </c>
      <c r="S61" s="4016">
        <f>'Summary-Co'!S56:T56</f>
        <v>157.09885782590544</v>
      </c>
      <c r="T61" s="3979"/>
      <c r="U61" s="44"/>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row>
    <row r="62" spans="1:72" s="53" customFormat="1" ht="44.25" customHeight="1">
      <c r="A62" s="36"/>
      <c r="B62" s="1032" t="str">
        <f>'Summary-Co'!B57</f>
        <v>Emergency Generator</v>
      </c>
      <c r="C62" s="1284" t="str">
        <f>'Summary-Co'!C57</f>
        <v>GEN5</v>
      </c>
      <c r="D62" s="1685" t="str">
        <f t="shared" si="4"/>
        <v>GEN5</v>
      </c>
      <c r="E62" s="1291">
        <f>'Summary-Co'!E57</f>
        <v>7.6014109347442673</v>
      </c>
      <c r="F62" s="1292">
        <f>'Summary-Co'!F57</f>
        <v>0.38007054673721336</v>
      </c>
      <c r="G62" s="1291">
        <f>'Summary-Co'!G57</f>
        <v>12.770370370370369</v>
      </c>
      <c r="H62" s="1292">
        <f>'Summary-Co'!H57</f>
        <v>0.63851851851851849</v>
      </c>
      <c r="I62" s="1291">
        <f>'Summary-Co'!I57</f>
        <v>4.887584801621446</v>
      </c>
      <c r="J62" s="1292">
        <f>'Summary-Co'!J57</f>
        <v>0.24437924008107231</v>
      </c>
      <c r="K62" s="1291">
        <f>'Summary-Co'!K57</f>
        <v>5.268486050420168E-2</v>
      </c>
      <c r="L62" s="1292">
        <f>'Summary-Co'!L57</f>
        <v>2.6342430252100841E-3</v>
      </c>
      <c r="M62" s="1291">
        <f>'Summary-Co'!M57</f>
        <v>0.21023717968</v>
      </c>
      <c r="N62" s="1292">
        <f>'Summary-Co'!N57</f>
        <v>1.0511858984E-2</v>
      </c>
      <c r="O62" s="1291">
        <f>'Summary-Co'!O57</f>
        <v>0.21023717968</v>
      </c>
      <c r="P62" s="1292">
        <f>'Summary-Co'!P57</f>
        <v>1.0511858984E-2</v>
      </c>
      <c r="Q62" s="1291">
        <f>'Summary-Co'!Q57</f>
        <v>2.0982598998460671</v>
      </c>
      <c r="R62" s="1292">
        <f>'Summary-Co'!R57</f>
        <v>0.10491299499230333</v>
      </c>
      <c r="S62" s="4016">
        <f>'Summary-Co'!S57:T57</f>
        <v>157.09885782590544</v>
      </c>
      <c r="T62" s="3979"/>
      <c r="U62" s="44"/>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row>
    <row r="63" spans="1:72" s="53" customFormat="1" ht="44.25" customHeight="1">
      <c r="A63" s="36"/>
      <c r="B63" s="1032" t="str">
        <f>'Summary-Co'!B58</f>
        <v>Emergency Generator</v>
      </c>
      <c r="C63" s="1284" t="str">
        <f>'Summary-Co'!C58</f>
        <v>GEN6</v>
      </c>
      <c r="D63" s="1285" t="str">
        <f t="shared" si="4"/>
        <v>GEN6</v>
      </c>
      <c r="E63" s="1291">
        <f>'Summary-Co'!E58</f>
        <v>7.6014109347442673</v>
      </c>
      <c r="F63" s="1292">
        <f>'Summary-Co'!F58</f>
        <v>0.38007054673721336</v>
      </c>
      <c r="G63" s="1291">
        <f>'Summary-Co'!G58</f>
        <v>12.770370370370369</v>
      </c>
      <c r="H63" s="1292">
        <f>'Summary-Co'!H58</f>
        <v>0.63851851851851849</v>
      </c>
      <c r="I63" s="1291">
        <f>'Summary-Co'!I58</f>
        <v>4.887584801621446</v>
      </c>
      <c r="J63" s="1292">
        <f>'Summary-Co'!J58</f>
        <v>0.24437924008107231</v>
      </c>
      <c r="K63" s="1291">
        <f>'Summary-Co'!K58</f>
        <v>5.268486050420168E-2</v>
      </c>
      <c r="L63" s="1292">
        <f>'Summary-Co'!L58</f>
        <v>2.6342430252100841E-3</v>
      </c>
      <c r="M63" s="1291">
        <f>'Summary-Co'!M58</f>
        <v>0.21023717968</v>
      </c>
      <c r="N63" s="1292">
        <f>'Summary-Co'!N58</f>
        <v>1.0511858984E-2</v>
      </c>
      <c r="O63" s="1291">
        <f>'Summary-Co'!O58</f>
        <v>0.21023717968</v>
      </c>
      <c r="P63" s="1292">
        <f>'Summary-Co'!P58</f>
        <v>1.0511858984E-2</v>
      </c>
      <c r="Q63" s="1291">
        <f>'Summary-Co'!Q58</f>
        <v>2.0982598998460671</v>
      </c>
      <c r="R63" s="1292">
        <f>'Summary-Co'!R58</f>
        <v>0.10491299499230333</v>
      </c>
      <c r="S63" s="4016">
        <f>'Summary-Co'!S58:T58</f>
        <v>157.09885782590544</v>
      </c>
      <c r="T63" s="3979"/>
      <c r="U63" s="44"/>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row>
    <row r="64" spans="1:72" s="53" customFormat="1" ht="44.25" customHeight="1">
      <c r="A64" s="36"/>
      <c r="B64" s="2520" t="str">
        <f>'Summary-Co'!B59</f>
        <v>Emergency Generator</v>
      </c>
      <c r="C64" s="3068" t="str">
        <f>'Summary-Co'!C59</f>
        <v>GEN7</v>
      </c>
      <c r="D64" s="2517" t="str">
        <f t="shared" si="4"/>
        <v>GEN7</v>
      </c>
      <c r="E64" s="2485">
        <f>'Summary-Co'!E59</f>
        <v>7.6014109347442673</v>
      </c>
      <c r="F64" s="2564">
        <f>'Summary-Co'!F59</f>
        <v>0.38007054673721336</v>
      </c>
      <c r="G64" s="2485">
        <f>'Summary-Co'!G59</f>
        <v>12.770370370370369</v>
      </c>
      <c r="H64" s="2564">
        <f>'Summary-Co'!H59</f>
        <v>0.63851851851851849</v>
      </c>
      <c r="I64" s="2485">
        <f>'Summary-Co'!I59</f>
        <v>4.887584801621446</v>
      </c>
      <c r="J64" s="2564">
        <f>'Summary-Co'!J59</f>
        <v>0.24437924008107231</v>
      </c>
      <c r="K64" s="2485">
        <f>'Summary-Co'!K59</f>
        <v>5.268486050420168E-2</v>
      </c>
      <c r="L64" s="2564">
        <f>'Summary-Co'!L59</f>
        <v>2.6342430252100841E-3</v>
      </c>
      <c r="M64" s="2485">
        <f>'Summary-Co'!M59</f>
        <v>0.21023717968</v>
      </c>
      <c r="N64" s="2564">
        <f>'Summary-Co'!N59</f>
        <v>1.0511858984E-2</v>
      </c>
      <c r="O64" s="2485">
        <f>'Summary-Co'!O59</f>
        <v>0.21023717968</v>
      </c>
      <c r="P64" s="2564">
        <f>'Summary-Co'!P59</f>
        <v>1.0511858984E-2</v>
      </c>
      <c r="Q64" s="2485">
        <f>'Summary-Co'!Q59</f>
        <v>2.0982598998460671</v>
      </c>
      <c r="R64" s="2564">
        <f>'Summary-Co'!R59</f>
        <v>0.10491299499230333</v>
      </c>
      <c r="S64" s="4385">
        <f>'Summary-Co'!S59:T59</f>
        <v>157.09885782590544</v>
      </c>
      <c r="T64" s="4378"/>
      <c r="U64" s="44"/>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row>
    <row r="65" spans="1:72" s="53" customFormat="1" ht="44.25" customHeight="1" thickBot="1">
      <c r="A65" s="36"/>
      <c r="B65" s="3401" t="str">
        <f>'Summary-Co'!B60</f>
        <v>Emergency Generator</v>
      </c>
      <c r="C65" s="3402" t="str">
        <f>'Summary-Co'!C60</f>
        <v>GEN8</v>
      </c>
      <c r="D65" s="3403" t="str">
        <f t="shared" si="4"/>
        <v>GEN8</v>
      </c>
      <c r="E65" s="3404">
        <f>'Summary-Co'!E60</f>
        <v>7.6014109347442673</v>
      </c>
      <c r="F65" s="3405">
        <f>'Summary-Co'!F60</f>
        <v>0.38007054673721336</v>
      </c>
      <c r="G65" s="3404">
        <f>'Summary-Co'!G60</f>
        <v>12.770370370370369</v>
      </c>
      <c r="H65" s="3405">
        <f>'Summary-Co'!H60</f>
        <v>0.63851851851851849</v>
      </c>
      <c r="I65" s="3404">
        <f>'Summary-Co'!I60</f>
        <v>4.887584801621446</v>
      </c>
      <c r="J65" s="3405">
        <f>'Summary-Co'!J60</f>
        <v>0.24437924008107231</v>
      </c>
      <c r="K65" s="3404">
        <f>'Summary-Co'!K60</f>
        <v>5.268486050420168E-2</v>
      </c>
      <c r="L65" s="3405">
        <f>'Summary-Co'!L60</f>
        <v>2.6342430252100841E-3</v>
      </c>
      <c r="M65" s="3404">
        <f>'Summary-Co'!M60</f>
        <v>0.21023717968</v>
      </c>
      <c r="N65" s="3405">
        <f>'Summary-Co'!N60</f>
        <v>1.0511858984E-2</v>
      </c>
      <c r="O65" s="3404">
        <f>'Summary-Co'!O60</f>
        <v>0.21023717968</v>
      </c>
      <c r="P65" s="3405">
        <f>'Summary-Co'!P60</f>
        <v>1.0511858984E-2</v>
      </c>
      <c r="Q65" s="3404">
        <f>'Summary-Co'!Q60</f>
        <v>2.0982598998460671</v>
      </c>
      <c r="R65" s="3405">
        <f>'Summary-Co'!R60</f>
        <v>0.10491299499230333</v>
      </c>
      <c r="S65" s="5308">
        <f>'Summary-Co'!S60:T60</f>
        <v>157.09885782590544</v>
      </c>
      <c r="T65" s="5309"/>
      <c r="U65" s="44"/>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row>
    <row r="66" spans="1:72" ht="24" customHeight="1" thickBot="1">
      <c r="A66" s="36"/>
      <c r="B66" s="180"/>
      <c r="C66" s="180"/>
      <c r="D66" s="180"/>
      <c r="E66" s="181"/>
      <c r="F66" s="181"/>
      <c r="G66" s="181"/>
      <c r="H66" s="182"/>
      <c r="I66" s="182"/>
      <c r="J66" s="182"/>
      <c r="K66" s="182"/>
      <c r="L66" s="182"/>
      <c r="M66" s="182"/>
      <c r="N66" s="182"/>
      <c r="O66" s="182"/>
      <c r="P66" s="182"/>
      <c r="Q66" s="182"/>
      <c r="R66" s="182"/>
      <c r="S66" s="182"/>
      <c r="T66" s="182"/>
      <c r="U66" s="44"/>
    </row>
    <row r="67" spans="1:72" s="9" customFormat="1" ht="42" customHeight="1">
      <c r="A67" s="23"/>
      <c r="B67" s="3952" t="s">
        <v>64</v>
      </c>
      <c r="C67" s="3958"/>
      <c r="D67" s="3955"/>
      <c r="E67" s="3952" t="s">
        <v>21</v>
      </c>
      <c r="F67" s="3955"/>
      <c r="G67" s="3952" t="s">
        <v>0</v>
      </c>
      <c r="H67" s="3953"/>
      <c r="I67" s="3950" t="s">
        <v>283</v>
      </c>
      <c r="J67" s="3951"/>
      <c r="K67" s="3952" t="s">
        <v>284</v>
      </c>
      <c r="L67" s="3953"/>
      <c r="M67" s="3952" t="s">
        <v>1311</v>
      </c>
      <c r="N67" s="3953"/>
      <c r="O67" s="3954" t="s">
        <v>285</v>
      </c>
      <c r="P67" s="3955"/>
      <c r="Q67" s="3952" t="s">
        <v>15</v>
      </c>
      <c r="R67" s="3953"/>
      <c r="S67" s="3952" t="s">
        <v>273</v>
      </c>
      <c r="T67" s="3953"/>
      <c r="U67" s="24"/>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row>
    <row r="68" spans="1:72" s="9" customFormat="1" ht="26.25" customHeight="1">
      <c r="A68" s="23"/>
      <c r="B68" s="3959"/>
      <c r="C68" s="3960"/>
      <c r="D68" s="3961"/>
      <c r="E68" s="183" t="s">
        <v>22</v>
      </c>
      <c r="F68" s="184" t="s">
        <v>37</v>
      </c>
      <c r="G68" s="183" t="s">
        <v>22</v>
      </c>
      <c r="H68" s="185" t="s">
        <v>37</v>
      </c>
      <c r="I68" s="186" t="s">
        <v>22</v>
      </c>
      <c r="J68" s="184" t="s">
        <v>37</v>
      </c>
      <c r="K68" s="183" t="s">
        <v>22</v>
      </c>
      <c r="L68" s="185" t="s">
        <v>37</v>
      </c>
      <c r="M68" s="1407" t="s">
        <v>22</v>
      </c>
      <c r="N68" s="1408" t="s">
        <v>37</v>
      </c>
      <c r="O68" s="186" t="s">
        <v>22</v>
      </c>
      <c r="P68" s="184" t="s">
        <v>37</v>
      </c>
      <c r="Q68" s="183" t="s">
        <v>22</v>
      </c>
      <c r="R68" s="185" t="s">
        <v>37</v>
      </c>
      <c r="S68" s="3995" t="s">
        <v>37</v>
      </c>
      <c r="T68" s="3996"/>
      <c r="U68" s="24"/>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row>
    <row r="69" spans="1:72" s="9" customFormat="1" ht="44.25" customHeight="1" thickBot="1">
      <c r="A69" s="23"/>
      <c r="B69" s="3962"/>
      <c r="C69" s="3963"/>
      <c r="D69" s="3964"/>
      <c r="E69" s="187">
        <f>SUM(E12:E28)+E30+E41+E42+E43+E44+E57</f>
        <v>150.05713150745785</v>
      </c>
      <c r="F69" s="188">
        <f>SUM(F12:F65)</f>
        <v>240.6112975412014</v>
      </c>
      <c r="G69" s="187">
        <f>SUM(G12:G28)+G30+G41+G42+G43+G44+G57</f>
        <v>239.82488435736707</v>
      </c>
      <c r="H69" s="188">
        <f>SUM(H12:H65)</f>
        <v>217.70271387151558</v>
      </c>
      <c r="I69" s="187">
        <f>SUM(I12:I28)+I29+I31+I32+I33+I34+I41+I42+I43+I44+I45+I50+I51+I57</f>
        <v>465.926615916554</v>
      </c>
      <c r="J69" s="188">
        <f>SUM(J12:J65)</f>
        <v>387.95902333490409</v>
      </c>
      <c r="K69" s="187">
        <f>SUM(K12:K28)+K30+K41+K42+K43+K44+K57</f>
        <v>6.8640533787103895</v>
      </c>
      <c r="L69" s="188">
        <f>SUM(L12:L65)</f>
        <v>29.873025281700308</v>
      </c>
      <c r="M69" s="187">
        <f>SUM(M12:M28)+M30+M41+M42+M43+M44+M57</f>
        <v>22.483979429496834</v>
      </c>
      <c r="N69" s="188">
        <f>SUM(N12:N65)</f>
        <v>85.556320949873253</v>
      </c>
      <c r="O69" s="187">
        <f>SUM(O12:O28)+O30+O41+O42+O43+O44+O57</f>
        <v>22.483979429496834</v>
      </c>
      <c r="P69" s="188">
        <f>SUM(P12:P65)</f>
        <v>78.980184937279517</v>
      </c>
      <c r="Q69" s="187">
        <f>SUM(Q12:Q28)+Q41+Q42+Q43+Q44+Q45+Q50+Q51+Q57+Q58+Q59+Q60+Q61+Q62+Q63+Q64+Q65</f>
        <v>21.482752052988495</v>
      </c>
      <c r="R69" s="188">
        <f>SUM(R12:R65)</f>
        <v>23.430879137657524</v>
      </c>
      <c r="S69" s="3997">
        <f>SUM(S12:S65)</f>
        <v>1366952.1153684049</v>
      </c>
      <c r="T69" s="3998">
        <f>SUM(T12:T55)</f>
        <v>0</v>
      </c>
      <c r="U69" s="24"/>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row>
    <row r="70" spans="1:72" ht="27.75" customHeight="1" thickBot="1">
      <c r="A70" s="31"/>
      <c r="B70" s="3956"/>
      <c r="C70" s="3956"/>
      <c r="D70" s="3956"/>
      <c r="E70" s="3956"/>
      <c r="F70" s="3956"/>
      <c r="G70" s="3956"/>
      <c r="H70" s="3956"/>
      <c r="I70" s="3956"/>
      <c r="J70" s="3956"/>
      <c r="K70" s="3956"/>
      <c r="L70" s="3956"/>
      <c r="M70" s="3957"/>
      <c r="N70" s="3957"/>
      <c r="O70" s="3956"/>
      <c r="P70" s="3956"/>
      <c r="Q70" s="3956"/>
      <c r="R70" s="3956"/>
      <c r="S70" s="1498"/>
      <c r="T70" s="1498"/>
      <c r="U70" s="40"/>
    </row>
    <row r="71" spans="1:72" ht="13.5" thickBot="1">
      <c r="B71" s="6"/>
      <c r="C71" s="6"/>
      <c r="D71" s="6"/>
      <c r="E71" s="6"/>
      <c r="F71" s="6"/>
      <c r="G71" s="6"/>
      <c r="H71" s="6"/>
      <c r="I71" s="6"/>
      <c r="J71" s="6"/>
      <c r="K71" s="6"/>
      <c r="L71" s="6"/>
      <c r="M71" s="5"/>
      <c r="N71" s="5"/>
      <c r="O71" s="5"/>
      <c r="P71" s="5"/>
      <c r="Q71" s="5"/>
      <c r="R71" s="5"/>
      <c r="S71" s="5"/>
      <c r="T71" s="5"/>
    </row>
    <row r="72" spans="1:72" ht="44.15" customHeight="1" thickBot="1">
      <c r="B72" s="4003" t="s">
        <v>1132</v>
      </c>
      <c r="C72" s="4004"/>
      <c r="D72" s="5327"/>
      <c r="E72" s="1202" t="s">
        <v>22</v>
      </c>
      <c r="F72" s="1304" t="s">
        <v>37</v>
      </c>
      <c r="G72" s="1306" t="s">
        <v>22</v>
      </c>
      <c r="H72" s="1203" t="s">
        <v>37</v>
      </c>
      <c r="I72" s="1202" t="s">
        <v>22</v>
      </c>
      <c r="J72" s="1304" t="s">
        <v>37</v>
      </c>
      <c r="K72" s="1306" t="s">
        <v>22</v>
      </c>
      <c r="L72" s="1203" t="s">
        <v>37</v>
      </c>
      <c r="M72" s="1202" t="s">
        <v>22</v>
      </c>
      <c r="N72" s="1203" t="s">
        <v>37</v>
      </c>
      <c r="O72" s="1202" t="s">
        <v>22</v>
      </c>
      <c r="P72" s="1203" t="s">
        <v>37</v>
      </c>
    </row>
    <row r="73" spans="1:72" ht="44.15" customHeight="1">
      <c r="B73" s="4005" t="s">
        <v>1133</v>
      </c>
      <c r="C73" s="4006"/>
      <c r="D73" s="5328"/>
      <c r="E73" s="1201">
        <f t="shared" ref="E73:P73" si="5">SUM(E12:E25)</f>
        <v>27.402600000000003</v>
      </c>
      <c r="F73" s="1305">
        <f t="shared" si="5"/>
        <v>120.023388</v>
      </c>
      <c r="G73" s="1307">
        <f t="shared" si="5"/>
        <v>15.452888999999994</v>
      </c>
      <c r="H73" s="1308">
        <f t="shared" si="5"/>
        <v>67.683653819999989</v>
      </c>
      <c r="I73" s="1201">
        <f t="shared" si="5"/>
        <v>6.0673920000000008</v>
      </c>
      <c r="J73" s="1305">
        <f t="shared" si="5"/>
        <v>26.575176960000004</v>
      </c>
      <c r="K73" s="1307">
        <f t="shared" si="5"/>
        <v>2.0912426470588232</v>
      </c>
      <c r="L73" s="1308">
        <f t="shared" si="5"/>
        <v>9.1596427941176479</v>
      </c>
      <c r="M73" s="1201">
        <f t="shared" si="5"/>
        <v>7.0637529411764692</v>
      </c>
      <c r="N73" s="1204">
        <f t="shared" si="5"/>
        <v>30.939237882352941</v>
      </c>
      <c r="O73" s="1201">
        <f t="shared" si="5"/>
        <v>7.0637529411764692</v>
      </c>
      <c r="P73" s="1204">
        <f t="shared" si="5"/>
        <v>30.939237882352941</v>
      </c>
      <c r="Q73" s="1029"/>
      <c r="R73" s="1029"/>
      <c r="S73" s="1029"/>
      <c r="T73" s="1029"/>
    </row>
    <row r="74" spans="1:72" ht="44.15" customHeight="1">
      <c r="B74" s="5329" t="s">
        <v>1134</v>
      </c>
      <c r="C74" s="5330"/>
      <c r="D74" s="5331"/>
      <c r="E74" s="1450">
        <f>E12+E13+E41</f>
        <v>5.0550680516780506</v>
      </c>
      <c r="F74" s="1451">
        <f>F12+F13+F41</f>
        <v>21.249852807377625</v>
      </c>
      <c r="G74" s="1450">
        <f>G12+G13+G41</f>
        <v>5.2939778350529192</v>
      </c>
      <c r="H74" s="1451">
        <f>H12+H13+H41</f>
        <v>21.408161911395183</v>
      </c>
      <c r="I74" s="1450">
        <f>I12+I13+I31+I32+I33+I34+I41+I45+I50</f>
        <v>43.816679802551036</v>
      </c>
      <c r="J74" s="1451">
        <f>J12+J13+J31+J32+J33+J34+J41+J45+J50</f>
        <v>189.08129249641019</v>
      </c>
      <c r="K74" s="1450">
        <f t="shared" ref="K74:P74" si="6">K12+K13+K41</f>
        <v>0.28601470588235295</v>
      </c>
      <c r="L74" s="1451">
        <f t="shared" si="6"/>
        <v>1.252744411764706</v>
      </c>
      <c r="M74" s="1450">
        <f t="shared" si="6"/>
        <v>1.0521122335376041</v>
      </c>
      <c r="N74" s="1451">
        <f t="shared" si="6"/>
        <v>4.3602929315521157</v>
      </c>
      <c r="O74" s="1450">
        <f t="shared" si="6"/>
        <v>1.0521122335376041</v>
      </c>
      <c r="P74" s="1451">
        <f t="shared" si="6"/>
        <v>4.3602929315521157</v>
      </c>
      <c r="Q74" s="1029"/>
      <c r="R74" s="1029"/>
      <c r="S74" s="1029"/>
      <c r="T74" s="1029"/>
    </row>
    <row r="75" spans="1:72" ht="44.15" customHeight="1" thickBot="1">
      <c r="B75" s="5333" t="s">
        <v>1138</v>
      </c>
      <c r="C75" s="5334"/>
      <c r="D75" s="5335"/>
      <c r="E75" s="1452">
        <f t="shared" ref="E75:P75" si="7">SUM(E57:E57)</f>
        <v>8.4</v>
      </c>
      <c r="F75" s="1453">
        <f t="shared" si="7"/>
        <v>36.792000000000002</v>
      </c>
      <c r="G75" s="1452">
        <f t="shared" si="7"/>
        <v>5.0999999999999996</v>
      </c>
      <c r="H75" s="1454">
        <f t="shared" si="7"/>
        <v>22.338000000000001</v>
      </c>
      <c r="I75" s="1452">
        <f t="shared" si="7"/>
        <v>9.1999999999999975</v>
      </c>
      <c r="J75" s="1454">
        <f t="shared" si="7"/>
        <v>40.295999999999992</v>
      </c>
      <c r="K75" s="1452">
        <f t="shared" si="7"/>
        <v>2.1350532104919506</v>
      </c>
      <c r="L75" s="1454">
        <f t="shared" si="7"/>
        <v>9.3515330619547434</v>
      </c>
      <c r="M75" s="1452">
        <f t="shared" si="7"/>
        <v>9.1999999999999993</v>
      </c>
      <c r="N75" s="1454">
        <f t="shared" si="7"/>
        <v>40.295999999999999</v>
      </c>
      <c r="O75" s="1452">
        <f t="shared" si="7"/>
        <v>9.1999999999999993</v>
      </c>
      <c r="P75" s="1454">
        <f t="shared" si="7"/>
        <v>40.295999999999999</v>
      </c>
      <c r="Q75" s="1029"/>
      <c r="R75" s="1029"/>
      <c r="S75" s="1029"/>
      <c r="T75" s="1029"/>
    </row>
    <row r="76" spans="1:72" ht="44.15" customHeight="1" thickBot="1">
      <c r="B76" s="5326"/>
      <c r="C76" s="5326"/>
      <c r="D76" s="5326"/>
      <c r="E76" s="1448"/>
      <c r="F76" s="1449"/>
      <c r="G76" s="1448"/>
      <c r="H76" s="1449"/>
      <c r="I76" s="1448"/>
      <c r="J76" s="1449"/>
      <c r="K76" s="1448"/>
      <c r="L76" s="1449"/>
      <c r="M76" s="1448"/>
      <c r="N76" s="1449"/>
      <c r="O76" s="1448"/>
      <c r="P76" s="1449"/>
      <c r="W76" s="1037"/>
    </row>
    <row r="77" spans="1:72" ht="29.25" customHeight="1">
      <c r="D77" s="1216" t="s">
        <v>1223</v>
      </c>
      <c r="F77" s="1213"/>
      <c r="G77" s="1427" t="s">
        <v>1326</v>
      </c>
      <c r="H77" s="1428" t="s">
        <v>1298</v>
      </c>
      <c r="I77" s="1429"/>
      <c r="K77" s="1216" t="s">
        <v>1308</v>
      </c>
      <c r="L77" s="1216"/>
    </row>
    <row r="78" spans="1:72" ht="26.25" customHeight="1">
      <c r="D78" s="1209" t="s">
        <v>1327</v>
      </c>
      <c r="E78" s="1211">
        <f>SUM(F69,L69,P69,'COGEN-New'!J21)</f>
        <v>363.88346776018125</v>
      </c>
      <c r="F78" s="1212"/>
      <c r="G78" s="1430">
        <f>E78/$E$81</f>
        <v>7.1630603889799458</v>
      </c>
      <c r="H78" s="1431">
        <f>'COGEN-New'!M2</f>
        <v>24</v>
      </c>
      <c r="I78" s="1432" t="s">
        <v>1328</v>
      </c>
      <c r="J78" s="1210"/>
      <c r="K78" s="1210" t="s">
        <v>1306</v>
      </c>
      <c r="L78" s="1344">
        <f>(L81/417) + (L83/15669)</f>
        <v>0.60176516399803603</v>
      </c>
      <c r="M78" s="8"/>
      <c r="O78" s="8"/>
      <c r="R78" s="199"/>
    </row>
    <row r="79" spans="1:72" s="1029" customFormat="1" ht="26.25" customHeight="1">
      <c r="D79" s="1209" t="s">
        <v>1329</v>
      </c>
      <c r="E79" s="1211">
        <f>E78-SUM(F12:F25,L12:L25,P12:P25)</f>
        <v>203.76119908371066</v>
      </c>
      <c r="F79" s="1212"/>
      <c r="G79" s="1433">
        <f>E79/$E$81</f>
        <v>4.0110472260572969</v>
      </c>
      <c r="H79" s="1434">
        <v>8.51</v>
      </c>
      <c r="I79" s="1432" t="s">
        <v>1328</v>
      </c>
      <c r="J79" s="1210"/>
      <c r="K79" s="1210"/>
      <c r="L79" s="1344"/>
      <c r="M79" s="8"/>
      <c r="O79" s="8"/>
      <c r="R79" s="1035"/>
      <c r="S79" s="1036"/>
      <c r="T79" s="1036"/>
    </row>
    <row r="80" spans="1:72" s="1029" customFormat="1" ht="23.5">
      <c r="D80" s="1209" t="s">
        <v>1330</v>
      </c>
      <c r="E80" s="1211">
        <f>E78-SUM(F57:F57,L57:L57,P57:P57)-'COGEN-New'!J21</f>
        <v>263.02497469822652</v>
      </c>
      <c r="F80" s="1212"/>
      <c r="G80" s="1433">
        <f>E80/$E$81</f>
        <v>5.1776569822485534</v>
      </c>
      <c r="H80" s="1435" t="s">
        <v>445</v>
      </c>
      <c r="I80" s="1434"/>
      <c r="J80" s="1210"/>
      <c r="K80" s="1210"/>
      <c r="L80" s="1344"/>
      <c r="M80" s="8"/>
      <c r="O80" s="8"/>
      <c r="R80" s="1035"/>
      <c r="T80" s="1036"/>
    </row>
    <row r="81" spans="4:20" s="1029" customFormat="1" ht="23.5">
      <c r="D81" s="1209" t="s">
        <v>1221</v>
      </c>
      <c r="E81" s="1210">
        <v>50.8</v>
      </c>
      <c r="F81" s="1213"/>
      <c r="G81" s="1211"/>
      <c r="H81" s="1210"/>
      <c r="I81" s="1210"/>
      <c r="J81" s="1210"/>
      <c r="K81" s="1210" t="s">
        <v>21</v>
      </c>
      <c r="L81" s="1036">
        <f>F69</f>
        <v>240.6112975412014</v>
      </c>
      <c r="M81" s="1029" t="s">
        <v>37</v>
      </c>
      <c r="O81" s="1029" t="s">
        <v>37</v>
      </c>
      <c r="R81" s="1035"/>
      <c r="T81" s="1036"/>
    </row>
    <row r="82" spans="4:20" ht="23.5">
      <c r="D82" s="1216" t="s">
        <v>1224</v>
      </c>
      <c r="F82" s="1213"/>
      <c r="G82" s="8"/>
      <c r="H82" s="1210"/>
      <c r="I82" s="1210"/>
      <c r="J82" s="1210"/>
      <c r="K82" s="1210"/>
      <c r="L82" s="1029"/>
      <c r="M82" s="1029"/>
      <c r="N82" s="8"/>
      <c r="O82" s="1029"/>
      <c r="P82" s="8"/>
      <c r="Q82" s="8"/>
      <c r="R82" s="199"/>
      <c r="S82" s="8"/>
      <c r="T82" s="8"/>
    </row>
    <row r="83" spans="4:20" ht="23.5">
      <c r="D83" s="1209" t="s">
        <v>1220</v>
      </c>
      <c r="E83" s="1211">
        <f>E78</f>
        <v>363.88346776018125</v>
      </c>
      <c r="F83" s="1212"/>
      <c r="G83" s="1211">
        <f>E83/E84</f>
        <v>3.9211580577605738</v>
      </c>
      <c r="H83" s="1210"/>
      <c r="I83" s="1210"/>
      <c r="J83" s="1211"/>
      <c r="K83" s="1210" t="s">
        <v>149</v>
      </c>
      <c r="L83" s="1036">
        <f>J69</f>
        <v>387.95902333490409</v>
      </c>
      <c r="M83" s="1029" t="s">
        <v>1307</v>
      </c>
      <c r="O83" s="1029" t="s">
        <v>1307</v>
      </c>
      <c r="R83" s="199"/>
      <c r="T83" s="8"/>
    </row>
    <row r="84" spans="4:20" ht="23.5">
      <c r="D84" s="1209" t="s">
        <v>1221</v>
      </c>
      <c r="E84" s="1210">
        <v>92.8</v>
      </c>
      <c r="F84" s="1213"/>
      <c r="G84" s="1211"/>
      <c r="H84" s="1211"/>
      <c r="I84" s="1211"/>
      <c r="J84" s="1211"/>
      <c r="K84" s="1211"/>
      <c r="L84" s="8"/>
      <c r="M84" s="8"/>
      <c r="O84" s="8"/>
      <c r="R84" s="8"/>
    </row>
    <row r="85" spans="4:20" ht="23.5">
      <c r="D85" s="1216" t="s">
        <v>1225</v>
      </c>
      <c r="F85" s="1213"/>
      <c r="G85" s="8"/>
      <c r="H85" s="1210"/>
      <c r="I85" s="1210"/>
      <c r="J85" s="1211"/>
      <c r="K85" s="1211"/>
    </row>
    <row r="86" spans="4:20" ht="23.5">
      <c r="D86" s="1209" t="s">
        <v>1220</v>
      </c>
      <c r="E86" s="1211">
        <f>E78</f>
        <v>363.88346776018125</v>
      </c>
      <c r="F86" s="1212"/>
      <c r="G86" s="1211">
        <f>E86/E87</f>
        <v>2.6835063994113662</v>
      </c>
      <c r="H86" s="1210"/>
      <c r="I86" s="1210"/>
      <c r="J86" s="1211"/>
      <c r="K86" s="1211"/>
    </row>
    <row r="87" spans="4:20" ht="23.5">
      <c r="D87" s="1209" t="s">
        <v>1221</v>
      </c>
      <c r="E87" s="1210">
        <v>135.6</v>
      </c>
      <c r="F87" s="1213"/>
      <c r="G87" s="1211"/>
      <c r="H87" s="1210"/>
      <c r="I87" s="1210"/>
      <c r="J87" s="1211"/>
      <c r="K87" s="1211"/>
    </row>
    <row r="88" spans="4:20" ht="20.5">
      <c r="D88" s="1216" t="s">
        <v>1226</v>
      </c>
      <c r="F88" s="1213"/>
      <c r="G88" s="8"/>
      <c r="Q88" s="8"/>
      <c r="R88" s="8"/>
    </row>
    <row r="89" spans="4:20" ht="23.5">
      <c r="D89" s="1209" t="s">
        <v>1220</v>
      </c>
      <c r="E89" s="1211">
        <f>E78</f>
        <v>363.88346776018125</v>
      </c>
      <c r="F89" s="1212"/>
      <c r="G89" s="1211">
        <f>E89/E90</f>
        <v>1.8130715882420592</v>
      </c>
    </row>
    <row r="90" spans="4:20" ht="23.5">
      <c r="D90" s="1209" t="s">
        <v>1221</v>
      </c>
      <c r="E90" s="1210">
        <v>200.7</v>
      </c>
      <c r="F90" s="1213"/>
      <c r="G90" s="1211"/>
      <c r="I90" s="8"/>
      <c r="J90" s="8"/>
    </row>
  </sheetData>
  <mergeCells count="101">
    <mergeCell ref="B76:D76"/>
    <mergeCell ref="B70:R70"/>
    <mergeCell ref="B72:D72"/>
    <mergeCell ref="B73:D73"/>
    <mergeCell ref="B74:D74"/>
    <mergeCell ref="I67:J67"/>
    <mergeCell ref="K67:L67"/>
    <mergeCell ref="E49:T49"/>
    <mergeCell ref="Q67:R67"/>
    <mergeCell ref="S67:T67"/>
    <mergeCell ref="S50:T50"/>
    <mergeCell ref="E52:T52"/>
    <mergeCell ref="E53:T53"/>
    <mergeCell ref="S57:T57"/>
    <mergeCell ref="S51:T51"/>
    <mergeCell ref="E56:T56"/>
    <mergeCell ref="E55:T55"/>
    <mergeCell ref="E54:T54"/>
    <mergeCell ref="S58:T58"/>
    <mergeCell ref="S59:T59"/>
    <mergeCell ref="S60:T60"/>
    <mergeCell ref="B75:D75"/>
    <mergeCell ref="B67:D69"/>
    <mergeCell ref="S45:T45"/>
    <mergeCell ref="S46:T46"/>
    <mergeCell ref="S47:T47"/>
    <mergeCell ref="E48:T48"/>
    <mergeCell ref="M67:N67"/>
    <mergeCell ref="O67:P67"/>
    <mergeCell ref="S68:T68"/>
    <mergeCell ref="S69:T69"/>
    <mergeCell ref="E67:F67"/>
    <mergeCell ref="G67:H67"/>
    <mergeCell ref="G26:G28"/>
    <mergeCell ref="S33:T33"/>
    <mergeCell ref="S31:T31"/>
    <mergeCell ref="S32:T32"/>
    <mergeCell ref="E38:T38"/>
    <mergeCell ref="E39:T39"/>
    <mergeCell ref="S41:T41"/>
    <mergeCell ref="E36:T36"/>
    <mergeCell ref="E37:T37"/>
    <mergeCell ref="S34:T34"/>
    <mergeCell ref="E35:T35"/>
    <mergeCell ref="E40:T40"/>
    <mergeCell ref="S26:T28"/>
    <mergeCell ref="Q26:Q28"/>
    <mergeCell ref="S12:T12"/>
    <mergeCell ref="S13:T13"/>
    <mergeCell ref="S20:T20"/>
    <mergeCell ref="S23:T23"/>
    <mergeCell ref="S25:T25"/>
    <mergeCell ref="S21:T21"/>
    <mergeCell ref="S22:T22"/>
    <mergeCell ref="S24:T24"/>
    <mergeCell ref="S14:T14"/>
    <mergeCell ref="S15:T15"/>
    <mergeCell ref="S16:T16"/>
    <mergeCell ref="S17:T17"/>
    <mergeCell ref="S18:T18"/>
    <mergeCell ref="S19:T19"/>
    <mergeCell ref="B3:T3"/>
    <mergeCell ref="B4:T4"/>
    <mergeCell ref="B5:T5"/>
    <mergeCell ref="A8:U8"/>
    <mergeCell ref="B10:B11"/>
    <mergeCell ref="C10:C11"/>
    <mergeCell ref="D10:D11"/>
    <mergeCell ref="E10:F10"/>
    <mergeCell ref="G10:H10"/>
    <mergeCell ref="I10:J10"/>
    <mergeCell ref="S11:T11"/>
    <mergeCell ref="K10:L10"/>
    <mergeCell ref="M10:N10"/>
    <mergeCell ref="O10:P10"/>
    <mergeCell ref="Q10:R10"/>
    <mergeCell ref="S10:T10"/>
    <mergeCell ref="C26:C28"/>
    <mergeCell ref="D26:D28"/>
    <mergeCell ref="S29:T29"/>
    <mergeCell ref="S30:T30"/>
    <mergeCell ref="S61:T61"/>
    <mergeCell ref="S62:T62"/>
    <mergeCell ref="S63:T63"/>
    <mergeCell ref="S64:T64"/>
    <mergeCell ref="S65:T65"/>
    <mergeCell ref="H26:H28"/>
    <mergeCell ref="I26:I28"/>
    <mergeCell ref="E26:E28"/>
    <mergeCell ref="F26:F28"/>
    <mergeCell ref="S42:T42"/>
    <mergeCell ref="S43:T43"/>
    <mergeCell ref="S44:T44"/>
    <mergeCell ref="J26:J28"/>
    <mergeCell ref="K26:K28"/>
    <mergeCell ref="L26:L28"/>
    <mergeCell ref="R26:R28"/>
    <mergeCell ref="M26:M28"/>
    <mergeCell ref="N26:N28"/>
    <mergeCell ref="O26:O28"/>
    <mergeCell ref="P26:P28"/>
  </mergeCells>
  <conditionalFormatting sqref="M74:N74">
    <cfRule type="cellIs" dxfId="2" priority="1" operator="greaterThan">
      <formula>100</formula>
    </cfRule>
  </conditionalFormatting>
  <printOptions horizontalCentered="1"/>
  <pageMargins left="0.25" right="0.25" top="0.3" bottom="0.4" header="0.3" footer="0.3"/>
  <pageSetup scale="38" fitToHeight="2" orientation="landscape" r:id="rId1"/>
  <headerFooter alignWithMargins="0">
    <oddFooter>&amp;CCalculations: Page &amp;P</oddFooter>
  </headerFooter>
  <rowBreaks count="2" manualBreakCount="2">
    <brk id="34" max="20" man="1"/>
    <brk id="70"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tabColor theme="6" tint="-0.249977111117893"/>
  </sheetPr>
  <dimension ref="A1:BT88"/>
  <sheetViews>
    <sheetView view="pageBreakPreview" topLeftCell="A51" zoomScale="40" zoomScaleNormal="50" zoomScaleSheetLayoutView="40" zoomScalePageLayoutView="55" workbookViewId="0">
      <selection activeCell="R71" sqref="R71"/>
    </sheetView>
  </sheetViews>
  <sheetFormatPr defaultColWidth="9.36328125" defaultRowHeight="13"/>
  <cols>
    <col min="1" max="1" width="3.6328125" style="38" customWidth="1"/>
    <col min="2" max="2" width="46" style="38" customWidth="1"/>
    <col min="3" max="4" width="22.36328125" style="38" customWidth="1"/>
    <col min="5" max="18" width="15" style="38" customWidth="1"/>
    <col min="19" max="20" width="12.54296875" style="38" customWidth="1"/>
    <col min="21" max="21" width="3.6328125" style="38" customWidth="1"/>
    <col min="22" max="22" width="9.36328125" style="38"/>
    <col min="23" max="23" width="23.6328125" style="38" customWidth="1"/>
    <col min="24" max="16384" width="9.36328125" style="38"/>
  </cols>
  <sheetData>
    <row r="1" spans="1:21" ht="13.5" thickBot="1"/>
    <row r="2" spans="1:21" ht="20.25" customHeight="1" thickBot="1">
      <c r="A2" s="33"/>
      <c r="B2" s="34"/>
      <c r="C2" s="34"/>
      <c r="D2" s="34"/>
      <c r="E2" s="34"/>
      <c r="F2" s="34"/>
      <c r="G2" s="34"/>
      <c r="H2" s="34"/>
      <c r="I2" s="34"/>
      <c r="J2" s="34"/>
      <c r="K2" s="34"/>
      <c r="L2" s="34"/>
      <c r="M2" s="34"/>
      <c r="N2" s="34"/>
      <c r="O2" s="34"/>
      <c r="P2" s="34"/>
      <c r="Q2" s="34"/>
      <c r="R2" s="34"/>
      <c r="S2" s="34"/>
      <c r="T2" s="34"/>
      <c r="U2" s="32"/>
    </row>
    <row r="3" spans="1:21"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1" s="2" customFormat="1" ht="39.75" customHeight="1">
      <c r="A4" s="54"/>
      <c r="B4" s="4326" t="s">
        <v>634</v>
      </c>
      <c r="C4" s="4327"/>
      <c r="D4" s="4327"/>
      <c r="E4" s="4327"/>
      <c r="F4" s="4327"/>
      <c r="G4" s="4327"/>
      <c r="H4" s="4327"/>
      <c r="I4" s="4327"/>
      <c r="J4" s="4327"/>
      <c r="K4" s="4327"/>
      <c r="L4" s="4327"/>
      <c r="M4" s="4327"/>
      <c r="N4" s="4327"/>
      <c r="O4" s="4327"/>
      <c r="P4" s="4327"/>
      <c r="Q4" s="4327"/>
      <c r="R4" s="4327"/>
      <c r="S4" s="4327"/>
      <c r="T4" s="4365"/>
      <c r="U4" s="22"/>
    </row>
    <row r="5" spans="1:21" s="2" customFormat="1" ht="39.75" customHeight="1" thickBot="1">
      <c r="A5" s="54"/>
      <c r="B5" s="4366" t="s">
        <v>1463</v>
      </c>
      <c r="C5" s="4367"/>
      <c r="D5" s="4367"/>
      <c r="E5" s="4367"/>
      <c r="F5" s="4367"/>
      <c r="G5" s="4367"/>
      <c r="H5" s="4367"/>
      <c r="I5" s="4367"/>
      <c r="J5" s="4367"/>
      <c r="K5" s="4367"/>
      <c r="L5" s="4367"/>
      <c r="M5" s="4329"/>
      <c r="N5" s="4329"/>
      <c r="O5" s="4367"/>
      <c r="P5" s="4367"/>
      <c r="Q5" s="4367"/>
      <c r="R5" s="4367"/>
      <c r="S5" s="4367"/>
      <c r="T5" s="4368"/>
      <c r="U5" s="22"/>
    </row>
    <row r="6" spans="1:21" ht="21" customHeight="1" thickBot="1">
      <c r="A6" s="31"/>
      <c r="B6" s="25"/>
      <c r="C6" s="25"/>
      <c r="D6" s="25"/>
      <c r="E6" s="25"/>
      <c r="F6" s="25"/>
      <c r="G6" s="25"/>
      <c r="H6" s="25"/>
      <c r="I6" s="25"/>
      <c r="J6" s="25"/>
      <c r="K6" s="25"/>
      <c r="L6" s="25"/>
      <c r="M6" s="25"/>
      <c r="N6" s="25"/>
      <c r="O6" s="25"/>
      <c r="P6" s="25"/>
      <c r="Q6" s="25"/>
      <c r="R6" s="25"/>
      <c r="S6" s="25"/>
      <c r="T6" s="25"/>
      <c r="U6" s="40"/>
    </row>
    <row r="7" spans="1:21" ht="30.75" customHeight="1" thickBot="1">
      <c r="B7" s="4"/>
      <c r="C7" s="4"/>
      <c r="D7" s="4"/>
      <c r="E7" s="4"/>
      <c r="F7" s="4"/>
      <c r="G7" s="4"/>
      <c r="H7" s="4"/>
      <c r="I7" s="4"/>
      <c r="J7" s="4"/>
      <c r="K7" s="4"/>
      <c r="L7" s="4"/>
      <c r="M7" s="4"/>
      <c r="N7" s="4"/>
      <c r="O7" s="4"/>
      <c r="P7" s="4"/>
      <c r="Q7" s="4"/>
      <c r="R7" s="4"/>
      <c r="S7" s="4"/>
      <c r="T7" s="4"/>
    </row>
    <row r="8" spans="1:21" ht="32.25" customHeight="1" thickBot="1">
      <c r="A8" s="3937" t="s">
        <v>309</v>
      </c>
      <c r="B8" s="3938"/>
      <c r="C8" s="3938"/>
      <c r="D8" s="3938"/>
      <c r="E8" s="3938"/>
      <c r="F8" s="3938"/>
      <c r="G8" s="3938"/>
      <c r="H8" s="3938"/>
      <c r="I8" s="3938"/>
      <c r="J8" s="3938"/>
      <c r="K8" s="3938"/>
      <c r="L8" s="3938"/>
      <c r="M8" s="3938"/>
      <c r="N8" s="3938"/>
      <c r="O8" s="3938"/>
      <c r="P8" s="3938"/>
      <c r="Q8" s="3938"/>
      <c r="R8" s="3938"/>
      <c r="S8" s="3938"/>
      <c r="T8" s="3938"/>
      <c r="U8" s="3939"/>
    </row>
    <row r="9" spans="1:21" ht="24" customHeight="1" thickBot="1">
      <c r="A9" s="33"/>
      <c r="B9" s="34"/>
      <c r="C9" s="34"/>
      <c r="D9" s="34"/>
      <c r="E9" s="34"/>
      <c r="F9" s="34"/>
      <c r="G9" s="34"/>
      <c r="H9" s="34"/>
      <c r="I9" s="34"/>
      <c r="J9" s="34"/>
      <c r="K9" s="34"/>
      <c r="L9" s="34"/>
      <c r="M9" s="34"/>
      <c r="N9" s="34"/>
      <c r="O9" s="34"/>
      <c r="P9" s="34"/>
      <c r="Q9" s="34"/>
      <c r="R9" s="34"/>
      <c r="S9" s="34"/>
      <c r="T9" s="34"/>
      <c r="U9" s="32"/>
    </row>
    <row r="10" spans="1:21" ht="42" customHeight="1">
      <c r="A10" s="36"/>
      <c r="B10" s="3940" t="s">
        <v>91</v>
      </c>
      <c r="C10" s="3942" t="s">
        <v>555</v>
      </c>
      <c r="D10" s="3944" t="s">
        <v>556</v>
      </c>
      <c r="E10" s="3946" t="s">
        <v>21</v>
      </c>
      <c r="F10" s="3947"/>
      <c r="G10" s="3948" t="s">
        <v>0</v>
      </c>
      <c r="H10" s="3949"/>
      <c r="I10" s="3950" t="s">
        <v>103</v>
      </c>
      <c r="J10" s="3951"/>
      <c r="K10" s="3948" t="s">
        <v>51</v>
      </c>
      <c r="L10" s="3949"/>
      <c r="M10" s="3948" t="s">
        <v>1311</v>
      </c>
      <c r="N10" s="3949"/>
      <c r="O10" s="3946" t="s">
        <v>52</v>
      </c>
      <c r="P10" s="3947"/>
      <c r="Q10" s="3948" t="s">
        <v>15</v>
      </c>
      <c r="R10" s="3949"/>
      <c r="S10" s="3948" t="s">
        <v>273</v>
      </c>
      <c r="T10" s="3949"/>
      <c r="U10" s="44"/>
    </row>
    <row r="11" spans="1:21" ht="29.25" customHeight="1" thickBot="1">
      <c r="A11" s="36"/>
      <c r="B11" s="3941"/>
      <c r="C11" s="3943"/>
      <c r="D11" s="3945"/>
      <c r="E11" s="46" t="s">
        <v>22</v>
      </c>
      <c r="F11" s="1497" t="s">
        <v>37</v>
      </c>
      <c r="G11" s="1496" t="s">
        <v>22</v>
      </c>
      <c r="H11" s="45" t="s">
        <v>37</v>
      </c>
      <c r="I11" s="46" t="s">
        <v>22</v>
      </c>
      <c r="J11" s="1497" t="s">
        <v>37</v>
      </c>
      <c r="K11" s="1496" t="s">
        <v>22</v>
      </c>
      <c r="L11" s="45" t="s">
        <v>37</v>
      </c>
      <c r="M11" s="46" t="s">
        <v>22</v>
      </c>
      <c r="N11" s="1387" t="s">
        <v>37</v>
      </c>
      <c r="O11" s="46" t="s">
        <v>22</v>
      </c>
      <c r="P11" s="1497" t="s">
        <v>37</v>
      </c>
      <c r="Q11" s="1496" t="s">
        <v>22</v>
      </c>
      <c r="R11" s="45" t="s">
        <v>37</v>
      </c>
      <c r="S11" s="3965" t="s">
        <v>37</v>
      </c>
      <c r="T11" s="3966"/>
      <c r="U11" s="44"/>
    </row>
    <row r="12" spans="1:21" ht="44.25" customHeight="1">
      <c r="A12" s="36"/>
      <c r="B12" s="1673" t="str">
        <f>'Summary-NoCo'!B13</f>
        <v>Stabilization Hot Oil Heater
(64.83 MMBtu/hr)</v>
      </c>
      <c r="C12" s="1674" t="str">
        <f>'Summary-NoCo'!C13</f>
        <v>SHTR1</v>
      </c>
      <c r="D12" s="1675" t="str">
        <f>'Summary-NoCo'!D13</f>
        <v>SHTR1</v>
      </c>
      <c r="E12" s="1668">
        <f>'Summary-NoCo'!E13</f>
        <v>1.730961</v>
      </c>
      <c r="F12" s="1669">
        <f>'Summary-NoCo'!F13</f>
        <v>7.5816091799999992</v>
      </c>
      <c r="G12" s="1668">
        <f>'Summary-NoCo'!G13</f>
        <v>1.0567289999999998</v>
      </c>
      <c r="H12" s="1669">
        <f>'Summary-NoCo'!H13</f>
        <v>4.6284730199999995</v>
      </c>
      <c r="I12" s="1668">
        <f>'Summary-NoCo'!I13</f>
        <v>0.414912</v>
      </c>
      <c r="J12" s="1669">
        <f>'Summary-NoCo'!J13</f>
        <v>1.81731456</v>
      </c>
      <c r="K12" s="1668">
        <f>'Summary-NoCo'!K13</f>
        <v>0.14300735294117647</v>
      </c>
      <c r="L12" s="1669">
        <f>'Summary-NoCo'!L13</f>
        <v>0.62637220588235298</v>
      </c>
      <c r="M12" s="1668">
        <f>'Summary-NoCo'!M13</f>
        <v>0.48304705882352933</v>
      </c>
      <c r="N12" s="1669">
        <f>'Summary-NoCo'!N13</f>
        <v>2.1157461176470584</v>
      </c>
      <c r="O12" s="1668">
        <f>'Summary-NoCo'!O13</f>
        <v>0.48304705882352933</v>
      </c>
      <c r="P12" s="1669">
        <f>'Summary-NoCo'!P13</f>
        <v>2.1157461176470584</v>
      </c>
      <c r="Q12" s="1668">
        <f>'Summary-NoCo'!Q13</f>
        <v>0.1196558411764706</v>
      </c>
      <c r="R12" s="1669">
        <f>'Summary-NoCo'!R13</f>
        <v>0.52409258435294115</v>
      </c>
      <c r="S12" s="5320">
        <f>'Summary-NoCo'!S13:T13</f>
        <v>33256.326587223601</v>
      </c>
      <c r="T12" s="5321"/>
      <c r="U12" s="44"/>
    </row>
    <row r="13" spans="1:21" ht="44.15" customHeight="1">
      <c r="A13" s="36"/>
      <c r="B13" s="1499" t="str">
        <f>'Summary-NoCo'!B14</f>
        <v>Stabilization Hot Oil Heater
(64.83 MMBtu/hr)</v>
      </c>
      <c r="C13" s="1500" t="str">
        <f>'Summary-NoCo'!C14</f>
        <v>SHTR2</v>
      </c>
      <c r="D13" s="1501" t="str">
        <f>'Summary-NoCo'!D14</f>
        <v>SHTR2</v>
      </c>
      <c r="E13" s="1362">
        <f>'Summary-NoCo'!E14</f>
        <v>1.730961</v>
      </c>
      <c r="F13" s="1363">
        <f>'Summary-NoCo'!F14</f>
        <v>7.5816091799999992</v>
      </c>
      <c r="G13" s="1362">
        <f>'Summary-NoCo'!G14</f>
        <v>1.0567289999999998</v>
      </c>
      <c r="H13" s="1363">
        <f>'Summary-NoCo'!H14</f>
        <v>4.6284730199999995</v>
      </c>
      <c r="I13" s="1362">
        <f>'Summary-NoCo'!I14</f>
        <v>0.414912</v>
      </c>
      <c r="J13" s="1363">
        <f>'Summary-NoCo'!J14</f>
        <v>1.81731456</v>
      </c>
      <c r="K13" s="1362">
        <f>'Summary-NoCo'!K14</f>
        <v>0.14300735294117647</v>
      </c>
      <c r="L13" s="1363">
        <f>'Summary-NoCo'!L14</f>
        <v>0.62637220588235298</v>
      </c>
      <c r="M13" s="1362">
        <f>'Summary-NoCo'!M14</f>
        <v>0.48304705882352933</v>
      </c>
      <c r="N13" s="1363">
        <f>'Summary-NoCo'!N14</f>
        <v>2.1157461176470584</v>
      </c>
      <c r="O13" s="1362">
        <f>'Summary-NoCo'!O14</f>
        <v>0.48304705882352933</v>
      </c>
      <c r="P13" s="1363">
        <f>'Summary-NoCo'!P14</f>
        <v>2.1157461176470584</v>
      </c>
      <c r="Q13" s="1362">
        <f>'Summary-NoCo'!Q14</f>
        <v>0.11959863823529414</v>
      </c>
      <c r="R13" s="1363">
        <f>'Summary-NoCo'!R14</f>
        <v>0.52384203547058827</v>
      </c>
      <c r="S13" s="5322">
        <f>'Summary-NoCo'!S14:T14</f>
        <v>33256.326587223601</v>
      </c>
      <c r="T13" s="5323"/>
      <c r="U13" s="44"/>
    </row>
    <row r="14" spans="1:21" ht="44.15" customHeight="1">
      <c r="A14" s="36"/>
      <c r="B14" s="1499" t="str">
        <f>'Summary-NoCo'!B15</f>
        <v>Stabilization Hot Oil Heater
(64.83 MMBtu/hr)</v>
      </c>
      <c r="C14" s="1500" t="str">
        <f>'Summary-NoCo'!C15</f>
        <v>SHTR3</v>
      </c>
      <c r="D14" s="1501" t="str">
        <f>'Summary-NoCo'!D15</f>
        <v>SHTR3</v>
      </c>
      <c r="E14" s="1362">
        <f>'Summary-NoCo'!E15</f>
        <v>1.730961</v>
      </c>
      <c r="F14" s="1363">
        <f>'Summary-NoCo'!F15</f>
        <v>7.5816091799999992</v>
      </c>
      <c r="G14" s="1362">
        <f>'Summary-NoCo'!G15</f>
        <v>1.0567289999999998</v>
      </c>
      <c r="H14" s="1363">
        <f>'Summary-NoCo'!H15</f>
        <v>4.6284730199999995</v>
      </c>
      <c r="I14" s="1362">
        <f>'Summary-NoCo'!I15</f>
        <v>0.414912</v>
      </c>
      <c r="J14" s="1363">
        <f>'Summary-NoCo'!J15</f>
        <v>1.81731456</v>
      </c>
      <c r="K14" s="1362">
        <f>'Summary-NoCo'!K15</f>
        <v>0.14300735294117647</v>
      </c>
      <c r="L14" s="1363">
        <f>'Summary-NoCo'!L15</f>
        <v>0.62637220588235298</v>
      </c>
      <c r="M14" s="1362">
        <f>'Summary-NoCo'!M15</f>
        <v>0.48304705882352933</v>
      </c>
      <c r="N14" s="1363">
        <f>'Summary-NoCo'!N15</f>
        <v>2.1157461176470584</v>
      </c>
      <c r="O14" s="1362">
        <f>'Summary-NoCo'!O15</f>
        <v>0.48304705882352933</v>
      </c>
      <c r="P14" s="1363">
        <f>'Summary-NoCo'!P15</f>
        <v>2.1157461176470584</v>
      </c>
      <c r="Q14" s="1362">
        <f>'Summary-NoCo'!Q15</f>
        <v>0.11959863823529414</v>
      </c>
      <c r="R14" s="1363">
        <f>'Summary-NoCo'!R15</f>
        <v>0.52384203547058827</v>
      </c>
      <c r="S14" s="5322">
        <f>'Summary-NoCo'!S15:T15</f>
        <v>33256.326587223601</v>
      </c>
      <c r="T14" s="5323"/>
      <c r="U14" s="44"/>
    </row>
    <row r="15" spans="1:21" ht="44.15" customHeight="1">
      <c r="A15" s="36"/>
      <c r="B15" s="1499" t="str">
        <f>'Summary-NoCo'!B16</f>
        <v>Stabilization Hot Oil Heater
(64.83 MMBtu/hr)</v>
      </c>
      <c r="C15" s="1500" t="str">
        <f>'Summary-NoCo'!C16</f>
        <v>SHTR4</v>
      </c>
      <c r="D15" s="1501" t="str">
        <f>'Summary-NoCo'!D16</f>
        <v>SHTR4</v>
      </c>
      <c r="E15" s="1362">
        <f>'Summary-NoCo'!E16</f>
        <v>1.730961</v>
      </c>
      <c r="F15" s="1363">
        <f>'Summary-NoCo'!F16</f>
        <v>7.5816091799999992</v>
      </c>
      <c r="G15" s="1362">
        <f>'Summary-NoCo'!G16</f>
        <v>1.0567289999999998</v>
      </c>
      <c r="H15" s="1363">
        <f>'Summary-NoCo'!H16</f>
        <v>4.6284730199999995</v>
      </c>
      <c r="I15" s="1362">
        <f>'Summary-NoCo'!I16</f>
        <v>0.414912</v>
      </c>
      <c r="J15" s="1363">
        <f>'Summary-NoCo'!J16</f>
        <v>1.81731456</v>
      </c>
      <c r="K15" s="1362">
        <f>'Summary-NoCo'!K16</f>
        <v>0.14300735294117647</v>
      </c>
      <c r="L15" s="1363">
        <f>'Summary-NoCo'!L16</f>
        <v>0.62637220588235298</v>
      </c>
      <c r="M15" s="1362">
        <f>'Summary-NoCo'!M16</f>
        <v>0.48304705882352933</v>
      </c>
      <c r="N15" s="1363">
        <f>'Summary-NoCo'!N16</f>
        <v>2.1157461176470584</v>
      </c>
      <c r="O15" s="1362">
        <f>'Summary-NoCo'!O16</f>
        <v>0.48304705882352933</v>
      </c>
      <c r="P15" s="1363">
        <f>'Summary-NoCo'!P16</f>
        <v>2.1157461176470584</v>
      </c>
      <c r="Q15" s="1362">
        <f>'Summary-NoCo'!Q16</f>
        <v>0.11959863823529414</v>
      </c>
      <c r="R15" s="1363">
        <f>'Summary-NoCo'!R16</f>
        <v>0.52384203547058827</v>
      </c>
      <c r="S15" s="5322">
        <f>'Summary-NoCo'!S16:T16</f>
        <v>33256.326587223601</v>
      </c>
      <c r="T15" s="5323"/>
      <c r="U15" s="44"/>
    </row>
    <row r="16" spans="1:21" ht="44.15" customHeight="1">
      <c r="A16" s="36"/>
      <c r="B16" s="1499" t="str">
        <f>'Summary-NoCo'!B17</f>
        <v>Stabilization Hot Oil Heater
(64.83 MMBtu/hr)</v>
      </c>
      <c r="C16" s="1500" t="str">
        <f>'Summary-NoCo'!C17</f>
        <v>SHTR5</v>
      </c>
      <c r="D16" s="1501" t="str">
        <f>'Summary-NoCo'!D17</f>
        <v>SHTR5</v>
      </c>
      <c r="E16" s="1362">
        <f>'Summary-NoCo'!E17</f>
        <v>1.730961</v>
      </c>
      <c r="F16" s="1363">
        <f>'Summary-NoCo'!F17</f>
        <v>7.5816091799999992</v>
      </c>
      <c r="G16" s="1362">
        <f>'Summary-NoCo'!G17</f>
        <v>1.0567289999999998</v>
      </c>
      <c r="H16" s="1363">
        <f>'Summary-NoCo'!H17</f>
        <v>4.6284730199999995</v>
      </c>
      <c r="I16" s="1362">
        <f>'Summary-NoCo'!I17</f>
        <v>0.414912</v>
      </c>
      <c r="J16" s="1363">
        <f>'Summary-NoCo'!J17</f>
        <v>1.81731456</v>
      </c>
      <c r="K16" s="1362">
        <f>'Summary-NoCo'!K17</f>
        <v>0.14300735294117647</v>
      </c>
      <c r="L16" s="1363">
        <f>'Summary-NoCo'!L17</f>
        <v>0.62637220588235298</v>
      </c>
      <c r="M16" s="1362">
        <f>'Summary-NoCo'!M17</f>
        <v>0.48304705882352933</v>
      </c>
      <c r="N16" s="1363">
        <f>'Summary-NoCo'!N17</f>
        <v>2.1157461176470584</v>
      </c>
      <c r="O16" s="1362">
        <f>'Summary-NoCo'!O17</f>
        <v>0.48304705882352933</v>
      </c>
      <c r="P16" s="1363">
        <f>'Summary-NoCo'!P17</f>
        <v>2.1157461176470584</v>
      </c>
      <c r="Q16" s="1362">
        <f>'Summary-NoCo'!Q17</f>
        <v>0.11959863823529414</v>
      </c>
      <c r="R16" s="1363">
        <f>'Summary-NoCo'!R17</f>
        <v>0.52384203547058827</v>
      </c>
      <c r="S16" s="5322">
        <f>'Summary-NoCo'!S17:T17</f>
        <v>33256.326587223601</v>
      </c>
      <c r="T16" s="5323"/>
      <c r="U16" s="44"/>
    </row>
    <row r="17" spans="1:24" ht="44.15" customHeight="1">
      <c r="A17" s="36"/>
      <c r="B17" s="1499" t="str">
        <f>'Summary-NoCo'!B18</f>
        <v>Stabilization Hot Oil Heater
(64.83 MMBtu/hr)</v>
      </c>
      <c r="C17" s="1500" t="str">
        <f>'Summary-NoCo'!C18</f>
        <v>SHTR6</v>
      </c>
      <c r="D17" s="1501" t="str">
        <f>'Summary-NoCo'!D18</f>
        <v>SHTR6</v>
      </c>
      <c r="E17" s="1362">
        <f>'Summary-NoCo'!E18</f>
        <v>1.730961</v>
      </c>
      <c r="F17" s="1363">
        <f>'Summary-NoCo'!F18</f>
        <v>7.5816091799999992</v>
      </c>
      <c r="G17" s="1362">
        <f>'Summary-NoCo'!G18</f>
        <v>1.0567289999999998</v>
      </c>
      <c r="H17" s="1363">
        <f>'Summary-NoCo'!H18</f>
        <v>4.6284730199999995</v>
      </c>
      <c r="I17" s="1362">
        <f>'Summary-NoCo'!I18</f>
        <v>0.414912</v>
      </c>
      <c r="J17" s="1363">
        <f>'Summary-NoCo'!J18</f>
        <v>1.81731456</v>
      </c>
      <c r="K17" s="1362">
        <f>'Summary-NoCo'!K18</f>
        <v>0.14300735294117647</v>
      </c>
      <c r="L17" s="1363">
        <f>'Summary-NoCo'!L18</f>
        <v>0.62637220588235298</v>
      </c>
      <c r="M17" s="1362">
        <f>'Summary-NoCo'!M18</f>
        <v>0.48304705882352933</v>
      </c>
      <c r="N17" s="1363">
        <f>'Summary-NoCo'!N18</f>
        <v>2.1157461176470584</v>
      </c>
      <c r="O17" s="1362">
        <f>'Summary-NoCo'!O18</f>
        <v>0.48304705882352933</v>
      </c>
      <c r="P17" s="1363">
        <f>'Summary-NoCo'!P18</f>
        <v>2.1157461176470584</v>
      </c>
      <c r="Q17" s="1362">
        <f>'Summary-NoCo'!Q18</f>
        <v>0.11959863823529414</v>
      </c>
      <c r="R17" s="1363">
        <f>'Summary-NoCo'!R18</f>
        <v>0.52384203547058827</v>
      </c>
      <c r="S17" s="5322">
        <f>'Summary-NoCo'!S18:T18</f>
        <v>33256.326587223601</v>
      </c>
      <c r="T17" s="5323"/>
      <c r="U17" s="44"/>
    </row>
    <row r="18" spans="1:24" ht="44.15" customHeight="1">
      <c r="A18" s="36"/>
      <c r="B18" s="1499" t="str">
        <f>'Summary-NoCo'!B25</f>
        <v>Cryo Hot Oil Heater
(103.99 MMBtu/hr)</v>
      </c>
      <c r="C18" s="1500" t="str">
        <f>'Summary-NoCo'!C25</f>
        <v>CHTR1</v>
      </c>
      <c r="D18" s="1501" t="str">
        <f>'Summary-NoCo'!D25</f>
        <v>CHTR1</v>
      </c>
      <c r="E18" s="1362">
        <f>'Summary-NoCo'!E25</f>
        <v>3.4732659999999997</v>
      </c>
      <c r="F18" s="1363">
        <f>'Summary-NoCo'!F25</f>
        <v>15.212905079999999</v>
      </c>
      <c r="G18" s="1362">
        <f>'Summary-NoCo'!G25</f>
        <v>1.6950369999999997</v>
      </c>
      <c r="H18" s="1363">
        <f>'Summary-NoCo'!H25</f>
        <v>7.4242620599999984</v>
      </c>
      <c r="I18" s="1362">
        <f>'Summary-NoCo'!I25</f>
        <v>0.66553600000000002</v>
      </c>
      <c r="J18" s="1363">
        <f>'Summary-NoCo'!J25</f>
        <v>2.9150476800000003</v>
      </c>
      <c r="K18" s="1362">
        <f>'Summary-NoCo'!K25</f>
        <v>0.22938970588235294</v>
      </c>
      <c r="L18" s="1363">
        <f>'Summary-NoCo'!L25</f>
        <v>1.0047269117647057</v>
      </c>
      <c r="M18" s="1362">
        <f>'Summary-NoCo'!M25</f>
        <v>0.77482745098039207</v>
      </c>
      <c r="N18" s="1363">
        <f>'Summary-NoCo'!N25</f>
        <v>3.393744235294117</v>
      </c>
      <c r="O18" s="1362">
        <f>'Summary-NoCo'!O25</f>
        <v>0.77482745098039207</v>
      </c>
      <c r="P18" s="1363">
        <f>'Summary-NoCo'!P25</f>
        <v>3.393744235294117</v>
      </c>
      <c r="Q18" s="1362">
        <f>'Summary-NoCo'!Q25</f>
        <v>0.19184115980392158</v>
      </c>
      <c r="R18" s="1363">
        <f>'Summary-NoCo'!R25</f>
        <v>0.84026427994117647</v>
      </c>
      <c r="S18" s="5322">
        <f>'Summary-NoCo'!S25:T25</f>
        <v>53344.522625410798</v>
      </c>
      <c r="T18" s="5323"/>
      <c r="U18" s="44"/>
    </row>
    <row r="19" spans="1:24" ht="44.15" customHeight="1">
      <c r="A19" s="36"/>
      <c r="B19" s="1499" t="str">
        <f>'Summary-NoCo'!B26</f>
        <v>Cryo Hot Oil Heater
(103.99 MMBtu/hr)</v>
      </c>
      <c r="C19" s="1500" t="str">
        <f>'Summary-NoCo'!C26</f>
        <v>CHTR2</v>
      </c>
      <c r="D19" s="1501" t="str">
        <f>'Summary-NoCo'!D26</f>
        <v>CHTR2</v>
      </c>
      <c r="E19" s="1362">
        <f>'Summary-NoCo'!E26</f>
        <v>3.4732659999999997</v>
      </c>
      <c r="F19" s="1363">
        <f>'Summary-NoCo'!F26</f>
        <v>15.212905079999999</v>
      </c>
      <c r="G19" s="1362">
        <f>'Summary-NoCo'!G26</f>
        <v>1.6950369999999997</v>
      </c>
      <c r="H19" s="1363">
        <f>'Summary-NoCo'!H26</f>
        <v>7.4242620599999984</v>
      </c>
      <c r="I19" s="1362">
        <f>'Summary-NoCo'!I26</f>
        <v>0.66553600000000002</v>
      </c>
      <c r="J19" s="1363">
        <f>'Summary-NoCo'!J26</f>
        <v>2.9150476800000003</v>
      </c>
      <c r="K19" s="1362">
        <f>'Summary-NoCo'!K26</f>
        <v>0.22938970588235294</v>
      </c>
      <c r="L19" s="1363">
        <f>'Summary-NoCo'!L26</f>
        <v>1.0047269117647057</v>
      </c>
      <c r="M19" s="1362">
        <f>'Summary-NoCo'!M26</f>
        <v>0.77482745098039207</v>
      </c>
      <c r="N19" s="1363">
        <f>'Summary-NoCo'!N26</f>
        <v>3.393744235294117</v>
      </c>
      <c r="O19" s="1362">
        <f>'Summary-NoCo'!O26</f>
        <v>0.77482745098039207</v>
      </c>
      <c r="P19" s="1363">
        <f>'Summary-NoCo'!P26</f>
        <v>3.393744235294117</v>
      </c>
      <c r="Q19" s="1362">
        <f>'Summary-NoCo'!Q26</f>
        <v>0.19184115980392158</v>
      </c>
      <c r="R19" s="1363">
        <f>'Summary-NoCo'!R26</f>
        <v>0.84026427994117647</v>
      </c>
      <c r="S19" s="5322">
        <f>'Summary-NoCo'!S26:T26</f>
        <v>53344.522625410798</v>
      </c>
      <c r="T19" s="5323"/>
      <c r="U19" s="44"/>
    </row>
    <row r="20" spans="1:24" ht="44.15" customHeight="1">
      <c r="A20" s="36"/>
      <c r="B20" s="1499" t="str">
        <f>'Summary-NoCo'!B28</f>
        <v>Regen Heater 
(39.14 MMBtu/hr)</v>
      </c>
      <c r="C20" s="1500" t="str">
        <f>'Summary-NoCo'!C28</f>
        <v>RHTR1</v>
      </c>
      <c r="D20" s="1501" t="str">
        <f>'Summary-NoCo'!D28</f>
        <v>RHTR1</v>
      </c>
      <c r="E20" s="1362">
        <f>'Summary-NoCo'!E28</f>
        <v>1.0450380000000001</v>
      </c>
      <c r="F20" s="1363">
        <f>'Summary-NoCo'!F28</f>
        <v>4.5772664400000007</v>
      </c>
      <c r="G20" s="1362">
        <f>'Summary-NoCo'!G28</f>
        <v>0.63798199999999994</v>
      </c>
      <c r="H20" s="1363">
        <f>'Summary-NoCo'!H28</f>
        <v>2.7943611599999998</v>
      </c>
      <c r="I20" s="1362">
        <f>'Summary-NoCo'!I28</f>
        <v>0.250496</v>
      </c>
      <c r="J20" s="1363">
        <f>'Summary-NoCo'!J28</f>
        <v>1.09717248</v>
      </c>
      <c r="K20" s="1362">
        <f>'Summary-NoCo'!K28</f>
        <v>8.633823529411766E-2</v>
      </c>
      <c r="L20" s="1363">
        <f>'Summary-NoCo'!L28</f>
        <v>0.37816147058823535</v>
      </c>
      <c r="M20" s="1362">
        <f>'Summary-NoCo'!M28</f>
        <v>0.29163137254901961</v>
      </c>
      <c r="N20" s="1363">
        <f>'Summary-NoCo'!N28</f>
        <v>1.2773454117647058</v>
      </c>
      <c r="O20" s="1362">
        <f>'Summary-NoCo'!O28</f>
        <v>0.29163137254901961</v>
      </c>
      <c r="P20" s="1363">
        <f>'Summary-NoCo'!P28</f>
        <v>1.2773454117647058</v>
      </c>
      <c r="Q20" s="1362">
        <f>'Summary-NoCo'!Q28</f>
        <v>7.2205625490196074E-2</v>
      </c>
      <c r="R20" s="1363">
        <f>'Summary-NoCo'!R28</f>
        <v>0.31626063964705881</v>
      </c>
      <c r="S20" s="5322">
        <f>'Summary-NoCo'!S28:T28</f>
        <v>20077.936489648804</v>
      </c>
      <c r="T20" s="5323"/>
      <c r="U20" s="44"/>
    </row>
    <row r="21" spans="1:24" ht="44.15" customHeight="1">
      <c r="A21" s="36"/>
      <c r="B21" s="1499" t="str">
        <f>'Summary-NoCo'!B29</f>
        <v>Regen Heater
(39.14 MMBtu/hr)</v>
      </c>
      <c r="C21" s="1500" t="str">
        <f>'Summary-NoCo'!C29</f>
        <v>RHTR2</v>
      </c>
      <c r="D21" s="1501" t="str">
        <f>'Summary-NoCo'!D29</f>
        <v>RHTR2</v>
      </c>
      <c r="E21" s="1362">
        <f>'Summary-NoCo'!E29</f>
        <v>1.0450380000000001</v>
      </c>
      <c r="F21" s="1363">
        <f>'Summary-NoCo'!F29</f>
        <v>4.5772664400000007</v>
      </c>
      <c r="G21" s="1362">
        <f>'Summary-NoCo'!G29</f>
        <v>0.63798199999999994</v>
      </c>
      <c r="H21" s="1363">
        <f>'Summary-NoCo'!H29</f>
        <v>2.7943611599999998</v>
      </c>
      <c r="I21" s="1362">
        <f>'Summary-NoCo'!I29</f>
        <v>0.250496</v>
      </c>
      <c r="J21" s="1363">
        <f>'Summary-NoCo'!J29</f>
        <v>1.09717248</v>
      </c>
      <c r="K21" s="1362">
        <f>'Summary-NoCo'!K29</f>
        <v>8.633823529411766E-2</v>
      </c>
      <c r="L21" s="1363">
        <f>'Summary-NoCo'!L29</f>
        <v>0.37816147058823535</v>
      </c>
      <c r="M21" s="1362">
        <f>'Summary-NoCo'!M29</f>
        <v>0.29163137254901961</v>
      </c>
      <c r="N21" s="1363">
        <f>'Summary-NoCo'!N29</f>
        <v>1.2773454117647058</v>
      </c>
      <c r="O21" s="1362">
        <f>'Summary-NoCo'!O29</f>
        <v>0.29163137254901961</v>
      </c>
      <c r="P21" s="1363">
        <f>'Summary-NoCo'!P29</f>
        <v>1.2773454117647058</v>
      </c>
      <c r="Q21" s="1362">
        <f>'Summary-NoCo'!Q29</f>
        <v>7.2205625490196074E-2</v>
      </c>
      <c r="R21" s="1363">
        <f>'Summary-NoCo'!R29</f>
        <v>0.31626063964705881</v>
      </c>
      <c r="S21" s="5322">
        <f>'Summary-NoCo'!S29:T29</f>
        <v>20077.936489648804</v>
      </c>
      <c r="T21" s="5323"/>
      <c r="U21" s="44"/>
      <c r="W21" s="8"/>
      <c r="X21" s="8"/>
    </row>
    <row r="22" spans="1:24" ht="44.15" customHeight="1">
      <c r="A22" s="36"/>
      <c r="B22" s="1499" t="str">
        <f>'Summary-NoCo'!B30</f>
        <v>Regen Heater
(39.14 MMBtu/hr)</v>
      </c>
      <c r="C22" s="1500" t="str">
        <f>'Summary-NoCo'!C30</f>
        <v>RHTR3</v>
      </c>
      <c r="D22" s="1501" t="str">
        <f>'Summary-NoCo'!D30</f>
        <v>RHTR3</v>
      </c>
      <c r="E22" s="1362">
        <f>'Summary-NoCo'!E30</f>
        <v>1.0450380000000001</v>
      </c>
      <c r="F22" s="1363">
        <f>'Summary-NoCo'!F30</f>
        <v>4.5772664400000007</v>
      </c>
      <c r="G22" s="1362">
        <f>'Summary-NoCo'!G30</f>
        <v>0.63798199999999994</v>
      </c>
      <c r="H22" s="1363">
        <f>'Summary-NoCo'!H30</f>
        <v>2.7943611599999998</v>
      </c>
      <c r="I22" s="1362">
        <f>'Summary-NoCo'!I30</f>
        <v>0.250496</v>
      </c>
      <c r="J22" s="1363">
        <f>'Summary-NoCo'!J30</f>
        <v>1.09717248</v>
      </c>
      <c r="K22" s="1362">
        <f>'Summary-NoCo'!K30</f>
        <v>8.633823529411766E-2</v>
      </c>
      <c r="L22" s="1363">
        <f>'Summary-NoCo'!L30</f>
        <v>0.37816147058823535</v>
      </c>
      <c r="M22" s="1362">
        <f>'Summary-NoCo'!M30</f>
        <v>0.29163137254901961</v>
      </c>
      <c r="N22" s="1363">
        <f>'Summary-NoCo'!N30</f>
        <v>1.2773454117647058</v>
      </c>
      <c r="O22" s="1362">
        <f>'Summary-NoCo'!O30</f>
        <v>0.29163137254901961</v>
      </c>
      <c r="P22" s="1363">
        <f>'Summary-NoCo'!P30</f>
        <v>1.2773454117647058</v>
      </c>
      <c r="Q22" s="1362">
        <f>'Summary-NoCo'!Q30</f>
        <v>7.2205625490196074E-2</v>
      </c>
      <c r="R22" s="1363">
        <f>'Summary-NoCo'!R30</f>
        <v>0.31626063964705881</v>
      </c>
      <c r="S22" s="5322">
        <f>'Summary-NoCo'!S30:T30</f>
        <v>20077.936489648804</v>
      </c>
      <c r="T22" s="5323"/>
      <c r="U22" s="44"/>
    </row>
    <row r="23" spans="1:24" ht="44.25" customHeight="1">
      <c r="A23" s="36"/>
      <c r="B23" s="1499" t="str">
        <f>'Summary-NoCo'!B31</f>
        <v>SSM/Emergency Flare 1 
(Dual Tip Flare) - Pilot/Purge</v>
      </c>
      <c r="C23" s="5336" t="str">
        <f>'Summary-NoCo'!C31</f>
        <v>FL1-FL31</v>
      </c>
      <c r="D23" s="5339" t="str">
        <f>'Summary-NoCo'!D31</f>
        <v>FL1-FL31</v>
      </c>
      <c r="E23" s="3983">
        <f>'Summary-NoCo'!E31</f>
        <v>2.6783137254439984</v>
      </c>
      <c r="F23" s="3980">
        <f>'Summary-NoCo'!F31</f>
        <v>11.73101411744471</v>
      </c>
      <c r="G23" s="3983">
        <f>'Summary-NoCo'!G31</f>
        <v>5.3469234156508803</v>
      </c>
      <c r="H23" s="3980">
        <f>'Summary-NoCo'!H31</f>
        <v>23.419524560550855</v>
      </c>
      <c r="I23" s="3983">
        <f>'Summary-NoCo'!I31</f>
        <v>0.80398014094115633</v>
      </c>
      <c r="J23" s="3980">
        <f>'Summary-NoCo'!J31</f>
        <v>3.5214330173222645</v>
      </c>
      <c r="K23" s="3983">
        <f>'Summary-NoCo'!K31</f>
        <v>0</v>
      </c>
      <c r="L23" s="3980">
        <f>'Summary-NoCo'!L31</f>
        <v>0</v>
      </c>
      <c r="M23" s="3983">
        <f>'Summary-NoCo'!M31</f>
        <v>0.14460915255310022</v>
      </c>
      <c r="N23" s="3980">
        <f>'Summary-NoCo'!N31</f>
        <v>0.63338808818257897</v>
      </c>
      <c r="O23" s="3983">
        <f>'Summary-NoCo'!O31</f>
        <v>0.14460915255310022</v>
      </c>
      <c r="P23" s="3980">
        <f>'Summary-NoCo'!P31</f>
        <v>0.63338808818257897</v>
      </c>
      <c r="Q23" s="3983">
        <f>'Summary-NoCo'!Q31</f>
        <v>0</v>
      </c>
      <c r="R23" s="3980">
        <f>'Summary-NoCo'!R31</f>
        <v>0</v>
      </c>
      <c r="S23" s="3989">
        <f>'Summary-NoCo'!S31:T31</f>
        <v>0</v>
      </c>
      <c r="T23" s="3990"/>
      <c r="U23" s="44"/>
      <c r="V23" s="8"/>
      <c r="W23" s="8"/>
    </row>
    <row r="24" spans="1:24" ht="44.25" customHeight="1">
      <c r="A24" s="36"/>
      <c r="B24" s="1499" t="str">
        <f>'Summary-NoCo'!B32</f>
        <v>SSM/Emergency Flare 2 
(Dual Tip Flare) - Pilot/Purge</v>
      </c>
      <c r="C24" s="5337"/>
      <c r="D24" s="5340"/>
      <c r="E24" s="3984"/>
      <c r="F24" s="3981"/>
      <c r="G24" s="3984"/>
      <c r="H24" s="3981"/>
      <c r="I24" s="3984"/>
      <c r="J24" s="3981"/>
      <c r="K24" s="3984"/>
      <c r="L24" s="3981"/>
      <c r="M24" s="3984"/>
      <c r="N24" s="3981"/>
      <c r="O24" s="3984"/>
      <c r="P24" s="3981"/>
      <c r="Q24" s="3984"/>
      <c r="R24" s="3981"/>
      <c r="S24" s="3991"/>
      <c r="T24" s="3992"/>
      <c r="U24" s="44"/>
      <c r="X24" s="8"/>
    </row>
    <row r="25" spans="1:24" ht="44.25" customHeight="1">
      <c r="A25" s="36"/>
      <c r="B25" s="1499" t="str">
        <f>'Summary-NoCo'!B33</f>
        <v>Backup SSM/Emergency Flare (Dual Tip Flare) - Pilot/Purge</v>
      </c>
      <c r="C25" s="5338"/>
      <c r="D25" s="5341"/>
      <c r="E25" s="3985"/>
      <c r="F25" s="3982"/>
      <c r="G25" s="3985"/>
      <c r="H25" s="3982"/>
      <c r="I25" s="3985"/>
      <c r="J25" s="3982"/>
      <c r="K25" s="3985"/>
      <c r="L25" s="3982"/>
      <c r="M25" s="3985"/>
      <c r="N25" s="3982"/>
      <c r="O25" s="3985"/>
      <c r="P25" s="3982"/>
      <c r="Q25" s="3985"/>
      <c r="R25" s="3982"/>
      <c r="S25" s="3978"/>
      <c r="T25" s="3979"/>
      <c r="U25" s="44"/>
      <c r="X25" s="8"/>
    </row>
    <row r="26" spans="1:24" ht="44.25" customHeight="1">
      <c r="A26" s="36"/>
      <c r="B26" s="2562" t="str">
        <f>'Summary-Co'!B21</f>
        <v>FL1-FL3 Stabilizer Overhead SSM Gas</v>
      </c>
      <c r="C26" s="2455" t="str">
        <f>'Summary-Co'!C21</f>
        <v>FL1-FL3OVHD-SSM</v>
      </c>
      <c r="D26" s="2517" t="str">
        <f>C26</f>
        <v>FL1-FL3OVHD-SSM</v>
      </c>
      <c r="E26" s="3069">
        <f>'Summary-Co'!E21</f>
        <v>61.513056157500003</v>
      </c>
      <c r="F26" s="1305">
        <f>'Summary-Co'!F21</f>
        <v>11.195376220665</v>
      </c>
      <c r="G26" s="3069">
        <f>'Summary-Co'!G21</f>
        <v>122.80323892312499</v>
      </c>
      <c r="H26" s="1305">
        <f>'Summary-Co'!H21</f>
        <v>22.350189484008748</v>
      </c>
      <c r="I26" s="3069">
        <f>'Summary-Co'!I21</f>
        <v>404.28661353006083</v>
      </c>
      <c r="J26" s="1305">
        <f>'Summary-Co'!J21</f>
        <v>73.580163662471065</v>
      </c>
      <c r="K26" s="3069">
        <f>'Summary-Co'!K21</f>
        <v>0</v>
      </c>
      <c r="L26" s="1305">
        <f>'Summary-Co'!L21</f>
        <v>0</v>
      </c>
      <c r="M26" s="3069">
        <f>'Summary-Co'!M21</f>
        <v>3.3212505455882351</v>
      </c>
      <c r="N26" s="1305">
        <f>'Summary-Co'!N21</f>
        <v>0.60446759929705873</v>
      </c>
      <c r="O26" s="3069">
        <f>'Summary-Co'!O21</f>
        <v>3.3212505455882351</v>
      </c>
      <c r="P26" s="1305">
        <f>'Summary-Co'!P21</f>
        <v>0.60446759929705873</v>
      </c>
      <c r="Q26" s="3069">
        <f>'Summary-Co'!Q21</f>
        <v>4.4544709510301175</v>
      </c>
      <c r="R26" s="1305">
        <f>'Summary-Co'!R21</f>
        <v>0.81071371308748141</v>
      </c>
      <c r="S26" s="4371">
        <f>'Summary-Co'!S21:T21</f>
        <v>9440.769835467403</v>
      </c>
      <c r="T26" s="4372"/>
      <c r="U26" s="44"/>
      <c r="X26" s="8"/>
    </row>
    <row r="27" spans="1:24" ht="44.25" customHeight="1">
      <c r="A27" s="36"/>
      <c r="B27" s="2562" t="str">
        <f>'Summary-Co'!B22</f>
        <v>FL1-FL3 Cryo Blowdown SSM Gas</v>
      </c>
      <c r="C27" s="2455" t="str">
        <f>'Summary-Co'!C22</f>
        <v>FL1-FL3CRYO-SSM</v>
      </c>
      <c r="D27" s="2517" t="str">
        <f>D26</f>
        <v>FL1-FL3OVHD-SSM</v>
      </c>
      <c r="E27" s="3069">
        <f>'Summary-Co'!E22</f>
        <v>102.42580604979864</v>
      </c>
      <c r="F27" s="1305">
        <f>'Summary-Co'!F22</f>
        <v>18.641496701063353</v>
      </c>
      <c r="G27" s="3069">
        <f>'Summary-Co'!G22</f>
        <v>204.48050410666323</v>
      </c>
      <c r="H27" s="1305">
        <f>'Summary-Co'!H22</f>
        <v>37.215451747412708</v>
      </c>
      <c r="I27" s="3069">
        <f>'Summary-Co'!I22</f>
        <v>210.13055132600644</v>
      </c>
      <c r="J27" s="1305">
        <f>'Summary-Co'!J22</f>
        <v>38.243760341333171</v>
      </c>
      <c r="K27" s="3069">
        <f>'Summary-Co'!K22</f>
        <v>5.0643749702923742E-2</v>
      </c>
      <c r="L27" s="1305">
        <f>'Summary-Co'!L22</f>
        <v>9.2171624459321221E-3</v>
      </c>
      <c r="M27" s="3069">
        <f>'Summary-Co'!M22</f>
        <v>5.2857362398266847</v>
      </c>
      <c r="N27" s="1305">
        <f>'Summary-Co'!N22</f>
        <v>0.96200399564845651</v>
      </c>
      <c r="O27" s="3069">
        <f>'Summary-Co'!O22</f>
        <v>5.2857362398266847</v>
      </c>
      <c r="P27" s="1305">
        <f>'Summary-Co'!P22</f>
        <v>0.96200399564845651</v>
      </c>
      <c r="Q27" s="3069">
        <f>'Summary-Co'!Q22</f>
        <v>1.3117788389852012</v>
      </c>
      <c r="R27" s="1305">
        <f>'Summary-Co'!R22</f>
        <v>0.2387437486953066</v>
      </c>
      <c r="S27" s="4371">
        <f>'Summary-Co'!S22:T22</f>
        <v>16652.240757722175</v>
      </c>
      <c r="T27" s="4372"/>
      <c r="U27" s="44"/>
      <c r="X27" s="8"/>
    </row>
    <row r="28" spans="1:24" ht="44.15" customHeight="1">
      <c r="A28" s="36"/>
      <c r="B28" s="1499" t="str">
        <f>'Summary-NoCo'!B36</f>
        <v>Oil Storage 1 (100,000 bbl)</v>
      </c>
      <c r="C28" s="1500" t="str">
        <f>'Summary-NoCo'!C36</f>
        <v>IFR1</v>
      </c>
      <c r="D28" s="1501" t="str">
        <f>'Summary-NoCo'!D36</f>
        <v>IFR1</v>
      </c>
      <c r="E28" s="1362" t="str">
        <f>'Summary-NoCo'!E36</f>
        <v>--</v>
      </c>
      <c r="F28" s="1363" t="str">
        <f>'Summary-NoCo'!F36</f>
        <v>--</v>
      </c>
      <c r="G28" s="1362" t="str">
        <f>'Summary-NoCo'!G36</f>
        <v>--</v>
      </c>
      <c r="H28" s="1363" t="str">
        <f>'Summary-NoCo'!H36</f>
        <v>--</v>
      </c>
      <c r="I28" s="1362">
        <f>'Summary-NoCo'!I36</f>
        <v>1.1752020371542549</v>
      </c>
      <c r="J28" s="1363">
        <f>'Summary-NoCo'!J36</f>
        <v>5.1473849227356343</v>
      </c>
      <c r="K28" s="1362" t="str">
        <f>'Summary-NoCo'!K36</f>
        <v>--</v>
      </c>
      <c r="L28" s="1363" t="str">
        <f>'Summary-NoCo'!L36</f>
        <v>--</v>
      </c>
      <c r="M28" s="1362" t="str">
        <f>'Summary-NoCo'!M36</f>
        <v>--</v>
      </c>
      <c r="N28" s="1363" t="str">
        <f>'Summary-NoCo'!N36</f>
        <v>--</v>
      </c>
      <c r="O28" s="1362" t="str">
        <f>'Summary-NoCo'!O36</f>
        <v>--</v>
      </c>
      <c r="P28" s="1363" t="str">
        <f>'Summary-NoCo'!P36</f>
        <v>--</v>
      </c>
      <c r="Q28" s="1362">
        <f>'Summary-NoCo'!Q36</f>
        <v>6.7739254805280091E-2</v>
      </c>
      <c r="R28" s="1363">
        <f>'Summary-NoCo'!R36</f>
        <v>0.2966979360471268</v>
      </c>
      <c r="S28" s="5322">
        <f>'Summary-NoCo'!S36:T36</f>
        <v>0</v>
      </c>
      <c r="T28" s="5323"/>
      <c r="U28" s="44"/>
    </row>
    <row r="29" spans="1:24" ht="44.15" customHeight="1">
      <c r="A29" s="36"/>
      <c r="B29" s="1499" t="str">
        <f>'Summary-NoCo'!B37</f>
        <v>Oil Storage 2 (100,000 bbl)</v>
      </c>
      <c r="C29" s="1500" t="str">
        <f>'Summary-NoCo'!C37</f>
        <v>IFR2</v>
      </c>
      <c r="D29" s="1501" t="str">
        <f>'Summary-NoCo'!D37</f>
        <v>IFR2</v>
      </c>
      <c r="E29" s="1362" t="str">
        <f>'Summary-NoCo'!E37</f>
        <v>--</v>
      </c>
      <c r="F29" s="1363" t="str">
        <f>'Summary-NoCo'!F37</f>
        <v>--</v>
      </c>
      <c r="G29" s="1362" t="str">
        <f>'Summary-NoCo'!G37</f>
        <v>--</v>
      </c>
      <c r="H29" s="1363" t="str">
        <f>'Summary-NoCo'!H37</f>
        <v>--</v>
      </c>
      <c r="I29" s="1362">
        <f>'Summary-NoCo'!I37</f>
        <v>1.1752020371542549</v>
      </c>
      <c r="J29" s="1363">
        <f>'Summary-NoCo'!J37</f>
        <v>5.1473849227356343</v>
      </c>
      <c r="K29" s="1362" t="str">
        <f>'Summary-NoCo'!K37</f>
        <v>--</v>
      </c>
      <c r="L29" s="1363" t="str">
        <f>'Summary-NoCo'!L37</f>
        <v>--</v>
      </c>
      <c r="M29" s="1362" t="str">
        <f>'Summary-NoCo'!M37</f>
        <v>--</v>
      </c>
      <c r="N29" s="1363" t="str">
        <f>'Summary-NoCo'!N37</f>
        <v>--</v>
      </c>
      <c r="O29" s="1362" t="str">
        <f>'Summary-NoCo'!O37</f>
        <v>--</v>
      </c>
      <c r="P29" s="1363" t="str">
        <f>'Summary-NoCo'!P37</f>
        <v>--</v>
      </c>
      <c r="Q29" s="1362">
        <f>'Summary-NoCo'!Q37</f>
        <v>6.7739254805280091E-2</v>
      </c>
      <c r="R29" s="1363">
        <f>'Summary-NoCo'!R37</f>
        <v>0.2966979360471268</v>
      </c>
      <c r="S29" s="5322">
        <f>'Summary-NoCo'!S37:T37</f>
        <v>0</v>
      </c>
      <c r="T29" s="5323"/>
      <c r="U29" s="44"/>
      <c r="W29" s="8"/>
    </row>
    <row r="30" spans="1:24" ht="44.15" customHeight="1">
      <c r="A30" s="36"/>
      <c r="B30" s="1499" t="str">
        <f>'Summary-NoCo'!B38</f>
        <v>Oil Storage 3 (100,000 bbl)</v>
      </c>
      <c r="C30" s="1500" t="str">
        <f>'Summary-NoCo'!C38</f>
        <v>IFR3</v>
      </c>
      <c r="D30" s="1501" t="str">
        <f>'Summary-NoCo'!D38</f>
        <v>IFR3</v>
      </c>
      <c r="E30" s="1362" t="str">
        <f>'Summary-NoCo'!E38</f>
        <v>--</v>
      </c>
      <c r="F30" s="1363" t="str">
        <f>'Summary-NoCo'!F38</f>
        <v>--</v>
      </c>
      <c r="G30" s="1362" t="str">
        <f>'Summary-NoCo'!G38</f>
        <v>--</v>
      </c>
      <c r="H30" s="1363" t="str">
        <f>'Summary-NoCo'!H38</f>
        <v>--</v>
      </c>
      <c r="I30" s="1362">
        <f>'Summary-NoCo'!I38</f>
        <v>1.1752020371542549</v>
      </c>
      <c r="J30" s="1363">
        <f>'Summary-NoCo'!J38</f>
        <v>5.1473849227356343</v>
      </c>
      <c r="K30" s="1362" t="str">
        <f>'Summary-NoCo'!K38</f>
        <v>--</v>
      </c>
      <c r="L30" s="1363" t="str">
        <f>'Summary-NoCo'!L38</f>
        <v>--</v>
      </c>
      <c r="M30" s="1362" t="str">
        <f>'Summary-NoCo'!M38</f>
        <v>--</v>
      </c>
      <c r="N30" s="1363" t="str">
        <f>'Summary-NoCo'!N38</f>
        <v>--</v>
      </c>
      <c r="O30" s="1362" t="str">
        <f>'Summary-NoCo'!O38</f>
        <v>--</v>
      </c>
      <c r="P30" s="1363" t="str">
        <f>'Summary-NoCo'!P38</f>
        <v>--</v>
      </c>
      <c r="Q30" s="1362">
        <f>'Summary-NoCo'!Q38</f>
        <v>6.7739254805280091E-2</v>
      </c>
      <c r="R30" s="1363">
        <f>'Summary-NoCo'!R38</f>
        <v>0.2966979360471268</v>
      </c>
      <c r="S30" s="5322">
        <f>'Summary-NoCo'!S38:T38</f>
        <v>0</v>
      </c>
      <c r="T30" s="5323"/>
      <c r="U30" s="44"/>
    </row>
    <row r="31" spans="1:24" ht="44.15" customHeight="1">
      <c r="A31" s="36"/>
      <c r="B31" s="1499" t="str">
        <f>'Summary-NoCo'!B39</f>
        <v>Oil Storage 4 (100,000 bbl)</v>
      </c>
      <c r="C31" s="1500" t="str">
        <f>'Summary-NoCo'!C39</f>
        <v>IFR4</v>
      </c>
      <c r="D31" s="1501" t="str">
        <f>'Summary-NoCo'!D39</f>
        <v>IFR4</v>
      </c>
      <c r="E31" s="1362" t="str">
        <f>'Summary-NoCo'!E39</f>
        <v>--</v>
      </c>
      <c r="F31" s="1363" t="str">
        <f>'Summary-NoCo'!F39</f>
        <v>--</v>
      </c>
      <c r="G31" s="1362" t="str">
        <f>'Summary-NoCo'!G39</f>
        <v>--</v>
      </c>
      <c r="H31" s="1363" t="str">
        <f>'Summary-NoCo'!H39</f>
        <v>--</v>
      </c>
      <c r="I31" s="1362">
        <f>'Summary-NoCo'!I39</f>
        <v>1.1752020371542549</v>
      </c>
      <c r="J31" s="1363">
        <f>'Summary-NoCo'!J39</f>
        <v>5.1473849227356343</v>
      </c>
      <c r="K31" s="1362" t="str">
        <f>'Summary-NoCo'!K39</f>
        <v>--</v>
      </c>
      <c r="L31" s="1363" t="str">
        <f>'Summary-NoCo'!L39</f>
        <v>--</v>
      </c>
      <c r="M31" s="1362" t="str">
        <f>'Summary-NoCo'!M39</f>
        <v>--</v>
      </c>
      <c r="N31" s="1363" t="str">
        <f>'Summary-NoCo'!N39</f>
        <v>--</v>
      </c>
      <c r="O31" s="1362" t="str">
        <f>'Summary-NoCo'!O39</f>
        <v>--</v>
      </c>
      <c r="P31" s="1363" t="str">
        <f>'Summary-NoCo'!P39</f>
        <v>--</v>
      </c>
      <c r="Q31" s="1362">
        <f>'Summary-NoCo'!Q39</f>
        <v>6.7739254805280091E-2</v>
      </c>
      <c r="R31" s="1363">
        <f>'Summary-NoCo'!R39</f>
        <v>0.2966979360471268</v>
      </c>
      <c r="S31" s="5322">
        <f>'Summary-NoCo'!S39:T39</f>
        <v>0</v>
      </c>
      <c r="T31" s="5323"/>
      <c r="U31" s="44"/>
    </row>
    <row r="32" spans="1:24" ht="44.15" customHeight="1">
      <c r="A32" s="36"/>
      <c r="B32" s="1499" t="str">
        <f>'Summary-NoCo'!B40</f>
        <v>3rd-Party Oil Storage 1</v>
      </c>
      <c r="C32" s="1500" t="str">
        <f>'Summary-NoCo'!C40</f>
        <v>OTK1</v>
      </c>
      <c r="D32" s="1501" t="str">
        <f>'Summary-NoCo'!D40</f>
        <v>OTK1</v>
      </c>
      <c r="E32" s="3986" t="str">
        <f>'Summary-NoCo'!E40:T40</f>
        <v>Emissions represented at ECD1.</v>
      </c>
      <c r="F32" s="3987"/>
      <c r="G32" s="3987"/>
      <c r="H32" s="3987"/>
      <c r="I32" s="3987"/>
      <c r="J32" s="3987"/>
      <c r="K32" s="3987"/>
      <c r="L32" s="3987"/>
      <c r="M32" s="3929"/>
      <c r="N32" s="3929"/>
      <c r="O32" s="3987"/>
      <c r="P32" s="3987"/>
      <c r="Q32" s="3987"/>
      <c r="R32" s="3987"/>
      <c r="S32" s="3987"/>
      <c r="T32" s="3988"/>
      <c r="U32" s="44"/>
    </row>
    <row r="33" spans="1:72" ht="44.15" customHeight="1">
      <c r="A33" s="36"/>
      <c r="B33" s="1499" t="str">
        <f>'Summary-NoCo'!B41</f>
        <v>3rd-Party Oil Storage 2</v>
      </c>
      <c r="C33" s="1500" t="str">
        <f>'Summary-NoCo'!C41</f>
        <v>OTK2</v>
      </c>
      <c r="D33" s="1501" t="str">
        <f>'Summary-NoCo'!D41</f>
        <v>OTK2</v>
      </c>
      <c r="E33" s="3986" t="str">
        <f>'Summary-NoCo'!E41:T41</f>
        <v>Emissions represented at ECD1.</v>
      </c>
      <c r="F33" s="3987"/>
      <c r="G33" s="3987"/>
      <c r="H33" s="3987"/>
      <c r="I33" s="3987"/>
      <c r="J33" s="3987"/>
      <c r="K33" s="3987"/>
      <c r="L33" s="3987"/>
      <c r="M33" s="3929"/>
      <c r="N33" s="3929"/>
      <c r="O33" s="3987"/>
      <c r="P33" s="3987"/>
      <c r="Q33" s="3987"/>
      <c r="R33" s="3987"/>
      <c r="S33" s="3987"/>
      <c r="T33" s="3988"/>
      <c r="U33" s="44"/>
      <c r="W33" s="8"/>
      <c r="X33" s="8"/>
    </row>
    <row r="34" spans="1:72" ht="44.15" customHeight="1">
      <c r="A34" s="36"/>
      <c r="B34" s="1499" t="str">
        <f>'Summary-NoCo'!B42</f>
        <v>3rd-Party Oil Storage 3</v>
      </c>
      <c r="C34" s="1500" t="str">
        <f>'Summary-NoCo'!C42</f>
        <v>OTK3</v>
      </c>
      <c r="D34" s="1501" t="str">
        <f>'Summary-NoCo'!D42</f>
        <v>OTK3</v>
      </c>
      <c r="E34" s="3986" t="str">
        <f>'Summary-NoCo'!E42:T42</f>
        <v>Emissions represented at ECD1.</v>
      </c>
      <c r="F34" s="3987"/>
      <c r="G34" s="3987"/>
      <c r="H34" s="3987"/>
      <c r="I34" s="3987"/>
      <c r="J34" s="3987"/>
      <c r="K34" s="3987"/>
      <c r="L34" s="3987"/>
      <c r="M34" s="3929"/>
      <c r="N34" s="3929"/>
      <c r="O34" s="3987"/>
      <c r="P34" s="3987"/>
      <c r="Q34" s="3987"/>
      <c r="R34" s="3987"/>
      <c r="S34" s="3987"/>
      <c r="T34" s="3988"/>
      <c r="U34" s="44"/>
      <c r="W34" s="8"/>
    </row>
    <row r="35" spans="1:72" ht="44.15" customHeight="1">
      <c r="A35" s="36"/>
      <c r="B35" s="1499" t="str">
        <f>'Summary-NoCo'!B43</f>
        <v>3rd-Party Oil Storage 4</v>
      </c>
      <c r="C35" s="1500" t="str">
        <f>'Summary-NoCo'!C43</f>
        <v>OTK4</v>
      </c>
      <c r="D35" s="1501" t="str">
        <f>'Summary-NoCo'!D43</f>
        <v>OTK4</v>
      </c>
      <c r="E35" s="3986" t="str">
        <f>'Summary-NoCo'!E43:T43</f>
        <v>Emissions represented at ECD1.</v>
      </c>
      <c r="F35" s="3987"/>
      <c r="G35" s="3987"/>
      <c r="H35" s="3987"/>
      <c r="I35" s="3987"/>
      <c r="J35" s="3987"/>
      <c r="K35" s="3987"/>
      <c r="L35" s="3987"/>
      <c r="M35" s="3929"/>
      <c r="N35" s="3929"/>
      <c r="O35" s="3987"/>
      <c r="P35" s="3987"/>
      <c r="Q35" s="3987"/>
      <c r="R35" s="3987"/>
      <c r="S35" s="3987"/>
      <c r="T35" s="3988"/>
      <c r="U35" s="44"/>
    </row>
    <row r="36" spans="1:72" ht="44.15" customHeight="1">
      <c r="A36" s="36"/>
      <c r="B36" s="1499" t="str">
        <f>'Summary-NoCo'!B44</f>
        <v>3rd-Party Oil Storage 5</v>
      </c>
      <c r="C36" s="1500" t="str">
        <f>'Summary-NoCo'!C44</f>
        <v>OTK5</v>
      </c>
      <c r="D36" s="1501" t="str">
        <f>'Summary-NoCo'!D44</f>
        <v>OTK5</v>
      </c>
      <c r="E36" s="3986" t="str">
        <f>'Summary-NoCo'!E44:T44</f>
        <v>Emissions represented at ECD1.</v>
      </c>
      <c r="F36" s="3987"/>
      <c r="G36" s="3987"/>
      <c r="H36" s="3987"/>
      <c r="I36" s="3987"/>
      <c r="J36" s="3987"/>
      <c r="K36" s="3987"/>
      <c r="L36" s="3987"/>
      <c r="M36" s="3929"/>
      <c r="N36" s="3929"/>
      <c r="O36" s="3987"/>
      <c r="P36" s="3987"/>
      <c r="Q36" s="3987"/>
      <c r="R36" s="3987"/>
      <c r="S36" s="3987"/>
      <c r="T36" s="3988"/>
      <c r="U36" s="44"/>
      <c r="W36" s="8"/>
      <c r="X36" s="8"/>
    </row>
    <row r="37" spans="1:72" ht="44.15" customHeight="1">
      <c r="A37" s="36"/>
      <c r="B37" s="1499" t="str">
        <f>'Summary-NoCo'!B45</f>
        <v>3rd-Party Oil Storage 6</v>
      </c>
      <c r="C37" s="1500" t="str">
        <f>'Summary-NoCo'!C45</f>
        <v>OTK6</v>
      </c>
      <c r="D37" s="1501" t="str">
        <f>'Summary-NoCo'!D45</f>
        <v>OTK6</v>
      </c>
      <c r="E37" s="3986" t="str">
        <f>'Summary-NoCo'!E45:T45</f>
        <v>Emissions represented at ECD1.</v>
      </c>
      <c r="F37" s="3987"/>
      <c r="G37" s="3987"/>
      <c r="H37" s="3987"/>
      <c r="I37" s="3987"/>
      <c r="J37" s="3987"/>
      <c r="K37" s="3987"/>
      <c r="L37" s="3987"/>
      <c r="M37" s="3929"/>
      <c r="N37" s="3929"/>
      <c r="O37" s="3987"/>
      <c r="P37" s="3987"/>
      <c r="Q37" s="3987"/>
      <c r="R37" s="3987"/>
      <c r="S37" s="3987"/>
      <c r="T37" s="3988"/>
      <c r="U37" s="44"/>
    </row>
    <row r="38" spans="1:72" ht="44.15" customHeight="1">
      <c r="A38" s="36"/>
      <c r="B38" s="1499" t="str">
        <f>'Summary-NoCo'!B46</f>
        <v>Combustor</v>
      </c>
      <c r="C38" s="1500" t="str">
        <f>'Summary-NoCo'!C46</f>
        <v>ECD1</v>
      </c>
      <c r="D38" s="1501" t="str">
        <f>'Summary-NoCo'!D46</f>
        <v>ECD1</v>
      </c>
      <c r="E38" s="398">
        <f>'Summary-NoCo'!E46</f>
        <v>1.5931460516780505</v>
      </c>
      <c r="F38" s="397">
        <f>'Summary-NoCo'!F46</f>
        <v>6.0866344473776257</v>
      </c>
      <c r="G38" s="398">
        <f>'Summary-NoCo'!G46</f>
        <v>3.1805198350529196</v>
      </c>
      <c r="H38" s="397">
        <f>'Summary-NoCo'!H46</f>
        <v>12.151215871395186</v>
      </c>
      <c r="I38" s="398">
        <f>'Summary-NoCo'!I46</f>
        <v>7.2766034925122449</v>
      </c>
      <c r="J38" s="397">
        <f>'Summary-NoCo'!J46</f>
        <v>28.268593950427899</v>
      </c>
      <c r="K38" s="398">
        <f>'Summary-NoCo'!K46</f>
        <v>0</v>
      </c>
      <c r="L38" s="397">
        <f>'Summary-NoCo'!L46</f>
        <v>0</v>
      </c>
      <c r="M38" s="398">
        <f>'Summary-NoCo'!M46</f>
        <v>8.6018115890545505E-2</v>
      </c>
      <c r="N38" s="397">
        <f>'Summary-NoCo'!N46</f>
        <v>0.12880069625799914</v>
      </c>
      <c r="O38" s="398">
        <f>'Summary-NoCo'!O46</f>
        <v>8.6018115890545505E-2</v>
      </c>
      <c r="P38" s="397">
        <f>'Summary-NoCo'!P46</f>
        <v>0.12880069625799914</v>
      </c>
      <c r="Q38" s="398">
        <f>'Summary-NoCo'!Q46</f>
        <v>0.27504072721807626</v>
      </c>
      <c r="R38" s="397">
        <f>'Summary-NoCo'!R46</f>
        <v>1.0668332259581128</v>
      </c>
      <c r="S38" s="3972">
        <f>'Summary-NoCo'!S46:T46</f>
        <v>4244.370563407545</v>
      </c>
      <c r="T38" s="3973"/>
      <c r="U38" s="44"/>
    </row>
    <row r="39" spans="1:72" ht="44.15" customHeight="1">
      <c r="A39" s="36"/>
      <c r="B39" s="1499" t="str">
        <f>'Summary-NoCo'!B47</f>
        <v>Thermal Oxidizer</v>
      </c>
      <c r="C39" s="1500" t="str">
        <f>'Summary-NoCo'!C47</f>
        <v>TO1</v>
      </c>
      <c r="D39" s="1501" t="str">
        <f>'Summary-NoCo'!D47</f>
        <v>TO1</v>
      </c>
      <c r="E39" s="398">
        <f>'Summary-NoCo'!E47</f>
        <v>2.5190885601790693</v>
      </c>
      <c r="F39" s="397">
        <f>'Summary-NoCo'!F47</f>
        <v>11.033607893584323</v>
      </c>
      <c r="G39" s="398">
        <f>'Summary-NoCo'!G47</f>
        <v>2.0880159999999997</v>
      </c>
      <c r="H39" s="397">
        <f>'Summary-NoCo'!H47</f>
        <v>9.1455100799999975</v>
      </c>
      <c r="I39" s="398">
        <f>'Summary-NoCo'!I47</f>
        <v>0.62455189452722593</v>
      </c>
      <c r="J39" s="397">
        <f>'Summary-NoCo'!J47</f>
        <v>2.7355372980292492</v>
      </c>
      <c r="K39" s="398">
        <f>'Summary-NoCo'!K47</f>
        <v>0.86237125715223051</v>
      </c>
      <c r="L39" s="397">
        <f>'Summary-NoCo'!L47</f>
        <v>3.7771861063267695</v>
      </c>
      <c r="M39" s="398">
        <f>'Summary-NoCo'!M47</f>
        <v>0.23462099335001135</v>
      </c>
      <c r="N39" s="397">
        <f>'Summary-NoCo'!N47</f>
        <v>1.0276399508730496</v>
      </c>
      <c r="O39" s="398">
        <f>'Summary-NoCo'!O47</f>
        <v>0.23462099335001135</v>
      </c>
      <c r="P39" s="397">
        <f>'Summary-NoCo'!P47</f>
        <v>1.0276399508730496</v>
      </c>
      <c r="Q39" s="398">
        <f>'Summary-NoCo'!Q47</f>
        <v>8.0737606029044826E-2</v>
      </c>
      <c r="R39" s="397">
        <f>'Summary-NoCo'!R47</f>
        <v>0.35363071440721638</v>
      </c>
      <c r="S39" s="3972">
        <f>'Summary-NoCo'!S47:T47</f>
        <v>101557.29956690592</v>
      </c>
      <c r="T39" s="3973"/>
      <c r="U39" s="44"/>
      <c r="W39" s="8"/>
    </row>
    <row r="40" spans="1:72" ht="44.25" customHeight="1">
      <c r="A40" s="36"/>
      <c r="B40" s="1499" t="str">
        <f>'Summary-NoCo'!B48</f>
        <v>Thermal Oxidizer</v>
      </c>
      <c r="C40" s="1500" t="str">
        <f>'Summary-NoCo'!C48</f>
        <v>TO2</v>
      </c>
      <c r="D40" s="1501" t="str">
        <f>'Summary-NoCo'!D48</f>
        <v>TO2</v>
      </c>
      <c r="E40" s="398">
        <f>'Summary-NoCo'!E48</f>
        <v>2.5190885601790693</v>
      </c>
      <c r="F40" s="397">
        <f>'Summary-NoCo'!F48</f>
        <v>11.033607893584323</v>
      </c>
      <c r="G40" s="398">
        <f>'Summary-NoCo'!G48</f>
        <v>2.0880159999999997</v>
      </c>
      <c r="H40" s="397">
        <f>'Summary-NoCo'!H48</f>
        <v>9.1455100799999975</v>
      </c>
      <c r="I40" s="398">
        <f>'Summary-NoCo'!I48</f>
        <v>0.62455189452722593</v>
      </c>
      <c r="J40" s="397">
        <f>'Summary-NoCo'!J48</f>
        <v>2.7355372980292492</v>
      </c>
      <c r="K40" s="398">
        <f>'Summary-NoCo'!K48</f>
        <v>0.86237125715223051</v>
      </c>
      <c r="L40" s="397">
        <f>'Summary-NoCo'!L48</f>
        <v>3.7771861063267695</v>
      </c>
      <c r="M40" s="398">
        <f>'Summary-NoCo'!M48</f>
        <v>0.23462099335001135</v>
      </c>
      <c r="N40" s="397">
        <f>'Summary-NoCo'!N48</f>
        <v>1.0276399508730496</v>
      </c>
      <c r="O40" s="398">
        <f>'Summary-NoCo'!O48</f>
        <v>0.23462099335001135</v>
      </c>
      <c r="P40" s="397">
        <f>'Summary-NoCo'!P48</f>
        <v>1.0276399508730496</v>
      </c>
      <c r="Q40" s="398">
        <f>'Summary-NoCo'!Q48</f>
        <v>8.0737606029044826E-2</v>
      </c>
      <c r="R40" s="397">
        <f>'Summary-NoCo'!R48</f>
        <v>0.35363071440721638</v>
      </c>
      <c r="S40" s="3972">
        <f>'Summary-NoCo'!S48:T48</f>
        <v>101557.29956690592</v>
      </c>
      <c r="T40" s="3973"/>
      <c r="U40" s="44"/>
      <c r="V40" s="8"/>
      <c r="W40" s="8"/>
    </row>
    <row r="41" spans="1:72" ht="44.25" customHeight="1">
      <c r="A41" s="36"/>
      <c r="B41" s="1499" t="str">
        <f>'Summary-NoCo'!B49</f>
        <v>Thermal Oxidizer</v>
      </c>
      <c r="C41" s="1500" t="str">
        <f>'Summary-NoCo'!C49</f>
        <v>TO3</v>
      </c>
      <c r="D41" s="1501" t="str">
        <f>'Summary-NoCo'!D49</f>
        <v>TO3</v>
      </c>
      <c r="E41" s="398">
        <f>'Summary-NoCo'!E49</f>
        <v>2.5190885601790693</v>
      </c>
      <c r="F41" s="397">
        <f>'Summary-NoCo'!F49</f>
        <v>11.033607893584323</v>
      </c>
      <c r="G41" s="398">
        <f>'Summary-NoCo'!G49</f>
        <v>2.0880159999999997</v>
      </c>
      <c r="H41" s="397">
        <f>'Summary-NoCo'!H49</f>
        <v>9.1455100799999975</v>
      </c>
      <c r="I41" s="398">
        <f>'Summary-NoCo'!I49</f>
        <v>0.62455189452722593</v>
      </c>
      <c r="J41" s="397">
        <f>'Summary-NoCo'!J49</f>
        <v>2.7355372980292492</v>
      </c>
      <c r="K41" s="398">
        <f>'Summary-NoCo'!K49</f>
        <v>0.86237125715223051</v>
      </c>
      <c r="L41" s="397">
        <f>'Summary-NoCo'!L49</f>
        <v>3.7771861063267695</v>
      </c>
      <c r="M41" s="398">
        <f>'Summary-NoCo'!M49</f>
        <v>0.23462099335001135</v>
      </c>
      <c r="N41" s="397">
        <f>'Summary-NoCo'!N49</f>
        <v>1.0276399508730496</v>
      </c>
      <c r="O41" s="398">
        <f>'Summary-NoCo'!O49</f>
        <v>0.23462099335001135</v>
      </c>
      <c r="P41" s="397">
        <f>'Summary-NoCo'!P49</f>
        <v>1.0276399508730496</v>
      </c>
      <c r="Q41" s="398">
        <f>'Summary-NoCo'!Q49</f>
        <v>8.0737606029044826E-2</v>
      </c>
      <c r="R41" s="397">
        <f>'Summary-NoCo'!R49</f>
        <v>0.35363071440721638</v>
      </c>
      <c r="S41" s="3972">
        <f>'Summary-NoCo'!S49:T49</f>
        <v>101557.29956690592</v>
      </c>
      <c r="T41" s="3973"/>
      <c r="U41" s="44"/>
      <c r="X41" s="8"/>
    </row>
    <row r="42" spans="1:72" ht="44.25" customHeight="1">
      <c r="A42" s="36"/>
      <c r="B42" s="1499" t="str">
        <f>'Summary-NoCo'!B50</f>
        <v>Fugitives</v>
      </c>
      <c r="C42" s="1500" t="str">
        <f>'Summary-NoCo'!C50</f>
        <v>FUG</v>
      </c>
      <c r="D42" s="1501" t="str">
        <f>'Summary-NoCo'!D50</f>
        <v>FUG</v>
      </c>
      <c r="E42" s="398" t="str">
        <f>'Summary-NoCo'!E50</f>
        <v>--</v>
      </c>
      <c r="F42" s="397" t="str">
        <f>'Summary-NoCo'!F50</f>
        <v>--</v>
      </c>
      <c r="G42" s="398" t="str">
        <f>'Summary-NoCo'!G50</f>
        <v>--</v>
      </c>
      <c r="H42" s="397" t="str">
        <f>'Summary-NoCo'!H50</f>
        <v>--</v>
      </c>
      <c r="I42" s="398">
        <f>'Summary-NoCo'!I50</f>
        <v>30.616050709592137</v>
      </c>
      <c r="J42" s="397">
        <f>'Summary-NoCo'!J50</f>
        <v>134.09830210801351</v>
      </c>
      <c r="K42" s="398" t="str">
        <f>'Summary-NoCo'!K50</f>
        <v>--</v>
      </c>
      <c r="L42" s="397" t="str">
        <f>'Summary-NoCo'!L50</f>
        <v>--</v>
      </c>
      <c r="M42" s="398" t="str">
        <f>'Summary-NoCo'!M50</f>
        <v>--</v>
      </c>
      <c r="N42" s="397" t="str">
        <f>'Summary-NoCo'!N50</f>
        <v>--</v>
      </c>
      <c r="O42" s="398" t="str">
        <f>'Summary-NoCo'!O50</f>
        <v>--</v>
      </c>
      <c r="P42" s="397" t="str">
        <f>'Summary-NoCo'!P50</f>
        <v>--</v>
      </c>
      <c r="Q42" s="398">
        <f>'Summary-NoCo'!Q50</f>
        <v>1.8349882519246774</v>
      </c>
      <c r="R42" s="397">
        <f>'Summary-NoCo'!R50</f>
        <v>8.0372485434300867</v>
      </c>
      <c r="S42" s="3972">
        <f>'Summary-NoCo'!S50:T50</f>
        <v>355.19068804717892</v>
      </c>
      <c r="T42" s="3973"/>
      <c r="U42" s="44"/>
    </row>
    <row r="43" spans="1:72" ht="44.25" customHeight="1">
      <c r="A43" s="36"/>
      <c r="B43" s="1499" t="str">
        <f>'Summary-NoCo'!B51</f>
        <v>Storage Tank SSM Emissions</v>
      </c>
      <c r="C43" s="1500" t="str">
        <f>'Summary-NoCo'!C51</f>
        <v>SSM</v>
      </c>
      <c r="D43" s="1501" t="str">
        <f>'Summary-NoCo'!D51</f>
        <v>SSM</v>
      </c>
      <c r="E43" s="817" t="s">
        <v>445</v>
      </c>
      <c r="F43" s="818" t="s">
        <v>445</v>
      </c>
      <c r="G43" s="817" t="s">
        <v>445</v>
      </c>
      <c r="H43" s="818" t="s">
        <v>445</v>
      </c>
      <c r="I43" s="817" t="s">
        <v>445</v>
      </c>
      <c r="J43" s="818">
        <v>10</v>
      </c>
      <c r="K43" s="817" t="s">
        <v>445</v>
      </c>
      <c r="L43" s="818" t="s">
        <v>445</v>
      </c>
      <c r="M43" s="817" t="s">
        <v>445</v>
      </c>
      <c r="N43" s="818" t="s">
        <v>445</v>
      </c>
      <c r="O43" s="817" t="s">
        <v>445</v>
      </c>
      <c r="P43" s="818" t="s">
        <v>445</v>
      </c>
      <c r="Q43" s="817" t="s">
        <v>445</v>
      </c>
      <c r="R43" s="818" t="s">
        <v>445</v>
      </c>
      <c r="S43" s="3993" t="s">
        <v>445</v>
      </c>
      <c r="T43" s="3994"/>
      <c r="U43" s="44"/>
    </row>
    <row r="44" spans="1:72" s="53" customFormat="1" ht="44.25" customHeight="1">
      <c r="A44" s="36"/>
      <c r="B44" s="1499" t="str">
        <f>'Summary-NoCo'!B52</f>
        <v>Haul Road Fugitives</v>
      </c>
      <c r="C44" s="1500" t="str">
        <f>'Summary-NoCo'!C52</f>
        <v>ROAD</v>
      </c>
      <c r="D44" s="1501" t="str">
        <f>'Summary-NoCo'!D52</f>
        <v>ROAD</v>
      </c>
      <c r="E44" s="817" t="s">
        <v>445</v>
      </c>
      <c r="F44" s="818" t="s">
        <v>445</v>
      </c>
      <c r="G44" s="817" t="s">
        <v>445</v>
      </c>
      <c r="H44" s="818" t="s">
        <v>445</v>
      </c>
      <c r="I44" s="817" t="s">
        <v>445</v>
      </c>
      <c r="J44" s="818" t="s">
        <v>445</v>
      </c>
      <c r="K44" s="817" t="s">
        <v>445</v>
      </c>
      <c r="L44" s="818" t="s">
        <v>445</v>
      </c>
      <c r="M44" s="1281">
        <f>Road!C24</f>
        <v>2.7556902133370476</v>
      </c>
      <c r="N44" s="1282">
        <f>Road!C25</f>
        <v>8.8254079636430482</v>
      </c>
      <c r="O44" s="1281">
        <f>Road!F24</f>
        <v>0.70232409971011567</v>
      </c>
      <c r="P44" s="1282">
        <f>Road!F25</f>
        <v>2.2492719510493018</v>
      </c>
      <c r="Q44" s="817" t="s">
        <v>445</v>
      </c>
      <c r="R44" s="818" t="s">
        <v>445</v>
      </c>
      <c r="S44" s="3993" t="s">
        <v>445</v>
      </c>
      <c r="T44" s="3994"/>
      <c r="U44" s="44"/>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row>
    <row r="45" spans="1:72" ht="44.25" customHeight="1">
      <c r="A45" s="36"/>
      <c r="B45" s="1499" t="str">
        <f>'Summary-NoCo'!B53</f>
        <v>Produced Water Tank 1</v>
      </c>
      <c r="C45" s="1500" t="str">
        <f>'Summary-NoCo'!C53</f>
        <v>PWTK1</v>
      </c>
      <c r="D45" s="1501" t="str">
        <f>'Summary-NoCo'!D53</f>
        <v>PWTK1</v>
      </c>
      <c r="E45" s="3986" t="str">
        <f>'Summary-NoCo'!E53:T53</f>
        <v>Emissions represented at ECD1.</v>
      </c>
      <c r="F45" s="3987"/>
      <c r="G45" s="3987"/>
      <c r="H45" s="3987"/>
      <c r="I45" s="3987"/>
      <c r="J45" s="3987"/>
      <c r="K45" s="3987"/>
      <c r="L45" s="3987"/>
      <c r="M45" s="3929"/>
      <c r="N45" s="3929"/>
      <c r="O45" s="3987"/>
      <c r="P45" s="3987"/>
      <c r="Q45" s="3987"/>
      <c r="R45" s="3987"/>
      <c r="S45" s="3987"/>
      <c r="T45" s="3988"/>
      <c r="U45" s="44"/>
    </row>
    <row r="46" spans="1:72" s="53" customFormat="1" ht="44.25" customHeight="1">
      <c r="A46" s="36"/>
      <c r="B46" s="1499" t="str">
        <f>'Summary-NoCo'!B54</f>
        <v>Produced Water Tank 2</v>
      </c>
      <c r="C46" s="1500" t="str">
        <f>'Summary-NoCo'!C54</f>
        <v>PWTK2</v>
      </c>
      <c r="D46" s="1501" t="str">
        <f>'Summary-NoCo'!D54</f>
        <v>PWTK2</v>
      </c>
      <c r="E46" s="3986" t="str">
        <f>'Summary-NoCo'!E54:T54</f>
        <v>Emissions represented at ECD1.</v>
      </c>
      <c r="F46" s="3987"/>
      <c r="G46" s="3987"/>
      <c r="H46" s="3987"/>
      <c r="I46" s="3987"/>
      <c r="J46" s="3987"/>
      <c r="K46" s="3987"/>
      <c r="L46" s="3987"/>
      <c r="M46" s="3929"/>
      <c r="N46" s="3929"/>
      <c r="O46" s="3987"/>
      <c r="P46" s="3987"/>
      <c r="Q46" s="3987"/>
      <c r="R46" s="3987"/>
      <c r="S46" s="3987"/>
      <c r="T46" s="3988"/>
      <c r="U46" s="44"/>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row>
    <row r="47" spans="1:72" ht="44.25" customHeight="1">
      <c r="A47" s="36"/>
      <c r="B47" s="1499" t="str">
        <f>'Summary-NoCo'!B55</f>
        <v>Produced Water Loading</v>
      </c>
      <c r="C47" s="1500" t="str">
        <f>'Summary-NoCo'!C55</f>
        <v>PWTL</v>
      </c>
      <c r="D47" s="1501" t="str">
        <f>'Summary-NoCo'!D55</f>
        <v>PWTL</v>
      </c>
      <c r="E47" s="817" t="s">
        <v>445</v>
      </c>
      <c r="F47" s="818" t="s">
        <v>445</v>
      </c>
      <c r="G47" s="817" t="s">
        <v>445</v>
      </c>
      <c r="H47" s="818" t="s">
        <v>445</v>
      </c>
      <c r="I47" s="398">
        <f>'Load-H2O'!F33</f>
        <v>0.39339345182963747</v>
      </c>
      <c r="J47" s="406">
        <f>'Load-H2O'!G33</f>
        <v>2.4902276270262185</v>
      </c>
      <c r="K47" s="817" t="s">
        <v>445</v>
      </c>
      <c r="L47" s="818" t="s">
        <v>445</v>
      </c>
      <c r="M47" s="817" t="s">
        <v>445</v>
      </c>
      <c r="N47" s="818" t="s">
        <v>445</v>
      </c>
      <c r="O47" s="817" t="s">
        <v>445</v>
      </c>
      <c r="P47" s="818" t="s">
        <v>445</v>
      </c>
      <c r="Q47" s="817" t="s">
        <v>445</v>
      </c>
      <c r="R47" s="818" t="s">
        <v>445</v>
      </c>
      <c r="S47" s="3993" t="s">
        <v>445</v>
      </c>
      <c r="T47" s="3994"/>
      <c r="U47" s="44"/>
    </row>
    <row r="48" spans="1:72" s="53" customFormat="1" ht="44.25" customHeight="1">
      <c r="A48" s="36"/>
      <c r="B48" s="1499" t="str">
        <f>'Summary-NoCo'!B56</f>
        <v>Slop Oil Loading</v>
      </c>
      <c r="C48" s="1500" t="str">
        <f>'Summary-NoCo'!C56</f>
        <v>OTL</v>
      </c>
      <c r="D48" s="1501" t="str">
        <f>'Summary-NoCo'!D56</f>
        <v>OTL</v>
      </c>
      <c r="E48" s="3986" t="str">
        <f>'Summary-NoCo'!E57:T57</f>
        <v>Emissions represented at TO1.</v>
      </c>
      <c r="F48" s="3987"/>
      <c r="G48" s="3987"/>
      <c r="H48" s="3987"/>
      <c r="I48" s="3987"/>
      <c r="J48" s="3987"/>
      <c r="K48" s="3987"/>
      <c r="L48" s="3987"/>
      <c r="M48" s="3929"/>
      <c r="N48" s="3929"/>
      <c r="O48" s="3987"/>
      <c r="P48" s="3987"/>
      <c r="Q48" s="3987"/>
      <c r="R48" s="3987"/>
      <c r="S48" s="3987"/>
      <c r="T48" s="3988"/>
      <c r="U48" s="44"/>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row>
    <row r="49" spans="1:72" s="53" customFormat="1" ht="44.25" customHeight="1">
      <c r="A49" s="36"/>
      <c r="B49" s="1499" t="str">
        <f>'Summary-NoCo'!B57</f>
        <v>Amine Unit 1</v>
      </c>
      <c r="C49" s="1500" t="str">
        <f>'Summary-NoCo'!C57</f>
        <v>AU1</v>
      </c>
      <c r="D49" s="1501" t="str">
        <f>'Summary-NoCo'!D57</f>
        <v>AU1</v>
      </c>
      <c r="E49" s="3986" t="str">
        <f>'Summary-NoCo'!E58:T58</f>
        <v>Emissions represented at TO2.</v>
      </c>
      <c r="F49" s="3987"/>
      <c r="G49" s="3987"/>
      <c r="H49" s="3987"/>
      <c r="I49" s="3987"/>
      <c r="J49" s="3987"/>
      <c r="K49" s="3987"/>
      <c r="L49" s="3987"/>
      <c r="M49" s="3929"/>
      <c r="N49" s="3929"/>
      <c r="O49" s="3987"/>
      <c r="P49" s="3987"/>
      <c r="Q49" s="3987"/>
      <c r="R49" s="3987"/>
      <c r="S49" s="3987"/>
      <c r="T49" s="3988"/>
      <c r="U49" s="44"/>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row>
    <row r="50" spans="1:72" s="53" customFormat="1" ht="44.25" customHeight="1">
      <c r="A50" s="36"/>
      <c r="B50" s="1499" t="str">
        <f>'Summary-NoCo'!B58</f>
        <v>Amine Unit 2</v>
      </c>
      <c r="C50" s="1500" t="str">
        <f>'Summary-NoCo'!C58</f>
        <v>AU2</v>
      </c>
      <c r="D50" s="1501" t="str">
        <f>'Summary-NoCo'!D58</f>
        <v>AU2</v>
      </c>
      <c r="E50" s="3986" t="str">
        <f>'Summary-NoCo'!E59:T59</f>
        <v>Emissions represented at TO3.</v>
      </c>
      <c r="F50" s="3987"/>
      <c r="G50" s="3987"/>
      <c r="H50" s="3987"/>
      <c r="I50" s="3987"/>
      <c r="J50" s="3987"/>
      <c r="K50" s="3987"/>
      <c r="L50" s="3987"/>
      <c r="M50" s="3929"/>
      <c r="N50" s="3929"/>
      <c r="O50" s="3987"/>
      <c r="P50" s="3987"/>
      <c r="Q50" s="3987"/>
      <c r="R50" s="3987"/>
      <c r="S50" s="3987"/>
      <c r="T50" s="3988"/>
      <c r="U50" s="44"/>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row>
    <row r="51" spans="1:72" s="53" customFormat="1" ht="44.25" customHeight="1">
      <c r="A51" s="36"/>
      <c r="B51" s="1499" t="str">
        <f>'Summary-NoCo'!B59</f>
        <v>Amine Unit 3</v>
      </c>
      <c r="C51" s="1500" t="str">
        <f>'Summary-NoCo'!C59</f>
        <v>AU3</v>
      </c>
      <c r="D51" s="1501" t="str">
        <f>'Summary-NoCo'!D59</f>
        <v>AU3</v>
      </c>
      <c r="E51" s="3986" t="str">
        <f>'Summary-NoCo'!E60:T60</f>
        <v>Emissions represented at ECD1.</v>
      </c>
      <c r="F51" s="3987"/>
      <c r="G51" s="3987"/>
      <c r="H51" s="3987"/>
      <c r="I51" s="3987"/>
      <c r="J51" s="3987"/>
      <c r="K51" s="3987"/>
      <c r="L51" s="3987"/>
      <c r="M51" s="3929"/>
      <c r="N51" s="3929"/>
      <c r="O51" s="3987"/>
      <c r="P51" s="3987"/>
      <c r="Q51" s="3987"/>
      <c r="R51" s="3987"/>
      <c r="S51" s="3987"/>
      <c r="T51" s="3988"/>
      <c r="U51" s="44"/>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row>
    <row r="52" spans="1:72" s="53" customFormat="1" ht="44.25" customHeight="1">
      <c r="A52" s="36"/>
      <c r="B52" s="1499" t="str">
        <f>'Summary-NoCo'!B60</f>
        <v>Gunbarrel Tank</v>
      </c>
      <c r="C52" s="1500" t="str">
        <f>'Summary-NoCo'!C60</f>
        <v>GBS1</v>
      </c>
      <c r="D52" s="1501" t="str">
        <f>'Summary-NoCo'!D60</f>
        <v>GBS1</v>
      </c>
      <c r="E52" s="3986" t="str">
        <f>'Summary-NoCo'!E61:T61</f>
        <v>Emissions represented at ECD1.</v>
      </c>
      <c r="F52" s="3987"/>
      <c r="G52" s="3987"/>
      <c r="H52" s="3987"/>
      <c r="I52" s="3987"/>
      <c r="J52" s="3987"/>
      <c r="K52" s="3987"/>
      <c r="L52" s="3987"/>
      <c r="M52" s="3929"/>
      <c r="N52" s="3929"/>
      <c r="O52" s="3987"/>
      <c r="P52" s="3987"/>
      <c r="Q52" s="3987"/>
      <c r="R52" s="3987"/>
      <c r="S52" s="3987"/>
      <c r="T52" s="3988"/>
      <c r="U52" s="44"/>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s="53" customFormat="1" ht="44.25" customHeight="1">
      <c r="A53" s="36"/>
      <c r="B53" s="1499" t="str">
        <f>'Summary-NoCo'!B61</f>
        <v>Slop Oil Tank</v>
      </c>
      <c r="C53" s="1500" t="str">
        <f>'Summary-NoCo'!C61</f>
        <v>OTK7</v>
      </c>
      <c r="D53" s="1501" t="str">
        <f>'Summary-NoCo'!D61</f>
        <v>OTK7</v>
      </c>
      <c r="E53" s="3986" t="str">
        <f>'Summary-NoCo'!E61:T61</f>
        <v>Emissions represented at ECD1.</v>
      </c>
      <c r="F53" s="5343"/>
      <c r="G53" s="5343"/>
      <c r="H53" s="5343"/>
      <c r="I53" s="5343"/>
      <c r="J53" s="5343"/>
      <c r="K53" s="5343"/>
      <c r="L53" s="5343"/>
      <c r="M53" s="3929"/>
      <c r="N53" s="3929"/>
      <c r="O53" s="5343"/>
      <c r="P53" s="5343"/>
      <c r="Q53" s="5343"/>
      <c r="R53" s="5343"/>
      <c r="S53" s="5343"/>
      <c r="T53" s="3988"/>
      <c r="U53" s="44"/>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row>
    <row r="54" spans="1:72" ht="44.25" customHeight="1">
      <c r="A54" s="36"/>
      <c r="B54" s="1032" t="str">
        <f>'Summary-Co'!B49</f>
        <v>Turbine</v>
      </c>
      <c r="C54" s="1284" t="str">
        <f>'Summary-Co'!C49</f>
        <v>TUR1</v>
      </c>
      <c r="D54" s="1285" t="str">
        <f t="shared" ref="D54:D63" si="0">C54</f>
        <v>TUR1</v>
      </c>
      <c r="E54" s="1444">
        <f>Summary_1TUR!E57</f>
        <v>8.4</v>
      </c>
      <c r="F54" s="1282">
        <f>Summary_1TUR!F57</f>
        <v>36.792000000000002</v>
      </c>
      <c r="G54" s="1444">
        <f>Summary_1TUR!G57</f>
        <v>5.0999999999999996</v>
      </c>
      <c r="H54" s="1282">
        <f>Summary_1TUR!H57</f>
        <v>22.338000000000001</v>
      </c>
      <c r="I54" s="1444">
        <f>Summary_1TUR!I57</f>
        <v>9.1999999999999975</v>
      </c>
      <c r="J54" s="1282">
        <f>Summary_1TUR!J57</f>
        <v>40.295999999999992</v>
      </c>
      <c r="K54" s="1444">
        <f>Summary_1TUR!K57</f>
        <v>2.1350532104919506</v>
      </c>
      <c r="L54" s="1282">
        <f>Summary_1TUR!L57</f>
        <v>9.3515330619547434</v>
      </c>
      <c r="M54" s="1444">
        <f>Summary_1TUR!M57</f>
        <v>9.1999999999999993</v>
      </c>
      <c r="N54" s="1282">
        <f>Summary_1TUR!N57</f>
        <v>40.295999999999999</v>
      </c>
      <c r="O54" s="1444">
        <f>Summary_1TUR!O57</f>
        <v>9.1999999999999993</v>
      </c>
      <c r="P54" s="1282">
        <f>Summary_1TUR!P57</f>
        <v>40.295999999999999</v>
      </c>
      <c r="Q54" s="1444">
        <f>Summary_1TUR!Q57</f>
        <v>0.57515169285250722</v>
      </c>
      <c r="R54" s="1282">
        <f>Summary_1TUR!R57</f>
        <v>2.5191644146939818</v>
      </c>
      <c r="S54" s="4017">
        <f>Summary_1TUR!S57</f>
        <v>544368.05460551556</v>
      </c>
      <c r="T54" s="3973"/>
      <c r="U54" s="44"/>
    </row>
    <row r="55" spans="1:72" ht="44.25" customHeight="1">
      <c r="A55" s="36"/>
      <c r="B55" s="1499" t="str">
        <f>B54</f>
        <v>Turbine</v>
      </c>
      <c r="C55" s="1500" t="str">
        <f>'Summary-Co'!C50</f>
        <v>TUR2</v>
      </c>
      <c r="D55" s="1501" t="str">
        <f t="shared" si="0"/>
        <v>TUR2</v>
      </c>
      <c r="E55" s="3389">
        <f t="shared" ref="E55:S55" si="1">E54</f>
        <v>8.4</v>
      </c>
      <c r="F55" s="3390">
        <f t="shared" si="1"/>
        <v>36.792000000000002</v>
      </c>
      <c r="G55" s="3389">
        <f t="shared" si="1"/>
        <v>5.0999999999999996</v>
      </c>
      <c r="H55" s="3390">
        <f t="shared" si="1"/>
        <v>22.338000000000001</v>
      </c>
      <c r="I55" s="3389">
        <f t="shared" si="1"/>
        <v>9.1999999999999975</v>
      </c>
      <c r="J55" s="3390">
        <f t="shared" si="1"/>
        <v>40.295999999999992</v>
      </c>
      <c r="K55" s="3389">
        <f t="shared" si="1"/>
        <v>2.1350532104919506</v>
      </c>
      <c r="L55" s="3390">
        <f t="shared" si="1"/>
        <v>9.3515330619547434</v>
      </c>
      <c r="M55" s="3389">
        <f t="shared" si="1"/>
        <v>9.1999999999999993</v>
      </c>
      <c r="N55" s="3390">
        <f t="shared" si="1"/>
        <v>40.295999999999999</v>
      </c>
      <c r="O55" s="3389">
        <f t="shared" si="1"/>
        <v>9.1999999999999993</v>
      </c>
      <c r="P55" s="3390">
        <f t="shared" si="1"/>
        <v>40.295999999999999</v>
      </c>
      <c r="Q55" s="1585">
        <f t="shared" si="1"/>
        <v>0.57515169285250722</v>
      </c>
      <c r="R55" s="1586">
        <f t="shared" si="1"/>
        <v>2.5191644146939818</v>
      </c>
      <c r="S55" s="5332">
        <f t="shared" si="1"/>
        <v>544368.05460551556</v>
      </c>
      <c r="T55" s="5323"/>
      <c r="U55" s="44"/>
    </row>
    <row r="56" spans="1:72" s="53" customFormat="1" ht="44.25" customHeight="1">
      <c r="A56" s="36"/>
      <c r="B56" s="1032" t="str">
        <f>'Summary-Co'!B53</f>
        <v>Emergency Generator</v>
      </c>
      <c r="C56" s="1284" t="str">
        <f>'Summary-Co'!C53</f>
        <v>GEN1</v>
      </c>
      <c r="D56" s="3399" t="str">
        <f t="shared" si="0"/>
        <v>GEN1</v>
      </c>
      <c r="E56" s="1291">
        <f>'Summary-Co'!E53</f>
        <v>7.6014109347442673</v>
      </c>
      <c r="F56" s="1292">
        <f>'Summary-Co'!F53</f>
        <v>0.38007054673721336</v>
      </c>
      <c r="G56" s="1291">
        <f>'Summary-Co'!G53</f>
        <v>12.770370370370369</v>
      </c>
      <c r="H56" s="1292">
        <f>'Summary-Co'!H53</f>
        <v>0.63851851851851849</v>
      </c>
      <c r="I56" s="1291">
        <f>'Summary-Co'!I53</f>
        <v>4.887584801621446</v>
      </c>
      <c r="J56" s="1292">
        <f>'Summary-Co'!J53</f>
        <v>0.24437924008107231</v>
      </c>
      <c r="K56" s="1291">
        <f>'Summary-Co'!K53</f>
        <v>5.268486050420168E-2</v>
      </c>
      <c r="L56" s="1292">
        <f>'Summary-Co'!L53</f>
        <v>2.6342430252100841E-3</v>
      </c>
      <c r="M56" s="1291">
        <f>'Summary-Co'!M53</f>
        <v>0.21023717968</v>
      </c>
      <c r="N56" s="1292">
        <f>'Summary-Co'!N53</f>
        <v>1.0511858984E-2</v>
      </c>
      <c r="O56" s="1291">
        <f>'Summary-Co'!O53</f>
        <v>0.21023717968</v>
      </c>
      <c r="P56" s="1292">
        <f>'Summary-Co'!P53</f>
        <v>1.0511858984E-2</v>
      </c>
      <c r="Q56" s="1291">
        <f>'Summary-Co'!Q53</f>
        <v>2.0982598998460671</v>
      </c>
      <c r="R56" s="1292">
        <f>'Summary-Co'!R53</f>
        <v>0.10491299499230333</v>
      </c>
      <c r="S56" s="4016">
        <f>'Summary-Co'!S53</f>
        <v>157.09885782590544</v>
      </c>
      <c r="T56" s="5342"/>
      <c r="U56" s="44"/>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row>
    <row r="57" spans="1:72" s="53" customFormat="1" ht="44.25" customHeight="1">
      <c r="A57" s="36"/>
      <c r="B57" s="1032" t="str">
        <f>'Summary-Co'!B54</f>
        <v>Emergency Generator</v>
      </c>
      <c r="C57" s="1500" t="str">
        <f>'Summary-Co'!C54</f>
        <v>GEN2</v>
      </c>
      <c r="D57" s="1527" t="str">
        <f t="shared" si="0"/>
        <v>GEN2</v>
      </c>
      <c r="E57" s="3389">
        <f>'Summary-Co'!E54</f>
        <v>7.6014109347442673</v>
      </c>
      <c r="F57" s="3390">
        <f>'Summary-Co'!F54</f>
        <v>0.38007054673721336</v>
      </c>
      <c r="G57" s="3389">
        <f>'Summary-Co'!G54</f>
        <v>12.770370370370369</v>
      </c>
      <c r="H57" s="3390">
        <f>'Summary-Co'!H54</f>
        <v>0.63851851851851849</v>
      </c>
      <c r="I57" s="3389">
        <f>'Summary-Co'!I54</f>
        <v>4.887584801621446</v>
      </c>
      <c r="J57" s="3390">
        <f>'Summary-Co'!J54</f>
        <v>0.24437924008107231</v>
      </c>
      <c r="K57" s="3389">
        <f>'Summary-Co'!K54</f>
        <v>5.268486050420168E-2</v>
      </c>
      <c r="L57" s="3390">
        <f>'Summary-Co'!L54</f>
        <v>2.6342430252100841E-3</v>
      </c>
      <c r="M57" s="3389">
        <f>'Summary-Co'!M54</f>
        <v>0.21023717968</v>
      </c>
      <c r="N57" s="3390">
        <f>'Summary-Co'!N54</f>
        <v>1.0511858984E-2</v>
      </c>
      <c r="O57" s="3389">
        <f>'Summary-Co'!O54</f>
        <v>0.21023717968</v>
      </c>
      <c r="P57" s="3390">
        <f>'Summary-Co'!P54</f>
        <v>1.0511858984E-2</v>
      </c>
      <c r="Q57" s="3389">
        <f>'Summary-Co'!Q54</f>
        <v>2.0982598998460671</v>
      </c>
      <c r="R57" s="3390">
        <f>'Summary-Co'!R54</f>
        <v>0.10491299499230333</v>
      </c>
      <c r="S57" s="4016">
        <f>'Summary-Co'!S54</f>
        <v>157.09885782590544</v>
      </c>
      <c r="T57" s="5342"/>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44.25" customHeight="1">
      <c r="A58" s="36"/>
      <c r="B58" s="1032" t="str">
        <f>'Summary-Co'!B55</f>
        <v>Emergency Generator</v>
      </c>
      <c r="C58" s="1500" t="str">
        <f>'Summary-Co'!C55</f>
        <v>GEN3</v>
      </c>
      <c r="D58" s="1527" t="str">
        <f t="shared" si="0"/>
        <v>GEN3</v>
      </c>
      <c r="E58" s="3389">
        <f>'Summary-Co'!E55</f>
        <v>7.6014109347442673</v>
      </c>
      <c r="F58" s="3390">
        <f>'Summary-Co'!F55</f>
        <v>0.38007054673721336</v>
      </c>
      <c r="G58" s="3389">
        <f>'Summary-Co'!G55</f>
        <v>12.770370370370369</v>
      </c>
      <c r="H58" s="3390">
        <f>'Summary-Co'!H55</f>
        <v>0.63851851851851849</v>
      </c>
      <c r="I58" s="3389">
        <f>'Summary-Co'!I55</f>
        <v>4.887584801621446</v>
      </c>
      <c r="J58" s="3390">
        <f>'Summary-Co'!J55</f>
        <v>0.24437924008107231</v>
      </c>
      <c r="K58" s="3389">
        <f>'Summary-Co'!K55</f>
        <v>5.268486050420168E-2</v>
      </c>
      <c r="L58" s="3390">
        <f>'Summary-Co'!L55</f>
        <v>2.6342430252100841E-3</v>
      </c>
      <c r="M58" s="3389">
        <f>'Summary-Co'!M55</f>
        <v>0.21023717968</v>
      </c>
      <c r="N58" s="3390">
        <f>'Summary-Co'!N55</f>
        <v>1.0511858984E-2</v>
      </c>
      <c r="O58" s="3389">
        <f>'Summary-Co'!O55</f>
        <v>0.21023717968</v>
      </c>
      <c r="P58" s="3390">
        <f>'Summary-Co'!P55</f>
        <v>1.0511858984E-2</v>
      </c>
      <c r="Q58" s="3389">
        <f>'Summary-Co'!Q55</f>
        <v>2.0982598998460671</v>
      </c>
      <c r="R58" s="3390">
        <f>'Summary-Co'!R55</f>
        <v>0.10491299499230333</v>
      </c>
      <c r="S58" s="4016">
        <f>'Summary-Co'!S55</f>
        <v>157.09885782590544</v>
      </c>
      <c r="T58" s="5342"/>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s="53" customFormat="1" ht="44.25" customHeight="1">
      <c r="A59" s="36"/>
      <c r="B59" s="1032" t="str">
        <f>'Summary-Co'!B56</f>
        <v>Emergency Generator</v>
      </c>
      <c r="C59" s="1500" t="str">
        <f>'Summary-Co'!C56</f>
        <v>GEN4</v>
      </c>
      <c r="D59" s="1527" t="str">
        <f t="shared" si="0"/>
        <v>GEN4</v>
      </c>
      <c r="E59" s="3389">
        <f>'Summary-Co'!E56</f>
        <v>7.6014109347442673</v>
      </c>
      <c r="F59" s="3390">
        <f>'Summary-Co'!F56</f>
        <v>0.38007054673721336</v>
      </c>
      <c r="G59" s="3389">
        <f>'Summary-Co'!G56</f>
        <v>12.770370370370369</v>
      </c>
      <c r="H59" s="3390">
        <f>'Summary-Co'!H56</f>
        <v>0.63851851851851849</v>
      </c>
      <c r="I59" s="3389">
        <f>'Summary-Co'!I56</f>
        <v>4.887584801621446</v>
      </c>
      <c r="J59" s="3390">
        <f>'Summary-Co'!J56</f>
        <v>0.24437924008107231</v>
      </c>
      <c r="K59" s="3389">
        <f>'Summary-Co'!K56</f>
        <v>5.268486050420168E-2</v>
      </c>
      <c r="L59" s="3390">
        <f>'Summary-Co'!L56</f>
        <v>2.6342430252100841E-3</v>
      </c>
      <c r="M59" s="3389">
        <f>'Summary-Co'!M56</f>
        <v>0.21023717968</v>
      </c>
      <c r="N59" s="3390">
        <f>'Summary-Co'!N56</f>
        <v>1.0511858984E-2</v>
      </c>
      <c r="O59" s="3389">
        <f>'Summary-Co'!O56</f>
        <v>0.21023717968</v>
      </c>
      <c r="P59" s="3390">
        <f>'Summary-Co'!P56</f>
        <v>1.0511858984E-2</v>
      </c>
      <c r="Q59" s="3389">
        <f>'Summary-Co'!Q56</f>
        <v>2.0982598998460671</v>
      </c>
      <c r="R59" s="3390">
        <f>'Summary-Co'!R56</f>
        <v>0.10491299499230333</v>
      </c>
      <c r="S59" s="4016">
        <f>'Summary-Co'!S56</f>
        <v>157.09885782590544</v>
      </c>
      <c r="T59" s="5342"/>
      <c r="U59" s="44"/>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row>
    <row r="60" spans="1:72" s="53" customFormat="1" ht="44.25" customHeight="1">
      <c r="A60" s="36"/>
      <c r="B60" s="1032" t="str">
        <f>'Summary-Co'!B57</f>
        <v>Emergency Generator</v>
      </c>
      <c r="C60" s="1500" t="str">
        <f>'Summary-Co'!C57</f>
        <v>GEN5</v>
      </c>
      <c r="D60" s="1527" t="str">
        <f t="shared" si="0"/>
        <v>GEN5</v>
      </c>
      <c r="E60" s="3389">
        <f>'Summary-Co'!E57</f>
        <v>7.6014109347442673</v>
      </c>
      <c r="F60" s="3390">
        <f>'Summary-Co'!F57</f>
        <v>0.38007054673721336</v>
      </c>
      <c r="G60" s="3389">
        <f>'Summary-Co'!G57</f>
        <v>12.770370370370369</v>
      </c>
      <c r="H60" s="3390">
        <f>'Summary-Co'!H57</f>
        <v>0.63851851851851849</v>
      </c>
      <c r="I60" s="3389">
        <f>'Summary-Co'!I57</f>
        <v>4.887584801621446</v>
      </c>
      <c r="J60" s="3390">
        <f>'Summary-Co'!J57</f>
        <v>0.24437924008107231</v>
      </c>
      <c r="K60" s="3389">
        <f>'Summary-Co'!K57</f>
        <v>5.268486050420168E-2</v>
      </c>
      <c r="L60" s="3390">
        <f>'Summary-Co'!L57</f>
        <v>2.6342430252100841E-3</v>
      </c>
      <c r="M60" s="3389">
        <f>'Summary-Co'!M57</f>
        <v>0.21023717968</v>
      </c>
      <c r="N60" s="3390">
        <f>'Summary-Co'!N57</f>
        <v>1.0511858984E-2</v>
      </c>
      <c r="O60" s="3389">
        <f>'Summary-Co'!O57</f>
        <v>0.21023717968</v>
      </c>
      <c r="P60" s="3390">
        <f>'Summary-Co'!P57</f>
        <v>1.0511858984E-2</v>
      </c>
      <c r="Q60" s="3389">
        <f>'Summary-Co'!Q57</f>
        <v>2.0982598998460671</v>
      </c>
      <c r="R60" s="3390">
        <f>'Summary-Co'!R57</f>
        <v>0.10491299499230333</v>
      </c>
      <c r="S60" s="4016">
        <f>'Summary-Co'!S57</f>
        <v>157.09885782590544</v>
      </c>
      <c r="T60" s="5342"/>
      <c r="U60" s="4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s="53" customFormat="1" ht="44.25" customHeight="1">
      <c r="A61" s="36"/>
      <c r="B61" s="1032" t="str">
        <f>'Summary-Co'!B58</f>
        <v>Emergency Generator</v>
      </c>
      <c r="C61" s="1500" t="str">
        <f>'Summary-Co'!C58</f>
        <v>GEN6</v>
      </c>
      <c r="D61" s="1527" t="str">
        <f t="shared" si="0"/>
        <v>GEN6</v>
      </c>
      <c r="E61" s="3389">
        <f>'Summary-Co'!E58</f>
        <v>7.6014109347442673</v>
      </c>
      <c r="F61" s="3390">
        <f>'Summary-Co'!F58</f>
        <v>0.38007054673721336</v>
      </c>
      <c r="G61" s="3389">
        <f>'Summary-Co'!G58</f>
        <v>12.770370370370369</v>
      </c>
      <c r="H61" s="3390">
        <f>'Summary-Co'!H58</f>
        <v>0.63851851851851849</v>
      </c>
      <c r="I61" s="3389">
        <f>'Summary-Co'!I58</f>
        <v>4.887584801621446</v>
      </c>
      <c r="J61" s="3390">
        <f>'Summary-Co'!J58</f>
        <v>0.24437924008107231</v>
      </c>
      <c r="K61" s="3389">
        <f>'Summary-Co'!K58</f>
        <v>5.268486050420168E-2</v>
      </c>
      <c r="L61" s="3390">
        <f>'Summary-Co'!L58</f>
        <v>2.6342430252100841E-3</v>
      </c>
      <c r="M61" s="3389">
        <f>'Summary-Co'!M58</f>
        <v>0.21023717968</v>
      </c>
      <c r="N61" s="3390">
        <f>'Summary-Co'!N58</f>
        <v>1.0511858984E-2</v>
      </c>
      <c r="O61" s="3389">
        <f>'Summary-Co'!O58</f>
        <v>0.21023717968</v>
      </c>
      <c r="P61" s="3390">
        <f>'Summary-Co'!P58</f>
        <v>1.0511858984E-2</v>
      </c>
      <c r="Q61" s="3389">
        <f>'Summary-Co'!Q58</f>
        <v>2.0982598998460671</v>
      </c>
      <c r="R61" s="3390">
        <f>'Summary-Co'!R58</f>
        <v>0.10491299499230333</v>
      </c>
      <c r="S61" s="4016">
        <f>'Summary-Co'!S58</f>
        <v>157.09885782590544</v>
      </c>
      <c r="T61" s="5342"/>
      <c r="U61" s="44"/>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row>
    <row r="62" spans="1:72" s="53" customFormat="1" ht="44.25" customHeight="1">
      <c r="A62" s="36"/>
      <c r="B62" s="1032" t="str">
        <f>'Summary-Co'!B59</f>
        <v>Emergency Generator</v>
      </c>
      <c r="C62" s="1500" t="str">
        <f>'Summary-Co'!C59</f>
        <v>GEN7</v>
      </c>
      <c r="D62" s="1527" t="str">
        <f t="shared" si="0"/>
        <v>GEN7</v>
      </c>
      <c r="E62" s="3389">
        <f>'Summary-Co'!E59</f>
        <v>7.6014109347442673</v>
      </c>
      <c r="F62" s="3390">
        <f>'Summary-Co'!F59</f>
        <v>0.38007054673721336</v>
      </c>
      <c r="G62" s="3389">
        <f>'Summary-Co'!G59</f>
        <v>12.770370370370369</v>
      </c>
      <c r="H62" s="3390">
        <f>'Summary-Co'!H59</f>
        <v>0.63851851851851849</v>
      </c>
      <c r="I62" s="3389">
        <f>'Summary-Co'!I59</f>
        <v>4.887584801621446</v>
      </c>
      <c r="J62" s="3390">
        <f>'Summary-Co'!J59</f>
        <v>0.24437924008107231</v>
      </c>
      <c r="K62" s="3389">
        <f>'Summary-Co'!K59</f>
        <v>5.268486050420168E-2</v>
      </c>
      <c r="L62" s="3390">
        <f>'Summary-Co'!L59</f>
        <v>2.6342430252100841E-3</v>
      </c>
      <c r="M62" s="3389">
        <f>'Summary-Co'!M59</f>
        <v>0.21023717968</v>
      </c>
      <c r="N62" s="3390">
        <f>'Summary-Co'!N59</f>
        <v>1.0511858984E-2</v>
      </c>
      <c r="O62" s="3389">
        <f>'Summary-Co'!O59</f>
        <v>0.21023717968</v>
      </c>
      <c r="P62" s="3390">
        <f>'Summary-Co'!P59</f>
        <v>1.0511858984E-2</v>
      </c>
      <c r="Q62" s="3389">
        <f>'Summary-Co'!Q59</f>
        <v>2.0982598998460671</v>
      </c>
      <c r="R62" s="3390">
        <f>'Summary-Co'!R59</f>
        <v>0.10491299499230333</v>
      </c>
      <c r="S62" s="4016">
        <f>'Summary-Co'!S59</f>
        <v>157.09885782590544</v>
      </c>
      <c r="T62" s="5342"/>
      <c r="U62" s="44"/>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row>
    <row r="63" spans="1:72" s="53" customFormat="1" ht="44.25" customHeight="1" thickBot="1">
      <c r="A63" s="36"/>
      <c r="B63" s="1032" t="str">
        <f>'Summary-Co'!B60</f>
        <v>Emergency Generator</v>
      </c>
      <c r="C63" s="3397" t="str">
        <f>'Summary-Co'!C60</f>
        <v>GEN8</v>
      </c>
      <c r="D63" s="1027" t="str">
        <f t="shared" si="0"/>
        <v>GEN8</v>
      </c>
      <c r="E63" s="3398">
        <f>'Summary-Co'!E60</f>
        <v>7.6014109347442673</v>
      </c>
      <c r="F63" s="1303">
        <f>'Summary-Co'!F60</f>
        <v>0.38007054673721336</v>
      </c>
      <c r="G63" s="3398">
        <f>'Summary-Co'!G60</f>
        <v>12.770370370370369</v>
      </c>
      <c r="H63" s="1303">
        <f>'Summary-Co'!H60</f>
        <v>0.63851851851851849</v>
      </c>
      <c r="I63" s="3398">
        <f>'Summary-Co'!I60</f>
        <v>4.887584801621446</v>
      </c>
      <c r="J63" s="1303">
        <f>'Summary-Co'!J60</f>
        <v>0.24437924008107231</v>
      </c>
      <c r="K63" s="3398">
        <f>'Summary-Co'!K60</f>
        <v>5.268486050420168E-2</v>
      </c>
      <c r="L63" s="1303">
        <f>'Summary-Co'!L60</f>
        <v>2.6342430252100841E-3</v>
      </c>
      <c r="M63" s="3398">
        <f>'Summary-Co'!M60</f>
        <v>0.21023717968</v>
      </c>
      <c r="N63" s="1303">
        <f>'Summary-Co'!N60</f>
        <v>1.0511858984E-2</v>
      </c>
      <c r="O63" s="3398">
        <f>'Summary-Co'!O60</f>
        <v>0.21023717968</v>
      </c>
      <c r="P63" s="1303">
        <f>'Summary-Co'!P60</f>
        <v>1.0511858984E-2</v>
      </c>
      <c r="Q63" s="3398">
        <f>'Summary-Co'!Q60</f>
        <v>2.0982598998460671</v>
      </c>
      <c r="R63" s="1303">
        <f>'Summary-Co'!R60</f>
        <v>0.10491299499230333</v>
      </c>
      <c r="S63" s="5344">
        <f>'Summary-Co'!S60</f>
        <v>157.09885782590544</v>
      </c>
      <c r="T63" s="5345"/>
      <c r="U63" s="44"/>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row>
    <row r="64" spans="1:72" ht="24" customHeight="1" thickBot="1">
      <c r="A64" s="36"/>
      <c r="B64" s="180"/>
      <c r="C64" s="180"/>
      <c r="D64" s="180"/>
      <c r="E64" s="181"/>
      <c r="F64" s="181"/>
      <c r="G64" s="181"/>
      <c r="H64" s="182"/>
      <c r="I64" s="182"/>
      <c r="J64" s="182"/>
      <c r="K64" s="182"/>
      <c r="L64" s="182"/>
      <c r="M64" s="182"/>
      <c r="N64" s="182"/>
      <c r="O64" s="182"/>
      <c r="P64" s="182"/>
      <c r="Q64" s="182"/>
      <c r="R64" s="182"/>
      <c r="S64" s="182"/>
      <c r="T64" s="182"/>
      <c r="U64" s="44"/>
    </row>
    <row r="65" spans="1:72" s="9" customFormat="1" ht="42" customHeight="1">
      <c r="A65" s="23"/>
      <c r="B65" s="3952" t="s">
        <v>64</v>
      </c>
      <c r="C65" s="3958"/>
      <c r="D65" s="3955"/>
      <c r="E65" s="3952" t="s">
        <v>21</v>
      </c>
      <c r="F65" s="3955"/>
      <c r="G65" s="3952" t="s">
        <v>0</v>
      </c>
      <c r="H65" s="3953"/>
      <c r="I65" s="3950" t="s">
        <v>283</v>
      </c>
      <c r="J65" s="3951"/>
      <c r="K65" s="3952" t="s">
        <v>284</v>
      </c>
      <c r="L65" s="3953"/>
      <c r="M65" s="3952" t="s">
        <v>1311</v>
      </c>
      <c r="N65" s="3953"/>
      <c r="O65" s="3954" t="s">
        <v>285</v>
      </c>
      <c r="P65" s="3955"/>
      <c r="Q65" s="3952" t="s">
        <v>15</v>
      </c>
      <c r="R65" s="3953"/>
      <c r="S65" s="3952" t="s">
        <v>273</v>
      </c>
      <c r="T65" s="3953"/>
      <c r="U65" s="24"/>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row>
    <row r="66" spans="1:72" s="9" customFormat="1" ht="26.25" customHeight="1">
      <c r="A66" s="23"/>
      <c r="B66" s="3959"/>
      <c r="C66" s="3960"/>
      <c r="D66" s="3961"/>
      <c r="E66" s="183" t="s">
        <v>22</v>
      </c>
      <c r="F66" s="184" t="s">
        <v>37</v>
      </c>
      <c r="G66" s="183" t="s">
        <v>22</v>
      </c>
      <c r="H66" s="185" t="s">
        <v>37</v>
      </c>
      <c r="I66" s="186" t="s">
        <v>22</v>
      </c>
      <c r="J66" s="184" t="s">
        <v>37</v>
      </c>
      <c r="K66" s="183" t="s">
        <v>22</v>
      </c>
      <c r="L66" s="185" t="s">
        <v>37</v>
      </c>
      <c r="M66" s="1407" t="s">
        <v>22</v>
      </c>
      <c r="N66" s="1408" t="s">
        <v>37</v>
      </c>
      <c r="O66" s="186" t="s">
        <v>22</v>
      </c>
      <c r="P66" s="184" t="s">
        <v>37</v>
      </c>
      <c r="Q66" s="183" t="s">
        <v>22</v>
      </c>
      <c r="R66" s="185" t="s">
        <v>37</v>
      </c>
      <c r="S66" s="3995" t="s">
        <v>37</v>
      </c>
      <c r="T66" s="3996"/>
      <c r="U66" s="24"/>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row>
    <row r="67" spans="1:72" s="9" customFormat="1" ht="44.25" customHeight="1" thickBot="1">
      <c r="A67" s="23"/>
      <c r="B67" s="3962"/>
      <c r="C67" s="3963"/>
      <c r="D67" s="3964"/>
      <c r="E67" s="187">
        <f>SUM(E12:E25)+E27+E38+E39+E40+E41+E54+E55</f>
        <v>151.52194350745788</v>
      </c>
      <c r="F67" s="188">
        <f>SUM(F12:F63)</f>
        <v>247.02717410120144</v>
      </c>
      <c r="G67" s="187">
        <f>SUM(G12:G25)+G27+G38+G39+G40+G41+G54+G55</f>
        <v>241.11638935736707</v>
      </c>
      <c r="H67" s="188">
        <f>SUM(H12:H63)</f>
        <v>223.35950577151559</v>
      </c>
      <c r="I67" s="187">
        <f>SUM(I12:I25)+I26+I38+I39+I40+I41+I54+I55</f>
        <v>437.21288484709584</v>
      </c>
      <c r="J67" s="188">
        <f>SUM(J12:J63)</f>
        <v>421.57116637227284</v>
      </c>
      <c r="K67" s="187">
        <f>SUM(K12:K25)+K27+K38+K39+K40+K41+K54+K55</f>
        <v>8.4837021774376336</v>
      </c>
      <c r="L67" s="188">
        <f>SUM(L12:L63)</f>
        <v>36.967087020125668</v>
      </c>
      <c r="M67" s="187">
        <f>SUM(M12:M25)+M27+M38+M39+M40+M41+M54+M55</f>
        <v>29.943057860869384</v>
      </c>
      <c r="N67" s="188">
        <f>SUM(N12:N63)</f>
        <v>118.227084479285</v>
      </c>
      <c r="O67" s="187">
        <f>SUM(O12:O25)+O27+O38+O39+O40+O41+O54+O55</f>
        <v>29.943057860869384</v>
      </c>
      <c r="P67" s="188">
        <f>SUM(P12:P63)</f>
        <v>111.65094846669126</v>
      </c>
      <c r="Q67" s="187">
        <f>SUM(Q12:Q25)+Q38+Q39+Q40+Q41+Q54+Q55+Q56+Q57+Q58+Q59+Q60+Q61+Q62+Q63</f>
        <v>19.771584358210134</v>
      </c>
      <c r="R67" s="188">
        <f>SUM(R12:R63)</f>
        <v>24.051469148436958</v>
      </c>
      <c r="S67" s="3997">
        <f>SUM(S12:S63)</f>
        <v>1791818.1848621098</v>
      </c>
      <c r="T67" s="3998">
        <f>SUM(T12:T53)</f>
        <v>0</v>
      </c>
      <c r="U67" s="24"/>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row>
    <row r="68" spans="1:72" ht="27.75" customHeight="1" thickBot="1">
      <c r="A68" s="31"/>
      <c r="B68" s="3956"/>
      <c r="C68" s="3956"/>
      <c r="D68" s="3956"/>
      <c r="E68" s="3956"/>
      <c r="F68" s="3956"/>
      <c r="G68" s="3956"/>
      <c r="H68" s="3956"/>
      <c r="I68" s="3956"/>
      <c r="J68" s="3956"/>
      <c r="K68" s="3956"/>
      <c r="L68" s="3956"/>
      <c r="M68" s="3957"/>
      <c r="N68" s="3957"/>
      <c r="O68" s="3956"/>
      <c r="P68" s="3956"/>
      <c r="Q68" s="3956"/>
      <c r="R68" s="3956"/>
      <c r="S68" s="1495"/>
      <c r="T68" s="1495"/>
      <c r="U68" s="40"/>
    </row>
    <row r="69" spans="1:72" ht="13.5" thickBot="1">
      <c r="B69" s="6"/>
      <c r="C69" s="6"/>
      <c r="D69" s="6"/>
      <c r="E69" s="6"/>
      <c r="F69" s="6"/>
      <c r="G69" s="6"/>
      <c r="H69" s="6"/>
      <c r="I69" s="6"/>
      <c r="J69" s="6"/>
      <c r="K69" s="6"/>
      <c r="L69" s="6"/>
      <c r="M69" s="5"/>
      <c r="N69" s="5"/>
      <c r="O69" s="5"/>
      <c r="P69" s="5"/>
      <c r="Q69" s="5"/>
      <c r="R69" s="5"/>
      <c r="S69" s="5"/>
      <c r="T69" s="5"/>
    </row>
    <row r="70" spans="1:72" ht="44.15" customHeight="1" thickBot="1">
      <c r="B70" s="4003" t="s">
        <v>1132</v>
      </c>
      <c r="C70" s="4004"/>
      <c r="D70" s="5327"/>
      <c r="E70" s="1202" t="s">
        <v>22</v>
      </c>
      <c r="F70" s="1304" t="s">
        <v>37</v>
      </c>
      <c r="G70" s="1306" t="s">
        <v>22</v>
      </c>
      <c r="H70" s="1203" t="s">
        <v>37</v>
      </c>
      <c r="I70" s="1202" t="s">
        <v>22</v>
      </c>
      <c r="J70" s="1304" t="s">
        <v>37</v>
      </c>
      <c r="K70" s="1306" t="s">
        <v>22</v>
      </c>
      <c r="L70" s="1203" t="s">
        <v>37</v>
      </c>
      <c r="M70" s="1202" t="s">
        <v>22</v>
      </c>
      <c r="N70" s="1203" t="s">
        <v>37</v>
      </c>
      <c r="O70" s="1202" t="s">
        <v>22</v>
      </c>
      <c r="P70" s="1203" t="s">
        <v>37</v>
      </c>
    </row>
    <row r="71" spans="1:72" ht="44.15" customHeight="1">
      <c r="B71" s="4005" t="s">
        <v>1133</v>
      </c>
      <c r="C71" s="4006"/>
      <c r="D71" s="5328"/>
      <c r="E71" s="1201">
        <f t="shared" ref="E71:P71" si="2">SUM(E12:E22)</f>
        <v>20.467412000000003</v>
      </c>
      <c r="F71" s="1305">
        <f t="shared" si="2"/>
        <v>89.647264560000011</v>
      </c>
      <c r="G71" s="1307">
        <f t="shared" si="2"/>
        <v>11.644393999999995</v>
      </c>
      <c r="H71" s="1308">
        <f t="shared" si="2"/>
        <v>51.002445719999997</v>
      </c>
      <c r="I71" s="1201">
        <f t="shared" si="2"/>
        <v>4.5720320000000001</v>
      </c>
      <c r="J71" s="1305">
        <f t="shared" si="2"/>
        <v>20.025500160000004</v>
      </c>
      <c r="K71" s="1307">
        <f t="shared" si="2"/>
        <v>1.5758382352941176</v>
      </c>
      <c r="L71" s="1308">
        <f t="shared" si="2"/>
        <v>6.902171470588236</v>
      </c>
      <c r="M71" s="1201">
        <f t="shared" si="2"/>
        <v>5.3228313725490191</v>
      </c>
      <c r="N71" s="1204">
        <f t="shared" si="2"/>
        <v>23.314001411764703</v>
      </c>
      <c r="O71" s="1201">
        <f t="shared" si="2"/>
        <v>5.3228313725490191</v>
      </c>
      <c r="P71" s="1204">
        <f t="shared" si="2"/>
        <v>23.314001411764703</v>
      </c>
      <c r="Q71" s="1029"/>
      <c r="R71" s="1029"/>
      <c r="S71" s="1029"/>
      <c r="T71" s="1029"/>
    </row>
    <row r="72" spans="1:72" ht="44.15" customHeight="1">
      <c r="B72" s="5329" t="s">
        <v>1134</v>
      </c>
      <c r="C72" s="5330"/>
      <c r="D72" s="5331"/>
      <c r="E72" s="1450">
        <f>E12+E13+E38</f>
        <v>5.0550680516780506</v>
      </c>
      <c r="F72" s="1451">
        <f>F12+F13+F38</f>
        <v>21.249852807377625</v>
      </c>
      <c r="G72" s="1450">
        <f>G12+G13+G38</f>
        <v>5.2939778350529192</v>
      </c>
      <c r="H72" s="1451">
        <f>H12+H13+H38</f>
        <v>21.408161911395183</v>
      </c>
      <c r="I72" s="1450">
        <f>I12+I13+I28+I29+I30+I31+I38+I42+I47</f>
        <v>43.816679802551036</v>
      </c>
      <c r="J72" s="1451">
        <f>J12+J13+J28+J29+J30+J31+J38+J42+J47</f>
        <v>189.08129249641019</v>
      </c>
      <c r="K72" s="1450">
        <f t="shared" ref="K72:P72" si="3">K12+K13+K38</f>
        <v>0.28601470588235295</v>
      </c>
      <c r="L72" s="1451">
        <f t="shared" si="3"/>
        <v>1.252744411764706</v>
      </c>
      <c r="M72" s="1450">
        <f t="shared" si="3"/>
        <v>1.0521122335376041</v>
      </c>
      <c r="N72" s="1451">
        <f t="shared" si="3"/>
        <v>4.3602929315521157</v>
      </c>
      <c r="O72" s="1450">
        <f t="shared" si="3"/>
        <v>1.0521122335376041</v>
      </c>
      <c r="P72" s="1451">
        <f t="shared" si="3"/>
        <v>4.3602929315521157</v>
      </c>
      <c r="Q72" s="1029"/>
      <c r="R72" s="1029"/>
      <c r="S72" s="1029"/>
      <c r="T72" s="1029"/>
    </row>
    <row r="73" spans="1:72" ht="44.15" customHeight="1" thickBot="1">
      <c r="B73" s="5333" t="s">
        <v>1138</v>
      </c>
      <c r="C73" s="5334"/>
      <c r="D73" s="5335"/>
      <c r="E73" s="1452">
        <f t="shared" ref="E73:P73" si="4">SUM(E54:E55)</f>
        <v>16.8</v>
      </c>
      <c r="F73" s="1453">
        <f t="shared" si="4"/>
        <v>73.584000000000003</v>
      </c>
      <c r="G73" s="1452">
        <f t="shared" si="4"/>
        <v>10.199999999999999</v>
      </c>
      <c r="H73" s="1454">
        <f t="shared" si="4"/>
        <v>44.676000000000002</v>
      </c>
      <c r="I73" s="1452">
        <f t="shared" si="4"/>
        <v>18.399999999999995</v>
      </c>
      <c r="J73" s="1454">
        <f t="shared" si="4"/>
        <v>80.591999999999985</v>
      </c>
      <c r="K73" s="1452">
        <f t="shared" si="4"/>
        <v>4.2701064209839013</v>
      </c>
      <c r="L73" s="1454">
        <f t="shared" si="4"/>
        <v>18.703066123909487</v>
      </c>
      <c r="M73" s="1452">
        <f t="shared" si="4"/>
        <v>18.399999999999999</v>
      </c>
      <c r="N73" s="1454">
        <f t="shared" si="4"/>
        <v>80.591999999999999</v>
      </c>
      <c r="O73" s="1452">
        <f t="shared" si="4"/>
        <v>18.399999999999999</v>
      </c>
      <c r="P73" s="1454">
        <f t="shared" si="4"/>
        <v>80.591999999999999</v>
      </c>
      <c r="Q73" s="1029"/>
      <c r="R73" s="1029"/>
      <c r="S73" s="1029"/>
      <c r="T73" s="1029"/>
    </row>
    <row r="74" spans="1:72" ht="44.15" customHeight="1" thickBot="1">
      <c r="B74" s="5326"/>
      <c r="C74" s="5326"/>
      <c r="D74" s="5326"/>
      <c r="E74" s="1448"/>
      <c r="F74" s="1449"/>
      <c r="G74" s="1448"/>
      <c r="H74" s="1449"/>
      <c r="I74" s="1448"/>
      <c r="J74" s="1449"/>
      <c r="K74" s="1448"/>
      <c r="L74" s="1449"/>
      <c r="M74" s="1448"/>
      <c r="N74" s="1449"/>
      <c r="O74" s="1448"/>
      <c r="P74" s="1449"/>
      <c r="W74" s="1037"/>
    </row>
    <row r="75" spans="1:72" ht="29.25" customHeight="1">
      <c r="D75" s="1216" t="s">
        <v>1223</v>
      </c>
      <c r="F75" s="1213"/>
      <c r="G75" s="1427" t="s">
        <v>1326</v>
      </c>
      <c r="H75" s="1428" t="s">
        <v>1298</v>
      </c>
      <c r="I75" s="1429"/>
      <c r="K75" s="1216" t="s">
        <v>1308</v>
      </c>
      <c r="L75" s="1216"/>
    </row>
    <row r="76" spans="1:72" ht="26.25" customHeight="1">
      <c r="D76" s="1209" t="s">
        <v>1327</v>
      </c>
      <c r="E76" s="1211">
        <f>SUM(F67,L67,P67,'COGEN-New'!J21)</f>
        <v>410.06416958801833</v>
      </c>
      <c r="F76" s="1212"/>
      <c r="G76" s="1430">
        <f>E76/$E$79</f>
        <v>8.0721293225987871</v>
      </c>
      <c r="H76" s="1431">
        <f>'COGEN-New'!M2</f>
        <v>24</v>
      </c>
      <c r="I76" s="1432" t="s">
        <v>1328</v>
      </c>
      <c r="J76" s="1210"/>
      <c r="K76" s="1210" t="s">
        <v>1306</v>
      </c>
      <c r="L76" s="1344">
        <f>(L79/417) + (L81/15669)</f>
        <v>0.61929609555609777</v>
      </c>
      <c r="M76" s="8"/>
      <c r="O76" s="8"/>
      <c r="R76" s="199"/>
    </row>
    <row r="77" spans="1:72" s="1029" customFormat="1" ht="26.25" customHeight="1">
      <c r="D77" s="1209" t="s">
        <v>1329</v>
      </c>
      <c r="E77" s="1211">
        <f>E76-SUM(F12:F22,L12:L22,P12:P22)</f>
        <v>290.20073214566537</v>
      </c>
      <c r="F77" s="1212"/>
      <c r="G77" s="1433">
        <f>E77/$E$79</f>
        <v>5.712612837513098</v>
      </c>
      <c r="H77" s="1434">
        <v>8.51</v>
      </c>
      <c r="I77" s="1432" t="s">
        <v>1328</v>
      </c>
      <c r="J77" s="1210"/>
      <c r="K77" s="1210"/>
      <c r="L77" s="1344"/>
      <c r="M77" s="8"/>
      <c r="O77" s="8"/>
      <c r="R77" s="1035"/>
      <c r="S77" s="1036"/>
      <c r="T77" s="1036"/>
    </row>
    <row r="78" spans="1:72" s="1029" customFormat="1" ht="23.5">
      <c r="D78" s="1209" t="s">
        <v>1330</v>
      </c>
      <c r="E78" s="1211">
        <f>E76-SUM(F54:F55,L54:L55,P54:P55)-'COGEN-New'!J21</f>
        <v>222.76614346410886</v>
      </c>
      <c r="F78" s="1212"/>
      <c r="G78" s="1433">
        <f>E78/$E$79</f>
        <v>4.3851603044115919</v>
      </c>
      <c r="H78" s="1435" t="s">
        <v>445</v>
      </c>
      <c r="I78" s="1434"/>
      <c r="J78" s="1210"/>
      <c r="K78" s="1210"/>
      <c r="L78" s="1344"/>
      <c r="M78" s="8"/>
      <c r="O78" s="8"/>
      <c r="R78" s="1035"/>
      <c r="T78" s="1036"/>
    </row>
    <row r="79" spans="1:72" s="1029" customFormat="1" ht="23.5">
      <c r="D79" s="1209" t="s">
        <v>1221</v>
      </c>
      <c r="E79" s="1210">
        <v>50.8</v>
      </c>
      <c r="F79" s="1213"/>
      <c r="G79" s="1211"/>
      <c r="H79" s="1210"/>
      <c r="I79" s="1210"/>
      <c r="J79" s="1210"/>
      <c r="K79" s="1210" t="s">
        <v>21</v>
      </c>
      <c r="L79" s="1036">
        <f>F67</f>
        <v>247.02717410120144</v>
      </c>
      <c r="M79" s="1029" t="s">
        <v>37</v>
      </c>
      <c r="O79" s="1029" t="s">
        <v>37</v>
      </c>
      <c r="R79" s="1035"/>
      <c r="T79" s="1036"/>
    </row>
    <row r="80" spans="1:72" ht="23.5">
      <c r="D80" s="1216" t="s">
        <v>1224</v>
      </c>
      <c r="F80" s="1213"/>
      <c r="G80" s="8"/>
      <c r="H80" s="1210"/>
      <c r="I80" s="1210"/>
      <c r="J80" s="1210"/>
      <c r="K80" s="1210"/>
      <c r="L80" s="1029"/>
      <c r="M80" s="1029"/>
      <c r="N80" s="8"/>
      <c r="O80" s="1029"/>
      <c r="P80" s="8"/>
      <c r="Q80" s="8"/>
      <c r="R80" s="199"/>
      <c r="S80" s="8"/>
      <c r="T80" s="8"/>
    </row>
    <row r="81" spans="4:20" ht="23.5">
      <c r="D81" s="1209" t="s">
        <v>1220</v>
      </c>
      <c r="E81" s="1211">
        <f>E76</f>
        <v>410.06416958801833</v>
      </c>
      <c r="F81" s="1212"/>
      <c r="G81" s="1211">
        <f>E81/E82</f>
        <v>4.4187949309053698</v>
      </c>
      <c r="H81" s="1210"/>
      <c r="I81" s="1210"/>
      <c r="J81" s="1211"/>
      <c r="K81" s="1210" t="s">
        <v>149</v>
      </c>
      <c r="L81" s="1036">
        <f>J67</f>
        <v>421.57116637227284</v>
      </c>
      <c r="M81" s="1029" t="s">
        <v>1307</v>
      </c>
      <c r="O81" s="1029" t="s">
        <v>1307</v>
      </c>
      <c r="R81" s="199"/>
      <c r="T81" s="8"/>
    </row>
    <row r="82" spans="4:20" ht="23.5">
      <c r="D82" s="1209" t="s">
        <v>1221</v>
      </c>
      <c r="E82" s="1210">
        <v>92.8</v>
      </c>
      <c r="F82" s="1213"/>
      <c r="G82" s="1211"/>
      <c r="H82" s="1211"/>
      <c r="I82" s="1211"/>
      <c r="J82" s="1211"/>
      <c r="K82" s="1211"/>
      <c r="L82" s="8"/>
      <c r="M82" s="8"/>
      <c r="O82" s="8"/>
      <c r="R82" s="8"/>
    </row>
    <row r="83" spans="4:20" ht="23.5">
      <c r="D83" s="1216" t="s">
        <v>1225</v>
      </c>
      <c r="F83" s="1213"/>
      <c r="G83" s="8"/>
      <c r="H83" s="1210"/>
      <c r="I83" s="1210"/>
      <c r="J83" s="1211"/>
      <c r="K83" s="1211"/>
    </row>
    <row r="84" spans="4:20" ht="23.5">
      <c r="D84" s="1209" t="s">
        <v>1220</v>
      </c>
      <c r="E84" s="1211">
        <f>E76</f>
        <v>410.06416958801833</v>
      </c>
      <c r="F84" s="1212"/>
      <c r="G84" s="1211">
        <f>E84/E85</f>
        <v>3.0240720471092799</v>
      </c>
      <c r="H84" s="1210"/>
      <c r="I84" s="1210"/>
      <c r="J84" s="1211"/>
      <c r="K84" s="1211"/>
    </row>
    <row r="85" spans="4:20" ht="23.5">
      <c r="D85" s="1209" t="s">
        <v>1221</v>
      </c>
      <c r="E85" s="1210">
        <v>135.6</v>
      </c>
      <c r="F85" s="1213"/>
      <c r="G85" s="1211"/>
      <c r="H85" s="1210"/>
      <c r="I85" s="1210"/>
      <c r="J85" s="1211"/>
      <c r="K85" s="1211"/>
    </row>
    <row r="86" spans="4:20" ht="20.5">
      <c r="D86" s="1216" t="s">
        <v>1226</v>
      </c>
      <c r="F86" s="1213"/>
      <c r="G86" s="8"/>
      <c r="Q86" s="8"/>
      <c r="R86" s="8"/>
    </row>
    <row r="87" spans="4:20" ht="23.5">
      <c r="D87" s="1209" t="s">
        <v>1220</v>
      </c>
      <c r="E87" s="1211">
        <f>E76</f>
        <v>410.06416958801833</v>
      </c>
      <c r="F87" s="1212"/>
      <c r="G87" s="1211">
        <f>E87/E88</f>
        <v>2.0431697538017857</v>
      </c>
    </row>
    <row r="88" spans="4:20" ht="23.5">
      <c r="D88" s="1209" t="s">
        <v>1221</v>
      </c>
      <c r="E88" s="1210">
        <v>200.7</v>
      </c>
      <c r="F88" s="1213"/>
      <c r="G88" s="1211"/>
      <c r="I88" s="8"/>
      <c r="J88" s="8"/>
    </row>
  </sheetData>
  <mergeCells count="99">
    <mergeCell ref="S17:T17"/>
    <mergeCell ref="M23:M25"/>
    <mergeCell ref="N23:N25"/>
    <mergeCell ref="O23:O25"/>
    <mergeCell ref="P23:P25"/>
    <mergeCell ref="S18:T18"/>
    <mergeCell ref="Q23:Q25"/>
    <mergeCell ref="R23:R25"/>
    <mergeCell ref="S23:T25"/>
    <mergeCell ref="H23:H25"/>
    <mergeCell ref="I23:I25"/>
    <mergeCell ref="J23:J25"/>
    <mergeCell ref="K23:K25"/>
    <mergeCell ref="L23:L25"/>
    <mergeCell ref="B3:T3"/>
    <mergeCell ref="B4:T4"/>
    <mergeCell ref="B5:T5"/>
    <mergeCell ref="A8:U8"/>
    <mergeCell ref="B10:B11"/>
    <mergeCell ref="C10:C11"/>
    <mergeCell ref="D10:D11"/>
    <mergeCell ref="E10:F10"/>
    <mergeCell ref="G10:H10"/>
    <mergeCell ref="I10:J10"/>
    <mergeCell ref="K10:L10"/>
    <mergeCell ref="M10:N10"/>
    <mergeCell ref="O10:P10"/>
    <mergeCell ref="Q10:R10"/>
    <mergeCell ref="S10:T10"/>
    <mergeCell ref="S11:T11"/>
    <mergeCell ref="S44:T44"/>
    <mergeCell ref="E45:T45"/>
    <mergeCell ref="S38:T38"/>
    <mergeCell ref="S12:T12"/>
    <mergeCell ref="S13:T13"/>
    <mergeCell ref="S20:T20"/>
    <mergeCell ref="S21:T21"/>
    <mergeCell ref="S22:T22"/>
    <mergeCell ref="S14:T14"/>
    <mergeCell ref="S15:T15"/>
    <mergeCell ref="S16:T16"/>
    <mergeCell ref="S19:T19"/>
    <mergeCell ref="E23:E25"/>
    <mergeCell ref="F23:F25"/>
    <mergeCell ref="E36:T36"/>
    <mergeCell ref="G23:G25"/>
    <mergeCell ref="S31:T31"/>
    <mergeCell ref="E32:T32"/>
    <mergeCell ref="E33:T33"/>
    <mergeCell ref="E34:T34"/>
    <mergeCell ref="E35:T35"/>
    <mergeCell ref="Q65:R65"/>
    <mergeCell ref="E48:T48"/>
    <mergeCell ref="E49:T49"/>
    <mergeCell ref="E50:T50"/>
    <mergeCell ref="E51:T51"/>
    <mergeCell ref="E52:T52"/>
    <mergeCell ref="E53:T53"/>
    <mergeCell ref="S54:T54"/>
    <mergeCell ref="S55:T55"/>
    <mergeCell ref="S62:T62"/>
    <mergeCell ref="S63:T63"/>
    <mergeCell ref="S57:T57"/>
    <mergeCell ref="S58:T58"/>
    <mergeCell ref="S59:T59"/>
    <mergeCell ref="S60:T60"/>
    <mergeCell ref="S61:T61"/>
    <mergeCell ref="B72:D72"/>
    <mergeCell ref="B73:D73"/>
    <mergeCell ref="B74:D74"/>
    <mergeCell ref="S65:T65"/>
    <mergeCell ref="S66:T66"/>
    <mergeCell ref="S67:T67"/>
    <mergeCell ref="B70:D70"/>
    <mergeCell ref="B71:D71"/>
    <mergeCell ref="B68:R68"/>
    <mergeCell ref="B65:D67"/>
    <mergeCell ref="E65:F65"/>
    <mergeCell ref="G65:H65"/>
    <mergeCell ref="I65:J65"/>
    <mergeCell ref="K65:L65"/>
    <mergeCell ref="M65:N65"/>
    <mergeCell ref="O65:P65"/>
    <mergeCell ref="S26:T26"/>
    <mergeCell ref="S27:T27"/>
    <mergeCell ref="C23:C25"/>
    <mergeCell ref="D23:D25"/>
    <mergeCell ref="S56:T56"/>
    <mergeCell ref="S28:T28"/>
    <mergeCell ref="S29:T29"/>
    <mergeCell ref="S30:T30"/>
    <mergeCell ref="S47:T47"/>
    <mergeCell ref="S39:T39"/>
    <mergeCell ref="S40:T40"/>
    <mergeCell ref="E46:T46"/>
    <mergeCell ref="E37:T37"/>
    <mergeCell ref="S41:T41"/>
    <mergeCell ref="S42:T42"/>
    <mergeCell ref="S43:T43"/>
  </mergeCells>
  <conditionalFormatting sqref="M72:N72">
    <cfRule type="cellIs" dxfId="1" priority="1" operator="greaterThan">
      <formula>100</formula>
    </cfRule>
  </conditionalFormatting>
  <printOptions horizontalCentered="1"/>
  <pageMargins left="0.25" right="0.25" top="0.5" bottom="0.5" header="0.3" footer="0.3"/>
  <pageSetup scale="38" fitToHeight="2" orientation="landscape" r:id="rId1"/>
  <headerFooter alignWithMargins="0">
    <oddFooter>&amp;CCalculations: Page &amp;P</oddFooter>
  </headerFooter>
  <rowBreaks count="1" manualBreakCount="1">
    <brk id="36"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tabColor theme="6" tint="-0.249977111117893"/>
  </sheetPr>
  <dimension ref="A1:BT86"/>
  <sheetViews>
    <sheetView view="pageBreakPreview" topLeftCell="A50" zoomScale="40" zoomScaleNormal="50" zoomScaleSheetLayoutView="40" zoomScalePageLayoutView="55" workbookViewId="0">
      <selection activeCell="B68" sqref="B68:R68"/>
    </sheetView>
  </sheetViews>
  <sheetFormatPr defaultColWidth="9.36328125" defaultRowHeight="13"/>
  <cols>
    <col min="1" max="1" width="3.6328125" style="38" customWidth="1"/>
    <col min="2" max="2" width="60.54296875" style="38" customWidth="1"/>
    <col min="3" max="4" width="22.36328125" style="38" customWidth="1"/>
    <col min="5" max="18" width="15" style="38" customWidth="1"/>
    <col min="19" max="20" width="12.54296875" style="38" customWidth="1"/>
    <col min="21" max="21" width="3.6328125" style="38" customWidth="1"/>
    <col min="22" max="22" width="9.36328125" style="38"/>
    <col min="23" max="23" width="23.6328125" style="38" customWidth="1"/>
    <col min="24" max="16384" width="9.36328125" style="38"/>
  </cols>
  <sheetData>
    <row r="1" spans="1:21" ht="13.5" thickBot="1"/>
    <row r="2" spans="1:21" ht="20.25" customHeight="1" thickBot="1">
      <c r="A2" s="33"/>
      <c r="B2" s="34"/>
      <c r="C2" s="34"/>
      <c r="D2" s="34"/>
      <c r="E2" s="34"/>
      <c r="F2" s="34"/>
      <c r="G2" s="34"/>
      <c r="H2" s="34"/>
      <c r="I2" s="34"/>
      <c r="J2" s="34"/>
      <c r="K2" s="34"/>
      <c r="L2" s="34"/>
      <c r="M2" s="34"/>
      <c r="N2" s="34"/>
      <c r="O2" s="34"/>
      <c r="P2" s="34"/>
      <c r="Q2" s="34"/>
      <c r="R2" s="34"/>
      <c r="S2" s="34"/>
      <c r="T2" s="34"/>
      <c r="U2" s="32"/>
    </row>
    <row r="3" spans="1:21"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1" s="2" customFormat="1" ht="39.75" customHeight="1">
      <c r="A4" s="54"/>
      <c r="B4" s="4326" t="s">
        <v>634</v>
      </c>
      <c r="C4" s="4327"/>
      <c r="D4" s="4327"/>
      <c r="E4" s="4327"/>
      <c r="F4" s="4327"/>
      <c r="G4" s="4327"/>
      <c r="H4" s="4327"/>
      <c r="I4" s="4327"/>
      <c r="J4" s="4327"/>
      <c r="K4" s="4327"/>
      <c r="L4" s="4327"/>
      <c r="M4" s="4327"/>
      <c r="N4" s="4327"/>
      <c r="O4" s="4327"/>
      <c r="P4" s="4327"/>
      <c r="Q4" s="4327"/>
      <c r="R4" s="4327"/>
      <c r="S4" s="4327"/>
      <c r="T4" s="4365"/>
      <c r="U4" s="22"/>
    </row>
    <row r="5" spans="1:21" s="2" customFormat="1" ht="39.75" customHeight="1" thickBot="1">
      <c r="A5" s="54"/>
      <c r="B5" s="4366" t="s">
        <v>1464</v>
      </c>
      <c r="C5" s="4367"/>
      <c r="D5" s="4367"/>
      <c r="E5" s="4367"/>
      <c r="F5" s="4367"/>
      <c r="G5" s="4367"/>
      <c r="H5" s="4367"/>
      <c r="I5" s="4367"/>
      <c r="J5" s="4367"/>
      <c r="K5" s="4367"/>
      <c r="L5" s="4367"/>
      <c r="M5" s="4329"/>
      <c r="N5" s="4329"/>
      <c r="O5" s="4367"/>
      <c r="P5" s="4367"/>
      <c r="Q5" s="4367"/>
      <c r="R5" s="4367"/>
      <c r="S5" s="4367"/>
      <c r="T5" s="4368"/>
      <c r="U5" s="22"/>
    </row>
    <row r="6" spans="1:21" ht="21" customHeight="1" thickBot="1">
      <c r="A6" s="31"/>
      <c r="B6" s="25"/>
      <c r="C6" s="25"/>
      <c r="D6" s="25"/>
      <c r="E6" s="25"/>
      <c r="F6" s="25"/>
      <c r="G6" s="25"/>
      <c r="H6" s="25"/>
      <c r="I6" s="25"/>
      <c r="J6" s="25"/>
      <c r="K6" s="25"/>
      <c r="L6" s="25"/>
      <c r="M6" s="25"/>
      <c r="N6" s="25"/>
      <c r="O6" s="25"/>
      <c r="P6" s="25"/>
      <c r="Q6" s="25"/>
      <c r="R6" s="25"/>
      <c r="S6" s="25"/>
      <c r="T6" s="25"/>
      <c r="U6" s="40"/>
    </row>
    <row r="7" spans="1:21" ht="30.75" customHeight="1" thickBot="1">
      <c r="B7" s="4"/>
      <c r="C7" s="4"/>
      <c r="D7" s="4"/>
      <c r="E7" s="4"/>
      <c r="F7" s="4"/>
      <c r="G7" s="4"/>
      <c r="H7" s="4"/>
      <c r="I7" s="4"/>
      <c r="J7" s="4"/>
      <c r="K7" s="4"/>
      <c r="L7" s="4"/>
      <c r="M7" s="4"/>
      <c r="N7" s="4"/>
      <c r="O7" s="4"/>
      <c r="P7" s="4"/>
      <c r="Q7" s="4"/>
      <c r="R7" s="4"/>
      <c r="S7" s="4"/>
      <c r="T7" s="4"/>
    </row>
    <row r="8" spans="1:21" ht="32.25" customHeight="1" thickBot="1">
      <c r="A8" s="3937" t="s">
        <v>309</v>
      </c>
      <c r="B8" s="3938"/>
      <c r="C8" s="3938"/>
      <c r="D8" s="3938"/>
      <c r="E8" s="3938"/>
      <c r="F8" s="3938"/>
      <c r="G8" s="3938"/>
      <c r="H8" s="3938"/>
      <c r="I8" s="3938"/>
      <c r="J8" s="3938"/>
      <c r="K8" s="3938"/>
      <c r="L8" s="3938"/>
      <c r="M8" s="3938"/>
      <c r="N8" s="3938"/>
      <c r="O8" s="3938"/>
      <c r="P8" s="3938"/>
      <c r="Q8" s="3938"/>
      <c r="R8" s="3938"/>
      <c r="S8" s="3938"/>
      <c r="T8" s="3938"/>
      <c r="U8" s="3939"/>
    </row>
    <row r="9" spans="1:21" ht="24" customHeight="1" thickBot="1">
      <c r="A9" s="33"/>
      <c r="B9" s="34"/>
      <c r="C9" s="34"/>
      <c r="D9" s="34"/>
      <c r="E9" s="34"/>
      <c r="F9" s="34"/>
      <c r="G9" s="34"/>
      <c r="H9" s="34"/>
      <c r="I9" s="34"/>
      <c r="J9" s="34"/>
      <c r="K9" s="34"/>
      <c r="L9" s="34"/>
      <c r="M9" s="34"/>
      <c r="N9" s="34"/>
      <c r="O9" s="34"/>
      <c r="P9" s="34"/>
      <c r="Q9" s="34"/>
      <c r="R9" s="34"/>
      <c r="S9" s="34"/>
      <c r="T9" s="34"/>
      <c r="U9" s="32"/>
    </row>
    <row r="10" spans="1:21" ht="42" customHeight="1">
      <c r="A10" s="36"/>
      <c r="B10" s="3940" t="s">
        <v>91</v>
      </c>
      <c r="C10" s="3942" t="s">
        <v>555</v>
      </c>
      <c r="D10" s="3944" t="s">
        <v>556</v>
      </c>
      <c r="E10" s="3946" t="s">
        <v>21</v>
      </c>
      <c r="F10" s="3947"/>
      <c r="G10" s="3948" t="s">
        <v>0</v>
      </c>
      <c r="H10" s="3949"/>
      <c r="I10" s="3950" t="s">
        <v>103</v>
      </c>
      <c r="J10" s="3951"/>
      <c r="K10" s="3948" t="s">
        <v>51</v>
      </c>
      <c r="L10" s="3949"/>
      <c r="M10" s="3948" t="s">
        <v>1311</v>
      </c>
      <c r="N10" s="3949"/>
      <c r="O10" s="3946" t="s">
        <v>52</v>
      </c>
      <c r="P10" s="3947"/>
      <c r="Q10" s="3948" t="s">
        <v>15</v>
      </c>
      <c r="R10" s="3949"/>
      <c r="S10" s="3948" t="s">
        <v>273</v>
      </c>
      <c r="T10" s="3949"/>
      <c r="U10" s="44"/>
    </row>
    <row r="11" spans="1:21" ht="29.25" customHeight="1" thickBot="1">
      <c r="A11" s="36"/>
      <c r="B11" s="3941"/>
      <c r="C11" s="3943"/>
      <c r="D11" s="3945"/>
      <c r="E11" s="46" t="s">
        <v>22</v>
      </c>
      <c r="F11" s="1497" t="s">
        <v>37</v>
      </c>
      <c r="G11" s="1496" t="s">
        <v>22</v>
      </c>
      <c r="H11" s="45" t="s">
        <v>37</v>
      </c>
      <c r="I11" s="46" t="s">
        <v>22</v>
      </c>
      <c r="J11" s="1497" t="s">
        <v>37</v>
      </c>
      <c r="K11" s="1496" t="s">
        <v>22</v>
      </c>
      <c r="L11" s="45" t="s">
        <v>37</v>
      </c>
      <c r="M11" s="46" t="s">
        <v>22</v>
      </c>
      <c r="N11" s="1387" t="s">
        <v>37</v>
      </c>
      <c r="O11" s="46" t="s">
        <v>22</v>
      </c>
      <c r="P11" s="1497" t="s">
        <v>37</v>
      </c>
      <c r="Q11" s="1496" t="s">
        <v>22</v>
      </c>
      <c r="R11" s="45" t="s">
        <v>37</v>
      </c>
      <c r="S11" s="3965" t="s">
        <v>37</v>
      </c>
      <c r="T11" s="3966"/>
      <c r="U11" s="44"/>
    </row>
    <row r="12" spans="1:21" ht="44.25" customHeight="1">
      <c r="A12" s="36"/>
      <c r="B12" s="178" t="str">
        <f>'Summary-NoCo'!B13</f>
        <v>Stabilization Hot Oil Heater
(64.83 MMBtu/hr)</v>
      </c>
      <c r="C12" s="176" t="str">
        <f>'Summary-NoCo'!C13</f>
        <v>SHTR1</v>
      </c>
      <c r="D12" s="191" t="str">
        <f>'Summary-NoCo'!D13</f>
        <v>SHTR1</v>
      </c>
      <c r="E12" s="399">
        <f>'Summary-NoCo'!E13</f>
        <v>1.730961</v>
      </c>
      <c r="F12" s="400">
        <f>'Summary-NoCo'!F13</f>
        <v>7.5816091799999992</v>
      </c>
      <c r="G12" s="399">
        <f>'Summary-NoCo'!G13</f>
        <v>1.0567289999999998</v>
      </c>
      <c r="H12" s="400">
        <f>'Summary-NoCo'!H13</f>
        <v>4.6284730199999995</v>
      </c>
      <c r="I12" s="399">
        <f>'Summary-NoCo'!I13</f>
        <v>0.414912</v>
      </c>
      <c r="J12" s="400">
        <f>'Summary-NoCo'!J13</f>
        <v>1.81731456</v>
      </c>
      <c r="K12" s="399">
        <f>'Summary-NoCo'!K13</f>
        <v>0.14300735294117647</v>
      </c>
      <c r="L12" s="400">
        <f>'Summary-NoCo'!L13</f>
        <v>0.62637220588235298</v>
      </c>
      <c r="M12" s="399">
        <f>'Summary-NoCo'!M13</f>
        <v>0.48304705882352933</v>
      </c>
      <c r="N12" s="400">
        <f>'Summary-NoCo'!N13</f>
        <v>2.1157461176470584</v>
      </c>
      <c r="O12" s="399">
        <f>'Summary-NoCo'!O13</f>
        <v>0.48304705882352933</v>
      </c>
      <c r="P12" s="400">
        <f>'Summary-NoCo'!P13</f>
        <v>2.1157461176470584</v>
      </c>
      <c r="Q12" s="399">
        <f>'Summary-NoCo'!Q13</f>
        <v>0.1196558411764706</v>
      </c>
      <c r="R12" s="400">
        <f>'Summary-NoCo'!R13</f>
        <v>0.52409258435294115</v>
      </c>
      <c r="S12" s="3974">
        <f>'Summary-NoCo'!S13:T13</f>
        <v>33256.326587223601</v>
      </c>
      <c r="T12" s="3975"/>
      <c r="U12" s="44"/>
    </row>
    <row r="13" spans="1:21" ht="44.15" customHeight="1">
      <c r="A13" s="36"/>
      <c r="B13" s="178" t="str">
        <f>'Summary-NoCo'!B14</f>
        <v>Stabilization Hot Oil Heater
(64.83 MMBtu/hr)</v>
      </c>
      <c r="C13" s="176" t="str">
        <f>'Summary-NoCo'!C14</f>
        <v>SHTR2</v>
      </c>
      <c r="D13" s="191" t="str">
        <f>'Summary-NoCo'!D14</f>
        <v>SHTR2</v>
      </c>
      <c r="E13" s="1560">
        <f>'Summary-NoCo'!E14</f>
        <v>1.730961</v>
      </c>
      <c r="F13" s="575">
        <f>'Summary-NoCo'!F14</f>
        <v>7.5816091799999992</v>
      </c>
      <c r="G13" s="1560">
        <f>'Summary-NoCo'!G14</f>
        <v>1.0567289999999998</v>
      </c>
      <c r="H13" s="575">
        <f>'Summary-NoCo'!H14</f>
        <v>4.6284730199999995</v>
      </c>
      <c r="I13" s="1560">
        <f>'Summary-NoCo'!I14</f>
        <v>0.414912</v>
      </c>
      <c r="J13" s="575">
        <f>'Summary-NoCo'!J14</f>
        <v>1.81731456</v>
      </c>
      <c r="K13" s="1560">
        <f>'Summary-NoCo'!K14</f>
        <v>0.14300735294117647</v>
      </c>
      <c r="L13" s="575">
        <f>'Summary-NoCo'!L14</f>
        <v>0.62637220588235298</v>
      </c>
      <c r="M13" s="1560">
        <f>'Summary-NoCo'!M14</f>
        <v>0.48304705882352933</v>
      </c>
      <c r="N13" s="575">
        <f>'Summary-NoCo'!N14</f>
        <v>2.1157461176470584</v>
      </c>
      <c r="O13" s="1560">
        <f>'Summary-NoCo'!O14</f>
        <v>0.48304705882352933</v>
      </c>
      <c r="P13" s="575">
        <f>'Summary-NoCo'!P14</f>
        <v>2.1157461176470584</v>
      </c>
      <c r="Q13" s="1560">
        <f>'Summary-NoCo'!Q14</f>
        <v>0.11959863823529414</v>
      </c>
      <c r="R13" s="575">
        <f>'Summary-NoCo'!R14</f>
        <v>0.52384203547058827</v>
      </c>
      <c r="S13" s="3978">
        <f>'Summary-NoCo'!S14:T14</f>
        <v>33256.326587223601</v>
      </c>
      <c r="T13" s="3979"/>
      <c r="U13" s="44"/>
    </row>
    <row r="14" spans="1:21" ht="44.15" customHeight="1">
      <c r="A14" s="36"/>
      <c r="B14" s="178" t="str">
        <f>'Summary-NoCo'!B15</f>
        <v>Stabilization Hot Oil Heater
(64.83 MMBtu/hr)</v>
      </c>
      <c r="C14" s="176" t="str">
        <f>'Summary-NoCo'!C15</f>
        <v>SHTR3</v>
      </c>
      <c r="D14" s="191" t="str">
        <f>'Summary-NoCo'!D15</f>
        <v>SHTR3</v>
      </c>
      <c r="E14" s="2408">
        <f>'Summary-NoCo'!E15</f>
        <v>1.730961</v>
      </c>
      <c r="F14" s="575">
        <f>'Summary-NoCo'!F15</f>
        <v>7.5816091799999992</v>
      </c>
      <c r="G14" s="2408">
        <f>'Summary-NoCo'!G15</f>
        <v>1.0567289999999998</v>
      </c>
      <c r="H14" s="575">
        <f>'Summary-NoCo'!H15</f>
        <v>4.6284730199999995</v>
      </c>
      <c r="I14" s="2408">
        <f>'Summary-NoCo'!I15</f>
        <v>0.414912</v>
      </c>
      <c r="J14" s="575">
        <f>'Summary-NoCo'!J15</f>
        <v>1.81731456</v>
      </c>
      <c r="K14" s="2408">
        <f>'Summary-NoCo'!K15</f>
        <v>0.14300735294117647</v>
      </c>
      <c r="L14" s="575">
        <f>'Summary-NoCo'!L15</f>
        <v>0.62637220588235298</v>
      </c>
      <c r="M14" s="2408">
        <f>'Summary-NoCo'!M15</f>
        <v>0.48304705882352933</v>
      </c>
      <c r="N14" s="575">
        <f>'Summary-NoCo'!N15</f>
        <v>2.1157461176470584</v>
      </c>
      <c r="O14" s="2408">
        <f>'Summary-NoCo'!O15</f>
        <v>0.48304705882352933</v>
      </c>
      <c r="P14" s="575">
        <f>'Summary-NoCo'!P15</f>
        <v>2.1157461176470584</v>
      </c>
      <c r="Q14" s="2408">
        <f>'Summary-NoCo'!Q15</f>
        <v>0.11959863823529414</v>
      </c>
      <c r="R14" s="575">
        <f>'Summary-NoCo'!R15</f>
        <v>0.52384203547058827</v>
      </c>
      <c r="S14" s="3978">
        <f>'Summary-NoCo'!S15:T15</f>
        <v>33256.326587223601</v>
      </c>
      <c r="T14" s="3979"/>
      <c r="U14" s="44"/>
    </row>
    <row r="15" spans="1:21" ht="44.15" customHeight="1">
      <c r="A15" s="36"/>
      <c r="B15" s="178" t="str">
        <f>'Summary-NoCo'!B16</f>
        <v>Stabilization Hot Oil Heater
(64.83 MMBtu/hr)</v>
      </c>
      <c r="C15" s="176" t="str">
        <f>'Summary-NoCo'!C16</f>
        <v>SHTR4</v>
      </c>
      <c r="D15" s="191" t="str">
        <f>'Summary-NoCo'!D16</f>
        <v>SHTR4</v>
      </c>
      <c r="E15" s="2408">
        <f>'Summary-NoCo'!E16</f>
        <v>1.730961</v>
      </c>
      <c r="F15" s="575">
        <f>'Summary-NoCo'!F16</f>
        <v>7.5816091799999992</v>
      </c>
      <c r="G15" s="2408">
        <f>'Summary-NoCo'!G16</f>
        <v>1.0567289999999998</v>
      </c>
      <c r="H15" s="575">
        <f>'Summary-NoCo'!H16</f>
        <v>4.6284730199999995</v>
      </c>
      <c r="I15" s="2408">
        <f>'Summary-NoCo'!I16</f>
        <v>0.414912</v>
      </c>
      <c r="J15" s="575">
        <f>'Summary-NoCo'!J16</f>
        <v>1.81731456</v>
      </c>
      <c r="K15" s="2408">
        <f>'Summary-NoCo'!K16</f>
        <v>0.14300735294117647</v>
      </c>
      <c r="L15" s="575">
        <f>'Summary-NoCo'!L16</f>
        <v>0.62637220588235298</v>
      </c>
      <c r="M15" s="2408">
        <f>'Summary-NoCo'!M16</f>
        <v>0.48304705882352933</v>
      </c>
      <c r="N15" s="575">
        <f>'Summary-NoCo'!N16</f>
        <v>2.1157461176470584</v>
      </c>
      <c r="O15" s="2408">
        <f>'Summary-NoCo'!O16</f>
        <v>0.48304705882352933</v>
      </c>
      <c r="P15" s="575">
        <f>'Summary-NoCo'!P16</f>
        <v>2.1157461176470584</v>
      </c>
      <c r="Q15" s="2408">
        <f>'Summary-NoCo'!Q16</f>
        <v>0.11959863823529414</v>
      </c>
      <c r="R15" s="575">
        <f>'Summary-NoCo'!R16</f>
        <v>0.52384203547058827</v>
      </c>
      <c r="S15" s="3978">
        <f>'Summary-NoCo'!S16:T16</f>
        <v>33256.326587223601</v>
      </c>
      <c r="T15" s="3979"/>
      <c r="U15" s="44"/>
    </row>
    <row r="16" spans="1:21" ht="44.15" customHeight="1">
      <c r="A16" s="36"/>
      <c r="B16" s="1499" t="str">
        <f>'Summary-NoCo'!B25</f>
        <v>Cryo Hot Oil Heater
(103.99 MMBtu/hr)</v>
      </c>
      <c r="C16" s="1500" t="str">
        <f>'Summary-NoCo'!C25</f>
        <v>CHTR1</v>
      </c>
      <c r="D16" s="1501" t="str">
        <f>'Summary-NoCo'!D25</f>
        <v>CHTR1</v>
      </c>
      <c r="E16" s="1657">
        <f>'Summary-NoCo'!E25</f>
        <v>3.4732659999999997</v>
      </c>
      <c r="F16" s="1658">
        <f>'Summary-NoCo'!F25</f>
        <v>15.212905079999999</v>
      </c>
      <c r="G16" s="1657">
        <f>'Summary-NoCo'!G25</f>
        <v>1.6950369999999997</v>
      </c>
      <c r="H16" s="1658">
        <f>'Summary-NoCo'!H25</f>
        <v>7.4242620599999984</v>
      </c>
      <c r="I16" s="1657">
        <f>'Summary-NoCo'!I25</f>
        <v>0.66553600000000002</v>
      </c>
      <c r="J16" s="1658">
        <f>'Summary-NoCo'!J25</f>
        <v>2.9150476800000003</v>
      </c>
      <c r="K16" s="1657">
        <f>'Summary-NoCo'!K25</f>
        <v>0.22938970588235294</v>
      </c>
      <c r="L16" s="1658">
        <f>'Summary-NoCo'!L25</f>
        <v>1.0047269117647057</v>
      </c>
      <c r="M16" s="1657">
        <f>'Summary-NoCo'!M25</f>
        <v>0.77482745098039207</v>
      </c>
      <c r="N16" s="1658">
        <f>'Summary-NoCo'!N25</f>
        <v>3.393744235294117</v>
      </c>
      <c r="O16" s="1657">
        <f>'Summary-NoCo'!O25</f>
        <v>0.77482745098039207</v>
      </c>
      <c r="P16" s="1658">
        <f>'Summary-NoCo'!P25</f>
        <v>3.393744235294117</v>
      </c>
      <c r="Q16" s="1657">
        <f>'Summary-NoCo'!Q25</f>
        <v>0.19184115980392158</v>
      </c>
      <c r="R16" s="1658">
        <f>'Summary-NoCo'!R25</f>
        <v>0.84026427994117647</v>
      </c>
      <c r="S16" s="5322">
        <f>'Summary-NoCo'!S25:T25</f>
        <v>53344.522625410798</v>
      </c>
      <c r="T16" s="5323"/>
      <c r="U16" s="44"/>
    </row>
    <row r="17" spans="1:24" ht="44.15" customHeight="1">
      <c r="A17" s="36"/>
      <c r="B17" s="1499" t="str">
        <f>'Summary-NoCo'!B28</f>
        <v>Regen Heater 
(39.14 MMBtu/hr)</v>
      </c>
      <c r="C17" s="1500" t="str">
        <f>'Summary-NoCo'!C28</f>
        <v>RHTR1</v>
      </c>
      <c r="D17" s="1501" t="str">
        <f>'Summary-NoCo'!D28</f>
        <v>RHTR1</v>
      </c>
      <c r="E17" s="1657">
        <f>'Summary-NoCo'!E28</f>
        <v>1.0450380000000001</v>
      </c>
      <c r="F17" s="1658">
        <f>'Summary-NoCo'!F28</f>
        <v>4.5772664400000007</v>
      </c>
      <c r="G17" s="1657">
        <f>'Summary-NoCo'!G28</f>
        <v>0.63798199999999994</v>
      </c>
      <c r="H17" s="1658">
        <f>'Summary-NoCo'!H28</f>
        <v>2.7943611599999998</v>
      </c>
      <c r="I17" s="1657">
        <f>'Summary-NoCo'!I28</f>
        <v>0.250496</v>
      </c>
      <c r="J17" s="1658">
        <f>'Summary-NoCo'!J28</f>
        <v>1.09717248</v>
      </c>
      <c r="K17" s="1657">
        <f>'Summary-NoCo'!K28</f>
        <v>8.633823529411766E-2</v>
      </c>
      <c r="L17" s="1658">
        <f>'Summary-NoCo'!L28</f>
        <v>0.37816147058823535</v>
      </c>
      <c r="M17" s="1657">
        <f>'Summary-NoCo'!M28</f>
        <v>0.29163137254901961</v>
      </c>
      <c r="N17" s="1658">
        <f>'Summary-NoCo'!N28</f>
        <v>1.2773454117647058</v>
      </c>
      <c r="O17" s="1657">
        <f>'Summary-NoCo'!O28</f>
        <v>0.29163137254901961</v>
      </c>
      <c r="P17" s="1658">
        <f>'Summary-NoCo'!P28</f>
        <v>1.2773454117647058</v>
      </c>
      <c r="Q17" s="1657">
        <f>'Summary-NoCo'!Q28</f>
        <v>7.2205625490196074E-2</v>
      </c>
      <c r="R17" s="1658">
        <f>'Summary-NoCo'!R28</f>
        <v>0.31626063964705881</v>
      </c>
      <c r="S17" s="5322">
        <f>'Summary-NoCo'!S28:T28</f>
        <v>20077.936489648804</v>
      </c>
      <c r="T17" s="5323"/>
      <c r="U17" s="44"/>
    </row>
    <row r="18" spans="1:24" ht="44.15" customHeight="1">
      <c r="A18" s="36"/>
      <c r="B18" s="1499" t="str">
        <f>'Summary-NoCo'!B29</f>
        <v>Regen Heater
(39.14 MMBtu/hr)</v>
      </c>
      <c r="C18" s="1500" t="str">
        <f>'Summary-NoCo'!C29</f>
        <v>RHTR2</v>
      </c>
      <c r="D18" s="1501" t="str">
        <f>'Summary-NoCo'!D29</f>
        <v>RHTR2</v>
      </c>
      <c r="E18" s="1657">
        <f>'Summary-NoCo'!E29</f>
        <v>1.0450380000000001</v>
      </c>
      <c r="F18" s="1658">
        <f>'Summary-NoCo'!F29</f>
        <v>4.5772664400000007</v>
      </c>
      <c r="G18" s="1657">
        <f>'Summary-NoCo'!G29</f>
        <v>0.63798199999999994</v>
      </c>
      <c r="H18" s="1658">
        <f>'Summary-NoCo'!H29</f>
        <v>2.7943611599999998</v>
      </c>
      <c r="I18" s="1657">
        <f>'Summary-NoCo'!I29</f>
        <v>0.250496</v>
      </c>
      <c r="J18" s="1658">
        <f>'Summary-NoCo'!J29</f>
        <v>1.09717248</v>
      </c>
      <c r="K18" s="1657">
        <f>'Summary-NoCo'!K29</f>
        <v>8.633823529411766E-2</v>
      </c>
      <c r="L18" s="1658">
        <f>'Summary-NoCo'!L29</f>
        <v>0.37816147058823535</v>
      </c>
      <c r="M18" s="1657">
        <f>'Summary-NoCo'!M29</f>
        <v>0.29163137254901961</v>
      </c>
      <c r="N18" s="1658">
        <f>'Summary-NoCo'!N29</f>
        <v>1.2773454117647058</v>
      </c>
      <c r="O18" s="1657">
        <f>'Summary-NoCo'!O29</f>
        <v>0.29163137254901961</v>
      </c>
      <c r="P18" s="1658">
        <f>'Summary-NoCo'!P29</f>
        <v>1.2773454117647058</v>
      </c>
      <c r="Q18" s="1657">
        <f>'Summary-NoCo'!Q29</f>
        <v>7.2205625490196074E-2</v>
      </c>
      <c r="R18" s="1658">
        <f>'Summary-NoCo'!R29</f>
        <v>0.31626063964705881</v>
      </c>
      <c r="S18" s="5322">
        <f>'Summary-NoCo'!S29:T29</f>
        <v>20077.936489648804</v>
      </c>
      <c r="T18" s="5323"/>
      <c r="U18" s="44"/>
      <c r="W18" s="8"/>
      <c r="X18" s="8"/>
    </row>
    <row r="19" spans="1:24" ht="44.15" customHeight="1">
      <c r="A19" s="36"/>
      <c r="B19" s="1499" t="str">
        <f>'Summary-NoCo'!B30</f>
        <v>Regen Heater
(39.14 MMBtu/hr)</v>
      </c>
      <c r="C19" s="1500" t="str">
        <f>'Summary-NoCo'!C30</f>
        <v>RHTR3</v>
      </c>
      <c r="D19" s="1501" t="str">
        <f>'Summary-NoCo'!D30</f>
        <v>RHTR3</v>
      </c>
      <c r="E19" s="1657">
        <f>'Summary-NoCo'!E30</f>
        <v>1.0450380000000001</v>
      </c>
      <c r="F19" s="1658">
        <f>'Summary-NoCo'!F30</f>
        <v>4.5772664400000007</v>
      </c>
      <c r="G19" s="1657">
        <f>'Summary-NoCo'!G30</f>
        <v>0.63798199999999994</v>
      </c>
      <c r="H19" s="1658">
        <f>'Summary-NoCo'!H30</f>
        <v>2.7943611599999998</v>
      </c>
      <c r="I19" s="1657">
        <f>'Summary-NoCo'!I30</f>
        <v>0.250496</v>
      </c>
      <c r="J19" s="1658">
        <f>'Summary-NoCo'!J30</f>
        <v>1.09717248</v>
      </c>
      <c r="K19" s="1657">
        <f>'Summary-NoCo'!K30</f>
        <v>8.633823529411766E-2</v>
      </c>
      <c r="L19" s="1658">
        <f>'Summary-NoCo'!L30</f>
        <v>0.37816147058823535</v>
      </c>
      <c r="M19" s="1657">
        <f>'Summary-NoCo'!M30</f>
        <v>0.29163137254901961</v>
      </c>
      <c r="N19" s="1658">
        <f>'Summary-NoCo'!N30</f>
        <v>1.2773454117647058</v>
      </c>
      <c r="O19" s="1657">
        <f>'Summary-NoCo'!O30</f>
        <v>0.29163137254901961</v>
      </c>
      <c r="P19" s="1658">
        <f>'Summary-NoCo'!P30</f>
        <v>1.2773454117647058</v>
      </c>
      <c r="Q19" s="1657">
        <f>'Summary-NoCo'!Q30</f>
        <v>7.2205625490196074E-2</v>
      </c>
      <c r="R19" s="1658">
        <f>'Summary-NoCo'!R30</f>
        <v>0.31626063964705881</v>
      </c>
      <c r="S19" s="5322">
        <f>'Summary-NoCo'!S30:T30</f>
        <v>20077.936489648804</v>
      </c>
      <c r="T19" s="5323"/>
      <c r="U19" s="44"/>
    </row>
    <row r="20" spans="1:24" ht="44.25" customHeight="1">
      <c r="A20" s="36"/>
      <c r="B20" s="1499" t="str">
        <f>'Summary-NoCo'!B31</f>
        <v>SSM/Emergency Flare 1 
(Dual Tip Flare) - Pilot/Purge</v>
      </c>
      <c r="C20" s="5336" t="str">
        <f>'Summary-NoCo'!C31</f>
        <v>FL1-FL31</v>
      </c>
      <c r="D20" s="5339" t="str">
        <f>'Summary-NoCo'!D31</f>
        <v>FL1-FL31</v>
      </c>
      <c r="E20" s="5349">
        <f>'Summary-NoCo'!E31</f>
        <v>2.6783137254439984</v>
      </c>
      <c r="F20" s="5352">
        <f>'Summary-NoCo'!F31</f>
        <v>11.73101411744471</v>
      </c>
      <c r="G20" s="5349">
        <f>'Summary-NoCo'!G31</f>
        <v>5.3469234156508803</v>
      </c>
      <c r="H20" s="5352">
        <f>'Summary-NoCo'!H31</f>
        <v>23.419524560550855</v>
      </c>
      <c r="I20" s="5349">
        <f>'Summary-NoCo'!I31</f>
        <v>0.80398014094115633</v>
      </c>
      <c r="J20" s="5352">
        <f>'Summary-NoCo'!J31</f>
        <v>3.5214330173222645</v>
      </c>
      <c r="K20" s="5349">
        <f>'Summary-NoCo'!K31</f>
        <v>0</v>
      </c>
      <c r="L20" s="5352">
        <f>'Summary-NoCo'!L31</f>
        <v>0</v>
      </c>
      <c r="M20" s="5349">
        <f>'Summary-NoCo'!M31</f>
        <v>0.14460915255310022</v>
      </c>
      <c r="N20" s="5352">
        <f>'Summary-NoCo'!N31</f>
        <v>0.63338808818257897</v>
      </c>
      <c r="O20" s="5349">
        <f>'Summary-NoCo'!O31</f>
        <v>0.14460915255310022</v>
      </c>
      <c r="P20" s="5352">
        <f>'Summary-NoCo'!P31</f>
        <v>0.63338808818257897</v>
      </c>
      <c r="Q20" s="5349">
        <f>'Summary-NoCo'!Q31</f>
        <v>0</v>
      </c>
      <c r="R20" s="5352">
        <f>'Summary-NoCo'!R31</f>
        <v>0</v>
      </c>
      <c r="S20" s="3989">
        <f>'Summary-Co'!S18:T20</f>
        <v>0</v>
      </c>
      <c r="T20" s="3990"/>
      <c r="U20" s="44"/>
      <c r="V20" s="8"/>
      <c r="W20" s="8"/>
    </row>
    <row r="21" spans="1:24" ht="44.25" customHeight="1">
      <c r="A21" s="36"/>
      <c r="B21" s="1499" t="str">
        <f>'Summary-NoCo'!B32</f>
        <v>SSM/Emergency Flare 2 
(Dual Tip Flare) - Pilot/Purge</v>
      </c>
      <c r="C21" s="5337"/>
      <c r="D21" s="5340"/>
      <c r="E21" s="5350"/>
      <c r="F21" s="5353"/>
      <c r="G21" s="5350"/>
      <c r="H21" s="5353"/>
      <c r="I21" s="5350"/>
      <c r="J21" s="5353"/>
      <c r="K21" s="5350"/>
      <c r="L21" s="5353"/>
      <c r="M21" s="5350"/>
      <c r="N21" s="5353"/>
      <c r="O21" s="5350"/>
      <c r="P21" s="5353"/>
      <c r="Q21" s="5350"/>
      <c r="R21" s="5353"/>
      <c r="S21" s="3991"/>
      <c r="T21" s="3992"/>
      <c r="U21" s="44"/>
      <c r="X21" s="8"/>
    </row>
    <row r="22" spans="1:24" ht="44.25" customHeight="1">
      <c r="A22" s="36"/>
      <c r="B22" s="1499" t="str">
        <f>'Summary-NoCo'!B33</f>
        <v>Backup SSM/Emergency Flare (Dual Tip Flare) - Pilot/Purge</v>
      </c>
      <c r="C22" s="5338"/>
      <c r="D22" s="5341"/>
      <c r="E22" s="5351"/>
      <c r="F22" s="5354"/>
      <c r="G22" s="5351"/>
      <c r="H22" s="5354"/>
      <c r="I22" s="5351"/>
      <c r="J22" s="5354"/>
      <c r="K22" s="5351"/>
      <c r="L22" s="5354"/>
      <c r="M22" s="5351"/>
      <c r="N22" s="5354"/>
      <c r="O22" s="5351"/>
      <c r="P22" s="5354"/>
      <c r="Q22" s="5351"/>
      <c r="R22" s="5354"/>
      <c r="S22" s="3978"/>
      <c r="T22" s="3979"/>
      <c r="U22" s="44"/>
      <c r="X22" s="8"/>
    </row>
    <row r="23" spans="1:24" ht="44.25" customHeight="1">
      <c r="A23" s="36"/>
      <c r="B23" s="2562" t="str">
        <f>'Summary-Co'!B21</f>
        <v>FL1-FL3 Stabilizer Overhead SSM Gas</v>
      </c>
      <c r="C23" s="2455" t="str">
        <f>'Summary-Co'!C21</f>
        <v>FL1-FL3OVHD-SSM</v>
      </c>
      <c r="D23" s="2517" t="str">
        <f>C23</f>
        <v>FL1-FL3OVHD-SSM</v>
      </c>
      <c r="E23" s="3069">
        <f>'Summary-Co'!E21</f>
        <v>61.513056157500003</v>
      </c>
      <c r="F23" s="1305">
        <f>'Summary-Co'!F21</f>
        <v>11.195376220665</v>
      </c>
      <c r="G23" s="3069">
        <f>'Summary-Co'!G21</f>
        <v>122.80323892312499</v>
      </c>
      <c r="H23" s="1305">
        <f>'Summary-Co'!H21</f>
        <v>22.350189484008748</v>
      </c>
      <c r="I23" s="3069">
        <f>'Summary-Co'!I21</f>
        <v>404.28661353006083</v>
      </c>
      <c r="J23" s="1305">
        <f>'Summary-Co'!J21</f>
        <v>73.580163662471065</v>
      </c>
      <c r="K23" s="3069">
        <f>'Summary-Co'!K21</f>
        <v>0</v>
      </c>
      <c r="L23" s="1305">
        <f>'Summary-Co'!L21</f>
        <v>0</v>
      </c>
      <c r="M23" s="3069">
        <f>'Summary-Co'!M21</f>
        <v>3.3212505455882351</v>
      </c>
      <c r="N23" s="1305">
        <f>'Summary-Co'!N21</f>
        <v>0.60446759929705873</v>
      </c>
      <c r="O23" s="3069">
        <f>'Summary-Co'!O21</f>
        <v>3.3212505455882351</v>
      </c>
      <c r="P23" s="1305">
        <f>'Summary-Co'!P21</f>
        <v>0.60446759929705873</v>
      </c>
      <c r="Q23" s="3069">
        <f>'Summary-Co'!Q21</f>
        <v>4.4544709510301175</v>
      </c>
      <c r="R23" s="1305">
        <f>'Summary-Co'!R21</f>
        <v>0.81071371308748141</v>
      </c>
      <c r="S23" s="4371">
        <f>'Summary-Co'!S21:T21</f>
        <v>9440.769835467403</v>
      </c>
      <c r="T23" s="4372"/>
      <c r="U23" s="44"/>
      <c r="X23" s="8"/>
    </row>
    <row r="24" spans="1:24" ht="44.25" customHeight="1">
      <c r="A24" s="36"/>
      <c r="B24" s="2562" t="str">
        <f>'Summary-Co'!B22</f>
        <v>FL1-FL3 Cryo Blowdown SSM Gas</v>
      </c>
      <c r="C24" s="2455" t="str">
        <f>'Summary-Co'!C22</f>
        <v>FL1-FL3CRYO-SSM</v>
      </c>
      <c r="D24" s="2517" t="str">
        <f>C24</f>
        <v>FL1-FL3CRYO-SSM</v>
      </c>
      <c r="E24" s="3069">
        <f>'Summary-Co'!E22</f>
        <v>102.42580604979864</v>
      </c>
      <c r="F24" s="1305">
        <f>'Summary-Co'!F22</f>
        <v>18.641496701063353</v>
      </c>
      <c r="G24" s="3069">
        <f>'Summary-Co'!G22</f>
        <v>204.48050410666323</v>
      </c>
      <c r="H24" s="1305">
        <f>'Summary-Co'!H22</f>
        <v>37.215451747412708</v>
      </c>
      <c r="I24" s="3069">
        <f>'Summary-Co'!I22</f>
        <v>210.13055132600644</v>
      </c>
      <c r="J24" s="1305">
        <f>'Summary-Co'!J22</f>
        <v>38.243760341333171</v>
      </c>
      <c r="K24" s="3069">
        <f>'Summary-Co'!K22</f>
        <v>5.0643749702923742E-2</v>
      </c>
      <c r="L24" s="1305">
        <f>'Summary-Co'!L22</f>
        <v>9.2171624459321221E-3</v>
      </c>
      <c r="M24" s="3069">
        <f>'Summary-Co'!M22</f>
        <v>5.2857362398266847</v>
      </c>
      <c r="N24" s="1305">
        <f>'Summary-Co'!N22</f>
        <v>0.96200399564845651</v>
      </c>
      <c r="O24" s="3069">
        <f>'Summary-Co'!O22</f>
        <v>5.2857362398266847</v>
      </c>
      <c r="P24" s="1305">
        <f>'Summary-Co'!P22</f>
        <v>0.96200399564845651</v>
      </c>
      <c r="Q24" s="3069">
        <f>'Summary-Co'!Q22</f>
        <v>1.3117788389852012</v>
      </c>
      <c r="R24" s="1305">
        <f>'Summary-Co'!R22</f>
        <v>0.2387437486953066</v>
      </c>
      <c r="S24" s="4371">
        <f>'Summary-Co'!S22:T22</f>
        <v>16652.240757722175</v>
      </c>
      <c r="T24" s="4372"/>
      <c r="U24" s="44"/>
      <c r="X24" s="8"/>
    </row>
    <row r="25" spans="1:24" ht="44.15" customHeight="1">
      <c r="A25" s="36"/>
      <c r="B25" s="1499" t="str">
        <f>'Summary-NoCo'!B36</f>
        <v>Oil Storage 1 (100,000 bbl)</v>
      </c>
      <c r="C25" s="1500" t="str">
        <f>'Summary-NoCo'!C36</f>
        <v>IFR1</v>
      </c>
      <c r="D25" s="1501" t="str">
        <f>'Summary-NoCo'!D36</f>
        <v>IFR1</v>
      </c>
      <c r="E25" s="1657" t="str">
        <f>'Summary-NoCo'!E36</f>
        <v>--</v>
      </c>
      <c r="F25" s="1658" t="str">
        <f>'Summary-NoCo'!F36</f>
        <v>--</v>
      </c>
      <c r="G25" s="1657" t="str">
        <f>'Summary-NoCo'!G36</f>
        <v>--</v>
      </c>
      <c r="H25" s="1658" t="str">
        <f>'Summary-NoCo'!H36</f>
        <v>--</v>
      </c>
      <c r="I25" s="1657">
        <f>'Summary-NoCo'!I36</f>
        <v>1.1752020371542549</v>
      </c>
      <c r="J25" s="1658">
        <f>'Summary-NoCo'!J36</f>
        <v>5.1473849227356343</v>
      </c>
      <c r="K25" s="1657" t="str">
        <f>'Summary-NoCo'!K36</f>
        <v>--</v>
      </c>
      <c r="L25" s="1658" t="str">
        <f>'Summary-NoCo'!L36</f>
        <v>--</v>
      </c>
      <c r="M25" s="1657" t="str">
        <f>'Summary-NoCo'!M36</f>
        <v>--</v>
      </c>
      <c r="N25" s="1658" t="str">
        <f>'Summary-NoCo'!N36</f>
        <v>--</v>
      </c>
      <c r="O25" s="1657" t="str">
        <f>'Summary-NoCo'!O36</f>
        <v>--</v>
      </c>
      <c r="P25" s="1658" t="str">
        <f>'Summary-NoCo'!P36</f>
        <v>--</v>
      </c>
      <c r="Q25" s="1657">
        <f>'Summary-NoCo'!Q36</f>
        <v>6.7739254805280091E-2</v>
      </c>
      <c r="R25" s="1658">
        <f>'Summary-NoCo'!R36</f>
        <v>0.2966979360471268</v>
      </c>
      <c r="S25" s="5322">
        <f>'Summary-NoCo'!S36:T36</f>
        <v>0</v>
      </c>
      <c r="T25" s="5323"/>
      <c r="U25" s="44"/>
    </row>
    <row r="26" spans="1:24" ht="44.15" customHeight="1">
      <c r="A26" s="36"/>
      <c r="B26" s="1499" t="str">
        <f>'Summary-NoCo'!B37</f>
        <v>Oil Storage 2 (100,000 bbl)</v>
      </c>
      <c r="C26" s="1500" t="str">
        <f>'Summary-NoCo'!C37</f>
        <v>IFR2</v>
      </c>
      <c r="D26" s="1501" t="str">
        <f>'Summary-NoCo'!D37</f>
        <v>IFR2</v>
      </c>
      <c r="E26" s="1657" t="str">
        <f>'Summary-NoCo'!E37</f>
        <v>--</v>
      </c>
      <c r="F26" s="1658" t="str">
        <f>'Summary-NoCo'!F37</f>
        <v>--</v>
      </c>
      <c r="G26" s="1657" t="str">
        <f>'Summary-NoCo'!G37</f>
        <v>--</v>
      </c>
      <c r="H26" s="1658" t="str">
        <f>'Summary-NoCo'!H37</f>
        <v>--</v>
      </c>
      <c r="I26" s="1657">
        <f>'Summary-NoCo'!I37</f>
        <v>1.1752020371542549</v>
      </c>
      <c r="J26" s="1658">
        <f>'Summary-NoCo'!J37</f>
        <v>5.1473849227356343</v>
      </c>
      <c r="K26" s="1657" t="str">
        <f>'Summary-NoCo'!K37</f>
        <v>--</v>
      </c>
      <c r="L26" s="1658" t="str">
        <f>'Summary-NoCo'!L37</f>
        <v>--</v>
      </c>
      <c r="M26" s="1657" t="str">
        <f>'Summary-NoCo'!M37</f>
        <v>--</v>
      </c>
      <c r="N26" s="1658" t="str">
        <f>'Summary-NoCo'!N37</f>
        <v>--</v>
      </c>
      <c r="O26" s="1657" t="str">
        <f>'Summary-NoCo'!O37</f>
        <v>--</v>
      </c>
      <c r="P26" s="1658" t="str">
        <f>'Summary-NoCo'!P37</f>
        <v>--</v>
      </c>
      <c r="Q26" s="1657">
        <f>'Summary-NoCo'!Q37</f>
        <v>6.7739254805280091E-2</v>
      </c>
      <c r="R26" s="1658">
        <f>'Summary-NoCo'!R37</f>
        <v>0.2966979360471268</v>
      </c>
      <c r="S26" s="5322">
        <f>'Summary-NoCo'!S37:T37</f>
        <v>0</v>
      </c>
      <c r="T26" s="5323"/>
      <c r="U26" s="44"/>
      <c r="W26" s="8"/>
    </row>
    <row r="27" spans="1:24" ht="44.15" customHeight="1">
      <c r="A27" s="36"/>
      <c r="B27" s="1499" t="str">
        <f>'Summary-NoCo'!B38</f>
        <v>Oil Storage 3 (100,000 bbl)</v>
      </c>
      <c r="C27" s="1500" t="str">
        <f>'Summary-NoCo'!C38</f>
        <v>IFR3</v>
      </c>
      <c r="D27" s="1501" t="str">
        <f>'Summary-NoCo'!D38</f>
        <v>IFR3</v>
      </c>
      <c r="E27" s="1657" t="str">
        <f>'Summary-NoCo'!E38</f>
        <v>--</v>
      </c>
      <c r="F27" s="1658" t="str">
        <f>'Summary-NoCo'!F38</f>
        <v>--</v>
      </c>
      <c r="G27" s="1657" t="str">
        <f>'Summary-NoCo'!G38</f>
        <v>--</v>
      </c>
      <c r="H27" s="1658" t="str">
        <f>'Summary-NoCo'!H38</f>
        <v>--</v>
      </c>
      <c r="I27" s="1657">
        <f>'Summary-NoCo'!I38</f>
        <v>1.1752020371542549</v>
      </c>
      <c r="J27" s="1658">
        <f>'Summary-NoCo'!J38</f>
        <v>5.1473849227356343</v>
      </c>
      <c r="K27" s="1657" t="str">
        <f>'Summary-NoCo'!K38</f>
        <v>--</v>
      </c>
      <c r="L27" s="1658" t="str">
        <f>'Summary-NoCo'!L38</f>
        <v>--</v>
      </c>
      <c r="M27" s="1657" t="str">
        <f>'Summary-NoCo'!M38</f>
        <v>--</v>
      </c>
      <c r="N27" s="1658" t="str">
        <f>'Summary-NoCo'!N38</f>
        <v>--</v>
      </c>
      <c r="O27" s="1657" t="str">
        <f>'Summary-NoCo'!O38</f>
        <v>--</v>
      </c>
      <c r="P27" s="1658" t="str">
        <f>'Summary-NoCo'!P38</f>
        <v>--</v>
      </c>
      <c r="Q27" s="1657">
        <f>'Summary-NoCo'!Q38</f>
        <v>6.7739254805280091E-2</v>
      </c>
      <c r="R27" s="1658">
        <f>'Summary-NoCo'!R38</f>
        <v>0.2966979360471268</v>
      </c>
      <c r="S27" s="5322">
        <f>'Summary-NoCo'!S38:T38</f>
        <v>0</v>
      </c>
      <c r="T27" s="5323"/>
      <c r="U27" s="44"/>
    </row>
    <row r="28" spans="1:24" ht="44.15" customHeight="1">
      <c r="A28" s="36"/>
      <c r="B28" s="1499" t="str">
        <f>'Summary-NoCo'!B39</f>
        <v>Oil Storage 4 (100,000 bbl)</v>
      </c>
      <c r="C28" s="1500" t="str">
        <f>'Summary-NoCo'!C39</f>
        <v>IFR4</v>
      </c>
      <c r="D28" s="1501" t="str">
        <f>'Summary-NoCo'!D39</f>
        <v>IFR4</v>
      </c>
      <c r="E28" s="1657" t="str">
        <f>'Summary-NoCo'!E39</f>
        <v>--</v>
      </c>
      <c r="F28" s="1658" t="str">
        <f>'Summary-NoCo'!F39</f>
        <v>--</v>
      </c>
      <c r="G28" s="1657" t="str">
        <f>'Summary-NoCo'!G39</f>
        <v>--</v>
      </c>
      <c r="H28" s="1658" t="str">
        <f>'Summary-NoCo'!H39</f>
        <v>--</v>
      </c>
      <c r="I28" s="1657">
        <f>'Summary-NoCo'!I39</f>
        <v>1.1752020371542549</v>
      </c>
      <c r="J28" s="1658">
        <f>'Summary-NoCo'!J39</f>
        <v>5.1473849227356343</v>
      </c>
      <c r="K28" s="1657" t="str">
        <f>'Summary-NoCo'!K39</f>
        <v>--</v>
      </c>
      <c r="L28" s="1658" t="str">
        <f>'Summary-NoCo'!L39</f>
        <v>--</v>
      </c>
      <c r="M28" s="1657" t="str">
        <f>'Summary-NoCo'!M39</f>
        <v>--</v>
      </c>
      <c r="N28" s="1658" t="str">
        <f>'Summary-NoCo'!N39</f>
        <v>--</v>
      </c>
      <c r="O28" s="1657" t="str">
        <f>'Summary-NoCo'!O39</f>
        <v>--</v>
      </c>
      <c r="P28" s="1658" t="str">
        <f>'Summary-NoCo'!P39</f>
        <v>--</v>
      </c>
      <c r="Q28" s="1657">
        <f>'Summary-NoCo'!Q39</f>
        <v>6.7739254805280091E-2</v>
      </c>
      <c r="R28" s="1658">
        <f>'Summary-NoCo'!R39</f>
        <v>0.2966979360471268</v>
      </c>
      <c r="S28" s="5322">
        <f>'Summary-NoCo'!S39:T39</f>
        <v>0</v>
      </c>
      <c r="T28" s="5323"/>
      <c r="U28" s="44"/>
    </row>
    <row r="29" spans="1:24" ht="44.15" customHeight="1">
      <c r="A29" s="36"/>
      <c r="B29" s="1499" t="str">
        <f>'Summary-NoCo'!B40</f>
        <v>3rd-Party Oil Storage 1</v>
      </c>
      <c r="C29" s="1500" t="str">
        <f>'Summary-NoCo'!C40</f>
        <v>OTK1</v>
      </c>
      <c r="D29" s="1501" t="str">
        <f>'Summary-NoCo'!D40</f>
        <v>OTK1</v>
      </c>
      <c r="E29" s="3986" t="str">
        <f>'Summary-NoCo'!E40:T40</f>
        <v>Emissions represented at ECD1.</v>
      </c>
      <c r="F29" s="3987"/>
      <c r="G29" s="3987"/>
      <c r="H29" s="3987"/>
      <c r="I29" s="3987"/>
      <c r="J29" s="3987"/>
      <c r="K29" s="3987"/>
      <c r="L29" s="3987"/>
      <c r="M29" s="3929"/>
      <c r="N29" s="3929"/>
      <c r="O29" s="3987"/>
      <c r="P29" s="3987"/>
      <c r="Q29" s="3987"/>
      <c r="R29" s="3987"/>
      <c r="S29" s="3987"/>
      <c r="T29" s="3988"/>
      <c r="U29" s="44"/>
    </row>
    <row r="30" spans="1:24" ht="44.15" customHeight="1">
      <c r="A30" s="36"/>
      <c r="B30" s="1499" t="str">
        <f>'Summary-NoCo'!B41</f>
        <v>3rd-Party Oil Storage 2</v>
      </c>
      <c r="C30" s="1500" t="str">
        <f>'Summary-NoCo'!C41</f>
        <v>OTK2</v>
      </c>
      <c r="D30" s="1501" t="str">
        <f>'Summary-NoCo'!D41</f>
        <v>OTK2</v>
      </c>
      <c r="E30" s="3986" t="str">
        <f>'Summary-NoCo'!E41:T41</f>
        <v>Emissions represented at ECD1.</v>
      </c>
      <c r="F30" s="3987"/>
      <c r="G30" s="3987"/>
      <c r="H30" s="3987"/>
      <c r="I30" s="3987"/>
      <c r="J30" s="3987"/>
      <c r="K30" s="3987"/>
      <c r="L30" s="3987"/>
      <c r="M30" s="3929"/>
      <c r="N30" s="3929"/>
      <c r="O30" s="3987"/>
      <c r="P30" s="3987"/>
      <c r="Q30" s="3987"/>
      <c r="R30" s="3987"/>
      <c r="S30" s="3987"/>
      <c r="T30" s="3988"/>
      <c r="U30" s="44"/>
      <c r="W30" s="8"/>
      <c r="X30" s="8"/>
    </row>
    <row r="31" spans="1:24" ht="44.15" customHeight="1">
      <c r="A31" s="36"/>
      <c r="B31" s="1499" t="str">
        <f>'Summary-NoCo'!B42</f>
        <v>3rd-Party Oil Storage 3</v>
      </c>
      <c r="C31" s="1500" t="str">
        <f>'Summary-NoCo'!C42</f>
        <v>OTK3</v>
      </c>
      <c r="D31" s="1501" t="str">
        <f>'Summary-NoCo'!D42</f>
        <v>OTK3</v>
      </c>
      <c r="E31" s="3986" t="str">
        <f>'Summary-NoCo'!E42:T42</f>
        <v>Emissions represented at ECD1.</v>
      </c>
      <c r="F31" s="3987"/>
      <c r="G31" s="3987"/>
      <c r="H31" s="3987"/>
      <c r="I31" s="3987"/>
      <c r="J31" s="3987"/>
      <c r="K31" s="3987"/>
      <c r="L31" s="3987"/>
      <c r="M31" s="3929"/>
      <c r="N31" s="3929"/>
      <c r="O31" s="3987"/>
      <c r="P31" s="3987"/>
      <c r="Q31" s="3987"/>
      <c r="R31" s="3987"/>
      <c r="S31" s="3987"/>
      <c r="T31" s="3988"/>
      <c r="U31" s="44"/>
      <c r="W31" s="8"/>
    </row>
    <row r="32" spans="1:24" ht="44.15" customHeight="1">
      <c r="A32" s="36"/>
      <c r="B32" s="1499" t="str">
        <f>'Summary-NoCo'!B43</f>
        <v>3rd-Party Oil Storage 4</v>
      </c>
      <c r="C32" s="1500" t="str">
        <f>'Summary-NoCo'!C43</f>
        <v>OTK4</v>
      </c>
      <c r="D32" s="1501" t="str">
        <f>'Summary-NoCo'!D43</f>
        <v>OTK4</v>
      </c>
      <c r="E32" s="3986" t="str">
        <f>'Summary-NoCo'!E43:T43</f>
        <v>Emissions represented at ECD1.</v>
      </c>
      <c r="F32" s="3987"/>
      <c r="G32" s="3987"/>
      <c r="H32" s="3987"/>
      <c r="I32" s="3987"/>
      <c r="J32" s="3987"/>
      <c r="K32" s="3987"/>
      <c r="L32" s="3987"/>
      <c r="M32" s="3929"/>
      <c r="N32" s="3929"/>
      <c r="O32" s="3987"/>
      <c r="P32" s="3987"/>
      <c r="Q32" s="3987"/>
      <c r="R32" s="3987"/>
      <c r="S32" s="3987"/>
      <c r="T32" s="3988"/>
      <c r="U32" s="44"/>
    </row>
    <row r="33" spans="1:72" ht="44.15" customHeight="1">
      <c r="A33" s="1656"/>
      <c r="B33" s="1499" t="str">
        <f>'Summary-NoCo'!B44</f>
        <v>3rd-Party Oil Storage 5</v>
      </c>
      <c r="C33" s="1500" t="str">
        <f>'Summary-NoCo'!C44</f>
        <v>OTK5</v>
      </c>
      <c r="D33" s="1501" t="str">
        <f>'Summary-NoCo'!D44</f>
        <v>OTK5</v>
      </c>
      <c r="E33" s="3928" t="str">
        <f>'Summary-NoCo'!E44:T44</f>
        <v>Emissions represented at ECD1.</v>
      </c>
      <c r="F33" s="3929"/>
      <c r="G33" s="3929"/>
      <c r="H33" s="3929"/>
      <c r="I33" s="3929"/>
      <c r="J33" s="3929"/>
      <c r="K33" s="3929"/>
      <c r="L33" s="3929"/>
      <c r="M33" s="3929"/>
      <c r="N33" s="3929"/>
      <c r="O33" s="3929"/>
      <c r="P33" s="3929"/>
      <c r="Q33" s="3929"/>
      <c r="R33" s="3929"/>
      <c r="S33" s="3929"/>
      <c r="T33" s="3930"/>
      <c r="U33" s="1655"/>
      <c r="W33" s="8"/>
      <c r="X33" s="8"/>
    </row>
    <row r="34" spans="1:72" ht="44.15" customHeight="1">
      <c r="A34" s="36"/>
      <c r="B34" s="1032" t="str">
        <f>'Summary-NoCo'!B45</f>
        <v>3rd-Party Oil Storage 6</v>
      </c>
      <c r="C34" s="1284" t="str">
        <f>'Summary-NoCo'!C45</f>
        <v>OTK6</v>
      </c>
      <c r="D34" s="1285" t="str">
        <f>'Summary-NoCo'!D45</f>
        <v>OTK6</v>
      </c>
      <c r="E34" s="4013" t="str">
        <f>'Summary-NoCo'!E45:T45</f>
        <v>Emissions represented at ECD1.</v>
      </c>
      <c r="F34" s="4014"/>
      <c r="G34" s="4014"/>
      <c r="H34" s="4014"/>
      <c r="I34" s="4014"/>
      <c r="J34" s="4014"/>
      <c r="K34" s="4014"/>
      <c r="L34" s="4014"/>
      <c r="M34" s="4014"/>
      <c r="N34" s="4014"/>
      <c r="O34" s="4014"/>
      <c r="P34" s="4014"/>
      <c r="Q34" s="4014"/>
      <c r="R34" s="4014"/>
      <c r="S34" s="4014"/>
      <c r="T34" s="4015"/>
      <c r="U34" s="44"/>
    </row>
    <row r="35" spans="1:72" ht="44.15" customHeight="1">
      <c r="A35" s="36"/>
      <c r="B35" s="1499" t="str">
        <f>'Summary-NoCo'!B46</f>
        <v>Combustor</v>
      </c>
      <c r="C35" s="1500" t="str">
        <f>'Summary-NoCo'!C46</f>
        <v>ECD1</v>
      </c>
      <c r="D35" s="1501" t="str">
        <f>'Summary-NoCo'!D46</f>
        <v>ECD1</v>
      </c>
      <c r="E35" s="1657">
        <f>'Summary-NoCo'!E46</f>
        <v>1.5931460516780505</v>
      </c>
      <c r="F35" s="1658">
        <f>'Summary-NoCo'!F46</f>
        <v>6.0866344473776257</v>
      </c>
      <c r="G35" s="1657">
        <f>'Summary-NoCo'!G46</f>
        <v>3.1805198350529196</v>
      </c>
      <c r="H35" s="1658">
        <f>'Summary-NoCo'!H46</f>
        <v>12.151215871395186</v>
      </c>
      <c r="I35" s="1657">
        <f>'Summary-NoCo'!I46</f>
        <v>7.2766034925122449</v>
      </c>
      <c r="J35" s="1658">
        <f>'Summary-NoCo'!J46</f>
        <v>28.268593950427899</v>
      </c>
      <c r="K35" s="1657">
        <f>'Summary-NoCo'!K46</f>
        <v>0</v>
      </c>
      <c r="L35" s="1658">
        <f>'Summary-NoCo'!L46</f>
        <v>0</v>
      </c>
      <c r="M35" s="1657">
        <f>'Summary-NoCo'!M46</f>
        <v>8.6018115890545505E-2</v>
      </c>
      <c r="N35" s="1658">
        <f>'Summary-NoCo'!N46</f>
        <v>0.12880069625799914</v>
      </c>
      <c r="O35" s="1657">
        <f>'Summary-NoCo'!O46</f>
        <v>8.6018115890545505E-2</v>
      </c>
      <c r="P35" s="1658">
        <f>'Summary-NoCo'!P46</f>
        <v>0.12880069625799914</v>
      </c>
      <c r="Q35" s="1657">
        <f>'Summary-NoCo'!Q46</f>
        <v>0.27504072721807626</v>
      </c>
      <c r="R35" s="1658">
        <f>'Summary-NoCo'!R46</f>
        <v>1.0668332259581128</v>
      </c>
      <c r="S35" s="3972">
        <f>'Summary-NoCo'!S46:T46</f>
        <v>4244.370563407545</v>
      </c>
      <c r="T35" s="3973"/>
      <c r="U35" s="44"/>
    </row>
    <row r="36" spans="1:72" ht="44.15" customHeight="1">
      <c r="A36" s="36"/>
      <c r="B36" s="1499" t="str">
        <f>'Summary-NoCo'!B47</f>
        <v>Thermal Oxidizer</v>
      </c>
      <c r="C36" s="1500" t="str">
        <f>'Summary-NoCo'!C47</f>
        <v>TO1</v>
      </c>
      <c r="D36" s="1501" t="str">
        <f>'Summary-NoCo'!D47</f>
        <v>TO1</v>
      </c>
      <c r="E36" s="1657">
        <f>'Summary-NoCo'!E47</f>
        <v>2.5190885601790693</v>
      </c>
      <c r="F36" s="1658">
        <f>'Summary-NoCo'!F47</f>
        <v>11.033607893584323</v>
      </c>
      <c r="G36" s="1657">
        <f>'Summary-NoCo'!G47</f>
        <v>2.0880159999999997</v>
      </c>
      <c r="H36" s="1658">
        <f>'Summary-NoCo'!H47</f>
        <v>9.1455100799999975</v>
      </c>
      <c r="I36" s="1657">
        <f>'Summary-NoCo'!I47</f>
        <v>0.62455189452722593</v>
      </c>
      <c r="J36" s="1658">
        <f>'Summary-NoCo'!J47</f>
        <v>2.7355372980292492</v>
      </c>
      <c r="K36" s="1657">
        <f>'Summary-NoCo'!K47</f>
        <v>0.86237125715223051</v>
      </c>
      <c r="L36" s="1658">
        <f>'Summary-NoCo'!L47</f>
        <v>3.7771861063267695</v>
      </c>
      <c r="M36" s="1657">
        <f>'Summary-NoCo'!M47</f>
        <v>0.23462099335001135</v>
      </c>
      <c r="N36" s="1658">
        <f>'Summary-NoCo'!N47</f>
        <v>1.0276399508730496</v>
      </c>
      <c r="O36" s="1657">
        <f>'Summary-NoCo'!O47</f>
        <v>0.23462099335001135</v>
      </c>
      <c r="P36" s="1658">
        <f>'Summary-NoCo'!P47</f>
        <v>1.0276399508730496</v>
      </c>
      <c r="Q36" s="1657">
        <f>'Summary-NoCo'!Q47</f>
        <v>8.0737606029044826E-2</v>
      </c>
      <c r="R36" s="1658">
        <f>'Summary-NoCo'!R47</f>
        <v>0.35363071440721638</v>
      </c>
      <c r="S36" s="3972">
        <f>'TO GHG-Flash '!H50+'TO GHG-Still'!H50</f>
        <v>101557.29956690592</v>
      </c>
      <c r="T36" s="3973"/>
      <c r="U36" s="44"/>
      <c r="W36" s="8"/>
    </row>
    <row r="37" spans="1:72" ht="44.25" customHeight="1">
      <c r="A37" s="36"/>
      <c r="B37" s="1499" t="str">
        <f>'Summary-NoCo'!B48</f>
        <v>Thermal Oxidizer</v>
      </c>
      <c r="C37" s="1500" t="str">
        <f>'Summary-NoCo'!C48</f>
        <v>TO2</v>
      </c>
      <c r="D37" s="1501" t="str">
        <f>'Summary-NoCo'!D48</f>
        <v>TO2</v>
      </c>
      <c r="E37" s="1657">
        <f>'Summary-NoCo'!E48</f>
        <v>2.5190885601790693</v>
      </c>
      <c r="F37" s="1658">
        <f>'Summary-NoCo'!F48</f>
        <v>11.033607893584323</v>
      </c>
      <c r="G37" s="1657">
        <f>'Summary-NoCo'!G48</f>
        <v>2.0880159999999997</v>
      </c>
      <c r="H37" s="1658">
        <f>'Summary-NoCo'!H48</f>
        <v>9.1455100799999975</v>
      </c>
      <c r="I37" s="1657">
        <f>'Summary-NoCo'!I48</f>
        <v>0.62455189452722593</v>
      </c>
      <c r="J37" s="1658">
        <f>'Summary-NoCo'!J48</f>
        <v>2.7355372980292492</v>
      </c>
      <c r="K37" s="1657">
        <f>'Summary-NoCo'!K48</f>
        <v>0.86237125715223051</v>
      </c>
      <c r="L37" s="1658">
        <f>'Summary-NoCo'!L48</f>
        <v>3.7771861063267695</v>
      </c>
      <c r="M37" s="1657">
        <f>'Summary-NoCo'!M48</f>
        <v>0.23462099335001135</v>
      </c>
      <c r="N37" s="1658">
        <f>'Summary-NoCo'!N48</f>
        <v>1.0276399508730496</v>
      </c>
      <c r="O37" s="1657">
        <f>'Summary-NoCo'!O48</f>
        <v>0.23462099335001135</v>
      </c>
      <c r="P37" s="1658">
        <f>'Summary-NoCo'!P48</f>
        <v>1.0276399508730496</v>
      </c>
      <c r="Q37" s="1657">
        <f>'Summary-NoCo'!Q48</f>
        <v>8.0737606029044826E-2</v>
      </c>
      <c r="R37" s="1658">
        <f>'Summary-NoCo'!R48</f>
        <v>0.35363071440721638</v>
      </c>
      <c r="S37" s="3972">
        <f>S36</f>
        <v>101557.29956690592</v>
      </c>
      <c r="T37" s="3973"/>
      <c r="U37" s="44"/>
      <c r="V37" s="8"/>
      <c r="W37" s="8"/>
    </row>
    <row r="38" spans="1:72" ht="44.25" customHeight="1">
      <c r="A38" s="36"/>
      <c r="B38" s="1499" t="str">
        <f>'Summary-NoCo'!B49</f>
        <v>Thermal Oxidizer</v>
      </c>
      <c r="C38" s="1500" t="str">
        <f>'Summary-NoCo'!C49</f>
        <v>TO3</v>
      </c>
      <c r="D38" s="1501" t="str">
        <f>'Summary-NoCo'!D49</f>
        <v>TO3</v>
      </c>
      <c r="E38" s="1657">
        <f>'Summary-NoCo'!E49</f>
        <v>2.5190885601790693</v>
      </c>
      <c r="F38" s="1658">
        <f>'Summary-NoCo'!F49</f>
        <v>11.033607893584323</v>
      </c>
      <c r="G38" s="1657">
        <f>'Summary-NoCo'!G49</f>
        <v>2.0880159999999997</v>
      </c>
      <c r="H38" s="1658">
        <f>'Summary-NoCo'!H49</f>
        <v>9.1455100799999975</v>
      </c>
      <c r="I38" s="1657">
        <f>'Summary-NoCo'!I49</f>
        <v>0.62455189452722593</v>
      </c>
      <c r="J38" s="1658">
        <f>'Summary-NoCo'!J49</f>
        <v>2.7355372980292492</v>
      </c>
      <c r="K38" s="1657">
        <f>'Summary-NoCo'!K49</f>
        <v>0.86237125715223051</v>
      </c>
      <c r="L38" s="1658">
        <f>'Summary-NoCo'!L49</f>
        <v>3.7771861063267695</v>
      </c>
      <c r="M38" s="1657">
        <f>'Summary-NoCo'!M49</f>
        <v>0.23462099335001135</v>
      </c>
      <c r="N38" s="1658">
        <f>'Summary-NoCo'!N49</f>
        <v>1.0276399508730496</v>
      </c>
      <c r="O38" s="1657">
        <f>'Summary-NoCo'!O49</f>
        <v>0.23462099335001135</v>
      </c>
      <c r="P38" s="1658">
        <f>'Summary-NoCo'!P49</f>
        <v>1.0276399508730496</v>
      </c>
      <c r="Q38" s="1657">
        <f>'Summary-NoCo'!Q49</f>
        <v>8.0737606029044826E-2</v>
      </c>
      <c r="R38" s="1658">
        <f>'Summary-NoCo'!R49</f>
        <v>0.35363071440721638</v>
      </c>
      <c r="S38" s="3972">
        <f>S36</f>
        <v>101557.29956690592</v>
      </c>
      <c r="T38" s="3973"/>
      <c r="U38" s="44"/>
      <c r="X38" s="8"/>
    </row>
    <row r="39" spans="1:72" ht="44.25" customHeight="1">
      <c r="A39" s="36"/>
      <c r="B39" s="1499" t="str">
        <f>'Summary-NoCo'!B50</f>
        <v>Fugitives</v>
      </c>
      <c r="C39" s="1500" t="str">
        <f>'Summary-NoCo'!C50</f>
        <v>FUG</v>
      </c>
      <c r="D39" s="1501" t="str">
        <f>'Summary-NoCo'!D50</f>
        <v>FUG</v>
      </c>
      <c r="E39" s="1657" t="str">
        <f>'Summary-NoCo'!E50</f>
        <v>--</v>
      </c>
      <c r="F39" s="1658" t="str">
        <f>'Summary-NoCo'!F50</f>
        <v>--</v>
      </c>
      <c r="G39" s="1657" t="str">
        <f>'Summary-NoCo'!G50</f>
        <v>--</v>
      </c>
      <c r="H39" s="1658" t="str">
        <f>'Summary-NoCo'!H50</f>
        <v>--</v>
      </c>
      <c r="I39" s="1657">
        <f>'Summary-NoCo'!I50</f>
        <v>30.616050709592137</v>
      </c>
      <c r="J39" s="1658">
        <f>'Summary-NoCo'!J50</f>
        <v>134.09830210801351</v>
      </c>
      <c r="K39" s="1657" t="str">
        <f>'Summary-NoCo'!K50</f>
        <v>--</v>
      </c>
      <c r="L39" s="1658" t="str">
        <f>'Summary-NoCo'!L50</f>
        <v>--</v>
      </c>
      <c r="M39" s="1657" t="str">
        <f>'Summary-NoCo'!M50</f>
        <v>--</v>
      </c>
      <c r="N39" s="1658" t="str">
        <f>'Summary-NoCo'!N50</f>
        <v>--</v>
      </c>
      <c r="O39" s="1657" t="str">
        <f>'Summary-NoCo'!O50</f>
        <v>--</v>
      </c>
      <c r="P39" s="1658" t="str">
        <f>'Summary-NoCo'!P50</f>
        <v>--</v>
      </c>
      <c r="Q39" s="1657">
        <f>'Summary-NoCo'!Q50</f>
        <v>1.8349882519246774</v>
      </c>
      <c r="R39" s="1658">
        <f>'Summary-NoCo'!R50</f>
        <v>8.0372485434300867</v>
      </c>
      <c r="S39" s="3972">
        <f>'Summary-NoCo'!S50:T50</f>
        <v>355.19068804717892</v>
      </c>
      <c r="T39" s="3973"/>
      <c r="U39" s="44"/>
    </row>
    <row r="40" spans="1:72" ht="44.25" customHeight="1">
      <c r="A40" s="36"/>
      <c r="B40" s="1499" t="str">
        <f>'Summary-NoCo'!B51</f>
        <v>Storage Tank SSM Emissions</v>
      </c>
      <c r="C40" s="1500" t="str">
        <f>'Summary-NoCo'!C51</f>
        <v>SSM</v>
      </c>
      <c r="D40" s="1501" t="str">
        <f>'Summary-NoCo'!D51</f>
        <v>SSM</v>
      </c>
      <c r="E40" s="1657" t="str">
        <f>'Summary-NoCo'!E51</f>
        <v>--</v>
      </c>
      <c r="F40" s="1658" t="str">
        <f>'Summary-NoCo'!F51</f>
        <v>--</v>
      </c>
      <c r="G40" s="1657" t="str">
        <f>'Summary-NoCo'!G51</f>
        <v>--</v>
      </c>
      <c r="H40" s="1658" t="str">
        <f>'Summary-NoCo'!H51</f>
        <v>--</v>
      </c>
      <c r="I40" s="1657" t="str">
        <f>'Summary-NoCo'!I51</f>
        <v>--</v>
      </c>
      <c r="J40" s="1658">
        <f>'Summary-NoCo'!J51</f>
        <v>10</v>
      </c>
      <c r="K40" s="1657" t="str">
        <f>'Summary-NoCo'!K51</f>
        <v>--</v>
      </c>
      <c r="L40" s="1658" t="str">
        <f>'Summary-NoCo'!L51</f>
        <v>--</v>
      </c>
      <c r="M40" s="1657" t="str">
        <f>'Summary-NoCo'!M51</f>
        <v>--</v>
      </c>
      <c r="N40" s="1658" t="str">
        <f>'Summary-NoCo'!N51</f>
        <v>--</v>
      </c>
      <c r="O40" s="1657" t="str">
        <f>'Summary-NoCo'!O51</f>
        <v>--</v>
      </c>
      <c r="P40" s="1658" t="str">
        <f>'Summary-NoCo'!P51</f>
        <v>--</v>
      </c>
      <c r="Q40" s="1657" t="str">
        <f>'Summary-NoCo'!Q51</f>
        <v>--</v>
      </c>
      <c r="R40" s="1658" t="str">
        <f>'Summary-NoCo'!R51</f>
        <v>--</v>
      </c>
      <c r="S40" s="3972" t="str">
        <f>'Summary-NoCo'!S51:T51</f>
        <v>--</v>
      </c>
      <c r="T40" s="3973"/>
      <c r="U40" s="44"/>
    </row>
    <row r="41" spans="1:72" s="53" customFormat="1" ht="44.25" customHeight="1">
      <c r="A41" s="36"/>
      <c r="B41" s="1499" t="str">
        <f>'Summary-NoCo'!B52</f>
        <v>Haul Road Fugitives</v>
      </c>
      <c r="C41" s="1500" t="str">
        <f>'Summary-NoCo'!C52</f>
        <v>ROAD</v>
      </c>
      <c r="D41" s="1501" t="str">
        <f>'Summary-NoCo'!D52</f>
        <v>ROAD</v>
      </c>
      <c r="E41" s="1657" t="str">
        <f>'Summary-NoCo'!E52</f>
        <v>--</v>
      </c>
      <c r="F41" s="1658" t="str">
        <f>'Summary-NoCo'!F52</f>
        <v>--</v>
      </c>
      <c r="G41" s="1657" t="str">
        <f>'Summary-NoCo'!G52</f>
        <v>--</v>
      </c>
      <c r="H41" s="1658" t="str">
        <f>'Summary-NoCo'!H52</f>
        <v>--</v>
      </c>
      <c r="I41" s="1657" t="str">
        <f>'Summary-NoCo'!I52</f>
        <v>--</v>
      </c>
      <c r="J41" s="1658" t="str">
        <f>'Summary-NoCo'!J52</f>
        <v>--</v>
      </c>
      <c r="K41" s="1657" t="str">
        <f>'Summary-NoCo'!K52</f>
        <v>--</v>
      </c>
      <c r="L41" s="1658" t="str">
        <f>'Summary-NoCo'!L52</f>
        <v>--</v>
      </c>
      <c r="M41" s="1657">
        <f>'Summary-NoCo'!M52</f>
        <v>2.7556902133370476</v>
      </c>
      <c r="N41" s="1658">
        <f>'Summary-NoCo'!N52</f>
        <v>8.8254079636430482</v>
      </c>
      <c r="O41" s="1657">
        <f>'Summary-NoCo'!O52</f>
        <v>0.70232409971011567</v>
      </c>
      <c r="P41" s="1658">
        <f>'Summary-NoCo'!P52</f>
        <v>2.2492719510493018</v>
      </c>
      <c r="Q41" s="1657" t="str">
        <f>'Summary-NoCo'!Q52</f>
        <v>--</v>
      </c>
      <c r="R41" s="1658" t="str">
        <f>'Summary-NoCo'!R52</f>
        <v>--</v>
      </c>
      <c r="S41" s="3972" t="str">
        <f>'Summary-NoCo'!S52:T52</f>
        <v>--</v>
      </c>
      <c r="T41" s="3973"/>
      <c r="U41" s="44"/>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row>
    <row r="42" spans="1:72" ht="44.25" customHeight="1">
      <c r="A42" s="36"/>
      <c r="B42" s="1499" t="str">
        <f>'Summary-NoCo'!B53</f>
        <v>Produced Water Tank 1</v>
      </c>
      <c r="C42" s="1500" t="str">
        <f>'Summary-NoCo'!C53</f>
        <v>PWTK1</v>
      </c>
      <c r="D42" s="1501" t="str">
        <f>'Summary-NoCo'!D53</f>
        <v>PWTK1</v>
      </c>
      <c r="E42" s="3986" t="str">
        <f>'Summary-NoCo'!E53:T53</f>
        <v>Emissions represented at ECD1.</v>
      </c>
      <c r="F42" s="3987"/>
      <c r="G42" s="3987"/>
      <c r="H42" s="3987"/>
      <c r="I42" s="3987"/>
      <c r="J42" s="3987"/>
      <c r="K42" s="3987"/>
      <c r="L42" s="3987"/>
      <c r="M42" s="3929"/>
      <c r="N42" s="3929"/>
      <c r="O42" s="3987"/>
      <c r="P42" s="3987"/>
      <c r="Q42" s="3987"/>
      <c r="R42" s="3987"/>
      <c r="S42" s="3987"/>
      <c r="T42" s="3988"/>
      <c r="U42" s="44"/>
    </row>
    <row r="43" spans="1:72" s="53" customFormat="1" ht="44.25" customHeight="1">
      <c r="A43" s="36"/>
      <c r="B43" s="1499" t="str">
        <f>'Summary-NoCo'!B54</f>
        <v>Produced Water Tank 2</v>
      </c>
      <c r="C43" s="1500" t="str">
        <f>'Summary-NoCo'!C54</f>
        <v>PWTK2</v>
      </c>
      <c r="D43" s="1501" t="str">
        <f>'Summary-NoCo'!D54</f>
        <v>PWTK2</v>
      </c>
      <c r="E43" s="3986" t="str">
        <f>'Summary-NoCo'!E54:T54</f>
        <v>Emissions represented at ECD1.</v>
      </c>
      <c r="F43" s="3987"/>
      <c r="G43" s="3987"/>
      <c r="H43" s="3987"/>
      <c r="I43" s="3987"/>
      <c r="J43" s="3987"/>
      <c r="K43" s="3987"/>
      <c r="L43" s="3987"/>
      <c r="M43" s="3929"/>
      <c r="N43" s="3929"/>
      <c r="O43" s="3987"/>
      <c r="P43" s="3987"/>
      <c r="Q43" s="3987"/>
      <c r="R43" s="3987"/>
      <c r="S43" s="3987"/>
      <c r="T43" s="3988"/>
      <c r="U43" s="44"/>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row>
    <row r="44" spans="1:72" ht="44.25" customHeight="1">
      <c r="A44" s="36"/>
      <c r="B44" s="1499" t="str">
        <f>'Summary-NoCo'!B55</f>
        <v>Produced Water Loading</v>
      </c>
      <c r="C44" s="1500" t="str">
        <f>'Summary-NoCo'!C55</f>
        <v>PWTL</v>
      </c>
      <c r="D44" s="1501" t="str">
        <f>'Summary-NoCo'!D55</f>
        <v>PWTL</v>
      </c>
      <c r="E44" s="817" t="s">
        <v>445</v>
      </c>
      <c r="F44" s="818" t="s">
        <v>445</v>
      </c>
      <c r="G44" s="817" t="s">
        <v>445</v>
      </c>
      <c r="H44" s="818" t="s">
        <v>445</v>
      </c>
      <c r="I44" s="398">
        <f>'Load-H2O'!F33</f>
        <v>0.39339345182963747</v>
      </c>
      <c r="J44" s="406">
        <f>'Load-H2O'!G33</f>
        <v>2.4902276270262185</v>
      </c>
      <c r="K44" s="817" t="s">
        <v>445</v>
      </c>
      <c r="L44" s="818" t="s">
        <v>445</v>
      </c>
      <c r="M44" s="817" t="s">
        <v>445</v>
      </c>
      <c r="N44" s="818" t="s">
        <v>445</v>
      </c>
      <c r="O44" s="817" t="s">
        <v>445</v>
      </c>
      <c r="P44" s="818" t="s">
        <v>445</v>
      </c>
      <c r="Q44" s="817" t="s">
        <v>445</v>
      </c>
      <c r="R44" s="818" t="s">
        <v>445</v>
      </c>
      <c r="S44" s="3993" t="s">
        <v>445</v>
      </c>
      <c r="T44" s="3994"/>
      <c r="U44" s="44"/>
    </row>
    <row r="45" spans="1:72" s="53" customFormat="1" ht="44.25" customHeight="1">
      <c r="A45" s="36"/>
      <c r="B45" s="1499" t="str">
        <f>'Summary-NoCo'!B56</f>
        <v>Slop Oil Loading</v>
      </c>
      <c r="C45" s="1500" t="str">
        <f>'Summary-NoCo'!C56</f>
        <v>OTL</v>
      </c>
      <c r="D45" s="1501" t="str">
        <f>'Summary-NoCo'!D56</f>
        <v>OTL</v>
      </c>
      <c r="E45" s="817" t="s">
        <v>445</v>
      </c>
      <c r="F45" s="818" t="s">
        <v>445</v>
      </c>
      <c r="G45" s="817" t="s">
        <v>445</v>
      </c>
      <c r="H45" s="818" t="s">
        <v>445</v>
      </c>
      <c r="I45" s="398">
        <f>'Load-H2O'!F34</f>
        <v>0</v>
      </c>
      <c r="J45" s="406">
        <f>'Load-H2O'!G34</f>
        <v>0</v>
      </c>
      <c r="K45" s="817" t="s">
        <v>445</v>
      </c>
      <c r="L45" s="818" t="s">
        <v>445</v>
      </c>
      <c r="M45" s="817" t="s">
        <v>445</v>
      </c>
      <c r="N45" s="818" t="s">
        <v>445</v>
      </c>
      <c r="O45" s="817" t="s">
        <v>445</v>
      </c>
      <c r="P45" s="818" t="s">
        <v>445</v>
      </c>
      <c r="Q45" s="817" t="s">
        <v>445</v>
      </c>
      <c r="R45" s="818" t="s">
        <v>445</v>
      </c>
      <c r="S45" s="3993" t="s">
        <v>445</v>
      </c>
      <c r="T45" s="3994"/>
      <c r="U45" s="44"/>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row>
    <row r="46" spans="1:72" s="53" customFormat="1" ht="44.25" customHeight="1">
      <c r="A46" s="36"/>
      <c r="B46" s="1499" t="str">
        <f>'Summary-NoCo'!B57</f>
        <v>Amine Unit 1</v>
      </c>
      <c r="C46" s="1500" t="str">
        <f>'Summary-NoCo'!C57</f>
        <v>AU1</v>
      </c>
      <c r="D46" s="1501" t="str">
        <f>'Summary-NoCo'!D57</f>
        <v>AU1</v>
      </c>
      <c r="E46" s="3986" t="str">
        <f>'Summary-NoCo'!E57</f>
        <v>Emissions represented at TO1.</v>
      </c>
      <c r="F46" s="3987"/>
      <c r="G46" s="3987"/>
      <c r="H46" s="3987"/>
      <c r="I46" s="3987"/>
      <c r="J46" s="3987"/>
      <c r="K46" s="3987"/>
      <c r="L46" s="3987"/>
      <c r="M46" s="3929"/>
      <c r="N46" s="3929"/>
      <c r="O46" s="3987"/>
      <c r="P46" s="3987"/>
      <c r="Q46" s="3987"/>
      <c r="R46" s="3987"/>
      <c r="S46" s="3987"/>
      <c r="T46" s="3988"/>
      <c r="U46" s="44"/>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row>
    <row r="47" spans="1:72" s="53" customFormat="1" ht="44.25" customHeight="1">
      <c r="A47" s="36"/>
      <c r="B47" s="1499" t="str">
        <f>'Summary-NoCo'!B58</f>
        <v>Amine Unit 2</v>
      </c>
      <c r="C47" s="1500" t="str">
        <f>'Summary-NoCo'!C58</f>
        <v>AU2</v>
      </c>
      <c r="D47" s="1501" t="str">
        <f>'Summary-NoCo'!D58</f>
        <v>AU2</v>
      </c>
      <c r="E47" s="3986" t="str">
        <f>'Summary-NoCo'!E58</f>
        <v>Emissions represented at TO2.</v>
      </c>
      <c r="F47" s="3987"/>
      <c r="G47" s="3987"/>
      <c r="H47" s="3987"/>
      <c r="I47" s="3987"/>
      <c r="J47" s="3987"/>
      <c r="K47" s="3987"/>
      <c r="L47" s="3987"/>
      <c r="M47" s="3929"/>
      <c r="N47" s="3929"/>
      <c r="O47" s="3987"/>
      <c r="P47" s="3987"/>
      <c r="Q47" s="3987"/>
      <c r="R47" s="3987"/>
      <c r="S47" s="3987"/>
      <c r="T47" s="3988"/>
      <c r="U47" s="44"/>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row>
    <row r="48" spans="1:72" s="53" customFormat="1" ht="44.25" customHeight="1">
      <c r="A48" s="36"/>
      <c r="B48" s="1499" t="str">
        <f>'Summary-NoCo'!B59</f>
        <v>Amine Unit 3</v>
      </c>
      <c r="C48" s="1500" t="str">
        <f>'Summary-NoCo'!C59</f>
        <v>AU3</v>
      </c>
      <c r="D48" s="1501" t="str">
        <f>'Summary-NoCo'!D59</f>
        <v>AU3</v>
      </c>
      <c r="E48" s="3986" t="str">
        <f>'Summary-NoCo'!E59</f>
        <v>Emissions represented at TO3.</v>
      </c>
      <c r="F48" s="3987"/>
      <c r="G48" s="3987"/>
      <c r="H48" s="3987"/>
      <c r="I48" s="3987"/>
      <c r="J48" s="3987"/>
      <c r="K48" s="3987"/>
      <c r="L48" s="3987"/>
      <c r="M48" s="3929"/>
      <c r="N48" s="3929"/>
      <c r="O48" s="3987"/>
      <c r="P48" s="3987"/>
      <c r="Q48" s="3987"/>
      <c r="R48" s="3987"/>
      <c r="S48" s="3987"/>
      <c r="T48" s="3988"/>
      <c r="U48" s="44"/>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row>
    <row r="49" spans="1:72" s="53" customFormat="1" ht="44.25" customHeight="1">
      <c r="A49" s="36"/>
      <c r="B49" s="178" t="str">
        <f>'2-A_4TURB'!B75</f>
        <v>Gunbarrel Tank</v>
      </c>
      <c r="C49" s="176" t="str">
        <f>'2-E-Co'!A43</f>
        <v>GBS1</v>
      </c>
      <c r="D49" s="179">
        <v>64</v>
      </c>
      <c r="E49" s="3986" t="str">
        <f>E42</f>
        <v>Emissions represented at ECD1.</v>
      </c>
      <c r="F49" s="3987"/>
      <c r="G49" s="3987"/>
      <c r="H49" s="3987"/>
      <c r="I49" s="3987"/>
      <c r="J49" s="3987"/>
      <c r="K49" s="3987"/>
      <c r="L49" s="3987"/>
      <c r="M49" s="3929"/>
      <c r="N49" s="3929"/>
      <c r="O49" s="3987"/>
      <c r="P49" s="3987"/>
      <c r="Q49" s="3987"/>
      <c r="R49" s="3987"/>
      <c r="S49" s="3987"/>
      <c r="T49" s="3988"/>
      <c r="U49" s="44"/>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row>
    <row r="50" spans="1:72" s="53" customFormat="1" ht="44.25" customHeight="1">
      <c r="A50" s="36"/>
      <c r="B50" s="1286" t="str">
        <f>'2-A_4TURB'!B77</f>
        <v>Slop Oil Tank</v>
      </c>
      <c r="C50" s="1287" t="str">
        <f>'2-E-Co'!A44</f>
        <v>OTK7</v>
      </c>
      <c r="D50" s="1288">
        <v>65</v>
      </c>
      <c r="E50" s="3986" t="str">
        <f>E43</f>
        <v>Emissions represented at ECD1.</v>
      </c>
      <c r="F50" s="5343"/>
      <c r="G50" s="5343"/>
      <c r="H50" s="5343"/>
      <c r="I50" s="5343"/>
      <c r="J50" s="5343"/>
      <c r="K50" s="5343"/>
      <c r="L50" s="5343"/>
      <c r="M50" s="3929"/>
      <c r="N50" s="3929"/>
      <c r="O50" s="5343"/>
      <c r="P50" s="5343"/>
      <c r="Q50" s="5343"/>
      <c r="R50" s="5343"/>
      <c r="S50" s="5343"/>
      <c r="T50" s="3988"/>
      <c r="U50" s="44"/>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row>
    <row r="51" spans="1:72" ht="44.25" customHeight="1">
      <c r="A51" s="36"/>
      <c r="B51" s="1032" t="str">
        <f>'Summary-Co'!B49</f>
        <v>Turbine</v>
      </c>
      <c r="C51" s="1284" t="str">
        <f>'Summary-Co'!C49</f>
        <v>TUR1</v>
      </c>
      <c r="D51" s="1285" t="str">
        <f t="shared" ref="D51:D61" si="0">C51</f>
        <v>TUR1</v>
      </c>
      <c r="E51" s="1444">
        <f>Summary_1TUR!E57</f>
        <v>8.4</v>
      </c>
      <c r="F51" s="1282">
        <f>Summary_1TUR!F57</f>
        <v>36.792000000000002</v>
      </c>
      <c r="G51" s="1444">
        <f>Summary_1TUR!G57</f>
        <v>5.0999999999999996</v>
      </c>
      <c r="H51" s="1282">
        <f>Summary_1TUR!H57</f>
        <v>22.338000000000001</v>
      </c>
      <c r="I51" s="1444">
        <f>Summary_1TUR!I57</f>
        <v>9.1999999999999975</v>
      </c>
      <c r="J51" s="1282">
        <f>Summary_1TUR!J57</f>
        <v>40.295999999999992</v>
      </c>
      <c r="K51" s="1444">
        <f>Summary_1TUR!K57</f>
        <v>2.1350532104919506</v>
      </c>
      <c r="L51" s="1282">
        <f>Summary_1TUR!L57</f>
        <v>9.3515330619547434</v>
      </c>
      <c r="M51" s="1444">
        <f>Summary_1TUR!M57</f>
        <v>9.1999999999999993</v>
      </c>
      <c r="N51" s="1282">
        <f>Summary_1TUR!N57</f>
        <v>40.295999999999999</v>
      </c>
      <c r="O51" s="1444">
        <f>Summary_1TUR!O57</f>
        <v>9.1999999999999993</v>
      </c>
      <c r="P51" s="1282">
        <f>Summary_1TUR!P57</f>
        <v>40.295999999999999</v>
      </c>
      <c r="Q51" s="1444">
        <f>Summary_1TUR!Q57</f>
        <v>0.57515169285250722</v>
      </c>
      <c r="R51" s="1282">
        <f>Summary_1TUR!R57</f>
        <v>2.5191644146939818</v>
      </c>
      <c r="S51" s="4017">
        <f>Summary_1TUR!S57</f>
        <v>544368.05460551556</v>
      </c>
      <c r="T51" s="3973"/>
      <c r="U51" s="44"/>
    </row>
    <row r="52" spans="1:72" ht="44.25" customHeight="1">
      <c r="A52" s="36"/>
      <c r="B52" s="1032" t="str">
        <f>B51</f>
        <v>Turbine</v>
      </c>
      <c r="C52" s="176" t="str">
        <f>'Summary-Co'!C50</f>
        <v>TUR2</v>
      </c>
      <c r="D52" s="191" t="str">
        <f t="shared" si="0"/>
        <v>TUR2</v>
      </c>
      <c r="E52" s="1444">
        <f t="shared" ref="E52:S52" si="1">E51</f>
        <v>8.4</v>
      </c>
      <c r="F52" s="1282">
        <f t="shared" si="1"/>
        <v>36.792000000000002</v>
      </c>
      <c r="G52" s="1281">
        <f t="shared" si="1"/>
        <v>5.0999999999999996</v>
      </c>
      <c r="H52" s="1282">
        <f t="shared" si="1"/>
        <v>22.338000000000001</v>
      </c>
      <c r="I52" s="1281">
        <f t="shared" si="1"/>
        <v>9.1999999999999975</v>
      </c>
      <c r="J52" s="1282">
        <f t="shared" si="1"/>
        <v>40.295999999999992</v>
      </c>
      <c r="K52" s="1281">
        <f t="shared" si="1"/>
        <v>2.1350532104919506</v>
      </c>
      <c r="L52" s="1282">
        <f t="shared" si="1"/>
        <v>9.3515330619547434</v>
      </c>
      <c r="M52" s="1281">
        <f t="shared" si="1"/>
        <v>9.1999999999999993</v>
      </c>
      <c r="N52" s="1282">
        <f t="shared" si="1"/>
        <v>40.295999999999999</v>
      </c>
      <c r="O52" s="1281">
        <f t="shared" si="1"/>
        <v>9.1999999999999993</v>
      </c>
      <c r="P52" s="1282">
        <f t="shared" si="1"/>
        <v>40.295999999999999</v>
      </c>
      <c r="Q52" s="817">
        <f t="shared" si="1"/>
        <v>0.57515169285250722</v>
      </c>
      <c r="R52" s="818">
        <f t="shared" si="1"/>
        <v>2.5191644146939818</v>
      </c>
      <c r="S52" s="4017">
        <f t="shared" si="1"/>
        <v>544368.05460551556</v>
      </c>
      <c r="T52" s="3973"/>
      <c r="U52" s="44"/>
    </row>
    <row r="53" spans="1:72" s="53" customFormat="1" ht="44.25" customHeight="1">
      <c r="A53" s="36"/>
      <c r="B53" s="1499" t="str">
        <f>B51</f>
        <v>Turbine</v>
      </c>
      <c r="C53" s="1500" t="str">
        <f>'Summary-Co'!C51</f>
        <v>TUR3</v>
      </c>
      <c r="D53" s="1527" t="str">
        <f t="shared" si="0"/>
        <v>TUR3</v>
      </c>
      <c r="E53" s="3389">
        <f>E51</f>
        <v>8.4</v>
      </c>
      <c r="F53" s="3390">
        <f>F51</f>
        <v>36.792000000000002</v>
      </c>
      <c r="G53" s="3389">
        <f>G51</f>
        <v>5.0999999999999996</v>
      </c>
      <c r="H53" s="3390">
        <f>H51</f>
        <v>22.338000000000001</v>
      </c>
      <c r="I53" s="3389">
        <f>I51</f>
        <v>9.1999999999999975</v>
      </c>
      <c r="J53" s="3390">
        <f>J52</f>
        <v>40.295999999999992</v>
      </c>
      <c r="K53" s="3389">
        <f t="shared" ref="K53:S53" si="2">K51</f>
        <v>2.1350532104919506</v>
      </c>
      <c r="L53" s="3390">
        <f t="shared" si="2"/>
        <v>9.3515330619547434</v>
      </c>
      <c r="M53" s="3389">
        <f t="shared" si="2"/>
        <v>9.1999999999999993</v>
      </c>
      <c r="N53" s="3390">
        <f t="shared" si="2"/>
        <v>40.295999999999999</v>
      </c>
      <c r="O53" s="3389">
        <f t="shared" si="2"/>
        <v>9.1999999999999993</v>
      </c>
      <c r="P53" s="3390">
        <f t="shared" si="2"/>
        <v>40.295999999999999</v>
      </c>
      <c r="Q53" s="1585">
        <f t="shared" si="2"/>
        <v>0.57515169285250722</v>
      </c>
      <c r="R53" s="1586">
        <f t="shared" si="2"/>
        <v>2.5191644146939818</v>
      </c>
      <c r="S53" s="5332">
        <f t="shared" si="2"/>
        <v>544368.05460551556</v>
      </c>
      <c r="T53" s="5323"/>
      <c r="U53" s="44"/>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row>
    <row r="54" spans="1:72" s="53" customFormat="1" ht="44.25" customHeight="1">
      <c r="A54" s="36"/>
      <c r="B54" s="3391" t="str">
        <f>'Summary-Co'!B53</f>
        <v>Emergency Generator</v>
      </c>
      <c r="C54" s="3392" t="str">
        <f>'Summary-Co'!C53</f>
        <v>GEN1</v>
      </c>
      <c r="D54" s="3393" t="str">
        <f t="shared" si="0"/>
        <v>GEN1</v>
      </c>
      <c r="E54" s="3394">
        <f>'Summary-Co'!E53</f>
        <v>7.6014109347442673</v>
      </c>
      <c r="F54" s="3395">
        <f>'Summary-Co'!F53</f>
        <v>0.38007054673721336</v>
      </c>
      <c r="G54" s="3394">
        <f>'Summary-Co'!G53</f>
        <v>12.770370370370369</v>
      </c>
      <c r="H54" s="3395">
        <f>'Summary-Co'!H53</f>
        <v>0.63851851851851849</v>
      </c>
      <c r="I54" s="3394">
        <f>'Summary-Co'!I53</f>
        <v>4.887584801621446</v>
      </c>
      <c r="J54" s="3395">
        <f>'Summary-Co'!J53</f>
        <v>0.24437924008107231</v>
      </c>
      <c r="K54" s="3394">
        <f>'Summary-Co'!K53</f>
        <v>5.268486050420168E-2</v>
      </c>
      <c r="L54" s="3395">
        <f>'Summary-Co'!L53</f>
        <v>2.6342430252100841E-3</v>
      </c>
      <c r="M54" s="3394">
        <f>'Summary-Co'!M53</f>
        <v>0.21023717968</v>
      </c>
      <c r="N54" s="3395">
        <f>'Summary-Co'!N53</f>
        <v>1.0511858984E-2</v>
      </c>
      <c r="O54" s="3394">
        <f>'Summary-Co'!O53</f>
        <v>0.21023717968</v>
      </c>
      <c r="P54" s="3395">
        <f>'Summary-Co'!P53</f>
        <v>1.0511858984E-2</v>
      </c>
      <c r="Q54" s="3394">
        <f>'Summary-Co'!Q53</f>
        <v>2.0982598998460671</v>
      </c>
      <c r="R54" s="3395">
        <f>'Summary-Co'!R53</f>
        <v>0.10491299499230333</v>
      </c>
      <c r="S54" s="5347">
        <f>'Summary-Co'!S53:T53</f>
        <v>157.09885782590544</v>
      </c>
      <c r="T54" s="5348"/>
      <c r="U54" s="44"/>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row>
    <row r="55" spans="1:72" s="53" customFormat="1" ht="44.25" customHeight="1">
      <c r="A55" s="36"/>
      <c r="B55" s="1499" t="str">
        <f>'Summary-Co'!B54</f>
        <v>Emergency Generator</v>
      </c>
      <c r="C55" s="1500" t="str">
        <f>'Summary-Co'!C54</f>
        <v>GEN2</v>
      </c>
      <c r="D55" s="1527" t="str">
        <f t="shared" si="0"/>
        <v>GEN2</v>
      </c>
      <c r="E55" s="3389">
        <f>'Summary-Co'!E54</f>
        <v>7.6014109347442673</v>
      </c>
      <c r="F55" s="3390">
        <f>'Summary-Co'!F54</f>
        <v>0.38007054673721336</v>
      </c>
      <c r="G55" s="3389">
        <f>'Summary-Co'!G54</f>
        <v>12.770370370370369</v>
      </c>
      <c r="H55" s="3390">
        <f>'Summary-Co'!H54</f>
        <v>0.63851851851851849</v>
      </c>
      <c r="I55" s="3389">
        <f>'Summary-Co'!I54</f>
        <v>4.887584801621446</v>
      </c>
      <c r="J55" s="3390">
        <f>'Summary-Co'!J54</f>
        <v>0.24437924008107231</v>
      </c>
      <c r="K55" s="3389">
        <f>'Summary-Co'!K54</f>
        <v>5.268486050420168E-2</v>
      </c>
      <c r="L55" s="3390">
        <f>'Summary-Co'!L54</f>
        <v>2.6342430252100841E-3</v>
      </c>
      <c r="M55" s="3389">
        <f>'Summary-Co'!M54</f>
        <v>0.21023717968</v>
      </c>
      <c r="N55" s="3390">
        <f>'Summary-Co'!N54</f>
        <v>1.0511858984E-2</v>
      </c>
      <c r="O55" s="3389">
        <f>'Summary-Co'!O54</f>
        <v>0.21023717968</v>
      </c>
      <c r="P55" s="3390">
        <f>'Summary-Co'!P54</f>
        <v>1.0511858984E-2</v>
      </c>
      <c r="Q55" s="3389">
        <f>'Summary-Co'!Q54</f>
        <v>2.0982598998460671</v>
      </c>
      <c r="R55" s="3390">
        <f>'Summary-Co'!R54</f>
        <v>0.10491299499230333</v>
      </c>
      <c r="S55" s="5332">
        <f>'Summary-Co'!S54:T54</f>
        <v>157.09885782590544</v>
      </c>
      <c r="T55" s="5346"/>
      <c r="U55" s="44"/>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row>
    <row r="56" spans="1:72" s="53" customFormat="1" ht="44.25" customHeight="1">
      <c r="A56" s="36"/>
      <c r="B56" s="1499" t="str">
        <f>'Summary-Co'!B55</f>
        <v>Emergency Generator</v>
      </c>
      <c r="C56" s="1500" t="str">
        <f>'Summary-Co'!C55</f>
        <v>GEN3</v>
      </c>
      <c r="D56" s="1527" t="str">
        <f t="shared" si="0"/>
        <v>GEN3</v>
      </c>
      <c r="E56" s="3389">
        <f>'Summary-Co'!E55</f>
        <v>7.6014109347442673</v>
      </c>
      <c r="F56" s="3390">
        <f>'Summary-Co'!F55</f>
        <v>0.38007054673721336</v>
      </c>
      <c r="G56" s="3389">
        <f>'Summary-Co'!G55</f>
        <v>12.770370370370369</v>
      </c>
      <c r="H56" s="3390">
        <f>'Summary-Co'!H55</f>
        <v>0.63851851851851849</v>
      </c>
      <c r="I56" s="3389">
        <f>'Summary-Co'!I55</f>
        <v>4.887584801621446</v>
      </c>
      <c r="J56" s="3390">
        <f>'Summary-Co'!J55</f>
        <v>0.24437924008107231</v>
      </c>
      <c r="K56" s="3389">
        <f>'Summary-Co'!K55</f>
        <v>5.268486050420168E-2</v>
      </c>
      <c r="L56" s="3390">
        <f>'Summary-Co'!L55</f>
        <v>2.6342430252100841E-3</v>
      </c>
      <c r="M56" s="3389">
        <f>'Summary-Co'!M55</f>
        <v>0.21023717968</v>
      </c>
      <c r="N56" s="3390">
        <f>'Summary-Co'!N55</f>
        <v>1.0511858984E-2</v>
      </c>
      <c r="O56" s="3389">
        <f>'Summary-Co'!O55</f>
        <v>0.21023717968</v>
      </c>
      <c r="P56" s="3390">
        <f>'Summary-Co'!P55</f>
        <v>1.0511858984E-2</v>
      </c>
      <c r="Q56" s="3389">
        <f>'Summary-Co'!Q55</f>
        <v>2.0982598998460671</v>
      </c>
      <c r="R56" s="3390">
        <f>'Summary-Co'!R55</f>
        <v>0.10491299499230333</v>
      </c>
      <c r="S56" s="5332">
        <f>'Summary-Co'!S55:T55</f>
        <v>157.09885782590544</v>
      </c>
      <c r="T56" s="5346"/>
      <c r="U56" s="44"/>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row>
    <row r="57" spans="1:72" s="53" customFormat="1" ht="44.25" customHeight="1">
      <c r="A57" s="36"/>
      <c r="B57" s="1499" t="str">
        <f>'Summary-Co'!B56</f>
        <v>Emergency Generator</v>
      </c>
      <c r="C57" s="1500" t="str">
        <f>'Summary-Co'!C56</f>
        <v>GEN4</v>
      </c>
      <c r="D57" s="1527" t="str">
        <f t="shared" si="0"/>
        <v>GEN4</v>
      </c>
      <c r="E57" s="3389">
        <f>'Summary-Co'!E56</f>
        <v>7.6014109347442673</v>
      </c>
      <c r="F57" s="3390">
        <f>'Summary-Co'!F56</f>
        <v>0.38007054673721336</v>
      </c>
      <c r="G57" s="3389">
        <f>'Summary-Co'!G56</f>
        <v>12.770370370370369</v>
      </c>
      <c r="H57" s="3390">
        <f>'Summary-Co'!H56</f>
        <v>0.63851851851851849</v>
      </c>
      <c r="I57" s="3389">
        <f>'Summary-Co'!I56</f>
        <v>4.887584801621446</v>
      </c>
      <c r="J57" s="3390">
        <f>'Summary-Co'!J56</f>
        <v>0.24437924008107231</v>
      </c>
      <c r="K57" s="3389">
        <f>'Summary-Co'!K56</f>
        <v>5.268486050420168E-2</v>
      </c>
      <c r="L57" s="3390">
        <f>'Summary-Co'!L56</f>
        <v>2.6342430252100841E-3</v>
      </c>
      <c r="M57" s="3389">
        <f>'Summary-Co'!M56</f>
        <v>0.21023717968</v>
      </c>
      <c r="N57" s="3390">
        <f>'Summary-Co'!N56</f>
        <v>1.0511858984E-2</v>
      </c>
      <c r="O57" s="3389">
        <f>'Summary-Co'!O56</f>
        <v>0.21023717968</v>
      </c>
      <c r="P57" s="3390">
        <f>'Summary-Co'!P56</f>
        <v>1.0511858984E-2</v>
      </c>
      <c r="Q57" s="3389">
        <f>'Summary-Co'!Q56</f>
        <v>2.0982598998460671</v>
      </c>
      <c r="R57" s="3390">
        <f>'Summary-Co'!R56</f>
        <v>0.10491299499230333</v>
      </c>
      <c r="S57" s="5332">
        <f>'Summary-Co'!S56:T56</f>
        <v>157.09885782590544</v>
      </c>
      <c r="T57" s="5346"/>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44.25" customHeight="1">
      <c r="A58" s="36"/>
      <c r="B58" s="1499" t="str">
        <f>'Summary-Co'!B57</f>
        <v>Emergency Generator</v>
      </c>
      <c r="C58" s="1500" t="str">
        <f>'Summary-Co'!C57</f>
        <v>GEN5</v>
      </c>
      <c r="D58" s="1527" t="str">
        <f t="shared" si="0"/>
        <v>GEN5</v>
      </c>
      <c r="E58" s="3389">
        <f>'Summary-Co'!E57</f>
        <v>7.6014109347442673</v>
      </c>
      <c r="F58" s="3390">
        <f>'Summary-Co'!F57</f>
        <v>0.38007054673721336</v>
      </c>
      <c r="G58" s="3389">
        <f>'Summary-Co'!G57</f>
        <v>12.770370370370369</v>
      </c>
      <c r="H58" s="3390">
        <f>'Summary-Co'!H57</f>
        <v>0.63851851851851849</v>
      </c>
      <c r="I58" s="3389">
        <f>'Summary-Co'!I57</f>
        <v>4.887584801621446</v>
      </c>
      <c r="J58" s="3390">
        <f>'Summary-Co'!J57</f>
        <v>0.24437924008107231</v>
      </c>
      <c r="K58" s="3389">
        <f>'Summary-Co'!K57</f>
        <v>5.268486050420168E-2</v>
      </c>
      <c r="L58" s="3390">
        <f>'Summary-Co'!L57</f>
        <v>2.6342430252100841E-3</v>
      </c>
      <c r="M58" s="3389">
        <f>'Summary-Co'!M57</f>
        <v>0.21023717968</v>
      </c>
      <c r="N58" s="3390">
        <f>'Summary-Co'!N57</f>
        <v>1.0511858984E-2</v>
      </c>
      <c r="O58" s="3389">
        <f>'Summary-Co'!O57</f>
        <v>0.21023717968</v>
      </c>
      <c r="P58" s="3390">
        <f>'Summary-Co'!P57</f>
        <v>1.0511858984E-2</v>
      </c>
      <c r="Q58" s="3389">
        <f>'Summary-Co'!Q57</f>
        <v>2.0982598998460671</v>
      </c>
      <c r="R58" s="3390">
        <f>'Summary-Co'!R57</f>
        <v>0.10491299499230333</v>
      </c>
      <c r="S58" s="5332">
        <f>'Summary-Co'!S57:T57</f>
        <v>157.09885782590544</v>
      </c>
      <c r="T58" s="5346"/>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s="53" customFormat="1" ht="44.25" customHeight="1" thickBot="1">
      <c r="A59" s="36"/>
      <c r="B59" s="3396" t="str">
        <f>'Summary-Co'!B58</f>
        <v>Emergency Generator</v>
      </c>
      <c r="C59" s="3397" t="str">
        <f>'Summary-Co'!C58</f>
        <v>GEN6</v>
      </c>
      <c r="D59" s="1027" t="str">
        <f t="shared" si="0"/>
        <v>GEN6</v>
      </c>
      <c r="E59" s="3398">
        <f>'Summary-Co'!E58</f>
        <v>7.6014109347442673</v>
      </c>
      <c r="F59" s="1303">
        <f>'Summary-Co'!F58</f>
        <v>0.38007054673721336</v>
      </c>
      <c r="G59" s="3398">
        <f>'Summary-Co'!G58</f>
        <v>12.770370370370369</v>
      </c>
      <c r="H59" s="1303">
        <f>'Summary-Co'!H58</f>
        <v>0.63851851851851849</v>
      </c>
      <c r="I59" s="3398">
        <f>'Summary-Co'!I58</f>
        <v>4.887584801621446</v>
      </c>
      <c r="J59" s="1303">
        <f>'Summary-Co'!J58</f>
        <v>0.24437924008107231</v>
      </c>
      <c r="K59" s="3398">
        <f>'Summary-Co'!K58</f>
        <v>5.268486050420168E-2</v>
      </c>
      <c r="L59" s="1303">
        <f>'Summary-Co'!L58</f>
        <v>2.6342430252100841E-3</v>
      </c>
      <c r="M59" s="3398">
        <f>'Summary-Co'!M58</f>
        <v>0.21023717968</v>
      </c>
      <c r="N59" s="1303">
        <f>'Summary-Co'!N58</f>
        <v>1.0511858984E-2</v>
      </c>
      <c r="O59" s="3398">
        <f>'Summary-Co'!O58</f>
        <v>0.21023717968</v>
      </c>
      <c r="P59" s="1303">
        <f>'Summary-Co'!P58</f>
        <v>1.0511858984E-2</v>
      </c>
      <c r="Q59" s="3398">
        <f>'Summary-Co'!Q58</f>
        <v>2.0982598998460671</v>
      </c>
      <c r="R59" s="1303">
        <f>'Summary-Co'!R58</f>
        <v>0.10491299499230333</v>
      </c>
      <c r="S59" s="5344">
        <f>'Summary-Co'!S58:T58</f>
        <v>157.09885782590544</v>
      </c>
      <c r="T59" s="5345"/>
      <c r="U59" s="44"/>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row>
    <row r="60" spans="1:72" s="53" customFormat="1" ht="44.25" customHeight="1">
      <c r="A60" s="36"/>
      <c r="B60" s="1499" t="str">
        <f>'Summary-Co'!B59</f>
        <v>Emergency Generator</v>
      </c>
      <c r="C60" s="1500" t="str">
        <f>'Summary-Co'!C59</f>
        <v>GEN7</v>
      </c>
      <c r="D60" s="1527" t="str">
        <f t="shared" si="0"/>
        <v>GEN7</v>
      </c>
      <c r="E60" s="3389">
        <f>'Summary-Co'!E59</f>
        <v>7.6014109347442673</v>
      </c>
      <c r="F60" s="3390">
        <f>'Summary-Co'!F59</f>
        <v>0.38007054673721336</v>
      </c>
      <c r="G60" s="3389">
        <f>'Summary-Co'!G59</f>
        <v>12.770370370370369</v>
      </c>
      <c r="H60" s="3390">
        <f>'Summary-Co'!H59</f>
        <v>0.63851851851851849</v>
      </c>
      <c r="I60" s="3389">
        <f>'Summary-Co'!I59</f>
        <v>4.887584801621446</v>
      </c>
      <c r="J60" s="3390">
        <f>'Summary-Co'!J59</f>
        <v>0.24437924008107231</v>
      </c>
      <c r="K60" s="3389">
        <f>'Summary-Co'!K59</f>
        <v>5.268486050420168E-2</v>
      </c>
      <c r="L60" s="3390">
        <f>'Summary-Co'!L59</f>
        <v>2.6342430252100841E-3</v>
      </c>
      <c r="M60" s="3389">
        <f>'Summary-Co'!M59</f>
        <v>0.21023717968</v>
      </c>
      <c r="N60" s="3390">
        <f>'Summary-Co'!N59</f>
        <v>1.0511858984E-2</v>
      </c>
      <c r="O60" s="3389">
        <f>'Summary-Co'!O59</f>
        <v>0.21023717968</v>
      </c>
      <c r="P60" s="3390">
        <f>'Summary-Co'!P59</f>
        <v>1.0511858984E-2</v>
      </c>
      <c r="Q60" s="3389">
        <f>'Summary-Co'!Q59</f>
        <v>2.0982598998460671</v>
      </c>
      <c r="R60" s="3390">
        <f>'Summary-Co'!R59</f>
        <v>0.10491299499230333</v>
      </c>
      <c r="S60" s="5332">
        <f>'Summary-Co'!S59:T59</f>
        <v>157.09885782590544</v>
      </c>
      <c r="T60" s="5346"/>
      <c r="U60" s="4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s="53" customFormat="1" ht="44.25" customHeight="1" thickBot="1">
      <c r="A61" s="36"/>
      <c r="B61" s="3396" t="str">
        <f>'Summary-Co'!B60</f>
        <v>Emergency Generator</v>
      </c>
      <c r="C61" s="3397" t="str">
        <f>'Summary-Co'!C60</f>
        <v>GEN8</v>
      </c>
      <c r="D61" s="1027" t="str">
        <f t="shared" si="0"/>
        <v>GEN8</v>
      </c>
      <c r="E61" s="3398">
        <f>'Summary-Co'!E60</f>
        <v>7.6014109347442673</v>
      </c>
      <c r="F61" s="1303">
        <f>'Summary-Co'!F60</f>
        <v>0.38007054673721336</v>
      </c>
      <c r="G61" s="3398">
        <f>'Summary-Co'!G60</f>
        <v>12.770370370370369</v>
      </c>
      <c r="H61" s="1303">
        <f>'Summary-Co'!H60</f>
        <v>0.63851851851851849</v>
      </c>
      <c r="I61" s="3398">
        <f>'Summary-Co'!I60</f>
        <v>4.887584801621446</v>
      </c>
      <c r="J61" s="1303">
        <f>'Summary-Co'!J60</f>
        <v>0.24437924008107231</v>
      </c>
      <c r="K61" s="3398">
        <f>'Summary-Co'!K60</f>
        <v>5.268486050420168E-2</v>
      </c>
      <c r="L61" s="1303">
        <f>'Summary-Co'!L60</f>
        <v>2.6342430252100841E-3</v>
      </c>
      <c r="M61" s="3398">
        <f>'Summary-Co'!M60</f>
        <v>0.21023717968</v>
      </c>
      <c r="N61" s="1303">
        <f>'Summary-Co'!N60</f>
        <v>1.0511858984E-2</v>
      </c>
      <c r="O61" s="3398">
        <f>'Summary-Co'!O60</f>
        <v>0.21023717968</v>
      </c>
      <c r="P61" s="1303">
        <f>'Summary-Co'!P60</f>
        <v>1.0511858984E-2</v>
      </c>
      <c r="Q61" s="3398">
        <f>'Summary-Co'!Q60</f>
        <v>2.0982598998460671</v>
      </c>
      <c r="R61" s="1303">
        <f>'Summary-Co'!R60</f>
        <v>0.10491299499230333</v>
      </c>
      <c r="S61" s="5344">
        <f>'Summary-Co'!S60:T60</f>
        <v>157.09885782590544</v>
      </c>
      <c r="T61" s="5345"/>
      <c r="U61" s="44"/>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row>
    <row r="62" spans="1:72" ht="24" customHeight="1" thickBot="1">
      <c r="A62" s="36"/>
      <c r="B62" s="180"/>
      <c r="C62" s="180"/>
      <c r="D62" s="180"/>
      <c r="E62" s="181"/>
      <c r="F62" s="181"/>
      <c r="G62" s="181"/>
      <c r="H62" s="182"/>
      <c r="I62" s="182"/>
      <c r="J62" s="182"/>
      <c r="K62" s="182"/>
      <c r="L62" s="182"/>
      <c r="M62" s="182"/>
      <c r="N62" s="182"/>
      <c r="O62" s="182"/>
      <c r="P62" s="182"/>
      <c r="Q62" s="182"/>
      <c r="R62" s="182"/>
      <c r="S62" s="182"/>
      <c r="T62" s="182"/>
      <c r="U62" s="44"/>
    </row>
    <row r="63" spans="1:72" s="9" customFormat="1" ht="42" customHeight="1">
      <c r="A63" s="23"/>
      <c r="B63" s="3952" t="s">
        <v>64</v>
      </c>
      <c r="C63" s="3958"/>
      <c r="D63" s="3955"/>
      <c r="E63" s="3952" t="s">
        <v>21</v>
      </c>
      <c r="F63" s="3955"/>
      <c r="G63" s="3952" t="s">
        <v>0</v>
      </c>
      <c r="H63" s="3953"/>
      <c r="I63" s="3950" t="s">
        <v>283</v>
      </c>
      <c r="J63" s="3951"/>
      <c r="K63" s="3952" t="s">
        <v>284</v>
      </c>
      <c r="L63" s="3953"/>
      <c r="M63" s="3952" t="s">
        <v>1311</v>
      </c>
      <c r="N63" s="3953"/>
      <c r="O63" s="3954" t="s">
        <v>285</v>
      </c>
      <c r="P63" s="3955"/>
      <c r="Q63" s="3952" t="s">
        <v>15</v>
      </c>
      <c r="R63" s="3953"/>
      <c r="S63" s="3952" t="s">
        <v>273</v>
      </c>
      <c r="T63" s="3953"/>
      <c r="U63" s="24"/>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row>
    <row r="64" spans="1:72" s="9" customFormat="1" ht="26.25" customHeight="1">
      <c r="A64" s="23"/>
      <c r="B64" s="3959"/>
      <c r="C64" s="3960"/>
      <c r="D64" s="3961"/>
      <c r="E64" s="183" t="s">
        <v>22</v>
      </c>
      <c r="F64" s="184" t="s">
        <v>37</v>
      </c>
      <c r="G64" s="183" t="s">
        <v>22</v>
      </c>
      <c r="H64" s="185" t="s">
        <v>37</v>
      </c>
      <c r="I64" s="186" t="s">
        <v>22</v>
      </c>
      <c r="J64" s="184" t="s">
        <v>37</v>
      </c>
      <c r="K64" s="183" t="s">
        <v>22</v>
      </c>
      <c r="L64" s="185" t="s">
        <v>37</v>
      </c>
      <c r="M64" s="1407" t="s">
        <v>22</v>
      </c>
      <c r="N64" s="1408" t="s">
        <v>37</v>
      </c>
      <c r="O64" s="186" t="s">
        <v>22</v>
      </c>
      <c r="P64" s="184" t="s">
        <v>37</v>
      </c>
      <c r="Q64" s="183" t="s">
        <v>22</v>
      </c>
      <c r="R64" s="185" t="s">
        <v>37</v>
      </c>
      <c r="S64" s="3995" t="s">
        <v>37</v>
      </c>
      <c r="T64" s="3996"/>
      <c r="U64" s="24"/>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row>
    <row r="65" spans="1:72" s="9" customFormat="1" ht="44.25" customHeight="1" thickBot="1">
      <c r="A65" s="23"/>
      <c r="B65" s="3962"/>
      <c r="C65" s="3963"/>
      <c r="D65" s="3964"/>
      <c r="E65" s="2967">
        <f>SUM(E12:E22)+E24++E35+E36+E37+E38+E51+E52+E53</f>
        <v>152.9867555074579</v>
      </c>
      <c r="F65" s="2968">
        <f>SUM(F12:F61)</f>
        <v>253.4430506612014</v>
      </c>
      <c r="G65" s="2967">
        <f>SUM(G12:G22)+G24++G35+G36+G37+G38+G51+G52+G53</f>
        <v>242.40789435736707</v>
      </c>
      <c r="H65" s="2968">
        <f>SUM(H12:H61)</f>
        <v>229.01629767151556</v>
      </c>
      <c r="I65" s="2967">
        <f>SUM(I12:I22)+I23++I35+I36+I37+I38+I51+I52+I53</f>
        <v>444.91752484709582</v>
      </c>
      <c r="J65" s="2968">
        <f>SUM(J12:J61)</f>
        <v>455.31748957227279</v>
      </c>
      <c r="K65" s="2967">
        <f>SUM(K12:K22)+K24++K35+K36+K37+K38+K51+K52+K53</f>
        <v>10.103350976164879</v>
      </c>
      <c r="L65" s="2968">
        <f>SUM(L12:L61)</f>
        <v>44.061148758550999</v>
      </c>
      <c r="M65" s="2967">
        <f>SUM(M12:M22)+M24++M35+M36+M37+M38+M51+M52+M53</f>
        <v>37.402136292241934</v>
      </c>
      <c r="N65" s="2968">
        <f>SUM(N12:N61)</f>
        <v>150.89784800869666</v>
      </c>
      <c r="O65" s="2967">
        <f>SUM(O12:O22)+O24++O35+O36+O37+O38+O51+O52+O53</f>
        <v>37.402136292241934</v>
      </c>
      <c r="P65" s="2968">
        <f>SUM(P12:P61)</f>
        <v>144.32171199610292</v>
      </c>
      <c r="Q65" s="2967">
        <f>SUM(Q12:Q22)+Q35+Q36+Q37+Q38+Q51+Q52+Q53+Q54+Q55+Q56+Q57+Q58+Q59+Q60+Q61</f>
        <v>19.915697614788129</v>
      </c>
      <c r="R65" s="2968">
        <f>SUM(R12:R61)</f>
        <v>24.682685212248586</v>
      </c>
      <c r="S65" s="4346">
        <f>SUM(S12:S59)</f>
        <v>2216014.8659521169</v>
      </c>
      <c r="T65" s="4347">
        <f>SUM(T10:T47)</f>
        <v>0</v>
      </c>
      <c r="U65" s="24"/>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row>
    <row r="66" spans="1:72" ht="27.75" customHeight="1" thickBot="1">
      <c r="A66" s="31"/>
      <c r="B66" s="3956"/>
      <c r="C66" s="3956"/>
      <c r="D66" s="3956"/>
      <c r="E66" s="3956"/>
      <c r="F66" s="3956"/>
      <c r="G66" s="3956"/>
      <c r="H66" s="3956"/>
      <c r="I66" s="3956"/>
      <c r="J66" s="3956"/>
      <c r="K66" s="3956"/>
      <c r="L66" s="3956"/>
      <c r="M66" s="3957"/>
      <c r="N66" s="3957"/>
      <c r="O66" s="3956"/>
      <c r="P66" s="3956"/>
      <c r="Q66" s="3956"/>
      <c r="R66" s="3956"/>
      <c r="S66" s="1495"/>
      <c r="T66" s="1495"/>
      <c r="U66" s="40"/>
    </row>
    <row r="67" spans="1:72" ht="13.5" thickBot="1">
      <c r="B67" s="6"/>
      <c r="C67" s="6"/>
      <c r="D67" s="6"/>
      <c r="E67" s="6"/>
      <c r="F67" s="6"/>
      <c r="G67" s="6"/>
      <c r="H67" s="6"/>
      <c r="I67" s="6"/>
      <c r="J67" s="6"/>
      <c r="K67" s="6"/>
      <c r="L67" s="6"/>
      <c r="M67" s="5"/>
      <c r="N67" s="5"/>
      <c r="O67" s="5"/>
      <c r="P67" s="5"/>
      <c r="Q67" s="5"/>
      <c r="R67" s="5"/>
      <c r="S67" s="5"/>
      <c r="T67" s="5"/>
    </row>
    <row r="68" spans="1:72" ht="44.15" customHeight="1" thickBot="1">
      <c r="B68" s="4003" t="s">
        <v>1132</v>
      </c>
      <c r="C68" s="4004"/>
      <c r="D68" s="5327"/>
      <c r="E68" s="1202" t="s">
        <v>22</v>
      </c>
      <c r="F68" s="1304" t="s">
        <v>37</v>
      </c>
      <c r="G68" s="1306" t="s">
        <v>22</v>
      </c>
      <c r="H68" s="1203" t="s">
        <v>37</v>
      </c>
      <c r="I68" s="1202" t="s">
        <v>22</v>
      </c>
      <c r="J68" s="1304" t="s">
        <v>37</v>
      </c>
      <c r="K68" s="1306" t="s">
        <v>22</v>
      </c>
      <c r="L68" s="1203" t="s">
        <v>37</v>
      </c>
      <c r="M68" s="1202" t="s">
        <v>22</v>
      </c>
      <c r="N68" s="1203" t="s">
        <v>37</v>
      </c>
      <c r="O68" s="1202" t="s">
        <v>22</v>
      </c>
      <c r="P68" s="1203" t="s">
        <v>37</v>
      </c>
    </row>
    <row r="69" spans="1:72" ht="44.15" customHeight="1">
      <c r="B69" s="4005" t="s">
        <v>1133</v>
      </c>
      <c r="C69" s="4006"/>
      <c r="D69" s="5328"/>
      <c r="E69" s="1201">
        <f t="shared" ref="E69:P69" si="3">SUM(E12:E19)</f>
        <v>13.532223999999999</v>
      </c>
      <c r="F69" s="1305">
        <f t="shared" si="3"/>
        <v>59.271141120000003</v>
      </c>
      <c r="G69" s="1307">
        <f t="shared" si="3"/>
        <v>7.8358989999999986</v>
      </c>
      <c r="H69" s="1308">
        <f t="shared" si="3"/>
        <v>34.321237619999998</v>
      </c>
      <c r="I69" s="1201">
        <f t="shared" si="3"/>
        <v>3.0766720000000003</v>
      </c>
      <c r="J69" s="1305">
        <f t="shared" si="3"/>
        <v>13.475823359999998</v>
      </c>
      <c r="K69" s="1307">
        <f t="shared" si="3"/>
        <v>1.060433823529412</v>
      </c>
      <c r="L69" s="1308">
        <f t="shared" si="3"/>
        <v>4.6447001470588241</v>
      </c>
      <c r="M69" s="1201">
        <f t="shared" si="3"/>
        <v>3.5819098039215689</v>
      </c>
      <c r="N69" s="1204">
        <f t="shared" si="3"/>
        <v>15.688764941176469</v>
      </c>
      <c r="O69" s="1201">
        <f t="shared" si="3"/>
        <v>3.5819098039215689</v>
      </c>
      <c r="P69" s="1204">
        <f t="shared" si="3"/>
        <v>15.688764941176469</v>
      </c>
      <c r="Q69" s="1029"/>
      <c r="R69" s="1029"/>
      <c r="S69" s="1029"/>
      <c r="T69" s="1029"/>
    </row>
    <row r="70" spans="1:72" ht="44.15" customHeight="1">
      <c r="B70" s="5329" t="s">
        <v>1134</v>
      </c>
      <c r="C70" s="5330"/>
      <c r="D70" s="5331"/>
      <c r="E70" s="1450">
        <f>E12+E13+E35</f>
        <v>5.0550680516780506</v>
      </c>
      <c r="F70" s="1451">
        <f>F12+F13+F35</f>
        <v>21.249852807377625</v>
      </c>
      <c r="G70" s="1450">
        <f>G12+G13+G35</f>
        <v>5.2939778350529192</v>
      </c>
      <c r="H70" s="1451">
        <f>H12+H13+H35</f>
        <v>21.408161911395183</v>
      </c>
      <c r="I70" s="1450">
        <f>I12+I13+I25+I26+I27+I28+I35+I39+I44</f>
        <v>43.816679802551036</v>
      </c>
      <c r="J70" s="1451">
        <f>J12+J13+J25+J26+J27+J28+J35+J39+J44</f>
        <v>189.08129249641019</v>
      </c>
      <c r="K70" s="1450">
        <f t="shared" ref="K70:P70" si="4">K12+K13+K35</f>
        <v>0.28601470588235295</v>
      </c>
      <c r="L70" s="1451">
        <f t="shared" si="4"/>
        <v>1.252744411764706</v>
      </c>
      <c r="M70" s="1450">
        <f t="shared" si="4"/>
        <v>1.0521122335376041</v>
      </c>
      <c r="N70" s="1451">
        <f t="shared" si="4"/>
        <v>4.3602929315521157</v>
      </c>
      <c r="O70" s="1450">
        <f t="shared" si="4"/>
        <v>1.0521122335376041</v>
      </c>
      <c r="P70" s="1451">
        <f t="shared" si="4"/>
        <v>4.3602929315521157</v>
      </c>
      <c r="Q70" s="1029"/>
      <c r="R70" s="1029"/>
      <c r="S70" s="1029"/>
      <c r="T70" s="1029"/>
    </row>
    <row r="71" spans="1:72" ht="44.15" customHeight="1" thickBot="1">
      <c r="B71" s="5333" t="s">
        <v>1138</v>
      </c>
      <c r="C71" s="5334"/>
      <c r="D71" s="5335"/>
      <c r="E71" s="1452">
        <f t="shared" ref="E71:P71" si="5">SUM(E51:E53)</f>
        <v>25.200000000000003</v>
      </c>
      <c r="F71" s="1453">
        <f t="shared" si="5"/>
        <v>110.376</v>
      </c>
      <c r="G71" s="1452">
        <f t="shared" si="5"/>
        <v>15.299999999999999</v>
      </c>
      <c r="H71" s="1454">
        <f t="shared" si="5"/>
        <v>67.01400000000001</v>
      </c>
      <c r="I71" s="1452">
        <f t="shared" si="5"/>
        <v>27.599999999999994</v>
      </c>
      <c r="J71" s="1454">
        <f t="shared" si="5"/>
        <v>120.88799999999998</v>
      </c>
      <c r="K71" s="1452">
        <f t="shared" si="5"/>
        <v>6.4051596314758523</v>
      </c>
      <c r="L71" s="1454">
        <f t="shared" si="5"/>
        <v>28.05459918586423</v>
      </c>
      <c r="M71" s="1452">
        <f t="shared" si="5"/>
        <v>27.599999999999998</v>
      </c>
      <c r="N71" s="1454">
        <f t="shared" si="5"/>
        <v>120.88800000000001</v>
      </c>
      <c r="O71" s="1452">
        <f t="shared" si="5"/>
        <v>27.599999999999998</v>
      </c>
      <c r="P71" s="1454">
        <f t="shared" si="5"/>
        <v>120.88800000000001</v>
      </c>
      <c r="Q71" s="1029"/>
      <c r="R71" s="1029"/>
      <c r="S71" s="1029"/>
      <c r="T71" s="1029"/>
    </row>
    <row r="72" spans="1:72" ht="44.15" customHeight="1" thickBot="1">
      <c r="B72" s="5326"/>
      <c r="C72" s="5326"/>
      <c r="D72" s="5326"/>
      <c r="E72" s="1448"/>
      <c r="F72" s="1449"/>
      <c r="G72" s="1448"/>
      <c r="H72" s="1449"/>
      <c r="I72" s="1448"/>
      <c r="J72" s="1449"/>
      <c r="K72" s="1448"/>
      <c r="L72" s="1449"/>
      <c r="M72" s="1448"/>
      <c r="N72" s="1449"/>
      <c r="O72" s="1448"/>
      <c r="P72" s="1449"/>
      <c r="W72" s="1037"/>
    </row>
    <row r="73" spans="1:72" ht="29.25" customHeight="1">
      <c r="D73" s="1216" t="s">
        <v>1223</v>
      </c>
      <c r="F73" s="1213"/>
      <c r="G73" s="1427" t="s">
        <v>1326</v>
      </c>
      <c r="H73" s="1428" t="s">
        <v>1298</v>
      </c>
      <c r="I73" s="1429"/>
      <c r="K73" s="1216" t="s">
        <v>1308</v>
      </c>
      <c r="L73" s="1216"/>
    </row>
    <row r="74" spans="1:72" ht="26.25" customHeight="1">
      <c r="D74" s="1209" t="s">
        <v>1327</v>
      </c>
      <c r="E74" s="1211">
        <f>SUM(F65,L65,P65,'COGEN-New'!J21)</f>
        <v>456.2448714158553</v>
      </c>
      <c r="F74" s="1212"/>
      <c r="G74" s="1430">
        <f>E74/$E$77</f>
        <v>8.981198256217624</v>
      </c>
      <c r="H74" s="1431">
        <f>'COGEN-New'!M2</f>
        <v>24</v>
      </c>
      <c r="I74" s="1432" t="s">
        <v>1328</v>
      </c>
      <c r="J74" s="1210"/>
      <c r="K74" s="1210" t="s">
        <v>1306</v>
      </c>
      <c r="L74" s="1344">
        <f>(L77/417) + (L79/15669)</f>
        <v>0.63683559052998884</v>
      </c>
      <c r="M74" s="8"/>
      <c r="O74" s="8"/>
      <c r="R74" s="199"/>
    </row>
    <row r="75" spans="1:72" s="1029" customFormat="1" ht="26.25" customHeight="1">
      <c r="D75" s="1209" t="s">
        <v>1329</v>
      </c>
      <c r="E75" s="1211">
        <f>E74-SUM(F12:F19,L12:L19,P12:P19)</f>
        <v>376.64026520762002</v>
      </c>
      <c r="F75" s="1212"/>
      <c r="G75" s="1433">
        <f>E75/$E$77</f>
        <v>7.4141784489688982</v>
      </c>
      <c r="H75" s="1434">
        <v>8.51</v>
      </c>
      <c r="I75" s="1432" t="s">
        <v>1328</v>
      </c>
      <c r="J75" s="1210"/>
      <c r="K75" s="1210"/>
      <c r="L75" s="1344"/>
      <c r="M75" s="8"/>
      <c r="O75" s="8"/>
      <c r="R75" s="1035"/>
      <c r="S75" s="1036"/>
      <c r="T75" s="1036"/>
    </row>
    <row r="76" spans="1:72" s="1029" customFormat="1" ht="23.5">
      <c r="D76" s="1209" t="s">
        <v>1330</v>
      </c>
      <c r="E76" s="1211">
        <f>E74-SUM(F51:F53,L51:L53,P51:P53)-'COGEN-New'!J21</f>
        <v>182.50731222999107</v>
      </c>
      <c r="F76" s="1212"/>
      <c r="G76" s="1433">
        <f>E76/$E$77</f>
        <v>3.5926636265746277</v>
      </c>
      <c r="H76" s="1435" t="s">
        <v>445</v>
      </c>
      <c r="I76" s="1434"/>
      <c r="J76" s="1210"/>
      <c r="K76" s="1210"/>
      <c r="L76" s="1344"/>
      <c r="M76" s="8"/>
      <c r="O76" s="8"/>
      <c r="R76" s="1035"/>
      <c r="T76" s="1036"/>
    </row>
    <row r="77" spans="1:72" s="1029" customFormat="1" ht="23.5">
      <c r="D77" s="1209" t="s">
        <v>1221</v>
      </c>
      <c r="E77" s="1210">
        <v>50.8</v>
      </c>
      <c r="F77" s="1213"/>
      <c r="G77" s="1211"/>
      <c r="H77" s="1210"/>
      <c r="I77" s="1210"/>
      <c r="J77" s="1210"/>
      <c r="K77" s="1210" t="s">
        <v>21</v>
      </c>
      <c r="L77" s="1036">
        <f>F65</f>
        <v>253.4430506612014</v>
      </c>
      <c r="M77" s="1029" t="s">
        <v>37</v>
      </c>
      <c r="O77" s="1029" t="s">
        <v>37</v>
      </c>
      <c r="R77" s="1035"/>
      <c r="T77" s="1036"/>
    </row>
    <row r="78" spans="1:72" ht="23.5">
      <c r="D78" s="1216" t="s">
        <v>1224</v>
      </c>
      <c r="F78" s="1213"/>
      <c r="G78" s="8"/>
      <c r="H78" s="1210"/>
      <c r="I78" s="1210"/>
      <c r="J78" s="1210"/>
      <c r="K78" s="1210"/>
      <c r="L78" s="1029"/>
      <c r="M78" s="1029"/>
      <c r="N78" s="8"/>
      <c r="O78" s="1029"/>
      <c r="P78" s="8"/>
      <c r="Q78" s="8"/>
      <c r="R78" s="199"/>
      <c r="S78" s="8"/>
      <c r="T78" s="8"/>
    </row>
    <row r="79" spans="1:72" ht="23.5">
      <c r="D79" s="1209" t="s">
        <v>1220</v>
      </c>
      <c r="E79" s="1211">
        <f>E74</f>
        <v>456.2448714158553</v>
      </c>
      <c r="F79" s="1212"/>
      <c r="G79" s="1211">
        <f>E79/E80</f>
        <v>4.9164318040501653</v>
      </c>
      <c r="H79" s="1210"/>
      <c r="I79" s="1210"/>
      <c r="J79" s="1211"/>
      <c r="K79" s="1210" t="s">
        <v>149</v>
      </c>
      <c r="L79" s="1036">
        <f>J65</f>
        <v>455.31748957227279</v>
      </c>
      <c r="M79" s="1029" t="s">
        <v>1307</v>
      </c>
      <c r="O79" s="1029" t="s">
        <v>1307</v>
      </c>
      <c r="R79" s="199"/>
      <c r="T79" s="8"/>
    </row>
    <row r="80" spans="1:72" ht="23.5">
      <c r="D80" s="1209" t="s">
        <v>1221</v>
      </c>
      <c r="E80" s="1210">
        <v>92.8</v>
      </c>
      <c r="F80" s="1213"/>
      <c r="G80" s="1211"/>
      <c r="H80" s="1211"/>
      <c r="I80" s="1211"/>
      <c r="J80" s="1211"/>
      <c r="K80" s="1211"/>
      <c r="L80" s="8"/>
      <c r="M80" s="8"/>
      <c r="O80" s="8"/>
      <c r="R80" s="8"/>
    </row>
    <row r="81" spans="4:18" ht="23.5">
      <c r="D81" s="1216" t="s">
        <v>1225</v>
      </c>
      <c r="F81" s="1213"/>
      <c r="G81" s="8"/>
      <c r="H81" s="1210"/>
      <c r="I81" s="1210"/>
      <c r="J81" s="1211"/>
      <c r="K81" s="1211"/>
    </row>
    <row r="82" spans="4:18" ht="23.5">
      <c r="D82" s="1209" t="s">
        <v>1220</v>
      </c>
      <c r="E82" s="1211">
        <f>E74</f>
        <v>456.2448714158553</v>
      </c>
      <c r="F82" s="1212"/>
      <c r="G82" s="1211">
        <f>E82/E83</f>
        <v>3.3646376948071928</v>
      </c>
      <c r="H82" s="1210"/>
      <c r="I82" s="1210"/>
      <c r="J82" s="1211"/>
      <c r="K82" s="1211"/>
    </row>
    <row r="83" spans="4:18" ht="23.5">
      <c r="D83" s="1209" t="s">
        <v>1221</v>
      </c>
      <c r="E83" s="1210">
        <v>135.6</v>
      </c>
      <c r="F83" s="1213"/>
      <c r="G83" s="1211"/>
      <c r="H83" s="1210"/>
      <c r="I83" s="1210"/>
      <c r="J83" s="1211"/>
      <c r="K83" s="1211"/>
    </row>
    <row r="84" spans="4:18" ht="20.5">
      <c r="D84" s="1216" t="s">
        <v>1226</v>
      </c>
      <c r="F84" s="1213"/>
      <c r="G84" s="8"/>
      <c r="Q84" s="8"/>
      <c r="R84" s="8"/>
    </row>
    <row r="85" spans="4:18" ht="23.5">
      <c r="D85" s="1209" t="s">
        <v>1220</v>
      </c>
      <c r="E85" s="1211">
        <f>E74</f>
        <v>456.2448714158553</v>
      </c>
      <c r="F85" s="1212"/>
      <c r="G85" s="1211">
        <f>E85/E86</f>
        <v>2.2732679193615115</v>
      </c>
    </row>
    <row r="86" spans="4:18" ht="23.5">
      <c r="D86" s="1209" t="s">
        <v>1221</v>
      </c>
      <c r="E86" s="1210">
        <v>200.7</v>
      </c>
      <c r="F86" s="1213"/>
      <c r="G86" s="1211"/>
      <c r="I86" s="8"/>
      <c r="J86" s="8"/>
    </row>
  </sheetData>
  <mergeCells count="97">
    <mergeCell ref="E20:E22"/>
    <mergeCell ref="F20:F22"/>
    <mergeCell ref="G20:G22"/>
    <mergeCell ref="S35:T35"/>
    <mergeCell ref="S25:T25"/>
    <mergeCell ref="S26:T26"/>
    <mergeCell ref="S27:T27"/>
    <mergeCell ref="S28:T28"/>
    <mergeCell ref="E29:T29"/>
    <mergeCell ref="E30:T30"/>
    <mergeCell ref="E31:T31"/>
    <mergeCell ref="E32:T32"/>
    <mergeCell ref="E33:T33"/>
    <mergeCell ref="E34:T34"/>
    <mergeCell ref="H20:H22"/>
    <mergeCell ref="I20:I22"/>
    <mergeCell ref="B3:T3"/>
    <mergeCell ref="B4:T4"/>
    <mergeCell ref="B5:T5"/>
    <mergeCell ref="A8:U8"/>
    <mergeCell ref="B10:B11"/>
    <mergeCell ref="C10:C11"/>
    <mergeCell ref="D10:D11"/>
    <mergeCell ref="E10:F10"/>
    <mergeCell ref="G10:H10"/>
    <mergeCell ref="I10:J10"/>
    <mergeCell ref="K10:L10"/>
    <mergeCell ref="M10:N10"/>
    <mergeCell ref="O10:P10"/>
    <mergeCell ref="Q10:R10"/>
    <mergeCell ref="S10:T10"/>
    <mergeCell ref="S11:T11"/>
    <mergeCell ref="S12:T12"/>
    <mergeCell ref="S13:T13"/>
    <mergeCell ref="S17:T17"/>
    <mergeCell ref="S18:T18"/>
    <mergeCell ref="S19:T19"/>
    <mergeCell ref="S16:T16"/>
    <mergeCell ref="S14:T14"/>
    <mergeCell ref="S15:T15"/>
    <mergeCell ref="J20:J22"/>
    <mergeCell ref="K20:K22"/>
    <mergeCell ref="L20:L22"/>
    <mergeCell ref="R20:R22"/>
    <mergeCell ref="S20:T22"/>
    <mergeCell ref="S23:T23"/>
    <mergeCell ref="S24:T24"/>
    <mergeCell ref="M20:M22"/>
    <mergeCell ref="N20:N22"/>
    <mergeCell ref="O20:O22"/>
    <mergeCell ref="P20:P22"/>
    <mergeCell ref="Q20:Q22"/>
    <mergeCell ref="S57:T57"/>
    <mergeCell ref="S58:T58"/>
    <mergeCell ref="S59:T59"/>
    <mergeCell ref="S44:T44"/>
    <mergeCell ref="S36:T36"/>
    <mergeCell ref="S37:T37"/>
    <mergeCell ref="S38:T38"/>
    <mergeCell ref="S39:T39"/>
    <mergeCell ref="S40:T40"/>
    <mergeCell ref="S41:T41"/>
    <mergeCell ref="E42:T42"/>
    <mergeCell ref="E43:T43"/>
    <mergeCell ref="S45:T45"/>
    <mergeCell ref="B71:D71"/>
    <mergeCell ref="B72:D72"/>
    <mergeCell ref="S63:T63"/>
    <mergeCell ref="S64:T64"/>
    <mergeCell ref="S65:T65"/>
    <mergeCell ref="B68:D68"/>
    <mergeCell ref="B69:D69"/>
    <mergeCell ref="B66:R66"/>
    <mergeCell ref="B63:D65"/>
    <mergeCell ref="E63:F63"/>
    <mergeCell ref="G63:H63"/>
    <mergeCell ref="I63:J63"/>
    <mergeCell ref="K63:L63"/>
    <mergeCell ref="M63:N63"/>
    <mergeCell ref="O63:P63"/>
    <mergeCell ref="Q63:R63"/>
    <mergeCell ref="C20:C22"/>
    <mergeCell ref="D20:D22"/>
    <mergeCell ref="S60:T60"/>
    <mergeCell ref="S61:T61"/>
    <mergeCell ref="B70:D70"/>
    <mergeCell ref="E46:T46"/>
    <mergeCell ref="E47:T47"/>
    <mergeCell ref="E48:T48"/>
    <mergeCell ref="E49:T49"/>
    <mergeCell ref="E50:T50"/>
    <mergeCell ref="S51:T51"/>
    <mergeCell ref="S52:T52"/>
    <mergeCell ref="S53:T53"/>
    <mergeCell ref="S54:T54"/>
    <mergeCell ref="S55:T55"/>
    <mergeCell ref="S56:T56"/>
  </mergeCells>
  <conditionalFormatting sqref="M70:N70">
    <cfRule type="cellIs" dxfId="0" priority="1" operator="greaterThan">
      <formula>100</formula>
    </cfRule>
  </conditionalFormatting>
  <printOptions horizontalCentered="1"/>
  <pageMargins left="0.25" right="0.25" top="0.5" bottom="0.5" header="0.3" footer="0.3"/>
  <pageSetup scale="38" fitToHeight="2" orientation="landscape" r:id="rId1"/>
  <headerFooter alignWithMargins="0">
    <oddFooter>&amp;CCalculations: Page &amp;P</oddFooter>
  </headerFooter>
  <rowBreaks count="1" manualBreakCount="1">
    <brk id="33"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pageSetUpPr fitToPage="1"/>
  </sheetPr>
  <dimension ref="A1:AI66"/>
  <sheetViews>
    <sheetView topLeftCell="A9" zoomScale="85" zoomScaleNormal="85" workbookViewId="0">
      <selection activeCell="B9" sqref="A9:U9"/>
    </sheetView>
  </sheetViews>
  <sheetFormatPr defaultColWidth="8.6328125" defaultRowHeight="14.5"/>
  <cols>
    <col min="1" max="1" width="4.6328125" style="2060" customWidth="1"/>
    <col min="2" max="2" width="15.6328125" style="2060" customWidth="1"/>
    <col min="3" max="3" width="15.54296875" style="2060" customWidth="1"/>
    <col min="4" max="4" width="22.54296875" style="2060" customWidth="1"/>
    <col min="5" max="5" width="12.54296875" style="2060" customWidth="1"/>
    <col min="6" max="6" width="11.36328125" style="2060" customWidth="1"/>
    <col min="7" max="7" width="12" style="2060" bestFit="1" customWidth="1"/>
    <col min="8" max="8" width="15.453125" style="2060" customWidth="1"/>
    <col min="9" max="9" width="22.6328125" style="2060" customWidth="1"/>
    <col min="10" max="10" width="6.453125" style="2060" customWidth="1"/>
    <col min="11" max="11" width="14.54296875" style="2060" customWidth="1"/>
    <col min="12" max="12" width="12.453125" style="2060" customWidth="1"/>
    <col min="13" max="13" width="13.6328125" style="2060" customWidth="1"/>
    <col min="14" max="14" width="13.453125" style="2060" customWidth="1"/>
    <col min="15" max="15" width="20.6328125" style="2060" customWidth="1"/>
    <col min="16" max="16" width="8.6328125" style="2061"/>
    <col min="17" max="17" width="13.6328125" style="2060" customWidth="1"/>
    <col min="18" max="18" width="9.453125" style="2060" bestFit="1" customWidth="1"/>
    <col min="19" max="19" width="9.453125" style="2060" customWidth="1"/>
    <col min="20" max="20" width="16.54296875" style="2060" bestFit="1" customWidth="1"/>
    <col min="21" max="21" width="8.6328125" style="2060"/>
    <col min="22" max="22" width="13.6328125" style="2060" customWidth="1"/>
    <col min="23" max="23" width="9.453125" style="2060" bestFit="1" customWidth="1"/>
    <col min="24" max="24" width="8.6328125" style="2060"/>
    <col min="25" max="25" width="13.6328125" style="2060" customWidth="1"/>
    <col min="26" max="26" width="9.453125" style="2060" bestFit="1" customWidth="1"/>
    <col min="27" max="27" width="8.6328125" style="2060"/>
    <col min="28" max="28" width="13.6328125" style="2060" customWidth="1"/>
    <col min="29" max="29" width="9.453125" style="2060" bestFit="1" customWidth="1"/>
    <col min="30" max="30" width="8.6328125" style="2060"/>
    <col min="31" max="31" width="13.6328125" style="2060" customWidth="1"/>
    <col min="32" max="32" width="9.453125" style="2060" bestFit="1" customWidth="1"/>
    <col min="33" max="33" width="8.6328125" style="2060"/>
    <col min="34" max="34" width="13.6328125" style="2060" customWidth="1"/>
    <col min="35" max="35" width="9.453125" style="2060" bestFit="1" customWidth="1"/>
    <col min="36" max="16384" width="8.6328125" style="2060"/>
  </cols>
  <sheetData>
    <row r="1" spans="1:35" s="520" customFormat="1" ht="13.5" thickBot="1">
      <c r="A1" s="517"/>
      <c r="B1" s="518"/>
      <c r="C1" s="518"/>
      <c r="D1" s="518"/>
      <c r="E1" s="518"/>
      <c r="F1" s="518"/>
      <c r="G1" s="518"/>
      <c r="H1" s="518"/>
      <c r="I1" s="518"/>
      <c r="J1" s="519"/>
      <c r="Q1" s="4537"/>
      <c r="R1" s="4537"/>
      <c r="S1" s="4537"/>
      <c r="T1" s="4537"/>
      <c r="U1" s="4537"/>
      <c r="V1" s="4537"/>
      <c r="W1" s="4537"/>
      <c r="X1" s="4537"/>
      <c r="Y1" s="4537"/>
      <c r="Z1" s="4537"/>
    </row>
    <row r="2" spans="1:35" s="522" customFormat="1" ht="21" customHeight="1">
      <c r="A2" s="521"/>
      <c r="B2" s="4542" t="str">
        <f>'Summary-Co'!B4</f>
        <v>HUSKY CDP</v>
      </c>
      <c r="C2" s="4543"/>
      <c r="D2" s="4543"/>
      <c r="E2" s="4543"/>
      <c r="F2" s="4543"/>
      <c r="G2" s="4543"/>
      <c r="H2" s="4543"/>
      <c r="I2" s="4544"/>
      <c r="J2" s="51"/>
      <c r="Q2" s="4537"/>
      <c r="R2" s="4537"/>
      <c r="S2" s="4537"/>
      <c r="T2" s="4537"/>
      <c r="U2" s="4537"/>
      <c r="V2" s="4537"/>
      <c r="W2" s="4537"/>
      <c r="X2" s="4537"/>
      <c r="Y2" s="4537"/>
      <c r="Z2" s="4537"/>
    </row>
    <row r="3" spans="1:35" s="522" customFormat="1" ht="21" customHeight="1">
      <c r="A3" s="521"/>
      <c r="B3" s="4545" t="s">
        <v>1657</v>
      </c>
      <c r="C3" s="4546"/>
      <c r="D3" s="4546"/>
      <c r="E3" s="4546"/>
      <c r="F3" s="4546"/>
      <c r="G3" s="4546"/>
      <c r="H3" s="4546"/>
      <c r="I3" s="4547"/>
      <c r="J3" s="51"/>
      <c r="Q3" s="4537"/>
      <c r="R3" s="4537"/>
      <c r="S3" s="4537"/>
      <c r="T3" s="4537"/>
      <c r="U3" s="4537"/>
      <c r="V3" s="4537"/>
      <c r="W3" s="4537"/>
      <c r="X3" s="4537"/>
      <c r="Y3" s="4537"/>
      <c r="Z3" s="4537"/>
    </row>
    <row r="4" spans="1:35" s="522" customFormat="1" ht="21" customHeight="1" thickBot="1">
      <c r="A4" s="521"/>
      <c r="B4" s="4548" t="s">
        <v>1658</v>
      </c>
      <c r="C4" s="4549"/>
      <c r="D4" s="4549"/>
      <c r="E4" s="4549"/>
      <c r="F4" s="4549"/>
      <c r="G4" s="4549"/>
      <c r="H4" s="4549"/>
      <c r="I4" s="4550"/>
      <c r="J4" s="51"/>
      <c r="Q4" s="4537"/>
      <c r="R4" s="4537"/>
      <c r="S4" s="4537"/>
      <c r="T4" s="4537"/>
      <c r="U4" s="4537"/>
      <c r="V4" s="4537"/>
      <c r="W4" s="4537"/>
      <c r="X4" s="4537"/>
      <c r="Y4" s="4537"/>
      <c r="Z4" s="4537"/>
    </row>
    <row r="5" spans="1:35" s="522" customFormat="1" ht="12" customHeight="1" thickBot="1">
      <c r="A5" s="521"/>
      <c r="B5" s="1917"/>
      <c r="C5" s="1917"/>
      <c r="D5" s="1917"/>
      <c r="E5" s="1917"/>
      <c r="F5" s="1917"/>
      <c r="G5" s="1917"/>
      <c r="H5" s="1917"/>
      <c r="I5" s="1917"/>
      <c r="J5" s="51"/>
      <c r="Q5" s="4537"/>
      <c r="R5" s="4537"/>
      <c r="S5" s="4537"/>
      <c r="T5" s="4537"/>
      <c r="U5" s="4537"/>
      <c r="V5" s="4537"/>
      <c r="W5" s="4537"/>
      <c r="X5" s="4537"/>
      <c r="Y5" s="4537"/>
      <c r="Z5" s="4537"/>
    </row>
    <row r="6" spans="1:35" s="2058" customFormat="1" ht="15.75" customHeight="1" thickBot="1">
      <c r="A6" s="2093"/>
      <c r="B6" s="2098"/>
      <c r="C6" s="2099"/>
      <c r="D6" s="2099"/>
      <c r="E6" s="2099"/>
      <c r="F6" s="2099"/>
      <c r="G6" s="2099"/>
      <c r="H6" s="2099"/>
      <c r="I6" s="2100"/>
      <c r="J6" s="2089"/>
      <c r="M6" s="2059"/>
      <c r="N6" s="2057"/>
      <c r="P6" s="2057"/>
      <c r="Q6" s="4537"/>
      <c r="R6" s="4537"/>
      <c r="S6" s="4537"/>
      <c r="T6" s="4537"/>
      <c r="U6" s="4537"/>
      <c r="V6" s="4537"/>
      <c r="W6" s="4537"/>
      <c r="X6" s="4537"/>
      <c r="Y6" s="4537"/>
      <c r="Z6" s="4537"/>
      <c r="AD6" s="2057"/>
    </row>
    <row r="7" spans="1:35">
      <c r="A7" s="2094"/>
      <c r="B7" s="2101"/>
      <c r="C7" s="2102"/>
      <c r="D7" s="2102"/>
      <c r="E7" s="2102"/>
      <c r="F7" s="2102"/>
      <c r="G7" s="2102"/>
      <c r="H7" s="2102"/>
      <c r="I7" s="2103"/>
      <c r="J7" s="2090"/>
    </row>
    <row r="8" spans="1:35">
      <c r="A8" s="2094"/>
      <c r="B8" s="2104" t="s">
        <v>1532</v>
      </c>
      <c r="C8" s="2102"/>
      <c r="D8" s="2102"/>
      <c r="E8" s="2102"/>
      <c r="F8" s="2102"/>
      <c r="G8" s="2102"/>
      <c r="H8" s="2102"/>
      <c r="I8" s="2103"/>
      <c r="J8" s="2090"/>
    </row>
    <row r="9" spans="1:35">
      <c r="A9" s="2094"/>
      <c r="B9" s="2101"/>
      <c r="C9" s="2102"/>
      <c r="D9" s="2102"/>
      <c r="E9" s="2102"/>
      <c r="F9" s="2102"/>
      <c r="G9" s="2102"/>
      <c r="H9" s="2102"/>
      <c r="I9" s="2103"/>
      <c r="J9" s="2090"/>
    </row>
    <row r="10" spans="1:35">
      <c r="A10" s="2094"/>
      <c r="B10" s="2101"/>
      <c r="C10" s="2102"/>
      <c r="D10" s="2102"/>
      <c r="E10" s="2102"/>
      <c r="F10" s="2107" t="s">
        <v>1665</v>
      </c>
      <c r="G10" s="2107" t="s">
        <v>1662</v>
      </c>
      <c r="H10" s="2107" t="s">
        <v>1663</v>
      </c>
      <c r="I10" s="2108" t="s">
        <v>1664</v>
      </c>
      <c r="J10" s="2090"/>
      <c r="U10" s="2062"/>
      <c r="V10" s="2062"/>
      <c r="W10" s="2062"/>
      <c r="X10" s="2062"/>
      <c r="Y10" s="2062"/>
      <c r="Z10" s="2062"/>
      <c r="AB10" s="2062"/>
      <c r="AC10" s="2062"/>
      <c r="AE10" s="2062"/>
      <c r="AF10" s="2062"/>
      <c r="AH10" s="2062"/>
      <c r="AI10" s="2062"/>
    </row>
    <row r="11" spans="1:35">
      <c r="A11" s="2094"/>
      <c r="B11" s="2109" t="s">
        <v>1679</v>
      </c>
      <c r="C11" s="2110"/>
      <c r="D11" s="2110"/>
      <c r="E11" s="2110"/>
      <c r="F11" s="2111">
        <v>0.2</v>
      </c>
      <c r="G11" s="2107">
        <f>F11/7000</f>
        <v>2.8571428571428574E-5</v>
      </c>
      <c r="H11" s="2107">
        <f>G11/F13</f>
        <v>8.9104720322559107E-7</v>
      </c>
      <c r="I11" s="2108">
        <f>H11/G13</f>
        <v>2.6130416516879502E-8</v>
      </c>
      <c r="J11" s="2090"/>
      <c r="L11" s="2060">
        <f>750/1000000</f>
        <v>7.5000000000000002E-4</v>
      </c>
      <c r="U11" s="2062"/>
      <c r="V11" s="2062"/>
      <c r="W11" s="2062"/>
      <c r="X11" s="2062"/>
      <c r="Y11" s="2063"/>
      <c r="Z11" s="2062"/>
      <c r="AB11" s="2063"/>
      <c r="AC11" s="2062"/>
      <c r="AE11" s="2063"/>
      <c r="AF11" s="2062"/>
      <c r="AH11" s="2063"/>
      <c r="AI11" s="2062"/>
    </row>
    <row r="12" spans="1:35">
      <c r="A12" s="2094"/>
      <c r="B12" s="2101"/>
      <c r="C12" s="2102"/>
      <c r="D12" s="2102"/>
      <c r="E12" s="2102"/>
      <c r="F12" s="2107" t="s">
        <v>1533</v>
      </c>
      <c r="G12" s="2107" t="s">
        <v>1534</v>
      </c>
      <c r="H12" s="2107" t="s">
        <v>1535</v>
      </c>
      <c r="I12" s="2108" t="s">
        <v>1536</v>
      </c>
      <c r="J12" s="2091"/>
      <c r="K12" s="2064"/>
    </row>
    <row r="13" spans="1:35">
      <c r="A13" s="2094"/>
      <c r="B13" s="2101"/>
      <c r="C13" s="2102"/>
      <c r="D13" s="2102"/>
      <c r="E13" s="2102"/>
      <c r="F13" s="2107">
        <v>32.064999999999998</v>
      </c>
      <c r="G13" s="2107">
        <v>34.1</v>
      </c>
      <c r="H13" s="2112">
        <v>64.066000000000003</v>
      </c>
      <c r="I13" s="2113">
        <v>98.078999999999994</v>
      </c>
      <c r="J13" s="2091"/>
      <c r="K13" s="2064"/>
      <c r="L13" s="2060">
        <f>G11*100</f>
        <v>2.8571428571428576E-3</v>
      </c>
    </row>
    <row r="14" spans="1:35">
      <c r="A14" s="2094"/>
      <c r="B14" s="2105" t="s">
        <v>1537</v>
      </c>
      <c r="C14" s="2106"/>
      <c r="D14" s="2106"/>
      <c r="E14" s="2121" t="s">
        <v>568</v>
      </c>
      <c r="F14" s="2114">
        <v>850</v>
      </c>
      <c r="G14" s="2102"/>
      <c r="H14" s="2115"/>
      <c r="I14" s="2116"/>
      <c r="J14" s="2091"/>
      <c r="K14" s="2064"/>
    </row>
    <row r="15" spans="1:35">
      <c r="A15" s="2094"/>
      <c r="B15" s="2109" t="s">
        <v>1538</v>
      </c>
      <c r="C15" s="2110"/>
      <c r="D15" s="2110"/>
      <c r="E15" s="2123"/>
      <c r="F15" s="2117">
        <v>1.1000000000000001</v>
      </c>
      <c r="G15" s="2102"/>
      <c r="H15" s="2115"/>
      <c r="I15" s="2116"/>
      <c r="J15" s="2091"/>
      <c r="K15" s="2064"/>
    </row>
    <row r="16" spans="1:35">
      <c r="A16" s="2094"/>
      <c r="B16" s="2101"/>
      <c r="C16" s="2102"/>
      <c r="D16" s="2102"/>
      <c r="E16" s="2102"/>
      <c r="F16" s="2118"/>
      <c r="G16" s="2102"/>
      <c r="H16" s="2115"/>
      <c r="I16" s="2116"/>
      <c r="J16" s="2091"/>
      <c r="K16" s="2064"/>
    </row>
    <row r="17" spans="1:35">
      <c r="A17" s="2094"/>
      <c r="B17" s="2119" t="s">
        <v>1539</v>
      </c>
      <c r="C17" s="2102"/>
      <c r="D17" s="4529" t="s">
        <v>1540</v>
      </c>
      <c r="E17" s="4529"/>
      <c r="F17" s="4529"/>
      <c r="G17" s="4529"/>
      <c r="H17" s="4529"/>
      <c r="I17" s="4530"/>
      <c r="J17" s="2091"/>
      <c r="K17" s="2064"/>
    </row>
    <row r="18" spans="1:35">
      <c r="A18" s="2094"/>
      <c r="B18" s="2101"/>
      <c r="C18" s="2102"/>
      <c r="D18" s="4529"/>
      <c r="E18" s="4529"/>
      <c r="F18" s="4529"/>
      <c r="G18" s="4529"/>
      <c r="H18" s="4529"/>
      <c r="I18" s="4530"/>
      <c r="J18" s="2091"/>
      <c r="K18" s="2064"/>
    </row>
    <row r="19" spans="1:35">
      <c r="A19" s="2094"/>
      <c r="B19" s="2105" t="s">
        <v>1541</v>
      </c>
      <c r="C19" s="2106" t="s">
        <v>1542</v>
      </c>
      <c r="D19" s="2106"/>
      <c r="E19" s="2106"/>
      <c r="F19" s="2120">
        <v>8.8999999999999999E-3</v>
      </c>
      <c r="G19" s="2106" t="s">
        <v>1543</v>
      </c>
      <c r="H19" s="2121"/>
      <c r="I19" s="2103"/>
      <c r="J19" s="2090"/>
    </row>
    <row r="20" spans="1:35">
      <c r="A20" s="2094"/>
      <c r="B20" s="2109" t="s">
        <v>1544</v>
      </c>
      <c r="C20" s="2110" t="s">
        <v>1542</v>
      </c>
      <c r="D20" s="2110"/>
      <c r="E20" s="2110"/>
      <c r="F20" s="2122">
        <f>F19</f>
        <v>8.8999999999999999E-3</v>
      </c>
      <c r="G20" s="2110" t="s">
        <v>1545</v>
      </c>
      <c r="H20" s="2123"/>
      <c r="I20" s="2103"/>
      <c r="J20" s="2090"/>
      <c r="R20" s="2065"/>
      <c r="S20" s="2065"/>
      <c r="T20" s="2065"/>
      <c r="W20" s="2065"/>
      <c r="Z20" s="2065"/>
      <c r="AC20" s="2065"/>
      <c r="AF20" s="2065"/>
      <c r="AI20" s="2065"/>
    </row>
    <row r="21" spans="1:35">
      <c r="A21" s="2094"/>
      <c r="B21" s="2101"/>
      <c r="C21" s="2102"/>
      <c r="D21" s="2102"/>
      <c r="E21" s="2102"/>
      <c r="F21" s="2115"/>
      <c r="G21" s="2102"/>
      <c r="H21" s="2102"/>
      <c r="I21" s="2103"/>
      <c r="J21" s="2090"/>
    </row>
    <row r="22" spans="1:35" ht="29.25" customHeight="1">
      <c r="A22" s="2094"/>
      <c r="B22" s="2101"/>
      <c r="C22" s="2102"/>
      <c r="D22" s="2102"/>
      <c r="E22" s="2102"/>
      <c r="F22" s="2124" t="s">
        <v>1546</v>
      </c>
      <c r="G22" s="2125"/>
      <c r="H22" s="2126"/>
      <c r="I22" s="2127"/>
      <c r="J22" s="2090"/>
      <c r="P22" s="2060"/>
    </row>
    <row r="23" spans="1:35">
      <c r="A23" s="2094"/>
      <c r="B23" s="2101"/>
      <c r="C23" s="2102"/>
      <c r="D23" s="2102"/>
      <c r="E23" s="2102"/>
      <c r="F23" s="2128" t="s">
        <v>1547</v>
      </c>
      <c r="G23" s="2128" t="s">
        <v>1548</v>
      </c>
      <c r="H23" s="2174" t="s">
        <v>1549</v>
      </c>
      <c r="I23" s="2161" t="s">
        <v>1550</v>
      </c>
      <c r="J23" s="2090"/>
      <c r="P23" s="2060"/>
    </row>
    <row r="24" spans="1:35">
      <c r="A24" s="2094"/>
      <c r="B24" s="2129" t="s">
        <v>1551</v>
      </c>
      <c r="C24" s="2130"/>
      <c r="D24" s="2131"/>
      <c r="E24" s="2112" t="s">
        <v>656</v>
      </c>
      <c r="F24" s="2156">
        <v>96200</v>
      </c>
      <c r="G24" s="2146"/>
      <c r="H24" s="2175"/>
      <c r="I24" s="2162"/>
      <c r="J24" s="2090"/>
      <c r="P24" s="2060"/>
    </row>
    <row r="25" spans="1:35">
      <c r="A25" s="2094"/>
      <c r="B25" s="2129" t="s">
        <v>1552</v>
      </c>
      <c r="C25" s="2130"/>
      <c r="D25" s="2131"/>
      <c r="E25" s="2112" t="s">
        <v>1553</v>
      </c>
      <c r="F25" s="2156">
        <v>9165</v>
      </c>
      <c r="G25" s="2146"/>
      <c r="H25" s="2175"/>
      <c r="I25" s="2162"/>
      <c r="J25" s="2090"/>
      <c r="P25" s="2060"/>
    </row>
    <row r="26" spans="1:35">
      <c r="A26" s="2094"/>
      <c r="B26" s="2129" t="s">
        <v>1554</v>
      </c>
      <c r="C26" s="2130"/>
      <c r="D26" s="2131"/>
      <c r="E26" s="2112" t="s">
        <v>566</v>
      </c>
      <c r="F26" s="2157">
        <f>F24*F25/1000000</f>
        <v>881.673</v>
      </c>
      <c r="G26" s="2156">
        <v>179.52</v>
      </c>
      <c r="H26" s="2176">
        <f>F26+G26</f>
        <v>1061.193</v>
      </c>
      <c r="I26" s="2163">
        <f>H26*4</f>
        <v>4244.7719999999999</v>
      </c>
      <c r="J26" s="2090"/>
      <c r="P26" s="2060"/>
    </row>
    <row r="27" spans="1:35">
      <c r="A27" s="2094"/>
      <c r="B27" s="2129" t="s">
        <v>1555</v>
      </c>
      <c r="C27" s="2130"/>
      <c r="D27" s="2131"/>
      <c r="E27" s="2112" t="s">
        <v>1556</v>
      </c>
      <c r="F27" s="2158">
        <f>F26*1000000/$F$14</f>
        <v>1037262.3529411765</v>
      </c>
      <c r="G27" s="2158">
        <f>G26*1000000/$F$14</f>
        <v>211200</v>
      </c>
      <c r="H27" s="2177">
        <f>F27+G27</f>
        <v>1248462.3529411764</v>
      </c>
      <c r="I27" s="2164"/>
      <c r="J27" s="2090"/>
      <c r="P27" s="2060"/>
    </row>
    <row r="28" spans="1:35">
      <c r="A28" s="2094"/>
      <c r="B28" s="2129" t="s">
        <v>1557</v>
      </c>
      <c r="C28" s="2130"/>
      <c r="D28" s="2131"/>
      <c r="E28" s="2112" t="s">
        <v>1660</v>
      </c>
      <c r="F28" s="2158">
        <v>8760</v>
      </c>
      <c r="G28" s="2158">
        <v>8760</v>
      </c>
      <c r="H28" s="2177">
        <f>G28</f>
        <v>8760</v>
      </c>
      <c r="I28" s="2165">
        <f>H28</f>
        <v>8760</v>
      </c>
      <c r="J28" s="2090"/>
      <c r="P28" s="2060"/>
    </row>
    <row r="29" spans="1:35">
      <c r="A29" s="2094"/>
      <c r="B29" s="2129" t="s">
        <v>1558</v>
      </c>
      <c r="C29" s="2130"/>
      <c r="D29" s="2131"/>
      <c r="E29" s="2146" t="s">
        <v>672</v>
      </c>
      <c r="F29" s="2133">
        <f>$H11/100*F27</f>
        <v>9.2424971859943125E-3</v>
      </c>
      <c r="G29" s="2133">
        <f>$H11/100*G27</f>
        <v>1.8818916932124485E-3</v>
      </c>
      <c r="H29" s="2178">
        <f>F29+G29</f>
        <v>1.1124388879206762E-2</v>
      </c>
      <c r="I29" s="2166">
        <f>H29*4</f>
        <v>4.4497555516827048E-2</v>
      </c>
      <c r="J29" s="2090"/>
      <c r="P29" s="2060"/>
    </row>
    <row r="30" spans="1:35">
      <c r="A30" s="2094"/>
      <c r="B30" s="2105" t="s">
        <v>1560</v>
      </c>
      <c r="C30" s="2106"/>
      <c r="D30" s="2121"/>
      <c r="E30" s="2146" t="s">
        <v>672</v>
      </c>
      <c r="F30" s="2133">
        <f>F29</f>
        <v>9.2424971859943125E-3</v>
      </c>
      <c r="G30" s="2133">
        <f>G29</f>
        <v>1.8818916932124485E-3</v>
      </c>
      <c r="H30" s="2178">
        <f t="shared" ref="H30:H40" si="0">F30+G30</f>
        <v>1.1124388879206762E-2</v>
      </c>
      <c r="I30" s="2166">
        <f>H30*4</f>
        <v>4.4497555516827048E-2</v>
      </c>
      <c r="J30" s="2090"/>
      <c r="P30" s="2060"/>
    </row>
    <row r="31" spans="1:35">
      <c r="A31" s="2094"/>
      <c r="B31" s="2101"/>
      <c r="C31" s="2102"/>
      <c r="D31" s="2134"/>
      <c r="E31" s="2112" t="s">
        <v>22</v>
      </c>
      <c r="F31" s="2133">
        <f>F30*$H13</f>
        <v>0.59212982471791165</v>
      </c>
      <c r="G31" s="2133">
        <f>G30*$H13</f>
        <v>0.12056527321734874</v>
      </c>
      <c r="H31" s="2178">
        <f t="shared" si="0"/>
        <v>0.71269509793526042</v>
      </c>
      <c r="I31" s="2166">
        <f>H31*4</f>
        <v>2.8507803917410417</v>
      </c>
      <c r="J31" s="2090"/>
      <c r="P31" s="2060"/>
    </row>
    <row r="32" spans="1:35">
      <c r="A32" s="2094"/>
      <c r="B32" s="2109"/>
      <c r="C32" s="2110"/>
      <c r="D32" s="2123"/>
      <c r="E32" s="2112" t="s">
        <v>23</v>
      </c>
      <c r="F32" s="2133">
        <f>F31*F$28/2000</f>
        <v>2.5935286322644528</v>
      </c>
      <c r="G32" s="2133">
        <f>G31*G$28/2000</f>
        <v>0.52807589669198751</v>
      </c>
      <c r="H32" s="2178">
        <f t="shared" si="0"/>
        <v>3.1216045289564405</v>
      </c>
      <c r="I32" s="2166">
        <f>H32*4</f>
        <v>12.486418115825762</v>
      </c>
      <c r="J32" s="2090"/>
      <c r="P32" s="2060"/>
    </row>
    <row r="33" spans="1:16">
      <c r="A33" s="2094"/>
      <c r="B33" s="2129" t="s">
        <v>1561</v>
      </c>
      <c r="C33" s="2130"/>
      <c r="D33" s="2131"/>
      <c r="E33" s="2112"/>
      <c r="F33" s="2159">
        <v>0.1</v>
      </c>
      <c r="G33" s="2159">
        <v>0.1</v>
      </c>
      <c r="H33" s="2179"/>
      <c r="I33" s="2167"/>
      <c r="J33" s="2090"/>
      <c r="P33" s="2060"/>
    </row>
    <row r="34" spans="1:16">
      <c r="A34" s="2094"/>
      <c r="B34" s="2135" t="s">
        <v>1562</v>
      </c>
      <c r="C34" s="2106"/>
      <c r="D34" s="2121"/>
      <c r="E34" s="2146" t="s">
        <v>672</v>
      </c>
      <c r="F34" s="2160">
        <f>F30*F33</f>
        <v>9.242497185994313E-4</v>
      </c>
      <c r="G34" s="2160">
        <f>G30*G33</f>
        <v>1.8818916932124486E-4</v>
      </c>
      <c r="H34" s="2178">
        <f t="shared" si="0"/>
        <v>1.1124388879206761E-3</v>
      </c>
      <c r="I34" s="2166">
        <f>H34*4</f>
        <v>4.4497555516827044E-3</v>
      </c>
      <c r="J34" s="2090"/>
      <c r="P34" s="2060"/>
    </row>
    <row r="35" spans="1:16">
      <c r="A35" s="2094"/>
      <c r="B35" s="2136"/>
      <c r="C35" s="2102"/>
      <c r="D35" s="2134"/>
      <c r="E35" s="2112" t="s">
        <v>22</v>
      </c>
      <c r="F35" s="2137">
        <f>F34*$I13</f>
        <v>9.0649488150513616E-2</v>
      </c>
      <c r="G35" s="2137">
        <f>G34*$I13</f>
        <v>1.8457405537858372E-2</v>
      </c>
      <c r="H35" s="2178">
        <f t="shared" si="0"/>
        <v>0.10910689368837198</v>
      </c>
      <c r="I35" s="2166">
        <f>H35*4</f>
        <v>0.43642757475348792</v>
      </c>
      <c r="J35" s="2090"/>
      <c r="P35" s="2060"/>
    </row>
    <row r="36" spans="1:16">
      <c r="A36" s="2094"/>
      <c r="B36" s="2138"/>
      <c r="C36" s="2110"/>
      <c r="D36" s="2123"/>
      <c r="E36" s="2112" t="s">
        <v>23</v>
      </c>
      <c r="F36" s="2137">
        <f>F35*F$28/2000</f>
        <v>0.39704475809924966</v>
      </c>
      <c r="G36" s="2137">
        <f>G35*G$28/2000</f>
        <v>8.0843436255819662E-2</v>
      </c>
      <c r="H36" s="2178">
        <f t="shared" si="0"/>
        <v>0.47788819435506935</v>
      </c>
      <c r="I36" s="2166">
        <f>H36*4</f>
        <v>1.9115527774202774</v>
      </c>
      <c r="J36" s="2090"/>
      <c r="P36" s="2060"/>
    </row>
    <row r="37" spans="1:16">
      <c r="A37" s="2094"/>
      <c r="B37" s="2129" t="s">
        <v>1563</v>
      </c>
      <c r="C37" s="2130"/>
      <c r="D37" s="2131"/>
      <c r="E37" s="2112"/>
      <c r="F37" s="2159">
        <v>0.05</v>
      </c>
      <c r="G37" s="2159">
        <v>0</v>
      </c>
      <c r="H37" s="2180"/>
      <c r="I37" s="2168"/>
      <c r="J37" s="2090"/>
      <c r="P37" s="2060"/>
    </row>
    <row r="38" spans="1:16">
      <c r="A38" s="2094"/>
      <c r="B38" s="2135" t="s">
        <v>1562</v>
      </c>
      <c r="C38" s="2106"/>
      <c r="D38" s="2121"/>
      <c r="E38" s="2146" t="s">
        <v>672</v>
      </c>
      <c r="F38" s="2160">
        <f>(F30-F34)*F37</f>
        <v>4.1591237336974403E-4</v>
      </c>
      <c r="G38" s="2160">
        <f>G34*G37</f>
        <v>0</v>
      </c>
      <c r="H38" s="2178">
        <f t="shared" si="0"/>
        <v>4.1591237336974403E-4</v>
      </c>
      <c r="I38" s="2166">
        <f>H38*4</f>
        <v>1.6636494934789761E-3</v>
      </c>
      <c r="J38" s="2090"/>
      <c r="P38" s="2060"/>
    </row>
    <row r="39" spans="1:16">
      <c r="A39" s="2094"/>
      <c r="B39" s="2136"/>
      <c r="C39" s="2102"/>
      <c r="D39" s="2134"/>
      <c r="E39" s="2112" t="s">
        <v>22</v>
      </c>
      <c r="F39" s="2137">
        <f>F38*$I13</f>
        <v>4.0792269667731119E-2</v>
      </c>
      <c r="G39" s="2137">
        <f>G38*$I13</f>
        <v>0</v>
      </c>
      <c r="H39" s="2178">
        <f t="shared" si="0"/>
        <v>4.0792269667731119E-2</v>
      </c>
      <c r="I39" s="2166">
        <f>H39*4</f>
        <v>0.16316907867092448</v>
      </c>
      <c r="J39" s="2090"/>
      <c r="P39" s="2060"/>
    </row>
    <row r="40" spans="1:16">
      <c r="A40" s="2094"/>
      <c r="B40" s="2138"/>
      <c r="C40" s="2110"/>
      <c r="D40" s="2123"/>
      <c r="E40" s="2112" t="s">
        <v>23</v>
      </c>
      <c r="F40" s="2137">
        <f>F39*8760/2000</f>
        <v>0.17867014114466229</v>
      </c>
      <c r="G40" s="2137">
        <f>G39*8760/2000</f>
        <v>0</v>
      </c>
      <c r="H40" s="2178">
        <f t="shared" si="0"/>
        <v>0.17867014114466229</v>
      </c>
      <c r="I40" s="2166">
        <f>H40*4</f>
        <v>0.71468056457864915</v>
      </c>
      <c r="J40" s="2090"/>
      <c r="P40" s="2060"/>
    </row>
    <row r="41" spans="1:16">
      <c r="A41" s="2094"/>
      <c r="B41" s="2129" t="s">
        <v>1564</v>
      </c>
      <c r="C41" s="2130"/>
      <c r="D41" s="2131"/>
      <c r="E41" s="2112"/>
      <c r="F41" s="4538">
        <v>0.02</v>
      </c>
      <c r="G41" s="4539" t="e">
        <f>#REF!</f>
        <v>#REF!</v>
      </c>
      <c r="H41" s="2181"/>
      <c r="I41" s="2139"/>
      <c r="J41" s="2090"/>
      <c r="P41" s="2060"/>
    </row>
    <row r="42" spans="1:16">
      <c r="A42" s="2094"/>
      <c r="B42" s="2135" t="s">
        <v>1562</v>
      </c>
      <c r="C42" s="2106"/>
      <c r="D42" s="2121"/>
      <c r="E42" s="2146" t="s">
        <v>672</v>
      </c>
      <c r="F42" s="4540">
        <f>(F30+G30-F34-G34-F38-G38)*F41</f>
        <v>1.9192075235832684E-4</v>
      </c>
      <c r="G42" s="4541"/>
      <c r="H42" s="2182">
        <f>F42</f>
        <v>1.9192075235832684E-4</v>
      </c>
      <c r="I42" s="2169">
        <f>H42*4</f>
        <v>7.6768300943330734E-4</v>
      </c>
      <c r="J42" s="2090"/>
      <c r="P42" s="2060"/>
    </row>
    <row r="43" spans="1:16">
      <c r="A43" s="2094"/>
      <c r="B43" s="2136"/>
      <c r="C43" s="2102"/>
      <c r="D43" s="2134"/>
      <c r="E43" s="2112" t="s">
        <v>22</v>
      </c>
      <c r="F43" s="4531">
        <f>F42*$I13</f>
        <v>1.8823395470552336E-2</v>
      </c>
      <c r="G43" s="4532"/>
      <c r="H43" s="2182">
        <f t="shared" ref="H43:H55" si="1">F43</f>
        <v>1.8823395470552336E-2</v>
      </c>
      <c r="I43" s="2169">
        <f>H43*4</f>
        <v>7.5293581882209346E-2</v>
      </c>
      <c r="J43" s="2090"/>
      <c r="P43" s="2060"/>
    </row>
    <row r="44" spans="1:16">
      <c r="A44" s="2094"/>
      <c r="B44" s="2138"/>
      <c r="C44" s="2110"/>
      <c r="D44" s="2123"/>
      <c r="E44" s="2112" t="s">
        <v>23</v>
      </c>
      <c r="F44" s="4540">
        <f>F43*F$28/2000</f>
        <v>8.2446472161019232E-2</v>
      </c>
      <c r="G44" s="4541"/>
      <c r="H44" s="2182">
        <f t="shared" si="1"/>
        <v>8.2446472161019232E-2</v>
      </c>
      <c r="I44" s="2169">
        <f>H44*4</f>
        <v>0.32978588864407693</v>
      </c>
      <c r="J44" s="2090"/>
      <c r="P44" s="2060"/>
    </row>
    <row r="45" spans="1:16">
      <c r="A45" s="2094"/>
      <c r="B45" s="2129" t="s">
        <v>1565</v>
      </c>
      <c r="C45" s="2130"/>
      <c r="D45" s="2131"/>
      <c r="E45" s="2112"/>
      <c r="F45" s="4540">
        <v>5.5E-2</v>
      </c>
      <c r="G45" s="4541"/>
      <c r="H45" s="2182"/>
      <c r="I45" s="2169"/>
      <c r="J45" s="2090"/>
      <c r="P45" s="2060"/>
    </row>
    <row r="46" spans="1:16">
      <c r="A46" s="2094"/>
      <c r="B46" s="2135" t="s">
        <v>1562</v>
      </c>
      <c r="C46" s="2106"/>
      <c r="D46" s="2121"/>
      <c r="E46" s="2146" t="s">
        <v>672</v>
      </c>
      <c r="F46" s="4533">
        <f>(F30+G30-F34-G34-F38-G38-F42)*F45</f>
        <v>5.1722642760569084E-4</v>
      </c>
      <c r="G46" s="4534"/>
      <c r="H46" s="2182">
        <f t="shared" si="1"/>
        <v>5.1722642760569084E-4</v>
      </c>
      <c r="I46" s="2169">
        <f>H46*4</f>
        <v>2.0689057104227634E-3</v>
      </c>
      <c r="J46" s="2090"/>
      <c r="P46" s="2060"/>
    </row>
    <row r="47" spans="1:16">
      <c r="A47" s="2094"/>
      <c r="B47" s="2136"/>
      <c r="C47" s="2102"/>
      <c r="D47" s="2134"/>
      <c r="E47" s="2112" t="s">
        <v>22</v>
      </c>
      <c r="F47" s="4531">
        <f>F46*$I13</f>
        <v>5.0729050793138546E-2</v>
      </c>
      <c r="G47" s="4532"/>
      <c r="H47" s="2182">
        <f t="shared" si="1"/>
        <v>5.0729050793138546E-2</v>
      </c>
      <c r="I47" s="2169">
        <f>H47*4</f>
        <v>0.20291620317255418</v>
      </c>
      <c r="J47" s="2090"/>
      <c r="P47" s="2060"/>
    </row>
    <row r="48" spans="1:16">
      <c r="A48" s="2094"/>
      <c r="B48" s="2138"/>
      <c r="C48" s="2110"/>
      <c r="D48" s="2123"/>
      <c r="E48" s="2112" t="s">
        <v>23</v>
      </c>
      <c r="F48" s="4533">
        <f>F47*F$28/2000</f>
        <v>0.22219324247394684</v>
      </c>
      <c r="G48" s="4534"/>
      <c r="H48" s="2182">
        <f t="shared" si="1"/>
        <v>0.22219324247394684</v>
      </c>
      <c r="I48" s="2169">
        <f>H48*4</f>
        <v>0.88877296989578736</v>
      </c>
      <c r="J48" s="2090"/>
      <c r="P48" s="2060"/>
    </row>
    <row r="49" spans="1:16">
      <c r="A49" s="2094"/>
      <c r="B49" s="2140" t="s">
        <v>1566</v>
      </c>
      <c r="C49" s="2130"/>
      <c r="D49" s="2131"/>
      <c r="E49" s="2112"/>
      <c r="F49" s="2141"/>
      <c r="G49" s="2142"/>
      <c r="H49" s="2183"/>
      <c r="I49" s="2169"/>
      <c r="J49" s="2090"/>
      <c r="P49" s="2060"/>
    </row>
    <row r="50" spans="1:16">
      <c r="A50" s="2094"/>
      <c r="B50" s="2143" t="s">
        <v>1567</v>
      </c>
      <c r="C50" s="2106"/>
      <c r="D50" s="2121"/>
      <c r="E50" s="2146" t="s">
        <v>672</v>
      </c>
      <c r="F50" s="4533">
        <f>F34+G34+F38+G38+F42+F46</f>
        <v>2.2374984412544376E-3</v>
      </c>
      <c r="G50" s="4534"/>
      <c r="H50" s="2182">
        <f t="shared" si="1"/>
        <v>2.2374984412544376E-3</v>
      </c>
      <c r="I50" s="2169">
        <f t="shared" ref="I50:I55" si="2">H50*4</f>
        <v>8.9499937650177504E-3</v>
      </c>
      <c r="J50" s="2090"/>
      <c r="P50" s="2060"/>
    </row>
    <row r="51" spans="1:16">
      <c r="A51" s="2094"/>
      <c r="B51" s="2144"/>
      <c r="C51" s="2102"/>
      <c r="D51" s="2134"/>
      <c r="E51" s="2112" t="s">
        <v>22</v>
      </c>
      <c r="F51" s="4531">
        <f>F50*$I13</f>
        <v>0.21945160961979396</v>
      </c>
      <c r="G51" s="4532"/>
      <c r="H51" s="2182">
        <f t="shared" si="1"/>
        <v>0.21945160961979396</v>
      </c>
      <c r="I51" s="2169">
        <f t="shared" si="2"/>
        <v>0.87780643847917583</v>
      </c>
      <c r="J51" s="2090"/>
      <c r="P51" s="2060"/>
    </row>
    <row r="52" spans="1:16">
      <c r="A52" s="2094"/>
      <c r="B52" s="2145"/>
      <c r="C52" s="2110"/>
      <c r="D52" s="2123"/>
      <c r="E52" s="2112" t="s">
        <v>23</v>
      </c>
      <c r="F52" s="4533">
        <f>F51*F$28/2000</f>
        <v>0.9611980501346975</v>
      </c>
      <c r="G52" s="4534"/>
      <c r="H52" s="2182">
        <f t="shared" si="1"/>
        <v>0.9611980501346975</v>
      </c>
      <c r="I52" s="2170">
        <f t="shared" si="2"/>
        <v>3.84479220053879</v>
      </c>
      <c r="J52" s="2090"/>
      <c r="P52" s="2060"/>
    </row>
    <row r="53" spans="1:16">
      <c r="A53" s="2094"/>
      <c r="B53" s="2143" t="s">
        <v>1568</v>
      </c>
      <c r="C53" s="2106"/>
      <c r="D53" s="2121"/>
      <c r="E53" s="2146" t="s">
        <v>672</v>
      </c>
      <c r="F53" s="4533">
        <f>F30+G30-F50</f>
        <v>8.8868904379523252E-3</v>
      </c>
      <c r="G53" s="4534"/>
      <c r="H53" s="2182">
        <f t="shared" si="1"/>
        <v>8.8868904379523252E-3</v>
      </c>
      <c r="I53" s="2171">
        <f t="shared" si="2"/>
        <v>3.5547561751809301E-2</v>
      </c>
      <c r="J53" s="2090"/>
      <c r="P53" s="2060"/>
    </row>
    <row r="54" spans="1:16">
      <c r="A54" s="2094"/>
      <c r="B54" s="2144"/>
      <c r="C54" s="2102"/>
      <c r="D54" s="2134"/>
      <c r="E54" s="2112" t="s">
        <v>22</v>
      </c>
      <c r="F54" s="4531">
        <f>F53*$H13</f>
        <v>0.56934752279785372</v>
      </c>
      <c r="G54" s="4532">
        <f>G53*$H13</f>
        <v>0</v>
      </c>
      <c r="H54" s="2182">
        <f t="shared" si="1"/>
        <v>0.56934752279785372</v>
      </c>
      <c r="I54" s="2171">
        <f t="shared" si="2"/>
        <v>2.2773900911914149</v>
      </c>
      <c r="J54" s="2090"/>
      <c r="P54" s="2060"/>
    </row>
    <row r="55" spans="1:16">
      <c r="A55" s="2094"/>
      <c r="B55" s="2145"/>
      <c r="C55" s="2110"/>
      <c r="D55" s="2123"/>
      <c r="E55" s="2146" t="s">
        <v>23</v>
      </c>
      <c r="F55" s="4533">
        <f>F54*F$28/2000</f>
        <v>2.4937421498545991</v>
      </c>
      <c r="G55" s="4534">
        <f>G54*8760/2000</f>
        <v>0</v>
      </c>
      <c r="H55" s="2182">
        <f t="shared" si="1"/>
        <v>2.4937421498545991</v>
      </c>
      <c r="I55" s="2170">
        <f t="shared" si="2"/>
        <v>9.9749685994183963</v>
      </c>
      <c r="J55" s="2090"/>
      <c r="P55" s="2060"/>
    </row>
    <row r="56" spans="1:16">
      <c r="A56" s="2094"/>
      <c r="B56" s="2101"/>
      <c r="C56" s="2102"/>
      <c r="D56" s="2102"/>
      <c r="E56" s="2102"/>
      <c r="F56" s="2132">
        <f>$F19*F26*$F15</f>
        <v>8.6315786700000015</v>
      </c>
      <c r="G56" s="2132">
        <f>$F19*G26*$F15</f>
        <v>1.7575008000000001</v>
      </c>
      <c r="H56" s="2176">
        <f>F56+G56</f>
        <v>10.389079470000002</v>
      </c>
      <c r="I56" s="2172">
        <f>H56*4</f>
        <v>41.556317880000009</v>
      </c>
      <c r="J56" s="2090"/>
      <c r="P56" s="2060"/>
    </row>
    <row r="57" spans="1:16" ht="15" thickBot="1">
      <c r="A57" s="2094"/>
      <c r="B57" s="2147"/>
      <c r="C57" s="2148"/>
      <c r="D57" s="2148"/>
      <c r="E57" s="2148"/>
      <c r="F57" s="2149">
        <f>F56*F$28/2000</f>
        <v>37.806314574600009</v>
      </c>
      <c r="G57" s="2149">
        <f>G56*G$28/2000</f>
        <v>7.6978535040000002</v>
      </c>
      <c r="H57" s="2184">
        <f>F57+G57</f>
        <v>45.50416807860001</v>
      </c>
      <c r="I57" s="2173">
        <f>H57*4</f>
        <v>182.01667231440004</v>
      </c>
      <c r="J57" s="2090"/>
      <c r="P57" s="2060"/>
    </row>
    <row r="58" spans="1:16" ht="15" thickBot="1">
      <c r="A58" s="2094"/>
      <c r="B58" s="2150"/>
      <c r="C58" s="2150"/>
      <c r="D58" s="2150"/>
      <c r="E58" s="2150"/>
      <c r="F58" s="2150"/>
      <c r="G58" s="2150"/>
      <c r="H58" s="2150"/>
      <c r="I58" s="2150"/>
      <c r="J58" s="2092"/>
      <c r="K58" s="2066"/>
      <c r="L58" s="2067"/>
      <c r="M58" s="2068"/>
      <c r="N58" s="2067"/>
      <c r="O58" s="2068"/>
    </row>
    <row r="59" spans="1:16">
      <c r="A59" s="2094"/>
      <c r="B59" s="2151" t="s">
        <v>1012</v>
      </c>
      <c r="C59" s="2152"/>
      <c r="D59" s="2152"/>
      <c r="E59" s="2152"/>
      <c r="F59" s="2152"/>
      <c r="G59" s="2152"/>
      <c r="H59" s="2152"/>
      <c r="I59" s="2153"/>
      <c r="J59" s="2090"/>
    </row>
    <row r="60" spans="1:16">
      <c r="A60" s="2094"/>
      <c r="B60" s="2101" t="s">
        <v>1569</v>
      </c>
      <c r="C60" s="2102"/>
      <c r="D60" s="2102"/>
      <c r="E60" s="2102"/>
      <c r="F60" s="2102"/>
      <c r="G60" s="2102"/>
      <c r="H60" s="2102"/>
      <c r="I60" s="2103"/>
      <c r="J60" s="2090"/>
    </row>
    <row r="61" spans="1:16" ht="30" customHeight="1">
      <c r="A61" s="2094"/>
      <c r="B61" s="4528" t="s">
        <v>1570</v>
      </c>
      <c r="C61" s="4529"/>
      <c r="D61" s="4529"/>
      <c r="E61" s="4529"/>
      <c r="F61" s="4529"/>
      <c r="G61" s="4529"/>
      <c r="H61" s="4529"/>
      <c r="I61" s="4530"/>
      <c r="J61" s="2090"/>
    </row>
    <row r="62" spans="1:16" ht="15" thickBot="1">
      <c r="A62" s="2094"/>
      <c r="B62" s="2155" t="s">
        <v>1659</v>
      </c>
      <c r="C62" s="2148"/>
      <c r="D62" s="2148"/>
      <c r="E62" s="2148"/>
      <c r="F62" s="2148"/>
      <c r="G62" s="2148"/>
      <c r="H62" s="2148"/>
      <c r="I62" s="2154"/>
      <c r="J62" s="2090"/>
    </row>
    <row r="63" spans="1:16" ht="15" thickBot="1">
      <c r="A63" s="2095"/>
      <c r="B63" s="2096"/>
      <c r="C63" s="2096"/>
      <c r="D63" s="2096"/>
      <c r="E63" s="2096"/>
      <c r="F63" s="2096"/>
      <c r="G63" s="2096"/>
      <c r="H63" s="2096"/>
      <c r="I63" s="2096"/>
      <c r="J63" s="2097"/>
    </row>
    <row r="64" spans="1:16" ht="15" thickBot="1"/>
    <row r="65" spans="12:14">
      <c r="L65" s="2069" t="s">
        <v>1571</v>
      </c>
      <c r="M65" s="2070"/>
      <c r="N65" s="2071"/>
    </row>
    <row r="66" spans="12:14" ht="15" thickBot="1">
      <c r="L66" s="2088">
        <f>F29-F50-F53</f>
        <v>-1.8818916932124502E-3</v>
      </c>
      <c r="M66" s="2072"/>
      <c r="N66" s="2073" t="e">
        <f>#REF!-#REF!-#REF!</f>
        <v>#REF!</v>
      </c>
    </row>
  </sheetData>
  <mergeCells count="20">
    <mergeCell ref="F55:G55"/>
    <mergeCell ref="B61:I61"/>
    <mergeCell ref="F48:G48"/>
    <mergeCell ref="F50:G50"/>
    <mergeCell ref="F51:G51"/>
    <mergeCell ref="F52:G52"/>
    <mergeCell ref="F53:G53"/>
    <mergeCell ref="F54:G54"/>
    <mergeCell ref="F47:G47"/>
    <mergeCell ref="Q1:Z6"/>
    <mergeCell ref="B2:I2"/>
    <mergeCell ref="B3:I3"/>
    <mergeCell ref="B4:I4"/>
    <mergeCell ref="D17:I18"/>
    <mergeCell ref="F41:G41"/>
    <mergeCell ref="F42:G42"/>
    <mergeCell ref="F43:G43"/>
    <mergeCell ref="F44:G44"/>
    <mergeCell ref="F45:G45"/>
    <mergeCell ref="F46:G46"/>
  </mergeCells>
  <pageMargins left="0.7" right="0.7" top="0.75" bottom="0.75" header="0.3" footer="0.3"/>
  <pageSetup scale="66" orientation="portrait" r:id="rId1"/>
  <colBreaks count="1" manualBreakCount="1">
    <brk id="15"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4">
    <tabColor theme="3" tint="-0.249977111117893"/>
    <pageSetUpPr fitToPage="1"/>
  </sheetPr>
  <dimension ref="B2:Q37"/>
  <sheetViews>
    <sheetView view="pageBreakPreview" topLeftCell="A7" zoomScale="85" zoomScaleNormal="85" zoomScaleSheetLayoutView="85" workbookViewId="0">
      <selection activeCell="A21" sqref="A21:XFD21"/>
    </sheetView>
  </sheetViews>
  <sheetFormatPr defaultColWidth="8.54296875" defaultRowHeight="14.5"/>
  <cols>
    <col min="1" max="1" width="8.54296875" style="1242"/>
    <col min="2" max="2" width="42.6328125" style="1255" customWidth="1"/>
    <col min="3" max="3" width="16" style="1242" hidden="1" customWidth="1"/>
    <col min="4" max="4" width="16" style="1242" customWidth="1"/>
    <col min="5" max="5" width="16" style="1242" hidden="1" customWidth="1"/>
    <col min="6" max="6" width="22" style="1242" hidden="1" customWidth="1"/>
    <col min="7" max="8" width="16" style="1242" hidden="1" customWidth="1"/>
    <col min="9" max="9" width="16" style="1242" customWidth="1"/>
    <col min="10" max="10" width="12.453125" style="1242" customWidth="1"/>
    <col min="11" max="11" width="8.54296875" style="1242"/>
    <col min="12" max="12" width="12.453125" style="1242" customWidth="1"/>
    <col min="13" max="13" width="14.6328125" style="1242" customWidth="1"/>
    <col min="14" max="14" width="2.6328125" style="1242" customWidth="1"/>
    <col min="15" max="15" width="2.54296875" style="1242" customWidth="1"/>
    <col min="16" max="16" width="10.54296875" style="1242" customWidth="1"/>
    <col min="17" max="17" width="3" style="1242" customWidth="1"/>
    <col min="18" max="16384" width="8.54296875" style="1242"/>
  </cols>
  <sheetData>
    <row r="2" spans="2:17" ht="15.5">
      <c r="B2" s="1240" t="s">
        <v>1231</v>
      </c>
      <c r="C2" s="1241" t="s">
        <v>1232</v>
      </c>
      <c r="D2" s="1322" t="s">
        <v>1298</v>
      </c>
      <c r="E2" s="1242">
        <v>24</v>
      </c>
      <c r="I2" s="1242">
        <v>24</v>
      </c>
      <c r="L2" s="1322" t="s">
        <v>1298</v>
      </c>
      <c r="M2" s="1242">
        <v>24</v>
      </c>
    </row>
    <row r="3" spans="2:17">
      <c r="B3" s="1243"/>
    </row>
    <row r="4" spans="2:17" ht="15.5">
      <c r="B4" s="1244" t="s">
        <v>1201</v>
      </c>
      <c r="C4" s="1245" t="s">
        <v>1233</v>
      </c>
      <c r="D4" s="1245" t="s">
        <v>1496</v>
      </c>
      <c r="E4" s="1245" t="s">
        <v>1233</v>
      </c>
      <c r="F4" s="1245" t="s">
        <v>1234</v>
      </c>
      <c r="G4" s="1245" t="s">
        <v>1235</v>
      </c>
      <c r="H4" s="1245">
        <v>7</v>
      </c>
      <c r="I4" s="1313"/>
      <c r="J4" s="1436" t="s">
        <v>1218</v>
      </c>
      <c r="P4" s="1438" t="s">
        <v>1291</v>
      </c>
    </row>
    <row r="5" spans="2:17" ht="58.5" customHeight="1">
      <c r="B5" s="1246" t="s">
        <v>256</v>
      </c>
      <c r="C5" s="1247" t="s">
        <v>1236</v>
      </c>
      <c r="D5" s="1247" t="s">
        <v>1331</v>
      </c>
      <c r="E5" s="1247" t="s">
        <v>1236</v>
      </c>
      <c r="F5" s="1247" t="s">
        <v>1237</v>
      </c>
      <c r="G5" s="1247" t="s">
        <v>1238</v>
      </c>
      <c r="H5" s="1247" t="s">
        <v>1239</v>
      </c>
      <c r="I5" s="1247" t="s">
        <v>1500</v>
      </c>
      <c r="J5" s="1515" t="s">
        <v>1356</v>
      </c>
      <c r="L5" s="1436" t="s">
        <v>1236</v>
      </c>
      <c r="M5" s="1436" t="s">
        <v>1289</v>
      </c>
      <c r="N5" s="1317"/>
      <c r="O5" s="1317"/>
      <c r="P5" s="1515" t="s">
        <v>1356</v>
      </c>
      <c r="Q5" s="1516"/>
    </row>
    <row r="6" spans="2:17" ht="69" customHeight="1">
      <c r="B6" s="1248" t="s">
        <v>1240</v>
      </c>
      <c r="C6" s="1247" t="s">
        <v>1241</v>
      </c>
      <c r="D6" s="1249" t="s">
        <v>1242</v>
      </c>
      <c r="E6" s="1247" t="s">
        <v>1243</v>
      </c>
      <c r="F6" s="1247" t="s">
        <v>1244</v>
      </c>
      <c r="G6" s="1247" t="s">
        <v>1245</v>
      </c>
      <c r="H6" s="1247" t="s">
        <v>1246</v>
      </c>
      <c r="I6" s="1314" t="s">
        <v>1241</v>
      </c>
      <c r="J6" s="1439" t="s">
        <v>1290</v>
      </c>
      <c r="L6" s="1436" t="s">
        <v>1288</v>
      </c>
      <c r="M6" s="1436" t="s">
        <v>1288</v>
      </c>
      <c r="N6" s="1317"/>
      <c r="O6" s="1317"/>
      <c r="P6" s="1439" t="s">
        <v>1290</v>
      </c>
      <c r="Q6" s="1317"/>
    </row>
    <row r="7" spans="2:17">
      <c r="B7" s="1248" t="s">
        <v>1247</v>
      </c>
      <c r="C7" s="1250">
        <v>64</v>
      </c>
      <c r="D7" s="1251"/>
      <c r="E7" s="1250"/>
      <c r="F7" s="1251"/>
      <c r="G7" s="1251"/>
      <c r="H7" s="1251"/>
      <c r="I7" s="1315"/>
      <c r="J7" s="1437"/>
      <c r="L7" s="1437"/>
      <c r="M7" s="1437"/>
      <c r="N7" s="1317"/>
      <c r="O7" s="1317"/>
      <c r="P7" s="1437"/>
      <c r="Q7" s="1317"/>
    </row>
    <row r="8" spans="2:17">
      <c r="B8" s="1248" t="s">
        <v>1248</v>
      </c>
      <c r="C8" s="1250">
        <v>132</v>
      </c>
      <c r="D8" s="1251"/>
      <c r="E8" s="1250"/>
      <c r="F8" s="1251"/>
      <c r="G8" s="1251"/>
      <c r="H8" s="1251"/>
      <c r="I8" s="1315"/>
      <c r="J8" s="1437"/>
      <c r="L8" s="1437"/>
      <c r="M8" s="1437"/>
      <c r="N8" s="1317"/>
      <c r="O8" s="1317"/>
      <c r="P8" s="1437"/>
      <c r="Q8" s="1317"/>
    </row>
    <row r="9" spans="2:17">
      <c r="B9" s="1248" t="s">
        <v>1202</v>
      </c>
      <c r="C9" s="1250">
        <v>9.1</v>
      </c>
      <c r="D9" s="1251">
        <v>8.4</v>
      </c>
      <c r="E9" s="1250">
        <v>9.1</v>
      </c>
      <c r="F9" s="1251">
        <v>5</v>
      </c>
      <c r="G9" s="1251">
        <v>4.3</v>
      </c>
      <c r="H9" s="1251">
        <v>10.1</v>
      </c>
      <c r="I9" s="1315">
        <f>D9*4.38</f>
        <v>36.792000000000002</v>
      </c>
      <c r="J9" s="1521">
        <f>I9*4</f>
        <v>147.16800000000001</v>
      </c>
      <c r="L9" s="1437">
        <f>D9*$M$2/2000</f>
        <v>0.10080000000000001</v>
      </c>
      <c r="M9" s="1437">
        <f>I9*(24-$M$2)/2000</f>
        <v>0</v>
      </c>
      <c r="N9" s="1317"/>
      <c r="O9" s="1317"/>
      <c r="P9" s="1437">
        <f>(L9+M9)*365</f>
        <v>36.792000000000009</v>
      </c>
      <c r="Q9" s="1317"/>
    </row>
    <row r="10" spans="2:17">
      <c r="B10" s="1248" t="s">
        <v>1203</v>
      </c>
      <c r="C10" s="1250">
        <v>2</v>
      </c>
      <c r="D10" s="1251"/>
      <c r="E10" s="1250"/>
      <c r="F10" s="1251"/>
      <c r="G10" s="1251"/>
      <c r="H10" s="1251"/>
      <c r="I10" s="1315"/>
      <c r="J10" s="1437"/>
      <c r="L10" s="1437"/>
      <c r="M10" s="1437"/>
      <c r="N10" s="1317"/>
      <c r="O10" s="1317"/>
      <c r="P10" s="1437"/>
      <c r="Q10" s="1317"/>
    </row>
    <row r="11" spans="2:17">
      <c r="B11" s="1248" t="s">
        <v>1204</v>
      </c>
      <c r="C11" s="1250">
        <v>5.5</v>
      </c>
      <c r="D11" s="1251">
        <v>5.0999999999999996</v>
      </c>
      <c r="E11" s="1250">
        <v>5.5</v>
      </c>
      <c r="F11" s="1251">
        <v>3</v>
      </c>
      <c r="G11" s="1251">
        <v>2.6</v>
      </c>
      <c r="H11" s="1251">
        <v>6.2</v>
      </c>
      <c r="I11" s="1699">
        <f>D11*4.38</f>
        <v>22.337999999999997</v>
      </c>
      <c r="J11" s="1521">
        <f>I11*4</f>
        <v>89.35199999999999</v>
      </c>
      <c r="L11" s="1437">
        <f>D11*$M$2/2000</f>
        <v>6.1199999999999997E-2</v>
      </c>
      <c r="M11" s="1437">
        <f>I11*(24-$M$2)/2000</f>
        <v>0</v>
      </c>
      <c r="N11" s="1317"/>
      <c r="O11" s="1317"/>
      <c r="P11" s="1437">
        <f>(L11+M11)*365</f>
        <v>22.337999999999997</v>
      </c>
      <c r="Q11" s="1317"/>
    </row>
    <row r="12" spans="2:17">
      <c r="B12" s="1252" t="s">
        <v>1205</v>
      </c>
      <c r="C12" s="1253">
        <v>2</v>
      </c>
      <c r="D12" s="1254"/>
      <c r="E12" s="1253"/>
      <c r="F12" s="1254"/>
      <c r="G12" s="1254"/>
      <c r="H12" s="1254"/>
      <c r="I12" s="1315"/>
      <c r="J12" s="1437"/>
      <c r="L12" s="1437"/>
      <c r="M12" s="1437"/>
      <c r="N12" s="1317"/>
      <c r="O12" s="1317"/>
      <c r="P12" s="1437"/>
      <c r="Q12" s="1317"/>
    </row>
    <row r="13" spans="2:17">
      <c r="B13" s="1908" t="s">
        <v>1206</v>
      </c>
      <c r="C13" s="1909">
        <v>7.1</v>
      </c>
      <c r="D13" s="1910"/>
      <c r="E13" s="1909"/>
      <c r="F13" s="1910"/>
      <c r="G13" s="1910"/>
      <c r="H13" s="1910"/>
      <c r="I13" s="1911"/>
      <c r="J13" s="1437"/>
      <c r="L13" s="1437"/>
      <c r="M13" s="1437"/>
      <c r="N13" s="1317"/>
      <c r="O13" s="1317"/>
      <c r="P13" s="1437"/>
      <c r="Q13" s="1317"/>
    </row>
    <row r="14" spans="2:17" ht="28">
      <c r="B14" s="1912" t="s">
        <v>1207</v>
      </c>
      <c r="C14" s="1913">
        <v>4.5</v>
      </c>
      <c r="D14" s="1914"/>
      <c r="E14" s="1913"/>
      <c r="F14" s="1914"/>
      <c r="G14" s="1914"/>
      <c r="H14" s="1914"/>
      <c r="I14" s="1911"/>
      <c r="J14" s="1437"/>
      <c r="L14" s="1437"/>
      <c r="M14" s="1437"/>
      <c r="N14" s="1317"/>
      <c r="O14" s="1317"/>
      <c r="P14" s="1437"/>
      <c r="Q14" s="1317"/>
    </row>
    <row r="15" spans="2:17">
      <c r="B15" s="1908" t="s">
        <v>1208</v>
      </c>
      <c r="C15" s="1909">
        <v>10.199999999999999</v>
      </c>
      <c r="D15" s="1910">
        <v>9.1999999999999993</v>
      </c>
      <c r="E15" s="1909">
        <v>10.199999999999999</v>
      </c>
      <c r="F15" s="1910">
        <v>5.2</v>
      </c>
      <c r="G15" s="1910">
        <v>4.5</v>
      </c>
      <c r="H15" s="1910">
        <v>11.4</v>
      </c>
      <c r="I15" s="1915">
        <f>D15*4.38</f>
        <v>40.295999999999999</v>
      </c>
      <c r="J15" s="1521">
        <f>I15*4</f>
        <v>161.184</v>
      </c>
      <c r="L15" s="1437">
        <f>D15*$M$2/2000</f>
        <v>0.1104</v>
      </c>
      <c r="M15" s="1437">
        <f>I15*(24-$M$2)/2000</f>
        <v>0</v>
      </c>
      <c r="N15" s="1317"/>
      <c r="O15" s="1317"/>
      <c r="P15" s="1437">
        <f>(L15+M15)*365</f>
        <v>40.295999999999999</v>
      </c>
      <c r="Q15" s="1317"/>
    </row>
    <row r="16" spans="2:17" ht="28">
      <c r="B16" s="1908" t="s">
        <v>1209</v>
      </c>
      <c r="C16" s="1909">
        <v>4.5</v>
      </c>
      <c r="D16" s="1910"/>
      <c r="E16" s="1909"/>
      <c r="F16" s="1910"/>
      <c r="G16" s="1910"/>
      <c r="H16" s="1910"/>
      <c r="I16" s="1911"/>
      <c r="J16" s="1437"/>
      <c r="L16" s="1437"/>
      <c r="M16" s="1437"/>
      <c r="N16" s="1317"/>
      <c r="O16" s="1317"/>
      <c r="P16" s="1437"/>
      <c r="Q16" s="1317"/>
    </row>
    <row r="17" spans="2:17">
      <c r="B17" s="1248" t="s">
        <v>1210</v>
      </c>
      <c r="C17" s="1250">
        <v>24.3</v>
      </c>
      <c r="D17" s="1251">
        <v>28</v>
      </c>
      <c r="E17" s="1250">
        <v>24.3</v>
      </c>
      <c r="F17" s="1251">
        <v>4.4000000000000004</v>
      </c>
      <c r="G17" s="1251">
        <v>3.8</v>
      </c>
      <c r="H17" s="1251">
        <v>27.7</v>
      </c>
      <c r="I17" s="1316"/>
      <c r="J17" s="1437"/>
      <c r="L17" s="1437"/>
      <c r="M17" s="1437"/>
      <c r="N17" s="1317"/>
      <c r="O17" s="1317"/>
      <c r="P17" s="1437"/>
      <c r="Q17" s="1317"/>
    </row>
    <row r="18" spans="2:17">
      <c r="B18" s="1248" t="s">
        <v>1211</v>
      </c>
      <c r="C18" s="1250">
        <v>15.4</v>
      </c>
      <c r="D18" s="1251"/>
      <c r="E18" s="1250"/>
      <c r="F18" s="1251"/>
      <c r="G18" s="1251"/>
      <c r="H18" s="1251"/>
      <c r="I18" s="1315"/>
      <c r="J18" s="1437"/>
      <c r="L18" s="1437"/>
      <c r="M18" s="1437"/>
      <c r="N18" s="1317"/>
      <c r="O18" s="1317"/>
      <c r="P18" s="1437"/>
      <c r="Q18" s="1317"/>
    </row>
    <row r="19" spans="2:17" ht="28.5" customHeight="1">
      <c r="B19" s="1248" t="s">
        <v>1212</v>
      </c>
      <c r="C19" s="1250">
        <v>2.8</v>
      </c>
      <c r="D19" s="1251">
        <v>2.1349999999999998</v>
      </c>
      <c r="E19" s="1250">
        <v>2.8</v>
      </c>
      <c r="F19" s="1251">
        <v>1.5</v>
      </c>
      <c r="G19" s="1251">
        <v>1.3</v>
      </c>
      <c r="H19" s="1251">
        <v>3.1</v>
      </c>
      <c r="I19" s="1699">
        <f>D19*4.38</f>
        <v>9.3512999999999984</v>
      </c>
      <c r="J19" s="1521">
        <f>I19*4</f>
        <v>37.405199999999994</v>
      </c>
      <c r="L19" s="1437">
        <f>D19*$M$2/2000</f>
        <v>2.5619999999999997E-2</v>
      </c>
      <c r="M19" s="1437">
        <f>I19*(24-$M$2)/2000</f>
        <v>0</v>
      </c>
      <c r="N19" s="1317"/>
      <c r="O19" s="1317"/>
      <c r="P19" s="1437">
        <f>(L19+M19)*365</f>
        <v>9.3512999999999984</v>
      </c>
      <c r="Q19" s="1317"/>
    </row>
    <row r="20" spans="2:17" ht="28">
      <c r="B20" s="1248" t="s">
        <v>1213</v>
      </c>
      <c r="C20" s="1250">
        <v>0.4</v>
      </c>
      <c r="D20" s="1251"/>
      <c r="E20" s="1250"/>
      <c r="F20" s="1251"/>
      <c r="G20" s="1251"/>
      <c r="H20" s="1251"/>
      <c r="I20" s="1315"/>
      <c r="J20" s="1437"/>
      <c r="L20" s="1437"/>
      <c r="M20" s="1437"/>
      <c r="N20" s="1317"/>
      <c r="O20" s="1317"/>
      <c r="P20" s="1437"/>
      <c r="Q20" s="1317"/>
    </row>
    <row r="21" spans="2:17">
      <c r="B21" s="1248" t="s">
        <v>1214</v>
      </c>
      <c r="C21" s="1250">
        <v>4.2</v>
      </c>
      <c r="D21" s="1251">
        <v>0.82299999999999995</v>
      </c>
      <c r="E21" s="1250">
        <v>4.2</v>
      </c>
      <c r="F21" s="1251">
        <v>2.4</v>
      </c>
      <c r="G21" s="1251">
        <v>2</v>
      </c>
      <c r="H21" s="1251">
        <v>4.7</v>
      </c>
      <c r="I21" s="1699">
        <f t="shared" ref="I21:I27" si="0">D21*4.38</f>
        <v>3.6047399999999996</v>
      </c>
      <c r="J21" s="1521">
        <f t="shared" ref="J21:J27" si="1">I21*4</f>
        <v>14.418959999999998</v>
      </c>
      <c r="L21" s="1437">
        <f>D21*$M$2/2000</f>
        <v>9.8759999999999994E-3</v>
      </c>
      <c r="M21" s="1437">
        <f>I21*(24-$M$2)/2000</f>
        <v>0</v>
      </c>
      <c r="N21" s="1317"/>
      <c r="O21" s="1317"/>
      <c r="P21" s="1437">
        <f>(L21+M21)*365</f>
        <v>3.6047399999999996</v>
      </c>
      <c r="Q21" s="1317"/>
    </row>
    <row r="22" spans="2:17">
      <c r="B22" s="1248" t="s">
        <v>1215</v>
      </c>
      <c r="C22" s="1250">
        <v>10.9</v>
      </c>
      <c r="D22" s="1251">
        <v>9.1999999999999993</v>
      </c>
      <c r="E22" s="1250">
        <v>10.9</v>
      </c>
      <c r="F22" s="1251">
        <v>4.4000000000000004</v>
      </c>
      <c r="G22" s="1251">
        <v>3.9</v>
      </c>
      <c r="H22" s="1251">
        <v>12.3</v>
      </c>
      <c r="I22" s="1699">
        <f t="shared" si="0"/>
        <v>40.295999999999999</v>
      </c>
      <c r="J22" s="1521">
        <f t="shared" si="1"/>
        <v>161.184</v>
      </c>
      <c r="L22" s="1437">
        <f>D22*$M$2/2000</f>
        <v>0.1104</v>
      </c>
      <c r="M22" s="1437">
        <f>I22*(24-$M$2)/2000</f>
        <v>0</v>
      </c>
      <c r="N22" s="1317"/>
      <c r="O22" s="1317"/>
      <c r="P22" s="1437">
        <f>(L22+M22)*365</f>
        <v>40.295999999999999</v>
      </c>
      <c r="Q22" s="1317"/>
    </row>
    <row r="23" spans="2:17">
      <c r="B23" s="1440" t="s">
        <v>1490</v>
      </c>
      <c r="C23" s="1441"/>
      <c r="D23" s="1518">
        <f>0.00071*D28</f>
        <v>0.75344703000000002</v>
      </c>
      <c r="E23" s="1441"/>
      <c r="F23" s="1442"/>
      <c r="G23" s="1442"/>
      <c r="H23" s="1442"/>
      <c r="I23" s="1699">
        <f t="shared" si="0"/>
        <v>3.3000979913999999</v>
      </c>
      <c r="J23" s="1521">
        <f t="shared" si="1"/>
        <v>13.2003919656</v>
      </c>
      <c r="L23" s="1437">
        <f>D23*$M$2/2000</f>
        <v>9.0413643599999999E-3</v>
      </c>
      <c r="M23" s="1437">
        <f>I23*(24-$M$2)/2000</f>
        <v>0</v>
      </c>
      <c r="N23" s="1317"/>
      <c r="O23" s="1317"/>
      <c r="P23" s="1519">
        <f>(L23+M23)*365</f>
        <v>3.3000979913999999</v>
      </c>
      <c r="Q23" s="1520"/>
    </row>
    <row r="24" spans="2:17">
      <c r="B24" s="1440" t="s">
        <v>1355</v>
      </c>
      <c r="C24" s="1441"/>
      <c r="D24" s="1518">
        <f>0.000012*D28</f>
        <v>1.2734316000000001E-2</v>
      </c>
      <c r="E24" s="1441"/>
      <c r="F24" s="1442"/>
      <c r="G24" s="1442"/>
      <c r="H24" s="1442"/>
      <c r="I24" s="1699">
        <f t="shared" si="0"/>
        <v>5.5776304079999998E-2</v>
      </c>
      <c r="J24" s="1521">
        <f t="shared" si="1"/>
        <v>0.22310521631999999</v>
      </c>
      <c r="L24" s="1437"/>
      <c r="M24" s="1437"/>
      <c r="N24" s="1317"/>
      <c r="O24" s="1317"/>
      <c r="P24" s="1521">
        <f>D24*4.38</f>
        <v>5.5776304079999998E-2</v>
      </c>
      <c r="Q24" s="1522"/>
    </row>
    <row r="25" spans="2:17">
      <c r="B25" s="1440" t="s">
        <v>1357</v>
      </c>
      <c r="C25" s="1441"/>
      <c r="D25" s="1517">
        <f>0.00013*D28</f>
        <v>0.13795508999999997</v>
      </c>
      <c r="E25" s="1441"/>
      <c r="F25" s="1442"/>
      <c r="G25" s="1442"/>
      <c r="H25" s="1442"/>
      <c r="I25" s="1699">
        <f t="shared" si="0"/>
        <v>0.60424329419999989</v>
      </c>
      <c r="J25" s="1521">
        <f t="shared" si="1"/>
        <v>2.4169731767999996</v>
      </c>
      <c r="L25" s="1437"/>
      <c r="M25" s="1437"/>
      <c r="N25" s="1317"/>
      <c r="O25" s="1317"/>
      <c r="P25" s="1521">
        <f>D25*4.38</f>
        <v>0.60424329419999989</v>
      </c>
      <c r="Q25" s="1522"/>
    </row>
    <row r="26" spans="2:17">
      <c r="B26" s="1440" t="s">
        <v>1358</v>
      </c>
      <c r="C26" s="1441"/>
      <c r="D26" s="1518">
        <f>0.000032*D28</f>
        <v>3.3958176E-2</v>
      </c>
      <c r="E26" s="1441"/>
      <c r="F26" s="1442"/>
      <c r="G26" s="1442"/>
      <c r="H26" s="1442"/>
      <c r="I26" s="1699">
        <f t="shared" si="0"/>
        <v>0.14873681087999999</v>
      </c>
      <c r="J26" s="1521">
        <f t="shared" si="1"/>
        <v>0.59494724351999995</v>
      </c>
      <c r="L26" s="1437"/>
      <c r="M26" s="1437"/>
      <c r="N26" s="1317"/>
      <c r="O26" s="1317"/>
      <c r="P26" s="1521">
        <f>D26*4.38</f>
        <v>0.14873681087999999</v>
      </c>
      <c r="Q26" s="1522"/>
    </row>
    <row r="27" spans="2:17">
      <c r="B27" s="1440" t="s">
        <v>1359</v>
      </c>
      <c r="C27" s="1441"/>
      <c r="D27" s="1518">
        <f>0.000064*D28</f>
        <v>6.7916351999999999E-2</v>
      </c>
      <c r="E27" s="1441"/>
      <c r="F27" s="1442"/>
      <c r="G27" s="1442"/>
      <c r="H27" s="1442"/>
      <c r="I27" s="1699">
        <f t="shared" si="0"/>
        <v>0.29747362175999997</v>
      </c>
      <c r="J27" s="1521">
        <f t="shared" si="1"/>
        <v>1.1898944870399999</v>
      </c>
      <c r="L27" s="1437"/>
      <c r="M27" s="1437"/>
      <c r="N27" s="1317"/>
      <c r="O27" s="1317"/>
      <c r="P27" s="1521">
        <f>D27*4.38</f>
        <v>0.29747362175999997</v>
      </c>
      <c r="Q27" s="1522"/>
    </row>
    <row r="28" spans="2:17">
      <c r="B28" s="1696" t="s">
        <v>1216</v>
      </c>
      <c r="C28" s="1250">
        <v>337.89</v>
      </c>
      <c r="D28" s="1514">
        <f>'COGEN GHG '!C12</f>
        <v>1061.193</v>
      </c>
      <c r="E28" s="1250">
        <v>337.89</v>
      </c>
      <c r="F28" s="1251" t="s">
        <v>1217</v>
      </c>
      <c r="G28" s="1251" t="s">
        <v>1217</v>
      </c>
      <c r="H28" s="1251">
        <v>389.32</v>
      </c>
      <c r="I28" s="1443"/>
      <c r="J28" s="1437"/>
      <c r="L28" s="1317"/>
      <c r="M28" s="1317"/>
      <c r="N28" s="1317"/>
      <c r="O28" s="1317"/>
      <c r="P28" s="1317"/>
      <c r="Q28" s="1317"/>
    </row>
    <row r="29" spans="2:17">
      <c r="B29" s="1698" t="s">
        <v>1497</v>
      </c>
      <c r="C29" s="1695">
        <v>193.9</v>
      </c>
      <c r="D29" s="1251">
        <v>10</v>
      </c>
      <c r="E29" s="1250">
        <v>193.9</v>
      </c>
      <c r="F29" s="1251">
        <v>73.2</v>
      </c>
      <c r="G29" s="1251">
        <v>63.2</v>
      </c>
      <c r="H29" s="1251">
        <v>218.7</v>
      </c>
      <c r="I29" s="1443"/>
      <c r="J29" s="1519"/>
      <c r="L29" s="1317"/>
      <c r="M29" s="1317"/>
      <c r="N29" s="1317"/>
      <c r="O29" s="1317"/>
      <c r="P29" s="1520">
        <f>SUM(P23:P27)</f>
        <v>4.4063280223199994</v>
      </c>
      <c r="Q29" s="1317"/>
    </row>
    <row r="30" spans="2:17">
      <c r="B30" s="1698" t="s">
        <v>1498</v>
      </c>
      <c r="C30" s="1695">
        <v>193.9</v>
      </c>
      <c r="D30" s="1251">
        <v>15.86</v>
      </c>
      <c r="E30" s="1250">
        <v>193.9</v>
      </c>
      <c r="F30" s="1251">
        <v>73.2</v>
      </c>
      <c r="G30" s="1251">
        <v>63.2</v>
      </c>
      <c r="H30" s="1251">
        <v>218.7</v>
      </c>
      <c r="I30" s="1700">
        <f>D30*4.38</f>
        <v>69.466799999999992</v>
      </c>
      <c r="J30" s="1521">
        <f>I30*4</f>
        <v>277.86719999999997</v>
      </c>
      <c r="L30" s="1317"/>
      <c r="M30" s="1317"/>
      <c r="N30" s="1317"/>
      <c r="O30" s="1317"/>
      <c r="P30" s="1520"/>
      <c r="Q30" s="1317"/>
    </row>
    <row r="31" spans="2:17">
      <c r="B31" s="1697" t="s">
        <v>1335</v>
      </c>
      <c r="C31" s="1250">
        <v>185</v>
      </c>
      <c r="D31" s="5355">
        <v>185</v>
      </c>
      <c r="E31" s="5356"/>
      <c r="F31" s="5356"/>
      <c r="G31" s="5356"/>
      <c r="H31" s="5356"/>
      <c r="I31" s="5357"/>
      <c r="J31" s="1317"/>
      <c r="L31" s="1317"/>
      <c r="M31" s="1317"/>
      <c r="N31" s="1317"/>
      <c r="O31" s="1317"/>
      <c r="P31" s="1317"/>
      <c r="Q31" s="1317"/>
    </row>
    <row r="32" spans="2:17">
      <c r="B32" s="1248" t="s">
        <v>1336</v>
      </c>
      <c r="C32" s="1250">
        <v>51.9</v>
      </c>
      <c r="D32" s="5355">
        <v>38.299999999999997</v>
      </c>
      <c r="E32" s="5356"/>
      <c r="F32" s="5356"/>
      <c r="G32" s="5356"/>
      <c r="H32" s="5356"/>
      <c r="I32" s="5357"/>
      <c r="J32" s="1317"/>
      <c r="L32" s="1317"/>
      <c r="M32" s="1317"/>
      <c r="N32" s="1317"/>
      <c r="O32" s="1317"/>
      <c r="P32" s="1317"/>
      <c r="Q32" s="1317"/>
    </row>
    <row r="33" spans="2:17">
      <c r="B33" s="1248" t="s">
        <v>1337</v>
      </c>
      <c r="C33" s="1250">
        <v>185</v>
      </c>
      <c r="D33" s="5355">
        <v>423.5</v>
      </c>
      <c r="E33" s="5356"/>
      <c r="F33" s="5356"/>
      <c r="G33" s="5356"/>
      <c r="H33" s="5356"/>
      <c r="I33" s="5357"/>
      <c r="J33" s="1317"/>
      <c r="L33" s="1317"/>
      <c r="M33" s="1317"/>
      <c r="N33" s="1317"/>
      <c r="O33" s="1317"/>
      <c r="P33" s="1317"/>
      <c r="Q33" s="1317"/>
    </row>
    <row r="34" spans="2:17">
      <c r="B34" s="1248" t="s">
        <v>1338</v>
      </c>
      <c r="C34" s="1250">
        <v>51.9</v>
      </c>
      <c r="D34" s="5355">
        <v>67.2</v>
      </c>
      <c r="E34" s="5356"/>
      <c r="F34" s="5356"/>
      <c r="G34" s="5356"/>
      <c r="H34" s="5356"/>
      <c r="I34" s="5357"/>
      <c r="J34" s="1317"/>
      <c r="L34" s="1317"/>
      <c r="M34" s="1317"/>
      <c r="N34" s="1317"/>
      <c r="O34" s="1317"/>
      <c r="P34" s="1317"/>
      <c r="Q34" s="1317"/>
    </row>
    <row r="37" spans="2:17">
      <c r="B37" s="1255" t="s">
        <v>1249</v>
      </c>
    </row>
  </sheetData>
  <mergeCells count="4">
    <mergeCell ref="D31:I31"/>
    <mergeCell ref="D33:I33"/>
    <mergeCell ref="D32:I32"/>
    <mergeCell ref="D34:I34"/>
  </mergeCells>
  <pageMargins left="0.7" right="0.7" top="0.75" bottom="0.75" header="0.3" footer="0.3"/>
  <pageSetup scale="95"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tabColor theme="1"/>
  </sheetPr>
  <dimension ref="A1:L58"/>
  <sheetViews>
    <sheetView view="pageLayout" zoomScale="70" zoomScaleNormal="100" zoomScaleSheetLayoutView="100" zoomScalePageLayoutView="70" workbookViewId="0">
      <selection activeCell="E19" sqref="E19:R20"/>
    </sheetView>
  </sheetViews>
  <sheetFormatPr defaultColWidth="9.36328125" defaultRowHeight="13"/>
  <cols>
    <col min="1" max="1" width="10.54296875" style="68" customWidth="1"/>
    <col min="2" max="2" width="47.36328125" style="66" customWidth="1"/>
    <col min="3" max="3" width="10" style="66" customWidth="1"/>
    <col min="4" max="4" width="24.54296875" style="66" customWidth="1"/>
    <col min="5" max="5" width="23.6328125" style="66" customWidth="1"/>
    <col min="6" max="6" width="14.54296875" style="66" customWidth="1"/>
    <col min="7" max="7" width="14" style="66" customWidth="1"/>
    <col min="8" max="10" width="9.36328125" style="66"/>
    <col min="11" max="11" width="9" style="66" customWidth="1"/>
    <col min="12" max="12" width="9.36328125" style="66" hidden="1" customWidth="1"/>
    <col min="13" max="16384" width="9.36328125" style="66"/>
  </cols>
  <sheetData>
    <row r="1" spans="1:12" ht="19.5" customHeight="1">
      <c r="A1" s="3917" t="s">
        <v>138</v>
      </c>
      <c r="B1" s="3918"/>
      <c r="C1" s="3918"/>
      <c r="D1" s="3918"/>
      <c r="E1" s="3918"/>
      <c r="F1" s="3918"/>
      <c r="G1" s="3918"/>
      <c r="H1" s="64"/>
      <c r="I1" s="64"/>
      <c r="J1" s="64"/>
      <c r="K1" s="64"/>
      <c r="L1" s="65"/>
    </row>
    <row r="2" spans="1:12" ht="39" customHeight="1" thickBot="1">
      <c r="A2" s="3919" t="s">
        <v>1493</v>
      </c>
      <c r="B2" s="3919"/>
      <c r="C2" s="3919"/>
      <c r="D2" s="3919"/>
      <c r="E2" s="3919"/>
      <c r="F2" s="3919"/>
      <c r="G2" s="3919"/>
      <c r="H2" s="67"/>
      <c r="I2" s="67"/>
      <c r="J2" s="67"/>
      <c r="K2" s="68"/>
      <c r="L2" s="69"/>
    </row>
    <row r="3" spans="1:12" s="70" customFormat="1" ht="19.5" customHeight="1">
      <c r="A3" s="3920" t="s">
        <v>140</v>
      </c>
      <c r="B3" s="3921" t="s">
        <v>141</v>
      </c>
      <c r="C3" s="3921" t="s">
        <v>142</v>
      </c>
      <c r="D3" s="3923" t="s">
        <v>143</v>
      </c>
      <c r="E3" s="3923" t="s">
        <v>144</v>
      </c>
      <c r="F3" s="3924" t="s">
        <v>145</v>
      </c>
      <c r="G3" s="3926" t="s">
        <v>146</v>
      </c>
    </row>
    <row r="4" spans="1:12" s="70" customFormat="1" ht="19.5" customHeight="1">
      <c r="A4" s="3853"/>
      <c r="B4" s="3922"/>
      <c r="C4" s="3922"/>
      <c r="D4" s="3922"/>
      <c r="E4" s="3922"/>
      <c r="F4" s="3925"/>
      <c r="G4" s="3927"/>
    </row>
    <row r="5" spans="1:12" s="74" customFormat="1" ht="18.75" customHeight="1">
      <c r="A5" s="1260" t="str">
        <f>'2-A All'!A43</f>
        <v>FL1</v>
      </c>
      <c r="B5" s="1261" t="s">
        <v>1513</v>
      </c>
      <c r="C5" s="1262" t="s">
        <v>94</v>
      </c>
      <c r="D5" s="1261" t="s">
        <v>1250</v>
      </c>
      <c r="E5" s="596" t="s">
        <v>2045</v>
      </c>
      <c r="F5" s="1263">
        <v>0.98</v>
      </c>
      <c r="G5" s="1264" t="s">
        <v>658</v>
      </c>
    </row>
    <row r="6" spans="1:12" s="74" customFormat="1" ht="18.75" customHeight="1">
      <c r="A6" s="1265" t="str">
        <f>'2-A All'!A45</f>
        <v>FL2</v>
      </c>
      <c r="B6" s="1266" t="s">
        <v>1514</v>
      </c>
      <c r="C6" s="1267" t="s">
        <v>94</v>
      </c>
      <c r="D6" s="1266" t="s">
        <v>1250</v>
      </c>
      <c r="E6" s="601" t="str">
        <f>E5</f>
        <v xml:space="preserve">Plant Inlet &amp; SSM Activities </v>
      </c>
      <c r="F6" s="1268">
        <v>0.98</v>
      </c>
      <c r="G6" s="1269" t="s">
        <v>658</v>
      </c>
    </row>
    <row r="7" spans="1:12" s="74" customFormat="1" ht="18.75" customHeight="1">
      <c r="A7" s="1260" t="str">
        <f>'2-A All'!A47</f>
        <v>FL3</v>
      </c>
      <c r="B7" s="1261" t="s">
        <v>1515</v>
      </c>
      <c r="C7" s="1262" t="s">
        <v>94</v>
      </c>
      <c r="D7" s="1261" t="s">
        <v>1250</v>
      </c>
      <c r="E7" s="596" t="str">
        <f>E5</f>
        <v xml:space="preserve">Plant Inlet &amp; SSM Activities </v>
      </c>
      <c r="F7" s="1263">
        <v>0.98</v>
      </c>
      <c r="G7" s="1264" t="s">
        <v>658</v>
      </c>
    </row>
    <row r="8" spans="1:12" s="74" customFormat="1" ht="28.5" customHeight="1">
      <c r="A8" s="1265" t="str">
        <f>'2-E-NoCo'!A36</f>
        <v>ECD1</v>
      </c>
      <c r="B8" s="1266" t="s">
        <v>618</v>
      </c>
      <c r="C8" s="1267" t="s">
        <v>94</v>
      </c>
      <c r="D8" s="1266" t="s">
        <v>1250</v>
      </c>
      <c r="E8" s="1266" t="s">
        <v>1771</v>
      </c>
      <c r="F8" s="1268">
        <v>0.99</v>
      </c>
      <c r="G8" s="1269" t="s">
        <v>658</v>
      </c>
    </row>
    <row r="9" spans="1:12" s="74" customFormat="1" ht="18.75" customHeight="1">
      <c r="A9" s="1260" t="str">
        <f>'2-E-NoCo'!A37</f>
        <v>TO1</v>
      </c>
      <c r="B9" s="1261" t="s">
        <v>1279</v>
      </c>
      <c r="C9" s="1262" t="s">
        <v>94</v>
      </c>
      <c r="D9" s="1261" t="s">
        <v>1250</v>
      </c>
      <c r="E9" s="1261" t="s">
        <v>1449</v>
      </c>
      <c r="F9" s="1263">
        <v>0.99</v>
      </c>
      <c r="G9" s="1264" t="s">
        <v>658</v>
      </c>
    </row>
    <row r="10" spans="1:12" s="74" customFormat="1" ht="18.75" customHeight="1">
      <c r="A10" s="1265" t="str">
        <f>'2-E-NoCo'!A38</f>
        <v>TO2</v>
      </c>
      <c r="B10" s="1266" t="str">
        <f>B9</f>
        <v>Thermal Oxidizer</v>
      </c>
      <c r="C10" s="1267" t="s">
        <v>94</v>
      </c>
      <c r="D10" s="1266" t="s">
        <v>1250</v>
      </c>
      <c r="E10" s="1266" t="s">
        <v>1450</v>
      </c>
      <c r="F10" s="1268">
        <v>0.99</v>
      </c>
      <c r="G10" s="1269" t="s">
        <v>658</v>
      </c>
    </row>
    <row r="11" spans="1:12" s="74" customFormat="1" ht="18.75" customHeight="1">
      <c r="A11" s="1260" t="str">
        <f>'2-E-NoCo'!A39</f>
        <v>TO3</v>
      </c>
      <c r="B11" s="1261" t="str">
        <f>B9</f>
        <v>Thermal Oxidizer</v>
      </c>
      <c r="C11" s="1262" t="s">
        <v>94</v>
      </c>
      <c r="D11" s="1261" t="s">
        <v>1250</v>
      </c>
      <c r="E11" s="1261" t="s">
        <v>1451</v>
      </c>
      <c r="F11" s="1263">
        <v>0.99</v>
      </c>
      <c r="G11" s="1264" t="s">
        <v>658</v>
      </c>
    </row>
    <row r="12" spans="1:12" s="74" customFormat="1" ht="18.75" customHeight="1">
      <c r="A12" s="1265" t="s">
        <v>1504</v>
      </c>
      <c r="B12" s="1266" t="s">
        <v>1280</v>
      </c>
      <c r="C12" s="1267" t="s">
        <v>94</v>
      </c>
      <c r="D12" s="2374" t="s">
        <v>1365</v>
      </c>
      <c r="E12" s="2372" t="str">
        <f>A12</f>
        <v>CAT1</v>
      </c>
      <c r="F12" s="2376" t="s">
        <v>1697</v>
      </c>
      <c r="G12" s="1269" t="s">
        <v>658</v>
      </c>
    </row>
    <row r="13" spans="1:12" s="76" customFormat="1" ht="18.75" customHeight="1">
      <c r="A13" s="1260" t="s">
        <v>1505</v>
      </c>
      <c r="B13" s="1261" t="s">
        <v>1280</v>
      </c>
      <c r="C13" s="1262" t="s">
        <v>94</v>
      </c>
      <c r="D13" s="2375" t="s">
        <v>1365</v>
      </c>
      <c r="E13" s="2373" t="str">
        <f>A13</f>
        <v>CAT2</v>
      </c>
      <c r="F13" s="2377" t="s">
        <v>1697</v>
      </c>
      <c r="G13" s="1264" t="s">
        <v>658</v>
      </c>
    </row>
    <row r="14" spans="1:12" s="76" customFormat="1" ht="18.75" customHeight="1">
      <c r="A14" s="1265" t="s">
        <v>1506</v>
      </c>
      <c r="B14" s="1266" t="s">
        <v>1280</v>
      </c>
      <c r="C14" s="1267" t="s">
        <v>94</v>
      </c>
      <c r="D14" s="2374" t="s">
        <v>1365</v>
      </c>
      <c r="E14" s="2372" t="str">
        <f>A14</f>
        <v>CAT3</v>
      </c>
      <c r="F14" s="2376" t="s">
        <v>1697</v>
      </c>
      <c r="G14" s="1269" t="s">
        <v>658</v>
      </c>
    </row>
    <row r="15" spans="1:12" s="76" customFormat="1" ht="18.75" customHeight="1">
      <c r="A15" s="1260" t="s">
        <v>1507</v>
      </c>
      <c r="B15" s="1261" t="s">
        <v>1280</v>
      </c>
      <c r="C15" s="1262" t="s">
        <v>94</v>
      </c>
      <c r="D15" s="2375" t="s">
        <v>1365</v>
      </c>
      <c r="E15" s="2373" t="str">
        <f>A15</f>
        <v>CAT4</v>
      </c>
      <c r="F15" s="2377" t="s">
        <v>1697</v>
      </c>
      <c r="G15" s="1264" t="s">
        <v>658</v>
      </c>
    </row>
    <row r="16" spans="1:12" s="76" customFormat="1" ht="18.75" customHeight="1">
      <c r="A16" s="600"/>
      <c r="B16" s="601"/>
      <c r="C16" s="1267"/>
      <c r="D16" s="601"/>
      <c r="E16" s="1541"/>
      <c r="F16" s="1541"/>
      <c r="G16" s="1269"/>
    </row>
    <row r="17" spans="1:7" s="76" customFormat="1" ht="18.75" customHeight="1">
      <c r="A17" s="595"/>
      <c r="B17" s="596"/>
      <c r="C17" s="1262"/>
      <c r="D17" s="596"/>
      <c r="E17" s="1540"/>
      <c r="F17" s="1540"/>
      <c r="G17" s="1264"/>
    </row>
    <row r="18" spans="1:7" s="76" customFormat="1" ht="18.75" customHeight="1">
      <c r="A18" s="600"/>
      <c r="B18" s="601"/>
      <c r="C18" s="1267"/>
      <c r="D18" s="601"/>
      <c r="E18" s="1541"/>
      <c r="F18" s="1541"/>
      <c r="G18" s="1269"/>
    </row>
    <row r="19" spans="1:7" s="74" customFormat="1" ht="18.75" customHeight="1">
      <c r="A19" s="595"/>
      <c r="B19" s="596"/>
      <c r="C19" s="597"/>
      <c r="D19" s="596"/>
      <c r="E19" s="596"/>
      <c r="F19" s="598"/>
      <c r="G19" s="599"/>
    </row>
    <row r="20" spans="1:7" s="74" customFormat="1" ht="18.75" customHeight="1">
      <c r="A20" s="600"/>
      <c r="B20" s="601"/>
      <c r="C20" s="602"/>
      <c r="D20" s="601"/>
      <c r="E20" s="601"/>
      <c r="F20" s="594"/>
      <c r="G20" s="603"/>
    </row>
    <row r="21" spans="1:7" s="74" customFormat="1" ht="18.75" customHeight="1">
      <c r="A21" s="595"/>
      <c r="B21" s="596"/>
      <c r="C21" s="597"/>
      <c r="D21" s="596"/>
      <c r="E21" s="596"/>
      <c r="F21" s="598"/>
      <c r="G21" s="599"/>
    </row>
    <row r="22" spans="1:7" s="74" customFormat="1" ht="18.75" customHeight="1">
      <c r="A22" s="600"/>
      <c r="B22" s="601"/>
      <c r="C22" s="602"/>
      <c r="D22" s="601"/>
      <c r="E22" s="601"/>
      <c r="F22" s="594"/>
      <c r="G22" s="603"/>
    </row>
    <row r="23" spans="1:7" s="74" customFormat="1" ht="18.75" customHeight="1">
      <c r="A23" s="595"/>
      <c r="B23" s="596"/>
      <c r="C23" s="597"/>
      <c r="D23" s="596"/>
      <c r="E23" s="596"/>
      <c r="F23" s="598"/>
      <c r="G23" s="599"/>
    </row>
    <row r="24" spans="1:7" s="76" customFormat="1" ht="18.75" customHeight="1">
      <c r="A24" s="281"/>
      <c r="B24" s="277"/>
      <c r="C24" s="278"/>
      <c r="D24" s="278"/>
      <c r="E24" s="278"/>
      <c r="F24" s="278"/>
      <c r="G24" s="280"/>
    </row>
    <row r="25" spans="1:7" s="76" customFormat="1" ht="18.75" customHeight="1">
      <c r="A25" s="71"/>
      <c r="B25" s="72"/>
      <c r="C25" s="72"/>
      <c r="D25" s="72"/>
      <c r="E25" s="72"/>
      <c r="F25" s="72"/>
      <c r="G25" s="75"/>
    </row>
    <row r="26" spans="1:7" s="76" customFormat="1" ht="18.75" customHeight="1">
      <c r="A26" s="281"/>
      <c r="B26" s="277"/>
      <c r="C26" s="278"/>
      <c r="D26" s="278"/>
      <c r="E26" s="278"/>
      <c r="F26" s="278"/>
      <c r="G26" s="280"/>
    </row>
    <row r="27" spans="1:7" s="76" customFormat="1" ht="18.75" customHeight="1">
      <c r="A27" s="71"/>
      <c r="B27" s="72"/>
      <c r="C27" s="72"/>
      <c r="D27" s="72"/>
      <c r="E27" s="72"/>
      <c r="F27" s="72"/>
      <c r="G27" s="75"/>
    </row>
    <row r="28" spans="1:7" s="76" customFormat="1" ht="18.75" customHeight="1" thickBot="1">
      <c r="A28" s="281"/>
      <c r="B28" s="277"/>
      <c r="C28" s="277"/>
      <c r="D28" s="277"/>
      <c r="E28" s="277"/>
      <c r="F28" s="277"/>
      <c r="G28" s="282"/>
    </row>
    <row r="29" spans="1:7" s="74" customFormat="1" ht="15" customHeight="1">
      <c r="A29" s="3914" t="s">
        <v>147</v>
      </c>
      <c r="B29" s="3915"/>
      <c r="C29" s="3915"/>
      <c r="D29" s="3915"/>
      <c r="E29" s="3915"/>
      <c r="F29" s="3915"/>
      <c r="G29" s="3916"/>
    </row>
    <row r="30" spans="1:7" s="74" customFormat="1" ht="18.75" customHeight="1">
      <c r="A30" s="68"/>
      <c r="B30" s="66"/>
      <c r="C30" s="66"/>
      <c r="D30" s="66"/>
      <c r="E30" s="66"/>
      <c r="F30" s="66"/>
      <c r="G30" s="66"/>
    </row>
    <row r="31" spans="1:7" s="76" customFormat="1" ht="18.75" customHeight="1">
      <c r="A31" s="68"/>
      <c r="B31" s="66"/>
      <c r="C31" s="66"/>
      <c r="D31" s="66"/>
      <c r="E31" s="66"/>
      <c r="F31" s="66"/>
      <c r="G31" s="66"/>
    </row>
    <row r="32" spans="1:7" s="76" customFormat="1" ht="18.75" customHeight="1">
      <c r="A32" s="68"/>
      <c r="B32" s="66"/>
      <c r="C32" s="66"/>
      <c r="D32" s="66"/>
      <c r="E32" s="66"/>
      <c r="F32" s="66"/>
      <c r="G32" s="66"/>
    </row>
    <row r="33" spans="1:7" s="76" customFormat="1" ht="18.75" customHeight="1">
      <c r="A33" s="68"/>
      <c r="B33" s="66"/>
      <c r="C33" s="66"/>
      <c r="D33" s="66"/>
      <c r="E33" s="66"/>
      <c r="F33" s="66"/>
      <c r="G33" s="66"/>
    </row>
    <row r="34" spans="1:7" s="76" customFormat="1" ht="18.75" customHeight="1">
      <c r="A34" s="68"/>
      <c r="B34" s="66"/>
      <c r="C34" s="66"/>
      <c r="D34" s="66"/>
      <c r="E34" s="66"/>
      <c r="F34" s="66"/>
      <c r="G34" s="66"/>
    </row>
    <row r="35" spans="1:7" s="76" customFormat="1" ht="18.75" customHeight="1">
      <c r="A35" s="68"/>
      <c r="B35" s="66"/>
      <c r="C35" s="66"/>
      <c r="D35" s="66"/>
      <c r="E35" s="66"/>
      <c r="F35" s="66"/>
      <c r="G35" s="66"/>
    </row>
    <row r="58" spans="9:9">
      <c r="I58" s="76"/>
    </row>
  </sheetData>
  <mergeCells count="10">
    <mergeCell ref="A29:G29"/>
    <mergeCell ref="A1:G1"/>
    <mergeCell ref="A2:G2"/>
    <mergeCell ref="A3:A4"/>
    <mergeCell ref="B3:B4"/>
    <mergeCell ref="C3:C4"/>
    <mergeCell ref="D3:D4"/>
    <mergeCell ref="E3:E4"/>
    <mergeCell ref="F3:F4"/>
    <mergeCell ref="G3:G4"/>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1/25/2017&amp;C&amp;8Table 2-C:  Page &amp;P&amp;R&amp;8Printed &amp;D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tabColor rgb="FF00B050"/>
    <pageSetUpPr fitToPage="1"/>
  </sheetPr>
  <dimension ref="A1:BP81"/>
  <sheetViews>
    <sheetView view="pageBreakPreview" topLeftCell="A37" zoomScale="40" zoomScaleNormal="55" zoomScaleSheetLayoutView="40" zoomScalePageLayoutView="40" workbookViewId="0">
      <selection activeCell="U46" sqref="A46:U46"/>
    </sheetView>
  </sheetViews>
  <sheetFormatPr defaultColWidth="9.36328125" defaultRowHeight="13"/>
  <cols>
    <col min="1" max="1" width="3.6328125" style="38" customWidth="1"/>
    <col min="2" max="2" width="70.6328125" style="38" customWidth="1"/>
    <col min="3" max="3" width="22.36328125" style="38" customWidth="1"/>
    <col min="4" max="4" width="19.453125" style="38" customWidth="1"/>
    <col min="5" max="18" width="15" style="38" customWidth="1"/>
    <col min="19" max="19" width="3.6328125" style="38" customWidth="1"/>
    <col min="20" max="16384" width="9.36328125" style="38"/>
  </cols>
  <sheetData>
    <row r="1" spans="1:19" ht="13.5" thickBot="1"/>
    <row r="2" spans="1:19" ht="20.25" customHeight="1" thickBot="1">
      <c r="A2" s="33"/>
      <c r="B2" s="34"/>
      <c r="C2" s="34"/>
      <c r="D2" s="34"/>
      <c r="E2" s="34"/>
      <c r="F2" s="34"/>
      <c r="G2" s="34"/>
      <c r="H2" s="34"/>
      <c r="I2" s="34"/>
      <c r="J2" s="34"/>
      <c r="K2" s="34"/>
      <c r="L2" s="34"/>
      <c r="M2" s="34"/>
      <c r="N2" s="34"/>
      <c r="O2" s="34"/>
      <c r="P2" s="34"/>
      <c r="Q2" s="34"/>
      <c r="R2" s="34"/>
      <c r="S2" s="32"/>
    </row>
    <row r="3" spans="1:19" s="2" customFormat="1" ht="39.65" customHeight="1">
      <c r="A3" s="54"/>
      <c r="B3" s="3931" t="s">
        <v>54</v>
      </c>
      <c r="C3" s="3932"/>
      <c r="D3" s="3932"/>
      <c r="E3" s="3932"/>
      <c r="F3" s="3932"/>
      <c r="G3" s="3932"/>
      <c r="H3" s="3932"/>
      <c r="I3" s="3932"/>
      <c r="J3" s="3932"/>
      <c r="K3" s="3932"/>
      <c r="L3" s="3932"/>
      <c r="M3" s="3932"/>
      <c r="N3" s="3932"/>
      <c r="O3" s="3932"/>
      <c r="P3" s="3932"/>
      <c r="Q3" s="3932"/>
      <c r="R3" s="3932"/>
      <c r="S3" s="1565"/>
    </row>
    <row r="4" spans="1:19" s="2" customFormat="1" ht="39.75" customHeight="1">
      <c r="A4" s="54"/>
      <c r="B4" s="3933" t="s">
        <v>634</v>
      </c>
      <c r="C4" s="3934"/>
      <c r="D4" s="3934"/>
      <c r="E4" s="3934"/>
      <c r="F4" s="3934"/>
      <c r="G4" s="3934"/>
      <c r="H4" s="3934"/>
      <c r="I4" s="3934"/>
      <c r="J4" s="3934"/>
      <c r="K4" s="3934"/>
      <c r="L4" s="3934"/>
      <c r="M4" s="3934"/>
      <c r="N4" s="3934"/>
      <c r="O4" s="3934"/>
      <c r="P4" s="3934"/>
      <c r="Q4" s="3934"/>
      <c r="R4" s="3934"/>
      <c r="S4" s="1565"/>
    </row>
    <row r="5" spans="1:19" s="2" customFormat="1" ht="39.75" customHeight="1" thickBot="1">
      <c r="A5" s="54"/>
      <c r="B5" s="3935" t="s">
        <v>1367</v>
      </c>
      <c r="C5" s="3936"/>
      <c r="D5" s="3936"/>
      <c r="E5" s="3936"/>
      <c r="F5" s="3936"/>
      <c r="G5" s="3936"/>
      <c r="H5" s="3936"/>
      <c r="I5" s="3936"/>
      <c r="J5" s="3936"/>
      <c r="K5" s="3936"/>
      <c r="L5" s="3936"/>
      <c r="M5" s="3936"/>
      <c r="N5" s="3936"/>
      <c r="O5" s="3936"/>
      <c r="P5" s="3936"/>
      <c r="Q5" s="3936"/>
      <c r="R5" s="3936"/>
      <c r="S5" s="1584"/>
    </row>
    <row r="6" spans="1:19" ht="21" customHeight="1" thickBot="1">
      <c r="A6" s="31"/>
      <c r="B6" s="25"/>
      <c r="C6" s="25"/>
      <c r="D6" s="25"/>
      <c r="E6" s="25"/>
      <c r="F6" s="25"/>
      <c r="G6" s="25"/>
      <c r="H6" s="25"/>
      <c r="I6" s="25"/>
      <c r="J6" s="25"/>
      <c r="K6" s="25"/>
      <c r="L6" s="25"/>
      <c r="M6" s="25"/>
      <c r="N6" s="25"/>
      <c r="O6" s="25"/>
      <c r="P6" s="25"/>
      <c r="Q6" s="25"/>
      <c r="R6" s="25"/>
      <c r="S6" s="40"/>
    </row>
    <row r="7" spans="1:19" ht="30.75" customHeight="1">
      <c r="B7" s="4"/>
      <c r="C7" s="4"/>
      <c r="D7" s="4"/>
      <c r="E7" s="4"/>
      <c r="F7" s="4"/>
      <c r="G7" s="4"/>
      <c r="H7" s="4"/>
      <c r="I7" s="4"/>
      <c r="J7" s="4"/>
      <c r="K7" s="4"/>
      <c r="L7" s="4"/>
      <c r="M7" s="4"/>
      <c r="N7" s="4"/>
      <c r="O7" s="4"/>
      <c r="P7" s="4"/>
      <c r="Q7" s="4"/>
      <c r="R7" s="4"/>
    </row>
    <row r="8" spans="1:19" ht="16.5" customHeight="1" thickBot="1">
      <c r="B8" s="4"/>
      <c r="C8" s="4"/>
      <c r="D8" s="4"/>
      <c r="E8" s="4"/>
      <c r="F8" s="4"/>
      <c r="G8" s="4"/>
      <c r="H8" s="4"/>
      <c r="I8" s="4"/>
      <c r="J8" s="4"/>
      <c r="K8" s="4"/>
      <c r="L8" s="4"/>
      <c r="M8" s="4"/>
      <c r="N8" s="4"/>
      <c r="O8" s="4"/>
      <c r="P8" s="4"/>
      <c r="Q8" s="4"/>
      <c r="R8" s="4"/>
    </row>
    <row r="9" spans="1:19" ht="32.25" customHeight="1" thickBot="1">
      <c r="A9" s="3937" t="s">
        <v>1368</v>
      </c>
      <c r="B9" s="3938"/>
      <c r="C9" s="3938"/>
      <c r="D9" s="3938"/>
      <c r="E9" s="3938"/>
      <c r="F9" s="3938"/>
      <c r="G9" s="3938"/>
      <c r="H9" s="3938"/>
      <c r="I9" s="3938"/>
      <c r="J9" s="3938"/>
      <c r="K9" s="3938"/>
      <c r="L9" s="3938"/>
      <c r="M9" s="3938"/>
      <c r="N9" s="3938"/>
      <c r="O9" s="3938"/>
      <c r="P9" s="3938"/>
      <c r="Q9" s="3938"/>
      <c r="R9" s="3938"/>
      <c r="S9" s="3939"/>
    </row>
    <row r="10" spans="1:19" ht="24" customHeight="1" thickBot="1">
      <c r="A10" s="33"/>
      <c r="B10" s="34"/>
      <c r="C10" s="34"/>
      <c r="D10" s="34"/>
      <c r="E10" s="34"/>
      <c r="F10" s="34"/>
      <c r="G10" s="34"/>
      <c r="H10" s="34"/>
      <c r="I10" s="34"/>
      <c r="J10" s="34"/>
      <c r="K10" s="34"/>
      <c r="L10" s="34"/>
      <c r="M10" s="34"/>
      <c r="N10" s="34"/>
      <c r="O10" s="34"/>
      <c r="P10" s="34"/>
      <c r="Q10" s="34"/>
      <c r="R10" s="34"/>
      <c r="S10" s="32"/>
    </row>
    <row r="11" spans="1:19" ht="42" customHeight="1">
      <c r="A11" s="36"/>
      <c r="B11" s="3940" t="s">
        <v>91</v>
      </c>
      <c r="C11" s="3942" t="s">
        <v>555</v>
      </c>
      <c r="D11" s="3944" t="s">
        <v>556</v>
      </c>
      <c r="E11" s="3946" t="s">
        <v>21</v>
      </c>
      <c r="F11" s="3947"/>
      <c r="G11" s="3948" t="s">
        <v>0</v>
      </c>
      <c r="H11" s="3949"/>
      <c r="I11" s="3950" t="s">
        <v>103</v>
      </c>
      <c r="J11" s="3951"/>
      <c r="K11" s="3948" t="s">
        <v>51</v>
      </c>
      <c r="L11" s="3949"/>
      <c r="M11" s="3948" t="s">
        <v>1311</v>
      </c>
      <c r="N11" s="3949"/>
      <c r="O11" s="3946" t="s">
        <v>52</v>
      </c>
      <c r="P11" s="3947"/>
      <c r="Q11" s="3948" t="s">
        <v>15</v>
      </c>
      <c r="R11" s="3949"/>
      <c r="S11" s="44"/>
    </row>
    <row r="12" spans="1:19" ht="29.25" customHeight="1" thickBot="1">
      <c r="A12" s="36"/>
      <c r="B12" s="3941"/>
      <c r="C12" s="3943"/>
      <c r="D12" s="3945"/>
      <c r="E12" s="46" t="s">
        <v>22</v>
      </c>
      <c r="F12" s="1539" t="s">
        <v>37</v>
      </c>
      <c r="G12" s="1538" t="s">
        <v>22</v>
      </c>
      <c r="H12" s="45" t="s">
        <v>37</v>
      </c>
      <c r="I12" s="46" t="s">
        <v>22</v>
      </c>
      <c r="J12" s="1539" t="s">
        <v>37</v>
      </c>
      <c r="K12" s="1538" t="s">
        <v>22</v>
      </c>
      <c r="L12" s="45" t="s">
        <v>37</v>
      </c>
      <c r="M12" s="46" t="s">
        <v>22</v>
      </c>
      <c r="N12" s="1387" t="s">
        <v>37</v>
      </c>
      <c r="O12" s="46" t="s">
        <v>22</v>
      </c>
      <c r="P12" s="1539" t="s">
        <v>37</v>
      </c>
      <c r="Q12" s="1538" t="s">
        <v>22</v>
      </c>
      <c r="R12" s="45" t="s">
        <v>37</v>
      </c>
      <c r="S12" s="44"/>
    </row>
    <row r="13" spans="1:19" ht="44.25" customHeight="1">
      <c r="A13" s="36"/>
      <c r="B13" s="175" t="str">
        <f>'Sum-NoCo11X17'!B12</f>
        <v>Stabilization Hot Oil Heater
(64.83 MMBtu/hr)</v>
      </c>
      <c r="C13" s="176" t="str">
        <f>'Sum-NoCo11X17'!C12</f>
        <v>SHTR1</v>
      </c>
      <c r="D13" s="1196" t="str">
        <f>'Sum-NoCo11X17'!D12</f>
        <v>SHTR1</v>
      </c>
      <c r="E13" s="399">
        <f>'Sum-NoCo11X17'!E12</f>
        <v>1.730961</v>
      </c>
      <c r="F13" s="400">
        <f>'Sum-NoCo11X17'!F12</f>
        <v>7.5816091799999992</v>
      </c>
      <c r="G13" s="399">
        <f>'Sum-NoCo11X17'!G12</f>
        <v>1.0567289999999998</v>
      </c>
      <c r="H13" s="364">
        <f>'Sum-NoCo11X17'!H12</f>
        <v>4.6284730199999995</v>
      </c>
      <c r="I13" s="399">
        <f>'Sum-NoCo11X17'!I12</f>
        <v>0.414912</v>
      </c>
      <c r="J13" s="364">
        <f>'Sum-NoCo11X17'!J12</f>
        <v>1.81731456</v>
      </c>
      <c r="K13" s="399">
        <f>'Sum-NoCo11X17'!K12</f>
        <v>0.14300735294117647</v>
      </c>
      <c r="L13" s="364">
        <f>'Sum-NoCo11X17'!L12</f>
        <v>0.62637220588235298</v>
      </c>
      <c r="M13" s="399">
        <f>'Sum-NoCo11X17'!M12</f>
        <v>0.48304705882352933</v>
      </c>
      <c r="N13" s="364">
        <f>'Sum-NoCo11X17'!N12</f>
        <v>2.1157461176470584</v>
      </c>
      <c r="O13" s="399">
        <f>'Sum-NoCo11X17'!O12</f>
        <v>0.48304705882352933</v>
      </c>
      <c r="P13" s="364">
        <f>'Sum-NoCo11X17'!P12</f>
        <v>2.1157461176470584</v>
      </c>
      <c r="Q13" s="399">
        <f>'Sum-NoCo11X17'!Q12</f>
        <v>0.1196558411764706</v>
      </c>
      <c r="R13" s="364">
        <f>'Sum-NoCo11X17'!R12</f>
        <v>0.52409258435294115</v>
      </c>
      <c r="S13" s="44"/>
    </row>
    <row r="14" spans="1:19" ht="44.15" customHeight="1">
      <c r="A14" s="36"/>
      <c r="B14" s="175" t="str">
        <f>'Sum-NoCo11X17'!B13</f>
        <v>Stabilization Hot Oil Heater
(64.83 MMBtu/hr)</v>
      </c>
      <c r="C14" s="176" t="str">
        <f>'Sum-NoCo11X17'!C13</f>
        <v>SHTR2</v>
      </c>
      <c r="D14" s="1196" t="str">
        <f>'Sum-NoCo11X17'!D13</f>
        <v>SHTR2</v>
      </c>
      <c r="E14" s="1560">
        <f>'Sum-NoCo11X17'!E13</f>
        <v>1.730961</v>
      </c>
      <c r="F14" s="575">
        <f>'Sum-NoCo11X17'!F13</f>
        <v>7.5816091799999992</v>
      </c>
      <c r="G14" s="1560">
        <f>'Sum-NoCo11X17'!G13</f>
        <v>1.0567289999999998</v>
      </c>
      <c r="H14" s="576">
        <f>'Sum-NoCo11X17'!H13</f>
        <v>4.6284730199999995</v>
      </c>
      <c r="I14" s="1560">
        <f>'Sum-NoCo11X17'!I13</f>
        <v>0.414912</v>
      </c>
      <c r="J14" s="576">
        <f>'Sum-NoCo11X17'!J13</f>
        <v>1.81731456</v>
      </c>
      <c r="K14" s="1560">
        <f>'Sum-NoCo11X17'!K13</f>
        <v>0.14300735294117647</v>
      </c>
      <c r="L14" s="576">
        <f>'Sum-NoCo11X17'!L13</f>
        <v>0.62637220588235298</v>
      </c>
      <c r="M14" s="1560">
        <f>'Sum-NoCo11X17'!M13</f>
        <v>0.48304705882352933</v>
      </c>
      <c r="N14" s="576">
        <f>'Sum-NoCo11X17'!N13</f>
        <v>2.1157461176470584</v>
      </c>
      <c r="O14" s="1560">
        <f>'Sum-NoCo11X17'!O13</f>
        <v>0.48304705882352933</v>
      </c>
      <c r="P14" s="576">
        <f>'Sum-NoCo11X17'!P13</f>
        <v>2.1157461176470584</v>
      </c>
      <c r="Q14" s="1560">
        <f>'Sum-NoCo11X17'!Q13</f>
        <v>0.11959863823529414</v>
      </c>
      <c r="R14" s="576">
        <f>'Sum-NoCo11X17'!R13</f>
        <v>0.52384203547058827</v>
      </c>
      <c r="S14" s="44"/>
    </row>
    <row r="15" spans="1:19" ht="44.15" customHeight="1">
      <c r="A15" s="36"/>
      <c r="B15" s="175" t="str">
        <f>'Sum-NoCo11X17'!B14</f>
        <v>Stabilization Hot Oil Heater
(64.83 MMBtu/hr)</v>
      </c>
      <c r="C15" s="176" t="str">
        <f>'Sum-NoCo11X17'!C14</f>
        <v>SHTR3</v>
      </c>
      <c r="D15" s="1196" t="str">
        <f>'Sum-NoCo11X17'!D14</f>
        <v>SHTR3</v>
      </c>
      <c r="E15" s="1560">
        <f>'Sum-NoCo11X17'!E14</f>
        <v>1.730961</v>
      </c>
      <c r="F15" s="575">
        <f>'Sum-NoCo11X17'!F14</f>
        <v>7.5816091799999992</v>
      </c>
      <c r="G15" s="1560">
        <f>'Sum-NoCo11X17'!G14</f>
        <v>1.0567289999999998</v>
      </c>
      <c r="H15" s="576">
        <f>'Sum-NoCo11X17'!H14</f>
        <v>4.6284730199999995</v>
      </c>
      <c r="I15" s="1560">
        <f>'Sum-NoCo11X17'!I14</f>
        <v>0.414912</v>
      </c>
      <c r="J15" s="576">
        <f>'Sum-NoCo11X17'!J14</f>
        <v>1.81731456</v>
      </c>
      <c r="K15" s="1560">
        <f>'Sum-NoCo11X17'!K14</f>
        <v>0.14300735294117647</v>
      </c>
      <c r="L15" s="576">
        <f>'Sum-NoCo11X17'!L14</f>
        <v>0.62637220588235298</v>
      </c>
      <c r="M15" s="1560">
        <f>'Sum-NoCo11X17'!M14</f>
        <v>0.48304705882352933</v>
      </c>
      <c r="N15" s="576">
        <f>'Sum-NoCo11X17'!N14</f>
        <v>2.1157461176470584</v>
      </c>
      <c r="O15" s="1560">
        <f>'Sum-NoCo11X17'!O14</f>
        <v>0.48304705882352933</v>
      </c>
      <c r="P15" s="576">
        <f>'Sum-NoCo11X17'!P14</f>
        <v>2.1157461176470584</v>
      </c>
      <c r="Q15" s="1560">
        <f>'Sum-NoCo11X17'!Q14</f>
        <v>0.11959863823529414</v>
      </c>
      <c r="R15" s="576">
        <f>'Sum-NoCo11X17'!R14</f>
        <v>0.52384203547058827</v>
      </c>
      <c r="S15" s="44"/>
    </row>
    <row r="16" spans="1:19" ht="44.15" customHeight="1">
      <c r="A16" s="36"/>
      <c r="B16" s="175" t="str">
        <f>'Sum-NoCo11X17'!B15</f>
        <v>Stabilization Hot Oil Heater
(64.83 MMBtu/hr)</v>
      </c>
      <c r="C16" s="176" t="str">
        <f>'Sum-NoCo11X17'!C15</f>
        <v>SHTR4</v>
      </c>
      <c r="D16" s="1196" t="str">
        <f>'Sum-NoCo11X17'!D15</f>
        <v>SHTR4</v>
      </c>
      <c r="E16" s="1560">
        <f>'Sum-NoCo11X17'!E15</f>
        <v>1.730961</v>
      </c>
      <c r="F16" s="575">
        <f>'Sum-NoCo11X17'!F15</f>
        <v>7.5816091799999992</v>
      </c>
      <c r="G16" s="1560">
        <f>'Sum-NoCo11X17'!G15</f>
        <v>1.0567289999999998</v>
      </c>
      <c r="H16" s="576">
        <f>'Sum-NoCo11X17'!H15</f>
        <v>4.6284730199999995</v>
      </c>
      <c r="I16" s="1560">
        <f>'Sum-NoCo11X17'!I15</f>
        <v>0.414912</v>
      </c>
      <c r="J16" s="576">
        <f>'Sum-NoCo11X17'!J15</f>
        <v>1.81731456</v>
      </c>
      <c r="K16" s="1560">
        <f>'Sum-NoCo11X17'!K15</f>
        <v>0.14300735294117647</v>
      </c>
      <c r="L16" s="576">
        <f>'Sum-NoCo11X17'!L15</f>
        <v>0.62637220588235298</v>
      </c>
      <c r="M16" s="1560">
        <f>'Sum-NoCo11X17'!M15</f>
        <v>0.48304705882352933</v>
      </c>
      <c r="N16" s="576">
        <f>'Sum-NoCo11X17'!N15</f>
        <v>2.1157461176470584</v>
      </c>
      <c r="O16" s="1560">
        <f>'Sum-NoCo11X17'!O15</f>
        <v>0.48304705882352933</v>
      </c>
      <c r="P16" s="576">
        <f>'Sum-NoCo11X17'!P15</f>
        <v>2.1157461176470584</v>
      </c>
      <c r="Q16" s="1560">
        <f>'Sum-NoCo11X17'!Q15</f>
        <v>0.11959863823529414</v>
      </c>
      <c r="R16" s="576">
        <f>'Sum-NoCo11X17'!R15</f>
        <v>0.52384203547058827</v>
      </c>
      <c r="S16" s="44"/>
    </row>
    <row r="17" spans="1:20" ht="44.15" customHeight="1">
      <c r="A17" s="36"/>
      <c r="B17" s="175" t="str">
        <f>'Sum-NoCo11X17'!B16</f>
        <v>Stabilization Hot Oil Heater
(64.83 MMBtu/hr)</v>
      </c>
      <c r="C17" s="176" t="str">
        <f>'Sum-NoCo11X17'!C16</f>
        <v>SHTR5</v>
      </c>
      <c r="D17" s="1196" t="str">
        <f>'Sum-NoCo11X17'!D16</f>
        <v>SHTR5</v>
      </c>
      <c r="E17" s="1560">
        <f>'Sum-NoCo11X17'!E16</f>
        <v>1.730961</v>
      </c>
      <c r="F17" s="575">
        <f>'Sum-NoCo11X17'!F16</f>
        <v>7.5816091799999992</v>
      </c>
      <c r="G17" s="1560">
        <f>'Sum-NoCo11X17'!G16</f>
        <v>1.0567289999999998</v>
      </c>
      <c r="H17" s="576">
        <f>'Sum-NoCo11X17'!H16</f>
        <v>4.6284730199999995</v>
      </c>
      <c r="I17" s="1560">
        <f>'Sum-NoCo11X17'!I16</f>
        <v>0.414912</v>
      </c>
      <c r="J17" s="576">
        <f>'Sum-NoCo11X17'!J16</f>
        <v>1.81731456</v>
      </c>
      <c r="K17" s="1560">
        <f>'Sum-NoCo11X17'!K16</f>
        <v>0.14300735294117647</v>
      </c>
      <c r="L17" s="576">
        <f>'Sum-NoCo11X17'!L16</f>
        <v>0.62637220588235298</v>
      </c>
      <c r="M17" s="1560">
        <f>'Sum-NoCo11X17'!M16</f>
        <v>0.48304705882352933</v>
      </c>
      <c r="N17" s="576">
        <f>'Sum-NoCo11X17'!N16</f>
        <v>2.1157461176470584</v>
      </c>
      <c r="O17" s="1560">
        <f>'Sum-NoCo11X17'!O16</f>
        <v>0.48304705882352933</v>
      </c>
      <c r="P17" s="576">
        <f>'Sum-NoCo11X17'!P16</f>
        <v>2.1157461176470584</v>
      </c>
      <c r="Q17" s="1560">
        <f>'Sum-NoCo11X17'!Q16</f>
        <v>0.11959863823529414</v>
      </c>
      <c r="R17" s="576">
        <f>'Sum-NoCo11X17'!R16</f>
        <v>0.52384203547058827</v>
      </c>
      <c r="S17" s="44"/>
      <c r="T17" s="8"/>
    </row>
    <row r="18" spans="1:20" ht="44.15" customHeight="1">
      <c r="A18" s="36"/>
      <c r="B18" s="175" t="str">
        <f>'Sum-NoCo11X17'!B17</f>
        <v>Stabilization Hot Oil Heater
(64.83 MMBtu/hr)</v>
      </c>
      <c r="C18" s="176" t="str">
        <f>'Sum-NoCo11X17'!C17</f>
        <v>SHTR6</v>
      </c>
      <c r="D18" s="1196" t="str">
        <f>'Sum-NoCo11X17'!D17</f>
        <v>SHTR6</v>
      </c>
      <c r="E18" s="1560">
        <f>'Sum-NoCo11X17'!E17</f>
        <v>1.730961</v>
      </c>
      <c r="F18" s="575">
        <f>'Sum-NoCo11X17'!F17</f>
        <v>7.5816091799999992</v>
      </c>
      <c r="G18" s="1560">
        <f>'Sum-NoCo11X17'!G17</f>
        <v>1.0567289999999998</v>
      </c>
      <c r="H18" s="576">
        <f>'Sum-NoCo11X17'!H17</f>
        <v>4.6284730199999995</v>
      </c>
      <c r="I18" s="1560">
        <f>'Sum-NoCo11X17'!I17</f>
        <v>0.414912</v>
      </c>
      <c r="J18" s="576">
        <f>'Sum-NoCo11X17'!J17</f>
        <v>1.81731456</v>
      </c>
      <c r="K18" s="1560">
        <f>'Sum-NoCo11X17'!K17</f>
        <v>0.14300735294117647</v>
      </c>
      <c r="L18" s="576">
        <f>'Sum-NoCo11X17'!L17</f>
        <v>0.62637220588235298</v>
      </c>
      <c r="M18" s="1560">
        <f>'Sum-NoCo11X17'!M17</f>
        <v>0.48304705882352933</v>
      </c>
      <c r="N18" s="576">
        <f>'Sum-NoCo11X17'!N17</f>
        <v>2.1157461176470584</v>
      </c>
      <c r="O18" s="1560">
        <f>'Sum-NoCo11X17'!O17</f>
        <v>0.48304705882352933</v>
      </c>
      <c r="P18" s="576">
        <f>'Sum-NoCo11X17'!P17</f>
        <v>2.1157461176470584</v>
      </c>
      <c r="Q18" s="1560">
        <f>'Sum-NoCo11X17'!Q17</f>
        <v>0.11959863823529414</v>
      </c>
      <c r="R18" s="576">
        <f>'Sum-NoCo11X17'!R17</f>
        <v>0.52384203547058827</v>
      </c>
      <c r="S18" s="44"/>
    </row>
    <row r="19" spans="1:20" ht="44.15" customHeight="1">
      <c r="A19" s="36"/>
      <c r="B19" s="175" t="str">
        <f>'Sum-NoCo11X17'!B18</f>
        <v>Stabilization Hot Oil Heater
(64.83 MMBtu/hr)</v>
      </c>
      <c r="C19" s="176" t="str">
        <f>'Sum-NoCo11X17'!C18</f>
        <v>SHTR7</v>
      </c>
      <c r="D19" s="1196" t="str">
        <f>'Sum-NoCo11X17'!D18</f>
        <v>SHTR7</v>
      </c>
      <c r="E19" s="1560">
        <f>'Sum-NoCo11X17'!E18</f>
        <v>1.730961</v>
      </c>
      <c r="F19" s="575">
        <f>'Sum-NoCo11X17'!F18</f>
        <v>7.5816091799999992</v>
      </c>
      <c r="G19" s="1560">
        <f>'Sum-NoCo11X17'!G18</f>
        <v>1.0567289999999998</v>
      </c>
      <c r="H19" s="576">
        <f>'Sum-NoCo11X17'!H18</f>
        <v>4.6284730199999995</v>
      </c>
      <c r="I19" s="1560">
        <f>'Sum-NoCo11X17'!I18</f>
        <v>0.414912</v>
      </c>
      <c r="J19" s="576">
        <f>'Sum-NoCo11X17'!J18</f>
        <v>1.81731456</v>
      </c>
      <c r="K19" s="1560">
        <f>'Sum-NoCo11X17'!K18</f>
        <v>0.14300735294117647</v>
      </c>
      <c r="L19" s="576">
        <f>'Sum-NoCo11X17'!L18</f>
        <v>0.62637220588235298</v>
      </c>
      <c r="M19" s="1560">
        <f>'Sum-NoCo11X17'!M18</f>
        <v>0.48304705882352933</v>
      </c>
      <c r="N19" s="576">
        <f>'Sum-NoCo11X17'!N18</f>
        <v>2.1157461176470584</v>
      </c>
      <c r="O19" s="1560">
        <f>'Sum-NoCo11X17'!O18</f>
        <v>0.48304705882352933</v>
      </c>
      <c r="P19" s="576">
        <f>'Sum-NoCo11X17'!P18</f>
        <v>2.1157461176470584</v>
      </c>
      <c r="Q19" s="1560">
        <f>'Sum-NoCo11X17'!Q18</f>
        <v>0.11959863823529414</v>
      </c>
      <c r="R19" s="576">
        <f>'Sum-NoCo11X17'!R18</f>
        <v>0.52384203547058827</v>
      </c>
      <c r="S19" s="44"/>
    </row>
    <row r="20" spans="1:20" ht="44.15" customHeight="1">
      <c r="A20" s="36"/>
      <c r="B20" s="175" t="str">
        <f>'Sum-NoCo11X17'!B19</f>
        <v>Stabilization Hot Oil Heater
(64.83 MMBtu/hr)</v>
      </c>
      <c r="C20" s="176" t="str">
        <f>'Sum-NoCo11X17'!C19</f>
        <v>SHTR8</v>
      </c>
      <c r="D20" s="1196" t="str">
        <f>'Sum-NoCo11X17'!D19</f>
        <v>SHTR8</v>
      </c>
      <c r="E20" s="1560">
        <f>'Sum-NoCo11X17'!E19</f>
        <v>1.730961</v>
      </c>
      <c r="F20" s="575">
        <f>'Sum-NoCo11X17'!F19</f>
        <v>7.5816091799999992</v>
      </c>
      <c r="G20" s="1560">
        <f>'Sum-NoCo11X17'!G19</f>
        <v>1.0567289999999998</v>
      </c>
      <c r="H20" s="576">
        <f>'Sum-NoCo11X17'!H19</f>
        <v>4.6284730199999995</v>
      </c>
      <c r="I20" s="1560">
        <f>'Sum-NoCo11X17'!I19</f>
        <v>0.414912</v>
      </c>
      <c r="J20" s="576">
        <f>'Sum-NoCo11X17'!J19</f>
        <v>1.81731456</v>
      </c>
      <c r="K20" s="1560">
        <f>'Sum-NoCo11X17'!K19</f>
        <v>0.14300735294117647</v>
      </c>
      <c r="L20" s="576">
        <f>'Sum-NoCo11X17'!L19</f>
        <v>0.62637220588235298</v>
      </c>
      <c r="M20" s="1560">
        <f>'Sum-NoCo11X17'!M19</f>
        <v>0.48304705882352933</v>
      </c>
      <c r="N20" s="576">
        <f>'Sum-NoCo11X17'!N19</f>
        <v>2.1157461176470584</v>
      </c>
      <c r="O20" s="1560">
        <f>'Sum-NoCo11X17'!O19</f>
        <v>0.48304705882352933</v>
      </c>
      <c r="P20" s="576">
        <f>'Sum-NoCo11X17'!P19</f>
        <v>2.1157461176470584</v>
      </c>
      <c r="Q20" s="1560">
        <f>'Sum-NoCo11X17'!Q19</f>
        <v>0.11959863823529414</v>
      </c>
      <c r="R20" s="576">
        <f>'Sum-NoCo11X17'!R19</f>
        <v>0.52384203547058827</v>
      </c>
      <c r="S20" s="44"/>
      <c r="T20" s="8"/>
    </row>
    <row r="21" spans="1:20" ht="44.15" customHeight="1">
      <c r="A21" s="36"/>
      <c r="B21" s="175" t="str">
        <f>'Sum-NoCo11X17'!B20</f>
        <v>Stabilization Hot Oil Heater
(64.83 MMBtu/hr)</v>
      </c>
      <c r="C21" s="176" t="str">
        <f>'Sum-NoCo11X17'!C20</f>
        <v>SHTR9</v>
      </c>
      <c r="D21" s="1196" t="str">
        <f>'Sum-NoCo11X17'!D20</f>
        <v>SHTR9</v>
      </c>
      <c r="E21" s="1560">
        <f>'Sum-NoCo11X17'!E20</f>
        <v>1.730961</v>
      </c>
      <c r="F21" s="575">
        <f>'Sum-NoCo11X17'!F20</f>
        <v>7.5816091799999992</v>
      </c>
      <c r="G21" s="1560">
        <f>'Sum-NoCo11X17'!G20</f>
        <v>1.0567289999999998</v>
      </c>
      <c r="H21" s="576">
        <f>'Sum-NoCo11X17'!H20</f>
        <v>4.6284730199999995</v>
      </c>
      <c r="I21" s="1560">
        <f>'Sum-NoCo11X17'!I20</f>
        <v>0.414912</v>
      </c>
      <c r="J21" s="576">
        <f>'Sum-NoCo11X17'!J20</f>
        <v>1.81731456</v>
      </c>
      <c r="K21" s="1560">
        <f>'Sum-NoCo11X17'!K20</f>
        <v>0.14300735294117647</v>
      </c>
      <c r="L21" s="576">
        <f>'Sum-NoCo11X17'!L20</f>
        <v>0.62637220588235298</v>
      </c>
      <c r="M21" s="1560">
        <f>'Sum-NoCo11X17'!M20</f>
        <v>0.48304705882352933</v>
      </c>
      <c r="N21" s="576">
        <f>'Sum-NoCo11X17'!N20</f>
        <v>2.1157461176470584</v>
      </c>
      <c r="O21" s="1560">
        <f>'Sum-NoCo11X17'!O20</f>
        <v>0.48304705882352933</v>
      </c>
      <c r="P21" s="576">
        <f>'Sum-NoCo11X17'!P20</f>
        <v>2.1157461176470584</v>
      </c>
      <c r="Q21" s="1560">
        <f>'Sum-NoCo11X17'!Q20</f>
        <v>0.11959863823529414</v>
      </c>
      <c r="R21" s="576">
        <f>'Sum-NoCo11X17'!R20</f>
        <v>0.52384203547058827</v>
      </c>
      <c r="S21" s="44"/>
    </row>
    <row r="22" spans="1:20" ht="44.15" customHeight="1">
      <c r="A22" s="36"/>
      <c r="B22" s="175" t="str">
        <f>'Sum-NoCo11X17'!B21</f>
        <v>Stabilization Hot Oil Heater
(64.83 MMBtu/hr)</v>
      </c>
      <c r="C22" s="176" t="str">
        <f>'Sum-NoCo11X17'!C21</f>
        <v>SHTR10</v>
      </c>
      <c r="D22" s="1196" t="str">
        <f>'Sum-NoCo11X17'!D21</f>
        <v>SHTR10</v>
      </c>
      <c r="E22" s="1560">
        <f>'Sum-NoCo11X17'!E21</f>
        <v>1.730961</v>
      </c>
      <c r="F22" s="575">
        <f>'Sum-NoCo11X17'!F21</f>
        <v>7.5816091799999992</v>
      </c>
      <c r="G22" s="1560">
        <f>'Sum-NoCo11X17'!G21</f>
        <v>1.0567289999999998</v>
      </c>
      <c r="H22" s="576">
        <f>'Sum-NoCo11X17'!H21</f>
        <v>4.6284730199999995</v>
      </c>
      <c r="I22" s="1560">
        <f>'Sum-NoCo11X17'!I21</f>
        <v>0.414912</v>
      </c>
      <c r="J22" s="576">
        <f>'Sum-NoCo11X17'!J21</f>
        <v>1.81731456</v>
      </c>
      <c r="K22" s="1560">
        <f>'Sum-NoCo11X17'!K21</f>
        <v>0.14300735294117647</v>
      </c>
      <c r="L22" s="576">
        <f>'Sum-NoCo11X17'!L21</f>
        <v>0.62637220588235298</v>
      </c>
      <c r="M22" s="1560">
        <f>'Sum-NoCo11X17'!M21</f>
        <v>0.48304705882352933</v>
      </c>
      <c r="N22" s="576">
        <f>'Sum-NoCo11X17'!N21</f>
        <v>2.1157461176470584</v>
      </c>
      <c r="O22" s="1560">
        <f>'Sum-NoCo11X17'!O21</f>
        <v>0.48304705882352933</v>
      </c>
      <c r="P22" s="576">
        <f>'Sum-NoCo11X17'!P21</f>
        <v>2.1157461176470584</v>
      </c>
      <c r="Q22" s="1560">
        <f>'Sum-NoCo11X17'!Q21</f>
        <v>0.11959863823529414</v>
      </c>
      <c r="R22" s="576">
        <f>'Sum-NoCo11X17'!R21</f>
        <v>0.52384203547058827</v>
      </c>
      <c r="S22" s="44"/>
    </row>
    <row r="23" spans="1:20" ht="44.15" customHeight="1">
      <c r="A23" s="36"/>
      <c r="B23" s="175" t="str">
        <f>'Sum-NoCo11X17'!B22</f>
        <v>Stabilization Hot Oil Heater
(64.83 MMBtu/hr)</v>
      </c>
      <c r="C23" s="176" t="str">
        <f>'Sum-NoCo11X17'!C22</f>
        <v>SHTR11</v>
      </c>
      <c r="D23" s="1196" t="str">
        <f>'Sum-NoCo11X17'!D22</f>
        <v>SHTR11</v>
      </c>
      <c r="E23" s="1560">
        <f>'Sum-NoCo11X17'!E22</f>
        <v>1.730961</v>
      </c>
      <c r="F23" s="575">
        <f>'Sum-NoCo11X17'!F22</f>
        <v>7.5816091799999992</v>
      </c>
      <c r="G23" s="1560">
        <f>'Sum-NoCo11X17'!G22</f>
        <v>1.0567289999999998</v>
      </c>
      <c r="H23" s="576">
        <f>'Sum-NoCo11X17'!H22</f>
        <v>4.6284730199999995</v>
      </c>
      <c r="I23" s="1560">
        <f>'Sum-NoCo11X17'!I22</f>
        <v>0.414912</v>
      </c>
      <c r="J23" s="576">
        <f>'Sum-NoCo11X17'!J22</f>
        <v>1.81731456</v>
      </c>
      <c r="K23" s="1560">
        <f>'Sum-NoCo11X17'!K22</f>
        <v>0.14300735294117647</v>
      </c>
      <c r="L23" s="576">
        <f>'Sum-NoCo11X17'!L22</f>
        <v>0.62637220588235298</v>
      </c>
      <c r="M23" s="1560">
        <f>'Sum-NoCo11X17'!M22</f>
        <v>0.48304705882352933</v>
      </c>
      <c r="N23" s="576">
        <f>'Sum-NoCo11X17'!N22</f>
        <v>2.1157461176470584</v>
      </c>
      <c r="O23" s="1560">
        <f>'Sum-NoCo11X17'!O22</f>
        <v>0.48304705882352933</v>
      </c>
      <c r="P23" s="576">
        <f>'Sum-NoCo11X17'!P22</f>
        <v>2.1157461176470584</v>
      </c>
      <c r="Q23" s="1560">
        <f>'Sum-NoCo11X17'!Q22</f>
        <v>0.11959863823529414</v>
      </c>
      <c r="R23" s="576">
        <f>'Sum-NoCo11X17'!R22</f>
        <v>0.52384203547058827</v>
      </c>
      <c r="S23" s="44"/>
    </row>
    <row r="24" spans="1:20" ht="44.15" customHeight="1">
      <c r="A24" s="36"/>
      <c r="B24" s="175" t="str">
        <f>'Sum-NoCo11X17'!B23</f>
        <v>Stabilization Hot Oil Heater
(64.83 MMBtu/hr)</v>
      </c>
      <c r="C24" s="176" t="str">
        <f>'Sum-NoCo11X17'!C23</f>
        <v>SHTR12</v>
      </c>
      <c r="D24" s="1196" t="str">
        <f>'Sum-NoCo11X17'!D23</f>
        <v>SHTR12</v>
      </c>
      <c r="E24" s="1560">
        <f>'Sum-NoCo11X17'!E23</f>
        <v>1.730961</v>
      </c>
      <c r="F24" s="575">
        <f>'Sum-NoCo11X17'!F23</f>
        <v>7.5816091799999992</v>
      </c>
      <c r="G24" s="1560">
        <f>'Sum-NoCo11X17'!G23</f>
        <v>1.0567289999999998</v>
      </c>
      <c r="H24" s="576">
        <f>'Sum-NoCo11X17'!H23</f>
        <v>4.6284730199999995</v>
      </c>
      <c r="I24" s="1560">
        <f>'Sum-NoCo11X17'!I23</f>
        <v>0.414912</v>
      </c>
      <c r="J24" s="576">
        <f>'Sum-NoCo11X17'!J23</f>
        <v>1.81731456</v>
      </c>
      <c r="K24" s="1560">
        <f>'Sum-NoCo11X17'!K23</f>
        <v>0.14300735294117647</v>
      </c>
      <c r="L24" s="576">
        <f>'Sum-NoCo11X17'!L23</f>
        <v>0.62637220588235298</v>
      </c>
      <c r="M24" s="1560">
        <f>'Sum-NoCo11X17'!M23</f>
        <v>0.48304705882352933</v>
      </c>
      <c r="N24" s="576">
        <f>'Sum-NoCo11X17'!N23</f>
        <v>2.1157461176470584</v>
      </c>
      <c r="O24" s="1560">
        <f>'Sum-NoCo11X17'!O23</f>
        <v>0.48304705882352933</v>
      </c>
      <c r="P24" s="576">
        <f>'Sum-NoCo11X17'!P23</f>
        <v>2.1157461176470584</v>
      </c>
      <c r="Q24" s="1560">
        <f>'Sum-NoCo11X17'!Q23</f>
        <v>0.11959863823529414</v>
      </c>
      <c r="R24" s="576">
        <f>'Sum-NoCo11X17'!R23</f>
        <v>0.52384203547058827</v>
      </c>
      <c r="S24" s="44"/>
    </row>
    <row r="25" spans="1:20" ht="44.25" customHeight="1">
      <c r="A25" s="36"/>
      <c r="B25" s="175" t="str">
        <f>'Sum-NoCo11X17'!B24</f>
        <v>Cryo Hot Oil Heater
(103.99 MMBtu/hr)</v>
      </c>
      <c r="C25" s="176" t="str">
        <f>'Sum-NoCo11X17'!C24</f>
        <v>CHTR1</v>
      </c>
      <c r="D25" s="1196" t="str">
        <f>'Sum-NoCo11X17'!D24</f>
        <v>CHTR1</v>
      </c>
      <c r="E25" s="1560">
        <f>'Sum-NoCo11X17'!E24</f>
        <v>3.4732659999999997</v>
      </c>
      <c r="F25" s="575">
        <f>'Sum-NoCo11X17'!F24</f>
        <v>15.212905079999999</v>
      </c>
      <c r="G25" s="1560">
        <f>'Sum-NoCo11X17'!G24</f>
        <v>1.6950369999999997</v>
      </c>
      <c r="H25" s="576">
        <f>'Sum-NoCo11X17'!H24</f>
        <v>7.4242620599999984</v>
      </c>
      <c r="I25" s="1560">
        <f>'Sum-NoCo11X17'!I24</f>
        <v>0.66553600000000002</v>
      </c>
      <c r="J25" s="576">
        <f>'Sum-NoCo11X17'!J24</f>
        <v>2.9150476800000003</v>
      </c>
      <c r="K25" s="1560">
        <f>'Sum-NoCo11X17'!K24</f>
        <v>0.22938970588235294</v>
      </c>
      <c r="L25" s="576">
        <f>'Sum-NoCo11X17'!L24</f>
        <v>1.0047269117647057</v>
      </c>
      <c r="M25" s="1560">
        <f>'Sum-NoCo11X17'!M24</f>
        <v>0.77482745098039207</v>
      </c>
      <c r="N25" s="576">
        <f>'Sum-NoCo11X17'!N24</f>
        <v>3.393744235294117</v>
      </c>
      <c r="O25" s="1560">
        <f>'Sum-NoCo11X17'!O24</f>
        <v>0.77482745098039207</v>
      </c>
      <c r="P25" s="576">
        <f>'Sum-NoCo11X17'!P24</f>
        <v>3.393744235294117</v>
      </c>
      <c r="Q25" s="1560">
        <f>'Sum-NoCo11X17'!Q24</f>
        <v>0.19184115980392158</v>
      </c>
      <c r="R25" s="576">
        <f>'Sum-NoCo11X17'!R24</f>
        <v>0.84026427994117647</v>
      </c>
      <c r="S25" s="44"/>
    </row>
    <row r="26" spans="1:20" ht="44.25" customHeight="1">
      <c r="A26" s="36"/>
      <c r="B26" s="175" t="str">
        <f>'Sum-NoCo11X17'!B25</f>
        <v>Cryo Hot Oil Heater
(103.99 MMBtu/hr)</v>
      </c>
      <c r="C26" s="176" t="str">
        <f>'Sum-NoCo11X17'!C25</f>
        <v>CHTR2</v>
      </c>
      <c r="D26" s="1196" t="str">
        <f>'Sum-NoCo11X17'!D25</f>
        <v>CHTR2</v>
      </c>
      <c r="E26" s="1560">
        <f>'Sum-NoCo11X17'!E25</f>
        <v>3.4732659999999997</v>
      </c>
      <c r="F26" s="575">
        <f>'Sum-NoCo11X17'!F25</f>
        <v>15.212905079999999</v>
      </c>
      <c r="G26" s="1560">
        <f>'Sum-NoCo11X17'!G25</f>
        <v>1.6950369999999997</v>
      </c>
      <c r="H26" s="576">
        <f>'Sum-NoCo11X17'!H25</f>
        <v>7.4242620599999984</v>
      </c>
      <c r="I26" s="1560">
        <f>'Sum-NoCo11X17'!I25</f>
        <v>0.66553600000000002</v>
      </c>
      <c r="J26" s="576">
        <f>'Sum-NoCo11X17'!J25</f>
        <v>2.9150476800000003</v>
      </c>
      <c r="K26" s="1560">
        <f>'Sum-NoCo11X17'!K25</f>
        <v>0.22938970588235294</v>
      </c>
      <c r="L26" s="576">
        <f>'Sum-NoCo11X17'!L25</f>
        <v>1.0047269117647057</v>
      </c>
      <c r="M26" s="1560">
        <f>'Sum-NoCo11X17'!M25</f>
        <v>0.77482745098039207</v>
      </c>
      <c r="N26" s="576">
        <f>'Sum-NoCo11X17'!N25</f>
        <v>3.393744235294117</v>
      </c>
      <c r="O26" s="1560">
        <f>'Sum-NoCo11X17'!O25</f>
        <v>0.77482745098039207</v>
      </c>
      <c r="P26" s="576">
        <f>'Sum-NoCo11X17'!P25</f>
        <v>3.393744235294117</v>
      </c>
      <c r="Q26" s="1560">
        <f>'Sum-NoCo11X17'!Q25</f>
        <v>0.19184115980392158</v>
      </c>
      <c r="R26" s="576">
        <f>'Sum-NoCo11X17'!R25</f>
        <v>0.84026427994117647</v>
      </c>
      <c r="S26" s="44"/>
      <c r="T26" s="8"/>
    </row>
    <row r="27" spans="1:20" ht="44.15" customHeight="1">
      <c r="A27" s="36"/>
      <c r="B27" s="175" t="str">
        <f>'Sum-NoCo11X17'!B26</f>
        <v>Cryo Hot Oil Heater
(103.99 MMBtu/hr)</v>
      </c>
      <c r="C27" s="176" t="str">
        <f>'Sum-NoCo11X17'!C26</f>
        <v>CHTR3</v>
      </c>
      <c r="D27" s="1196" t="str">
        <f>'Sum-NoCo11X17'!D26</f>
        <v>CHTR3</v>
      </c>
      <c r="E27" s="1560">
        <f>'Sum-NoCo11X17'!E26</f>
        <v>3.4732659999999997</v>
      </c>
      <c r="F27" s="575">
        <f>'Sum-NoCo11X17'!F26</f>
        <v>15.212905079999999</v>
      </c>
      <c r="G27" s="1560">
        <f>'Sum-NoCo11X17'!G26</f>
        <v>1.6950369999999997</v>
      </c>
      <c r="H27" s="576">
        <f>'Sum-NoCo11X17'!H26</f>
        <v>7.4242620599999984</v>
      </c>
      <c r="I27" s="1560">
        <f>'Sum-NoCo11X17'!I26</f>
        <v>0.66553600000000002</v>
      </c>
      <c r="J27" s="576">
        <f>'Sum-NoCo11X17'!J26</f>
        <v>2.9150476800000003</v>
      </c>
      <c r="K27" s="1560">
        <f>'Sum-NoCo11X17'!K26</f>
        <v>0.22938970588235294</v>
      </c>
      <c r="L27" s="576">
        <f>'Sum-NoCo11X17'!L26</f>
        <v>1.0047269117647057</v>
      </c>
      <c r="M27" s="1560">
        <f>'Sum-NoCo11X17'!M26</f>
        <v>0.77482745098039207</v>
      </c>
      <c r="N27" s="576">
        <f>'Sum-NoCo11X17'!N26</f>
        <v>3.393744235294117</v>
      </c>
      <c r="O27" s="1560">
        <f>'Sum-NoCo11X17'!O26</f>
        <v>0.77482745098039207</v>
      </c>
      <c r="P27" s="576">
        <f>'Sum-NoCo11X17'!P26</f>
        <v>3.393744235294117</v>
      </c>
      <c r="Q27" s="1560">
        <f>'Sum-NoCo11X17'!Q26</f>
        <v>0.19184115980392158</v>
      </c>
      <c r="R27" s="576">
        <f>'Sum-NoCo11X17'!R26</f>
        <v>0.84026427994117647</v>
      </c>
      <c r="S27" s="44"/>
    </row>
    <row r="28" spans="1:20" ht="44.15" customHeight="1">
      <c r="A28" s="36"/>
      <c r="B28" s="175" t="str">
        <f>'Sum-NoCo11X17'!B27</f>
        <v>Regen Heater 
(39.14 MMBtu/hr)</v>
      </c>
      <c r="C28" s="176" t="str">
        <f>'Sum-NoCo11X17'!C27</f>
        <v>RHTR1</v>
      </c>
      <c r="D28" s="1196" t="str">
        <f>'Sum-NoCo11X17'!D27</f>
        <v>RHTR1</v>
      </c>
      <c r="E28" s="1560">
        <f>'Sum-NoCo11X17'!E27</f>
        <v>1.0450380000000001</v>
      </c>
      <c r="F28" s="575">
        <f>'Sum-NoCo11X17'!F27</f>
        <v>4.5772664400000007</v>
      </c>
      <c r="G28" s="1560">
        <f>'Sum-NoCo11X17'!G27</f>
        <v>0.63798199999999994</v>
      </c>
      <c r="H28" s="576">
        <f>'Sum-NoCo11X17'!H27</f>
        <v>2.7943611599999998</v>
      </c>
      <c r="I28" s="1560">
        <f>'Sum-NoCo11X17'!I27</f>
        <v>0.250496</v>
      </c>
      <c r="J28" s="576">
        <f>'Sum-NoCo11X17'!J27</f>
        <v>1.09717248</v>
      </c>
      <c r="K28" s="1560">
        <f>'Sum-NoCo11X17'!K27</f>
        <v>8.633823529411766E-2</v>
      </c>
      <c r="L28" s="576">
        <f>'Sum-NoCo11X17'!L27</f>
        <v>0.37816147058823535</v>
      </c>
      <c r="M28" s="1560">
        <f>'Sum-NoCo11X17'!M27</f>
        <v>0.29163137254901961</v>
      </c>
      <c r="N28" s="576">
        <f>'Sum-NoCo11X17'!N27</f>
        <v>1.2773454117647058</v>
      </c>
      <c r="O28" s="1560">
        <f>'Sum-NoCo11X17'!O27</f>
        <v>0.29163137254901961</v>
      </c>
      <c r="P28" s="576">
        <f>'Sum-NoCo11X17'!P27</f>
        <v>1.2773454117647058</v>
      </c>
      <c r="Q28" s="1560">
        <f>'Sum-NoCo11X17'!Q27</f>
        <v>7.2205625490196074E-2</v>
      </c>
      <c r="R28" s="576">
        <f>'Sum-NoCo11X17'!R27</f>
        <v>0.31626063964705881</v>
      </c>
      <c r="S28" s="44"/>
    </row>
    <row r="29" spans="1:20" ht="44.15" customHeight="1">
      <c r="A29" s="36"/>
      <c r="B29" s="175" t="str">
        <f>'Sum-NoCo11X17'!B28</f>
        <v>Regen Heater
(39.14 MMBtu/hr)</v>
      </c>
      <c r="C29" s="176" t="str">
        <f>'Sum-NoCo11X17'!C28</f>
        <v>RHTR2</v>
      </c>
      <c r="D29" s="1196" t="str">
        <f>'Sum-NoCo11X17'!D28</f>
        <v>RHTR2</v>
      </c>
      <c r="E29" s="1560">
        <f>'Sum-NoCo11X17'!E28</f>
        <v>1.0450380000000001</v>
      </c>
      <c r="F29" s="575">
        <f>'Sum-NoCo11X17'!F28</f>
        <v>4.5772664400000007</v>
      </c>
      <c r="G29" s="1560">
        <f>'Sum-NoCo11X17'!G28</f>
        <v>0.63798199999999994</v>
      </c>
      <c r="H29" s="576">
        <f>'Sum-NoCo11X17'!H28</f>
        <v>2.7943611599999998</v>
      </c>
      <c r="I29" s="1560">
        <f>'Sum-NoCo11X17'!I28</f>
        <v>0.250496</v>
      </c>
      <c r="J29" s="576">
        <f>'Sum-NoCo11X17'!J28</f>
        <v>1.09717248</v>
      </c>
      <c r="K29" s="1560">
        <f>'Sum-NoCo11X17'!K28</f>
        <v>8.633823529411766E-2</v>
      </c>
      <c r="L29" s="576">
        <f>'Sum-NoCo11X17'!L28</f>
        <v>0.37816147058823535</v>
      </c>
      <c r="M29" s="1560">
        <f>'Sum-NoCo11X17'!M28</f>
        <v>0.29163137254901961</v>
      </c>
      <c r="N29" s="576">
        <f>'Sum-NoCo11X17'!N28</f>
        <v>1.2773454117647058</v>
      </c>
      <c r="O29" s="1560">
        <f>'Sum-NoCo11X17'!O28</f>
        <v>0.29163137254901961</v>
      </c>
      <c r="P29" s="576">
        <f>'Sum-NoCo11X17'!P28</f>
        <v>1.2773454117647058</v>
      </c>
      <c r="Q29" s="1560">
        <f>'Sum-NoCo11X17'!Q28</f>
        <v>7.2205625490196074E-2</v>
      </c>
      <c r="R29" s="576">
        <f>'Sum-NoCo11X17'!R28</f>
        <v>0.31626063964705881</v>
      </c>
      <c r="S29" s="44"/>
    </row>
    <row r="30" spans="1:20" ht="44.15" customHeight="1">
      <c r="A30" s="36"/>
      <c r="B30" s="175" t="str">
        <f>'Sum-NoCo11X17'!B29</f>
        <v>Regen Heater
(39.14 MMBtu/hr)</v>
      </c>
      <c r="C30" s="176" t="str">
        <f>'Sum-NoCo11X17'!C29</f>
        <v>RHTR3</v>
      </c>
      <c r="D30" s="1196" t="str">
        <f>'Sum-NoCo11X17'!D29</f>
        <v>RHTR3</v>
      </c>
      <c r="E30" s="1560">
        <f>'Sum-NoCo11X17'!E29</f>
        <v>1.0450380000000001</v>
      </c>
      <c r="F30" s="575">
        <f>'Sum-NoCo11X17'!F29</f>
        <v>4.5772664400000007</v>
      </c>
      <c r="G30" s="1560">
        <f>'Sum-NoCo11X17'!G29</f>
        <v>0.63798199999999994</v>
      </c>
      <c r="H30" s="576">
        <f>'Sum-NoCo11X17'!H29</f>
        <v>2.7943611599999998</v>
      </c>
      <c r="I30" s="1560">
        <f>'Sum-NoCo11X17'!I29</f>
        <v>0.250496</v>
      </c>
      <c r="J30" s="576">
        <f>'Sum-NoCo11X17'!J29</f>
        <v>1.09717248</v>
      </c>
      <c r="K30" s="1560">
        <f>'Sum-NoCo11X17'!K29</f>
        <v>8.633823529411766E-2</v>
      </c>
      <c r="L30" s="576">
        <f>'Sum-NoCo11X17'!L29</f>
        <v>0.37816147058823535</v>
      </c>
      <c r="M30" s="1560">
        <f>'Sum-NoCo11X17'!M29</f>
        <v>0.29163137254901961</v>
      </c>
      <c r="N30" s="576">
        <f>'Sum-NoCo11X17'!N29</f>
        <v>1.2773454117647058</v>
      </c>
      <c r="O30" s="1560">
        <f>'Sum-NoCo11X17'!O29</f>
        <v>0.29163137254901961</v>
      </c>
      <c r="P30" s="576">
        <f>'Sum-NoCo11X17'!P29</f>
        <v>1.2773454117647058</v>
      </c>
      <c r="Q30" s="1560">
        <f>'Sum-NoCo11X17'!Q29</f>
        <v>7.2205625490196074E-2</v>
      </c>
      <c r="R30" s="576">
        <f>'Sum-NoCo11X17'!R29</f>
        <v>0.31626063964705881</v>
      </c>
      <c r="S30" s="44"/>
    </row>
    <row r="31" spans="1:20" ht="44.15" customHeight="1">
      <c r="A31" s="36"/>
      <c r="B31" s="175" t="s">
        <v>1372</v>
      </c>
      <c r="C31" s="176" t="str">
        <f>'Sum-NoCo11X17'!C30</f>
        <v>FL1</v>
      </c>
      <c r="D31" s="1196" t="str">
        <f>'Sum-NoCo11X17'!D30</f>
        <v>FL1</v>
      </c>
      <c r="E31" s="3928" t="s">
        <v>1371</v>
      </c>
      <c r="F31" s="3929"/>
      <c r="G31" s="3929"/>
      <c r="H31" s="3929"/>
      <c r="I31" s="3929"/>
      <c r="J31" s="3929"/>
      <c r="K31" s="3929"/>
      <c r="L31" s="3929"/>
      <c r="M31" s="3929"/>
      <c r="N31" s="3929"/>
      <c r="O31" s="3929"/>
      <c r="P31" s="3929"/>
      <c r="Q31" s="3929"/>
      <c r="R31" s="3930"/>
      <c r="S31" s="44"/>
    </row>
    <row r="32" spans="1:20" ht="44.15" customHeight="1">
      <c r="A32" s="36"/>
      <c r="B32" s="175" t="s">
        <v>1373</v>
      </c>
      <c r="C32" s="176" t="str">
        <f>'Sum-NoCo11X17'!C31</f>
        <v>FL2</v>
      </c>
      <c r="D32" s="1196" t="str">
        <f>'Sum-NoCo11X17'!D31</f>
        <v>FL2</v>
      </c>
      <c r="E32" s="3928" t="s">
        <v>1371</v>
      </c>
      <c r="F32" s="3929"/>
      <c r="G32" s="3929"/>
      <c r="H32" s="3929"/>
      <c r="I32" s="3929"/>
      <c r="J32" s="3929"/>
      <c r="K32" s="3929"/>
      <c r="L32" s="3929"/>
      <c r="M32" s="3929"/>
      <c r="N32" s="3929"/>
      <c r="O32" s="3929"/>
      <c r="P32" s="3929"/>
      <c r="Q32" s="3929"/>
      <c r="R32" s="3930"/>
      <c r="S32" s="44"/>
    </row>
    <row r="33" spans="1:21" ht="44.15" customHeight="1">
      <c r="A33" s="36"/>
      <c r="B33" s="175" t="s">
        <v>1374</v>
      </c>
      <c r="C33" s="176" t="str">
        <f>'Sum-NoCo11X17'!C32</f>
        <v>FL3</v>
      </c>
      <c r="D33" s="1196" t="str">
        <f>'Sum-NoCo11X17'!D32</f>
        <v>FL3</v>
      </c>
      <c r="E33" s="3928" t="s">
        <v>1371</v>
      </c>
      <c r="F33" s="3929"/>
      <c r="G33" s="3929"/>
      <c r="H33" s="3929"/>
      <c r="I33" s="3929"/>
      <c r="J33" s="3929"/>
      <c r="K33" s="3929"/>
      <c r="L33" s="3929"/>
      <c r="M33" s="3929"/>
      <c r="N33" s="3929"/>
      <c r="O33" s="3929"/>
      <c r="P33" s="3929"/>
      <c r="Q33" s="3929"/>
      <c r="R33" s="3930"/>
      <c r="S33" s="44"/>
      <c r="T33" s="8"/>
    </row>
    <row r="34" spans="1:21" ht="44.15" customHeight="1">
      <c r="A34" s="1656"/>
      <c r="B34" s="1684" t="str">
        <f>'Sum-NoCo11X17'!B33</f>
        <v>Oil Storage 1 (100,000 bbl)</v>
      </c>
      <c r="C34" s="1500" t="str">
        <f>'Sum-NoCo11X17'!C33</f>
        <v>IFR1</v>
      </c>
      <c r="D34" s="1685" t="str">
        <f>'Sum-NoCo11X17'!D33</f>
        <v>IFR1</v>
      </c>
      <c r="E34" s="1560" t="str">
        <f>'Sum-NoCo11X17'!E33</f>
        <v>--</v>
      </c>
      <c r="F34" s="575" t="str">
        <f>'Sum-NoCo11X17'!F33</f>
        <v>--</v>
      </c>
      <c r="G34" s="1560" t="str">
        <f>'Sum-NoCo11X17'!G33</f>
        <v>--</v>
      </c>
      <c r="H34" s="576" t="str">
        <f>'Sum-NoCo11X17'!H33</f>
        <v>--</v>
      </c>
      <c r="I34" s="1560">
        <f>'Sum-NoCo11X17'!I33</f>
        <v>1.1752020371542549</v>
      </c>
      <c r="J34" s="576">
        <f>'Sum-NoCo11X17'!J33</f>
        <v>5.1473849227356343</v>
      </c>
      <c r="K34" s="1560" t="str">
        <f>'Sum-NoCo11X17'!K33</f>
        <v>--</v>
      </c>
      <c r="L34" s="576" t="str">
        <f>'Sum-NoCo11X17'!L33</f>
        <v>--</v>
      </c>
      <c r="M34" s="1560" t="str">
        <f>'Sum-NoCo11X17'!M33</f>
        <v>--</v>
      </c>
      <c r="N34" s="576" t="str">
        <f>'Sum-NoCo11X17'!N33</f>
        <v>--</v>
      </c>
      <c r="O34" s="1560" t="str">
        <f>'Sum-NoCo11X17'!O33</f>
        <v>--</v>
      </c>
      <c r="P34" s="576" t="str">
        <f>'Sum-NoCo11X17'!P33</f>
        <v>--</v>
      </c>
      <c r="Q34" s="1560">
        <f>'Sum-NoCo11X17'!Q33</f>
        <v>6.7739254805280091E-2</v>
      </c>
      <c r="R34" s="576">
        <f>'Sum-NoCo11X17'!R33</f>
        <v>0.2966979360471268</v>
      </c>
      <c r="S34" s="1655"/>
    </row>
    <row r="35" spans="1:21" ht="44.15" customHeight="1">
      <c r="A35" s="36"/>
      <c r="B35" s="177" t="str">
        <f>'Sum-NoCo11X17'!B34</f>
        <v>Oil Storage 2 (100,000 bbl)</v>
      </c>
      <c r="C35" s="1284" t="str">
        <f>'Sum-NoCo11X17'!C34</f>
        <v>IFR2</v>
      </c>
      <c r="D35" s="367" t="str">
        <f>'Sum-NoCo11X17'!D34</f>
        <v>IFR2</v>
      </c>
      <c r="E35" s="1560" t="str">
        <f>'Sum-NoCo11X17'!E34</f>
        <v>--</v>
      </c>
      <c r="F35" s="575" t="str">
        <f>'Sum-NoCo11X17'!F34</f>
        <v>--</v>
      </c>
      <c r="G35" s="1560" t="str">
        <f>'Sum-NoCo11X17'!G34</f>
        <v>--</v>
      </c>
      <c r="H35" s="576" t="str">
        <f>'Sum-NoCo11X17'!H34</f>
        <v>--</v>
      </c>
      <c r="I35" s="1560">
        <f>'Sum-NoCo11X17'!I34</f>
        <v>1.1752020371542549</v>
      </c>
      <c r="J35" s="576">
        <f>'Sum-NoCo11X17'!J34</f>
        <v>5.1473849227356343</v>
      </c>
      <c r="K35" s="1560" t="str">
        <f>'Sum-NoCo11X17'!K34</f>
        <v>--</v>
      </c>
      <c r="L35" s="576" t="str">
        <f>'Sum-NoCo11X17'!L34</f>
        <v>--</v>
      </c>
      <c r="M35" s="1560" t="str">
        <f>'Sum-NoCo11X17'!M34</f>
        <v>--</v>
      </c>
      <c r="N35" s="576" t="str">
        <f>'Sum-NoCo11X17'!N34</f>
        <v>--</v>
      </c>
      <c r="O35" s="1560" t="str">
        <f>'Sum-NoCo11X17'!O34</f>
        <v>--</v>
      </c>
      <c r="P35" s="576" t="str">
        <f>'Sum-NoCo11X17'!P34</f>
        <v>--</v>
      </c>
      <c r="Q35" s="1560">
        <f>'Sum-NoCo11X17'!Q34</f>
        <v>6.7739254805280091E-2</v>
      </c>
      <c r="R35" s="576">
        <f>'Sum-NoCo11X17'!R34</f>
        <v>0.2966979360471268</v>
      </c>
      <c r="S35" s="44"/>
    </row>
    <row r="36" spans="1:21" ht="44.15" customHeight="1">
      <c r="A36" s="36"/>
      <c r="B36" s="175" t="str">
        <f>'Sum-NoCo11X17'!B35</f>
        <v>Oil Storage 3 (100,000 bbl)</v>
      </c>
      <c r="C36" s="176" t="str">
        <f>'Sum-NoCo11X17'!C35</f>
        <v>IFR3</v>
      </c>
      <c r="D36" s="1196" t="str">
        <f>'Sum-NoCo11X17'!D35</f>
        <v>IFR3</v>
      </c>
      <c r="E36" s="1560" t="str">
        <f>'Sum-NoCo11X17'!E35</f>
        <v>--</v>
      </c>
      <c r="F36" s="575" t="str">
        <f>'Sum-NoCo11X17'!F35</f>
        <v>--</v>
      </c>
      <c r="G36" s="1560" t="str">
        <f>'Sum-NoCo11X17'!G35</f>
        <v>--</v>
      </c>
      <c r="H36" s="576" t="str">
        <f>'Sum-NoCo11X17'!H35</f>
        <v>--</v>
      </c>
      <c r="I36" s="1560">
        <f>'Sum-NoCo11X17'!I35</f>
        <v>1.1752020371542549</v>
      </c>
      <c r="J36" s="576">
        <f>'Sum-NoCo11X17'!J35</f>
        <v>5.1473849227356343</v>
      </c>
      <c r="K36" s="1560" t="str">
        <f>'Sum-NoCo11X17'!K35</f>
        <v>--</v>
      </c>
      <c r="L36" s="576" t="str">
        <f>'Sum-NoCo11X17'!L35</f>
        <v>--</v>
      </c>
      <c r="M36" s="1560" t="str">
        <f>'Sum-NoCo11X17'!M35</f>
        <v>--</v>
      </c>
      <c r="N36" s="576" t="str">
        <f>'Sum-NoCo11X17'!N35</f>
        <v>--</v>
      </c>
      <c r="O36" s="1560" t="str">
        <f>'Sum-NoCo11X17'!O35</f>
        <v>--</v>
      </c>
      <c r="P36" s="576" t="str">
        <f>'Sum-NoCo11X17'!P35</f>
        <v>--</v>
      </c>
      <c r="Q36" s="1560">
        <f>'Sum-NoCo11X17'!Q35</f>
        <v>6.7739254805280091E-2</v>
      </c>
      <c r="R36" s="576">
        <f>'Sum-NoCo11X17'!R35</f>
        <v>0.2966979360471268</v>
      </c>
      <c r="S36" s="44"/>
      <c r="T36" s="8"/>
    </row>
    <row r="37" spans="1:21" ht="44.15" customHeight="1">
      <c r="A37" s="36"/>
      <c r="B37" s="175" t="str">
        <f>'Sum-NoCo11X17'!B36</f>
        <v>Oil Storage 4 (100,000 bbl)</v>
      </c>
      <c r="C37" s="176" t="str">
        <f>'Sum-NoCo11X17'!C36</f>
        <v>IFR4</v>
      </c>
      <c r="D37" s="1196" t="str">
        <f>'Sum-NoCo11X17'!D36</f>
        <v>IFR4</v>
      </c>
      <c r="E37" s="1560" t="str">
        <f>'Sum-NoCo11X17'!E36</f>
        <v>--</v>
      </c>
      <c r="F37" s="575" t="str">
        <f>'Sum-NoCo11X17'!F36</f>
        <v>--</v>
      </c>
      <c r="G37" s="1560" t="str">
        <f>'Sum-NoCo11X17'!G36</f>
        <v>--</v>
      </c>
      <c r="H37" s="576" t="str">
        <f>'Sum-NoCo11X17'!H36</f>
        <v>--</v>
      </c>
      <c r="I37" s="1560">
        <f>'Sum-NoCo11X17'!I36</f>
        <v>1.1752020371542549</v>
      </c>
      <c r="J37" s="576">
        <f>'Sum-NoCo11X17'!J36</f>
        <v>5.1473849227356343</v>
      </c>
      <c r="K37" s="1560" t="str">
        <f>'Sum-NoCo11X17'!K36</f>
        <v>--</v>
      </c>
      <c r="L37" s="576" t="str">
        <f>'Sum-NoCo11X17'!L36</f>
        <v>--</v>
      </c>
      <c r="M37" s="1560" t="str">
        <f>'Sum-NoCo11X17'!M36</f>
        <v>--</v>
      </c>
      <c r="N37" s="576" t="str">
        <f>'Sum-NoCo11X17'!N36</f>
        <v>--</v>
      </c>
      <c r="O37" s="1560" t="str">
        <f>'Sum-NoCo11X17'!O36</f>
        <v>--</v>
      </c>
      <c r="P37" s="576" t="str">
        <f>'Sum-NoCo11X17'!P36</f>
        <v>--</v>
      </c>
      <c r="Q37" s="1560">
        <f>'Sum-NoCo11X17'!Q36</f>
        <v>6.7739254805280091E-2</v>
      </c>
      <c r="R37" s="576">
        <f>'Sum-NoCo11X17'!R36</f>
        <v>0.2966979360471268</v>
      </c>
      <c r="S37" s="44"/>
    </row>
    <row r="38" spans="1:21" ht="44.15" customHeight="1">
      <c r="A38" s="36"/>
      <c r="B38" s="175" t="str">
        <f>'Sum-NoCo11X17'!B37</f>
        <v>3rd-Party Oil Storage 1</v>
      </c>
      <c r="C38" s="176" t="str">
        <f>'Sum-NoCo11X17'!C37</f>
        <v>OTK1</v>
      </c>
      <c r="D38" s="1196" t="str">
        <f>'Sum-NoCo11X17'!D37</f>
        <v>OTK1</v>
      </c>
      <c r="E38" s="1289" t="s">
        <v>445</v>
      </c>
      <c r="F38" s="1290" t="s">
        <v>445</v>
      </c>
      <c r="G38" s="1289" t="s">
        <v>445</v>
      </c>
      <c r="H38" s="1290" t="s">
        <v>445</v>
      </c>
      <c r="I38" s="1560">
        <f>'Tank Summary'!L15</f>
        <v>25.094700837614305</v>
      </c>
      <c r="J38" s="576">
        <f>'Tank Summary'!M15</f>
        <v>109.91478966875064</v>
      </c>
      <c r="K38" s="1289" t="s">
        <v>445</v>
      </c>
      <c r="L38" s="1290" t="s">
        <v>445</v>
      </c>
      <c r="M38" s="1289" t="s">
        <v>445</v>
      </c>
      <c r="N38" s="1290" t="s">
        <v>445</v>
      </c>
      <c r="O38" s="1289" t="s">
        <v>445</v>
      </c>
      <c r="P38" s="1290" t="s">
        <v>445</v>
      </c>
      <c r="Q38" s="1289" t="s">
        <v>445</v>
      </c>
      <c r="R38" s="1562" t="s">
        <v>445</v>
      </c>
      <c r="S38" s="44"/>
    </row>
    <row r="39" spans="1:21" ht="44.15" customHeight="1">
      <c r="A39" s="36"/>
      <c r="B39" s="175" t="str">
        <f>'Sum-NoCo11X17'!B38</f>
        <v>3rd-Party Oil Storage 2</v>
      </c>
      <c r="C39" s="176" t="str">
        <f>'Sum-NoCo11X17'!C38</f>
        <v>OTK2</v>
      </c>
      <c r="D39" s="1196" t="str">
        <f>'Sum-NoCo11X17'!D38</f>
        <v>OTK2</v>
      </c>
      <c r="E39" s="1289" t="s">
        <v>445</v>
      </c>
      <c r="F39" s="1290" t="s">
        <v>445</v>
      </c>
      <c r="G39" s="1289" t="s">
        <v>445</v>
      </c>
      <c r="H39" s="1290" t="s">
        <v>445</v>
      </c>
      <c r="I39" s="1560">
        <f>I38</f>
        <v>25.094700837614305</v>
      </c>
      <c r="J39" s="576">
        <f>J38</f>
        <v>109.91478966875064</v>
      </c>
      <c r="K39" s="1289" t="s">
        <v>445</v>
      </c>
      <c r="L39" s="1290" t="s">
        <v>445</v>
      </c>
      <c r="M39" s="1289" t="s">
        <v>445</v>
      </c>
      <c r="N39" s="1290" t="s">
        <v>445</v>
      </c>
      <c r="O39" s="1289" t="s">
        <v>445</v>
      </c>
      <c r="P39" s="1290" t="s">
        <v>445</v>
      </c>
      <c r="Q39" s="1289" t="s">
        <v>445</v>
      </c>
      <c r="R39" s="1563" t="s">
        <v>445</v>
      </c>
      <c r="S39" s="44"/>
    </row>
    <row r="40" spans="1:21" ht="44.15" customHeight="1">
      <c r="A40" s="36"/>
      <c r="B40" s="175" t="str">
        <f>'Sum-NoCo11X17'!B39</f>
        <v>3rd-Party Oil Storage 3</v>
      </c>
      <c r="C40" s="176" t="str">
        <f>'Sum-NoCo11X17'!C39</f>
        <v>OTK3</v>
      </c>
      <c r="D40" s="1196" t="str">
        <f>'Sum-NoCo11X17'!D39</f>
        <v>OTK3</v>
      </c>
      <c r="E40" s="1289" t="s">
        <v>445</v>
      </c>
      <c r="F40" s="1290" t="s">
        <v>445</v>
      </c>
      <c r="G40" s="1289" t="s">
        <v>445</v>
      </c>
      <c r="H40" s="1290" t="s">
        <v>445</v>
      </c>
      <c r="I40" s="1560">
        <f t="shared" ref="I40:J43" si="0">I39</f>
        <v>25.094700837614305</v>
      </c>
      <c r="J40" s="576">
        <f t="shared" si="0"/>
        <v>109.91478966875064</v>
      </c>
      <c r="K40" s="1289" t="s">
        <v>445</v>
      </c>
      <c r="L40" s="1290" t="s">
        <v>445</v>
      </c>
      <c r="M40" s="1289" t="s">
        <v>445</v>
      </c>
      <c r="N40" s="1290" t="s">
        <v>445</v>
      </c>
      <c r="O40" s="1289" t="s">
        <v>445</v>
      </c>
      <c r="P40" s="1290" t="s">
        <v>445</v>
      </c>
      <c r="Q40" s="1289" t="s">
        <v>445</v>
      </c>
      <c r="R40" s="1563" t="s">
        <v>445</v>
      </c>
      <c r="S40" s="44"/>
    </row>
    <row r="41" spans="1:21" ht="44.25" customHeight="1">
      <c r="A41" s="36"/>
      <c r="B41" s="175" t="str">
        <f>'Sum-NoCo11X17'!B40</f>
        <v>3rd-Party Oil Storage 4</v>
      </c>
      <c r="C41" s="176" t="str">
        <f>'Sum-NoCo11X17'!C40</f>
        <v>OTK4</v>
      </c>
      <c r="D41" s="1196" t="str">
        <f>'Sum-NoCo11X17'!D40</f>
        <v>OTK4</v>
      </c>
      <c r="E41" s="1289" t="s">
        <v>445</v>
      </c>
      <c r="F41" s="1290" t="s">
        <v>445</v>
      </c>
      <c r="G41" s="1289" t="s">
        <v>445</v>
      </c>
      <c r="H41" s="1290" t="s">
        <v>445</v>
      </c>
      <c r="I41" s="1560">
        <f t="shared" si="0"/>
        <v>25.094700837614305</v>
      </c>
      <c r="J41" s="576">
        <f t="shared" si="0"/>
        <v>109.91478966875064</v>
      </c>
      <c r="K41" s="1289" t="s">
        <v>445</v>
      </c>
      <c r="L41" s="1290" t="s">
        <v>445</v>
      </c>
      <c r="M41" s="1289" t="s">
        <v>445</v>
      </c>
      <c r="N41" s="1290" t="s">
        <v>445</v>
      </c>
      <c r="O41" s="1289" t="s">
        <v>445</v>
      </c>
      <c r="P41" s="1290" t="s">
        <v>445</v>
      </c>
      <c r="Q41" s="1289" t="s">
        <v>445</v>
      </c>
      <c r="R41" s="1563" t="s">
        <v>445</v>
      </c>
      <c r="S41" s="44"/>
    </row>
    <row r="42" spans="1:21" ht="44.25" customHeight="1">
      <c r="A42" s="36"/>
      <c r="B42" s="175" t="str">
        <f>'Sum-NoCo11X17'!B41</f>
        <v>3rd-Party Oil Storage 5</v>
      </c>
      <c r="C42" s="176" t="str">
        <f>'Sum-NoCo11X17'!C41</f>
        <v>OTK5</v>
      </c>
      <c r="D42" s="1196" t="str">
        <f>'Sum-NoCo11X17'!D41</f>
        <v>OTK5</v>
      </c>
      <c r="E42" s="1289" t="s">
        <v>445</v>
      </c>
      <c r="F42" s="1290" t="s">
        <v>445</v>
      </c>
      <c r="G42" s="1289" t="s">
        <v>445</v>
      </c>
      <c r="H42" s="1290" t="s">
        <v>445</v>
      </c>
      <c r="I42" s="1560">
        <f t="shared" si="0"/>
        <v>25.094700837614305</v>
      </c>
      <c r="J42" s="576">
        <f t="shared" si="0"/>
        <v>109.91478966875064</v>
      </c>
      <c r="K42" s="1289" t="s">
        <v>445</v>
      </c>
      <c r="L42" s="1290" t="s">
        <v>445</v>
      </c>
      <c r="M42" s="1289" t="s">
        <v>445</v>
      </c>
      <c r="N42" s="1290" t="s">
        <v>445</v>
      </c>
      <c r="O42" s="1289" t="s">
        <v>445</v>
      </c>
      <c r="P42" s="1290" t="s">
        <v>445</v>
      </c>
      <c r="Q42" s="1289" t="s">
        <v>445</v>
      </c>
      <c r="R42" s="1563" t="s">
        <v>445</v>
      </c>
      <c r="S42" s="44"/>
      <c r="T42" s="8"/>
    </row>
    <row r="43" spans="1:21" ht="44.25" customHeight="1">
      <c r="A43" s="819"/>
      <c r="B43" s="175" t="str">
        <f>'Sum-NoCo11X17'!B42</f>
        <v>3rd-Party Oil Storage 6</v>
      </c>
      <c r="C43" s="176" t="str">
        <f>'Sum-NoCo11X17'!C42</f>
        <v>OTK6</v>
      </c>
      <c r="D43" s="1196" t="str">
        <f>'Sum-NoCo11X17'!D42</f>
        <v>OTK6</v>
      </c>
      <c r="E43" s="1289" t="s">
        <v>445</v>
      </c>
      <c r="F43" s="1290" t="s">
        <v>445</v>
      </c>
      <c r="G43" s="1289" t="s">
        <v>445</v>
      </c>
      <c r="H43" s="1290" t="s">
        <v>445</v>
      </c>
      <c r="I43" s="1560">
        <f t="shared" si="0"/>
        <v>25.094700837614305</v>
      </c>
      <c r="J43" s="576">
        <f t="shared" si="0"/>
        <v>109.91478966875064</v>
      </c>
      <c r="K43" s="1289" t="s">
        <v>445</v>
      </c>
      <c r="L43" s="1290" t="s">
        <v>445</v>
      </c>
      <c r="M43" s="1289" t="s">
        <v>445</v>
      </c>
      <c r="N43" s="1290" t="s">
        <v>445</v>
      </c>
      <c r="O43" s="1289" t="s">
        <v>445</v>
      </c>
      <c r="P43" s="1290" t="s">
        <v>445</v>
      </c>
      <c r="Q43" s="1289" t="s">
        <v>445</v>
      </c>
      <c r="R43" s="1563" t="s">
        <v>445</v>
      </c>
      <c r="S43" s="44"/>
    </row>
    <row r="44" spans="1:21" ht="44.25" customHeight="1">
      <c r="A44" s="36"/>
      <c r="B44" s="175" t="s">
        <v>1462</v>
      </c>
      <c r="C44" s="176" t="str">
        <f>'Sum-NoCo11X17'!C43</f>
        <v>ECD1</v>
      </c>
      <c r="D44" s="1196" t="str">
        <f>'Sum-NoCo11X17'!D43</f>
        <v>ECD1</v>
      </c>
      <c r="E44" s="3928" t="s">
        <v>1371</v>
      </c>
      <c r="F44" s="3929"/>
      <c r="G44" s="3929"/>
      <c r="H44" s="3929"/>
      <c r="I44" s="3929"/>
      <c r="J44" s="3929"/>
      <c r="K44" s="3929"/>
      <c r="L44" s="3929"/>
      <c r="M44" s="3929"/>
      <c r="N44" s="3929"/>
      <c r="O44" s="3929"/>
      <c r="P44" s="3929"/>
      <c r="Q44" s="3929"/>
      <c r="R44" s="3930"/>
      <c r="S44" s="44"/>
      <c r="T44" s="8"/>
      <c r="U44" s="8"/>
    </row>
    <row r="45" spans="1:21" ht="44.25" customHeight="1">
      <c r="A45" s="36"/>
      <c r="B45" s="175" t="str">
        <f>'Sum-NoCo11X17'!B44</f>
        <v>Thermal Oxidizer</v>
      </c>
      <c r="C45" s="176" t="str">
        <f>'Sum-NoCo11X17'!C44</f>
        <v>TO1</v>
      </c>
      <c r="D45" s="1196" t="str">
        <f>'Sum-NoCo11X17'!D44</f>
        <v>TO1</v>
      </c>
      <c r="E45" s="3928" t="s">
        <v>1371</v>
      </c>
      <c r="F45" s="3929"/>
      <c r="G45" s="3929"/>
      <c r="H45" s="3929"/>
      <c r="I45" s="3929"/>
      <c r="J45" s="3929"/>
      <c r="K45" s="3929"/>
      <c r="L45" s="3929"/>
      <c r="M45" s="3929"/>
      <c r="N45" s="3929"/>
      <c r="O45" s="3929"/>
      <c r="P45" s="3929"/>
      <c r="Q45" s="3929"/>
      <c r="R45" s="3930"/>
      <c r="S45" s="44"/>
    </row>
    <row r="46" spans="1:21" ht="44.25" customHeight="1">
      <c r="A46" s="36"/>
      <c r="B46" s="175" t="str">
        <f>'Sum-NoCo11X17'!B45</f>
        <v>Thermal Oxidizer</v>
      </c>
      <c r="C46" s="176" t="str">
        <f>'Sum-NoCo11X17'!C45</f>
        <v>TO2</v>
      </c>
      <c r="D46" s="1196" t="str">
        <f>'Sum-NoCo11X17'!D45</f>
        <v>TO2</v>
      </c>
      <c r="E46" s="3928" t="s">
        <v>1371</v>
      </c>
      <c r="F46" s="3929"/>
      <c r="G46" s="3929"/>
      <c r="H46" s="3929"/>
      <c r="I46" s="3929"/>
      <c r="J46" s="3929"/>
      <c r="K46" s="3929"/>
      <c r="L46" s="3929"/>
      <c r="M46" s="3929"/>
      <c r="N46" s="3929"/>
      <c r="O46" s="3929"/>
      <c r="P46" s="3929"/>
      <c r="Q46" s="3929"/>
      <c r="R46" s="3930"/>
      <c r="S46" s="44"/>
      <c r="T46" s="8"/>
    </row>
    <row r="47" spans="1:21" ht="44.25" customHeight="1">
      <c r="A47" s="36"/>
      <c r="B47" s="175" t="str">
        <f>'Sum-NoCo11X17'!B46</f>
        <v>Thermal Oxidizer</v>
      </c>
      <c r="C47" s="176" t="str">
        <f>'Sum-NoCo11X17'!C46</f>
        <v>TO3</v>
      </c>
      <c r="D47" s="1196" t="str">
        <f>'Sum-NoCo11X17'!D46</f>
        <v>TO3</v>
      </c>
      <c r="E47" s="3928" t="s">
        <v>1371</v>
      </c>
      <c r="F47" s="3929"/>
      <c r="G47" s="3929"/>
      <c r="H47" s="3929"/>
      <c r="I47" s="3929"/>
      <c r="J47" s="3929"/>
      <c r="K47" s="3929"/>
      <c r="L47" s="3929"/>
      <c r="M47" s="3929"/>
      <c r="N47" s="3929"/>
      <c r="O47" s="3929"/>
      <c r="P47" s="3929"/>
      <c r="Q47" s="3929"/>
      <c r="R47" s="3930"/>
      <c r="S47" s="44"/>
    </row>
    <row r="48" spans="1:21" ht="44.25" customHeight="1">
      <c r="A48" s="36"/>
      <c r="B48" s="175" t="str">
        <f>'Sum-NoCo11X17'!B47</f>
        <v>Fugitives</v>
      </c>
      <c r="C48" s="176" t="str">
        <f>'Sum-NoCo11X17'!C47</f>
        <v>FUG</v>
      </c>
      <c r="D48" s="1196" t="str">
        <f>'Sum-NoCo11X17'!D47</f>
        <v>FUG</v>
      </c>
      <c r="E48" s="1560" t="str">
        <f>'Sum-NoCo11X17'!E47</f>
        <v>--</v>
      </c>
      <c r="F48" s="575" t="str">
        <f>'Sum-NoCo11X17'!F47</f>
        <v>--</v>
      </c>
      <c r="G48" s="1560" t="str">
        <f>'Sum-NoCo11X17'!G47</f>
        <v>--</v>
      </c>
      <c r="H48" s="575" t="str">
        <f>'Sum-NoCo11X17'!H47</f>
        <v>--</v>
      </c>
      <c r="I48" s="1560">
        <f>Fugitive!G39</f>
        <v>88.63844276133257</v>
      </c>
      <c r="J48" s="575">
        <f>Fugitive!I39</f>
        <v>388.23637929463672</v>
      </c>
      <c r="K48" s="1560" t="str">
        <f>'Sum-NoCo11X17'!K47</f>
        <v>--</v>
      </c>
      <c r="L48" s="575" t="str">
        <f>'Sum-NoCo11X17'!L47</f>
        <v>--</v>
      </c>
      <c r="M48" s="1560" t="str">
        <f>'Sum-NoCo11X17'!M47</f>
        <v>--</v>
      </c>
      <c r="N48" s="575" t="str">
        <f>'Sum-NoCo11X17'!N47</f>
        <v>--</v>
      </c>
      <c r="O48" s="1560" t="str">
        <f>'Sum-NoCo11X17'!O47</f>
        <v>--</v>
      </c>
      <c r="P48" s="575" t="str">
        <f>'Sum-NoCo11X17'!P47</f>
        <v>--</v>
      </c>
      <c r="Q48" s="1560">
        <v>4.03</v>
      </c>
      <c r="R48" s="1472">
        <v>17.649999999999999</v>
      </c>
      <c r="S48" s="44"/>
    </row>
    <row r="49" spans="1:68" s="53" customFormat="1" ht="44.25" customHeight="1">
      <c r="A49" s="36"/>
      <c r="B49" s="175" t="str">
        <f>'Sum-NoCo11X17'!B48</f>
        <v>Storage Tank SSM Emissions</v>
      </c>
      <c r="C49" s="176" t="str">
        <f>'Sum-NoCo11X17'!C48</f>
        <v>SSM</v>
      </c>
      <c r="D49" s="1196" t="str">
        <f>'Sum-NoCo11X17'!D48</f>
        <v>SSM</v>
      </c>
      <c r="E49" s="1560" t="str">
        <f>'Sum-NoCo11X17'!E48</f>
        <v>--</v>
      </c>
      <c r="F49" s="575" t="str">
        <f>'Sum-NoCo11X17'!F48</f>
        <v>--</v>
      </c>
      <c r="G49" s="1560" t="str">
        <f>'Sum-NoCo11X17'!G48</f>
        <v>--</v>
      </c>
      <c r="H49" s="575" t="str">
        <f>'Sum-NoCo11X17'!H48</f>
        <v>--</v>
      </c>
      <c r="I49" s="1560" t="str">
        <f>'Sum-NoCo11X17'!I48</f>
        <v>--</v>
      </c>
      <c r="J49" s="575">
        <f>'Sum-NoCo11X17'!J48</f>
        <v>10</v>
      </c>
      <c r="K49" s="1560" t="str">
        <f>'Sum-NoCo11X17'!K48</f>
        <v>--</v>
      </c>
      <c r="L49" s="575" t="str">
        <f>'Sum-NoCo11X17'!L48</f>
        <v>--</v>
      </c>
      <c r="M49" s="1560" t="str">
        <f>'Sum-NoCo11X17'!M48</f>
        <v>--</v>
      </c>
      <c r="N49" s="575" t="str">
        <f>'Sum-NoCo11X17'!N48</f>
        <v>--</v>
      </c>
      <c r="O49" s="1560" t="str">
        <f>'Sum-NoCo11X17'!O48</f>
        <v>--</v>
      </c>
      <c r="P49" s="575" t="str">
        <f>'Sum-NoCo11X17'!P48</f>
        <v>--</v>
      </c>
      <c r="Q49" s="1560" t="str">
        <f>'Sum-NoCo11X17'!Q48</f>
        <v>--</v>
      </c>
      <c r="R49" s="1472" t="str">
        <f>'Sum-NoCo11X17'!R48</f>
        <v>--</v>
      </c>
      <c r="S49" s="44"/>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row>
    <row r="50" spans="1:68" ht="44.25" customHeight="1">
      <c r="A50" s="36"/>
      <c r="B50" s="175" t="str">
        <f>'Sum-NoCo11X17'!B49</f>
        <v>Haul Road Fugitives</v>
      </c>
      <c r="C50" s="176" t="str">
        <f>'Sum-NoCo11X17'!C49</f>
        <v>ROAD</v>
      </c>
      <c r="D50" s="1196" t="str">
        <f>'Sum-NoCo11X17'!D49</f>
        <v>ROAD</v>
      </c>
      <c r="E50" s="1560" t="str">
        <f>'Sum-NoCo11X17'!E49</f>
        <v>--</v>
      </c>
      <c r="F50" s="575" t="str">
        <f>'Sum-NoCo11X17'!F49</f>
        <v>--</v>
      </c>
      <c r="G50" s="1560" t="str">
        <f>'Sum-NoCo11X17'!G49</f>
        <v>--</v>
      </c>
      <c r="H50" s="575" t="str">
        <f>'Sum-NoCo11X17'!H49</f>
        <v>--</v>
      </c>
      <c r="I50" s="1560" t="str">
        <f>'Sum-NoCo11X17'!I49</f>
        <v>--</v>
      </c>
      <c r="J50" s="575" t="str">
        <f>'Sum-NoCo11X17'!J49</f>
        <v>--</v>
      </c>
      <c r="K50" s="1560" t="str">
        <f>'Sum-NoCo11X17'!K49</f>
        <v>--</v>
      </c>
      <c r="L50" s="575" t="str">
        <f>'Sum-NoCo11X17'!L49</f>
        <v>--</v>
      </c>
      <c r="M50" s="1560">
        <f>'Sum-NoCo11X17'!M49</f>
        <v>2.7556902133370476</v>
      </c>
      <c r="N50" s="575">
        <f>'Sum-NoCo11X17'!N49</f>
        <v>8.8254079636430482</v>
      </c>
      <c r="O50" s="1560">
        <f>'Sum-NoCo11X17'!O49</f>
        <v>0.70232409971011567</v>
      </c>
      <c r="P50" s="575">
        <f>'Sum-NoCo11X17'!P49</f>
        <v>2.2492719510493018</v>
      </c>
      <c r="Q50" s="1560" t="str">
        <f>'Sum-NoCo11X17'!Q49</f>
        <v>--</v>
      </c>
      <c r="R50" s="1472" t="str">
        <f>'Sum-NoCo11X17'!R49</f>
        <v>--</v>
      </c>
      <c r="S50" s="44"/>
    </row>
    <row r="51" spans="1:68" s="53" customFormat="1" ht="44.25" customHeight="1">
      <c r="A51" s="36"/>
      <c r="B51" s="175" t="str">
        <f>'Sum-NoCo11X17'!B50</f>
        <v>Produced Water Tank 1</v>
      </c>
      <c r="C51" s="176" t="str">
        <f>'Sum-NoCo11X17'!C50</f>
        <v>PWTK1</v>
      </c>
      <c r="D51" s="1196" t="str">
        <f>'Sum-NoCo11X17'!D50</f>
        <v>PWTK1</v>
      </c>
      <c r="E51" s="1289" t="s">
        <v>445</v>
      </c>
      <c r="F51" s="1290" t="s">
        <v>445</v>
      </c>
      <c r="G51" s="1289" t="s">
        <v>445</v>
      </c>
      <c r="H51" s="1290" t="s">
        <v>445</v>
      </c>
      <c r="I51" s="1560">
        <f>'Tank Summary'!L21</f>
        <v>2.360259684389519E-3</v>
      </c>
      <c r="J51" s="576">
        <f>'Tank Summary'!M21</f>
        <v>1.0337937417626092E-2</v>
      </c>
      <c r="K51" s="1289" t="s">
        <v>445</v>
      </c>
      <c r="L51" s="1290" t="s">
        <v>445</v>
      </c>
      <c r="M51" s="1289" t="s">
        <v>445</v>
      </c>
      <c r="N51" s="1290" t="s">
        <v>445</v>
      </c>
      <c r="O51" s="1289" t="s">
        <v>445</v>
      </c>
      <c r="P51" s="1290" t="s">
        <v>445</v>
      </c>
      <c r="Q51" s="1289" t="s">
        <v>445</v>
      </c>
      <c r="R51" s="1563" t="s">
        <v>445</v>
      </c>
      <c r="S51" s="44"/>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row>
    <row r="52" spans="1:68" ht="44.25" customHeight="1">
      <c r="A52" s="36"/>
      <c r="B52" s="175" t="str">
        <f>'Sum-NoCo11X17'!B51</f>
        <v>Produced Water Tank 2</v>
      </c>
      <c r="C52" s="176" t="str">
        <f>'Sum-NoCo11X17'!C51</f>
        <v>PWTK2</v>
      </c>
      <c r="D52" s="1196" t="str">
        <f>'Sum-NoCo11X17'!D51</f>
        <v>PWTK2</v>
      </c>
      <c r="E52" s="1289" t="s">
        <v>445</v>
      </c>
      <c r="F52" s="1290" t="s">
        <v>445</v>
      </c>
      <c r="G52" s="1289" t="s">
        <v>445</v>
      </c>
      <c r="H52" s="1290" t="s">
        <v>445</v>
      </c>
      <c r="I52" s="1560">
        <f>I51</f>
        <v>2.360259684389519E-3</v>
      </c>
      <c r="J52" s="576">
        <f>J51</f>
        <v>1.0337937417626092E-2</v>
      </c>
      <c r="K52" s="1289" t="s">
        <v>445</v>
      </c>
      <c r="L52" s="1290" t="s">
        <v>445</v>
      </c>
      <c r="M52" s="1289" t="s">
        <v>445</v>
      </c>
      <c r="N52" s="1290" t="s">
        <v>445</v>
      </c>
      <c r="O52" s="1289" t="s">
        <v>445</v>
      </c>
      <c r="P52" s="1290" t="s">
        <v>445</v>
      </c>
      <c r="Q52" s="1289" t="s">
        <v>445</v>
      </c>
      <c r="R52" s="1563" t="s">
        <v>445</v>
      </c>
      <c r="S52" s="44"/>
    </row>
    <row r="53" spans="1:68" s="53" customFormat="1" ht="44.25" customHeight="1">
      <c r="A53" s="36"/>
      <c r="B53" s="175" t="str">
        <f>'Sum-NoCo11X17'!B52</f>
        <v>Produced Water Loading</v>
      </c>
      <c r="C53" s="176" t="str">
        <f>'Sum-NoCo11X17'!C52</f>
        <v>PWTL</v>
      </c>
      <c r="D53" s="1196" t="str">
        <f>'Sum-NoCo11X17'!D52</f>
        <v>PWTL</v>
      </c>
      <c r="E53" s="1560" t="str">
        <f>'Sum-NoCo11X17'!E52</f>
        <v>--</v>
      </c>
      <c r="F53" s="575" t="str">
        <f>'Sum-NoCo11X17'!F52</f>
        <v>--</v>
      </c>
      <c r="G53" s="1560" t="str">
        <f>'Sum-NoCo11X17'!G52</f>
        <v>--</v>
      </c>
      <c r="H53" s="575" t="str">
        <f>'Sum-NoCo11X17'!H52</f>
        <v>--</v>
      </c>
      <c r="I53" s="1560">
        <f>'Sum-NoCo11X17'!I52</f>
        <v>0.39339345182963747</v>
      </c>
      <c r="J53" s="575">
        <f>'Sum-NoCo11X17'!J52</f>
        <v>2.4902276270262185</v>
      </c>
      <c r="K53" s="1560" t="str">
        <f>'Sum-NoCo11X17'!K52</f>
        <v>--</v>
      </c>
      <c r="L53" s="575" t="str">
        <f>'Sum-NoCo11X17'!L52</f>
        <v>--</v>
      </c>
      <c r="M53" s="1560" t="str">
        <f>'Sum-NoCo11X17'!M52</f>
        <v>--</v>
      </c>
      <c r="N53" s="575" t="str">
        <f>'Sum-NoCo11X17'!N52</f>
        <v>--</v>
      </c>
      <c r="O53" s="1560" t="str">
        <f>'Sum-NoCo11X17'!O52</f>
        <v>--</v>
      </c>
      <c r="P53" s="575" t="str">
        <f>'Sum-NoCo11X17'!P52</f>
        <v>--</v>
      </c>
      <c r="Q53" s="1560">
        <f>'Sum-NoCo11X17'!Q52</f>
        <v>1.1042554192857925E-3</v>
      </c>
      <c r="R53" s="1472">
        <f>'Sum-NoCo11X17'!R52</f>
        <v>6.9900689490625953E-3</v>
      </c>
      <c r="S53" s="44"/>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row>
    <row r="54" spans="1:68" s="53" customFormat="1" ht="44.25" customHeight="1">
      <c r="A54" s="36"/>
      <c r="B54" s="175" t="str">
        <f>'Sum-NoCo11X17'!B53</f>
        <v>Slop Oil Loading</v>
      </c>
      <c r="C54" s="176" t="str">
        <f>'Sum-NoCo11X17'!C53</f>
        <v>OTL</v>
      </c>
      <c r="D54" s="1196" t="str">
        <f>'Sum-NoCo11X17'!D53</f>
        <v>OTL</v>
      </c>
      <c r="E54" s="1560" t="str">
        <f>'Sum-NoCo11X17'!E53</f>
        <v>--</v>
      </c>
      <c r="F54" s="575" t="str">
        <f>'Sum-NoCo11X17'!F53</f>
        <v>--</v>
      </c>
      <c r="G54" s="1560" t="str">
        <f>'Sum-NoCo11X17'!G53</f>
        <v>--</v>
      </c>
      <c r="H54" s="575" t="str">
        <f>'Sum-NoCo11X17'!H53</f>
        <v>--</v>
      </c>
      <c r="I54" s="1560">
        <f>'Load-Slop Oil'!F34*'Load-Slop Oil'!I20/100</f>
        <v>54.47067380149624</v>
      </c>
      <c r="J54" s="575">
        <f>'Load-Slop Oil'!G34*'Load-Slop Oil'!I20/100</f>
        <v>10.321550971628724</v>
      </c>
      <c r="K54" s="1560" t="str">
        <f>'Sum-NoCo11X17'!K53</f>
        <v>--</v>
      </c>
      <c r="L54" s="575" t="str">
        <f>'Sum-NoCo11X17'!L53</f>
        <v>--</v>
      </c>
      <c r="M54" s="1560" t="str">
        <f>'Sum-NoCo11X17'!M53</f>
        <v>--</v>
      </c>
      <c r="N54" s="575" t="str">
        <f>'Sum-NoCo11X17'!N53</f>
        <v>--</v>
      </c>
      <c r="O54" s="1560" t="str">
        <f>'Sum-NoCo11X17'!O53</f>
        <v>--</v>
      </c>
      <c r="P54" s="575" t="str">
        <f>'Sum-NoCo11X17'!P53</f>
        <v>--</v>
      </c>
      <c r="Q54" s="1560">
        <f>'Load-Slop Oil'!F38</f>
        <v>1.6636182131504844</v>
      </c>
      <c r="R54" s="1472">
        <f>'Load-Slop Oil'!G38</f>
        <v>0.31523605246628983</v>
      </c>
      <c r="S54" s="44"/>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row>
    <row r="55" spans="1:68" s="53" customFormat="1" ht="44.25" customHeight="1">
      <c r="A55" s="36"/>
      <c r="B55" s="175" t="str">
        <f>'Sum-NoCo11X17'!B54</f>
        <v>Amine Unit 1</v>
      </c>
      <c r="C55" s="176" t="str">
        <f>'Sum-NoCo11X17'!C54</f>
        <v>AU1</v>
      </c>
      <c r="D55" s="1196" t="str">
        <f>'Sum-NoCo11X17'!D54</f>
        <v>AU1</v>
      </c>
      <c r="E55" s="1289" t="s">
        <v>445</v>
      </c>
      <c r="F55" s="1290" t="s">
        <v>445</v>
      </c>
      <c r="G55" s="1289" t="s">
        <v>445</v>
      </c>
      <c r="H55" s="1290" t="s">
        <v>445</v>
      </c>
      <c r="I55" s="1560">
        <f>'TO Hrly (TO1-TO3)'!F32</f>
        <v>62.455189452722529</v>
      </c>
      <c r="J55" s="575">
        <f>'TO Ann (TO1-TO3)'!F32</f>
        <v>273.55372980292469</v>
      </c>
      <c r="K55" s="1289" t="s">
        <v>445</v>
      </c>
      <c r="L55" s="1290" t="s">
        <v>445</v>
      </c>
      <c r="M55" s="1289" t="s">
        <v>445</v>
      </c>
      <c r="N55" s="1290" t="s">
        <v>445</v>
      </c>
      <c r="O55" s="1289" t="s">
        <v>445</v>
      </c>
      <c r="P55" s="1290" t="s">
        <v>445</v>
      </c>
      <c r="Q55" s="1289" t="s">
        <v>445</v>
      </c>
      <c r="R55" s="1562" t="s">
        <v>445</v>
      </c>
      <c r="S55" s="44"/>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row>
    <row r="56" spans="1:68" s="53" customFormat="1" ht="44.25" customHeight="1">
      <c r="A56" s="36"/>
      <c r="B56" s="175" t="str">
        <f>'Sum-NoCo11X17'!B55</f>
        <v>Amine Unit 2</v>
      </c>
      <c r="C56" s="176" t="str">
        <f>'Sum-NoCo11X17'!C55</f>
        <v>AU2</v>
      </c>
      <c r="D56" s="1196" t="str">
        <f>'Sum-NoCo11X17'!D55</f>
        <v>AU2</v>
      </c>
      <c r="E56" s="1289" t="s">
        <v>445</v>
      </c>
      <c r="F56" s="1290" t="s">
        <v>445</v>
      </c>
      <c r="G56" s="1289" t="s">
        <v>445</v>
      </c>
      <c r="H56" s="1290" t="s">
        <v>445</v>
      </c>
      <c r="I56" s="1560">
        <f>I55</f>
        <v>62.455189452722529</v>
      </c>
      <c r="J56" s="575">
        <f>J55</f>
        <v>273.55372980292469</v>
      </c>
      <c r="K56" s="1289" t="s">
        <v>445</v>
      </c>
      <c r="L56" s="1290" t="s">
        <v>445</v>
      </c>
      <c r="M56" s="1289" t="s">
        <v>445</v>
      </c>
      <c r="N56" s="1290" t="s">
        <v>445</v>
      </c>
      <c r="O56" s="1289" t="s">
        <v>445</v>
      </c>
      <c r="P56" s="1290" t="s">
        <v>445</v>
      </c>
      <c r="Q56" s="1289" t="s">
        <v>445</v>
      </c>
      <c r="R56" s="1563" t="s">
        <v>445</v>
      </c>
      <c r="S56" s="44"/>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row>
    <row r="57" spans="1:68" s="53" customFormat="1" ht="44.25" customHeight="1">
      <c r="A57" s="36"/>
      <c r="B57" s="175" t="str">
        <f>'Sum-NoCo11X17'!B56</f>
        <v>Amine Unit 3</v>
      </c>
      <c r="C57" s="176" t="str">
        <f>'Sum-NoCo11X17'!C56</f>
        <v>AU3</v>
      </c>
      <c r="D57" s="1196" t="str">
        <f>'Sum-NoCo11X17'!D56</f>
        <v>AU3</v>
      </c>
      <c r="E57" s="1289" t="s">
        <v>445</v>
      </c>
      <c r="F57" s="1290" t="s">
        <v>445</v>
      </c>
      <c r="G57" s="1289" t="s">
        <v>445</v>
      </c>
      <c r="H57" s="1290" t="s">
        <v>445</v>
      </c>
      <c r="I57" s="1560">
        <f>I55</f>
        <v>62.455189452722529</v>
      </c>
      <c r="J57" s="575">
        <f>J55</f>
        <v>273.55372980292469</v>
      </c>
      <c r="K57" s="1289" t="s">
        <v>445</v>
      </c>
      <c r="L57" s="1290" t="s">
        <v>445</v>
      </c>
      <c r="M57" s="1289" t="s">
        <v>445</v>
      </c>
      <c r="N57" s="1290" t="s">
        <v>445</v>
      </c>
      <c r="O57" s="1289" t="s">
        <v>445</v>
      </c>
      <c r="P57" s="1290" t="s">
        <v>445</v>
      </c>
      <c r="Q57" s="1289" t="s">
        <v>445</v>
      </c>
      <c r="R57" s="1563" t="s">
        <v>445</v>
      </c>
      <c r="S57" s="44"/>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row>
    <row r="58" spans="1:68" s="53" customFormat="1" ht="44.25" customHeight="1">
      <c r="A58" s="36"/>
      <c r="B58" s="175" t="str">
        <f>'Sum-NoCo11X17'!B57</f>
        <v>Gunbarrel Tank</v>
      </c>
      <c r="C58" s="176" t="str">
        <f>'Sum-NoCo11X17'!C57</f>
        <v>GBS1</v>
      </c>
      <c r="D58" s="1196" t="str">
        <f>'Sum-NoCo11X17'!D57</f>
        <v>GBS1</v>
      </c>
      <c r="E58" s="1289" t="s">
        <v>445</v>
      </c>
      <c r="F58" s="1290" t="s">
        <v>445</v>
      </c>
      <c r="G58" s="1289" t="s">
        <v>445</v>
      </c>
      <c r="H58" s="1290" t="s">
        <v>445</v>
      </c>
      <c r="I58" s="1560">
        <f>'Tank Summary'!L23</f>
        <v>229.80658100387194</v>
      </c>
      <c r="J58" s="576">
        <f>'Tank Summary'!M23</f>
        <v>1006.5528247969593</v>
      </c>
      <c r="K58" s="1289" t="s">
        <v>445</v>
      </c>
      <c r="L58" s="1290" t="s">
        <v>445</v>
      </c>
      <c r="M58" s="1289" t="s">
        <v>445</v>
      </c>
      <c r="N58" s="1290" t="s">
        <v>445</v>
      </c>
      <c r="O58" s="1289" t="s">
        <v>445</v>
      </c>
      <c r="P58" s="1290" t="s">
        <v>445</v>
      </c>
      <c r="Q58" s="1289" t="s">
        <v>445</v>
      </c>
      <c r="R58" s="1563" t="s">
        <v>445</v>
      </c>
      <c r="S58" s="44"/>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row>
    <row r="59" spans="1:68" ht="44.25" customHeight="1" thickBot="1">
      <c r="A59" s="36"/>
      <c r="B59" s="1566" t="str">
        <f>'Sum-NoCo11X17'!B58</f>
        <v>Slop Oil Tank</v>
      </c>
      <c r="C59" s="1567" t="str">
        <f>'Sum-NoCo11X17'!C58</f>
        <v>OTK7</v>
      </c>
      <c r="D59" s="1568" t="str">
        <f>'Sum-NoCo11X17'!D58</f>
        <v>OTK7</v>
      </c>
      <c r="E59" s="1569" t="s">
        <v>445</v>
      </c>
      <c r="F59" s="1570" t="s">
        <v>445</v>
      </c>
      <c r="G59" s="1569" t="s">
        <v>445</v>
      </c>
      <c r="H59" s="1570" t="s">
        <v>445</v>
      </c>
      <c r="I59" s="1507">
        <f>'Tank Summary'!L24</f>
        <v>23.205544762405538</v>
      </c>
      <c r="J59" s="1571">
        <f>'Tank Summary'!M24</f>
        <v>101.64028605933626</v>
      </c>
      <c r="K59" s="1569" t="s">
        <v>445</v>
      </c>
      <c r="L59" s="1570" t="s">
        <v>445</v>
      </c>
      <c r="M59" s="1569" t="s">
        <v>445</v>
      </c>
      <c r="N59" s="1570" t="s">
        <v>445</v>
      </c>
      <c r="O59" s="1569" t="s">
        <v>445</v>
      </c>
      <c r="P59" s="1570" t="s">
        <v>445</v>
      </c>
      <c r="Q59" s="1569" t="s">
        <v>445</v>
      </c>
      <c r="R59" s="1572" t="s">
        <v>445</v>
      </c>
      <c r="S59" s="44"/>
    </row>
    <row r="60" spans="1:68" ht="24" customHeight="1" thickBot="1">
      <c r="A60" s="36"/>
      <c r="B60" s="180"/>
      <c r="C60" s="180"/>
      <c r="D60" s="180"/>
      <c r="E60" s="181"/>
      <c r="F60" s="181"/>
      <c r="G60" s="181"/>
      <c r="H60" s="182"/>
      <c r="I60" s="182"/>
      <c r="J60" s="182"/>
      <c r="K60" s="182"/>
      <c r="L60" s="182"/>
      <c r="M60" s="182"/>
      <c r="N60" s="182"/>
      <c r="O60" s="182"/>
      <c r="P60" s="182"/>
      <c r="Q60" s="182"/>
      <c r="R60" s="182"/>
      <c r="S60" s="44"/>
    </row>
    <row r="61" spans="1:68" s="9" customFormat="1" ht="42" customHeight="1">
      <c r="A61" s="23"/>
      <c r="B61" s="3952" t="s">
        <v>64</v>
      </c>
      <c r="C61" s="3958"/>
      <c r="D61" s="3955"/>
      <c r="E61" s="3952" t="s">
        <v>21</v>
      </c>
      <c r="F61" s="3955"/>
      <c r="G61" s="3952" t="s">
        <v>0</v>
      </c>
      <c r="H61" s="3953"/>
      <c r="I61" s="3950" t="s">
        <v>283</v>
      </c>
      <c r="J61" s="3951"/>
      <c r="K61" s="3952" t="s">
        <v>284</v>
      </c>
      <c r="L61" s="3953"/>
      <c r="M61" s="3952" t="s">
        <v>285</v>
      </c>
      <c r="N61" s="3953"/>
      <c r="O61" s="3954" t="s">
        <v>285</v>
      </c>
      <c r="P61" s="3955"/>
      <c r="Q61" s="3952" t="s">
        <v>15</v>
      </c>
      <c r="R61" s="3953"/>
      <c r="S61" s="24"/>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row>
    <row r="62" spans="1:68" s="9" customFormat="1" ht="26.25" customHeight="1">
      <c r="A62" s="23"/>
      <c r="B62" s="3959"/>
      <c r="C62" s="3960"/>
      <c r="D62" s="3961"/>
      <c r="E62" s="183" t="s">
        <v>22</v>
      </c>
      <c r="F62" s="184" t="s">
        <v>37</v>
      </c>
      <c r="G62" s="183" t="s">
        <v>22</v>
      </c>
      <c r="H62" s="185" t="s">
        <v>37</v>
      </c>
      <c r="I62" s="186" t="s">
        <v>22</v>
      </c>
      <c r="J62" s="184" t="s">
        <v>37</v>
      </c>
      <c r="K62" s="183" t="s">
        <v>22</v>
      </c>
      <c r="L62" s="185" t="s">
        <v>37</v>
      </c>
      <c r="M62" s="1407" t="s">
        <v>22</v>
      </c>
      <c r="N62" s="1408" t="s">
        <v>37</v>
      </c>
      <c r="O62" s="186" t="s">
        <v>22</v>
      </c>
      <c r="P62" s="184" t="s">
        <v>37</v>
      </c>
      <c r="Q62" s="183" t="s">
        <v>22</v>
      </c>
      <c r="R62" s="185" t="s">
        <v>37</v>
      </c>
      <c r="S62" s="24"/>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row>
    <row r="63" spans="1:68" s="9" customFormat="1" ht="44.25" customHeight="1" thickBot="1">
      <c r="A63" s="23"/>
      <c r="B63" s="3962"/>
      <c r="C63" s="3963"/>
      <c r="D63" s="3964"/>
      <c r="E63" s="187">
        <f>SUM(E13:E59)</f>
        <v>34.326443999999995</v>
      </c>
      <c r="F63" s="188">
        <f>SUM(F13:F59)</f>
        <v>150.34982471999996</v>
      </c>
      <c r="G63" s="187">
        <f t="shared" ref="G63:P63" si="1">SUM(G13:G59)</f>
        <v>19.679805000000002</v>
      </c>
      <c r="H63" s="188">
        <f t="shared" si="1"/>
        <v>86.197545899999994</v>
      </c>
      <c r="I63" s="187">
        <f t="shared" si="1"/>
        <v>746.88097783277522</v>
      </c>
      <c r="J63" s="188">
        <f t="shared" si="1"/>
        <v>3053.8458469366428</v>
      </c>
      <c r="K63" s="187">
        <f t="shared" si="1"/>
        <v>2.6632720588235288</v>
      </c>
      <c r="L63" s="188">
        <f t="shared" si="1"/>
        <v>11.665131617647059</v>
      </c>
      <c r="M63" s="187">
        <f t="shared" si="1"/>
        <v>11.751631389807633</v>
      </c>
      <c r="N63" s="188">
        <f t="shared" si="1"/>
        <v>48.227630316584225</v>
      </c>
      <c r="O63" s="187">
        <f t="shared" si="1"/>
        <v>9.6982652761807024</v>
      </c>
      <c r="P63" s="188">
        <f t="shared" si="1"/>
        <v>41.651494303990475</v>
      </c>
      <c r="Q63" s="187">
        <f>SUM(Q13:Q58)</f>
        <v>8.1930607054379472</v>
      </c>
      <c r="R63" s="1561">
        <f>SUM(R13:R58)</f>
        <v>28.914947598897971</v>
      </c>
      <c r="S63" s="24"/>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row>
    <row r="64" spans="1:68" ht="27.75" customHeight="1" thickBot="1">
      <c r="A64" s="31"/>
      <c r="B64" s="3956"/>
      <c r="C64" s="3956"/>
      <c r="D64" s="3956"/>
      <c r="E64" s="3956"/>
      <c r="F64" s="3956"/>
      <c r="G64" s="3956"/>
      <c r="H64" s="3956"/>
      <c r="I64" s="3956"/>
      <c r="J64" s="3956"/>
      <c r="K64" s="3956"/>
      <c r="L64" s="3956"/>
      <c r="M64" s="3957"/>
      <c r="N64" s="3957"/>
      <c r="O64" s="3956"/>
      <c r="P64" s="3956"/>
      <c r="Q64" s="3956"/>
      <c r="R64" s="3956"/>
      <c r="S64" s="40"/>
    </row>
    <row r="65" spans="2:18">
      <c r="B65" s="6"/>
      <c r="C65" s="6"/>
      <c r="D65" s="6"/>
      <c r="E65" s="6"/>
      <c r="F65" s="6"/>
      <c r="G65" s="6"/>
      <c r="H65" s="6"/>
      <c r="I65" s="6"/>
      <c r="J65" s="6"/>
      <c r="K65" s="6"/>
      <c r="L65" s="6"/>
      <c r="M65" s="5"/>
      <c r="N65" s="5"/>
      <c r="O65" s="5"/>
      <c r="P65" s="5"/>
      <c r="Q65" s="5"/>
      <c r="R65" s="5"/>
    </row>
    <row r="68" spans="2:18">
      <c r="J68" s="8"/>
      <c r="K68" s="8"/>
    </row>
    <row r="71" spans="2:18">
      <c r="M71" s="8"/>
      <c r="O71" s="8"/>
      <c r="R71" s="199"/>
    </row>
    <row r="72" spans="2:18">
      <c r="R72" s="199"/>
    </row>
    <row r="73" spans="2:18">
      <c r="R73" s="199"/>
    </row>
    <row r="74" spans="2:18">
      <c r="J74" s="8"/>
      <c r="R74" s="199"/>
    </row>
    <row r="75" spans="2:18">
      <c r="E75" s="8"/>
      <c r="F75" s="8"/>
      <c r="G75" s="8"/>
      <c r="H75" s="8"/>
      <c r="I75" s="8"/>
      <c r="J75" s="8"/>
      <c r="K75" s="8"/>
      <c r="L75" s="8"/>
      <c r="M75" s="8"/>
      <c r="N75" s="8"/>
      <c r="O75" s="8"/>
      <c r="P75" s="8"/>
      <c r="Q75" s="8"/>
      <c r="R75" s="199"/>
    </row>
    <row r="76" spans="2:18">
      <c r="J76" s="8"/>
      <c r="K76" s="8"/>
      <c r="R76" s="199"/>
    </row>
    <row r="77" spans="2:18">
      <c r="J77" s="8"/>
      <c r="K77" s="8"/>
      <c r="R77" s="8"/>
    </row>
    <row r="78" spans="2:18">
      <c r="J78" s="8"/>
      <c r="K78" s="8"/>
    </row>
    <row r="81" spans="9:18">
      <c r="I81" s="8"/>
      <c r="J81" s="8"/>
      <c r="Q81" s="8"/>
      <c r="R81" s="8"/>
    </row>
  </sheetData>
  <mergeCells count="30">
    <mergeCell ref="M61:N61"/>
    <mergeCell ref="O61:P61"/>
    <mergeCell ref="Q61:R61"/>
    <mergeCell ref="B64:R64"/>
    <mergeCell ref="E33:R33"/>
    <mergeCell ref="E44:R44"/>
    <mergeCell ref="E45:R45"/>
    <mergeCell ref="E46:R46"/>
    <mergeCell ref="E47:R47"/>
    <mergeCell ref="B61:D63"/>
    <mergeCell ref="E61:F61"/>
    <mergeCell ref="G61:H61"/>
    <mergeCell ref="I61:J61"/>
    <mergeCell ref="K61:L61"/>
    <mergeCell ref="E32:R32"/>
    <mergeCell ref="B3:R3"/>
    <mergeCell ref="B4:R4"/>
    <mergeCell ref="B5:R5"/>
    <mergeCell ref="A9:S9"/>
    <mergeCell ref="B11:B12"/>
    <mergeCell ref="C11:C12"/>
    <mergeCell ref="D11:D12"/>
    <mergeCell ref="E11:F11"/>
    <mergeCell ref="G11:H11"/>
    <mergeCell ref="I11:J11"/>
    <mergeCell ref="K11:L11"/>
    <mergeCell ref="M11:N11"/>
    <mergeCell ref="O11:P11"/>
    <mergeCell ref="Q11:R11"/>
    <mergeCell ref="E31:R31"/>
  </mergeCells>
  <printOptions horizontalCentered="1"/>
  <pageMargins left="0.25" right="0.25" top="0.5" bottom="0.5" header="0.3" footer="0.3"/>
  <pageSetup paperSize="17" scale="54" fitToHeight="2" orientation="landscape" r:id="rId1"/>
  <headerFooter alignWithMargins="0">
    <oddFooter>&amp;CCalculations: Page &amp;P</oddFooter>
  </headerFooter>
  <rowBreaks count="1" manualBreakCount="1">
    <brk id="36"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5">
    <tabColor rgb="FF00B050"/>
    <pageSetUpPr fitToPage="1"/>
  </sheetPr>
  <dimension ref="A1:BT83"/>
  <sheetViews>
    <sheetView view="pageBreakPreview" zoomScale="57" zoomScaleNormal="50" zoomScaleSheetLayoutView="57" zoomScalePageLayoutView="55" workbookViewId="0">
      <selection activeCell="U46" sqref="A46:U46"/>
    </sheetView>
  </sheetViews>
  <sheetFormatPr defaultColWidth="9.36328125" defaultRowHeight="13"/>
  <cols>
    <col min="1" max="1" width="3.6328125" style="38" customWidth="1"/>
    <col min="2" max="2" width="69.453125" style="38" customWidth="1"/>
    <col min="3" max="4" width="15.36328125" style="38" customWidth="1"/>
    <col min="5" max="18" width="13.453125" style="38" customWidth="1"/>
    <col min="19" max="20" width="10.36328125" style="38" customWidth="1"/>
    <col min="21" max="21" width="3.6328125" style="38" customWidth="1"/>
    <col min="22" max="22" width="9.36328125" style="38"/>
    <col min="23" max="23" width="23.6328125" style="38" customWidth="1"/>
    <col min="24" max="16384" width="9.36328125" style="38"/>
  </cols>
  <sheetData>
    <row r="1" spans="1:23" ht="13.5" thickBot="1"/>
    <row r="2" spans="1:23" ht="20.25" customHeight="1" thickBot="1">
      <c r="A2" s="33"/>
      <c r="B2" s="34"/>
      <c r="C2" s="34"/>
      <c r="D2" s="34"/>
      <c r="E2" s="34"/>
      <c r="F2" s="34"/>
      <c r="G2" s="34"/>
      <c r="H2" s="34"/>
      <c r="I2" s="34"/>
      <c r="J2" s="34"/>
      <c r="K2" s="34"/>
      <c r="L2" s="34"/>
      <c r="M2" s="34"/>
      <c r="N2" s="34"/>
      <c r="O2" s="34"/>
      <c r="P2" s="34"/>
      <c r="Q2" s="34"/>
      <c r="R2" s="34"/>
      <c r="S2" s="34"/>
      <c r="T2" s="34"/>
      <c r="U2" s="32"/>
    </row>
    <row r="3" spans="1:23" s="2" customFormat="1" ht="36"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3" s="2" customFormat="1" ht="36" customHeight="1">
      <c r="A4" s="54"/>
      <c r="B4" s="3933" t="s">
        <v>634</v>
      </c>
      <c r="C4" s="3934"/>
      <c r="D4" s="3934"/>
      <c r="E4" s="3934"/>
      <c r="F4" s="3934"/>
      <c r="G4" s="3934"/>
      <c r="H4" s="3934"/>
      <c r="I4" s="3934"/>
      <c r="J4" s="3934"/>
      <c r="K4" s="3934"/>
      <c r="L4" s="3934"/>
      <c r="M4" s="3934"/>
      <c r="N4" s="3934"/>
      <c r="O4" s="3934"/>
      <c r="P4" s="3934"/>
      <c r="Q4" s="3934"/>
      <c r="R4" s="3934"/>
      <c r="S4" s="3934"/>
      <c r="T4" s="3968"/>
      <c r="U4" s="22"/>
    </row>
    <row r="5" spans="1:23" s="2" customFormat="1" ht="36" customHeight="1" thickBot="1">
      <c r="A5" s="54"/>
      <c r="B5" s="3969" t="s">
        <v>1362</v>
      </c>
      <c r="C5" s="3970"/>
      <c r="D5" s="3970"/>
      <c r="E5" s="3970"/>
      <c r="F5" s="3970"/>
      <c r="G5" s="3970"/>
      <c r="H5" s="3970"/>
      <c r="I5" s="3970"/>
      <c r="J5" s="3970"/>
      <c r="K5" s="3970"/>
      <c r="L5" s="3970"/>
      <c r="M5" s="3970"/>
      <c r="N5" s="3970"/>
      <c r="O5" s="3970"/>
      <c r="P5" s="3970"/>
      <c r="Q5" s="3970"/>
      <c r="R5" s="3970"/>
      <c r="S5" s="3970"/>
      <c r="T5" s="3971"/>
      <c r="U5" s="22"/>
    </row>
    <row r="6" spans="1:23" ht="21" customHeight="1" thickBot="1">
      <c r="A6" s="31"/>
      <c r="B6" s="25"/>
      <c r="C6" s="25"/>
      <c r="D6" s="25"/>
      <c r="E6" s="25"/>
      <c r="F6" s="25"/>
      <c r="G6" s="25"/>
      <c r="H6" s="25"/>
      <c r="I6" s="25"/>
      <c r="J6" s="25"/>
      <c r="K6" s="25"/>
      <c r="L6" s="25"/>
      <c r="M6" s="25"/>
      <c r="N6" s="25"/>
      <c r="O6" s="25"/>
      <c r="P6" s="25"/>
      <c r="Q6" s="25"/>
      <c r="R6" s="25"/>
      <c r="S6" s="25"/>
      <c r="T6" s="25"/>
      <c r="U6" s="40"/>
    </row>
    <row r="7" spans="1:23" ht="26.15" customHeight="1" thickBot="1">
      <c r="B7" s="4"/>
      <c r="C7" s="4"/>
      <c r="D7" s="4"/>
      <c r="E7" s="4"/>
      <c r="F7" s="4"/>
      <c r="G7" s="4"/>
      <c r="H7" s="4"/>
      <c r="I7" s="4"/>
      <c r="J7" s="4"/>
      <c r="K7" s="4"/>
      <c r="L7" s="4"/>
      <c r="M7" s="4"/>
      <c r="N7" s="4"/>
      <c r="O7" s="4"/>
      <c r="P7" s="4"/>
      <c r="Q7" s="4"/>
      <c r="R7" s="4"/>
      <c r="S7" s="4"/>
      <c r="T7" s="4"/>
    </row>
    <row r="8" spans="1:23" ht="32.25" customHeight="1" thickBot="1">
      <c r="A8" s="3937" t="s">
        <v>309</v>
      </c>
      <c r="B8" s="3938"/>
      <c r="C8" s="3938"/>
      <c r="D8" s="3938"/>
      <c r="E8" s="3938"/>
      <c r="F8" s="3938"/>
      <c r="G8" s="3938"/>
      <c r="H8" s="3938"/>
      <c r="I8" s="3938"/>
      <c r="J8" s="3938"/>
      <c r="K8" s="3938"/>
      <c r="L8" s="3938"/>
      <c r="M8" s="3938"/>
      <c r="N8" s="3938"/>
      <c r="O8" s="3938"/>
      <c r="P8" s="3938"/>
      <c r="Q8" s="3938"/>
      <c r="R8" s="3938"/>
      <c r="S8" s="3938"/>
      <c r="T8" s="3938"/>
      <c r="U8" s="3939"/>
    </row>
    <row r="9" spans="1:23" ht="24" customHeight="1" thickBot="1">
      <c r="A9" s="33"/>
      <c r="B9" s="34"/>
      <c r="C9" s="34"/>
      <c r="D9" s="34"/>
      <c r="E9" s="34"/>
      <c r="F9" s="34"/>
      <c r="G9" s="34"/>
      <c r="H9" s="34"/>
      <c r="I9" s="34"/>
      <c r="J9" s="34"/>
      <c r="K9" s="34"/>
      <c r="L9" s="34"/>
      <c r="M9" s="34"/>
      <c r="N9" s="34"/>
      <c r="O9" s="34"/>
      <c r="P9" s="34"/>
      <c r="Q9" s="34"/>
      <c r="R9" s="34"/>
      <c r="S9" s="34"/>
      <c r="T9" s="34"/>
      <c r="U9" s="32"/>
    </row>
    <row r="10" spans="1:23" ht="42" customHeight="1">
      <c r="A10" s="36"/>
      <c r="B10" s="3940" t="s">
        <v>91</v>
      </c>
      <c r="C10" s="3942" t="s">
        <v>1385</v>
      </c>
      <c r="D10" s="3944" t="s">
        <v>556</v>
      </c>
      <c r="E10" s="3946" t="s">
        <v>21</v>
      </c>
      <c r="F10" s="3947"/>
      <c r="G10" s="3948" t="s">
        <v>0</v>
      </c>
      <c r="H10" s="3949"/>
      <c r="I10" s="3950" t="s">
        <v>103</v>
      </c>
      <c r="J10" s="3951"/>
      <c r="K10" s="3948" t="s">
        <v>51</v>
      </c>
      <c r="L10" s="3949"/>
      <c r="M10" s="3948" t="s">
        <v>1311</v>
      </c>
      <c r="N10" s="3949"/>
      <c r="O10" s="3946" t="s">
        <v>52</v>
      </c>
      <c r="P10" s="3947"/>
      <c r="Q10" s="3948" t="s">
        <v>15</v>
      </c>
      <c r="R10" s="3949"/>
      <c r="S10" s="3948" t="s">
        <v>273</v>
      </c>
      <c r="T10" s="3949"/>
      <c r="U10" s="44"/>
    </row>
    <row r="11" spans="1:23" ht="29.25" customHeight="1" thickBot="1">
      <c r="A11" s="36"/>
      <c r="B11" s="3941"/>
      <c r="C11" s="3943"/>
      <c r="D11" s="3945"/>
      <c r="E11" s="1385" t="s">
        <v>22</v>
      </c>
      <c r="F11" s="1386" t="s">
        <v>37</v>
      </c>
      <c r="G11" s="1385" t="s">
        <v>22</v>
      </c>
      <c r="H11" s="1387" t="s">
        <v>37</v>
      </c>
      <c r="I11" s="1388" t="s">
        <v>22</v>
      </c>
      <c r="J11" s="1386" t="s">
        <v>37</v>
      </c>
      <c r="K11" s="1385" t="s">
        <v>22</v>
      </c>
      <c r="L11" s="1387" t="s">
        <v>37</v>
      </c>
      <c r="M11" s="1388" t="s">
        <v>22</v>
      </c>
      <c r="N11" s="1387" t="s">
        <v>37</v>
      </c>
      <c r="O11" s="1388" t="s">
        <v>22</v>
      </c>
      <c r="P11" s="1386" t="s">
        <v>37</v>
      </c>
      <c r="Q11" s="1385" t="s">
        <v>22</v>
      </c>
      <c r="R11" s="1387" t="s">
        <v>37</v>
      </c>
      <c r="S11" s="3965" t="s">
        <v>37</v>
      </c>
      <c r="T11" s="3966"/>
      <c r="U11" s="44"/>
    </row>
    <row r="12" spans="1:23" ht="36" customHeight="1">
      <c r="A12" s="36"/>
      <c r="B12" s="178" t="str">
        <f>'2-A All'!B7</f>
        <v>Stabilization Hot Oil Heater
(64.83 MMBtu/hr)</v>
      </c>
      <c r="C12" s="176" t="str">
        <f>'2-A All'!A7</f>
        <v>SHTR1</v>
      </c>
      <c r="D12" s="191" t="str">
        <f>C12</f>
        <v>SHTR1</v>
      </c>
      <c r="E12" s="1560">
        <f>'Burners No Cogen'!M13</f>
        <v>1.730961</v>
      </c>
      <c r="F12" s="575">
        <f>'Burners No Cogen'!R13</f>
        <v>7.5816091799999992</v>
      </c>
      <c r="G12" s="1560">
        <f>'Burners No Cogen'!N13</f>
        <v>1.0567289999999998</v>
      </c>
      <c r="H12" s="576">
        <f>'Burners No Cogen'!S13</f>
        <v>4.6284730199999995</v>
      </c>
      <c r="I12" s="1560">
        <f>'Burners No Cogen'!O13</f>
        <v>0.414912</v>
      </c>
      <c r="J12" s="576">
        <f>'Burners No Cogen'!T13</f>
        <v>1.81731456</v>
      </c>
      <c r="K12" s="1560">
        <f>'Burners No Cogen'!P13</f>
        <v>0.14300735294117647</v>
      </c>
      <c r="L12" s="576">
        <f>'Burners No Cogen'!U13</f>
        <v>0.62637220588235298</v>
      </c>
      <c r="M12" s="1560">
        <f>O12</f>
        <v>0.48304705882352933</v>
      </c>
      <c r="N12" s="576">
        <f>P12</f>
        <v>2.1157461176470584</v>
      </c>
      <c r="O12" s="1560">
        <f>'Burners No Cogen'!Q13</f>
        <v>0.48304705882352933</v>
      </c>
      <c r="P12" s="576">
        <f>'Burners No Cogen'!V13</f>
        <v>2.1157461176470584</v>
      </c>
      <c r="Q12" s="1560">
        <f>'Burners No Cogen'!M48+'Burners No Cogen'!N48+'Burners No Cogen'!O48+'Burners No Cogen'!P48+'Burners No Cogen'!Q48</f>
        <v>0.1196558411764706</v>
      </c>
      <c r="R12" s="576">
        <f>'Burners No Cogen'!R48+'Burners No Cogen'!S48+'Burners No Cogen'!T48+'Burners No Cogen'!U48+'Burners No Cogen'!V48</f>
        <v>0.52409258435294115</v>
      </c>
      <c r="S12" s="3974">
        <f>SHTRGHG!H43</f>
        <v>33256.326587223601</v>
      </c>
      <c r="T12" s="3975"/>
      <c r="U12" s="44"/>
    </row>
    <row r="13" spans="1:23" ht="36" customHeight="1">
      <c r="A13" s="36"/>
      <c r="B13" s="178" t="str">
        <f>'2-A All'!B9</f>
        <v>Stabilization Hot Oil Heater
(64.83 MMBtu/hr)</v>
      </c>
      <c r="C13" s="176" t="str">
        <f>'2-A All'!A9</f>
        <v>SHTR2</v>
      </c>
      <c r="D13" s="191" t="str">
        <f>C13</f>
        <v>SHTR2</v>
      </c>
      <c r="E13" s="1362">
        <f>'Burners No Cogen'!M14</f>
        <v>1.730961</v>
      </c>
      <c r="F13" s="1363">
        <f>'Burners No Cogen'!R14</f>
        <v>7.5816091799999992</v>
      </c>
      <c r="G13" s="1362">
        <f>'Burners No Cogen'!N14</f>
        <v>1.0567289999999998</v>
      </c>
      <c r="H13" s="1535">
        <f>'Burners No Cogen'!S14</f>
        <v>4.6284730199999995</v>
      </c>
      <c r="I13" s="1362">
        <f>'Burners No Cogen'!O14</f>
        <v>0.414912</v>
      </c>
      <c r="J13" s="1535">
        <f>'Burners No Cogen'!T14</f>
        <v>1.81731456</v>
      </c>
      <c r="K13" s="1362">
        <f>'Burners No Cogen'!P14</f>
        <v>0.14300735294117647</v>
      </c>
      <c r="L13" s="1535">
        <f>'Burners No Cogen'!U14</f>
        <v>0.62637220588235298</v>
      </c>
      <c r="M13" s="1362">
        <f>O13</f>
        <v>0.48304705882352933</v>
      </c>
      <c r="N13" s="1535">
        <f>P13</f>
        <v>2.1157461176470584</v>
      </c>
      <c r="O13" s="1362">
        <f>'Burners No Cogen'!Q14</f>
        <v>0.48304705882352933</v>
      </c>
      <c r="P13" s="1535">
        <f>'Burners No Cogen'!V14</f>
        <v>2.1157461176470584</v>
      </c>
      <c r="Q13" s="1362">
        <f>'Burners No Cogen'!M49+'Burners No Cogen'!N49+'Burners No Cogen'!O49+'Burners No Cogen'!P49+'Burners No Cogen'!Q49</f>
        <v>0.11959863823529414</v>
      </c>
      <c r="R13" s="1535">
        <f>'Burners No Cogen'!R49+'Burners No Cogen'!S49+'Burners No Cogen'!T49+'Burners No Cogen'!U49+'Burners No Cogen'!V49</f>
        <v>0.52384203547058827</v>
      </c>
      <c r="S13" s="3972">
        <f>S12</f>
        <v>33256.326587223601</v>
      </c>
      <c r="T13" s="3973"/>
      <c r="U13" s="44"/>
    </row>
    <row r="14" spans="1:23" ht="36" customHeight="1">
      <c r="A14" s="36"/>
      <c r="B14" s="178" t="str">
        <f>'2-A All'!B11</f>
        <v>Stabilization Hot Oil Heater
(64.83 MMBtu/hr)</v>
      </c>
      <c r="C14" s="176" t="str">
        <f>'2-A All'!A11</f>
        <v>SHTR3</v>
      </c>
      <c r="D14" s="191" t="str">
        <f t="shared" ref="D14:D56" si="0">C14</f>
        <v>SHTR3</v>
      </c>
      <c r="E14" s="1362">
        <f>'Burners No Cogen'!M15</f>
        <v>1.730961</v>
      </c>
      <c r="F14" s="1363">
        <f>'Burners No Cogen'!R15</f>
        <v>7.5816091799999992</v>
      </c>
      <c r="G14" s="1362">
        <f>'Burners No Cogen'!N15</f>
        <v>1.0567289999999998</v>
      </c>
      <c r="H14" s="1535">
        <f>'Burners No Cogen'!S15</f>
        <v>4.6284730199999995</v>
      </c>
      <c r="I14" s="1362">
        <f>'Burners No Cogen'!O15</f>
        <v>0.414912</v>
      </c>
      <c r="J14" s="1535">
        <f>'Burners No Cogen'!T15</f>
        <v>1.81731456</v>
      </c>
      <c r="K14" s="1362">
        <f>'Burners No Cogen'!P15</f>
        <v>0.14300735294117647</v>
      </c>
      <c r="L14" s="1535">
        <f>'Burners No Cogen'!U15</f>
        <v>0.62637220588235298</v>
      </c>
      <c r="M14" s="1362">
        <f t="shared" ref="M14:N29" si="1">O14</f>
        <v>0.48304705882352933</v>
      </c>
      <c r="N14" s="1535">
        <f t="shared" si="1"/>
        <v>2.1157461176470584</v>
      </c>
      <c r="O14" s="1362">
        <f>'Burners No Cogen'!Q15</f>
        <v>0.48304705882352933</v>
      </c>
      <c r="P14" s="1535">
        <f>'Burners No Cogen'!V15</f>
        <v>2.1157461176470584</v>
      </c>
      <c r="Q14" s="1362">
        <f>'Burners No Cogen'!M50+'Burners No Cogen'!N50+'Burners No Cogen'!O50+'Burners No Cogen'!P50+'Burners No Cogen'!Q50</f>
        <v>0.11959863823529414</v>
      </c>
      <c r="R14" s="1535">
        <f>'Burners No Cogen'!R50+'Burners No Cogen'!S50+'Burners No Cogen'!T50+'Burners No Cogen'!U50+'Burners No Cogen'!V50</f>
        <v>0.52384203547058827</v>
      </c>
      <c r="S14" s="3972">
        <f>S12</f>
        <v>33256.326587223601</v>
      </c>
      <c r="T14" s="3973"/>
      <c r="U14" s="44"/>
    </row>
    <row r="15" spans="1:23" ht="36" customHeight="1">
      <c r="A15" s="36"/>
      <c r="B15" s="178" t="str">
        <f>'2-A All'!B13</f>
        <v>Stabilization Hot Oil Heater
(64.83 MMBtu/hr)</v>
      </c>
      <c r="C15" s="176" t="str">
        <f>'2-A All'!A13</f>
        <v>SHTR4</v>
      </c>
      <c r="D15" s="191" t="str">
        <f t="shared" si="0"/>
        <v>SHTR4</v>
      </c>
      <c r="E15" s="1362">
        <f>'Burners No Cogen'!M16</f>
        <v>1.730961</v>
      </c>
      <c r="F15" s="1363">
        <f>'Burners No Cogen'!R16</f>
        <v>7.5816091799999992</v>
      </c>
      <c r="G15" s="1362">
        <f>'Burners No Cogen'!N16</f>
        <v>1.0567289999999998</v>
      </c>
      <c r="H15" s="1535">
        <f>'Burners No Cogen'!S16</f>
        <v>4.6284730199999995</v>
      </c>
      <c r="I15" s="1362">
        <f>'Burners No Cogen'!O16</f>
        <v>0.414912</v>
      </c>
      <c r="J15" s="1535">
        <f>'Burners No Cogen'!T16</f>
        <v>1.81731456</v>
      </c>
      <c r="K15" s="1362">
        <f>'Burners No Cogen'!P16</f>
        <v>0.14300735294117647</v>
      </c>
      <c r="L15" s="1535">
        <f>'Burners No Cogen'!U16</f>
        <v>0.62637220588235298</v>
      </c>
      <c r="M15" s="1362">
        <f t="shared" si="1"/>
        <v>0.48304705882352933</v>
      </c>
      <c r="N15" s="1535">
        <f t="shared" si="1"/>
        <v>2.1157461176470584</v>
      </c>
      <c r="O15" s="1362">
        <f>'Burners No Cogen'!Q16</f>
        <v>0.48304705882352933</v>
      </c>
      <c r="P15" s="1535">
        <f>'Burners No Cogen'!V16</f>
        <v>2.1157461176470584</v>
      </c>
      <c r="Q15" s="1362">
        <f>'Burners No Cogen'!M51+'Burners No Cogen'!N51+'Burners No Cogen'!O51+'Burners No Cogen'!P51+'Burners No Cogen'!Q51</f>
        <v>0.11959863823529414</v>
      </c>
      <c r="R15" s="1535">
        <f>'Burners No Cogen'!R51+'Burners No Cogen'!S51+'Burners No Cogen'!T51+'Burners No Cogen'!U51+'Burners No Cogen'!V51</f>
        <v>0.52384203547058827</v>
      </c>
      <c r="S15" s="3976">
        <f>S12</f>
        <v>33256.326587223601</v>
      </c>
      <c r="T15" s="3977"/>
      <c r="U15" s="44"/>
      <c r="W15" s="8"/>
    </row>
    <row r="16" spans="1:23" ht="36" customHeight="1">
      <c r="A16" s="36"/>
      <c r="B16" s="178" t="str">
        <f>'2-A All'!B15</f>
        <v>Stabilization Hot Oil Heater
(64.83 MMBtu/hr)</v>
      </c>
      <c r="C16" s="176" t="str">
        <f>'2-A All'!A15</f>
        <v>SHTR5</v>
      </c>
      <c r="D16" s="191" t="str">
        <f t="shared" si="0"/>
        <v>SHTR5</v>
      </c>
      <c r="E16" s="1362">
        <f>'Burners No Cogen'!M17</f>
        <v>1.730961</v>
      </c>
      <c r="F16" s="1363">
        <f>'Burners No Cogen'!R17</f>
        <v>7.5816091799999992</v>
      </c>
      <c r="G16" s="1362">
        <f>'Burners No Cogen'!N17</f>
        <v>1.0567289999999998</v>
      </c>
      <c r="H16" s="1535">
        <f>'Burners No Cogen'!S17</f>
        <v>4.6284730199999995</v>
      </c>
      <c r="I16" s="1362">
        <f>'Burners No Cogen'!O17</f>
        <v>0.414912</v>
      </c>
      <c r="J16" s="1535">
        <f>'Burners No Cogen'!T17</f>
        <v>1.81731456</v>
      </c>
      <c r="K16" s="1362">
        <f>'Burners No Cogen'!P17</f>
        <v>0.14300735294117647</v>
      </c>
      <c r="L16" s="1535">
        <f>'Burners No Cogen'!U17</f>
        <v>0.62637220588235298</v>
      </c>
      <c r="M16" s="1362">
        <f t="shared" si="1"/>
        <v>0.48304705882352933</v>
      </c>
      <c r="N16" s="1535">
        <f t="shared" si="1"/>
        <v>2.1157461176470584</v>
      </c>
      <c r="O16" s="1362">
        <f>'Burners No Cogen'!Q17</f>
        <v>0.48304705882352933</v>
      </c>
      <c r="P16" s="1535">
        <f>'Burners No Cogen'!V17</f>
        <v>2.1157461176470584</v>
      </c>
      <c r="Q16" s="1362">
        <f>'Burners No Cogen'!M52+'Burners No Cogen'!N52+'Burners No Cogen'!O52+'Burners No Cogen'!P52+'Burners No Cogen'!Q52</f>
        <v>0.11959863823529414</v>
      </c>
      <c r="R16" s="1535">
        <f>'Burners No Cogen'!R52+'Burners No Cogen'!S52+'Burners No Cogen'!T52+'Burners No Cogen'!U52+'Burners No Cogen'!V52</f>
        <v>0.52384203547058827</v>
      </c>
      <c r="S16" s="3978">
        <f>S12</f>
        <v>33256.326587223601</v>
      </c>
      <c r="T16" s="3979"/>
      <c r="U16" s="44"/>
    </row>
    <row r="17" spans="1:24" ht="36" customHeight="1">
      <c r="A17" s="36"/>
      <c r="B17" s="178" t="str">
        <f>'2-A All'!B17</f>
        <v>Stabilization Hot Oil Heater
(64.83 MMBtu/hr)</v>
      </c>
      <c r="C17" s="176" t="str">
        <f>'2-A All'!A17</f>
        <v>SHTR6</v>
      </c>
      <c r="D17" s="191" t="str">
        <f t="shared" si="0"/>
        <v>SHTR6</v>
      </c>
      <c r="E17" s="1362">
        <f>'Burners No Cogen'!M18</f>
        <v>1.730961</v>
      </c>
      <c r="F17" s="1363">
        <f>'Burners No Cogen'!R18</f>
        <v>7.5816091799999992</v>
      </c>
      <c r="G17" s="1362">
        <f>'Burners No Cogen'!N18</f>
        <v>1.0567289999999998</v>
      </c>
      <c r="H17" s="1535">
        <f>'Burners No Cogen'!S18</f>
        <v>4.6284730199999995</v>
      </c>
      <c r="I17" s="1362">
        <f>'Burners No Cogen'!O18</f>
        <v>0.414912</v>
      </c>
      <c r="J17" s="1535">
        <f>'Burners No Cogen'!T18</f>
        <v>1.81731456</v>
      </c>
      <c r="K17" s="1362">
        <f>'Burners No Cogen'!P18</f>
        <v>0.14300735294117647</v>
      </c>
      <c r="L17" s="1535">
        <f>'Burners No Cogen'!U18</f>
        <v>0.62637220588235298</v>
      </c>
      <c r="M17" s="1362">
        <f t="shared" si="1"/>
        <v>0.48304705882352933</v>
      </c>
      <c r="N17" s="1535">
        <f t="shared" si="1"/>
        <v>2.1157461176470584</v>
      </c>
      <c r="O17" s="1362">
        <f>'Burners No Cogen'!Q18</f>
        <v>0.48304705882352933</v>
      </c>
      <c r="P17" s="1535">
        <f>'Burners No Cogen'!V18</f>
        <v>2.1157461176470584</v>
      </c>
      <c r="Q17" s="1362">
        <f>'Burners No Cogen'!M53+'Burners No Cogen'!N53+'Burners No Cogen'!O53+'Burners No Cogen'!P53+'Burners No Cogen'!Q53</f>
        <v>0.11959863823529414</v>
      </c>
      <c r="R17" s="1535">
        <f>'Burners No Cogen'!R53+'Burners No Cogen'!S53+'Burners No Cogen'!T53+'Burners No Cogen'!U53+'Burners No Cogen'!V53</f>
        <v>0.52384203547058827</v>
      </c>
      <c r="S17" s="3972">
        <f>S16</f>
        <v>33256.326587223601</v>
      </c>
      <c r="T17" s="3973"/>
      <c r="U17" s="44"/>
    </row>
    <row r="18" spans="1:24" ht="36" customHeight="1">
      <c r="A18" s="36"/>
      <c r="B18" s="178" t="str">
        <f>'2-A All'!B19</f>
        <v>Stabilization Hot Oil Heater
(64.83 MMBtu/hr)</v>
      </c>
      <c r="C18" s="176" t="str">
        <f>'2-A All'!A19</f>
        <v>SHTR7</v>
      </c>
      <c r="D18" s="191" t="str">
        <f t="shared" si="0"/>
        <v>SHTR7</v>
      </c>
      <c r="E18" s="1362">
        <f>'Burners No Cogen'!M19</f>
        <v>1.730961</v>
      </c>
      <c r="F18" s="1363">
        <f>'Burners No Cogen'!R19</f>
        <v>7.5816091799999992</v>
      </c>
      <c r="G18" s="1362">
        <f>'Burners No Cogen'!N19</f>
        <v>1.0567289999999998</v>
      </c>
      <c r="H18" s="1535">
        <f>'Burners No Cogen'!S19</f>
        <v>4.6284730199999995</v>
      </c>
      <c r="I18" s="1362">
        <f>'Burners No Cogen'!O19</f>
        <v>0.414912</v>
      </c>
      <c r="J18" s="1535">
        <f>'Burners No Cogen'!T19</f>
        <v>1.81731456</v>
      </c>
      <c r="K18" s="1362">
        <f>'Burners No Cogen'!P19</f>
        <v>0.14300735294117647</v>
      </c>
      <c r="L18" s="1535">
        <f>'Burners No Cogen'!U19</f>
        <v>0.62637220588235298</v>
      </c>
      <c r="M18" s="1362">
        <f t="shared" si="1"/>
        <v>0.48304705882352933</v>
      </c>
      <c r="N18" s="1535">
        <f t="shared" si="1"/>
        <v>2.1157461176470584</v>
      </c>
      <c r="O18" s="1362">
        <f>'Burners No Cogen'!Q19</f>
        <v>0.48304705882352933</v>
      </c>
      <c r="P18" s="1535">
        <f>'Burners No Cogen'!V19</f>
        <v>2.1157461176470584</v>
      </c>
      <c r="Q18" s="1362">
        <f>'Burners No Cogen'!M54+'Burners No Cogen'!N54+'Burners No Cogen'!O54+'Burners No Cogen'!P54+'Burners No Cogen'!Q54</f>
        <v>0.11959863823529414</v>
      </c>
      <c r="R18" s="1535">
        <f>'Burners No Cogen'!R54+'Burners No Cogen'!S54+'Burners No Cogen'!T54+'Burners No Cogen'!U54+'Burners No Cogen'!V54</f>
        <v>0.52384203547058827</v>
      </c>
      <c r="S18" s="3972">
        <f>S16</f>
        <v>33256.326587223601</v>
      </c>
      <c r="T18" s="3973"/>
      <c r="U18" s="44"/>
    </row>
    <row r="19" spans="1:24" ht="36" customHeight="1">
      <c r="A19" s="36"/>
      <c r="B19" s="178" t="str">
        <f>'2-A All'!B21</f>
        <v>Stabilization Hot Oil Heater
(64.83 MMBtu/hr)</v>
      </c>
      <c r="C19" s="176" t="str">
        <f>'2-A All'!A21</f>
        <v>SHTR8</v>
      </c>
      <c r="D19" s="191" t="str">
        <f t="shared" si="0"/>
        <v>SHTR8</v>
      </c>
      <c r="E19" s="1362">
        <f>'Burners No Cogen'!M20</f>
        <v>1.730961</v>
      </c>
      <c r="F19" s="1363">
        <f>'Burners No Cogen'!R20</f>
        <v>7.5816091799999992</v>
      </c>
      <c r="G19" s="1362">
        <f>'Burners No Cogen'!N20</f>
        <v>1.0567289999999998</v>
      </c>
      <c r="H19" s="1535">
        <f>'Burners No Cogen'!S20</f>
        <v>4.6284730199999995</v>
      </c>
      <c r="I19" s="1362">
        <f>'Burners No Cogen'!O20</f>
        <v>0.414912</v>
      </c>
      <c r="J19" s="1535">
        <f>'Burners No Cogen'!T20</f>
        <v>1.81731456</v>
      </c>
      <c r="K19" s="1362">
        <f>'Burners No Cogen'!P20</f>
        <v>0.14300735294117647</v>
      </c>
      <c r="L19" s="1535">
        <f>'Burners No Cogen'!U20</f>
        <v>0.62637220588235298</v>
      </c>
      <c r="M19" s="1362">
        <f t="shared" si="1"/>
        <v>0.48304705882352933</v>
      </c>
      <c r="N19" s="1535">
        <f t="shared" si="1"/>
        <v>2.1157461176470584</v>
      </c>
      <c r="O19" s="1362">
        <f>'Burners No Cogen'!Q20</f>
        <v>0.48304705882352933</v>
      </c>
      <c r="P19" s="1535">
        <f>'Burners No Cogen'!V20</f>
        <v>2.1157461176470584</v>
      </c>
      <c r="Q19" s="1362">
        <f>'Burners No Cogen'!M55+'Burners No Cogen'!N55+'Burners No Cogen'!O55+'Burners No Cogen'!P55+'Burners No Cogen'!Q55</f>
        <v>0.11959863823529414</v>
      </c>
      <c r="R19" s="1535">
        <f>'Burners No Cogen'!R55+'Burners No Cogen'!S55+'Burners No Cogen'!T55+'Burners No Cogen'!U55+'Burners No Cogen'!V55</f>
        <v>0.52384203547058827</v>
      </c>
      <c r="S19" s="3972">
        <f>S16</f>
        <v>33256.326587223601</v>
      </c>
      <c r="T19" s="3973"/>
      <c r="U19" s="44"/>
      <c r="W19" s="8"/>
    </row>
    <row r="20" spans="1:24" ht="36" customHeight="1">
      <c r="A20" s="36"/>
      <c r="B20" s="178" t="str">
        <f>'2-A All'!B23</f>
        <v>Stabilization Hot Oil Heater
(64.83 MMBtu/hr)</v>
      </c>
      <c r="C20" s="176" t="str">
        <f>'2-A All'!A23</f>
        <v>SHTR9</v>
      </c>
      <c r="D20" s="191" t="str">
        <f t="shared" si="0"/>
        <v>SHTR9</v>
      </c>
      <c r="E20" s="1362">
        <f>'Burners No Cogen'!M21</f>
        <v>1.730961</v>
      </c>
      <c r="F20" s="1363">
        <f>'Burners No Cogen'!R21</f>
        <v>7.5816091799999992</v>
      </c>
      <c r="G20" s="1362">
        <f>'Burners No Cogen'!N21</f>
        <v>1.0567289999999998</v>
      </c>
      <c r="H20" s="1535">
        <f>'Burners No Cogen'!S21</f>
        <v>4.6284730199999995</v>
      </c>
      <c r="I20" s="1362">
        <f>'Burners No Cogen'!O21</f>
        <v>0.414912</v>
      </c>
      <c r="J20" s="1535">
        <f>'Burners No Cogen'!T21</f>
        <v>1.81731456</v>
      </c>
      <c r="K20" s="1362">
        <f>'Burners No Cogen'!P21</f>
        <v>0.14300735294117647</v>
      </c>
      <c r="L20" s="1535">
        <f>'Burners No Cogen'!U21</f>
        <v>0.62637220588235298</v>
      </c>
      <c r="M20" s="1362">
        <f t="shared" si="1"/>
        <v>0.48304705882352933</v>
      </c>
      <c r="N20" s="1535">
        <f t="shared" si="1"/>
        <v>2.1157461176470584</v>
      </c>
      <c r="O20" s="1362">
        <f>'Burners No Cogen'!Q21</f>
        <v>0.48304705882352933</v>
      </c>
      <c r="P20" s="1535">
        <f>'Burners No Cogen'!V21</f>
        <v>2.1157461176470584</v>
      </c>
      <c r="Q20" s="1362">
        <f>'Burners No Cogen'!M56+'Burners No Cogen'!N56+'Burners No Cogen'!O56+'Burners No Cogen'!P56+'Burners No Cogen'!Q56</f>
        <v>0.11959863823529414</v>
      </c>
      <c r="R20" s="1535">
        <f>'Burners No Cogen'!R56+'Burners No Cogen'!S56+'Burners No Cogen'!T56+'Burners No Cogen'!U56+'Burners No Cogen'!V56</f>
        <v>0.52384203547058827</v>
      </c>
      <c r="S20" s="3978">
        <f>S16</f>
        <v>33256.326587223601</v>
      </c>
      <c r="T20" s="3979"/>
      <c r="U20" s="44"/>
    </row>
    <row r="21" spans="1:24" ht="36" customHeight="1">
      <c r="A21" s="36"/>
      <c r="B21" s="178" t="str">
        <f>'2-A All'!B25</f>
        <v>Stabilization Hot Oil Heater
(64.83 MMBtu/hr)</v>
      </c>
      <c r="C21" s="176" t="str">
        <f>'2-A All'!A25</f>
        <v>SHTR10</v>
      </c>
      <c r="D21" s="191" t="str">
        <f t="shared" si="0"/>
        <v>SHTR10</v>
      </c>
      <c r="E21" s="1362">
        <f>'Burners No Cogen'!M22</f>
        <v>1.730961</v>
      </c>
      <c r="F21" s="1363">
        <f>'Burners No Cogen'!R22</f>
        <v>7.5816091799999992</v>
      </c>
      <c r="G21" s="1362">
        <f>'Burners No Cogen'!N22</f>
        <v>1.0567289999999998</v>
      </c>
      <c r="H21" s="1535">
        <f>'Burners No Cogen'!S22</f>
        <v>4.6284730199999995</v>
      </c>
      <c r="I21" s="1362">
        <f>'Burners No Cogen'!O22</f>
        <v>0.414912</v>
      </c>
      <c r="J21" s="1535">
        <f>'Burners No Cogen'!T22</f>
        <v>1.81731456</v>
      </c>
      <c r="K21" s="1362">
        <f>'Burners No Cogen'!P22</f>
        <v>0.14300735294117647</v>
      </c>
      <c r="L21" s="1535">
        <f>'Burners No Cogen'!U22</f>
        <v>0.62637220588235298</v>
      </c>
      <c r="M21" s="1362">
        <f t="shared" si="1"/>
        <v>0.48304705882352933</v>
      </c>
      <c r="N21" s="1535">
        <f t="shared" si="1"/>
        <v>2.1157461176470584</v>
      </c>
      <c r="O21" s="1362">
        <f>'Burners No Cogen'!Q22</f>
        <v>0.48304705882352933</v>
      </c>
      <c r="P21" s="1535">
        <f>'Burners No Cogen'!V22</f>
        <v>2.1157461176470584</v>
      </c>
      <c r="Q21" s="1362">
        <f>'Burners No Cogen'!M57+'Burners No Cogen'!N57+'Burners No Cogen'!O57+'Burners No Cogen'!P57+'Burners No Cogen'!Q57</f>
        <v>0.11959863823529414</v>
      </c>
      <c r="R21" s="1535">
        <f>'Burners No Cogen'!R57+'Burners No Cogen'!S57+'Burners No Cogen'!T57+'Burners No Cogen'!U57+'Burners No Cogen'!V57</f>
        <v>0.52384203547058827</v>
      </c>
      <c r="S21" s="3972">
        <f>S20</f>
        <v>33256.326587223601</v>
      </c>
      <c r="T21" s="3973"/>
      <c r="U21" s="44"/>
    </row>
    <row r="22" spans="1:24" ht="36" customHeight="1">
      <c r="A22" s="36"/>
      <c r="B22" s="178" t="str">
        <f>'2-A All'!B27</f>
        <v>Stabilization Hot Oil Heater
(64.83 MMBtu/hr)</v>
      </c>
      <c r="C22" s="176" t="str">
        <f>'2-A All'!A27</f>
        <v>SHTR11</v>
      </c>
      <c r="D22" s="191" t="str">
        <f t="shared" si="0"/>
        <v>SHTR11</v>
      </c>
      <c r="E22" s="1362">
        <f>'Burners No Cogen'!M23</f>
        <v>1.730961</v>
      </c>
      <c r="F22" s="1363">
        <f>'Burners No Cogen'!R23</f>
        <v>7.5816091799999992</v>
      </c>
      <c r="G22" s="1362">
        <f>'Burners No Cogen'!N23</f>
        <v>1.0567289999999998</v>
      </c>
      <c r="H22" s="1535">
        <f>'Burners No Cogen'!S23</f>
        <v>4.6284730199999995</v>
      </c>
      <c r="I22" s="1362">
        <f>'Burners No Cogen'!O23</f>
        <v>0.414912</v>
      </c>
      <c r="J22" s="1535">
        <f>'Burners No Cogen'!T23</f>
        <v>1.81731456</v>
      </c>
      <c r="K22" s="1362">
        <f>'Burners No Cogen'!P23</f>
        <v>0.14300735294117647</v>
      </c>
      <c r="L22" s="1535">
        <f>'Burners No Cogen'!U23</f>
        <v>0.62637220588235298</v>
      </c>
      <c r="M22" s="1362">
        <f t="shared" si="1"/>
        <v>0.48304705882352933</v>
      </c>
      <c r="N22" s="1535">
        <f t="shared" si="1"/>
        <v>2.1157461176470584</v>
      </c>
      <c r="O22" s="1362">
        <f>'Burners No Cogen'!Q23</f>
        <v>0.48304705882352933</v>
      </c>
      <c r="P22" s="1535">
        <f>'Burners No Cogen'!V23</f>
        <v>2.1157461176470584</v>
      </c>
      <c r="Q22" s="1362">
        <f>'Burners No Cogen'!M58+'Burners No Cogen'!N58+'Burners No Cogen'!O58+'Burners No Cogen'!P58+'Burners No Cogen'!Q58</f>
        <v>0.11959863823529414</v>
      </c>
      <c r="R22" s="1535">
        <f>'Burners No Cogen'!R58+'Burners No Cogen'!S58+'Burners No Cogen'!T58+'Burners No Cogen'!U58+'Burners No Cogen'!V58</f>
        <v>0.52384203547058827</v>
      </c>
      <c r="S22" s="3972">
        <f>S20</f>
        <v>33256.326587223601</v>
      </c>
      <c r="T22" s="3973"/>
      <c r="U22" s="44"/>
    </row>
    <row r="23" spans="1:24" ht="36" customHeight="1">
      <c r="A23" s="36"/>
      <c r="B23" s="178" t="str">
        <f>'2-A All'!B29</f>
        <v>Stabilization Hot Oil Heater
(64.83 MMBtu/hr)</v>
      </c>
      <c r="C23" s="176" t="str">
        <f>'2-A All'!A29</f>
        <v>SHTR12</v>
      </c>
      <c r="D23" s="191" t="str">
        <f t="shared" si="0"/>
        <v>SHTR12</v>
      </c>
      <c r="E23" s="1560">
        <f>'Burners No Cogen'!M24</f>
        <v>1.730961</v>
      </c>
      <c r="F23" s="575">
        <f>'Burners No Cogen'!R24</f>
        <v>7.5816091799999992</v>
      </c>
      <c r="G23" s="1560">
        <f>'Burners No Cogen'!N24</f>
        <v>1.0567289999999998</v>
      </c>
      <c r="H23" s="576">
        <f>'Burners No Cogen'!S24</f>
        <v>4.6284730199999995</v>
      </c>
      <c r="I23" s="1560">
        <f>'Burners No Cogen'!O24</f>
        <v>0.414912</v>
      </c>
      <c r="J23" s="576">
        <f>'Burners No Cogen'!T24</f>
        <v>1.81731456</v>
      </c>
      <c r="K23" s="1560">
        <f>'Burners No Cogen'!P24</f>
        <v>0.14300735294117647</v>
      </c>
      <c r="L23" s="576">
        <f>'Burners No Cogen'!U24</f>
        <v>0.62637220588235298</v>
      </c>
      <c r="M23" s="1362">
        <f t="shared" si="1"/>
        <v>0.48304705882352933</v>
      </c>
      <c r="N23" s="1535">
        <f t="shared" si="1"/>
        <v>2.1157461176470584</v>
      </c>
      <c r="O23" s="1560">
        <f>'Burners No Cogen'!Q24</f>
        <v>0.48304705882352933</v>
      </c>
      <c r="P23" s="576">
        <f>'Burners No Cogen'!V24</f>
        <v>2.1157461176470584</v>
      </c>
      <c r="Q23" s="1560">
        <f>'Burners No Cogen'!M59+'Burners No Cogen'!N59+'Burners No Cogen'!O59+'Burners No Cogen'!P59+'Burners No Cogen'!Q59</f>
        <v>0.11959863823529414</v>
      </c>
      <c r="R23" s="576">
        <f>'Burners No Cogen'!R59+'Burners No Cogen'!S59+'Burners No Cogen'!T59+'Burners No Cogen'!U59+'Burners No Cogen'!V59</f>
        <v>0.52384203547058827</v>
      </c>
      <c r="S23" s="3972">
        <f>S20</f>
        <v>33256.326587223601</v>
      </c>
      <c r="T23" s="3973"/>
      <c r="U23" s="44"/>
      <c r="W23" s="8"/>
    </row>
    <row r="24" spans="1:24" ht="36" customHeight="1">
      <c r="A24" s="36"/>
      <c r="B24" s="178" t="str">
        <f>'2-A All'!B31</f>
        <v>Cryo Hot Oil Heater
(103.99 MMBtu/hr)</v>
      </c>
      <c r="C24" s="176" t="str">
        <f>'2-A All'!A31</f>
        <v>CHTR1</v>
      </c>
      <c r="D24" s="191" t="str">
        <f t="shared" si="0"/>
        <v>CHTR1</v>
      </c>
      <c r="E24" s="1560">
        <f>'Burners No Cogen'!M25</f>
        <v>3.4732659999999997</v>
      </c>
      <c r="F24" s="575">
        <f>'Burners No Cogen'!R25</f>
        <v>15.212905079999999</v>
      </c>
      <c r="G24" s="1560">
        <f>'Burners No Cogen'!N25</f>
        <v>1.6950369999999997</v>
      </c>
      <c r="H24" s="576">
        <f>'Burners No Cogen'!S25</f>
        <v>7.4242620599999984</v>
      </c>
      <c r="I24" s="1560">
        <f>'Burners No Cogen'!O25</f>
        <v>0.66553600000000002</v>
      </c>
      <c r="J24" s="576">
        <f>'Burners No Cogen'!T25</f>
        <v>2.9150476800000003</v>
      </c>
      <c r="K24" s="1560">
        <f>'Burners No Cogen'!P25</f>
        <v>0.22938970588235294</v>
      </c>
      <c r="L24" s="576">
        <f>'Burners No Cogen'!U25</f>
        <v>1.0047269117647057</v>
      </c>
      <c r="M24" s="1362">
        <f t="shared" si="1"/>
        <v>0.77482745098039207</v>
      </c>
      <c r="N24" s="1535">
        <f t="shared" si="1"/>
        <v>3.393744235294117</v>
      </c>
      <c r="O24" s="1560">
        <f>'Burners No Cogen'!Q25</f>
        <v>0.77482745098039207</v>
      </c>
      <c r="P24" s="576">
        <f>'Burners No Cogen'!V25</f>
        <v>3.393744235294117</v>
      </c>
      <c r="Q24" s="1560">
        <f>'Burners No Cogen'!M60+'Burners No Cogen'!N60+'Burners No Cogen'!O60+'Burners No Cogen'!P60+'Burners No Cogen'!Q60</f>
        <v>0.19184115980392158</v>
      </c>
      <c r="R24" s="576">
        <f>'Burners No Cogen'!R60+'Burners No Cogen'!S60+'Burners No Cogen'!T60+'Burners No Cogen'!U60+'Burners No Cogen'!V60</f>
        <v>0.84026427994117647</v>
      </c>
      <c r="S24" s="3972">
        <f>CHTRGHG!H43</f>
        <v>53344.522625410798</v>
      </c>
      <c r="T24" s="3973"/>
      <c r="U24" s="44"/>
      <c r="W24" s="8"/>
      <c r="X24" s="8"/>
    </row>
    <row r="25" spans="1:24" ht="36" customHeight="1">
      <c r="A25" s="36"/>
      <c r="B25" s="178" t="str">
        <f>'2-A All'!B33</f>
        <v>Cryo Hot Oil Heater
(103.99 MMBtu/hr)</v>
      </c>
      <c r="C25" s="176" t="str">
        <f>'2-A All'!A33</f>
        <v>CHTR2</v>
      </c>
      <c r="D25" s="191" t="str">
        <f t="shared" si="0"/>
        <v>CHTR2</v>
      </c>
      <c r="E25" s="1560">
        <f>'Burners No Cogen'!M26</f>
        <v>3.4732659999999997</v>
      </c>
      <c r="F25" s="575">
        <f>'Burners No Cogen'!R26</f>
        <v>15.212905079999999</v>
      </c>
      <c r="G25" s="1560">
        <f>'Burners No Cogen'!N26</f>
        <v>1.6950369999999997</v>
      </c>
      <c r="H25" s="576">
        <f>'Burners No Cogen'!S26</f>
        <v>7.4242620599999984</v>
      </c>
      <c r="I25" s="1560">
        <f>'Burners No Cogen'!O26</f>
        <v>0.66553600000000002</v>
      </c>
      <c r="J25" s="576">
        <f>'Burners No Cogen'!T26</f>
        <v>2.9150476800000003</v>
      </c>
      <c r="K25" s="1560">
        <f>'Burners No Cogen'!P26</f>
        <v>0.22938970588235294</v>
      </c>
      <c r="L25" s="576">
        <f>'Burners No Cogen'!U26</f>
        <v>1.0047269117647057</v>
      </c>
      <c r="M25" s="1362">
        <f t="shared" si="1"/>
        <v>0.77482745098039207</v>
      </c>
      <c r="N25" s="1535">
        <f t="shared" si="1"/>
        <v>3.393744235294117</v>
      </c>
      <c r="O25" s="1560">
        <f>'Burners No Cogen'!Q26</f>
        <v>0.77482745098039207</v>
      </c>
      <c r="P25" s="576">
        <f>'Burners No Cogen'!V26</f>
        <v>3.393744235294117</v>
      </c>
      <c r="Q25" s="1560">
        <f>'Burners No Cogen'!M61+'Burners No Cogen'!N61+'Burners No Cogen'!O61+'Burners No Cogen'!P61+'Burners No Cogen'!Q61</f>
        <v>0.19184115980392158</v>
      </c>
      <c r="R25" s="576">
        <f>'Burners No Cogen'!R61+'Burners No Cogen'!S61+'Burners No Cogen'!T61+'Burners No Cogen'!U61+'Burners No Cogen'!V61</f>
        <v>0.84026427994117647</v>
      </c>
      <c r="S25" s="3972">
        <f>CHTRGHG!H43</f>
        <v>53344.522625410798</v>
      </c>
      <c r="T25" s="3973"/>
      <c r="U25" s="44"/>
      <c r="W25" s="8" t="e">
        <f>SUM(#REF!)</f>
        <v>#REF!</v>
      </c>
    </row>
    <row r="26" spans="1:24" ht="36" customHeight="1">
      <c r="A26" s="36"/>
      <c r="B26" s="178" t="str">
        <f>'2-A All'!B35</f>
        <v>Cryo Hot Oil Heater
(103.99 MMBtu/hr)</v>
      </c>
      <c r="C26" s="176" t="str">
        <f>'2-A All'!A35</f>
        <v>CHTR3</v>
      </c>
      <c r="D26" s="191" t="str">
        <f t="shared" si="0"/>
        <v>CHTR3</v>
      </c>
      <c r="E26" s="1560">
        <f>'Burners No Cogen'!M27</f>
        <v>3.4732659999999997</v>
      </c>
      <c r="F26" s="575">
        <f>'Burners No Cogen'!R27</f>
        <v>15.212905079999999</v>
      </c>
      <c r="G26" s="1560">
        <f>'Burners No Cogen'!N27</f>
        <v>1.6950369999999997</v>
      </c>
      <c r="H26" s="576">
        <f>'Burners No Cogen'!S27</f>
        <v>7.4242620599999984</v>
      </c>
      <c r="I26" s="1560">
        <f>'Burners No Cogen'!O27</f>
        <v>0.66553600000000002</v>
      </c>
      <c r="J26" s="576">
        <f>'Burners No Cogen'!T27</f>
        <v>2.9150476800000003</v>
      </c>
      <c r="K26" s="1560">
        <f>'Burners No Cogen'!P27</f>
        <v>0.22938970588235294</v>
      </c>
      <c r="L26" s="576">
        <f>'Burners No Cogen'!U27</f>
        <v>1.0047269117647057</v>
      </c>
      <c r="M26" s="1362">
        <f t="shared" si="1"/>
        <v>0.77482745098039207</v>
      </c>
      <c r="N26" s="1535">
        <f t="shared" si="1"/>
        <v>3.393744235294117</v>
      </c>
      <c r="O26" s="1560">
        <f>'Burners No Cogen'!Q27</f>
        <v>0.77482745098039207</v>
      </c>
      <c r="P26" s="576">
        <f>'Burners No Cogen'!V27</f>
        <v>3.393744235294117</v>
      </c>
      <c r="Q26" s="1560">
        <f>'Burners No Cogen'!M62+'Burners No Cogen'!N62+'Burners No Cogen'!O62+'Burners No Cogen'!P62+'Burners No Cogen'!Q62</f>
        <v>0.19184115980392158</v>
      </c>
      <c r="R26" s="576">
        <f>'Burners No Cogen'!R62+'Burners No Cogen'!S62+'Burners No Cogen'!T62+'Burners No Cogen'!U62+'Burners No Cogen'!V62</f>
        <v>0.84026427994117647</v>
      </c>
      <c r="S26" s="3972">
        <f>CHTRGHG!H43</f>
        <v>53344.522625410798</v>
      </c>
      <c r="T26" s="3973"/>
      <c r="U26" s="44"/>
    </row>
    <row r="27" spans="1:24" ht="36" customHeight="1">
      <c r="A27" s="36"/>
      <c r="B27" s="178" t="str">
        <f>'2-A All'!B37</f>
        <v>Regen Heater 
(39.14 MMBtu/hr)</v>
      </c>
      <c r="C27" s="176" t="str">
        <f>'2-A All'!A37</f>
        <v>RHTR1</v>
      </c>
      <c r="D27" s="191" t="str">
        <f t="shared" si="0"/>
        <v>RHTR1</v>
      </c>
      <c r="E27" s="1560">
        <f>'Burners No Cogen'!M28</f>
        <v>1.0450380000000001</v>
      </c>
      <c r="F27" s="575">
        <f>'Burners No Cogen'!R28</f>
        <v>4.5772664400000007</v>
      </c>
      <c r="G27" s="1560">
        <f>'Burners No Cogen'!N28</f>
        <v>0.63798199999999994</v>
      </c>
      <c r="H27" s="576">
        <f>'Burners No Cogen'!S28</f>
        <v>2.7943611599999998</v>
      </c>
      <c r="I27" s="1560">
        <f>'Burners No Cogen'!O28</f>
        <v>0.250496</v>
      </c>
      <c r="J27" s="576">
        <f>'Burners No Cogen'!T28</f>
        <v>1.09717248</v>
      </c>
      <c r="K27" s="1560">
        <f>'Burners No Cogen'!P28</f>
        <v>8.633823529411766E-2</v>
      </c>
      <c r="L27" s="576">
        <f>'Burners No Cogen'!U28</f>
        <v>0.37816147058823535</v>
      </c>
      <c r="M27" s="1362">
        <f t="shared" si="1"/>
        <v>0.29163137254901961</v>
      </c>
      <c r="N27" s="1535">
        <f t="shared" si="1"/>
        <v>1.2773454117647058</v>
      </c>
      <c r="O27" s="1560">
        <f>'Burners No Cogen'!Q28</f>
        <v>0.29163137254901961</v>
      </c>
      <c r="P27" s="576">
        <f>'Burners No Cogen'!V28</f>
        <v>1.2773454117647058</v>
      </c>
      <c r="Q27" s="1560">
        <f>'Burners No Cogen'!M63+'Burners No Cogen'!N63+'Burners No Cogen'!O63+'Burners No Cogen'!P63+'Burners No Cogen'!Q63</f>
        <v>7.2205625490196074E-2</v>
      </c>
      <c r="R27" s="576">
        <f>'Burners No Cogen'!R63+'Burners No Cogen'!S63+'Burners No Cogen'!T63+'Burners No Cogen'!U63+'Burners No Cogen'!V63</f>
        <v>0.31626063964705881</v>
      </c>
      <c r="S27" s="3972">
        <f>RegenGHG!H43</f>
        <v>20077.936489648804</v>
      </c>
      <c r="T27" s="3973"/>
      <c r="U27" s="44"/>
      <c r="W27" s="8">
        <f>S27+S28</f>
        <v>40155.872979297608</v>
      </c>
      <c r="X27" s="8"/>
    </row>
    <row r="28" spans="1:24" ht="36" customHeight="1">
      <c r="A28" s="36"/>
      <c r="B28" s="178" t="str">
        <f>'2-A All'!B39</f>
        <v>Regen Heater
(39.14 MMBtu/hr)</v>
      </c>
      <c r="C28" s="176" t="str">
        <f>'2-A All'!A39</f>
        <v>RHTR2</v>
      </c>
      <c r="D28" s="191" t="str">
        <f t="shared" si="0"/>
        <v>RHTR2</v>
      </c>
      <c r="E28" s="1560">
        <f>'Burners No Cogen'!M29</f>
        <v>1.0450380000000001</v>
      </c>
      <c r="F28" s="575">
        <f>'Burners No Cogen'!R29</f>
        <v>4.5772664400000007</v>
      </c>
      <c r="G28" s="1560">
        <f>'Burners No Cogen'!N29</f>
        <v>0.63798199999999994</v>
      </c>
      <c r="H28" s="576">
        <f>'Burners No Cogen'!S29</f>
        <v>2.7943611599999998</v>
      </c>
      <c r="I28" s="1560">
        <f>'Burners No Cogen'!O29</f>
        <v>0.250496</v>
      </c>
      <c r="J28" s="576">
        <f>'Burners No Cogen'!T29</f>
        <v>1.09717248</v>
      </c>
      <c r="K28" s="1560">
        <f>'Burners No Cogen'!P29</f>
        <v>8.633823529411766E-2</v>
      </c>
      <c r="L28" s="576">
        <f>'Burners No Cogen'!U29</f>
        <v>0.37816147058823535</v>
      </c>
      <c r="M28" s="1362">
        <f t="shared" si="1"/>
        <v>0.29163137254901961</v>
      </c>
      <c r="N28" s="1535">
        <f t="shared" si="1"/>
        <v>1.2773454117647058</v>
      </c>
      <c r="O28" s="1560">
        <f>'Burners No Cogen'!Q29</f>
        <v>0.29163137254901961</v>
      </c>
      <c r="P28" s="576">
        <f>'Burners No Cogen'!V29</f>
        <v>1.2773454117647058</v>
      </c>
      <c r="Q28" s="1560">
        <f>'Burners No Cogen'!M64+'Burners No Cogen'!N64+'Burners No Cogen'!O64+'Burners No Cogen'!P64+'Burners No Cogen'!Q64</f>
        <v>7.2205625490196074E-2</v>
      </c>
      <c r="R28" s="576">
        <f>'Burners No Cogen'!R64+'Burners No Cogen'!S64+'Burners No Cogen'!T64+'Burners No Cogen'!U64+'Burners No Cogen'!V64</f>
        <v>0.31626063964705881</v>
      </c>
      <c r="S28" s="3972">
        <f>S27</f>
        <v>20077.936489648804</v>
      </c>
      <c r="T28" s="3973"/>
      <c r="U28" s="44"/>
      <c r="W28" s="8">
        <f>S28+S29</f>
        <v>40155.872979297608</v>
      </c>
      <c r="X28" s="8"/>
    </row>
    <row r="29" spans="1:24" ht="36" customHeight="1">
      <c r="A29" s="36"/>
      <c r="B29" s="178" t="str">
        <f>'2-A All'!B41</f>
        <v>Regen Heater
(39.14 MMBtu/hr)</v>
      </c>
      <c r="C29" s="176" t="str">
        <f>'2-A All'!A41</f>
        <v>RHTR3</v>
      </c>
      <c r="D29" s="191" t="str">
        <f t="shared" si="0"/>
        <v>RHTR3</v>
      </c>
      <c r="E29" s="1560">
        <f>'Burners No Cogen'!M30</f>
        <v>1.0450380000000001</v>
      </c>
      <c r="F29" s="575">
        <f>'Burners No Cogen'!R30</f>
        <v>4.5772664400000007</v>
      </c>
      <c r="G29" s="1560">
        <f>'Burners No Cogen'!N30</f>
        <v>0.63798199999999994</v>
      </c>
      <c r="H29" s="576">
        <f>'Burners No Cogen'!S30</f>
        <v>2.7943611599999998</v>
      </c>
      <c r="I29" s="1560">
        <f>'Burners No Cogen'!O30</f>
        <v>0.250496</v>
      </c>
      <c r="J29" s="576">
        <f>'Burners No Cogen'!T30</f>
        <v>1.09717248</v>
      </c>
      <c r="K29" s="1560">
        <f>'Burners No Cogen'!P30</f>
        <v>8.633823529411766E-2</v>
      </c>
      <c r="L29" s="576">
        <f>'Burners No Cogen'!U30</f>
        <v>0.37816147058823535</v>
      </c>
      <c r="M29" s="1362">
        <f t="shared" si="1"/>
        <v>0.29163137254901961</v>
      </c>
      <c r="N29" s="1535">
        <f t="shared" si="1"/>
        <v>1.2773454117647058</v>
      </c>
      <c r="O29" s="1560">
        <f>'Burners No Cogen'!Q30</f>
        <v>0.29163137254901961</v>
      </c>
      <c r="P29" s="576">
        <f>'Burners No Cogen'!V30</f>
        <v>1.2773454117647058</v>
      </c>
      <c r="Q29" s="1560">
        <f>'Burners No Cogen'!M65+'Burners No Cogen'!N65+'Burners No Cogen'!O65+'Burners No Cogen'!P65+'Burners No Cogen'!Q65</f>
        <v>7.2205625490196074E-2</v>
      </c>
      <c r="R29" s="576">
        <f>'Burners No Cogen'!R65+'Burners No Cogen'!S65+'Burners No Cogen'!T65+'Burners No Cogen'!U65+'Burners No Cogen'!V65</f>
        <v>0.31626063964705881</v>
      </c>
      <c r="S29" s="3972">
        <f>S27</f>
        <v>20077.936489648804</v>
      </c>
      <c r="T29" s="3973"/>
      <c r="U29" s="44"/>
    </row>
    <row r="30" spans="1:24" ht="36" customHeight="1">
      <c r="A30" s="36"/>
      <c r="B30" s="1032" t="str">
        <f>'2-A All'!B43</f>
        <v>SSM/Emergency 
Flare 1 
(Dual Tip Flare)</v>
      </c>
      <c r="C30" s="176" t="str">
        <f>'2-A All'!A43</f>
        <v>FL1</v>
      </c>
      <c r="D30" s="367" t="str">
        <f t="shared" si="0"/>
        <v>FL1</v>
      </c>
      <c r="E30" s="3983">
        <f>'Flare Summary'!C19</f>
        <v>105.10411977524262</v>
      </c>
      <c r="F30" s="3980">
        <f>'Flare Summary'!E19</f>
        <v>41.567887039173065</v>
      </c>
      <c r="G30" s="3983">
        <f>'Flare Summary'!F19</f>
        <v>209.82742752231414</v>
      </c>
      <c r="H30" s="3980">
        <f>'Flare Summary'!H19</f>
        <v>82.985165791972307</v>
      </c>
      <c r="I30" s="3983">
        <f>'Flare Summary'!I19</f>
        <v>405.09059367100201</v>
      </c>
      <c r="J30" s="3980">
        <f>'Flare Summary'!K19</f>
        <v>115.3453570211265</v>
      </c>
      <c r="K30" s="3983">
        <f>'Flare Summary'!L19</f>
        <v>5.0643749702923742E-2</v>
      </c>
      <c r="L30" s="3980">
        <f>'Flare Summary'!N19</f>
        <v>9.2171624459321221E-3</v>
      </c>
      <c r="M30" s="3983">
        <f>'Flare Summary'!O19</f>
        <v>5.4303453923797846</v>
      </c>
      <c r="N30" s="3980">
        <f>'Flare Summary'!Q19</f>
        <v>2.1998596831280941</v>
      </c>
      <c r="O30" s="3983">
        <f>M30</f>
        <v>5.4303453923797846</v>
      </c>
      <c r="P30" s="3980">
        <f>N30</f>
        <v>2.1998596831280941</v>
      </c>
      <c r="Q30" s="3983">
        <f>'Flare Summary'!R19</f>
        <v>1.3117788389852012</v>
      </c>
      <c r="R30" s="3980">
        <f>'Flare Summary'!T19</f>
        <v>1.0494574617827881</v>
      </c>
      <c r="S30" s="3989">
        <f>'FL PURGE GHG'!H50</f>
        <v>0</v>
      </c>
      <c r="T30" s="3990"/>
      <c r="U30" s="44"/>
      <c r="V30" s="8"/>
      <c r="W30" s="8"/>
      <c r="X30" s="8"/>
    </row>
    <row r="31" spans="1:24" ht="36" customHeight="1">
      <c r="A31" s="36"/>
      <c r="B31" s="1032" t="str">
        <f>'2-A All'!B45</f>
        <v>SSM/Emergency 
Flare 2 
(Dual Tip Flare)</v>
      </c>
      <c r="C31" s="176" t="str">
        <f>'2-A All'!A45</f>
        <v>FL2</v>
      </c>
      <c r="D31" s="409" t="str">
        <f t="shared" si="0"/>
        <v>FL2</v>
      </c>
      <c r="E31" s="3984"/>
      <c r="F31" s="3981"/>
      <c r="G31" s="3984"/>
      <c r="H31" s="3981"/>
      <c r="I31" s="3984"/>
      <c r="J31" s="3981"/>
      <c r="K31" s="3984"/>
      <c r="L31" s="3981"/>
      <c r="M31" s="3984"/>
      <c r="N31" s="3981"/>
      <c r="O31" s="3984"/>
      <c r="P31" s="3981"/>
      <c r="Q31" s="3984"/>
      <c r="R31" s="3981"/>
      <c r="S31" s="3991"/>
      <c r="T31" s="3992"/>
      <c r="U31" s="44"/>
      <c r="X31" s="8"/>
    </row>
    <row r="32" spans="1:24" ht="36" customHeight="1">
      <c r="A32" s="36"/>
      <c r="B32" s="1032" t="str">
        <f>'2-A All'!B47</f>
        <v>Backup SSM/Emergency 
Flare 3 
(Dual Tip Flare)</v>
      </c>
      <c r="C32" s="176" t="str">
        <f>'2-A All'!A47</f>
        <v>FL3</v>
      </c>
      <c r="D32" s="191" t="str">
        <f t="shared" si="0"/>
        <v>FL3</v>
      </c>
      <c r="E32" s="3985"/>
      <c r="F32" s="3982"/>
      <c r="G32" s="3985"/>
      <c r="H32" s="3982"/>
      <c r="I32" s="3985"/>
      <c r="J32" s="3982"/>
      <c r="K32" s="3985"/>
      <c r="L32" s="3982"/>
      <c r="M32" s="3985"/>
      <c r="N32" s="3982"/>
      <c r="O32" s="3985"/>
      <c r="P32" s="3982"/>
      <c r="Q32" s="3985"/>
      <c r="R32" s="3982"/>
      <c r="S32" s="3978"/>
      <c r="T32" s="3979"/>
      <c r="U32" s="44"/>
    </row>
    <row r="33" spans="1:24" ht="36" customHeight="1">
      <c r="A33" s="36"/>
      <c r="B33" s="1032" t="str">
        <f>'2-A All'!B53</f>
        <v>Oil Storage 1 (100,000 bbl)</v>
      </c>
      <c r="C33" s="176" t="str">
        <f>'2-A All'!A53</f>
        <v>IFR1</v>
      </c>
      <c r="D33" s="191" t="str">
        <f t="shared" si="0"/>
        <v>IFR1</v>
      </c>
      <c r="E33" s="817" t="s">
        <v>445</v>
      </c>
      <c r="F33" s="818" t="s">
        <v>445</v>
      </c>
      <c r="G33" s="817" t="s">
        <v>445</v>
      </c>
      <c r="H33" s="818" t="s">
        <v>445</v>
      </c>
      <c r="I33" s="398">
        <f>'IFR Tanks (IFR1-IFR4)'!C41</f>
        <v>1.1752020371542549</v>
      </c>
      <c r="J33" s="406">
        <f>'IFR Tanks (IFR1-IFR4)'!D41</f>
        <v>5.1473849227356343</v>
      </c>
      <c r="K33" s="817" t="s">
        <v>445</v>
      </c>
      <c r="L33" s="818" t="s">
        <v>445</v>
      </c>
      <c r="M33" s="817" t="s">
        <v>445</v>
      </c>
      <c r="N33" s="818" t="s">
        <v>445</v>
      </c>
      <c r="O33" s="817" t="s">
        <v>445</v>
      </c>
      <c r="P33" s="818" t="s">
        <v>445</v>
      </c>
      <c r="Q33" s="817">
        <f>'IFR Tanks (IFR1-IFR4)'!C42</f>
        <v>6.7739254805280091E-2</v>
      </c>
      <c r="R33" s="818">
        <f>'IFR Tanks (IFR1-IFR4)'!D42</f>
        <v>0.2966979360471268</v>
      </c>
      <c r="S33" s="3993" t="s">
        <v>445</v>
      </c>
      <c r="T33" s="3994"/>
      <c r="U33" s="44"/>
    </row>
    <row r="34" spans="1:24" ht="36" customHeight="1">
      <c r="A34" s="36"/>
      <c r="B34" s="1032" t="str">
        <f>'2-A All'!B55</f>
        <v>Oil Storage 2 (100,000 bbl)</v>
      </c>
      <c r="C34" s="176" t="str">
        <f>'2-A All'!A55</f>
        <v>IFR2</v>
      </c>
      <c r="D34" s="191" t="str">
        <f t="shared" si="0"/>
        <v>IFR2</v>
      </c>
      <c r="E34" s="817" t="s">
        <v>445</v>
      </c>
      <c r="F34" s="818" t="s">
        <v>445</v>
      </c>
      <c r="G34" s="817" t="s">
        <v>445</v>
      </c>
      <c r="H34" s="818" t="s">
        <v>445</v>
      </c>
      <c r="I34" s="398">
        <f>I33</f>
        <v>1.1752020371542549</v>
      </c>
      <c r="J34" s="406">
        <f>J33</f>
        <v>5.1473849227356343</v>
      </c>
      <c r="K34" s="817" t="s">
        <v>445</v>
      </c>
      <c r="L34" s="818" t="s">
        <v>445</v>
      </c>
      <c r="M34" s="817" t="s">
        <v>445</v>
      </c>
      <c r="N34" s="818" t="s">
        <v>445</v>
      </c>
      <c r="O34" s="817" t="s">
        <v>445</v>
      </c>
      <c r="P34" s="818" t="s">
        <v>445</v>
      </c>
      <c r="Q34" s="817">
        <f>Q33</f>
        <v>6.7739254805280091E-2</v>
      </c>
      <c r="R34" s="818">
        <f>R33</f>
        <v>0.2966979360471268</v>
      </c>
      <c r="S34" s="3993" t="s">
        <v>445</v>
      </c>
      <c r="T34" s="3994"/>
      <c r="U34" s="44"/>
      <c r="W34" s="8"/>
    </row>
    <row r="35" spans="1:24" ht="36" customHeight="1">
      <c r="A35" s="36"/>
      <c r="B35" s="1032" t="str">
        <f>'2-A All'!B57</f>
        <v>Oil Storage 3 (100,000 bbl)</v>
      </c>
      <c r="C35" s="176" t="str">
        <f>'2-A All'!A57</f>
        <v>IFR3</v>
      </c>
      <c r="D35" s="191" t="str">
        <f t="shared" si="0"/>
        <v>IFR3</v>
      </c>
      <c r="E35" s="817" t="s">
        <v>445</v>
      </c>
      <c r="F35" s="818" t="s">
        <v>445</v>
      </c>
      <c r="G35" s="817" t="s">
        <v>445</v>
      </c>
      <c r="H35" s="818" t="s">
        <v>445</v>
      </c>
      <c r="I35" s="398">
        <f>I33</f>
        <v>1.1752020371542549</v>
      </c>
      <c r="J35" s="406">
        <f>J33</f>
        <v>5.1473849227356343</v>
      </c>
      <c r="K35" s="817" t="s">
        <v>445</v>
      </c>
      <c r="L35" s="818" t="s">
        <v>445</v>
      </c>
      <c r="M35" s="817" t="s">
        <v>445</v>
      </c>
      <c r="N35" s="818" t="s">
        <v>445</v>
      </c>
      <c r="O35" s="817" t="s">
        <v>445</v>
      </c>
      <c r="P35" s="818" t="s">
        <v>445</v>
      </c>
      <c r="Q35" s="817">
        <f>Q33</f>
        <v>6.7739254805280091E-2</v>
      </c>
      <c r="R35" s="818">
        <f>R33</f>
        <v>0.2966979360471268</v>
      </c>
      <c r="S35" s="3993" t="s">
        <v>445</v>
      </c>
      <c r="T35" s="3994"/>
      <c r="U35" s="44"/>
    </row>
    <row r="36" spans="1:24" ht="36" customHeight="1">
      <c r="A36" s="36"/>
      <c r="B36" s="1032" t="str">
        <f>'2-A All'!B59</f>
        <v>Oil Storage 4 (100,000 bbl)</v>
      </c>
      <c r="C36" s="176" t="str">
        <f>'2-A All'!A59</f>
        <v>IFR4</v>
      </c>
      <c r="D36" s="191" t="str">
        <f t="shared" si="0"/>
        <v>IFR4</v>
      </c>
      <c r="E36" s="817" t="s">
        <v>445</v>
      </c>
      <c r="F36" s="818" t="s">
        <v>445</v>
      </c>
      <c r="G36" s="817" t="s">
        <v>445</v>
      </c>
      <c r="H36" s="818" t="s">
        <v>445</v>
      </c>
      <c r="I36" s="398">
        <f>I33</f>
        <v>1.1752020371542549</v>
      </c>
      <c r="J36" s="406">
        <f>J33</f>
        <v>5.1473849227356343</v>
      </c>
      <c r="K36" s="817" t="s">
        <v>445</v>
      </c>
      <c r="L36" s="818" t="s">
        <v>445</v>
      </c>
      <c r="M36" s="817" t="s">
        <v>445</v>
      </c>
      <c r="N36" s="818" t="s">
        <v>445</v>
      </c>
      <c r="O36" s="817" t="s">
        <v>445</v>
      </c>
      <c r="P36" s="818" t="s">
        <v>445</v>
      </c>
      <c r="Q36" s="817">
        <f>Q33</f>
        <v>6.7739254805280091E-2</v>
      </c>
      <c r="R36" s="818">
        <f>R33</f>
        <v>0.2966979360471268</v>
      </c>
      <c r="S36" s="3993" t="s">
        <v>445</v>
      </c>
      <c r="T36" s="3994"/>
      <c r="U36" s="44"/>
    </row>
    <row r="37" spans="1:24" ht="36" customHeight="1">
      <c r="A37" s="36"/>
      <c r="B37" s="1032" t="str">
        <f>'2-A All'!B61</f>
        <v>3rd-Party Oil Storage 1</v>
      </c>
      <c r="C37" s="176" t="str">
        <f>'2-A All'!A61</f>
        <v>OTK1</v>
      </c>
      <c r="D37" s="191" t="str">
        <f t="shared" si="0"/>
        <v>OTK1</v>
      </c>
      <c r="E37" s="3986" t="s">
        <v>1458</v>
      </c>
      <c r="F37" s="3987"/>
      <c r="G37" s="3987"/>
      <c r="H37" s="3987"/>
      <c r="I37" s="3987"/>
      <c r="J37" s="3987"/>
      <c r="K37" s="3987"/>
      <c r="L37" s="3987"/>
      <c r="M37" s="3929"/>
      <c r="N37" s="3929"/>
      <c r="O37" s="3987"/>
      <c r="P37" s="3987"/>
      <c r="Q37" s="3987"/>
      <c r="R37" s="3987"/>
      <c r="S37" s="3987"/>
      <c r="T37" s="3988"/>
      <c r="U37" s="44"/>
    </row>
    <row r="38" spans="1:24" ht="36" customHeight="1">
      <c r="A38" s="36"/>
      <c r="B38" s="1032" t="str">
        <f>'2-A All'!B63</f>
        <v>3rd-Party Oil Storage 2</v>
      </c>
      <c r="C38" s="176" t="str">
        <f>'2-A All'!A63</f>
        <v>OTK2</v>
      </c>
      <c r="D38" s="191" t="str">
        <f t="shared" si="0"/>
        <v>OTK2</v>
      </c>
      <c r="E38" s="3986" t="str">
        <f>E37</f>
        <v>Emissions represented at ECD.</v>
      </c>
      <c r="F38" s="3987"/>
      <c r="G38" s="3987"/>
      <c r="H38" s="3987"/>
      <c r="I38" s="3987"/>
      <c r="J38" s="3987"/>
      <c r="K38" s="3987"/>
      <c r="L38" s="3987"/>
      <c r="M38" s="3929"/>
      <c r="N38" s="3929"/>
      <c r="O38" s="3987"/>
      <c r="P38" s="3987"/>
      <c r="Q38" s="3987"/>
      <c r="R38" s="3987"/>
      <c r="S38" s="3987"/>
      <c r="T38" s="3988"/>
      <c r="U38" s="44"/>
      <c r="W38" s="8"/>
      <c r="X38" s="8"/>
    </row>
    <row r="39" spans="1:24" ht="36" customHeight="1">
      <c r="A39" s="36"/>
      <c r="B39" s="1032" t="str">
        <f>'2-A All'!B65</f>
        <v>3rd-Party Oil Storage 3</v>
      </c>
      <c r="C39" s="176" t="str">
        <f>'2-A All'!A65</f>
        <v>OTK3</v>
      </c>
      <c r="D39" s="191" t="str">
        <f t="shared" si="0"/>
        <v>OTK3</v>
      </c>
      <c r="E39" s="3986" t="str">
        <f>E37</f>
        <v>Emissions represented at ECD.</v>
      </c>
      <c r="F39" s="3987"/>
      <c r="G39" s="3987"/>
      <c r="H39" s="3987"/>
      <c r="I39" s="3987"/>
      <c r="J39" s="3987"/>
      <c r="K39" s="3987"/>
      <c r="L39" s="3987"/>
      <c r="M39" s="3929"/>
      <c r="N39" s="3929"/>
      <c r="O39" s="3987"/>
      <c r="P39" s="3987"/>
      <c r="Q39" s="3987"/>
      <c r="R39" s="3987"/>
      <c r="S39" s="3987"/>
      <c r="T39" s="3988"/>
      <c r="U39" s="44"/>
      <c r="W39" s="8">
        <f>SUM(S12:T39)</f>
        <v>619343.29639186198</v>
      </c>
    </row>
    <row r="40" spans="1:24" ht="36" customHeight="1">
      <c r="A40" s="36"/>
      <c r="B40" s="1032" t="str">
        <f>'2-A All'!B67</f>
        <v>3rd-Party Oil Storage 4</v>
      </c>
      <c r="C40" s="176" t="str">
        <f>'2-A All'!A67</f>
        <v>OTK4</v>
      </c>
      <c r="D40" s="191" t="str">
        <f t="shared" si="0"/>
        <v>OTK4</v>
      </c>
      <c r="E40" s="3986" t="str">
        <f>E37</f>
        <v>Emissions represented at ECD.</v>
      </c>
      <c r="F40" s="3987"/>
      <c r="G40" s="3987"/>
      <c r="H40" s="3987"/>
      <c r="I40" s="3987"/>
      <c r="J40" s="3987"/>
      <c r="K40" s="3987"/>
      <c r="L40" s="3987"/>
      <c r="M40" s="3929"/>
      <c r="N40" s="3929"/>
      <c r="O40" s="3987"/>
      <c r="P40" s="3987"/>
      <c r="Q40" s="3987"/>
      <c r="R40" s="3987"/>
      <c r="S40" s="3987"/>
      <c r="T40" s="3988"/>
      <c r="U40" s="44"/>
    </row>
    <row r="41" spans="1:24" ht="36" customHeight="1">
      <c r="A41" s="36"/>
      <c r="B41" s="1032" t="str">
        <f>'2-A All'!B69</f>
        <v>3rd-Party Oil Storage 5</v>
      </c>
      <c r="C41" s="176" t="str">
        <f>'2-A All'!A69</f>
        <v>OTK5</v>
      </c>
      <c r="D41" s="191" t="str">
        <f t="shared" si="0"/>
        <v>OTK5</v>
      </c>
      <c r="E41" s="3986" t="str">
        <f>E37</f>
        <v>Emissions represented at ECD.</v>
      </c>
      <c r="F41" s="3987"/>
      <c r="G41" s="3987"/>
      <c r="H41" s="3987"/>
      <c r="I41" s="3987"/>
      <c r="J41" s="3987"/>
      <c r="K41" s="3987"/>
      <c r="L41" s="3987"/>
      <c r="M41" s="3929"/>
      <c r="N41" s="3929"/>
      <c r="O41" s="3987"/>
      <c r="P41" s="3987"/>
      <c r="Q41" s="3987"/>
      <c r="R41" s="3987"/>
      <c r="S41" s="3987"/>
      <c r="T41" s="3988"/>
      <c r="U41" s="44"/>
    </row>
    <row r="42" spans="1:24" ht="36" customHeight="1">
      <c r="A42" s="36"/>
      <c r="B42" s="1032" t="str">
        <f>'2-A All'!B71</f>
        <v>3rd-Party Oil Storage 6</v>
      </c>
      <c r="C42" s="176" t="str">
        <f>'2-A All'!A71</f>
        <v>OTK6</v>
      </c>
      <c r="D42" s="191" t="str">
        <f t="shared" si="0"/>
        <v>OTK6</v>
      </c>
      <c r="E42" s="3986" t="str">
        <f>E37</f>
        <v>Emissions represented at ECD.</v>
      </c>
      <c r="F42" s="3987"/>
      <c r="G42" s="3987"/>
      <c r="H42" s="3987"/>
      <c r="I42" s="3987"/>
      <c r="J42" s="3987"/>
      <c r="K42" s="3987"/>
      <c r="L42" s="3987"/>
      <c r="M42" s="3929"/>
      <c r="N42" s="3929"/>
      <c r="O42" s="3987"/>
      <c r="P42" s="3987"/>
      <c r="Q42" s="3987"/>
      <c r="R42" s="3987"/>
      <c r="S42" s="3987"/>
      <c r="T42" s="3988"/>
      <c r="U42" s="44"/>
      <c r="W42" s="8" t="e">
        <f>S42+#REF!</f>
        <v>#REF!</v>
      </c>
      <c r="X42" s="8"/>
    </row>
    <row r="43" spans="1:24" ht="36" customHeight="1">
      <c r="A43" s="36"/>
      <c r="B43" s="1032" t="str">
        <f>'2-A All'!B73</f>
        <v>Combustor</v>
      </c>
      <c r="C43" s="176" t="str">
        <f>'2-A All'!A73</f>
        <v>ECD1</v>
      </c>
      <c r="D43" s="191" t="str">
        <f t="shared" si="0"/>
        <v>ECD1</v>
      </c>
      <c r="E43" s="398">
        <f>'Hrly (ECD1)'!R12</f>
        <v>1.5931460516780505</v>
      </c>
      <c r="F43" s="397">
        <f>' Ann (ECD1)'!R12</f>
        <v>6.0866344473776257</v>
      </c>
      <c r="G43" s="398">
        <f>'Hrly (ECD1)'!R13</f>
        <v>3.1805198350529196</v>
      </c>
      <c r="H43" s="406">
        <f>' Ann (ECD1)'!R13</f>
        <v>12.151215871395186</v>
      </c>
      <c r="I43" s="398">
        <f>'Hrly (ECD1)'!O41</f>
        <v>7.2766034925122449</v>
      </c>
      <c r="J43" s="406">
        <f>' Ann (ECD1)'!O41</f>
        <v>28.268593950427899</v>
      </c>
      <c r="K43" s="398">
        <f>'Hrly (ECD1)'!R14</f>
        <v>0</v>
      </c>
      <c r="L43" s="406">
        <f>' Ann (ECD1)'!R14</f>
        <v>0</v>
      </c>
      <c r="M43" s="398">
        <f>O43</f>
        <v>8.6018115890545505E-2</v>
      </c>
      <c r="N43" s="406">
        <f>P43</f>
        <v>0.12880069625799914</v>
      </c>
      <c r="O43" s="398">
        <f>'Hrly (ECD1)'!R15</f>
        <v>8.6018115890545505E-2</v>
      </c>
      <c r="P43" s="406">
        <f>' Ann (ECD1)'!R15</f>
        <v>0.12880069625799914</v>
      </c>
      <c r="Q43" s="398">
        <f>'Hrly (ECD1)'!O42</f>
        <v>0.27504072721807626</v>
      </c>
      <c r="R43" s="406">
        <f>' Ann (ECD1)'!O42</f>
        <v>1.0668332259581128</v>
      </c>
      <c r="S43" s="3972">
        <f>'ECD1 GHG'!H50</f>
        <v>4244.370563407545</v>
      </c>
      <c r="T43" s="3973"/>
      <c r="U43" s="44"/>
    </row>
    <row r="44" spans="1:24" ht="36" customHeight="1">
      <c r="A44" s="36"/>
      <c r="B44" s="1032" t="str">
        <f>'2-A All'!B75</f>
        <v>Thermal Oxidizer</v>
      </c>
      <c r="C44" s="176" t="str">
        <f>'2-A All'!A75</f>
        <v>TO1</v>
      </c>
      <c r="D44" s="191" t="str">
        <f t="shared" si="0"/>
        <v>TO1</v>
      </c>
      <c r="E44" s="410">
        <f>'TO Hrly (TO1-TO3)'!K12</f>
        <v>2.5190885601790693</v>
      </c>
      <c r="F44" s="411">
        <f>'TO Ann (TO1-TO3)'!K12</f>
        <v>11.033607893584323</v>
      </c>
      <c r="G44" s="410">
        <f>'TO Hrly (TO1-TO3)'!K13</f>
        <v>2.0880159999999997</v>
      </c>
      <c r="H44" s="411">
        <f>'TO Ann (TO1-TO3)'!K13</f>
        <v>9.1455100799999975</v>
      </c>
      <c r="I44" s="410">
        <f>'TO Hrly (TO1-TO3)'!H32</f>
        <v>0.62455189452722593</v>
      </c>
      <c r="J44" s="411">
        <f>'TO Ann (TO1-TO3)'!H32</f>
        <v>2.7355372980292492</v>
      </c>
      <c r="K44" s="410">
        <f>'TO Hrly (TO1-TO3)'!K14</f>
        <v>0.86237125715223051</v>
      </c>
      <c r="L44" s="411">
        <f>'TO Ann (TO1-TO3)'!K14</f>
        <v>3.7771861063267695</v>
      </c>
      <c r="M44" s="410">
        <f>O44</f>
        <v>0.23462099335001135</v>
      </c>
      <c r="N44" s="411">
        <f>P44</f>
        <v>1.0276399508730496</v>
      </c>
      <c r="O44" s="410">
        <f>'TO Hrly (TO1-TO3)'!K15</f>
        <v>0.23462099335001135</v>
      </c>
      <c r="P44" s="411">
        <f>'TO Ann (TO1-TO3)'!K15</f>
        <v>1.0276399508730496</v>
      </c>
      <c r="Q44" s="410">
        <f>'TO Hrly (TO1-TO3)'!H33</f>
        <v>8.0737606029044826E-2</v>
      </c>
      <c r="R44" s="411">
        <f>'TO Ann (TO1-TO3)'!H33</f>
        <v>0.35363071440721638</v>
      </c>
      <c r="S44" s="3972">
        <f>'TO GHG-Flash '!H50+'TO GHG-Still'!H50</f>
        <v>101557.29956690592</v>
      </c>
      <c r="T44" s="3973"/>
      <c r="U44" s="44"/>
      <c r="W44" s="8"/>
    </row>
    <row r="45" spans="1:24" ht="36" customHeight="1">
      <c r="A45" s="36"/>
      <c r="B45" s="1032" t="str">
        <f>'2-A All'!B77</f>
        <v>Thermal Oxidizer</v>
      </c>
      <c r="C45" s="176" t="str">
        <f>'2-A All'!A77</f>
        <v>TO2</v>
      </c>
      <c r="D45" s="191" t="str">
        <f t="shared" si="0"/>
        <v>TO2</v>
      </c>
      <c r="E45" s="398">
        <f>E44</f>
        <v>2.5190885601790693</v>
      </c>
      <c r="F45" s="397">
        <f>F44</f>
        <v>11.033607893584323</v>
      </c>
      <c r="G45" s="398">
        <f t="shared" ref="G45:R45" si="2">G44</f>
        <v>2.0880159999999997</v>
      </c>
      <c r="H45" s="397">
        <f t="shared" si="2"/>
        <v>9.1455100799999975</v>
      </c>
      <c r="I45" s="398">
        <f t="shared" si="2"/>
        <v>0.62455189452722593</v>
      </c>
      <c r="J45" s="397">
        <f t="shared" si="2"/>
        <v>2.7355372980292492</v>
      </c>
      <c r="K45" s="398">
        <f t="shared" si="2"/>
        <v>0.86237125715223051</v>
      </c>
      <c r="L45" s="397">
        <f t="shared" si="2"/>
        <v>3.7771861063267695</v>
      </c>
      <c r="M45" s="398">
        <f>M44</f>
        <v>0.23462099335001135</v>
      </c>
      <c r="N45" s="397">
        <f>N44</f>
        <v>1.0276399508730496</v>
      </c>
      <c r="O45" s="398">
        <f t="shared" si="2"/>
        <v>0.23462099335001135</v>
      </c>
      <c r="P45" s="397">
        <f t="shared" si="2"/>
        <v>1.0276399508730496</v>
      </c>
      <c r="Q45" s="398">
        <f t="shared" si="2"/>
        <v>8.0737606029044826E-2</v>
      </c>
      <c r="R45" s="397">
        <f t="shared" si="2"/>
        <v>0.35363071440721638</v>
      </c>
      <c r="S45" s="3972">
        <f>S44</f>
        <v>101557.29956690592</v>
      </c>
      <c r="T45" s="3973"/>
      <c r="U45" s="44"/>
      <c r="V45" s="8"/>
      <c r="W45" s="8" t="e">
        <f>#REF!+#REF!</f>
        <v>#REF!</v>
      </c>
    </row>
    <row r="46" spans="1:24" ht="36" customHeight="1">
      <c r="A46" s="36"/>
      <c r="B46" s="1032" t="str">
        <f>'2-A All'!B79</f>
        <v>Thermal Oxidizer</v>
      </c>
      <c r="C46" s="176" t="str">
        <f>'2-A All'!A79</f>
        <v>TO3</v>
      </c>
      <c r="D46" s="191" t="str">
        <f t="shared" si="0"/>
        <v>TO3</v>
      </c>
      <c r="E46" s="398">
        <f>E44</f>
        <v>2.5190885601790693</v>
      </c>
      <c r="F46" s="397">
        <f>F44</f>
        <v>11.033607893584323</v>
      </c>
      <c r="G46" s="398">
        <f t="shared" ref="G46:R46" si="3">G44</f>
        <v>2.0880159999999997</v>
      </c>
      <c r="H46" s="397">
        <f t="shared" si="3"/>
        <v>9.1455100799999975</v>
      </c>
      <c r="I46" s="398">
        <f t="shared" si="3"/>
        <v>0.62455189452722593</v>
      </c>
      <c r="J46" s="397">
        <f t="shared" si="3"/>
        <v>2.7355372980292492</v>
      </c>
      <c r="K46" s="398">
        <f t="shared" si="3"/>
        <v>0.86237125715223051</v>
      </c>
      <c r="L46" s="397">
        <f t="shared" si="3"/>
        <v>3.7771861063267695</v>
      </c>
      <c r="M46" s="398">
        <f>M44</f>
        <v>0.23462099335001135</v>
      </c>
      <c r="N46" s="397">
        <f>N44</f>
        <v>1.0276399508730496</v>
      </c>
      <c r="O46" s="398">
        <f t="shared" si="3"/>
        <v>0.23462099335001135</v>
      </c>
      <c r="P46" s="397">
        <f t="shared" si="3"/>
        <v>1.0276399508730496</v>
      </c>
      <c r="Q46" s="398">
        <f t="shared" si="3"/>
        <v>8.0737606029044826E-2</v>
      </c>
      <c r="R46" s="397">
        <f t="shared" si="3"/>
        <v>0.35363071440721638</v>
      </c>
      <c r="S46" s="3972">
        <f>S44</f>
        <v>101557.29956690592</v>
      </c>
      <c r="T46" s="3973"/>
      <c r="U46" s="44"/>
      <c r="X46" s="8"/>
    </row>
    <row r="47" spans="1:24" ht="36" customHeight="1">
      <c r="A47" s="36"/>
      <c r="B47" s="1032" t="str">
        <f>'2-A All'!B81</f>
        <v>Fugitives</v>
      </c>
      <c r="C47" s="176" t="str">
        <f>'2-A All'!A81</f>
        <v>FUG</v>
      </c>
      <c r="D47" s="191" t="str">
        <f t="shared" si="0"/>
        <v>FUG</v>
      </c>
      <c r="E47" s="817" t="s">
        <v>445</v>
      </c>
      <c r="F47" s="818" t="s">
        <v>445</v>
      </c>
      <c r="G47" s="817" t="s">
        <v>445</v>
      </c>
      <c r="H47" s="818" t="s">
        <v>445</v>
      </c>
      <c r="I47" s="398">
        <f>Fugitive!G72</f>
        <v>30.616050709592137</v>
      </c>
      <c r="J47" s="406">
        <f>Fugitive!I72</f>
        <v>134.09830210801351</v>
      </c>
      <c r="K47" s="817" t="s">
        <v>445</v>
      </c>
      <c r="L47" s="818" t="s">
        <v>445</v>
      </c>
      <c r="M47" s="817" t="s">
        <v>445</v>
      </c>
      <c r="N47" s="818" t="s">
        <v>445</v>
      </c>
      <c r="O47" s="817" t="s">
        <v>445</v>
      </c>
      <c r="P47" s="818" t="s">
        <v>445</v>
      </c>
      <c r="Q47" s="817">
        <f>'Fugitives HAPs'!G39</f>
        <v>1.8349882519246774</v>
      </c>
      <c r="R47" s="818">
        <f>'Fugitives HAPs'!I39</f>
        <v>8.0372485434300867</v>
      </c>
      <c r="S47" s="3993" t="s">
        <v>445</v>
      </c>
      <c r="T47" s="3994"/>
      <c r="U47" s="44"/>
    </row>
    <row r="48" spans="1:24" ht="36" customHeight="1">
      <c r="A48" s="36"/>
      <c r="B48" s="1032" t="str">
        <f>'2-A All'!B83</f>
        <v>Storage Tank SSM Emissions</v>
      </c>
      <c r="C48" s="176" t="str">
        <f>'2-A All'!A83</f>
        <v>SSM</v>
      </c>
      <c r="D48" s="191" t="str">
        <f t="shared" si="0"/>
        <v>SSM</v>
      </c>
      <c r="E48" s="817" t="s">
        <v>445</v>
      </c>
      <c r="F48" s="818" t="s">
        <v>445</v>
      </c>
      <c r="G48" s="817" t="s">
        <v>445</v>
      </c>
      <c r="H48" s="818" t="s">
        <v>445</v>
      </c>
      <c r="I48" s="817" t="s">
        <v>445</v>
      </c>
      <c r="J48" s="406">
        <v>10</v>
      </c>
      <c r="K48" s="817" t="s">
        <v>445</v>
      </c>
      <c r="L48" s="818" t="s">
        <v>445</v>
      </c>
      <c r="M48" s="817" t="s">
        <v>445</v>
      </c>
      <c r="N48" s="818" t="s">
        <v>445</v>
      </c>
      <c r="O48" s="817" t="s">
        <v>445</v>
      </c>
      <c r="P48" s="818" t="s">
        <v>445</v>
      </c>
      <c r="Q48" s="817" t="s">
        <v>445</v>
      </c>
      <c r="R48" s="818" t="s">
        <v>445</v>
      </c>
      <c r="S48" s="3993" t="s">
        <v>445</v>
      </c>
      <c r="T48" s="3994"/>
      <c r="U48" s="44"/>
    </row>
    <row r="49" spans="1:72" s="53" customFormat="1" ht="36" customHeight="1">
      <c r="A49" s="36"/>
      <c r="B49" s="1032" t="str">
        <f>'2-A All'!B85</f>
        <v>Haul Road Fugitives</v>
      </c>
      <c r="C49" s="176" t="str">
        <f>'2-A All'!A85</f>
        <v>ROAD</v>
      </c>
      <c r="D49" s="191" t="str">
        <f t="shared" si="0"/>
        <v>ROAD</v>
      </c>
      <c r="E49" s="817" t="s">
        <v>445</v>
      </c>
      <c r="F49" s="818" t="s">
        <v>445</v>
      </c>
      <c r="G49" s="817" t="s">
        <v>445</v>
      </c>
      <c r="H49" s="818" t="s">
        <v>445</v>
      </c>
      <c r="I49" s="817" t="s">
        <v>445</v>
      </c>
      <c r="J49" s="818" t="s">
        <v>445</v>
      </c>
      <c r="K49" s="817" t="s">
        <v>445</v>
      </c>
      <c r="L49" s="818" t="s">
        <v>445</v>
      </c>
      <c r="M49" s="1395">
        <f>Road!C24</f>
        <v>2.7556902133370476</v>
      </c>
      <c r="N49" s="1396">
        <f>Road!C25</f>
        <v>8.8254079636430482</v>
      </c>
      <c r="O49" s="1395">
        <f>Road!F24</f>
        <v>0.70232409971011567</v>
      </c>
      <c r="P49" s="1396">
        <f>Road!F25</f>
        <v>2.2492719510493018</v>
      </c>
      <c r="Q49" s="817" t="s">
        <v>445</v>
      </c>
      <c r="R49" s="818" t="s">
        <v>445</v>
      </c>
      <c r="S49" s="3993" t="s">
        <v>445</v>
      </c>
      <c r="T49" s="3994"/>
      <c r="U49" s="44"/>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row>
    <row r="50" spans="1:72" ht="36" customHeight="1">
      <c r="A50" s="36"/>
      <c r="B50" s="1032" t="str">
        <f>'2-A All'!B87</f>
        <v>Produced Water Tank 1</v>
      </c>
      <c r="C50" s="176" t="str">
        <f>'2-A All'!A87</f>
        <v>PWTK1</v>
      </c>
      <c r="D50" s="191" t="str">
        <f t="shared" si="0"/>
        <v>PWTK1</v>
      </c>
      <c r="E50" s="3986" t="str">
        <f>E37</f>
        <v>Emissions represented at ECD.</v>
      </c>
      <c r="F50" s="3987"/>
      <c r="G50" s="3987"/>
      <c r="H50" s="3987"/>
      <c r="I50" s="3987"/>
      <c r="J50" s="3987"/>
      <c r="K50" s="3987"/>
      <c r="L50" s="3987"/>
      <c r="M50" s="3929"/>
      <c r="N50" s="3929"/>
      <c r="O50" s="3987"/>
      <c r="P50" s="3987"/>
      <c r="Q50" s="3987"/>
      <c r="R50" s="3987"/>
      <c r="S50" s="3987"/>
      <c r="T50" s="3988"/>
      <c r="U50" s="44"/>
    </row>
    <row r="51" spans="1:72" s="53" customFormat="1" ht="36" customHeight="1">
      <c r="A51" s="36"/>
      <c r="B51" s="1032" t="str">
        <f>'2-A All'!B89</f>
        <v>Produced Water Tank 2</v>
      </c>
      <c r="C51" s="176" t="str">
        <f>'2-A All'!A89</f>
        <v>PWTK2</v>
      </c>
      <c r="D51" s="191" t="str">
        <f t="shared" si="0"/>
        <v>PWTK2</v>
      </c>
      <c r="E51" s="3986" t="str">
        <f>E50</f>
        <v>Emissions represented at ECD.</v>
      </c>
      <c r="F51" s="3987"/>
      <c r="G51" s="3987"/>
      <c r="H51" s="3987"/>
      <c r="I51" s="3987"/>
      <c r="J51" s="3987"/>
      <c r="K51" s="3987"/>
      <c r="L51" s="3987"/>
      <c r="M51" s="3929"/>
      <c r="N51" s="3929"/>
      <c r="O51" s="3987"/>
      <c r="P51" s="3987"/>
      <c r="Q51" s="3987"/>
      <c r="R51" s="3987"/>
      <c r="S51" s="3987"/>
      <c r="T51" s="3988"/>
      <c r="U51" s="44"/>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row>
    <row r="52" spans="1:72" ht="36" customHeight="1">
      <c r="A52" s="36"/>
      <c r="B52" s="1032" t="str">
        <f>'2-A All'!B91</f>
        <v>Produced Water Loading</v>
      </c>
      <c r="C52" s="176" t="str">
        <f>'2-A All'!A91</f>
        <v>PWTL</v>
      </c>
      <c r="D52" s="191" t="str">
        <f t="shared" si="0"/>
        <v>PWTL</v>
      </c>
      <c r="E52" s="817" t="s">
        <v>445</v>
      </c>
      <c r="F52" s="818" t="s">
        <v>445</v>
      </c>
      <c r="G52" s="817" t="s">
        <v>445</v>
      </c>
      <c r="H52" s="818" t="s">
        <v>445</v>
      </c>
      <c r="I52" s="398">
        <f>'Load-H2O'!F33</f>
        <v>0.39339345182963747</v>
      </c>
      <c r="J52" s="406">
        <f>'Load-H2O'!G33</f>
        <v>2.4902276270262185</v>
      </c>
      <c r="K52" s="817" t="s">
        <v>445</v>
      </c>
      <c r="L52" s="818" t="s">
        <v>445</v>
      </c>
      <c r="M52" s="817" t="s">
        <v>445</v>
      </c>
      <c r="N52" s="818" t="s">
        <v>445</v>
      </c>
      <c r="O52" s="817" t="s">
        <v>445</v>
      </c>
      <c r="P52" s="818" t="s">
        <v>445</v>
      </c>
      <c r="Q52" s="817">
        <f>'Load-H2O'!F37</f>
        <v>1.1042554192857925E-3</v>
      </c>
      <c r="R52" s="818">
        <f>'Load-H2O'!G37</f>
        <v>6.9900689490625953E-3</v>
      </c>
      <c r="S52" s="3993" t="s">
        <v>445</v>
      </c>
      <c r="T52" s="3994"/>
      <c r="U52" s="44"/>
    </row>
    <row r="53" spans="1:72" ht="36" customHeight="1">
      <c r="A53" s="36"/>
      <c r="B53" s="1032" t="str">
        <f>'2-A All'!B93</f>
        <v>Slop Oil Loading</v>
      </c>
      <c r="C53" s="176" t="str">
        <f>'2-A All'!A93</f>
        <v>OTL</v>
      </c>
      <c r="D53" s="191" t="str">
        <f t="shared" si="0"/>
        <v>OTL</v>
      </c>
      <c r="E53" s="817" t="s">
        <v>445</v>
      </c>
      <c r="F53" s="818" t="s">
        <v>445</v>
      </c>
      <c r="G53" s="817" t="s">
        <v>445</v>
      </c>
      <c r="H53" s="818" t="s">
        <v>445</v>
      </c>
      <c r="I53" s="1447">
        <f>'Load-Slop Oil'!F43</f>
        <v>0.70811875941945179</v>
      </c>
      <c r="J53" s="1533">
        <f>'Load-Slop Oil'!G43</f>
        <v>0.13418016263117355</v>
      </c>
      <c r="K53" s="817" t="s">
        <v>445</v>
      </c>
      <c r="L53" s="818" t="s">
        <v>445</v>
      </c>
      <c r="M53" s="817" t="s">
        <v>445</v>
      </c>
      <c r="N53" s="818" t="s">
        <v>445</v>
      </c>
      <c r="O53" s="817" t="s">
        <v>445</v>
      </c>
      <c r="P53" s="818" t="s">
        <v>445</v>
      </c>
      <c r="Q53" s="817">
        <f>'Load-Slop Oil'!F47</f>
        <v>1.9188444012397846E-2</v>
      </c>
      <c r="R53" s="818">
        <f>'Load-Slop Oil'!G47</f>
        <v>3.6359840831410471E-3</v>
      </c>
      <c r="S53" s="3993" t="s">
        <v>445</v>
      </c>
      <c r="T53" s="3994"/>
      <c r="U53" s="44"/>
    </row>
    <row r="54" spans="1:72" s="53" customFormat="1" ht="36" customHeight="1">
      <c r="A54" s="36"/>
      <c r="B54" s="1032" t="str">
        <f>'2-A All'!B95</f>
        <v>Amine Unit 1</v>
      </c>
      <c r="C54" s="176" t="str">
        <f>'2-A All'!A95</f>
        <v>AU1</v>
      </c>
      <c r="D54" s="191" t="str">
        <f t="shared" si="0"/>
        <v>AU1</v>
      </c>
      <c r="E54" s="3986" t="s">
        <v>1459</v>
      </c>
      <c r="F54" s="3987"/>
      <c r="G54" s="3987"/>
      <c r="H54" s="3987"/>
      <c r="I54" s="3987"/>
      <c r="J54" s="3987"/>
      <c r="K54" s="3987"/>
      <c r="L54" s="3987"/>
      <c r="M54" s="3929"/>
      <c r="N54" s="3929"/>
      <c r="O54" s="3987"/>
      <c r="P54" s="3987"/>
      <c r="Q54" s="3987"/>
      <c r="R54" s="3987"/>
      <c r="S54" s="3987"/>
      <c r="T54" s="3988"/>
      <c r="U54" s="44"/>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row>
    <row r="55" spans="1:72" s="53" customFormat="1" ht="36" customHeight="1">
      <c r="A55" s="36"/>
      <c r="B55" s="1032" t="str">
        <f>'2-A All'!B97</f>
        <v>Amine Unit 2</v>
      </c>
      <c r="C55" s="176" t="str">
        <f>'2-A All'!A97</f>
        <v>AU2</v>
      </c>
      <c r="D55" s="191" t="str">
        <f t="shared" si="0"/>
        <v>AU2</v>
      </c>
      <c r="E55" s="3986" t="s">
        <v>1460</v>
      </c>
      <c r="F55" s="3987"/>
      <c r="G55" s="3987"/>
      <c r="H55" s="3987"/>
      <c r="I55" s="3987"/>
      <c r="J55" s="3987"/>
      <c r="K55" s="3987"/>
      <c r="L55" s="3987"/>
      <c r="M55" s="3929"/>
      <c r="N55" s="3929"/>
      <c r="O55" s="3987"/>
      <c r="P55" s="3987"/>
      <c r="Q55" s="3987"/>
      <c r="R55" s="3987"/>
      <c r="S55" s="3987"/>
      <c r="T55" s="3988"/>
      <c r="U55" s="44"/>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row>
    <row r="56" spans="1:72" s="53" customFormat="1" ht="36" customHeight="1">
      <c r="A56" s="36"/>
      <c r="B56" s="1032" t="str">
        <f>'2-A All'!B99</f>
        <v>Amine Unit 3</v>
      </c>
      <c r="C56" s="176" t="str">
        <f>'2-A All'!A99</f>
        <v>AU3</v>
      </c>
      <c r="D56" s="191" t="str">
        <f t="shared" si="0"/>
        <v>AU3</v>
      </c>
      <c r="E56" s="3986" t="s">
        <v>1461</v>
      </c>
      <c r="F56" s="3987"/>
      <c r="G56" s="3987"/>
      <c r="H56" s="3987"/>
      <c r="I56" s="3987"/>
      <c r="J56" s="3987"/>
      <c r="K56" s="3987"/>
      <c r="L56" s="3987"/>
      <c r="M56" s="3929"/>
      <c r="N56" s="3929"/>
      <c r="O56" s="3987"/>
      <c r="P56" s="3987"/>
      <c r="Q56" s="3987"/>
      <c r="R56" s="3987"/>
      <c r="S56" s="3987"/>
      <c r="T56" s="3988"/>
      <c r="U56" s="44"/>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row>
    <row r="57" spans="1:72" s="53" customFormat="1" ht="36" customHeight="1">
      <c r="A57" s="36"/>
      <c r="B57" s="1032" t="str">
        <f>'2-A All'!B101</f>
        <v>Gunbarrel Tank</v>
      </c>
      <c r="C57" s="176" t="str">
        <f>'2-A All'!A101</f>
        <v>GBS1</v>
      </c>
      <c r="D57" s="179" t="str">
        <f>C57</f>
        <v>GBS1</v>
      </c>
      <c r="E57" s="3986" t="str">
        <f>E50</f>
        <v>Emissions represented at ECD.</v>
      </c>
      <c r="F57" s="3987"/>
      <c r="G57" s="3987"/>
      <c r="H57" s="3987"/>
      <c r="I57" s="3987"/>
      <c r="J57" s="3987"/>
      <c r="K57" s="3987"/>
      <c r="L57" s="3987"/>
      <c r="M57" s="3929"/>
      <c r="N57" s="3929"/>
      <c r="O57" s="3987"/>
      <c r="P57" s="3987"/>
      <c r="Q57" s="3987"/>
      <c r="R57" s="3987"/>
      <c r="S57" s="3987"/>
      <c r="T57" s="3988"/>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36" customHeight="1" thickBot="1">
      <c r="A58" s="36"/>
      <c r="B58" s="1618" t="str">
        <f>'2-A All'!B103</f>
        <v>Slop Oil Tank</v>
      </c>
      <c r="C58" s="1567" t="str">
        <f>'2-A All'!A103</f>
        <v>OTK7</v>
      </c>
      <c r="D58" s="1027" t="str">
        <f>C58</f>
        <v>OTK7</v>
      </c>
      <c r="E58" s="3999" t="str">
        <f>E51</f>
        <v>Emissions represented at ECD.</v>
      </c>
      <c r="F58" s="4000"/>
      <c r="G58" s="4000"/>
      <c r="H58" s="4000"/>
      <c r="I58" s="4000"/>
      <c r="J58" s="4000"/>
      <c r="K58" s="4000"/>
      <c r="L58" s="4000"/>
      <c r="M58" s="4001"/>
      <c r="N58" s="4001"/>
      <c r="O58" s="4000"/>
      <c r="P58" s="4000"/>
      <c r="Q58" s="4000"/>
      <c r="R58" s="4000"/>
      <c r="S58" s="4000"/>
      <c r="T58" s="4002"/>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ht="24" customHeight="1" thickBot="1">
      <c r="A59" s="36"/>
      <c r="B59" s="180"/>
      <c r="C59" s="180"/>
      <c r="D59" s="180"/>
      <c r="E59" s="181"/>
      <c r="F59" s="181"/>
      <c r="G59" s="181"/>
      <c r="H59" s="182"/>
      <c r="I59" s="182"/>
      <c r="J59" s="182"/>
      <c r="K59" s="182"/>
      <c r="L59" s="182"/>
      <c r="M59" s="182"/>
      <c r="N59" s="182"/>
      <c r="O59" s="182"/>
      <c r="P59" s="182"/>
      <c r="Q59" s="182"/>
      <c r="R59" s="182"/>
      <c r="S59" s="182"/>
      <c r="T59" s="182"/>
      <c r="U59" s="44"/>
    </row>
    <row r="60" spans="1:72" s="9" customFormat="1" ht="38.75" customHeight="1">
      <c r="A60" s="23"/>
      <c r="B60" s="3952" t="s">
        <v>64</v>
      </c>
      <c r="C60" s="3958"/>
      <c r="D60" s="3955"/>
      <c r="E60" s="3952" t="s">
        <v>21</v>
      </c>
      <c r="F60" s="3955"/>
      <c r="G60" s="3952" t="s">
        <v>0</v>
      </c>
      <c r="H60" s="3953"/>
      <c r="I60" s="3950" t="s">
        <v>283</v>
      </c>
      <c r="J60" s="3951"/>
      <c r="K60" s="3952" t="s">
        <v>284</v>
      </c>
      <c r="L60" s="3953"/>
      <c r="M60" s="3952" t="s">
        <v>1311</v>
      </c>
      <c r="N60" s="3953"/>
      <c r="O60" s="3954" t="s">
        <v>285</v>
      </c>
      <c r="P60" s="3955"/>
      <c r="Q60" s="3952" t="s">
        <v>15</v>
      </c>
      <c r="R60" s="3953"/>
      <c r="S60" s="3952" t="s">
        <v>273</v>
      </c>
      <c r="T60" s="3953"/>
      <c r="U60" s="2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s="9" customFormat="1" ht="26.25" customHeight="1">
      <c r="A61" s="23"/>
      <c r="B61" s="3959"/>
      <c r="C61" s="3960"/>
      <c r="D61" s="3961"/>
      <c r="E61" s="183" t="s">
        <v>22</v>
      </c>
      <c r="F61" s="184" t="s">
        <v>37</v>
      </c>
      <c r="G61" s="183" t="s">
        <v>22</v>
      </c>
      <c r="H61" s="185" t="s">
        <v>37</v>
      </c>
      <c r="I61" s="186" t="s">
        <v>22</v>
      </c>
      <c r="J61" s="184" t="s">
        <v>37</v>
      </c>
      <c r="K61" s="183" t="s">
        <v>22</v>
      </c>
      <c r="L61" s="185" t="s">
        <v>37</v>
      </c>
      <c r="M61" s="1407" t="s">
        <v>22</v>
      </c>
      <c r="N61" s="1408" t="s">
        <v>37</v>
      </c>
      <c r="O61" s="186" t="s">
        <v>22</v>
      </c>
      <c r="P61" s="184" t="s">
        <v>37</v>
      </c>
      <c r="Q61" s="183" t="s">
        <v>22</v>
      </c>
      <c r="R61" s="185" t="s">
        <v>37</v>
      </c>
      <c r="S61" s="3995" t="s">
        <v>37</v>
      </c>
      <c r="T61" s="3996"/>
      <c r="U61" s="24"/>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row>
    <row r="62" spans="1:72" s="9" customFormat="1" ht="36" customHeight="1" thickBot="1">
      <c r="A62" s="23"/>
      <c r="B62" s="3962"/>
      <c r="C62" s="3963"/>
      <c r="D62" s="3964"/>
      <c r="E62" s="1544">
        <f t="shared" ref="E62:T62" si="4">SUM(E12:E58)</f>
        <v>148.58097550745782</v>
      </c>
      <c r="F62" s="1545">
        <f t="shared" si="4"/>
        <v>231.10516988730365</v>
      </c>
      <c r="G62" s="1544">
        <f t="shared" si="4"/>
        <v>238.95180035736709</v>
      </c>
      <c r="H62" s="1545">
        <f t="shared" si="4"/>
        <v>208.77045780336752</v>
      </c>
      <c r="I62" s="1544">
        <f t="shared" si="4"/>
        <v>458.38626391655401</v>
      </c>
      <c r="J62" s="1545">
        <f t="shared" si="4"/>
        <v>352.97724765425562</v>
      </c>
      <c r="K62" s="1544">
        <f t="shared" si="4"/>
        <v>5.3010295799831439</v>
      </c>
      <c r="L62" s="1545">
        <f t="shared" si="4"/>
        <v>23.005907099073301</v>
      </c>
      <c r="M62" s="1544">
        <f t="shared" si="4"/>
        <v>17.971857878127999</v>
      </c>
      <c r="N62" s="1545">
        <f t="shared" si="4"/>
        <v>53.639210548589475</v>
      </c>
      <c r="O62" s="1544">
        <f t="shared" si="4"/>
        <v>15.918491764501066</v>
      </c>
      <c r="P62" s="1545">
        <f t="shared" si="4"/>
        <v>47.063074535995725</v>
      </c>
      <c r="Q62" s="1544">
        <f t="shared" si="4"/>
        <v>6.1826515725149518</v>
      </c>
      <c r="R62" s="1545">
        <f t="shared" si="4"/>
        <v>22.167778904907461</v>
      </c>
      <c r="S62" s="3997">
        <f t="shared" si="4"/>
        <v>928259.56565598736</v>
      </c>
      <c r="T62" s="3998">
        <f t="shared" si="4"/>
        <v>0</v>
      </c>
      <c r="U62" s="24"/>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row>
    <row r="63" spans="1:72" ht="27.75" customHeight="1" thickBot="1">
      <c r="A63" s="31"/>
      <c r="B63" s="3956"/>
      <c r="C63" s="3956"/>
      <c r="D63" s="3956"/>
      <c r="E63" s="3956"/>
      <c r="F63" s="3956"/>
      <c r="G63" s="3956"/>
      <c r="H63" s="3956"/>
      <c r="I63" s="3956"/>
      <c r="J63" s="3956"/>
      <c r="K63" s="3956"/>
      <c r="L63" s="3956"/>
      <c r="M63" s="3956"/>
      <c r="N63" s="3956"/>
      <c r="O63" s="3956"/>
      <c r="P63" s="3956"/>
      <c r="Q63" s="3956"/>
      <c r="R63" s="3956"/>
      <c r="S63" s="1532"/>
      <c r="T63" s="1532"/>
      <c r="U63" s="40"/>
    </row>
    <row r="64" spans="1:72" ht="13.5" thickBot="1">
      <c r="B64" s="6"/>
      <c r="C64" s="6"/>
      <c r="D64" s="6"/>
      <c r="E64" s="6"/>
      <c r="F64" s="6"/>
      <c r="G64" s="6"/>
      <c r="H64" s="6"/>
      <c r="I64" s="6"/>
      <c r="J64" s="6"/>
      <c r="K64" s="6"/>
      <c r="L64" s="6"/>
      <c r="M64" s="5"/>
      <c r="N64" s="5"/>
      <c r="O64" s="5"/>
      <c r="P64" s="5"/>
      <c r="Q64" s="5"/>
      <c r="R64" s="5"/>
      <c r="S64" s="5"/>
      <c r="T64" s="5"/>
    </row>
    <row r="65" spans="1:20" ht="44.15" customHeight="1" thickBot="1">
      <c r="B65" s="4003" t="s">
        <v>1132</v>
      </c>
      <c r="C65" s="4004"/>
      <c r="D65" s="4004"/>
      <c r="E65" s="1360" t="s">
        <v>22</v>
      </c>
      <c r="F65" s="1360" t="s">
        <v>37</v>
      </c>
      <c r="G65" s="1360" t="s">
        <v>22</v>
      </c>
      <c r="H65" s="1360" t="s">
        <v>37</v>
      </c>
      <c r="I65" s="1360" t="s">
        <v>22</v>
      </c>
      <c r="J65" s="1360" t="s">
        <v>37</v>
      </c>
      <c r="K65" s="1360" t="s">
        <v>22</v>
      </c>
      <c r="L65" s="1360" t="s">
        <v>37</v>
      </c>
      <c r="M65" s="1360" t="s">
        <v>22</v>
      </c>
      <c r="N65" s="1203" t="s">
        <v>37</v>
      </c>
      <c r="O65" s="1360" t="s">
        <v>22</v>
      </c>
      <c r="P65" s="1203" t="s">
        <v>37</v>
      </c>
    </row>
    <row r="66" spans="1:20" ht="44.15" customHeight="1">
      <c r="B66" s="4005" t="s">
        <v>1133</v>
      </c>
      <c r="C66" s="4006"/>
      <c r="D66" s="4006"/>
      <c r="E66" s="1359">
        <f t="shared" ref="E66:P66" si="5">SUM(E12:E29)</f>
        <v>34.326443999999995</v>
      </c>
      <c r="F66" s="1359">
        <f t="shared" si="5"/>
        <v>150.34982471999996</v>
      </c>
      <c r="G66" s="1359">
        <f t="shared" si="5"/>
        <v>19.679805000000002</v>
      </c>
      <c r="H66" s="1359">
        <f t="shared" si="5"/>
        <v>86.197545899999994</v>
      </c>
      <c r="I66" s="1359">
        <f t="shared" si="5"/>
        <v>7.7270400000000024</v>
      </c>
      <c r="J66" s="1359">
        <f t="shared" si="5"/>
        <v>33.844435199999999</v>
      </c>
      <c r="K66" s="1359">
        <f t="shared" si="5"/>
        <v>2.6632720588235288</v>
      </c>
      <c r="L66" s="1359">
        <f t="shared" si="5"/>
        <v>11.665131617647059</v>
      </c>
      <c r="M66" s="1359">
        <f t="shared" si="5"/>
        <v>8.9959411764705859</v>
      </c>
      <c r="N66" s="1204">
        <f t="shared" si="5"/>
        <v>39.402222352941173</v>
      </c>
      <c r="O66" s="1359">
        <f t="shared" si="5"/>
        <v>8.9959411764705859</v>
      </c>
      <c r="P66" s="1204">
        <f t="shared" si="5"/>
        <v>39.402222352941173</v>
      </c>
      <c r="Q66" s="1029"/>
      <c r="R66" s="1029"/>
      <c r="S66" s="1029"/>
      <c r="T66" s="1029"/>
    </row>
    <row r="67" spans="1:20" ht="44.15" customHeight="1" thickBot="1">
      <c r="B67" s="4007" t="s">
        <v>1134</v>
      </c>
      <c r="C67" s="4008"/>
      <c r="D67" s="4008"/>
      <c r="E67" s="1358" t="s">
        <v>17</v>
      </c>
      <c r="F67" s="1358" t="s">
        <v>17</v>
      </c>
      <c r="G67" s="1534" t="s">
        <v>17</v>
      </c>
      <c r="H67" s="1534" t="s">
        <v>17</v>
      </c>
      <c r="I67" s="1358">
        <f>I12+I13+I14+I33+I34+I35+I36+I43+I47+I52</f>
        <v>44.231591802551037</v>
      </c>
      <c r="J67" s="1358">
        <f>J12+J13+J14+J33+J34+J35+J36+J43+J47+J52</f>
        <v>190.89860705641019</v>
      </c>
      <c r="K67" s="1358" t="s">
        <v>17</v>
      </c>
      <c r="L67" s="1534" t="s">
        <v>17</v>
      </c>
      <c r="M67" s="1534" t="s">
        <v>17</v>
      </c>
      <c r="N67" s="1361" t="s">
        <v>17</v>
      </c>
      <c r="O67" s="1534" t="s">
        <v>17</v>
      </c>
      <c r="P67" s="1361" t="s">
        <v>17</v>
      </c>
      <c r="Q67" s="1029"/>
      <c r="R67" s="1029"/>
      <c r="S67" s="1029"/>
      <c r="T67" s="1029"/>
    </row>
    <row r="69" spans="1:20">
      <c r="M69" s="8"/>
      <c r="O69" s="8"/>
      <c r="R69" s="199"/>
    </row>
    <row r="70" spans="1:20" s="1029" customFormat="1" ht="23.5">
      <c r="D70" s="1216" t="s">
        <v>1223</v>
      </c>
      <c r="E70" s="38"/>
      <c r="F70" s="1213"/>
      <c r="G70" s="1427" t="s">
        <v>1326</v>
      </c>
      <c r="H70" s="1428" t="s">
        <v>1298</v>
      </c>
      <c r="I70" s="1429"/>
      <c r="J70" s="38"/>
      <c r="K70" s="1216" t="s">
        <v>1308</v>
      </c>
      <c r="L70" s="1216"/>
      <c r="M70" s="38"/>
      <c r="N70" s="38"/>
      <c r="O70" s="38"/>
      <c r="R70" s="1035"/>
      <c r="S70" s="1036"/>
      <c r="T70" s="1036"/>
    </row>
    <row r="71" spans="1:20" s="1029" customFormat="1" ht="23.5">
      <c r="D71" s="1209" t="s">
        <v>1327</v>
      </c>
      <c r="E71" s="1211">
        <f>SUM(F62,L62,P62)</f>
        <v>301.17415152237265</v>
      </c>
      <c r="F71" s="1212"/>
      <c r="G71" s="1430">
        <f>E71/$E$72</f>
        <v>5.9286250299679661</v>
      </c>
      <c r="H71" s="1431">
        <v>24</v>
      </c>
      <c r="I71" s="1432" t="s">
        <v>1328</v>
      </c>
      <c r="J71" s="1210"/>
      <c r="K71" s="1210" t="s">
        <v>1306</v>
      </c>
      <c r="L71" s="1344">
        <f>(L74/417) + (L76/15669)</f>
        <v>0.57673614801224082</v>
      </c>
      <c r="M71" s="8"/>
      <c r="N71" s="38"/>
      <c r="O71" s="8"/>
      <c r="R71" s="1035"/>
      <c r="T71" s="1036"/>
    </row>
    <row r="72" spans="1:20" s="1029" customFormat="1" ht="23.5">
      <c r="A72" s="38"/>
      <c r="B72" s="38"/>
      <c r="C72" s="38"/>
      <c r="D72" s="1209" t="s">
        <v>1221</v>
      </c>
      <c r="E72" s="1210">
        <v>50.8</v>
      </c>
      <c r="F72" s="1213"/>
      <c r="G72" s="1430"/>
      <c r="H72" s="1434">
        <v>8.51</v>
      </c>
      <c r="I72" s="1432" t="s">
        <v>1328</v>
      </c>
      <c r="J72" s="1210"/>
      <c r="K72" s="1210"/>
      <c r="L72" s="1344"/>
      <c r="M72" s="8"/>
      <c r="O72" s="8"/>
      <c r="R72" s="1035"/>
      <c r="T72" s="1036"/>
    </row>
    <row r="73" spans="1:20" ht="23.5">
      <c r="D73" s="1216" t="s">
        <v>1224</v>
      </c>
      <c r="F73" s="1213"/>
      <c r="G73" s="1211"/>
      <c r="H73" s="1435" t="s">
        <v>445</v>
      </c>
      <c r="I73" s="1434"/>
      <c r="J73" s="1210"/>
      <c r="K73" s="1210"/>
      <c r="L73" s="1344"/>
      <c r="M73" s="8"/>
      <c r="N73" s="1029"/>
      <c r="O73" s="8"/>
      <c r="P73" s="8"/>
      <c r="Q73" s="8"/>
      <c r="R73" s="199"/>
      <c r="S73" s="8"/>
      <c r="T73" s="8"/>
    </row>
    <row r="74" spans="1:20" ht="23.5">
      <c r="D74" s="1209" t="s">
        <v>1220</v>
      </c>
      <c r="E74" s="1211">
        <f>E71</f>
        <v>301.17415152237265</v>
      </c>
      <c r="F74" s="1212"/>
      <c r="G74" s="8"/>
      <c r="H74" s="1210"/>
      <c r="I74" s="1210"/>
      <c r="J74" s="1210"/>
      <c r="K74" s="1210" t="s">
        <v>21</v>
      </c>
      <c r="L74" s="1036">
        <f>F62</f>
        <v>231.10516988730365</v>
      </c>
      <c r="M74" s="1029" t="s">
        <v>37</v>
      </c>
      <c r="N74" s="1029"/>
      <c r="O74" s="1029" t="s">
        <v>37</v>
      </c>
      <c r="R74" s="199"/>
      <c r="T74" s="8"/>
    </row>
    <row r="75" spans="1:20" ht="23.5">
      <c r="D75" s="1209" t="s">
        <v>1221</v>
      </c>
      <c r="E75" s="1210">
        <v>92.8</v>
      </c>
      <c r="F75" s="1213"/>
      <c r="G75" s="1211">
        <f>E74/E75</f>
        <v>3.2454111155428089</v>
      </c>
      <c r="H75" s="1210"/>
      <c r="I75" s="1210"/>
      <c r="J75" s="1210"/>
      <c r="K75" s="1210"/>
      <c r="L75" s="1029"/>
      <c r="M75" s="1029"/>
      <c r="N75" s="8"/>
      <c r="O75" s="1029"/>
      <c r="R75" s="8"/>
    </row>
    <row r="76" spans="1:20" ht="23.5">
      <c r="D76" s="1216" t="s">
        <v>1225</v>
      </c>
      <c r="F76" s="1213"/>
      <c r="G76" s="1211"/>
      <c r="H76" s="1210"/>
      <c r="I76" s="1210"/>
      <c r="J76" s="1211"/>
      <c r="K76" s="1210" t="s">
        <v>149</v>
      </c>
      <c r="L76" s="1036">
        <f>J62</f>
        <v>352.97724765425562</v>
      </c>
      <c r="M76" s="1029" t="s">
        <v>1307</v>
      </c>
      <c r="O76" s="1029" t="s">
        <v>1307</v>
      </c>
    </row>
    <row r="77" spans="1:20" ht="23.5">
      <c r="D77" s="1209" t="s">
        <v>1220</v>
      </c>
      <c r="E77" s="1211">
        <f>E71</f>
        <v>301.17415152237265</v>
      </c>
      <c r="F77" s="1212"/>
      <c r="G77" s="8"/>
      <c r="H77" s="1211"/>
      <c r="I77" s="1211"/>
      <c r="J77" s="1211"/>
      <c r="K77" s="1211"/>
      <c r="L77" s="8"/>
      <c r="M77" s="8"/>
      <c r="O77" s="8"/>
    </row>
    <row r="78" spans="1:20" ht="23.5">
      <c r="D78" s="1209" t="s">
        <v>1221</v>
      </c>
      <c r="E78" s="1210">
        <v>135.6</v>
      </c>
      <c r="F78" s="1213"/>
      <c r="G78" s="1211">
        <f>E77/E78</f>
        <v>2.2210483150617453</v>
      </c>
      <c r="H78" s="1210"/>
      <c r="I78" s="1210"/>
      <c r="J78" s="1211"/>
      <c r="K78" s="1211"/>
    </row>
    <row r="79" spans="1:20" ht="23.5">
      <c r="D79" s="1216" t="s">
        <v>1226</v>
      </c>
      <c r="F79" s="1213"/>
      <c r="G79" s="1211"/>
      <c r="H79" s="1210"/>
      <c r="I79" s="1210"/>
      <c r="J79" s="1211"/>
      <c r="K79" s="1211"/>
      <c r="Q79" s="8"/>
      <c r="R79" s="8"/>
    </row>
    <row r="80" spans="1:20" ht="23.5">
      <c r="D80" s="1209" t="s">
        <v>1220</v>
      </c>
      <c r="E80" s="1211">
        <f>E71</f>
        <v>301.17415152237265</v>
      </c>
      <c r="F80" s="1212"/>
      <c r="G80" s="8"/>
      <c r="H80" s="1210"/>
      <c r="I80" s="1210"/>
      <c r="J80" s="1211"/>
      <c r="K80" s="1211"/>
    </row>
    <row r="81" spans="4:10" ht="23.5">
      <c r="D81" s="1209" t="s">
        <v>1221</v>
      </c>
      <c r="E81" s="1210">
        <v>200.7</v>
      </c>
      <c r="F81" s="1213"/>
      <c r="G81" s="1211">
        <f>E80/E81</f>
        <v>1.5006185925379805</v>
      </c>
    </row>
    <row r="82" spans="4:10" ht="23.5">
      <c r="G82" s="1211"/>
    </row>
    <row r="83" spans="4:10">
      <c r="I83" s="8"/>
      <c r="J83" s="8"/>
    </row>
  </sheetData>
  <mergeCells count="90">
    <mergeCell ref="B63:R63"/>
    <mergeCell ref="B65:D65"/>
    <mergeCell ref="B66:D66"/>
    <mergeCell ref="B67:D67"/>
    <mergeCell ref="M60:N60"/>
    <mergeCell ref="O60:P60"/>
    <mergeCell ref="Q60:R60"/>
    <mergeCell ref="B60:D62"/>
    <mergeCell ref="S60:T60"/>
    <mergeCell ref="S61:T61"/>
    <mergeCell ref="S62:T62"/>
    <mergeCell ref="E54:T54"/>
    <mergeCell ref="E55:T55"/>
    <mergeCell ref="E56:T56"/>
    <mergeCell ref="E57:T57"/>
    <mergeCell ref="E58:T58"/>
    <mergeCell ref="E60:F60"/>
    <mergeCell ref="G60:H60"/>
    <mergeCell ref="I60:J60"/>
    <mergeCell ref="K60:L60"/>
    <mergeCell ref="S53:T53"/>
    <mergeCell ref="E42:T42"/>
    <mergeCell ref="S43:T43"/>
    <mergeCell ref="S44:T44"/>
    <mergeCell ref="S45:T45"/>
    <mergeCell ref="S46:T46"/>
    <mergeCell ref="S47:T47"/>
    <mergeCell ref="S48:T48"/>
    <mergeCell ref="S49:T49"/>
    <mergeCell ref="E50:T50"/>
    <mergeCell ref="E51:T51"/>
    <mergeCell ref="S52:T52"/>
    <mergeCell ref="S36:T36"/>
    <mergeCell ref="E37:T37"/>
    <mergeCell ref="E38:T38"/>
    <mergeCell ref="E39:T39"/>
    <mergeCell ref="E40:T40"/>
    <mergeCell ref="E41:T41"/>
    <mergeCell ref="Q30:Q32"/>
    <mergeCell ref="R30:R32"/>
    <mergeCell ref="S30:T32"/>
    <mergeCell ref="S33:T33"/>
    <mergeCell ref="S34:T34"/>
    <mergeCell ref="S35:T35"/>
    <mergeCell ref="K30:K32"/>
    <mergeCell ref="L30:L32"/>
    <mergeCell ref="M30:M32"/>
    <mergeCell ref="N30:N32"/>
    <mergeCell ref="O30:O32"/>
    <mergeCell ref="P30:P32"/>
    <mergeCell ref="E30:E32"/>
    <mergeCell ref="F30:F32"/>
    <mergeCell ref="G30:G32"/>
    <mergeCell ref="H30:H32"/>
    <mergeCell ref="I30:I32"/>
    <mergeCell ref="J30:J32"/>
    <mergeCell ref="S24:T24"/>
    <mergeCell ref="S25:T25"/>
    <mergeCell ref="S26:T26"/>
    <mergeCell ref="S27:T27"/>
    <mergeCell ref="S28:T28"/>
    <mergeCell ref="S29:T29"/>
    <mergeCell ref="S23:T23"/>
    <mergeCell ref="S12:T12"/>
    <mergeCell ref="S13:T13"/>
    <mergeCell ref="S14:T14"/>
    <mergeCell ref="S15:T15"/>
    <mergeCell ref="S16:T16"/>
    <mergeCell ref="S17:T17"/>
    <mergeCell ref="S18:T18"/>
    <mergeCell ref="S19:T19"/>
    <mergeCell ref="S20:T20"/>
    <mergeCell ref="S21:T21"/>
    <mergeCell ref="S22:T22"/>
    <mergeCell ref="S11:T11"/>
    <mergeCell ref="B3:T3"/>
    <mergeCell ref="B4:T4"/>
    <mergeCell ref="B5:T5"/>
    <mergeCell ref="A8:U8"/>
    <mergeCell ref="B10:B11"/>
    <mergeCell ref="C10:C11"/>
    <mergeCell ref="D10:D11"/>
    <mergeCell ref="E10:F10"/>
    <mergeCell ref="G10:H10"/>
    <mergeCell ref="I10:J10"/>
    <mergeCell ref="K10:L10"/>
    <mergeCell ref="M10:N10"/>
    <mergeCell ref="O10:P10"/>
    <mergeCell ref="Q10:R10"/>
    <mergeCell ref="S10:T10"/>
  </mergeCells>
  <printOptions horizontalCentered="1"/>
  <pageMargins left="0.25" right="0.25" top="0.5" bottom="0.5" header="0.3" footer="0.3"/>
  <pageSetup paperSize="17" scale="58" fitToHeight="2" orientation="landscape" r:id="rId1"/>
  <headerFooter alignWithMargins="0">
    <oddFooter>&amp;CCalculations: Page &amp;P</oddFooter>
  </headerFooter>
  <rowBreaks count="1" manualBreakCount="1">
    <brk id="32"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00B050"/>
    <pageSetUpPr fitToPage="1"/>
  </sheetPr>
  <dimension ref="A1:BO72"/>
  <sheetViews>
    <sheetView zoomScale="40" zoomScaleNormal="40" zoomScaleSheetLayoutView="40" zoomScalePageLayoutView="40" workbookViewId="0">
      <selection activeCell="U46" sqref="A46:U46"/>
    </sheetView>
  </sheetViews>
  <sheetFormatPr defaultColWidth="9.36328125" defaultRowHeight="13"/>
  <cols>
    <col min="1" max="1" width="3.6328125" style="38" customWidth="1"/>
    <col min="2" max="2" width="71" style="38" customWidth="1"/>
    <col min="3" max="3" width="22.36328125" style="38" customWidth="1"/>
    <col min="4" max="4" width="19.453125" style="38" customWidth="1"/>
    <col min="5" max="18" width="15" style="38" customWidth="1"/>
    <col min="19" max="19" width="3.6328125" style="38" customWidth="1"/>
    <col min="20" max="16384" width="9.36328125" style="38"/>
  </cols>
  <sheetData>
    <row r="1" spans="1:19" ht="13.5" thickBot="1"/>
    <row r="2" spans="1:19" ht="20.25" customHeight="1" thickBot="1">
      <c r="A2" s="33"/>
      <c r="B2" s="34"/>
      <c r="C2" s="34"/>
      <c r="D2" s="34"/>
      <c r="E2" s="34"/>
      <c r="F2" s="34"/>
      <c r="G2" s="34"/>
      <c r="H2" s="34"/>
      <c r="I2" s="34"/>
      <c r="J2" s="34"/>
      <c r="K2" s="34"/>
      <c r="L2" s="34"/>
      <c r="M2" s="34"/>
      <c r="N2" s="34"/>
      <c r="O2" s="34"/>
      <c r="P2" s="34"/>
      <c r="Q2" s="34"/>
      <c r="R2" s="34"/>
      <c r="S2" s="32"/>
    </row>
    <row r="3" spans="1:19" s="2" customFormat="1" ht="39.65" customHeight="1">
      <c r="A3" s="54"/>
      <c r="B3" s="3931" t="s">
        <v>54</v>
      </c>
      <c r="C3" s="3932"/>
      <c r="D3" s="3932"/>
      <c r="E3" s="3932"/>
      <c r="F3" s="3932"/>
      <c r="G3" s="3932"/>
      <c r="H3" s="3932"/>
      <c r="I3" s="3932"/>
      <c r="J3" s="3932"/>
      <c r="K3" s="3932"/>
      <c r="L3" s="3932"/>
      <c r="M3" s="3932"/>
      <c r="N3" s="3932"/>
      <c r="O3" s="3932"/>
      <c r="P3" s="3932"/>
      <c r="Q3" s="3932"/>
      <c r="R3" s="3932"/>
      <c r="S3" s="1565"/>
    </row>
    <row r="4" spans="1:19" s="2" customFormat="1" ht="39.75" customHeight="1">
      <c r="A4" s="54"/>
      <c r="B4" s="3933" t="s">
        <v>634</v>
      </c>
      <c r="C4" s="3934"/>
      <c r="D4" s="3934"/>
      <c r="E4" s="3934"/>
      <c r="F4" s="3934"/>
      <c r="G4" s="3934"/>
      <c r="H4" s="3934"/>
      <c r="I4" s="3934"/>
      <c r="J4" s="3934"/>
      <c r="K4" s="3934"/>
      <c r="L4" s="3934"/>
      <c r="M4" s="3934"/>
      <c r="N4" s="3934"/>
      <c r="O4" s="3934"/>
      <c r="P4" s="3934"/>
      <c r="Q4" s="3934"/>
      <c r="R4" s="3934"/>
      <c r="S4" s="1565"/>
    </row>
    <row r="5" spans="1:19" s="2" customFormat="1" ht="39.75" customHeight="1" thickBot="1">
      <c r="A5" s="54"/>
      <c r="B5" s="3935" t="s">
        <v>1375</v>
      </c>
      <c r="C5" s="3936"/>
      <c r="D5" s="3936"/>
      <c r="E5" s="3936"/>
      <c r="F5" s="3936"/>
      <c r="G5" s="3936"/>
      <c r="H5" s="3936"/>
      <c r="I5" s="3936"/>
      <c r="J5" s="3936"/>
      <c r="K5" s="3936"/>
      <c r="L5" s="3936"/>
      <c r="M5" s="3936"/>
      <c r="N5" s="3936"/>
      <c r="O5" s="3936"/>
      <c r="P5" s="3936"/>
      <c r="Q5" s="3936"/>
      <c r="R5" s="3936"/>
      <c r="S5" s="1584"/>
    </row>
    <row r="6" spans="1:19" ht="21" customHeight="1" thickBot="1">
      <c r="A6" s="31"/>
      <c r="B6" s="25"/>
      <c r="C6" s="25"/>
      <c r="D6" s="25"/>
      <c r="E6" s="25"/>
      <c r="F6" s="25"/>
      <c r="G6" s="25"/>
      <c r="H6" s="25"/>
      <c r="I6" s="25"/>
      <c r="J6" s="25"/>
      <c r="K6" s="25"/>
      <c r="L6" s="25"/>
      <c r="M6" s="25"/>
      <c r="N6" s="25"/>
      <c r="O6" s="25"/>
      <c r="P6" s="25"/>
      <c r="Q6" s="25"/>
      <c r="R6" s="25"/>
      <c r="S6" s="40"/>
    </row>
    <row r="7" spans="1:19" ht="30.75" customHeight="1">
      <c r="B7" s="4"/>
      <c r="C7" s="4"/>
      <c r="D7" s="4"/>
      <c r="E7" s="4"/>
      <c r="F7" s="4"/>
      <c r="G7" s="4"/>
      <c r="H7" s="4"/>
      <c r="I7" s="4"/>
      <c r="J7" s="4"/>
      <c r="K7" s="4"/>
      <c r="L7" s="4"/>
      <c r="M7" s="4"/>
      <c r="N7" s="4"/>
      <c r="O7" s="4"/>
      <c r="P7" s="4"/>
      <c r="Q7" s="4"/>
      <c r="R7" s="4"/>
    </row>
    <row r="8" spans="1:19" ht="16.5" customHeight="1" thickBot="1">
      <c r="B8" s="4"/>
      <c r="C8" s="4"/>
      <c r="D8" s="4"/>
      <c r="E8" s="4"/>
      <c r="F8" s="4"/>
      <c r="G8" s="4"/>
      <c r="H8" s="4"/>
      <c r="I8" s="4"/>
      <c r="J8" s="4"/>
      <c r="K8" s="4"/>
      <c r="L8" s="4"/>
      <c r="M8" s="4"/>
      <c r="N8" s="4"/>
      <c r="O8" s="4"/>
      <c r="P8" s="4"/>
      <c r="Q8" s="4"/>
      <c r="R8" s="4"/>
    </row>
    <row r="9" spans="1:19" ht="32.25" customHeight="1" thickBot="1">
      <c r="A9" s="3937" t="s">
        <v>1368</v>
      </c>
      <c r="B9" s="3938"/>
      <c r="C9" s="3938"/>
      <c r="D9" s="3938"/>
      <c r="E9" s="3938"/>
      <c r="F9" s="3938"/>
      <c r="G9" s="3938"/>
      <c r="H9" s="3938"/>
      <c r="I9" s="3938"/>
      <c r="J9" s="3938"/>
      <c r="K9" s="3938"/>
      <c r="L9" s="3938"/>
      <c r="M9" s="3938"/>
      <c r="N9" s="3938"/>
      <c r="O9" s="3938"/>
      <c r="P9" s="3938"/>
      <c r="Q9" s="3938"/>
      <c r="R9" s="3938"/>
      <c r="S9" s="3939"/>
    </row>
    <row r="10" spans="1:19" ht="24" customHeight="1" thickBot="1">
      <c r="A10" s="33"/>
      <c r="B10" s="34"/>
      <c r="C10" s="34"/>
      <c r="D10" s="34"/>
      <c r="E10" s="34"/>
      <c r="F10" s="34"/>
      <c r="G10" s="34"/>
      <c r="H10" s="34"/>
      <c r="I10" s="34"/>
      <c r="J10" s="34"/>
      <c r="K10" s="34"/>
      <c r="L10" s="34"/>
      <c r="M10" s="34"/>
      <c r="N10" s="34"/>
      <c r="O10" s="34"/>
      <c r="P10" s="34"/>
      <c r="Q10" s="34"/>
      <c r="R10" s="34"/>
      <c r="S10" s="32"/>
    </row>
    <row r="11" spans="1:19" ht="42" customHeight="1">
      <c r="A11" s="36"/>
      <c r="B11" s="3940" t="s">
        <v>91</v>
      </c>
      <c r="C11" s="3942" t="s">
        <v>555</v>
      </c>
      <c r="D11" s="3944" t="s">
        <v>556</v>
      </c>
      <c r="E11" s="3946" t="s">
        <v>21</v>
      </c>
      <c r="F11" s="3947"/>
      <c r="G11" s="3948" t="s">
        <v>0</v>
      </c>
      <c r="H11" s="3949"/>
      <c r="I11" s="3950" t="s">
        <v>103</v>
      </c>
      <c r="J11" s="3951"/>
      <c r="K11" s="3948" t="s">
        <v>51</v>
      </c>
      <c r="L11" s="3949"/>
      <c r="M11" s="3948" t="s">
        <v>1311</v>
      </c>
      <c r="N11" s="3949"/>
      <c r="O11" s="3946" t="s">
        <v>52</v>
      </c>
      <c r="P11" s="3947"/>
      <c r="Q11" s="3948" t="s">
        <v>15</v>
      </c>
      <c r="R11" s="3949"/>
      <c r="S11" s="44"/>
    </row>
    <row r="12" spans="1:19" ht="29.25" customHeight="1" thickBot="1">
      <c r="A12" s="36"/>
      <c r="B12" s="3941"/>
      <c r="C12" s="3943"/>
      <c r="D12" s="3945"/>
      <c r="E12" s="46" t="s">
        <v>22</v>
      </c>
      <c r="F12" s="1539" t="s">
        <v>37</v>
      </c>
      <c r="G12" s="1538" t="s">
        <v>22</v>
      </c>
      <c r="H12" s="45" t="s">
        <v>37</v>
      </c>
      <c r="I12" s="46" t="s">
        <v>22</v>
      </c>
      <c r="J12" s="1539" t="s">
        <v>37</v>
      </c>
      <c r="K12" s="1538" t="s">
        <v>22</v>
      </c>
      <c r="L12" s="45" t="s">
        <v>37</v>
      </c>
      <c r="M12" s="46" t="s">
        <v>22</v>
      </c>
      <c r="N12" s="1387" t="s">
        <v>37</v>
      </c>
      <c r="O12" s="46" t="s">
        <v>22</v>
      </c>
      <c r="P12" s="1539" t="s">
        <v>37</v>
      </c>
      <c r="Q12" s="1538" t="s">
        <v>22</v>
      </c>
      <c r="R12" s="45" t="s">
        <v>37</v>
      </c>
      <c r="S12" s="44"/>
    </row>
    <row r="13" spans="1:19" ht="44.25" customHeight="1">
      <c r="A13" s="36"/>
      <c r="B13" s="175" t="str">
        <f>'Summary-Co 11x17'!B13</f>
        <v>Stabilization Hot Oil Heater
(64.83 MMBtu/hr)</v>
      </c>
      <c r="C13" s="176" t="str">
        <f>'Summary-Co 11x17'!C13</f>
        <v>SHTR1</v>
      </c>
      <c r="D13" s="1196" t="str">
        <f>'Summary-Co 11x17'!D13</f>
        <v>SHTR1</v>
      </c>
      <c r="E13" s="399">
        <f>'Summary-Co 11x17'!E13</f>
        <v>1.730961</v>
      </c>
      <c r="F13" s="400">
        <f>'Summary-Co 11x17'!F13</f>
        <v>7.5816091799999992</v>
      </c>
      <c r="G13" s="399">
        <f>'Summary-Co 11x17'!G13</f>
        <v>1.0567289999999998</v>
      </c>
      <c r="H13" s="400">
        <f>'Summary-Co 11x17'!H13</f>
        <v>4.6284730199999995</v>
      </c>
      <c r="I13" s="399">
        <f>'Summary-Co 11x17'!I13</f>
        <v>0.414912</v>
      </c>
      <c r="J13" s="400">
        <f>'Summary-Co 11x17'!J13</f>
        <v>1.81731456</v>
      </c>
      <c r="K13" s="399">
        <f>'Summary-Co 11x17'!K13</f>
        <v>0.14300735294117647</v>
      </c>
      <c r="L13" s="400">
        <f>'Summary-Co 11x17'!L13</f>
        <v>0.62637220588235298</v>
      </c>
      <c r="M13" s="399">
        <f>'Summary-Co 11x17'!M13</f>
        <v>0.48304705882352933</v>
      </c>
      <c r="N13" s="400">
        <f>'Summary-Co 11x17'!N13</f>
        <v>2.1157461176470584</v>
      </c>
      <c r="O13" s="399">
        <f>'Summary-Co 11x17'!O13</f>
        <v>0.48304705882352933</v>
      </c>
      <c r="P13" s="400">
        <f>'Summary-Co 11x17'!P13</f>
        <v>2.1157461176470584</v>
      </c>
      <c r="Q13" s="399">
        <f>'Summary-Co 11x17'!Q13</f>
        <v>0.11959863823529414</v>
      </c>
      <c r="R13" s="1526">
        <f>'Summary-Co 11x17'!R13</f>
        <v>0.52384203547058827</v>
      </c>
      <c r="S13" s="44"/>
    </row>
    <row r="14" spans="1:19" ht="44.15" customHeight="1">
      <c r="A14" s="36"/>
      <c r="B14" s="175" t="str">
        <f>'Summary-Co 11x17'!B14</f>
        <v>Stabilization Hot Oil Heater
(64.83 MMBtu/hr)</v>
      </c>
      <c r="C14" s="176" t="str">
        <f>'Summary-Co 11x17'!C14</f>
        <v>SHTR2</v>
      </c>
      <c r="D14" s="1196" t="str">
        <f>'Summary-Co 11x17'!D14</f>
        <v>SHTR2</v>
      </c>
      <c r="E14" s="1560">
        <f>'Summary-Co 11x17'!E14</f>
        <v>1.730961</v>
      </c>
      <c r="F14" s="575">
        <f>'Summary-Co 11x17'!F14</f>
        <v>7.5816091799999992</v>
      </c>
      <c r="G14" s="1560">
        <f>'Summary-Co 11x17'!G14</f>
        <v>1.0567289999999998</v>
      </c>
      <c r="H14" s="575">
        <f>'Summary-Co 11x17'!H14</f>
        <v>4.6284730199999995</v>
      </c>
      <c r="I14" s="1560">
        <f>'Summary-Co 11x17'!I14</f>
        <v>0.414912</v>
      </c>
      <c r="J14" s="575">
        <f>'Summary-Co 11x17'!J14</f>
        <v>1.81731456</v>
      </c>
      <c r="K14" s="1560">
        <f>'Summary-Co 11x17'!K14</f>
        <v>0.14300735294117647</v>
      </c>
      <c r="L14" s="575">
        <f>'Summary-Co 11x17'!L14</f>
        <v>0.62637220588235298</v>
      </c>
      <c r="M14" s="1560">
        <f>'Summary-Co 11x17'!M14</f>
        <v>0.48304705882352933</v>
      </c>
      <c r="N14" s="575">
        <f>'Summary-Co 11x17'!N14</f>
        <v>2.1157461176470584</v>
      </c>
      <c r="O14" s="1560">
        <f>'Summary-Co 11x17'!O14</f>
        <v>0.48304705882352933</v>
      </c>
      <c r="P14" s="575">
        <f>'Summary-Co 11x17'!P14</f>
        <v>2.1157461176470584</v>
      </c>
      <c r="Q14" s="1560">
        <f>'Summary-Co 11x17'!Q14</f>
        <v>0.11959863823529414</v>
      </c>
      <c r="R14" s="1614">
        <f>'Summary-Co 11x17'!R14</f>
        <v>0.52384203547058827</v>
      </c>
      <c r="S14" s="44"/>
    </row>
    <row r="15" spans="1:19" ht="44.15" customHeight="1">
      <c r="A15" s="36"/>
      <c r="B15" s="175" t="str">
        <f>'Summary-Co 11x17'!B15</f>
        <v>Regen Heater 
(39.14 MMBtu/hr)</v>
      </c>
      <c r="C15" s="176" t="str">
        <f>'Summary-Co 11x17'!C15</f>
        <v>RHTR1</v>
      </c>
      <c r="D15" s="1196" t="str">
        <f>'Summary-Co 11x17'!D15</f>
        <v>RHTR1</v>
      </c>
      <c r="E15" s="1362">
        <f>'Summary-Co 11x17'!E15</f>
        <v>1.0450380000000001</v>
      </c>
      <c r="F15" s="1363">
        <f>'Summary-Co 11x17'!F15</f>
        <v>4.5772664400000007</v>
      </c>
      <c r="G15" s="1362">
        <f>'Summary-Co 11x17'!G15</f>
        <v>0.63798199999999994</v>
      </c>
      <c r="H15" s="1363">
        <f>'Summary-Co 11x17'!H15</f>
        <v>2.7943611599999998</v>
      </c>
      <c r="I15" s="1362">
        <f>'Summary-Co 11x17'!I15</f>
        <v>0.250496</v>
      </c>
      <c r="J15" s="1363">
        <f>'Summary-Co 11x17'!J15</f>
        <v>1.09717248</v>
      </c>
      <c r="K15" s="1362">
        <f>'Summary-Co 11x17'!K15</f>
        <v>8.633823529411766E-2</v>
      </c>
      <c r="L15" s="1363">
        <f>'Summary-Co 11x17'!L15</f>
        <v>0.37816147058823535</v>
      </c>
      <c r="M15" s="1362">
        <f>'Summary-Co 11x17'!M15</f>
        <v>0.29163137254901961</v>
      </c>
      <c r="N15" s="1363">
        <f>'Summary-Co 11x17'!N15</f>
        <v>1.2773454117647058</v>
      </c>
      <c r="O15" s="1362">
        <f>'Summary-Co 11x17'!O15</f>
        <v>0.29163137254901961</v>
      </c>
      <c r="P15" s="1363">
        <f>'Summary-Co 11x17'!P15</f>
        <v>1.2773454117647058</v>
      </c>
      <c r="Q15" s="1362">
        <f>'Summary-Co 11x17'!Q15</f>
        <v>7.2205625490196074E-2</v>
      </c>
      <c r="R15" s="1472">
        <f>'Summary-Co 11x17'!R15</f>
        <v>0.31626063964705881</v>
      </c>
      <c r="S15" s="44"/>
    </row>
    <row r="16" spans="1:19" ht="44.15" customHeight="1">
      <c r="A16" s="36"/>
      <c r="B16" s="175" t="str">
        <f>'Summary-Co 11x17'!B16</f>
        <v>Regen Heater
(39.14 MMBtu/hr)</v>
      </c>
      <c r="C16" s="176" t="str">
        <f>'Summary-Co 11x17'!C16</f>
        <v>RHTR2</v>
      </c>
      <c r="D16" s="1196" t="str">
        <f>'Summary-Co 11x17'!D16</f>
        <v>RHTR2</v>
      </c>
      <c r="E16" s="1362">
        <f>'Summary-Co 11x17'!E16</f>
        <v>1.0450380000000001</v>
      </c>
      <c r="F16" s="1363">
        <f>'Summary-Co 11x17'!F16</f>
        <v>4.5772664400000007</v>
      </c>
      <c r="G16" s="1362">
        <f>'Summary-Co 11x17'!G16</f>
        <v>0.63798199999999994</v>
      </c>
      <c r="H16" s="1363">
        <f>'Summary-Co 11x17'!H16</f>
        <v>2.7943611599999998</v>
      </c>
      <c r="I16" s="1362">
        <f>'Summary-Co 11x17'!I16</f>
        <v>0.250496</v>
      </c>
      <c r="J16" s="1363">
        <f>'Summary-Co 11x17'!J16</f>
        <v>1.09717248</v>
      </c>
      <c r="K16" s="1362">
        <f>'Summary-Co 11x17'!K16</f>
        <v>8.633823529411766E-2</v>
      </c>
      <c r="L16" s="1363">
        <f>'Summary-Co 11x17'!L16</f>
        <v>0.37816147058823535</v>
      </c>
      <c r="M16" s="1362">
        <f>'Summary-Co 11x17'!M16</f>
        <v>0.29163137254901961</v>
      </c>
      <c r="N16" s="1363">
        <f>'Summary-Co 11x17'!N16</f>
        <v>1.2773454117647058</v>
      </c>
      <c r="O16" s="1362">
        <f>'Summary-Co 11x17'!O16</f>
        <v>0.29163137254901961</v>
      </c>
      <c r="P16" s="1363">
        <f>'Summary-Co 11x17'!P16</f>
        <v>1.2773454117647058</v>
      </c>
      <c r="Q16" s="1362">
        <f>'Summary-Co 11x17'!Q16</f>
        <v>7.2205625490196074E-2</v>
      </c>
      <c r="R16" s="1472">
        <f>'Summary-Co 11x17'!R16</f>
        <v>0.31626063964705881</v>
      </c>
      <c r="S16" s="44"/>
    </row>
    <row r="17" spans="1:20" ht="44.15" customHeight="1">
      <c r="A17" s="36"/>
      <c r="B17" s="175" t="str">
        <f>'Summary-Co 11x17'!B17</f>
        <v>Regen Heater
(39.14 MMBtu/hr)</v>
      </c>
      <c r="C17" s="176" t="str">
        <f>'Summary-Co 11x17'!C17</f>
        <v>RHTR3</v>
      </c>
      <c r="D17" s="1196" t="str">
        <f>'Summary-Co 11x17'!D17</f>
        <v>RHTR3</v>
      </c>
      <c r="E17" s="1362">
        <f>'Summary-Co 11x17'!E17</f>
        <v>1.0450380000000001</v>
      </c>
      <c r="F17" s="1363">
        <f>'Summary-Co 11x17'!F17</f>
        <v>4.5772664400000007</v>
      </c>
      <c r="G17" s="1362">
        <f>'Summary-Co 11x17'!G17</f>
        <v>0.63798199999999994</v>
      </c>
      <c r="H17" s="1363">
        <f>'Summary-Co 11x17'!H17</f>
        <v>2.7943611599999998</v>
      </c>
      <c r="I17" s="1362">
        <f>'Summary-Co 11x17'!I17</f>
        <v>0.250496</v>
      </c>
      <c r="J17" s="1363">
        <f>'Summary-Co 11x17'!J17</f>
        <v>1.09717248</v>
      </c>
      <c r="K17" s="1362">
        <f>'Summary-Co 11x17'!K17</f>
        <v>8.633823529411766E-2</v>
      </c>
      <c r="L17" s="1363">
        <f>'Summary-Co 11x17'!L17</f>
        <v>0.37816147058823535</v>
      </c>
      <c r="M17" s="1362">
        <f>'Summary-Co 11x17'!M17</f>
        <v>0.29163137254901961</v>
      </c>
      <c r="N17" s="1363">
        <f>'Summary-Co 11x17'!N17</f>
        <v>1.2773454117647058</v>
      </c>
      <c r="O17" s="1362">
        <f>'Summary-Co 11x17'!O17</f>
        <v>0.29163137254901961</v>
      </c>
      <c r="P17" s="1363">
        <f>'Summary-Co 11x17'!P17</f>
        <v>1.2773454117647058</v>
      </c>
      <c r="Q17" s="1362">
        <f>'Summary-Co 11x17'!Q17</f>
        <v>7.2205625490196074E-2</v>
      </c>
      <c r="R17" s="1472">
        <f>'Summary-Co 11x17'!R17</f>
        <v>0.31626063964705881</v>
      </c>
      <c r="S17" s="44"/>
    </row>
    <row r="18" spans="1:20" ht="44.15" customHeight="1">
      <c r="A18" s="36"/>
      <c r="B18" s="175" t="str">
        <f>'Summary-Co 11x17'!B18</f>
        <v>SSM/Emergency 
Flare 1 
(Dual Tip Flare)</v>
      </c>
      <c r="C18" s="176" t="str">
        <f>'Summary-Co 11x17'!C18</f>
        <v>FL1-FL3 - 
Pilot/Purge</v>
      </c>
      <c r="D18" s="1196" t="str">
        <f>'Summary-Co 11x17'!D18</f>
        <v>FL1-FL3 - 
Pilot/Purge</v>
      </c>
      <c r="E18" s="3928" t="s">
        <v>1371</v>
      </c>
      <c r="F18" s="3929"/>
      <c r="G18" s="3929"/>
      <c r="H18" s="3929"/>
      <c r="I18" s="3929"/>
      <c r="J18" s="3929"/>
      <c r="K18" s="3929"/>
      <c r="L18" s="3929"/>
      <c r="M18" s="3929"/>
      <c r="N18" s="3929"/>
      <c r="O18" s="3929"/>
      <c r="P18" s="3929"/>
      <c r="Q18" s="3929"/>
      <c r="R18" s="3930"/>
      <c r="S18" s="44"/>
    </row>
    <row r="19" spans="1:20" ht="44.15" customHeight="1">
      <c r="A19" s="36"/>
      <c r="B19" s="175" t="str">
        <f>'Summary-Co 11x17'!B19</f>
        <v>SSM/Emergency 
Flare 2 
(Dual Tip Flare)</v>
      </c>
      <c r="C19" s="176">
        <f>'Summary-Co 11x17'!C19</f>
        <v>0</v>
      </c>
      <c r="D19" s="1196">
        <f>'Summary-Co 11x17'!D19</f>
        <v>0</v>
      </c>
      <c r="E19" s="3928" t="s">
        <v>1371</v>
      </c>
      <c r="F19" s="3929"/>
      <c r="G19" s="3929"/>
      <c r="H19" s="3929"/>
      <c r="I19" s="3929"/>
      <c r="J19" s="3929"/>
      <c r="K19" s="3929"/>
      <c r="L19" s="3929"/>
      <c r="M19" s="3929"/>
      <c r="N19" s="3929"/>
      <c r="O19" s="3929"/>
      <c r="P19" s="3929"/>
      <c r="Q19" s="3929"/>
      <c r="R19" s="3930"/>
      <c r="S19" s="44"/>
    </row>
    <row r="20" spans="1:20" ht="44.15" customHeight="1">
      <c r="A20" s="36"/>
      <c r="B20" s="175" t="str">
        <f>'Summary-Co 11x17'!B20</f>
        <v>Backup SSM/Emergency 
Flare 3 
(Dual Tip Flare)</v>
      </c>
      <c r="C20" s="176">
        <f>'Summary-Co 11x17'!C20</f>
        <v>0</v>
      </c>
      <c r="D20" s="1196">
        <f>'Summary-Co 11x17'!D20</f>
        <v>0</v>
      </c>
      <c r="E20" s="3928" t="s">
        <v>1371</v>
      </c>
      <c r="F20" s="3929"/>
      <c r="G20" s="3929"/>
      <c r="H20" s="3929"/>
      <c r="I20" s="3929"/>
      <c r="J20" s="3929"/>
      <c r="K20" s="3929"/>
      <c r="L20" s="3929"/>
      <c r="M20" s="3929"/>
      <c r="N20" s="3929"/>
      <c r="O20" s="3929"/>
      <c r="P20" s="3929"/>
      <c r="Q20" s="3929"/>
      <c r="R20" s="3930"/>
      <c r="S20" s="44"/>
    </row>
    <row r="21" spans="1:20" ht="44.15" customHeight="1">
      <c r="A21" s="36"/>
      <c r="B21" s="175" t="str">
        <f>'Summary-Co 11x17'!B21</f>
        <v>Oil Storage 1 (100,000 bbl)</v>
      </c>
      <c r="C21" s="176" t="str">
        <f>'Summary-Co 11x17'!C21</f>
        <v>IFR1</v>
      </c>
      <c r="D21" s="1196" t="str">
        <f>'Summary-Co 11x17'!D21</f>
        <v>IFR1</v>
      </c>
      <c r="E21" s="1560" t="str">
        <f>'Summary-NoCo'!E36</f>
        <v>--</v>
      </c>
      <c r="F21" s="575" t="str">
        <f>'Summary-NoCo'!F36</f>
        <v>--</v>
      </c>
      <c r="G21" s="1560" t="str">
        <f>'Summary-NoCo'!G36</f>
        <v>--</v>
      </c>
      <c r="H21" s="576" t="str">
        <f>'Summary-NoCo'!H36</f>
        <v>--</v>
      </c>
      <c r="I21" s="1560">
        <f>'Summary-NoCo'!I36</f>
        <v>1.1752020371542549</v>
      </c>
      <c r="J21" s="576">
        <f>'Summary-NoCo'!J36</f>
        <v>5.1473849227356343</v>
      </c>
      <c r="K21" s="1560" t="str">
        <f>'Summary-NoCo'!K36</f>
        <v>--</v>
      </c>
      <c r="L21" s="576" t="str">
        <f>'Summary-NoCo'!L36</f>
        <v>--</v>
      </c>
      <c r="M21" s="1560" t="str">
        <f>'Summary-NoCo'!M36</f>
        <v>--</v>
      </c>
      <c r="N21" s="576" t="str">
        <f>'Summary-NoCo'!N36</f>
        <v>--</v>
      </c>
      <c r="O21" s="1560" t="str">
        <f>'Summary-NoCo'!O36</f>
        <v>--</v>
      </c>
      <c r="P21" s="576" t="str">
        <f>'Summary-NoCo'!P36</f>
        <v>--</v>
      </c>
      <c r="Q21" s="1560">
        <f>'Summary-NoCo'!Q36</f>
        <v>6.7739254805280091E-2</v>
      </c>
      <c r="R21" s="576">
        <f>'Summary-NoCo'!R36</f>
        <v>0.2966979360471268</v>
      </c>
      <c r="S21" s="44"/>
    </row>
    <row r="22" spans="1:20" ht="44.15" customHeight="1">
      <c r="A22" s="36"/>
      <c r="B22" s="175" t="str">
        <f>'Summary-Co 11x17'!B22</f>
        <v>Oil Storage 2 (100,000 bbl)</v>
      </c>
      <c r="C22" s="176" t="str">
        <f>'Summary-Co 11x17'!C22</f>
        <v>IFR2</v>
      </c>
      <c r="D22" s="1196" t="str">
        <f>'Summary-Co 11x17'!D22</f>
        <v>IFR2</v>
      </c>
      <c r="E22" s="1560" t="str">
        <f>'Summary-NoCo'!E37</f>
        <v>--</v>
      </c>
      <c r="F22" s="575" t="str">
        <f>'Summary-NoCo'!F37</f>
        <v>--</v>
      </c>
      <c r="G22" s="1560" t="str">
        <f>'Summary-NoCo'!G37</f>
        <v>--</v>
      </c>
      <c r="H22" s="576" t="str">
        <f>'Summary-NoCo'!H37</f>
        <v>--</v>
      </c>
      <c r="I22" s="1560">
        <f>'Summary-NoCo'!I37</f>
        <v>1.1752020371542549</v>
      </c>
      <c r="J22" s="576">
        <f>'Summary-NoCo'!J37</f>
        <v>5.1473849227356343</v>
      </c>
      <c r="K22" s="1560" t="str">
        <f>'Summary-NoCo'!K37</f>
        <v>--</v>
      </c>
      <c r="L22" s="576" t="str">
        <f>'Summary-NoCo'!L37</f>
        <v>--</v>
      </c>
      <c r="M22" s="1560" t="str">
        <f>'Summary-NoCo'!M37</f>
        <v>--</v>
      </c>
      <c r="N22" s="576" t="str">
        <f>'Summary-NoCo'!N37</f>
        <v>--</v>
      </c>
      <c r="O22" s="1560" t="str">
        <f>'Summary-NoCo'!O37</f>
        <v>--</v>
      </c>
      <c r="P22" s="576" t="str">
        <f>'Summary-NoCo'!P37</f>
        <v>--</v>
      </c>
      <c r="Q22" s="1560">
        <f>'Summary-NoCo'!Q37</f>
        <v>6.7739254805280091E-2</v>
      </c>
      <c r="R22" s="576">
        <f>'Summary-NoCo'!R37</f>
        <v>0.2966979360471268</v>
      </c>
      <c r="S22" s="44"/>
    </row>
    <row r="23" spans="1:20" ht="44.15" customHeight="1">
      <c r="A23" s="36"/>
      <c r="B23" s="175" t="str">
        <f>'Summary-Co 11x17'!B23</f>
        <v>Oil Storage 3 (100,000 bbl)</v>
      </c>
      <c r="C23" s="176" t="str">
        <f>'Summary-Co 11x17'!C23</f>
        <v>IFR3</v>
      </c>
      <c r="D23" s="1196" t="str">
        <f>'Summary-Co 11x17'!D23</f>
        <v>IFR3</v>
      </c>
      <c r="E23" s="1560" t="str">
        <f>'Summary-NoCo'!E38</f>
        <v>--</v>
      </c>
      <c r="F23" s="575" t="str">
        <f>'Summary-NoCo'!F38</f>
        <v>--</v>
      </c>
      <c r="G23" s="1560" t="str">
        <f>'Summary-NoCo'!G38</f>
        <v>--</v>
      </c>
      <c r="H23" s="576" t="str">
        <f>'Summary-NoCo'!H38</f>
        <v>--</v>
      </c>
      <c r="I23" s="1560">
        <f>'Summary-NoCo'!I38</f>
        <v>1.1752020371542549</v>
      </c>
      <c r="J23" s="576">
        <f>'Summary-NoCo'!J38</f>
        <v>5.1473849227356343</v>
      </c>
      <c r="K23" s="1560" t="str">
        <f>'Summary-NoCo'!K38</f>
        <v>--</v>
      </c>
      <c r="L23" s="576" t="str">
        <f>'Summary-NoCo'!L38</f>
        <v>--</v>
      </c>
      <c r="M23" s="1560" t="str">
        <f>'Summary-NoCo'!M38</f>
        <v>--</v>
      </c>
      <c r="N23" s="576" t="str">
        <f>'Summary-NoCo'!N38</f>
        <v>--</v>
      </c>
      <c r="O23" s="1560" t="str">
        <f>'Summary-NoCo'!O38</f>
        <v>--</v>
      </c>
      <c r="P23" s="576" t="str">
        <f>'Summary-NoCo'!P38</f>
        <v>--</v>
      </c>
      <c r="Q23" s="1560">
        <f>'Summary-NoCo'!Q38</f>
        <v>6.7739254805280091E-2</v>
      </c>
      <c r="R23" s="576">
        <f>'Summary-NoCo'!R38</f>
        <v>0.2966979360471268</v>
      </c>
      <c r="S23" s="44"/>
    </row>
    <row r="24" spans="1:20" ht="44.15" customHeight="1">
      <c r="A24" s="36"/>
      <c r="B24" s="175" t="str">
        <f>'Summary-Co 11x17'!B24</f>
        <v>Oil Storage 4 (100,000 bbl)</v>
      </c>
      <c r="C24" s="176" t="str">
        <f>'Summary-Co 11x17'!C24</f>
        <v>IFR4</v>
      </c>
      <c r="D24" s="1196" t="str">
        <f>'Summary-Co 11x17'!D24</f>
        <v>IFR4</v>
      </c>
      <c r="E24" s="1560" t="str">
        <f>'Summary-NoCo'!E39</f>
        <v>--</v>
      </c>
      <c r="F24" s="575" t="str">
        <f>'Summary-NoCo'!F39</f>
        <v>--</v>
      </c>
      <c r="G24" s="1560" t="str">
        <f>'Summary-NoCo'!G39</f>
        <v>--</v>
      </c>
      <c r="H24" s="576" t="str">
        <f>'Summary-NoCo'!H39</f>
        <v>--</v>
      </c>
      <c r="I24" s="1560">
        <f>'Summary-NoCo'!I39</f>
        <v>1.1752020371542549</v>
      </c>
      <c r="J24" s="576">
        <f>'Summary-NoCo'!J39</f>
        <v>5.1473849227356343</v>
      </c>
      <c r="K24" s="1560" t="str">
        <f>'Summary-NoCo'!K39</f>
        <v>--</v>
      </c>
      <c r="L24" s="576" t="str">
        <f>'Summary-NoCo'!L39</f>
        <v>--</v>
      </c>
      <c r="M24" s="1560" t="str">
        <f>'Summary-NoCo'!M39</f>
        <v>--</v>
      </c>
      <c r="N24" s="576" t="str">
        <f>'Summary-NoCo'!N39</f>
        <v>--</v>
      </c>
      <c r="O24" s="1560" t="str">
        <f>'Summary-NoCo'!O39</f>
        <v>--</v>
      </c>
      <c r="P24" s="576" t="str">
        <f>'Summary-NoCo'!P39</f>
        <v>--</v>
      </c>
      <c r="Q24" s="1560">
        <f>'Summary-NoCo'!Q39</f>
        <v>6.7739254805280091E-2</v>
      </c>
      <c r="R24" s="576">
        <f>'Summary-NoCo'!R39</f>
        <v>0.2966979360471268</v>
      </c>
      <c r="S24" s="44"/>
    </row>
    <row r="25" spans="1:20" ht="44.15" customHeight="1">
      <c r="A25" s="36"/>
      <c r="B25" s="175" t="str">
        <f>'Summary-Co 11x17'!B25</f>
        <v>3rd-Party Oil Storage 1</v>
      </c>
      <c r="C25" s="176" t="str">
        <f>'Summary-Co 11x17'!C25</f>
        <v>OTK1</v>
      </c>
      <c r="D25" s="1196" t="str">
        <f>'Summary-Co 11x17'!D25</f>
        <v>OTK1</v>
      </c>
      <c r="E25" s="1289" t="s">
        <v>445</v>
      </c>
      <c r="F25" s="1290" t="s">
        <v>445</v>
      </c>
      <c r="G25" s="1289" t="s">
        <v>445</v>
      </c>
      <c r="H25" s="1290" t="s">
        <v>445</v>
      </c>
      <c r="I25" s="1560">
        <f>'Tank Summary'!L15</f>
        <v>25.094700837614305</v>
      </c>
      <c r="J25" s="576">
        <f>'Tank Summary'!M15</f>
        <v>109.91478966875064</v>
      </c>
      <c r="K25" s="1289" t="s">
        <v>445</v>
      </c>
      <c r="L25" s="1290" t="s">
        <v>445</v>
      </c>
      <c r="M25" s="1289" t="s">
        <v>445</v>
      </c>
      <c r="N25" s="1290" t="s">
        <v>445</v>
      </c>
      <c r="O25" s="1289" t="s">
        <v>445</v>
      </c>
      <c r="P25" s="1290" t="s">
        <v>445</v>
      </c>
      <c r="Q25" s="1289" t="s">
        <v>445</v>
      </c>
      <c r="R25" s="1562" t="s">
        <v>445</v>
      </c>
      <c r="S25" s="44"/>
    </row>
    <row r="26" spans="1:20" ht="44.15" customHeight="1">
      <c r="A26" s="36"/>
      <c r="B26" s="175" t="str">
        <f>'Summary-Co 11x17'!B26</f>
        <v>3rd-Party Oil Storage 2</v>
      </c>
      <c r="C26" s="176" t="str">
        <f>'Summary-Co 11x17'!C26</f>
        <v>OTK2</v>
      </c>
      <c r="D26" s="1196" t="str">
        <f>'Summary-Co 11x17'!D26</f>
        <v>OTK2</v>
      </c>
      <c r="E26" s="1289" t="s">
        <v>445</v>
      </c>
      <c r="F26" s="1290" t="s">
        <v>445</v>
      </c>
      <c r="G26" s="1289" t="s">
        <v>445</v>
      </c>
      <c r="H26" s="1290" t="s">
        <v>445</v>
      </c>
      <c r="I26" s="1560">
        <f>I25</f>
        <v>25.094700837614305</v>
      </c>
      <c r="J26" s="576">
        <f>J25</f>
        <v>109.91478966875064</v>
      </c>
      <c r="K26" s="1289" t="s">
        <v>445</v>
      </c>
      <c r="L26" s="1290" t="s">
        <v>445</v>
      </c>
      <c r="M26" s="1289" t="s">
        <v>445</v>
      </c>
      <c r="N26" s="1290" t="s">
        <v>445</v>
      </c>
      <c r="O26" s="1289" t="s">
        <v>445</v>
      </c>
      <c r="P26" s="1290" t="s">
        <v>445</v>
      </c>
      <c r="Q26" s="1289" t="s">
        <v>445</v>
      </c>
      <c r="R26" s="1563" t="s">
        <v>445</v>
      </c>
      <c r="S26" s="44"/>
    </row>
    <row r="27" spans="1:20" ht="44.15" customHeight="1">
      <c r="A27" s="36"/>
      <c r="B27" s="175" t="str">
        <f>'Summary-Co 11x17'!B27</f>
        <v>3rd-Party Oil Storage 3</v>
      </c>
      <c r="C27" s="176" t="str">
        <f>'Summary-Co 11x17'!C27</f>
        <v>OTK3</v>
      </c>
      <c r="D27" s="1196" t="str">
        <f>'Summary-Co 11x17'!D27</f>
        <v>OTK3</v>
      </c>
      <c r="E27" s="1289" t="s">
        <v>445</v>
      </c>
      <c r="F27" s="1290" t="s">
        <v>445</v>
      </c>
      <c r="G27" s="1289" t="s">
        <v>445</v>
      </c>
      <c r="H27" s="1290" t="s">
        <v>445</v>
      </c>
      <c r="I27" s="1560">
        <f t="shared" ref="I27:J30" si="0">I26</f>
        <v>25.094700837614305</v>
      </c>
      <c r="J27" s="576">
        <f t="shared" si="0"/>
        <v>109.91478966875064</v>
      </c>
      <c r="K27" s="1289" t="s">
        <v>445</v>
      </c>
      <c r="L27" s="1290" t="s">
        <v>445</v>
      </c>
      <c r="M27" s="1289" t="s">
        <v>445</v>
      </c>
      <c r="N27" s="1290" t="s">
        <v>445</v>
      </c>
      <c r="O27" s="1289" t="s">
        <v>445</v>
      </c>
      <c r="P27" s="1290" t="s">
        <v>445</v>
      </c>
      <c r="Q27" s="1289" t="s">
        <v>445</v>
      </c>
      <c r="R27" s="1563" t="s">
        <v>445</v>
      </c>
      <c r="S27" s="44"/>
    </row>
    <row r="28" spans="1:20" ht="44.25" customHeight="1">
      <c r="A28" s="36"/>
      <c r="B28" s="175" t="str">
        <f>'Summary-Co 11x17'!B28</f>
        <v>3rd-Party Oil Storage 4</v>
      </c>
      <c r="C28" s="176" t="str">
        <f>'Summary-Co 11x17'!C28</f>
        <v>OTK4</v>
      </c>
      <c r="D28" s="1196" t="str">
        <f>'Summary-Co 11x17'!D28</f>
        <v>OTK4</v>
      </c>
      <c r="E28" s="1289" t="s">
        <v>445</v>
      </c>
      <c r="F28" s="1290" t="s">
        <v>445</v>
      </c>
      <c r="G28" s="1289" t="s">
        <v>445</v>
      </c>
      <c r="H28" s="1290" t="s">
        <v>445</v>
      </c>
      <c r="I28" s="1560">
        <f t="shared" si="0"/>
        <v>25.094700837614305</v>
      </c>
      <c r="J28" s="576">
        <f t="shared" si="0"/>
        <v>109.91478966875064</v>
      </c>
      <c r="K28" s="1289" t="s">
        <v>445</v>
      </c>
      <c r="L28" s="1290" t="s">
        <v>445</v>
      </c>
      <c r="M28" s="1289" t="s">
        <v>445</v>
      </c>
      <c r="N28" s="1290" t="s">
        <v>445</v>
      </c>
      <c r="O28" s="1289" t="s">
        <v>445</v>
      </c>
      <c r="P28" s="1290" t="s">
        <v>445</v>
      </c>
      <c r="Q28" s="1289" t="s">
        <v>445</v>
      </c>
      <c r="R28" s="1563" t="s">
        <v>445</v>
      </c>
      <c r="S28" s="44"/>
    </row>
    <row r="29" spans="1:20" ht="44.25" customHeight="1">
      <c r="A29" s="36"/>
      <c r="B29" s="175" t="str">
        <f>'Summary-Co 11x17'!B29</f>
        <v>3rd-Party Oil Storage 5</v>
      </c>
      <c r="C29" s="176" t="str">
        <f>'Summary-Co 11x17'!C29</f>
        <v>OTK5</v>
      </c>
      <c r="D29" s="1196" t="str">
        <f>'Summary-Co 11x17'!D29</f>
        <v>OTK5</v>
      </c>
      <c r="E29" s="1289" t="s">
        <v>445</v>
      </c>
      <c r="F29" s="1290" t="s">
        <v>445</v>
      </c>
      <c r="G29" s="1289" t="s">
        <v>445</v>
      </c>
      <c r="H29" s="1290" t="s">
        <v>445</v>
      </c>
      <c r="I29" s="1560">
        <f t="shared" si="0"/>
        <v>25.094700837614305</v>
      </c>
      <c r="J29" s="576">
        <f t="shared" si="0"/>
        <v>109.91478966875064</v>
      </c>
      <c r="K29" s="1289" t="s">
        <v>445</v>
      </c>
      <c r="L29" s="1290" t="s">
        <v>445</v>
      </c>
      <c r="M29" s="1289" t="s">
        <v>445</v>
      </c>
      <c r="N29" s="1290" t="s">
        <v>445</v>
      </c>
      <c r="O29" s="1289" t="s">
        <v>445</v>
      </c>
      <c r="P29" s="1290" t="s">
        <v>445</v>
      </c>
      <c r="Q29" s="1289" t="s">
        <v>445</v>
      </c>
      <c r="R29" s="1563" t="s">
        <v>445</v>
      </c>
      <c r="S29" s="44"/>
    </row>
    <row r="30" spans="1:20" ht="44.25" customHeight="1">
      <c r="A30" s="819"/>
      <c r="B30" s="175" t="str">
        <f>'Summary-Co 11x17'!B30</f>
        <v>3rd-Party Oil Storage 6</v>
      </c>
      <c r="C30" s="176" t="str">
        <f>'Summary-Co 11x17'!C30</f>
        <v>OTK6</v>
      </c>
      <c r="D30" s="1196" t="str">
        <f>'Summary-Co 11x17'!D30</f>
        <v>OTK6</v>
      </c>
      <c r="E30" s="1289" t="s">
        <v>445</v>
      </c>
      <c r="F30" s="1290" t="s">
        <v>445</v>
      </c>
      <c r="G30" s="1289" t="s">
        <v>445</v>
      </c>
      <c r="H30" s="1290" t="s">
        <v>445</v>
      </c>
      <c r="I30" s="1560">
        <f t="shared" si="0"/>
        <v>25.094700837614305</v>
      </c>
      <c r="J30" s="576">
        <f t="shared" si="0"/>
        <v>109.91478966875064</v>
      </c>
      <c r="K30" s="1289" t="s">
        <v>445</v>
      </c>
      <c r="L30" s="1290" t="s">
        <v>445</v>
      </c>
      <c r="M30" s="1289" t="s">
        <v>445</v>
      </c>
      <c r="N30" s="1290" t="s">
        <v>445</v>
      </c>
      <c r="O30" s="1289" t="s">
        <v>445</v>
      </c>
      <c r="P30" s="1290" t="s">
        <v>445</v>
      </c>
      <c r="Q30" s="1289" t="s">
        <v>445</v>
      </c>
      <c r="R30" s="1563" t="s">
        <v>445</v>
      </c>
      <c r="S30" s="44"/>
    </row>
    <row r="31" spans="1:20" ht="44.25" customHeight="1">
      <c r="A31" s="36"/>
      <c r="B31" s="175" t="str">
        <f>'Summary-Co 11x17'!B31</f>
        <v>Combustor</v>
      </c>
      <c r="C31" s="176" t="str">
        <f>'Summary-Co 11x17'!C31</f>
        <v>ECD1</v>
      </c>
      <c r="D31" s="1196" t="str">
        <f>'Summary-Co 11x17'!D31</f>
        <v>ECD1</v>
      </c>
      <c r="E31" s="3928" t="s">
        <v>1371</v>
      </c>
      <c r="F31" s="3929"/>
      <c r="G31" s="3929"/>
      <c r="H31" s="3929"/>
      <c r="I31" s="3929"/>
      <c r="J31" s="3929"/>
      <c r="K31" s="3929"/>
      <c r="L31" s="3929"/>
      <c r="M31" s="3929"/>
      <c r="N31" s="3929"/>
      <c r="O31" s="3929"/>
      <c r="P31" s="3929"/>
      <c r="Q31" s="3929"/>
      <c r="R31" s="3930"/>
      <c r="S31" s="44"/>
      <c r="T31" s="8"/>
    </row>
    <row r="32" spans="1:20" ht="44.25" customHeight="1">
      <c r="A32" s="36"/>
      <c r="B32" s="175" t="str">
        <f>'Summary-Co 11x17'!B32</f>
        <v>Thermal Oxidizer</v>
      </c>
      <c r="C32" s="176" t="str">
        <f>'Summary-Co 11x17'!C32</f>
        <v>TO1</v>
      </c>
      <c r="D32" s="1196" t="str">
        <f>'Summary-Co 11x17'!D32</f>
        <v>TO1</v>
      </c>
      <c r="E32" s="3928" t="s">
        <v>1371</v>
      </c>
      <c r="F32" s="3929"/>
      <c r="G32" s="3929"/>
      <c r="H32" s="3929"/>
      <c r="I32" s="3929"/>
      <c r="J32" s="3929"/>
      <c r="K32" s="3929"/>
      <c r="L32" s="3929"/>
      <c r="M32" s="3929"/>
      <c r="N32" s="3929"/>
      <c r="O32" s="3929"/>
      <c r="P32" s="3929"/>
      <c r="Q32" s="3929"/>
      <c r="R32" s="3930"/>
      <c r="S32" s="44"/>
    </row>
    <row r="33" spans="1:67" ht="44.25" customHeight="1">
      <c r="A33" s="36"/>
      <c r="B33" s="175" t="str">
        <f>'Summary-Co 11x17'!B33</f>
        <v>Thermal Oxidizer</v>
      </c>
      <c r="C33" s="176" t="str">
        <f>'Summary-Co 11x17'!C33</f>
        <v>TO2</v>
      </c>
      <c r="D33" s="1196" t="str">
        <f>'Summary-Co 11x17'!D33</f>
        <v>TO2</v>
      </c>
      <c r="E33" s="3928" t="s">
        <v>1371</v>
      </c>
      <c r="F33" s="3929"/>
      <c r="G33" s="3929"/>
      <c r="H33" s="3929"/>
      <c r="I33" s="3929"/>
      <c r="J33" s="3929"/>
      <c r="K33" s="3929"/>
      <c r="L33" s="3929"/>
      <c r="M33" s="3929"/>
      <c r="N33" s="3929"/>
      <c r="O33" s="3929"/>
      <c r="P33" s="3929"/>
      <c r="Q33" s="3929"/>
      <c r="R33" s="3930"/>
      <c r="S33" s="44"/>
    </row>
    <row r="34" spans="1:67" ht="44.25" customHeight="1">
      <c r="A34" s="36"/>
      <c r="B34" s="175" t="str">
        <f>'Summary-Co 11x17'!B34</f>
        <v>Thermal Oxidizer</v>
      </c>
      <c r="C34" s="176" t="str">
        <f>'Summary-Co 11x17'!C34</f>
        <v>TO3</v>
      </c>
      <c r="D34" s="1196" t="str">
        <f>'Summary-Co 11x17'!D34</f>
        <v>TO3</v>
      </c>
      <c r="E34" s="3928" t="s">
        <v>1371</v>
      </c>
      <c r="F34" s="3929"/>
      <c r="G34" s="3929"/>
      <c r="H34" s="3929"/>
      <c r="I34" s="3929"/>
      <c r="J34" s="3929"/>
      <c r="K34" s="3929"/>
      <c r="L34" s="3929"/>
      <c r="M34" s="3929"/>
      <c r="N34" s="3929"/>
      <c r="O34" s="3929"/>
      <c r="P34" s="3929"/>
      <c r="Q34" s="3929"/>
      <c r="R34" s="3930"/>
      <c r="S34" s="44"/>
    </row>
    <row r="35" spans="1:67" ht="44.25" customHeight="1">
      <c r="A35" s="36"/>
      <c r="B35" s="175" t="str">
        <f>'Summary-Co 11x17'!B35</f>
        <v>Fugitives</v>
      </c>
      <c r="C35" s="176" t="str">
        <f>'Summary-Co 11x17'!C35</f>
        <v>FUG</v>
      </c>
      <c r="D35" s="1196" t="str">
        <f>'Summary-Co 11x17'!D35</f>
        <v>FUG</v>
      </c>
      <c r="E35" s="1560" t="str">
        <f>'Summary-NoCo'!E50</f>
        <v>--</v>
      </c>
      <c r="F35" s="575" t="str">
        <f>'Summary-NoCo'!F50</f>
        <v>--</v>
      </c>
      <c r="G35" s="1560" t="str">
        <f>'Summary-NoCo'!G50</f>
        <v>--</v>
      </c>
      <c r="H35" s="575" t="str">
        <f>'Summary-NoCo'!H50</f>
        <v>--</v>
      </c>
      <c r="I35" s="1560">
        <f>Fugitive!G39</f>
        <v>88.63844276133257</v>
      </c>
      <c r="J35" s="575">
        <f>Fugitive!I39</f>
        <v>388.23637929463672</v>
      </c>
      <c r="K35" s="1560" t="str">
        <f>'Summary-NoCo'!K50</f>
        <v>--</v>
      </c>
      <c r="L35" s="575" t="str">
        <f>'Summary-NoCo'!L50</f>
        <v>--</v>
      </c>
      <c r="M35" s="1560" t="str">
        <f>'Summary-NoCo'!M50</f>
        <v>--</v>
      </c>
      <c r="N35" s="575" t="str">
        <f>'Summary-NoCo'!N50</f>
        <v>--</v>
      </c>
      <c r="O35" s="1560" t="str">
        <f>'Summary-NoCo'!O50</f>
        <v>--</v>
      </c>
      <c r="P35" s="575" t="str">
        <f>'Summary-NoCo'!P50</f>
        <v>--</v>
      </c>
      <c r="Q35" s="1560">
        <f>'Sum UC-NoCo11X17'!Q48</f>
        <v>4.03</v>
      </c>
      <c r="R35" s="1472">
        <f>'Sum UC-NoCo11X17'!R48</f>
        <v>17.649999999999999</v>
      </c>
      <c r="S35" s="44"/>
    </row>
    <row r="36" spans="1:67" s="53" customFormat="1" ht="44.25" customHeight="1">
      <c r="A36" s="36"/>
      <c r="B36" s="175" t="str">
        <f>'Summary-Co 11x17'!B36</f>
        <v>Storage Tank SSM Emissions</v>
      </c>
      <c r="C36" s="176" t="str">
        <f>'Summary-Co 11x17'!C36</f>
        <v>SSM</v>
      </c>
      <c r="D36" s="1196" t="str">
        <f>'Summary-Co 11x17'!D36</f>
        <v>SSM</v>
      </c>
      <c r="E36" s="1560" t="str">
        <f>'Summary-NoCo'!E51</f>
        <v>--</v>
      </c>
      <c r="F36" s="575" t="str">
        <f>'Summary-NoCo'!F51</f>
        <v>--</v>
      </c>
      <c r="G36" s="1560" t="str">
        <f>'Summary-NoCo'!G51</f>
        <v>--</v>
      </c>
      <c r="H36" s="575" t="str">
        <f>'Summary-NoCo'!H51</f>
        <v>--</v>
      </c>
      <c r="I36" s="1560" t="str">
        <f>'Summary-NoCo'!I51</f>
        <v>--</v>
      </c>
      <c r="J36" s="575">
        <f>'Summary-NoCo'!J51</f>
        <v>10</v>
      </c>
      <c r="K36" s="1560" t="str">
        <f>'Summary-NoCo'!K51</f>
        <v>--</v>
      </c>
      <c r="L36" s="575" t="str">
        <f>'Summary-NoCo'!L51</f>
        <v>--</v>
      </c>
      <c r="M36" s="1560" t="str">
        <f>'Summary-NoCo'!M51</f>
        <v>--</v>
      </c>
      <c r="N36" s="575" t="str">
        <f>'Summary-NoCo'!N51</f>
        <v>--</v>
      </c>
      <c r="O36" s="1560" t="str">
        <f>'Summary-NoCo'!O51</f>
        <v>--</v>
      </c>
      <c r="P36" s="575" t="str">
        <f>'Summary-NoCo'!P51</f>
        <v>--</v>
      </c>
      <c r="Q36" s="1560" t="str">
        <f>'Summary-NoCo'!Q51</f>
        <v>--</v>
      </c>
      <c r="R36" s="1472" t="str">
        <f>'Summary-NoCo'!R51</f>
        <v>--</v>
      </c>
      <c r="S36" s="44"/>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row>
    <row r="37" spans="1:67" ht="44.25" customHeight="1">
      <c r="A37" s="36"/>
      <c r="B37" s="175" t="str">
        <f>'Summary-Co 11x17'!B37</f>
        <v>Haul Road Fugitives</v>
      </c>
      <c r="C37" s="176" t="str">
        <f>'Summary-Co 11x17'!C37</f>
        <v>ROAD</v>
      </c>
      <c r="D37" s="1196" t="str">
        <f>'Summary-Co 11x17'!D37</f>
        <v>ROAD</v>
      </c>
      <c r="E37" s="1560" t="str">
        <f>'Summary-NoCo'!E52</f>
        <v>--</v>
      </c>
      <c r="F37" s="575" t="str">
        <f>'Summary-NoCo'!F52</f>
        <v>--</v>
      </c>
      <c r="G37" s="1560" t="str">
        <f>'Summary-NoCo'!G52</f>
        <v>--</v>
      </c>
      <c r="H37" s="575" t="str">
        <f>'Summary-NoCo'!H52</f>
        <v>--</v>
      </c>
      <c r="I37" s="1560" t="str">
        <f>'Summary-NoCo'!I52</f>
        <v>--</v>
      </c>
      <c r="J37" s="575" t="str">
        <f>'Summary-NoCo'!J52</f>
        <v>--</v>
      </c>
      <c r="K37" s="1560" t="str">
        <f>'Summary-NoCo'!K52</f>
        <v>--</v>
      </c>
      <c r="L37" s="575" t="str">
        <f>'Summary-NoCo'!L52</f>
        <v>--</v>
      </c>
      <c r="M37" s="1560">
        <f>'Summary-NoCo'!M52</f>
        <v>2.7556902133370476</v>
      </c>
      <c r="N37" s="575">
        <f>'Summary-NoCo'!N52</f>
        <v>8.8254079636430482</v>
      </c>
      <c r="O37" s="1560">
        <f>'Summary-NoCo'!O52</f>
        <v>0.70232409971011567</v>
      </c>
      <c r="P37" s="575">
        <f>'Summary-NoCo'!P52</f>
        <v>2.2492719510493018</v>
      </c>
      <c r="Q37" s="1560" t="str">
        <f>'Summary-NoCo'!Q52</f>
        <v>--</v>
      </c>
      <c r="R37" s="1472" t="str">
        <f>'Summary-NoCo'!R52</f>
        <v>--</v>
      </c>
      <c r="S37" s="44"/>
    </row>
    <row r="38" spans="1:67" s="53" customFormat="1" ht="44.25" customHeight="1">
      <c r="A38" s="36"/>
      <c r="B38" s="175" t="str">
        <f>'Summary-Co 11x17'!B38</f>
        <v>Produced Water Tank 1</v>
      </c>
      <c r="C38" s="176" t="str">
        <f>'Summary-Co 11x17'!C38</f>
        <v>PWTK1</v>
      </c>
      <c r="D38" s="1196" t="str">
        <f>'Summary-Co 11x17'!D38</f>
        <v>PWTK1</v>
      </c>
      <c r="E38" s="1289" t="s">
        <v>445</v>
      </c>
      <c r="F38" s="1290" t="s">
        <v>445</v>
      </c>
      <c r="G38" s="1289" t="s">
        <v>445</v>
      </c>
      <c r="H38" s="1290" t="s">
        <v>445</v>
      </c>
      <c r="I38" s="1560">
        <f>'Tank Summary'!L21</f>
        <v>2.360259684389519E-3</v>
      </c>
      <c r="J38" s="576">
        <f>'Tank Summary'!M21</f>
        <v>1.0337937417626092E-2</v>
      </c>
      <c r="K38" s="1289" t="s">
        <v>445</v>
      </c>
      <c r="L38" s="1290" t="s">
        <v>445</v>
      </c>
      <c r="M38" s="1289" t="s">
        <v>445</v>
      </c>
      <c r="N38" s="1290" t="s">
        <v>445</v>
      </c>
      <c r="O38" s="1289" t="s">
        <v>445</v>
      </c>
      <c r="P38" s="1290" t="s">
        <v>445</v>
      </c>
      <c r="Q38" s="1289" t="s">
        <v>445</v>
      </c>
      <c r="R38" s="1563" t="s">
        <v>445</v>
      </c>
      <c r="S38" s="44"/>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row>
    <row r="39" spans="1:67" ht="44.25" customHeight="1">
      <c r="A39" s="36"/>
      <c r="B39" s="175" t="str">
        <f>'Summary-Co 11x17'!B39</f>
        <v>Produced Water Tank 2</v>
      </c>
      <c r="C39" s="176" t="str">
        <f>'Summary-Co 11x17'!C39</f>
        <v>PWTK2</v>
      </c>
      <c r="D39" s="1196" t="str">
        <f>'Summary-Co 11x17'!D39</f>
        <v>PWTK2</v>
      </c>
      <c r="E39" s="1289" t="s">
        <v>445</v>
      </c>
      <c r="F39" s="1290" t="s">
        <v>445</v>
      </c>
      <c r="G39" s="1289" t="s">
        <v>445</v>
      </c>
      <c r="H39" s="1290" t="s">
        <v>445</v>
      </c>
      <c r="I39" s="1560">
        <f>I38</f>
        <v>2.360259684389519E-3</v>
      </c>
      <c r="J39" s="576">
        <f>J38</f>
        <v>1.0337937417626092E-2</v>
      </c>
      <c r="K39" s="1289" t="s">
        <v>445</v>
      </c>
      <c r="L39" s="1290" t="s">
        <v>445</v>
      </c>
      <c r="M39" s="1289" t="s">
        <v>445</v>
      </c>
      <c r="N39" s="1290" t="s">
        <v>445</v>
      </c>
      <c r="O39" s="1289" t="s">
        <v>445</v>
      </c>
      <c r="P39" s="1290" t="s">
        <v>445</v>
      </c>
      <c r="Q39" s="1289" t="s">
        <v>445</v>
      </c>
      <c r="R39" s="1563" t="s">
        <v>445</v>
      </c>
      <c r="S39" s="44"/>
    </row>
    <row r="40" spans="1:67" s="53" customFormat="1" ht="44.25" customHeight="1">
      <c r="A40" s="36"/>
      <c r="B40" s="175" t="str">
        <f>'Summary-Co 11x17'!B40</f>
        <v>Produced Water Loading</v>
      </c>
      <c r="C40" s="176" t="str">
        <f>'Summary-Co 11x17'!C40</f>
        <v>PWTL</v>
      </c>
      <c r="D40" s="1196" t="str">
        <f>'Summary-Co 11x17'!D40</f>
        <v>PWTL</v>
      </c>
      <c r="E40" s="1560" t="str">
        <f>'Summary-NoCo'!E55</f>
        <v>--</v>
      </c>
      <c r="F40" s="575" t="str">
        <f>'Summary-NoCo'!F55</f>
        <v>--</v>
      </c>
      <c r="G40" s="1560" t="str">
        <f>'Summary-NoCo'!G55</f>
        <v>--</v>
      </c>
      <c r="H40" s="575" t="str">
        <f>'Summary-NoCo'!H55</f>
        <v>--</v>
      </c>
      <c r="I40" s="1560">
        <f>'Summary-NoCo'!I55</f>
        <v>0.39339345182963747</v>
      </c>
      <c r="J40" s="575">
        <f>'Summary-NoCo'!J55</f>
        <v>2.4902276270262185</v>
      </c>
      <c r="K40" s="1560" t="str">
        <f>'Summary-NoCo'!K55</f>
        <v>--</v>
      </c>
      <c r="L40" s="575" t="str">
        <f>'Summary-NoCo'!L55</f>
        <v>--</v>
      </c>
      <c r="M40" s="1560" t="str">
        <f>'Summary-NoCo'!M55</f>
        <v>--</v>
      </c>
      <c r="N40" s="575" t="str">
        <f>'Summary-NoCo'!N55</f>
        <v>--</v>
      </c>
      <c r="O40" s="1560" t="str">
        <f>'Summary-NoCo'!O55</f>
        <v>--</v>
      </c>
      <c r="P40" s="575" t="str">
        <f>'Summary-NoCo'!P55</f>
        <v>--</v>
      </c>
      <c r="Q40" s="1560">
        <f>'Summary-NoCo'!Q55</f>
        <v>1.1042554192857925E-3</v>
      </c>
      <c r="R40" s="1472">
        <f>'Summary-NoCo'!R55</f>
        <v>6.9900689490625953E-3</v>
      </c>
      <c r="S40" s="44"/>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row>
    <row r="41" spans="1:67" s="53" customFormat="1" ht="44.25" customHeight="1">
      <c r="A41" s="36"/>
      <c r="B41" s="175" t="str">
        <f>'Summary-Co 11x17'!B41</f>
        <v>Slop Oil Loading</v>
      </c>
      <c r="C41" s="176" t="str">
        <f>'Summary-Co 11x17'!C41</f>
        <v>OTL</v>
      </c>
      <c r="D41" s="1196" t="str">
        <f>'Summary-Co 11x17'!D41</f>
        <v>OTL</v>
      </c>
      <c r="E41" s="1560" t="str">
        <f>'Summary-NoCo'!E56</f>
        <v>--</v>
      </c>
      <c r="F41" s="575" t="str">
        <f>'Summary-NoCo'!F56</f>
        <v>--</v>
      </c>
      <c r="G41" s="1560" t="str">
        <f>'Summary-NoCo'!G56</f>
        <v>--</v>
      </c>
      <c r="H41" s="575" t="str">
        <f>'Summary-NoCo'!H56</f>
        <v>--</v>
      </c>
      <c r="I41" s="1560">
        <f>'2-D-Co'!F33</f>
        <v>54.47067380149624</v>
      </c>
      <c r="J41" s="575">
        <f>'2-D-Co'!G33</f>
        <v>10.321550971628724</v>
      </c>
      <c r="K41" s="1560" t="str">
        <f>'Summary-NoCo'!K56</f>
        <v>--</v>
      </c>
      <c r="L41" s="575" t="str">
        <f>'Summary-NoCo'!L56</f>
        <v>--</v>
      </c>
      <c r="M41" s="1560" t="str">
        <f>'Summary-NoCo'!M56</f>
        <v>--</v>
      </c>
      <c r="N41" s="575" t="str">
        <f>'Summary-NoCo'!N56</f>
        <v>--</v>
      </c>
      <c r="O41" s="1560" t="str">
        <f>'Summary-NoCo'!O56</f>
        <v>--</v>
      </c>
      <c r="P41" s="575" t="str">
        <f>'Summary-NoCo'!P56</f>
        <v>--</v>
      </c>
      <c r="Q41" s="1560">
        <f>'Summary-NoCo'!Q56</f>
        <v>1.9188444012397846E-2</v>
      </c>
      <c r="R41" s="1472">
        <f>'Summary-NoCo'!R56</f>
        <v>3.6359840831410471E-3</v>
      </c>
      <c r="S41" s="44"/>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row>
    <row r="42" spans="1:67" s="53" customFormat="1" ht="44.25" customHeight="1">
      <c r="A42" s="36"/>
      <c r="B42" s="175" t="str">
        <f>'Summary-Co 11x17'!B42</f>
        <v>Amine Unit 1</v>
      </c>
      <c r="C42" s="176" t="str">
        <f>'Summary-Co 11x17'!C42</f>
        <v>AU1</v>
      </c>
      <c r="D42" s="1196" t="str">
        <f>'Summary-Co 11x17'!D42</f>
        <v>AU1</v>
      </c>
      <c r="E42" s="1289" t="s">
        <v>445</v>
      </c>
      <c r="F42" s="1290" t="s">
        <v>445</v>
      </c>
      <c r="G42" s="1289" t="s">
        <v>445</v>
      </c>
      <c r="H42" s="1290" t="s">
        <v>445</v>
      </c>
      <c r="I42" s="1560">
        <f>'TO Hrly (TO1-TO3)'!F32</f>
        <v>62.455189452722529</v>
      </c>
      <c r="J42" s="575">
        <f>'TO Ann (TO1-TO3)'!F32</f>
        <v>273.55372980292469</v>
      </c>
      <c r="K42" s="1289" t="s">
        <v>445</v>
      </c>
      <c r="L42" s="1290" t="s">
        <v>445</v>
      </c>
      <c r="M42" s="1289" t="s">
        <v>445</v>
      </c>
      <c r="N42" s="1290" t="s">
        <v>445</v>
      </c>
      <c r="O42" s="1289" t="s">
        <v>445</v>
      </c>
      <c r="P42" s="1290" t="s">
        <v>445</v>
      </c>
      <c r="Q42" s="1289" t="s">
        <v>445</v>
      </c>
      <c r="R42" s="1562" t="s">
        <v>445</v>
      </c>
      <c r="S42" s="44"/>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row>
    <row r="43" spans="1:67" s="53" customFormat="1" ht="44.25" customHeight="1">
      <c r="A43" s="36"/>
      <c r="B43" s="175" t="str">
        <f>'Summary-Co 11x17'!B43</f>
        <v>Amine Unit 2</v>
      </c>
      <c r="C43" s="176" t="str">
        <f>'Summary-Co 11x17'!C43</f>
        <v>AU2</v>
      </c>
      <c r="D43" s="1196" t="str">
        <f>'Summary-Co 11x17'!D43</f>
        <v>AU2</v>
      </c>
      <c r="E43" s="1289" t="s">
        <v>445</v>
      </c>
      <c r="F43" s="1290" t="s">
        <v>445</v>
      </c>
      <c r="G43" s="1289" t="s">
        <v>445</v>
      </c>
      <c r="H43" s="1290" t="s">
        <v>445</v>
      </c>
      <c r="I43" s="1560">
        <f>I42</f>
        <v>62.455189452722529</v>
      </c>
      <c r="J43" s="575">
        <f>J42</f>
        <v>273.55372980292469</v>
      </c>
      <c r="K43" s="1289" t="s">
        <v>445</v>
      </c>
      <c r="L43" s="1290" t="s">
        <v>445</v>
      </c>
      <c r="M43" s="1289" t="s">
        <v>445</v>
      </c>
      <c r="N43" s="1290" t="s">
        <v>445</v>
      </c>
      <c r="O43" s="1289" t="s">
        <v>445</v>
      </c>
      <c r="P43" s="1290" t="s">
        <v>445</v>
      </c>
      <c r="Q43" s="1289" t="s">
        <v>445</v>
      </c>
      <c r="R43" s="1563" t="s">
        <v>445</v>
      </c>
      <c r="S43" s="44"/>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row>
    <row r="44" spans="1:67" s="53" customFormat="1" ht="44.25" customHeight="1">
      <c r="A44" s="36"/>
      <c r="B44" s="175" t="str">
        <f>'Summary-Co 11x17'!B44</f>
        <v>Amine Unit 3</v>
      </c>
      <c r="C44" s="176" t="str">
        <f>'Summary-Co 11x17'!C44</f>
        <v>AU3</v>
      </c>
      <c r="D44" s="1196" t="str">
        <f>'Summary-Co 11x17'!D44</f>
        <v>AU3</v>
      </c>
      <c r="E44" s="1289" t="s">
        <v>445</v>
      </c>
      <c r="F44" s="1290" t="s">
        <v>445</v>
      </c>
      <c r="G44" s="1289" t="s">
        <v>445</v>
      </c>
      <c r="H44" s="1290" t="s">
        <v>445</v>
      </c>
      <c r="I44" s="1560">
        <f>I42</f>
        <v>62.455189452722529</v>
      </c>
      <c r="J44" s="575">
        <f>J42</f>
        <v>273.55372980292469</v>
      </c>
      <c r="K44" s="1289" t="s">
        <v>445</v>
      </c>
      <c r="L44" s="1290" t="s">
        <v>445</v>
      </c>
      <c r="M44" s="1289" t="s">
        <v>445</v>
      </c>
      <c r="N44" s="1290" t="s">
        <v>445</v>
      </c>
      <c r="O44" s="1289" t="s">
        <v>445</v>
      </c>
      <c r="P44" s="1290" t="s">
        <v>445</v>
      </c>
      <c r="Q44" s="1289" t="s">
        <v>445</v>
      </c>
      <c r="R44" s="1563" t="s">
        <v>445</v>
      </c>
      <c r="S44" s="44"/>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row>
    <row r="45" spans="1:67" s="53" customFormat="1" ht="44.25" customHeight="1">
      <c r="A45" s="36"/>
      <c r="B45" s="175" t="str">
        <f>'Summary-Co 11x17'!B45</f>
        <v>Gunbarrel Tank</v>
      </c>
      <c r="C45" s="176" t="str">
        <f>'Summary-Co 11x17'!C45</f>
        <v>GBS1</v>
      </c>
      <c r="D45" s="1196" t="str">
        <f>'Summary-Co 11x17'!D45</f>
        <v>GBS1</v>
      </c>
      <c r="E45" s="1289" t="s">
        <v>445</v>
      </c>
      <c r="F45" s="1290" t="s">
        <v>445</v>
      </c>
      <c r="G45" s="1289" t="s">
        <v>445</v>
      </c>
      <c r="H45" s="1290" t="s">
        <v>445</v>
      </c>
      <c r="I45" s="1560">
        <f>'Tank Summary'!L23</f>
        <v>229.80658100387194</v>
      </c>
      <c r="J45" s="576">
        <f>'Tank Summary'!M23</f>
        <v>1006.5528247969593</v>
      </c>
      <c r="K45" s="1289" t="s">
        <v>445</v>
      </c>
      <c r="L45" s="1290" t="s">
        <v>445</v>
      </c>
      <c r="M45" s="1289" t="s">
        <v>445</v>
      </c>
      <c r="N45" s="1290" t="s">
        <v>445</v>
      </c>
      <c r="O45" s="1289" t="s">
        <v>445</v>
      </c>
      <c r="P45" s="1290" t="s">
        <v>445</v>
      </c>
      <c r="Q45" s="1289" t="s">
        <v>445</v>
      </c>
      <c r="R45" s="1563" t="s">
        <v>445</v>
      </c>
      <c r="S45" s="44"/>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row>
    <row r="46" spans="1:67" ht="44.25" customHeight="1">
      <c r="A46" s="36"/>
      <c r="B46" s="175" t="str">
        <f>'Summary-Co 11x17'!B46</f>
        <v>Slop Oil Tank</v>
      </c>
      <c r="C46" s="176" t="str">
        <f>'Summary-Co 11x17'!C46</f>
        <v>OTK7</v>
      </c>
      <c r="D46" s="1196" t="str">
        <f>'Summary-Co 11x17'!D46</f>
        <v>OTK7</v>
      </c>
      <c r="E46" s="1585" t="s">
        <v>445</v>
      </c>
      <c r="F46" s="1586" t="s">
        <v>445</v>
      </c>
      <c r="G46" s="1585" t="s">
        <v>445</v>
      </c>
      <c r="H46" s="1586" t="s">
        <v>445</v>
      </c>
      <c r="I46" s="1661">
        <f>'Tank Summary'!L24</f>
        <v>23.205544762405538</v>
      </c>
      <c r="J46" s="1662">
        <f>'Tank Summary'!M24</f>
        <v>101.64028605933626</v>
      </c>
      <c r="K46" s="1585" t="s">
        <v>445</v>
      </c>
      <c r="L46" s="1586" t="s">
        <v>445</v>
      </c>
      <c r="M46" s="1585" t="s">
        <v>445</v>
      </c>
      <c r="N46" s="1586" t="s">
        <v>445</v>
      </c>
      <c r="O46" s="1585" t="s">
        <v>445</v>
      </c>
      <c r="P46" s="1586" t="s">
        <v>445</v>
      </c>
      <c r="Q46" s="1585" t="s">
        <v>445</v>
      </c>
      <c r="R46" s="1562" t="s">
        <v>445</v>
      </c>
      <c r="S46" s="44"/>
    </row>
    <row r="47" spans="1:67" s="53" customFormat="1" ht="44.25" customHeight="1">
      <c r="A47" s="36"/>
      <c r="B47" s="175" t="e">
        <f>'Summary-Co 11x17'!B48</f>
        <v>#REF!</v>
      </c>
      <c r="C47" s="176" t="str">
        <f>'Summary-Co 11x17'!C47</f>
        <v>TUR1</v>
      </c>
      <c r="D47" s="1196" t="str">
        <f>'Summary-Co 11x17'!D47</f>
        <v>TUR1</v>
      </c>
      <c r="E47" s="1587"/>
      <c r="F47" s="1588"/>
      <c r="G47" s="1587"/>
      <c r="H47" s="1588"/>
      <c r="I47" s="1587"/>
      <c r="J47" s="1588"/>
      <c r="K47" s="1587"/>
      <c r="L47" s="1588"/>
      <c r="M47" s="1587"/>
      <c r="N47" s="1588"/>
      <c r="O47" s="1587"/>
      <c r="P47" s="1588"/>
      <c r="Q47" s="1590"/>
      <c r="R47" s="1591"/>
      <c r="S47" s="44"/>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row>
    <row r="48" spans="1:67" s="53" customFormat="1" ht="44.25" customHeight="1">
      <c r="A48" s="36"/>
      <c r="B48" s="175" t="e">
        <f>'Summary-Co 11x17'!B49</f>
        <v>#REF!</v>
      </c>
      <c r="C48" s="176" t="str">
        <f>'Summary-Co 11x17'!C48</f>
        <v>TUR2</v>
      </c>
      <c r="D48" s="1196" t="str">
        <f>'Summary-Co 11x17'!D48</f>
        <v>TUR2</v>
      </c>
      <c r="E48" s="1587"/>
      <c r="F48" s="1588"/>
      <c r="G48" s="1587"/>
      <c r="H48" s="1588"/>
      <c r="I48" s="1587"/>
      <c r="J48" s="1588"/>
      <c r="K48" s="1587"/>
      <c r="L48" s="1588"/>
      <c r="M48" s="1587"/>
      <c r="N48" s="1588"/>
      <c r="O48" s="1587"/>
      <c r="P48" s="1588"/>
      <c r="Q48" s="1590"/>
      <c r="R48" s="1591"/>
      <c r="S48" s="44"/>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row>
    <row r="49" spans="1:67" s="53" customFormat="1" ht="44.25" customHeight="1">
      <c r="A49" s="36"/>
      <c r="B49" s="175" t="e">
        <f>'Summary-Co 11x17'!B50</f>
        <v>#REF!</v>
      </c>
      <c r="C49" s="176" t="str">
        <f>'Summary-Co 11x17'!C49</f>
        <v>TUR3</v>
      </c>
      <c r="D49" s="1196" t="str">
        <f>'Summary-Co 11x17'!D49</f>
        <v>TUR3</v>
      </c>
      <c r="E49" s="1587"/>
      <c r="F49" s="1588"/>
      <c r="G49" s="1587"/>
      <c r="H49" s="1588"/>
      <c r="I49" s="1587"/>
      <c r="J49" s="1588"/>
      <c r="K49" s="1587"/>
      <c r="L49" s="1588"/>
      <c r="M49" s="1587"/>
      <c r="N49" s="1588"/>
      <c r="O49" s="1587"/>
      <c r="P49" s="1588"/>
      <c r="Q49" s="1590"/>
      <c r="R49" s="1591"/>
      <c r="S49" s="44"/>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row>
    <row r="50" spans="1:67" s="53" customFormat="1" ht="44.25" customHeight="1" thickBot="1">
      <c r="A50" s="36"/>
      <c r="B50" s="1566" t="e">
        <f>'Summary-Co 11x17'!B50</f>
        <v>#REF!</v>
      </c>
      <c r="C50" s="1567" t="str">
        <f>'Summary-Co 11x17'!C50</f>
        <v>TUR4</v>
      </c>
      <c r="D50" s="1568" t="str">
        <f>'Summary-Co 11x17'!D50</f>
        <v>TUR4</v>
      </c>
      <c r="E50" s="1589"/>
      <c r="F50" s="1635"/>
      <c r="G50" s="1589"/>
      <c r="H50" s="1635"/>
      <c r="I50" s="1589"/>
      <c r="J50" s="1635"/>
      <c r="K50" s="1589"/>
      <c r="L50" s="1635"/>
      <c r="M50" s="1589"/>
      <c r="N50" s="1635"/>
      <c r="O50" s="1589"/>
      <c r="P50" s="1635"/>
      <c r="Q50" s="1592"/>
      <c r="R50" s="1593"/>
      <c r="S50" s="44"/>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row>
    <row r="51" spans="1:67" ht="24" customHeight="1" thickBot="1">
      <c r="A51" s="36"/>
      <c r="B51" s="180"/>
      <c r="C51" s="180"/>
      <c r="D51" s="180"/>
      <c r="E51" s="181"/>
      <c r="F51" s="181"/>
      <c r="G51" s="181"/>
      <c r="H51" s="182"/>
      <c r="I51" s="182"/>
      <c r="J51" s="182"/>
      <c r="K51" s="182"/>
      <c r="L51" s="182"/>
      <c r="M51" s="182"/>
      <c r="N51" s="182"/>
      <c r="O51" s="182"/>
      <c r="P51" s="182"/>
      <c r="Q51" s="182"/>
      <c r="R51" s="182"/>
      <c r="S51" s="44"/>
    </row>
    <row r="52" spans="1:67" s="9" customFormat="1" ht="42" customHeight="1">
      <c r="A52" s="23"/>
      <c r="B52" s="3952" t="s">
        <v>64</v>
      </c>
      <c r="C52" s="3958"/>
      <c r="D52" s="3955"/>
      <c r="E52" s="3952" t="s">
        <v>21</v>
      </c>
      <c r="F52" s="3955"/>
      <c r="G52" s="3952" t="s">
        <v>0</v>
      </c>
      <c r="H52" s="3953"/>
      <c r="I52" s="3950" t="s">
        <v>283</v>
      </c>
      <c r="J52" s="3951"/>
      <c r="K52" s="3952" t="s">
        <v>284</v>
      </c>
      <c r="L52" s="3953"/>
      <c r="M52" s="3954" t="s">
        <v>285</v>
      </c>
      <c r="N52" s="3955"/>
      <c r="O52" s="3954" t="s">
        <v>285</v>
      </c>
      <c r="P52" s="3955"/>
      <c r="Q52" s="3952" t="s">
        <v>15</v>
      </c>
      <c r="R52" s="3953"/>
      <c r="S52" s="24"/>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row>
    <row r="53" spans="1:67" s="9" customFormat="1" ht="26.25" customHeight="1">
      <c r="A53" s="23"/>
      <c r="B53" s="3959"/>
      <c r="C53" s="3960"/>
      <c r="D53" s="3961"/>
      <c r="E53" s="183" t="s">
        <v>22</v>
      </c>
      <c r="F53" s="184" t="s">
        <v>37</v>
      </c>
      <c r="G53" s="183" t="s">
        <v>22</v>
      </c>
      <c r="H53" s="185" t="s">
        <v>37</v>
      </c>
      <c r="I53" s="186" t="s">
        <v>22</v>
      </c>
      <c r="J53" s="184" t="s">
        <v>37</v>
      </c>
      <c r="K53" s="183" t="s">
        <v>22</v>
      </c>
      <c r="L53" s="185" t="s">
        <v>37</v>
      </c>
      <c r="M53" s="186" t="s">
        <v>22</v>
      </c>
      <c r="N53" s="1665" t="s">
        <v>37</v>
      </c>
      <c r="O53" s="186" t="s">
        <v>22</v>
      </c>
      <c r="P53" s="184" t="s">
        <v>37</v>
      </c>
      <c r="Q53" s="183" t="s">
        <v>22</v>
      </c>
      <c r="R53" s="185" t="s">
        <v>37</v>
      </c>
      <c r="S53" s="24"/>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row>
    <row r="54" spans="1:67" s="9" customFormat="1" ht="44.25" customHeight="1" thickBot="1">
      <c r="A54" s="23"/>
      <c r="B54" s="3962"/>
      <c r="C54" s="3963"/>
      <c r="D54" s="3964"/>
      <c r="E54" s="187">
        <f>SUM(E13:E50)</f>
        <v>6.5970360000000001</v>
      </c>
      <c r="F54" s="188">
        <f>SUM(F13:F50)</f>
        <v>28.895017680000002</v>
      </c>
      <c r="G54" s="187">
        <f t="shared" ref="G54:R54" si="1">SUM(G13:G50)</f>
        <v>4.0274039999999998</v>
      </c>
      <c r="H54" s="188">
        <f t="shared" si="1"/>
        <v>17.640029519999999</v>
      </c>
      <c r="I54" s="187">
        <f t="shared" si="1"/>
        <v>740.73524983277525</v>
      </c>
      <c r="J54" s="188">
        <f t="shared" si="1"/>
        <v>3026.9275582966429</v>
      </c>
      <c r="K54" s="187">
        <f t="shared" si="1"/>
        <v>0.54502941176470587</v>
      </c>
      <c r="L54" s="188">
        <f t="shared" si="1"/>
        <v>2.3872288235294121</v>
      </c>
      <c r="M54" s="187">
        <f t="shared" si="1"/>
        <v>4.5966784486311649</v>
      </c>
      <c r="N54" s="188">
        <f t="shared" si="1"/>
        <v>16.888936434231283</v>
      </c>
      <c r="O54" s="187">
        <f t="shared" si="1"/>
        <v>2.543312335004233</v>
      </c>
      <c r="P54" s="188">
        <f t="shared" si="1"/>
        <v>10.312800421637537</v>
      </c>
      <c r="Q54" s="187">
        <f t="shared" si="1"/>
        <v>4.777063871593981</v>
      </c>
      <c r="R54" s="1561">
        <f t="shared" si="1"/>
        <v>20.84388378710306</v>
      </c>
      <c r="S54" s="24"/>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row>
    <row r="55" spans="1:67" ht="27.75" customHeight="1" thickBot="1">
      <c r="A55" s="31"/>
      <c r="B55" s="3956"/>
      <c r="C55" s="3956"/>
      <c r="D55" s="3956"/>
      <c r="E55" s="3956"/>
      <c r="F55" s="3956"/>
      <c r="G55" s="3956"/>
      <c r="H55" s="3956"/>
      <c r="I55" s="3956"/>
      <c r="J55" s="3956"/>
      <c r="K55" s="3956"/>
      <c r="L55" s="3956"/>
      <c r="M55" s="3957"/>
      <c r="N55" s="3957"/>
      <c r="O55" s="3956"/>
      <c r="P55" s="3956"/>
      <c r="Q55" s="3956"/>
      <c r="R55" s="3956"/>
      <c r="S55" s="40"/>
    </row>
    <row r="56" spans="1:67">
      <c r="B56" s="6"/>
      <c r="C56" s="6"/>
      <c r="D56" s="6"/>
      <c r="E56" s="6"/>
      <c r="F56" s="6"/>
      <c r="G56" s="6"/>
      <c r="H56" s="6"/>
      <c r="I56" s="6"/>
      <c r="J56" s="6"/>
      <c r="K56" s="6"/>
      <c r="L56" s="6"/>
      <c r="M56" s="5"/>
      <c r="N56" s="5"/>
      <c r="O56" s="5"/>
      <c r="P56" s="5"/>
      <c r="Q56" s="5"/>
      <c r="R56" s="5"/>
    </row>
    <row r="59" spans="1:67">
      <c r="J59" s="8"/>
      <c r="K59" s="8"/>
    </row>
    <row r="62" spans="1:67">
      <c r="M62" s="8"/>
      <c r="O62" s="8"/>
      <c r="R62" s="199"/>
    </row>
    <row r="63" spans="1:67">
      <c r="R63" s="199"/>
    </row>
    <row r="64" spans="1:67">
      <c r="R64" s="199"/>
    </row>
    <row r="65" spans="5:18">
      <c r="J65" s="8"/>
      <c r="R65" s="199"/>
    </row>
    <row r="66" spans="5:18">
      <c r="E66" s="8"/>
      <c r="F66" s="8"/>
      <c r="G66" s="8"/>
      <c r="H66" s="8"/>
      <c r="I66" s="8"/>
      <c r="J66" s="8"/>
      <c r="K66" s="8"/>
      <c r="L66" s="8"/>
      <c r="M66" s="8"/>
      <c r="N66" s="8"/>
      <c r="O66" s="8"/>
      <c r="P66" s="8"/>
      <c r="Q66" s="8"/>
      <c r="R66" s="199"/>
    </row>
    <row r="67" spans="5:18">
      <c r="J67" s="8"/>
      <c r="K67" s="8"/>
      <c r="R67" s="199"/>
    </row>
    <row r="68" spans="5:18">
      <c r="J68" s="8"/>
      <c r="K68" s="8"/>
      <c r="R68" s="8"/>
    </row>
    <row r="69" spans="5:18">
      <c r="J69" s="8"/>
      <c r="K69" s="8"/>
    </row>
    <row r="72" spans="5:18">
      <c r="I72" s="8"/>
      <c r="J72" s="8"/>
      <c r="Q72" s="8"/>
      <c r="R72" s="8"/>
    </row>
  </sheetData>
  <mergeCells count="30">
    <mergeCell ref="M52:N52"/>
    <mergeCell ref="O52:P52"/>
    <mergeCell ref="Q52:R52"/>
    <mergeCell ref="B55:R55"/>
    <mergeCell ref="E20:R20"/>
    <mergeCell ref="E31:R31"/>
    <mergeCell ref="E32:R32"/>
    <mergeCell ref="E33:R33"/>
    <mergeCell ref="E34:R34"/>
    <mergeCell ref="B52:D54"/>
    <mergeCell ref="E52:F52"/>
    <mergeCell ref="G52:H52"/>
    <mergeCell ref="I52:J52"/>
    <mergeCell ref="K52:L52"/>
    <mergeCell ref="E19:R19"/>
    <mergeCell ref="B3:R3"/>
    <mergeCell ref="B4:R4"/>
    <mergeCell ref="B5:R5"/>
    <mergeCell ref="A9:S9"/>
    <mergeCell ref="B11:B12"/>
    <mergeCell ref="C11:C12"/>
    <mergeCell ref="D11:D12"/>
    <mergeCell ref="E11:F11"/>
    <mergeCell ref="G11:H11"/>
    <mergeCell ref="I11:J11"/>
    <mergeCell ref="K11:L11"/>
    <mergeCell ref="M11:N11"/>
    <mergeCell ref="O11:P11"/>
    <mergeCell ref="Q11:R11"/>
    <mergeCell ref="E18:R18"/>
  </mergeCells>
  <printOptions horizontalCentered="1"/>
  <pageMargins left="0.25" right="0.25" top="0.5" bottom="0.5" header="0.3" footer="0.3"/>
  <pageSetup paperSize="17" scale="65" fitToHeight="2" orientation="landscape" r:id="rId1"/>
  <headerFooter alignWithMargins="0">
    <oddFooter>&amp;CCalculations: Page &amp;P</oddFooter>
  </headerFooter>
  <rowBreaks count="1" manualBreakCount="1">
    <brk id="23"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9">
    <tabColor rgb="FF00B050"/>
    <pageSetUpPr fitToPage="1"/>
  </sheetPr>
  <dimension ref="A1:BT75"/>
  <sheetViews>
    <sheetView view="pageBreakPreview" topLeftCell="A37" zoomScale="40" zoomScaleNormal="53" zoomScaleSheetLayoutView="40" zoomScalePageLayoutView="55" workbookViewId="0">
      <selection activeCell="U46" sqref="A46:U46"/>
    </sheetView>
  </sheetViews>
  <sheetFormatPr defaultColWidth="9.36328125" defaultRowHeight="13"/>
  <cols>
    <col min="1" max="1" width="3.6328125" style="38" customWidth="1"/>
    <col min="2" max="2" width="37.54296875" style="38" customWidth="1"/>
    <col min="3" max="3" width="22.36328125" style="38" customWidth="1"/>
    <col min="4" max="4" width="19.453125" style="38" customWidth="1"/>
    <col min="5" max="18" width="15" style="38" customWidth="1"/>
    <col min="19" max="20" width="12.54296875" style="38" customWidth="1"/>
    <col min="21" max="21" width="3.6328125" style="38" customWidth="1"/>
    <col min="22" max="22" width="9.36328125" style="38"/>
    <col min="23" max="23" width="23.6328125" style="38" customWidth="1"/>
    <col min="24" max="16384" width="9.36328125" style="38"/>
  </cols>
  <sheetData>
    <row r="1" spans="1:24" ht="13.5" thickBot="1"/>
    <row r="2" spans="1:24" ht="20.25" customHeight="1" thickBot="1">
      <c r="A2" s="33"/>
      <c r="B2" s="34"/>
      <c r="C2" s="34"/>
      <c r="D2" s="34"/>
      <c r="E2" s="34"/>
      <c r="F2" s="34"/>
      <c r="G2" s="34"/>
      <c r="H2" s="34"/>
      <c r="I2" s="34"/>
      <c r="J2" s="34"/>
      <c r="K2" s="34"/>
      <c r="L2" s="34"/>
      <c r="M2" s="34"/>
      <c r="N2" s="34"/>
      <c r="O2" s="34"/>
      <c r="P2" s="34"/>
      <c r="Q2" s="34"/>
      <c r="R2" s="34"/>
      <c r="S2" s="34"/>
      <c r="T2" s="34"/>
      <c r="U2" s="32"/>
    </row>
    <row r="3" spans="1:24"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4" s="2" customFormat="1" ht="39.75" customHeight="1">
      <c r="A4" s="54"/>
      <c r="B4" s="3933" t="s">
        <v>634</v>
      </c>
      <c r="C4" s="3934"/>
      <c r="D4" s="3934"/>
      <c r="E4" s="3934"/>
      <c r="F4" s="3934"/>
      <c r="G4" s="3934"/>
      <c r="H4" s="3934"/>
      <c r="I4" s="3934"/>
      <c r="J4" s="3934"/>
      <c r="K4" s="3934"/>
      <c r="L4" s="3934"/>
      <c r="M4" s="3934"/>
      <c r="N4" s="3934"/>
      <c r="O4" s="3934"/>
      <c r="P4" s="3934"/>
      <c r="Q4" s="3934"/>
      <c r="R4" s="3934"/>
      <c r="S4" s="3934"/>
      <c r="T4" s="3968"/>
      <c r="U4" s="22"/>
    </row>
    <row r="5" spans="1:24" s="2" customFormat="1" ht="39.75" customHeight="1" thickBot="1">
      <c r="A5" s="54"/>
      <c r="B5" s="3969" t="s">
        <v>1361</v>
      </c>
      <c r="C5" s="3970"/>
      <c r="D5" s="3970"/>
      <c r="E5" s="3970"/>
      <c r="F5" s="3970"/>
      <c r="G5" s="3970"/>
      <c r="H5" s="3970"/>
      <c r="I5" s="3970"/>
      <c r="J5" s="3970"/>
      <c r="K5" s="3970"/>
      <c r="L5" s="3970"/>
      <c r="M5" s="3936"/>
      <c r="N5" s="3936"/>
      <c r="O5" s="3970"/>
      <c r="P5" s="3970"/>
      <c r="Q5" s="3970"/>
      <c r="R5" s="3970"/>
      <c r="S5" s="3970"/>
      <c r="T5" s="3971"/>
      <c r="U5" s="22"/>
    </row>
    <row r="6" spans="1:24" ht="21" customHeight="1" thickBot="1">
      <c r="A6" s="31"/>
      <c r="B6" s="25"/>
      <c r="C6" s="25"/>
      <c r="D6" s="25"/>
      <c r="E6" s="25"/>
      <c r="F6" s="25"/>
      <c r="G6" s="25"/>
      <c r="H6" s="25"/>
      <c r="I6" s="25"/>
      <c r="J6" s="25"/>
      <c r="K6" s="25"/>
      <c r="L6" s="25"/>
      <c r="M6" s="25"/>
      <c r="N6" s="25"/>
      <c r="O6" s="25"/>
      <c r="P6" s="25"/>
      <c r="Q6" s="25"/>
      <c r="R6" s="25"/>
      <c r="S6" s="25"/>
      <c r="T6" s="25"/>
      <c r="U6" s="40"/>
    </row>
    <row r="7" spans="1:24" ht="30.75" customHeight="1">
      <c r="B7" s="4"/>
      <c r="C7" s="4"/>
      <c r="D7" s="4"/>
      <c r="E7" s="4"/>
      <c r="F7" s="4"/>
      <c r="G7" s="4"/>
      <c r="H7" s="4"/>
      <c r="I7" s="4"/>
      <c r="J7" s="4"/>
      <c r="K7" s="4"/>
      <c r="L7" s="4"/>
      <c r="M7" s="4"/>
      <c r="N7" s="4"/>
      <c r="O7" s="4"/>
      <c r="P7" s="4"/>
      <c r="Q7" s="4"/>
      <c r="R7" s="4"/>
      <c r="S7" s="4"/>
      <c r="T7" s="4"/>
    </row>
    <row r="8" spans="1:24" ht="16.5" customHeight="1" thickBot="1">
      <c r="B8" s="4"/>
      <c r="C8" s="4"/>
      <c r="D8" s="4"/>
      <c r="E8" s="4"/>
      <c r="F8" s="4"/>
      <c r="G8" s="4"/>
      <c r="H8" s="4"/>
      <c r="I8" s="4"/>
      <c r="J8" s="4"/>
      <c r="K8" s="4"/>
      <c r="L8" s="4"/>
      <c r="M8" s="4"/>
      <c r="N8" s="4"/>
      <c r="O8" s="4"/>
      <c r="P8" s="4"/>
      <c r="Q8" s="4"/>
      <c r="R8" s="4"/>
      <c r="S8" s="4"/>
      <c r="T8" s="4"/>
    </row>
    <row r="9" spans="1:24" ht="32.25" customHeight="1" thickBot="1">
      <c r="A9" s="3937" t="s">
        <v>309</v>
      </c>
      <c r="B9" s="3938"/>
      <c r="C9" s="3938"/>
      <c r="D9" s="3938"/>
      <c r="E9" s="3938"/>
      <c r="F9" s="3938"/>
      <c r="G9" s="3938"/>
      <c r="H9" s="3938"/>
      <c r="I9" s="3938"/>
      <c r="J9" s="3938"/>
      <c r="K9" s="3938"/>
      <c r="L9" s="3938"/>
      <c r="M9" s="3938"/>
      <c r="N9" s="3938"/>
      <c r="O9" s="3938"/>
      <c r="P9" s="3938"/>
      <c r="Q9" s="3938"/>
      <c r="R9" s="3938"/>
      <c r="S9" s="3938"/>
      <c r="T9" s="3938"/>
      <c r="U9" s="3939"/>
    </row>
    <row r="10" spans="1:24" ht="24" customHeight="1" thickBot="1">
      <c r="A10" s="33"/>
      <c r="B10" s="34"/>
      <c r="C10" s="34"/>
      <c r="D10" s="34"/>
      <c r="E10" s="34"/>
      <c r="F10" s="34"/>
      <c r="G10" s="34"/>
      <c r="H10" s="34"/>
      <c r="I10" s="34"/>
      <c r="J10" s="34"/>
      <c r="K10" s="34"/>
      <c r="L10" s="34"/>
      <c r="M10" s="34"/>
      <c r="N10" s="34"/>
      <c r="O10" s="34"/>
      <c r="P10" s="34"/>
      <c r="Q10" s="34"/>
      <c r="R10" s="34"/>
      <c r="S10" s="34"/>
      <c r="T10" s="34"/>
      <c r="U10" s="32"/>
    </row>
    <row r="11" spans="1:24" ht="42" customHeight="1">
      <c r="A11" s="36"/>
      <c r="B11" s="4009" t="s">
        <v>91</v>
      </c>
      <c r="C11" s="3942" t="s">
        <v>555</v>
      </c>
      <c r="D11" s="3944" t="s">
        <v>556</v>
      </c>
      <c r="E11" s="3946" t="s">
        <v>21</v>
      </c>
      <c r="F11" s="3947"/>
      <c r="G11" s="3948" t="s">
        <v>0</v>
      </c>
      <c r="H11" s="3949"/>
      <c r="I11" s="3950" t="s">
        <v>103</v>
      </c>
      <c r="J11" s="3951"/>
      <c r="K11" s="3948" t="s">
        <v>51</v>
      </c>
      <c r="L11" s="3949"/>
      <c r="M11" s="3948" t="s">
        <v>1311</v>
      </c>
      <c r="N11" s="3949"/>
      <c r="O11" s="3946" t="s">
        <v>52</v>
      </c>
      <c r="P11" s="3947"/>
      <c r="Q11" s="3948" t="s">
        <v>15</v>
      </c>
      <c r="R11" s="3949"/>
      <c r="S11" s="3948" t="s">
        <v>273</v>
      </c>
      <c r="T11" s="3949"/>
      <c r="U11" s="44"/>
    </row>
    <row r="12" spans="1:24" ht="29.25" customHeight="1" thickBot="1">
      <c r="A12" s="36"/>
      <c r="B12" s="4010"/>
      <c r="C12" s="3943"/>
      <c r="D12" s="3945"/>
      <c r="E12" s="46" t="s">
        <v>22</v>
      </c>
      <c r="F12" s="1539" t="s">
        <v>37</v>
      </c>
      <c r="G12" s="1538" t="s">
        <v>22</v>
      </c>
      <c r="H12" s="45" t="s">
        <v>37</v>
      </c>
      <c r="I12" s="46" t="s">
        <v>22</v>
      </c>
      <c r="J12" s="1539" t="s">
        <v>37</v>
      </c>
      <c r="K12" s="1538" t="s">
        <v>22</v>
      </c>
      <c r="L12" s="45" t="s">
        <v>37</v>
      </c>
      <c r="M12" s="46" t="s">
        <v>22</v>
      </c>
      <c r="N12" s="1387" t="s">
        <v>37</v>
      </c>
      <c r="O12" s="46" t="s">
        <v>22</v>
      </c>
      <c r="P12" s="1539" t="s">
        <v>37</v>
      </c>
      <c r="Q12" s="1538" t="s">
        <v>22</v>
      </c>
      <c r="R12" s="45" t="s">
        <v>37</v>
      </c>
      <c r="S12" s="3965" t="s">
        <v>37</v>
      </c>
      <c r="T12" s="3966"/>
      <c r="U12" s="44"/>
    </row>
    <row r="13" spans="1:24" ht="44.25" customHeight="1">
      <c r="A13" s="36"/>
      <c r="B13" s="178" t="str">
        <f>'2-A_4TURB'!B7</f>
        <v>Stabilization Hot Oil Heater
(64.83 MMBtu/hr)</v>
      </c>
      <c r="C13" s="176" t="str">
        <f>'2-E-Co'!A5</f>
        <v>SHTR1</v>
      </c>
      <c r="D13" s="191" t="str">
        <f>C13</f>
        <v>SHTR1</v>
      </c>
      <c r="E13" s="399">
        <f>Burners!M14</f>
        <v>1.730961</v>
      </c>
      <c r="F13" s="400">
        <f>Burners!R14</f>
        <v>7.5816091799999992</v>
      </c>
      <c r="G13" s="399">
        <f>Burners!N14</f>
        <v>1.0567289999999998</v>
      </c>
      <c r="H13" s="364">
        <f>Burners!S14</f>
        <v>4.6284730199999995</v>
      </c>
      <c r="I13" s="399">
        <f>Burners!O14</f>
        <v>0.414912</v>
      </c>
      <c r="J13" s="364">
        <f>Burners!T14</f>
        <v>1.81731456</v>
      </c>
      <c r="K13" s="399">
        <f>Burners!P14</f>
        <v>0.14300735294117647</v>
      </c>
      <c r="L13" s="364">
        <f>Burners!U14</f>
        <v>0.62637220588235298</v>
      </c>
      <c r="M13" s="399">
        <f t="shared" ref="M13:N18" si="0">O13</f>
        <v>0.48304705882352933</v>
      </c>
      <c r="N13" s="364">
        <f t="shared" si="0"/>
        <v>2.1157461176470584</v>
      </c>
      <c r="O13" s="399">
        <f>Burners!Q14</f>
        <v>0.48304705882352933</v>
      </c>
      <c r="P13" s="364">
        <f>Burners!V14</f>
        <v>2.1157461176470584</v>
      </c>
      <c r="Q13" s="399">
        <f>SUM(Burners!M31:Q31)</f>
        <v>0.11959863823529414</v>
      </c>
      <c r="R13" s="364">
        <f>SUM(Burners!R31:V31)</f>
        <v>0.52384203547058827</v>
      </c>
      <c r="S13" s="3974">
        <f>SHTRGHG!H43</f>
        <v>33256.326587223601</v>
      </c>
      <c r="T13" s="3975"/>
      <c r="U13" s="44"/>
    </row>
    <row r="14" spans="1:24" ht="44.15" customHeight="1">
      <c r="A14" s="36"/>
      <c r="B14" s="178" t="str">
        <f>'2-A_4TURB'!B9</f>
        <v>Stabilization Hot Oil Heater
(64.83 MMBtu/hr)</v>
      </c>
      <c r="C14" s="176" t="str">
        <f>'2-E-Co'!A6</f>
        <v>SHTR2</v>
      </c>
      <c r="D14" s="191" t="str">
        <f>C14</f>
        <v>SHTR2</v>
      </c>
      <c r="E14" s="398">
        <f t="shared" ref="E14:S14" si="1">E13</f>
        <v>1.730961</v>
      </c>
      <c r="F14" s="397">
        <f t="shared" si="1"/>
        <v>7.5816091799999992</v>
      </c>
      <c r="G14" s="398">
        <f t="shared" si="1"/>
        <v>1.0567289999999998</v>
      </c>
      <c r="H14" s="397">
        <f t="shared" si="1"/>
        <v>4.6284730199999995</v>
      </c>
      <c r="I14" s="398">
        <f t="shared" si="1"/>
        <v>0.414912</v>
      </c>
      <c r="J14" s="397">
        <f t="shared" si="1"/>
        <v>1.81731456</v>
      </c>
      <c r="K14" s="398">
        <f t="shared" si="1"/>
        <v>0.14300735294117647</v>
      </c>
      <c r="L14" s="397">
        <f t="shared" si="1"/>
        <v>0.62637220588235298</v>
      </c>
      <c r="M14" s="398">
        <f t="shared" si="0"/>
        <v>0.48304705882352933</v>
      </c>
      <c r="N14" s="397">
        <f t="shared" si="0"/>
        <v>2.1157461176470584</v>
      </c>
      <c r="O14" s="398">
        <f t="shared" si="1"/>
        <v>0.48304705882352933</v>
      </c>
      <c r="P14" s="397">
        <f t="shared" si="1"/>
        <v>2.1157461176470584</v>
      </c>
      <c r="Q14" s="398">
        <f t="shared" si="1"/>
        <v>0.11959863823529414</v>
      </c>
      <c r="R14" s="397">
        <f t="shared" si="1"/>
        <v>0.52384203547058827</v>
      </c>
      <c r="S14" s="3972">
        <f t="shared" si="1"/>
        <v>33256.326587223601</v>
      </c>
      <c r="T14" s="3973"/>
      <c r="U14" s="44"/>
    </row>
    <row r="15" spans="1:24" ht="44.15" customHeight="1">
      <c r="A15" s="36"/>
      <c r="B15" s="178" t="str">
        <f>'2-A_4TURB'!B11</f>
        <v>Regen Heater 
(39.14 MMBtu/hr)</v>
      </c>
      <c r="C15" s="176" t="str">
        <f>'2-E-Co'!A7</f>
        <v>RHTR1</v>
      </c>
      <c r="D15" s="191" t="str">
        <f>C15</f>
        <v>RHTR1</v>
      </c>
      <c r="E15" s="398">
        <f>Burners!M16</f>
        <v>1.0450380000000001</v>
      </c>
      <c r="F15" s="397">
        <f>Burners!R16</f>
        <v>4.5772664400000007</v>
      </c>
      <c r="G15" s="398">
        <f>Burners!N16</f>
        <v>0.63798199999999994</v>
      </c>
      <c r="H15" s="406">
        <f>Burners!S16</f>
        <v>2.7943611599999998</v>
      </c>
      <c r="I15" s="398">
        <f>Burners!O16</f>
        <v>0.250496</v>
      </c>
      <c r="J15" s="406">
        <f>Burners!T16</f>
        <v>1.09717248</v>
      </c>
      <c r="K15" s="398">
        <f>Burners!P16</f>
        <v>8.633823529411766E-2</v>
      </c>
      <c r="L15" s="406">
        <f>Burners!U16</f>
        <v>0.37816147058823535</v>
      </c>
      <c r="M15" s="398">
        <f t="shared" si="0"/>
        <v>0.29163137254901961</v>
      </c>
      <c r="N15" s="397">
        <f t="shared" si="0"/>
        <v>1.2773454117647058</v>
      </c>
      <c r="O15" s="398">
        <f>Burners!Q16</f>
        <v>0.29163137254901961</v>
      </c>
      <c r="P15" s="406">
        <f>Burners!V16</f>
        <v>1.2773454117647058</v>
      </c>
      <c r="Q15" s="398">
        <f>SUM(Burners!M33:Q33)</f>
        <v>7.2205625490196074E-2</v>
      </c>
      <c r="R15" s="406">
        <f>SUM(Burners!R33:V33)</f>
        <v>0.31626063964705881</v>
      </c>
      <c r="S15" s="3972">
        <f>RegenGHG!H43</f>
        <v>20077.936489648804</v>
      </c>
      <c r="T15" s="3973"/>
      <c r="U15" s="44"/>
    </row>
    <row r="16" spans="1:24" ht="44.15" customHeight="1">
      <c r="A16" s="36"/>
      <c r="B16" s="178" t="str">
        <f>'2-A_4TURB'!B13</f>
        <v>Regen Heater
(39.14 MMBtu/hr)</v>
      </c>
      <c r="C16" s="176" t="str">
        <f>'2-E-Co'!A8</f>
        <v>RHTR2</v>
      </c>
      <c r="D16" s="191" t="str">
        <f>C16</f>
        <v>RHTR2</v>
      </c>
      <c r="E16" s="398">
        <f>Burners!M17</f>
        <v>1.0450380000000001</v>
      </c>
      <c r="F16" s="397">
        <f>Burners!R17</f>
        <v>4.5772664400000007</v>
      </c>
      <c r="G16" s="398">
        <f>Burners!N17</f>
        <v>0.63798199999999994</v>
      </c>
      <c r="H16" s="406">
        <f>Burners!S17</f>
        <v>2.7943611599999998</v>
      </c>
      <c r="I16" s="398">
        <f>Burners!O17</f>
        <v>0.250496</v>
      </c>
      <c r="J16" s="406">
        <f>Burners!T17</f>
        <v>1.09717248</v>
      </c>
      <c r="K16" s="398">
        <f>Burners!P17</f>
        <v>8.633823529411766E-2</v>
      </c>
      <c r="L16" s="406">
        <f>Burners!U17</f>
        <v>0.37816147058823535</v>
      </c>
      <c r="M16" s="398">
        <f t="shared" si="0"/>
        <v>0.29163137254901961</v>
      </c>
      <c r="N16" s="397">
        <f t="shared" si="0"/>
        <v>1.2773454117647058</v>
      </c>
      <c r="O16" s="398">
        <f>Burners!Q17</f>
        <v>0.29163137254901961</v>
      </c>
      <c r="P16" s="406">
        <f>Burners!V17</f>
        <v>1.2773454117647058</v>
      </c>
      <c r="Q16" s="398">
        <f>SUM(Burners!M34:Q34)</f>
        <v>7.2205625490196074E-2</v>
      </c>
      <c r="R16" s="406">
        <f>SUM(Burners!R34:V34)</f>
        <v>0.31626063964705881</v>
      </c>
      <c r="S16" s="3972">
        <f>S15</f>
        <v>20077.936489648804</v>
      </c>
      <c r="T16" s="3973"/>
      <c r="U16" s="44"/>
      <c r="W16" s="8"/>
      <c r="X16" s="8"/>
    </row>
    <row r="17" spans="1:24" ht="44.15" customHeight="1">
      <c r="A17" s="36"/>
      <c r="B17" s="178" t="str">
        <f>'2-A_4TURB'!B15</f>
        <v>Regen Heater
(39.14 MMBtu/hr)</v>
      </c>
      <c r="C17" s="176" t="str">
        <f>'2-E-Co'!A9</f>
        <v>RHTR3</v>
      </c>
      <c r="D17" s="191" t="str">
        <f t="shared" ref="D17:D50" si="2">C17</f>
        <v>RHTR3</v>
      </c>
      <c r="E17" s="398">
        <f>Burners!M18</f>
        <v>1.0450380000000001</v>
      </c>
      <c r="F17" s="397">
        <f>Burners!R18</f>
        <v>4.5772664400000007</v>
      </c>
      <c r="G17" s="398">
        <f>Burners!N18</f>
        <v>0.63798199999999994</v>
      </c>
      <c r="H17" s="406">
        <f>Burners!S18</f>
        <v>2.7943611599999998</v>
      </c>
      <c r="I17" s="398">
        <f>Burners!O18</f>
        <v>0.250496</v>
      </c>
      <c r="J17" s="406">
        <f>Burners!T18</f>
        <v>1.09717248</v>
      </c>
      <c r="K17" s="398">
        <f>Burners!P18</f>
        <v>8.633823529411766E-2</v>
      </c>
      <c r="L17" s="406">
        <f>Burners!U18</f>
        <v>0.37816147058823535</v>
      </c>
      <c r="M17" s="398">
        <f t="shared" si="0"/>
        <v>0.29163137254901961</v>
      </c>
      <c r="N17" s="397">
        <f t="shared" si="0"/>
        <v>1.2773454117647058</v>
      </c>
      <c r="O17" s="398">
        <f>Burners!Q18</f>
        <v>0.29163137254901961</v>
      </c>
      <c r="P17" s="406">
        <f>Burners!V18</f>
        <v>1.2773454117647058</v>
      </c>
      <c r="Q17" s="398">
        <f>SUM(Burners!M35:Q35)</f>
        <v>7.2205625490196074E-2</v>
      </c>
      <c r="R17" s="406">
        <f>SUM(Burners!R35:V35)</f>
        <v>0.31626063964705881</v>
      </c>
      <c r="S17" s="3972">
        <f>S15</f>
        <v>20077.936489648804</v>
      </c>
      <c r="T17" s="3973"/>
      <c r="U17" s="44"/>
    </row>
    <row r="18" spans="1:24" ht="44.25" customHeight="1">
      <c r="A18" s="36"/>
      <c r="B18" s="1032" t="str">
        <f>'2-A_4TURB'!B17</f>
        <v>SSM/Emergency 
Flare 1 
(Dual Tip Flare)</v>
      </c>
      <c r="C18" s="176" t="str">
        <f>'2-E-Co'!A10</f>
        <v>FL1-FL3 - 
Pilot/Purge</v>
      </c>
      <c r="D18" s="191" t="str">
        <f t="shared" si="2"/>
        <v>FL1-FL3 - 
Pilot/Purge</v>
      </c>
      <c r="E18" s="3983">
        <f>'Flare Summary'!C19</f>
        <v>105.10411977524262</v>
      </c>
      <c r="F18" s="3980">
        <f>'Flare Summary'!E19</f>
        <v>41.567887039173065</v>
      </c>
      <c r="G18" s="3983">
        <f>'Flare Summary'!F19</f>
        <v>209.82742752231414</v>
      </c>
      <c r="H18" s="3980">
        <f>'Flare Summary'!H19</f>
        <v>82.985165791972307</v>
      </c>
      <c r="I18" s="3983">
        <f>'Flare Summary'!I19</f>
        <v>405.09059367100201</v>
      </c>
      <c r="J18" s="3980">
        <f>'Flare Summary'!K19</f>
        <v>115.3453570211265</v>
      </c>
      <c r="K18" s="3983">
        <f>'Hrly (FL1-FL3)'!K14</f>
        <v>0</v>
      </c>
      <c r="L18" s="3980">
        <f>'Ann (FL1-FL3)'!K14</f>
        <v>0</v>
      </c>
      <c r="M18" s="3983">
        <f t="shared" si="0"/>
        <v>5.4303453923797846</v>
      </c>
      <c r="N18" s="3980">
        <f t="shared" si="0"/>
        <v>2.1998596831280941</v>
      </c>
      <c r="O18" s="3983">
        <f>'Flare Summary'!O19</f>
        <v>5.4303453923797846</v>
      </c>
      <c r="P18" s="3980">
        <f>'Flare Summary'!Q19</f>
        <v>2.1998596831280941</v>
      </c>
      <c r="Q18" s="3983">
        <f>'Flare Summary'!R19</f>
        <v>1.3117788389852012</v>
      </c>
      <c r="R18" s="3980">
        <f>'Flare Summary'!T19</f>
        <v>1.0494574617827881</v>
      </c>
      <c r="S18" s="3989">
        <f>'FL PURGE GHG'!H50</f>
        <v>0</v>
      </c>
      <c r="T18" s="3990"/>
      <c r="U18" s="44"/>
      <c r="V18" s="8"/>
      <c r="W18" s="8"/>
    </row>
    <row r="19" spans="1:24" ht="44.25" customHeight="1">
      <c r="A19" s="36"/>
      <c r="B19" s="1033" t="str">
        <f>'2-A_4TURB'!B19</f>
        <v>SSM/Emergency 
Flare 2 
(Dual Tip Flare)</v>
      </c>
      <c r="C19" s="176">
        <f>'2-E-Co'!A11</f>
        <v>0</v>
      </c>
      <c r="D19" s="191">
        <f t="shared" si="2"/>
        <v>0</v>
      </c>
      <c r="E19" s="3984"/>
      <c r="F19" s="3981"/>
      <c r="G19" s="3984"/>
      <c r="H19" s="3981"/>
      <c r="I19" s="3984"/>
      <c r="J19" s="3981"/>
      <c r="K19" s="3984"/>
      <c r="L19" s="3981"/>
      <c r="M19" s="3984"/>
      <c r="N19" s="3981"/>
      <c r="O19" s="3984"/>
      <c r="P19" s="3981"/>
      <c r="Q19" s="3984"/>
      <c r="R19" s="3981"/>
      <c r="S19" s="3991"/>
      <c r="T19" s="3992"/>
      <c r="U19" s="44"/>
      <c r="X19" s="8"/>
    </row>
    <row r="20" spans="1:24" ht="44.25" customHeight="1">
      <c r="A20" s="36"/>
      <c r="B20" s="1033" t="str">
        <f>'2-A_4TURB'!B21</f>
        <v>Backup SSM/Emergency 
Flare 3 
(Dual Tip Flare)</v>
      </c>
      <c r="C20" s="176">
        <f>'2-E-Co'!A12</f>
        <v>0</v>
      </c>
      <c r="D20" s="191">
        <f t="shared" si="2"/>
        <v>0</v>
      </c>
      <c r="E20" s="3985"/>
      <c r="F20" s="3982"/>
      <c r="G20" s="3985"/>
      <c r="H20" s="3982"/>
      <c r="I20" s="3985"/>
      <c r="J20" s="3982"/>
      <c r="K20" s="3985"/>
      <c r="L20" s="3982"/>
      <c r="M20" s="3985"/>
      <c r="N20" s="3982"/>
      <c r="O20" s="3985"/>
      <c r="P20" s="3982"/>
      <c r="Q20" s="3985"/>
      <c r="R20" s="3982"/>
      <c r="S20" s="3978"/>
      <c r="T20" s="3979"/>
      <c r="U20" s="44"/>
      <c r="X20" s="8"/>
    </row>
    <row r="21" spans="1:24" ht="44.15" customHeight="1">
      <c r="A21" s="36"/>
      <c r="B21" s="178" t="str">
        <f>'2-A_4TURB'!B27</f>
        <v>Oil Storage 1 (100,000 bbl)</v>
      </c>
      <c r="C21" s="176" t="str">
        <f>'2-E-Co'!A19</f>
        <v>IFR1</v>
      </c>
      <c r="D21" s="191" t="str">
        <f t="shared" si="2"/>
        <v>IFR1</v>
      </c>
      <c r="E21" s="817" t="s">
        <v>445</v>
      </c>
      <c r="F21" s="818" t="s">
        <v>445</v>
      </c>
      <c r="G21" s="817" t="s">
        <v>445</v>
      </c>
      <c r="H21" s="818" t="s">
        <v>445</v>
      </c>
      <c r="I21" s="398">
        <f>'IFR Tanks (IFR1-IFR4)'!C41</f>
        <v>1.1752020371542549</v>
      </c>
      <c r="J21" s="406">
        <f>'IFR Tanks (IFR1-IFR4)'!D41</f>
        <v>5.1473849227356343</v>
      </c>
      <c r="K21" s="817" t="s">
        <v>445</v>
      </c>
      <c r="L21" s="818" t="s">
        <v>445</v>
      </c>
      <c r="M21" s="817" t="s">
        <v>445</v>
      </c>
      <c r="N21" s="818" t="s">
        <v>445</v>
      </c>
      <c r="O21" s="817" t="s">
        <v>445</v>
      </c>
      <c r="P21" s="818" t="s">
        <v>445</v>
      </c>
      <c r="Q21" s="817" t="s">
        <v>445</v>
      </c>
      <c r="R21" s="818" t="s">
        <v>445</v>
      </c>
      <c r="S21" s="3993" t="s">
        <v>445</v>
      </c>
      <c r="T21" s="3994"/>
      <c r="U21" s="44"/>
    </row>
    <row r="22" spans="1:24" ht="44.15" customHeight="1">
      <c r="A22" s="36"/>
      <c r="B22" s="178" t="str">
        <f>'2-A_4TURB'!B29</f>
        <v>Oil Storage 2 (100,000 bbl)</v>
      </c>
      <c r="C22" s="176" t="str">
        <f>'2-E-Co'!A20</f>
        <v>IFR2</v>
      </c>
      <c r="D22" s="191" t="str">
        <f t="shared" si="2"/>
        <v>IFR2</v>
      </c>
      <c r="E22" s="817" t="s">
        <v>445</v>
      </c>
      <c r="F22" s="818" t="s">
        <v>445</v>
      </c>
      <c r="G22" s="817" t="s">
        <v>445</v>
      </c>
      <c r="H22" s="818" t="s">
        <v>445</v>
      </c>
      <c r="I22" s="398">
        <f>I21</f>
        <v>1.1752020371542549</v>
      </c>
      <c r="J22" s="406">
        <f>J21</f>
        <v>5.1473849227356343</v>
      </c>
      <c r="K22" s="817" t="s">
        <v>445</v>
      </c>
      <c r="L22" s="818" t="s">
        <v>445</v>
      </c>
      <c r="M22" s="817" t="s">
        <v>445</v>
      </c>
      <c r="N22" s="818" t="s">
        <v>445</v>
      </c>
      <c r="O22" s="817" t="s">
        <v>445</v>
      </c>
      <c r="P22" s="818" t="s">
        <v>445</v>
      </c>
      <c r="Q22" s="817" t="s">
        <v>445</v>
      </c>
      <c r="R22" s="818" t="s">
        <v>445</v>
      </c>
      <c r="S22" s="3993" t="s">
        <v>445</v>
      </c>
      <c r="T22" s="3994"/>
      <c r="U22" s="44"/>
      <c r="W22" s="8"/>
    </row>
    <row r="23" spans="1:24" ht="44.15" customHeight="1">
      <c r="A23" s="36"/>
      <c r="B23" s="178" t="str">
        <f>'2-A_4TURB'!B31</f>
        <v>Oil Storage 3 (100,000 bbl)</v>
      </c>
      <c r="C23" s="176" t="str">
        <f>'2-E-Co'!A21</f>
        <v>IFR3</v>
      </c>
      <c r="D23" s="191" t="str">
        <f t="shared" si="2"/>
        <v>IFR3</v>
      </c>
      <c r="E23" s="817" t="s">
        <v>445</v>
      </c>
      <c r="F23" s="818" t="s">
        <v>445</v>
      </c>
      <c r="G23" s="817" t="s">
        <v>445</v>
      </c>
      <c r="H23" s="818" t="s">
        <v>445</v>
      </c>
      <c r="I23" s="398">
        <f>I21</f>
        <v>1.1752020371542549</v>
      </c>
      <c r="J23" s="406">
        <f>J21</f>
        <v>5.1473849227356343</v>
      </c>
      <c r="K23" s="817" t="s">
        <v>445</v>
      </c>
      <c r="L23" s="818" t="s">
        <v>445</v>
      </c>
      <c r="M23" s="817" t="s">
        <v>445</v>
      </c>
      <c r="N23" s="818" t="s">
        <v>445</v>
      </c>
      <c r="O23" s="817" t="s">
        <v>445</v>
      </c>
      <c r="P23" s="818" t="s">
        <v>445</v>
      </c>
      <c r="Q23" s="817" t="s">
        <v>445</v>
      </c>
      <c r="R23" s="818" t="s">
        <v>445</v>
      </c>
      <c r="S23" s="3993" t="s">
        <v>445</v>
      </c>
      <c r="T23" s="3994"/>
      <c r="U23" s="44"/>
    </row>
    <row r="24" spans="1:24" ht="44.15" customHeight="1">
      <c r="A24" s="36"/>
      <c r="B24" s="178" t="str">
        <f>'2-A_4TURB'!B33</f>
        <v>Oil Storage 4 (100,000 bbl)</v>
      </c>
      <c r="C24" s="176" t="str">
        <f>'2-E-Co'!A22</f>
        <v>IFR4</v>
      </c>
      <c r="D24" s="191" t="str">
        <f t="shared" si="2"/>
        <v>IFR4</v>
      </c>
      <c r="E24" s="817" t="s">
        <v>445</v>
      </c>
      <c r="F24" s="818" t="s">
        <v>445</v>
      </c>
      <c r="G24" s="817" t="s">
        <v>445</v>
      </c>
      <c r="H24" s="818" t="s">
        <v>445</v>
      </c>
      <c r="I24" s="398">
        <f>I21</f>
        <v>1.1752020371542549</v>
      </c>
      <c r="J24" s="406">
        <f>J21</f>
        <v>5.1473849227356343</v>
      </c>
      <c r="K24" s="817" t="s">
        <v>445</v>
      </c>
      <c r="L24" s="818" t="s">
        <v>445</v>
      </c>
      <c r="M24" s="817" t="s">
        <v>445</v>
      </c>
      <c r="N24" s="818" t="s">
        <v>445</v>
      </c>
      <c r="O24" s="817" t="s">
        <v>445</v>
      </c>
      <c r="P24" s="818" t="s">
        <v>445</v>
      </c>
      <c r="Q24" s="817" t="s">
        <v>445</v>
      </c>
      <c r="R24" s="818" t="s">
        <v>445</v>
      </c>
      <c r="S24" s="3993" t="s">
        <v>445</v>
      </c>
      <c r="T24" s="3994"/>
      <c r="U24" s="44"/>
    </row>
    <row r="25" spans="1:24" ht="44.15" customHeight="1">
      <c r="A25" s="36"/>
      <c r="B25" s="178" t="str">
        <f>'2-A_4TURB'!B35</f>
        <v>3rd-Party Oil Storage 1</v>
      </c>
      <c r="C25" s="176" t="str">
        <f>'2-E-Co'!A23</f>
        <v>OTK1</v>
      </c>
      <c r="D25" s="191" t="str">
        <f t="shared" si="2"/>
        <v>OTK1</v>
      </c>
      <c r="E25" s="3986" t="s">
        <v>1458</v>
      </c>
      <c r="F25" s="3987"/>
      <c r="G25" s="3987"/>
      <c r="H25" s="3987"/>
      <c r="I25" s="3987"/>
      <c r="J25" s="3987"/>
      <c r="K25" s="3987"/>
      <c r="L25" s="3987"/>
      <c r="M25" s="3929"/>
      <c r="N25" s="3929"/>
      <c r="O25" s="3987"/>
      <c r="P25" s="3987"/>
      <c r="Q25" s="3987"/>
      <c r="R25" s="3987"/>
      <c r="S25" s="3987"/>
      <c r="T25" s="3988"/>
      <c r="U25" s="44"/>
    </row>
    <row r="26" spans="1:24" ht="44.15" customHeight="1">
      <c r="A26" s="36"/>
      <c r="B26" s="178" t="str">
        <f>'2-A_4TURB'!B37</f>
        <v>3rd-Party Oil Storage 2</v>
      </c>
      <c r="C26" s="176" t="str">
        <f>'2-E-Co'!A24</f>
        <v>OTK2</v>
      </c>
      <c r="D26" s="191" t="str">
        <f t="shared" si="2"/>
        <v>OTK2</v>
      </c>
      <c r="E26" s="3986" t="str">
        <f>E25</f>
        <v>Emissions represented at ECD.</v>
      </c>
      <c r="F26" s="3987"/>
      <c r="G26" s="3987"/>
      <c r="H26" s="3987"/>
      <c r="I26" s="3987"/>
      <c r="J26" s="3987"/>
      <c r="K26" s="3987"/>
      <c r="L26" s="3987"/>
      <c r="M26" s="3929"/>
      <c r="N26" s="3929"/>
      <c r="O26" s="3987"/>
      <c r="P26" s="3987"/>
      <c r="Q26" s="3987"/>
      <c r="R26" s="3987"/>
      <c r="S26" s="3987"/>
      <c r="T26" s="3988"/>
      <c r="U26" s="44"/>
      <c r="W26" s="8"/>
      <c r="X26" s="8"/>
    </row>
    <row r="27" spans="1:24" ht="44.15" customHeight="1">
      <c r="A27" s="36"/>
      <c r="B27" s="178" t="str">
        <f>'2-A_4TURB'!B39</f>
        <v>3rd-Party Oil Storage 3</v>
      </c>
      <c r="C27" s="176" t="str">
        <f>'2-E-Co'!A25</f>
        <v>OTK3</v>
      </c>
      <c r="D27" s="191" t="str">
        <f t="shared" si="2"/>
        <v>OTK3</v>
      </c>
      <c r="E27" s="3986" t="str">
        <f>E26</f>
        <v>Emissions represented at ECD.</v>
      </c>
      <c r="F27" s="3987"/>
      <c r="G27" s="3987"/>
      <c r="H27" s="3987"/>
      <c r="I27" s="3987"/>
      <c r="J27" s="3987"/>
      <c r="K27" s="3987"/>
      <c r="L27" s="3987"/>
      <c r="M27" s="3929"/>
      <c r="N27" s="3929"/>
      <c r="O27" s="3987"/>
      <c r="P27" s="3987"/>
      <c r="Q27" s="3987"/>
      <c r="R27" s="3987"/>
      <c r="S27" s="3987"/>
      <c r="T27" s="3988"/>
      <c r="U27" s="44"/>
      <c r="W27" s="8"/>
    </row>
    <row r="28" spans="1:24" ht="44.15" customHeight="1">
      <c r="A28" s="36"/>
      <c r="B28" s="178" t="str">
        <f>'2-A_4TURB'!B41</f>
        <v>3rd-Party Oil Storage 4</v>
      </c>
      <c r="C28" s="176" t="str">
        <f>'2-E-Co'!A26</f>
        <v>OTK4</v>
      </c>
      <c r="D28" s="191" t="str">
        <f t="shared" si="2"/>
        <v>OTK4</v>
      </c>
      <c r="E28" s="3986" t="str">
        <f>E27</f>
        <v>Emissions represented at ECD.</v>
      </c>
      <c r="F28" s="3987"/>
      <c r="G28" s="3987"/>
      <c r="H28" s="3987"/>
      <c r="I28" s="3987"/>
      <c r="J28" s="3987"/>
      <c r="K28" s="3987"/>
      <c r="L28" s="3987"/>
      <c r="M28" s="3929"/>
      <c r="N28" s="3929"/>
      <c r="O28" s="3987"/>
      <c r="P28" s="3987"/>
      <c r="Q28" s="3987"/>
      <c r="R28" s="3987"/>
      <c r="S28" s="3987"/>
      <c r="T28" s="3988"/>
      <c r="U28" s="44"/>
    </row>
    <row r="29" spans="1:24" ht="44.15" customHeight="1" thickBot="1">
      <c r="A29" s="1663"/>
      <c r="B29" s="1672" t="str">
        <f>'2-A_4TURB'!B43</f>
        <v>3rd-Party Oil Storage 5</v>
      </c>
      <c r="C29" s="1567" t="str">
        <f>'2-E-Co'!A27</f>
        <v>OTK5</v>
      </c>
      <c r="D29" s="1506" t="str">
        <f t="shared" si="2"/>
        <v>OTK5</v>
      </c>
      <c r="E29" s="4011" t="str">
        <f>E28</f>
        <v>Emissions represented at ECD.</v>
      </c>
      <c r="F29" s="4001"/>
      <c r="G29" s="4001"/>
      <c r="H29" s="4001"/>
      <c r="I29" s="4001"/>
      <c r="J29" s="4001"/>
      <c r="K29" s="4001"/>
      <c r="L29" s="4001"/>
      <c r="M29" s="4001"/>
      <c r="N29" s="4001"/>
      <c r="O29" s="4001"/>
      <c r="P29" s="4001"/>
      <c r="Q29" s="4001"/>
      <c r="R29" s="4001"/>
      <c r="S29" s="4001"/>
      <c r="T29" s="4012"/>
      <c r="U29" s="1664"/>
      <c r="W29" s="8"/>
      <c r="X29" s="8"/>
    </row>
    <row r="30" spans="1:24" ht="44.15" customHeight="1">
      <c r="A30" s="36"/>
      <c r="B30" s="1032" t="str">
        <f>'2-A_4TURB'!B45</f>
        <v>3rd-Party Oil Storage 6</v>
      </c>
      <c r="C30" s="1284" t="str">
        <f>'2-E-Co'!A28</f>
        <v>OTK6</v>
      </c>
      <c r="D30" s="1285" t="str">
        <f t="shared" si="2"/>
        <v>OTK6</v>
      </c>
      <c r="E30" s="4013" t="str">
        <f>E29</f>
        <v>Emissions represented at ECD.</v>
      </c>
      <c r="F30" s="4014"/>
      <c r="G30" s="4014"/>
      <c r="H30" s="4014"/>
      <c r="I30" s="4014"/>
      <c r="J30" s="4014"/>
      <c r="K30" s="4014"/>
      <c r="L30" s="4014"/>
      <c r="M30" s="4014"/>
      <c r="N30" s="4014"/>
      <c r="O30" s="4014"/>
      <c r="P30" s="4014"/>
      <c r="Q30" s="4014"/>
      <c r="R30" s="4014"/>
      <c r="S30" s="4014"/>
      <c r="T30" s="4015"/>
      <c r="U30" s="44"/>
    </row>
    <row r="31" spans="1:24" ht="44.15" customHeight="1">
      <c r="A31" s="36"/>
      <c r="B31" s="178" t="str">
        <f>'2-A_4TURB'!B47</f>
        <v>Combustor</v>
      </c>
      <c r="C31" s="176" t="str">
        <f>'2-E-Co'!A29</f>
        <v>ECD1</v>
      </c>
      <c r="D31" s="191" t="str">
        <f t="shared" si="2"/>
        <v>ECD1</v>
      </c>
      <c r="E31" s="398">
        <f>'Hrly (ECD1)'!R12</f>
        <v>1.5931460516780505</v>
      </c>
      <c r="F31" s="397">
        <f>' Ann (ECD1)'!R12</f>
        <v>6.0866344473776257</v>
      </c>
      <c r="G31" s="398">
        <f>'Hrly (ECD1)'!R13</f>
        <v>3.1805198350529196</v>
      </c>
      <c r="H31" s="406">
        <f>' Ann (ECD1)'!R13</f>
        <v>12.151215871395186</v>
      </c>
      <c r="I31" s="398">
        <f>'Hrly (ECD1)'!O41</f>
        <v>7.2766034925122449</v>
      </c>
      <c r="J31" s="406">
        <f>' Ann (ECD1)'!O41</f>
        <v>28.268593950427899</v>
      </c>
      <c r="K31" s="398">
        <f>'Hrly (ECD1)'!R14</f>
        <v>0</v>
      </c>
      <c r="L31" s="406">
        <f>' Ann (ECD1)'!R14</f>
        <v>0</v>
      </c>
      <c r="M31" s="398">
        <f>O31</f>
        <v>8.6018115890545505E-2</v>
      </c>
      <c r="N31" s="397">
        <f>P31</f>
        <v>0.12880069625799914</v>
      </c>
      <c r="O31" s="398">
        <f>'Hrly (ECD1)'!R15</f>
        <v>8.6018115890545505E-2</v>
      </c>
      <c r="P31" s="406">
        <f>' Ann (ECD1)'!R15</f>
        <v>0.12880069625799914</v>
      </c>
      <c r="Q31" s="398">
        <f>'Hrly (ECD1)'!O42</f>
        <v>0.27504072721807626</v>
      </c>
      <c r="R31" s="406">
        <f>' Ann (ECD1)'!O42</f>
        <v>1.0668332259581128</v>
      </c>
      <c r="S31" s="3972">
        <f>'ECD1 GHG'!H50</f>
        <v>4244.370563407545</v>
      </c>
      <c r="T31" s="3973"/>
      <c r="U31" s="44"/>
    </row>
    <row r="32" spans="1:24" ht="44.15" customHeight="1">
      <c r="A32" s="36"/>
      <c r="B32" s="1031" t="str">
        <f>'2-A_4TURB'!B49</f>
        <v>Thermal Oxidizer</v>
      </c>
      <c r="C32" s="176" t="str">
        <f>'2-E-Co'!A30</f>
        <v>TO1</v>
      </c>
      <c r="D32" s="191" t="str">
        <f t="shared" si="2"/>
        <v>TO1</v>
      </c>
      <c r="E32" s="410">
        <f>'TO Hrly (TO1-TO3)'!K12</f>
        <v>2.5190885601790693</v>
      </c>
      <c r="F32" s="411">
        <f>'TO Ann (TO1-TO3)'!K12</f>
        <v>11.033607893584323</v>
      </c>
      <c r="G32" s="410">
        <f>'TO Hrly (TO1-TO3)'!K13</f>
        <v>2.0880159999999997</v>
      </c>
      <c r="H32" s="411">
        <f>'TO Ann (TO1-TO3)'!K13</f>
        <v>9.1455100799999975</v>
      </c>
      <c r="I32" s="410">
        <f>'TO Hrly (TO1-TO3)'!H32</f>
        <v>0.62455189452722593</v>
      </c>
      <c r="J32" s="411">
        <f>'TO Ann (TO1-TO3)'!H32</f>
        <v>2.7355372980292492</v>
      </c>
      <c r="K32" s="410">
        <f>'TO Hrly (TO1-TO3)'!K14</f>
        <v>0.86237125715223051</v>
      </c>
      <c r="L32" s="411">
        <f>'TO Ann (TO1-TO3)'!K14</f>
        <v>3.7771861063267695</v>
      </c>
      <c r="M32" s="398">
        <f t="shared" ref="M32:N34" si="3">O32</f>
        <v>0.23462099335001135</v>
      </c>
      <c r="N32" s="1472">
        <f t="shared" si="3"/>
        <v>1.0276399508730496</v>
      </c>
      <c r="O32" s="410">
        <f>'TO Hrly (TO1-TO3)'!K15</f>
        <v>0.23462099335001135</v>
      </c>
      <c r="P32" s="411">
        <f>'TO Ann (TO1-TO3)'!K15</f>
        <v>1.0276399508730496</v>
      </c>
      <c r="Q32" s="410">
        <f>'TO Hrly (TO1-TO3)'!H33</f>
        <v>8.0737606029044826E-2</v>
      </c>
      <c r="R32" s="411">
        <f>'TO Ann (TO1-TO3)'!H33</f>
        <v>0.35363071440721638</v>
      </c>
      <c r="S32" s="3972">
        <f>'TO GHG-Flash '!H50+'TO GHG-Still'!H50</f>
        <v>101557.29956690592</v>
      </c>
      <c r="T32" s="3973"/>
      <c r="U32" s="44"/>
      <c r="W32" s="8"/>
    </row>
    <row r="33" spans="1:72" ht="44.25" customHeight="1">
      <c r="A33" s="36"/>
      <c r="B33" s="1032" t="str">
        <f>'2-A_4TURB'!B51</f>
        <v>Thermal Oxidizer</v>
      </c>
      <c r="C33" s="176" t="str">
        <f>'2-E-Co'!A31</f>
        <v>TO2</v>
      </c>
      <c r="D33" s="191" t="str">
        <f t="shared" si="2"/>
        <v>TO2</v>
      </c>
      <c r="E33" s="398">
        <f>E32</f>
        <v>2.5190885601790693</v>
      </c>
      <c r="F33" s="397">
        <f>F32</f>
        <v>11.033607893584323</v>
      </c>
      <c r="G33" s="398">
        <f t="shared" ref="G33:R33" si="4">G32</f>
        <v>2.0880159999999997</v>
      </c>
      <c r="H33" s="397">
        <f t="shared" si="4"/>
        <v>9.1455100799999975</v>
      </c>
      <c r="I33" s="398">
        <f t="shared" si="4"/>
        <v>0.62455189452722593</v>
      </c>
      <c r="J33" s="397">
        <f t="shared" si="4"/>
        <v>2.7355372980292492</v>
      </c>
      <c r="K33" s="398">
        <f t="shared" si="4"/>
        <v>0.86237125715223051</v>
      </c>
      <c r="L33" s="397">
        <f t="shared" si="4"/>
        <v>3.7771861063267695</v>
      </c>
      <c r="M33" s="398">
        <f t="shared" si="3"/>
        <v>0.23462099335001135</v>
      </c>
      <c r="N33" s="397">
        <f t="shared" si="3"/>
        <v>1.0276399508730496</v>
      </c>
      <c r="O33" s="398">
        <f t="shared" si="4"/>
        <v>0.23462099335001135</v>
      </c>
      <c r="P33" s="397">
        <f t="shared" si="4"/>
        <v>1.0276399508730496</v>
      </c>
      <c r="Q33" s="398">
        <f t="shared" si="4"/>
        <v>8.0737606029044826E-2</v>
      </c>
      <c r="R33" s="397">
        <f t="shared" si="4"/>
        <v>0.35363071440721638</v>
      </c>
      <c r="S33" s="3972">
        <f>S32</f>
        <v>101557.29956690592</v>
      </c>
      <c r="T33" s="3973"/>
      <c r="U33" s="44"/>
      <c r="V33" s="8"/>
      <c r="W33" s="8"/>
    </row>
    <row r="34" spans="1:72" ht="44.25" customHeight="1">
      <c r="A34" s="36"/>
      <c r="B34" s="1033" t="str">
        <f>'2-A_4TURB'!B53</f>
        <v>Thermal Oxidizer</v>
      </c>
      <c r="C34" s="176" t="str">
        <f>'2-E-Co'!A32</f>
        <v>TO3</v>
      </c>
      <c r="D34" s="191" t="str">
        <f t="shared" si="2"/>
        <v>TO3</v>
      </c>
      <c r="E34" s="398">
        <f>E32</f>
        <v>2.5190885601790693</v>
      </c>
      <c r="F34" s="397">
        <f>F32</f>
        <v>11.033607893584323</v>
      </c>
      <c r="G34" s="398">
        <f t="shared" ref="G34:R34" si="5">G32</f>
        <v>2.0880159999999997</v>
      </c>
      <c r="H34" s="397">
        <f t="shared" si="5"/>
        <v>9.1455100799999975</v>
      </c>
      <c r="I34" s="398">
        <f t="shared" si="5"/>
        <v>0.62455189452722593</v>
      </c>
      <c r="J34" s="397">
        <f t="shared" si="5"/>
        <v>2.7355372980292492</v>
      </c>
      <c r="K34" s="398">
        <f t="shared" si="5"/>
        <v>0.86237125715223051</v>
      </c>
      <c r="L34" s="397">
        <f t="shared" si="5"/>
        <v>3.7771861063267695</v>
      </c>
      <c r="M34" s="398">
        <f t="shared" si="3"/>
        <v>0.23462099335001135</v>
      </c>
      <c r="N34" s="397">
        <f t="shared" si="3"/>
        <v>1.0276399508730496</v>
      </c>
      <c r="O34" s="398">
        <f t="shared" si="5"/>
        <v>0.23462099335001135</v>
      </c>
      <c r="P34" s="397">
        <f t="shared" si="5"/>
        <v>1.0276399508730496</v>
      </c>
      <c r="Q34" s="398">
        <f t="shared" si="5"/>
        <v>8.0737606029044826E-2</v>
      </c>
      <c r="R34" s="397">
        <f t="shared" si="5"/>
        <v>0.35363071440721638</v>
      </c>
      <c r="S34" s="3972">
        <f>S32</f>
        <v>101557.29956690592</v>
      </c>
      <c r="T34" s="3973"/>
      <c r="U34" s="44"/>
      <c r="X34" s="8"/>
    </row>
    <row r="35" spans="1:72" ht="44.25" customHeight="1">
      <c r="A35" s="36"/>
      <c r="B35" s="1032" t="str">
        <f>'2-A_4TURB'!B55</f>
        <v>Fugitives</v>
      </c>
      <c r="C35" s="176" t="str">
        <f>'2-E-Co'!A33</f>
        <v>FUG</v>
      </c>
      <c r="D35" s="191" t="str">
        <f t="shared" si="2"/>
        <v>FUG</v>
      </c>
      <c r="E35" s="1281" t="s">
        <v>445</v>
      </c>
      <c r="F35" s="1282" t="s">
        <v>445</v>
      </c>
      <c r="G35" s="1281" t="s">
        <v>445</v>
      </c>
      <c r="H35" s="1282" t="s">
        <v>445</v>
      </c>
      <c r="I35" s="1447">
        <f>Fugitive!G72</f>
        <v>30.616050709592137</v>
      </c>
      <c r="J35" s="1533">
        <f>Fugitive!I72</f>
        <v>134.09830210801351</v>
      </c>
      <c r="K35" s="1281" t="s">
        <v>445</v>
      </c>
      <c r="L35" s="1282" t="s">
        <v>445</v>
      </c>
      <c r="M35" s="1281" t="s">
        <v>445</v>
      </c>
      <c r="N35" s="1282" t="s">
        <v>445</v>
      </c>
      <c r="O35" s="1281" t="s">
        <v>445</v>
      </c>
      <c r="P35" s="1282" t="s">
        <v>445</v>
      </c>
      <c r="Q35" s="1281">
        <f>'Fugitives HAPs'!G39</f>
        <v>1.8349882519246774</v>
      </c>
      <c r="R35" s="1282">
        <f>'Fugitives HAPs'!I39</f>
        <v>8.0372485434300867</v>
      </c>
      <c r="S35" s="3993" t="s">
        <v>445</v>
      </c>
      <c r="T35" s="3994"/>
      <c r="U35" s="44"/>
    </row>
    <row r="36" spans="1:72" ht="44.25" customHeight="1">
      <c r="A36" s="36"/>
      <c r="B36" s="175" t="str">
        <f>'2-A_4TURB'!B57</f>
        <v>Storage Tank SSM Emissions</v>
      </c>
      <c r="C36" s="176" t="str">
        <f>'2-E-Co'!A34</f>
        <v>SSM</v>
      </c>
      <c r="D36" s="191" t="str">
        <f t="shared" si="2"/>
        <v>SSM</v>
      </c>
      <c r="E36" s="817" t="s">
        <v>445</v>
      </c>
      <c r="F36" s="818" t="s">
        <v>445</v>
      </c>
      <c r="G36" s="817" t="s">
        <v>445</v>
      </c>
      <c r="H36" s="818" t="s">
        <v>445</v>
      </c>
      <c r="I36" s="817" t="s">
        <v>445</v>
      </c>
      <c r="J36" s="818">
        <v>10</v>
      </c>
      <c r="K36" s="817" t="s">
        <v>445</v>
      </c>
      <c r="L36" s="818" t="s">
        <v>445</v>
      </c>
      <c r="M36" s="817" t="s">
        <v>445</v>
      </c>
      <c r="N36" s="818" t="s">
        <v>445</v>
      </c>
      <c r="O36" s="817" t="s">
        <v>445</v>
      </c>
      <c r="P36" s="818" t="s">
        <v>445</v>
      </c>
      <c r="Q36" s="817" t="s">
        <v>445</v>
      </c>
      <c r="R36" s="818" t="s">
        <v>445</v>
      </c>
      <c r="S36" s="3993" t="s">
        <v>445</v>
      </c>
      <c r="T36" s="3994"/>
      <c r="U36" s="44"/>
    </row>
    <row r="37" spans="1:72" s="53" customFormat="1" ht="44.25" customHeight="1">
      <c r="A37" s="36"/>
      <c r="B37" s="178" t="str">
        <f>'2-A_4TURB'!B59</f>
        <v>Haul Road Fugitives</v>
      </c>
      <c r="C37" s="176" t="str">
        <f>'2-E-Co'!A35</f>
        <v>ROAD</v>
      </c>
      <c r="D37" s="191" t="str">
        <f t="shared" si="2"/>
        <v>ROAD</v>
      </c>
      <c r="E37" s="817" t="s">
        <v>445</v>
      </c>
      <c r="F37" s="818" t="s">
        <v>445</v>
      </c>
      <c r="G37" s="817" t="s">
        <v>445</v>
      </c>
      <c r="H37" s="818" t="s">
        <v>445</v>
      </c>
      <c r="I37" s="817" t="s">
        <v>445</v>
      </c>
      <c r="J37" s="818" t="s">
        <v>445</v>
      </c>
      <c r="K37" s="817" t="s">
        <v>445</v>
      </c>
      <c r="L37" s="818" t="s">
        <v>445</v>
      </c>
      <c r="M37" s="1281">
        <f>Road!C24</f>
        <v>2.7556902133370476</v>
      </c>
      <c r="N37" s="1282">
        <f>Road!C25</f>
        <v>8.8254079636430482</v>
      </c>
      <c r="O37" s="1281">
        <f>Road!F24</f>
        <v>0.70232409971011567</v>
      </c>
      <c r="P37" s="1282">
        <f>Road!F25</f>
        <v>2.2492719510493018</v>
      </c>
      <c r="Q37" s="817" t="s">
        <v>445</v>
      </c>
      <c r="R37" s="818" t="s">
        <v>445</v>
      </c>
      <c r="S37" s="3993" t="s">
        <v>445</v>
      </c>
      <c r="T37" s="3994"/>
      <c r="U37" s="44"/>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row>
    <row r="38" spans="1:72" ht="44.25" customHeight="1">
      <c r="A38" s="36"/>
      <c r="B38" s="178" t="str">
        <f>'2-A_4TURB'!B61</f>
        <v>Produced Water Tank 1</v>
      </c>
      <c r="C38" s="176" t="str">
        <f>'2-E-Co'!A36</f>
        <v>PWTK1</v>
      </c>
      <c r="D38" s="191" t="str">
        <f t="shared" si="2"/>
        <v>PWTK1</v>
      </c>
      <c r="E38" s="3986" t="str">
        <f>E25</f>
        <v>Emissions represented at ECD.</v>
      </c>
      <c r="F38" s="3987"/>
      <c r="G38" s="3987"/>
      <c r="H38" s="3987"/>
      <c r="I38" s="3987"/>
      <c r="J38" s="3987"/>
      <c r="K38" s="3987"/>
      <c r="L38" s="3987"/>
      <c r="M38" s="3929"/>
      <c r="N38" s="3929"/>
      <c r="O38" s="3987"/>
      <c r="P38" s="3987"/>
      <c r="Q38" s="3987"/>
      <c r="R38" s="3987"/>
      <c r="S38" s="3987"/>
      <c r="T38" s="3988"/>
      <c r="U38" s="44"/>
    </row>
    <row r="39" spans="1:72" s="53" customFormat="1" ht="44.25" customHeight="1">
      <c r="A39" s="36"/>
      <c r="B39" s="178" t="str">
        <f>'2-A_4TURB'!B63</f>
        <v>Produced Water Tank 2</v>
      </c>
      <c r="C39" s="176" t="str">
        <f>'2-E-Co'!A37</f>
        <v>PWTK2</v>
      </c>
      <c r="D39" s="191" t="str">
        <f t="shared" si="2"/>
        <v>PWTK2</v>
      </c>
      <c r="E39" s="3986" t="str">
        <f>E38</f>
        <v>Emissions represented at ECD.</v>
      </c>
      <c r="F39" s="3987"/>
      <c r="G39" s="3987"/>
      <c r="H39" s="3987"/>
      <c r="I39" s="3987"/>
      <c r="J39" s="3987"/>
      <c r="K39" s="3987"/>
      <c r="L39" s="3987"/>
      <c r="M39" s="3929"/>
      <c r="N39" s="3929"/>
      <c r="O39" s="3987"/>
      <c r="P39" s="3987"/>
      <c r="Q39" s="3987"/>
      <c r="R39" s="3987"/>
      <c r="S39" s="3987"/>
      <c r="T39" s="3988"/>
      <c r="U39" s="44"/>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row>
    <row r="40" spans="1:72" ht="44.25" customHeight="1">
      <c r="A40" s="36"/>
      <c r="B40" s="178" t="str">
        <f>'2-A_4TURB'!B65</f>
        <v>Produced Water Loading</v>
      </c>
      <c r="C40" s="176" t="str">
        <f>'2-E-Co'!A38</f>
        <v>PWTL</v>
      </c>
      <c r="D40" s="191" t="str">
        <f t="shared" si="2"/>
        <v>PWTL</v>
      </c>
      <c r="E40" s="817" t="s">
        <v>445</v>
      </c>
      <c r="F40" s="818" t="s">
        <v>445</v>
      </c>
      <c r="G40" s="817" t="s">
        <v>445</v>
      </c>
      <c r="H40" s="818" t="s">
        <v>445</v>
      </c>
      <c r="I40" s="398">
        <f>'Load-H2O'!F33</f>
        <v>0.39339345182963747</v>
      </c>
      <c r="J40" s="406">
        <f>'Load-H2O'!G33</f>
        <v>2.4902276270262185</v>
      </c>
      <c r="K40" s="817" t="s">
        <v>445</v>
      </c>
      <c r="L40" s="818" t="s">
        <v>445</v>
      </c>
      <c r="M40" s="817" t="s">
        <v>445</v>
      </c>
      <c r="N40" s="818" t="s">
        <v>445</v>
      </c>
      <c r="O40" s="817" t="s">
        <v>445</v>
      </c>
      <c r="P40" s="818" t="s">
        <v>445</v>
      </c>
      <c r="Q40" s="817" t="s">
        <v>445</v>
      </c>
      <c r="R40" s="818" t="s">
        <v>445</v>
      </c>
      <c r="S40" s="3993" t="s">
        <v>445</v>
      </c>
      <c r="T40" s="3994"/>
      <c r="U40" s="44"/>
    </row>
    <row r="41" spans="1:72" ht="44.25" customHeight="1">
      <c r="A41" s="36"/>
      <c r="B41" s="178" t="str">
        <f>'2-A_4TURB'!B67</f>
        <v>Slop Oil Loading</v>
      </c>
      <c r="C41" s="176" t="str">
        <f>'2-E-Co'!A39</f>
        <v>OTL</v>
      </c>
      <c r="D41" s="191" t="str">
        <f t="shared" si="2"/>
        <v>OTL</v>
      </c>
      <c r="E41" s="817" t="s">
        <v>445</v>
      </c>
      <c r="F41" s="818" t="s">
        <v>445</v>
      </c>
      <c r="G41" s="817" t="s">
        <v>445</v>
      </c>
      <c r="H41" s="818" t="s">
        <v>445</v>
      </c>
      <c r="I41" s="1447">
        <f>'Load-Slop Oil'!F43</f>
        <v>0.70811875941945179</v>
      </c>
      <c r="J41" s="1533">
        <f>'Load-Slop Oil'!G43</f>
        <v>0.13418016263117355</v>
      </c>
      <c r="K41" s="817" t="s">
        <v>445</v>
      </c>
      <c r="L41" s="818" t="s">
        <v>445</v>
      </c>
      <c r="M41" s="817" t="s">
        <v>445</v>
      </c>
      <c r="N41" s="818" t="s">
        <v>445</v>
      </c>
      <c r="O41" s="817" t="s">
        <v>445</v>
      </c>
      <c r="P41" s="818" t="s">
        <v>445</v>
      </c>
      <c r="Q41" s="817" t="s">
        <v>445</v>
      </c>
      <c r="R41" s="818" t="s">
        <v>445</v>
      </c>
      <c r="S41" s="3993" t="s">
        <v>445</v>
      </c>
      <c r="T41" s="3994"/>
      <c r="U41" s="44"/>
    </row>
    <row r="42" spans="1:72" s="53" customFormat="1" ht="44.25" customHeight="1">
      <c r="A42" s="36"/>
      <c r="B42" s="178" t="str">
        <f>'2-A_4TURB'!B69</f>
        <v>Amine Unit 1</v>
      </c>
      <c r="C42" s="176" t="str">
        <f>'2-E-Co'!A40</f>
        <v>AU1</v>
      </c>
      <c r="D42" s="191" t="str">
        <f t="shared" si="2"/>
        <v>AU1</v>
      </c>
      <c r="E42" s="3986" t="s">
        <v>1459</v>
      </c>
      <c r="F42" s="3987"/>
      <c r="G42" s="3987"/>
      <c r="H42" s="3987"/>
      <c r="I42" s="3987"/>
      <c r="J42" s="3987"/>
      <c r="K42" s="3987"/>
      <c r="L42" s="3987"/>
      <c r="M42" s="3929"/>
      <c r="N42" s="3929"/>
      <c r="O42" s="3987"/>
      <c r="P42" s="3987"/>
      <c r="Q42" s="3987"/>
      <c r="R42" s="3987"/>
      <c r="S42" s="3987"/>
      <c r="T42" s="3988"/>
      <c r="U42" s="44"/>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row>
    <row r="43" spans="1:72" s="53" customFormat="1" ht="44.25" customHeight="1">
      <c r="A43" s="36"/>
      <c r="B43" s="178" t="str">
        <f>'2-A_4TURB'!B71</f>
        <v>Amine Unit 2</v>
      </c>
      <c r="C43" s="176" t="str">
        <f>'2-E-Co'!A41</f>
        <v>AU2</v>
      </c>
      <c r="D43" s="191" t="str">
        <f t="shared" si="2"/>
        <v>AU2</v>
      </c>
      <c r="E43" s="3986" t="s">
        <v>1460</v>
      </c>
      <c r="F43" s="3987"/>
      <c r="G43" s="3987"/>
      <c r="H43" s="3987"/>
      <c r="I43" s="3987"/>
      <c r="J43" s="3987"/>
      <c r="K43" s="3987"/>
      <c r="L43" s="3987"/>
      <c r="M43" s="3929"/>
      <c r="N43" s="3929"/>
      <c r="O43" s="3987"/>
      <c r="P43" s="3987"/>
      <c r="Q43" s="3987"/>
      <c r="R43" s="3987"/>
      <c r="S43" s="3987"/>
      <c r="T43" s="3988"/>
      <c r="U43" s="44"/>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row>
    <row r="44" spans="1:72" s="53" customFormat="1" ht="44.25" customHeight="1">
      <c r="A44" s="36"/>
      <c r="B44" s="178" t="str">
        <f>'2-A_4TURB'!B73</f>
        <v>Amine Unit 3</v>
      </c>
      <c r="C44" s="176" t="str">
        <f>'2-E-Co'!A42</f>
        <v>AU3</v>
      </c>
      <c r="D44" s="191" t="str">
        <f t="shared" si="2"/>
        <v>AU3</v>
      </c>
      <c r="E44" s="3986" t="s">
        <v>1461</v>
      </c>
      <c r="F44" s="3987"/>
      <c r="G44" s="3987"/>
      <c r="H44" s="3987"/>
      <c r="I44" s="3987"/>
      <c r="J44" s="3987"/>
      <c r="K44" s="3987"/>
      <c r="L44" s="3987"/>
      <c r="M44" s="3929"/>
      <c r="N44" s="3929"/>
      <c r="O44" s="3987"/>
      <c r="P44" s="3987"/>
      <c r="Q44" s="3987"/>
      <c r="R44" s="3987"/>
      <c r="S44" s="3987"/>
      <c r="T44" s="3988"/>
      <c r="U44" s="44"/>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row>
    <row r="45" spans="1:72" s="53" customFormat="1" ht="44.25" customHeight="1">
      <c r="A45" s="36"/>
      <c r="B45" s="178" t="str">
        <f>'2-A_4TURB'!B75</f>
        <v>Gunbarrel Tank</v>
      </c>
      <c r="C45" s="176" t="str">
        <f>'2-E-Co'!A43</f>
        <v>GBS1</v>
      </c>
      <c r="D45" s="191" t="str">
        <f t="shared" si="2"/>
        <v>GBS1</v>
      </c>
      <c r="E45" s="3986" t="s">
        <v>1458</v>
      </c>
      <c r="F45" s="3987"/>
      <c r="G45" s="3987"/>
      <c r="H45" s="3987"/>
      <c r="I45" s="3987"/>
      <c r="J45" s="3987"/>
      <c r="K45" s="3987"/>
      <c r="L45" s="3987"/>
      <c r="M45" s="3929"/>
      <c r="N45" s="3929"/>
      <c r="O45" s="3987"/>
      <c r="P45" s="3987"/>
      <c r="Q45" s="3987"/>
      <c r="R45" s="3987"/>
      <c r="S45" s="3987"/>
      <c r="T45" s="3988"/>
      <c r="U45" s="44"/>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row>
    <row r="46" spans="1:72" s="53" customFormat="1" ht="44.25" customHeight="1" thickBot="1">
      <c r="A46" s="1663"/>
      <c r="B46" s="1672" t="str">
        <f>'2-A_4TURB'!B77</f>
        <v>Slop Oil Tank</v>
      </c>
      <c r="C46" s="1567" t="str">
        <f>'2-E-Co'!A44</f>
        <v>OTK7</v>
      </c>
      <c r="D46" s="1506" t="str">
        <f t="shared" si="2"/>
        <v>OTK7</v>
      </c>
      <c r="E46" s="4011" t="s">
        <v>1458</v>
      </c>
      <c r="F46" s="4001"/>
      <c r="G46" s="4001"/>
      <c r="H46" s="4001"/>
      <c r="I46" s="4001"/>
      <c r="J46" s="4001"/>
      <c r="K46" s="4001"/>
      <c r="L46" s="4001"/>
      <c r="M46" s="4001"/>
      <c r="N46" s="4001"/>
      <c r="O46" s="4001"/>
      <c r="P46" s="4001"/>
      <c r="Q46" s="4001"/>
      <c r="R46" s="4001"/>
      <c r="S46" s="4001"/>
      <c r="T46" s="4012"/>
      <c r="U46" s="1664"/>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row>
    <row r="47" spans="1:72" ht="44.25" customHeight="1">
      <c r="A47" s="36"/>
      <c r="B47" s="1032" t="e">
        <f>'2-A_4TURB'!#REF!</f>
        <v>#REF!</v>
      </c>
      <c r="C47" s="1284" t="str">
        <f>'2-E-Co'!A45</f>
        <v>TUR1</v>
      </c>
      <c r="D47" s="1285" t="str">
        <f t="shared" si="2"/>
        <v>TUR1</v>
      </c>
      <c r="E47" s="1291">
        <f>'COGEN-New'!D9</f>
        <v>8.4</v>
      </c>
      <c r="F47" s="1292">
        <f>'COGEN-New'!P9</f>
        <v>36.792000000000009</v>
      </c>
      <c r="G47" s="1291">
        <f>'COGEN-New'!D11</f>
        <v>5.0999999999999996</v>
      </c>
      <c r="H47" s="1292">
        <f>'COGEN-New'!P11</f>
        <v>22.337999999999997</v>
      </c>
      <c r="I47" s="1291">
        <f>'COGEN-New'!D15</f>
        <v>9.1999999999999993</v>
      </c>
      <c r="J47" s="1292">
        <f>'COGEN-New'!P15</f>
        <v>40.295999999999999</v>
      </c>
      <c r="K47" s="1291">
        <f>'COGEN-New'!D19</f>
        <v>2.1349999999999998</v>
      </c>
      <c r="L47" s="1292">
        <f>'COGEN-New'!P19</f>
        <v>9.3512999999999984</v>
      </c>
      <c r="M47" s="1291">
        <f>O47</f>
        <v>9.1999999999999993</v>
      </c>
      <c r="N47" s="1292">
        <f>P47</f>
        <v>40.295999999999999</v>
      </c>
      <c r="O47" s="1291">
        <f>'COGEN-New'!D22</f>
        <v>9.1999999999999993</v>
      </c>
      <c r="P47" s="1292">
        <f>'COGEN-New'!P22</f>
        <v>40.295999999999999</v>
      </c>
      <c r="Q47" s="1289">
        <f>'COGEN-New'!P23+'COGEN-New'!P24+'COGEN-New'!P25+'COGEN-New'!P26+'COGEN-New'!P27</f>
        <v>4.4063280223199994</v>
      </c>
      <c r="R47" s="1290" t="e">
        <f>'COGEN-New'!#REF!</f>
        <v>#REF!</v>
      </c>
      <c r="S47" s="4016">
        <f>'COGEN GHG '!H43</f>
        <v>544368.05460551556</v>
      </c>
      <c r="T47" s="3979"/>
      <c r="U47" s="44"/>
    </row>
    <row r="48" spans="1:72" ht="44.25" customHeight="1">
      <c r="A48" s="36"/>
      <c r="B48" s="1032" t="e">
        <f>'2-A_4TURB'!#REF!</f>
        <v>#REF!</v>
      </c>
      <c r="C48" s="176" t="str">
        <f>'2-E-Co'!A46</f>
        <v>TUR2</v>
      </c>
      <c r="D48" s="191" t="str">
        <f t="shared" si="2"/>
        <v>TUR2</v>
      </c>
      <c r="E48" s="1444">
        <f t="shared" ref="E48:S48" si="6">E47</f>
        <v>8.4</v>
      </c>
      <c r="F48" s="1282">
        <f t="shared" si="6"/>
        <v>36.792000000000009</v>
      </c>
      <c r="G48" s="1281">
        <f t="shared" si="6"/>
        <v>5.0999999999999996</v>
      </c>
      <c r="H48" s="1282">
        <f t="shared" si="6"/>
        <v>22.337999999999997</v>
      </c>
      <c r="I48" s="1281">
        <f t="shared" si="6"/>
        <v>9.1999999999999993</v>
      </c>
      <c r="J48" s="1282">
        <f t="shared" si="6"/>
        <v>40.295999999999999</v>
      </c>
      <c r="K48" s="1281">
        <f t="shared" si="6"/>
        <v>2.1349999999999998</v>
      </c>
      <c r="L48" s="1282">
        <f t="shared" si="6"/>
        <v>9.3512999999999984</v>
      </c>
      <c r="M48" s="1281">
        <f>M47</f>
        <v>9.1999999999999993</v>
      </c>
      <c r="N48" s="1282">
        <f>N47</f>
        <v>40.295999999999999</v>
      </c>
      <c r="O48" s="1281">
        <f t="shared" si="6"/>
        <v>9.1999999999999993</v>
      </c>
      <c r="P48" s="1282">
        <f t="shared" si="6"/>
        <v>40.295999999999999</v>
      </c>
      <c r="Q48" s="817">
        <f t="shared" si="6"/>
        <v>4.4063280223199994</v>
      </c>
      <c r="R48" s="818" t="e">
        <f t="shared" si="6"/>
        <v>#REF!</v>
      </c>
      <c r="S48" s="4017">
        <f t="shared" si="6"/>
        <v>544368.05460551556</v>
      </c>
      <c r="T48" s="3973"/>
      <c r="U48" s="44"/>
    </row>
    <row r="49" spans="1:72" s="53" customFormat="1" ht="44.25" customHeight="1">
      <c r="A49" s="36"/>
      <c r="B49" s="1032" t="e">
        <f>'2-A_4TURB'!#REF!</f>
        <v>#REF!</v>
      </c>
      <c r="C49" s="176" t="str">
        <f>'2-E-Co'!A47</f>
        <v>TUR3</v>
      </c>
      <c r="D49" s="191" t="str">
        <f t="shared" si="2"/>
        <v>TUR3</v>
      </c>
      <c r="E49" s="1444">
        <f>E47</f>
        <v>8.4</v>
      </c>
      <c r="F49" s="1282">
        <f>F47</f>
        <v>36.792000000000009</v>
      </c>
      <c r="G49" s="1281">
        <f>G47</f>
        <v>5.0999999999999996</v>
      </c>
      <c r="H49" s="1282">
        <f>H47</f>
        <v>22.337999999999997</v>
      </c>
      <c r="I49" s="1281">
        <f>I47</f>
        <v>9.1999999999999993</v>
      </c>
      <c r="J49" s="1282">
        <f>J48</f>
        <v>40.295999999999999</v>
      </c>
      <c r="K49" s="1281">
        <f t="shared" ref="K49:S49" si="7">K47</f>
        <v>2.1349999999999998</v>
      </c>
      <c r="L49" s="1282">
        <f t="shared" si="7"/>
        <v>9.3512999999999984</v>
      </c>
      <c r="M49" s="1281">
        <f>M47</f>
        <v>9.1999999999999993</v>
      </c>
      <c r="N49" s="1282">
        <f>N47</f>
        <v>40.295999999999999</v>
      </c>
      <c r="O49" s="1281">
        <f t="shared" si="7"/>
        <v>9.1999999999999993</v>
      </c>
      <c r="P49" s="1282">
        <f t="shared" si="7"/>
        <v>40.295999999999999</v>
      </c>
      <c r="Q49" s="817">
        <f t="shared" si="7"/>
        <v>4.4063280223199994</v>
      </c>
      <c r="R49" s="818" t="e">
        <f t="shared" si="7"/>
        <v>#REF!</v>
      </c>
      <c r="S49" s="4017">
        <f t="shared" si="7"/>
        <v>544368.05460551556</v>
      </c>
      <c r="T49" s="3973"/>
      <c r="U49" s="44"/>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row>
    <row r="50" spans="1:72" s="53" customFormat="1" ht="44.25" customHeight="1" thickBot="1">
      <c r="A50" s="36"/>
      <c r="B50" s="1034" t="e">
        <f>'2-A_4TURB'!#REF!</f>
        <v>#REF!</v>
      </c>
      <c r="C50" s="1567" t="str">
        <f>'2-E-Co'!A48</f>
        <v>TUR4</v>
      </c>
      <c r="D50" s="1506" t="str">
        <f t="shared" si="2"/>
        <v>TUR4</v>
      </c>
      <c r="E50" s="1445">
        <f>E47</f>
        <v>8.4</v>
      </c>
      <c r="F50" s="1303">
        <f>F47</f>
        <v>36.792000000000009</v>
      </c>
      <c r="G50" s="1445">
        <f>G47</f>
        <v>5.0999999999999996</v>
      </c>
      <c r="H50" s="1303">
        <f>H47</f>
        <v>22.337999999999997</v>
      </c>
      <c r="I50" s="1445">
        <f>I47</f>
        <v>9.1999999999999993</v>
      </c>
      <c r="J50" s="1446">
        <f>J49</f>
        <v>40.295999999999999</v>
      </c>
      <c r="K50" s="1445">
        <f t="shared" ref="K50:S50" si="8">K47</f>
        <v>2.1349999999999998</v>
      </c>
      <c r="L50" s="1303">
        <f t="shared" si="8"/>
        <v>9.3512999999999984</v>
      </c>
      <c r="M50" s="1445">
        <f>M47</f>
        <v>9.1999999999999993</v>
      </c>
      <c r="N50" s="1303">
        <f>N47</f>
        <v>40.295999999999999</v>
      </c>
      <c r="O50" s="1445">
        <f t="shared" si="8"/>
        <v>9.1999999999999993</v>
      </c>
      <c r="P50" s="1303">
        <f t="shared" si="8"/>
        <v>40.295999999999999</v>
      </c>
      <c r="Q50" s="1205">
        <f t="shared" si="8"/>
        <v>4.4063280223199994</v>
      </c>
      <c r="R50" s="1206" t="e">
        <f t="shared" si="8"/>
        <v>#REF!</v>
      </c>
      <c r="S50" s="4018">
        <f t="shared" si="8"/>
        <v>544368.05460551556</v>
      </c>
      <c r="T50" s="4019"/>
      <c r="U50" s="44"/>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row>
    <row r="51" spans="1:72" ht="24" customHeight="1" thickBot="1">
      <c r="A51" s="36"/>
      <c r="B51" s="180"/>
      <c r="C51" s="180"/>
      <c r="D51" s="180"/>
      <c r="E51" s="181"/>
      <c r="F51" s="181"/>
      <c r="G51" s="181"/>
      <c r="H51" s="182"/>
      <c r="I51" s="182"/>
      <c r="J51" s="182"/>
      <c r="K51" s="182"/>
      <c r="L51" s="182"/>
      <c r="M51" s="182"/>
      <c r="N51" s="182"/>
      <c r="O51" s="182"/>
      <c r="P51" s="182"/>
      <c r="Q51" s="182"/>
      <c r="R51" s="182"/>
      <c r="S51" s="182"/>
      <c r="T51" s="182"/>
      <c r="U51" s="44"/>
    </row>
    <row r="52" spans="1:72" s="9" customFormat="1" ht="42" customHeight="1">
      <c r="A52" s="23"/>
      <c r="B52" s="3952" t="s">
        <v>64</v>
      </c>
      <c r="C52" s="3958"/>
      <c r="D52" s="3955"/>
      <c r="E52" s="3952" t="s">
        <v>21</v>
      </c>
      <c r="F52" s="3955"/>
      <c r="G52" s="3952" t="s">
        <v>0</v>
      </c>
      <c r="H52" s="3953"/>
      <c r="I52" s="3950" t="s">
        <v>283</v>
      </c>
      <c r="J52" s="3951"/>
      <c r="K52" s="3952" t="s">
        <v>284</v>
      </c>
      <c r="L52" s="3953"/>
      <c r="M52" s="3952" t="s">
        <v>1311</v>
      </c>
      <c r="N52" s="3953"/>
      <c r="O52" s="3954" t="s">
        <v>285</v>
      </c>
      <c r="P52" s="3955"/>
      <c r="Q52" s="3952" t="s">
        <v>15</v>
      </c>
      <c r="R52" s="3953"/>
      <c r="S52" s="3952" t="s">
        <v>273</v>
      </c>
      <c r="T52" s="3953"/>
      <c r="U52" s="24"/>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s="9" customFormat="1" ht="26.25" customHeight="1">
      <c r="A53" s="23"/>
      <c r="B53" s="3959"/>
      <c r="C53" s="3960"/>
      <c r="D53" s="3961"/>
      <c r="E53" s="183" t="s">
        <v>22</v>
      </c>
      <c r="F53" s="184" t="s">
        <v>37</v>
      </c>
      <c r="G53" s="183" t="s">
        <v>22</v>
      </c>
      <c r="H53" s="185" t="s">
        <v>37</v>
      </c>
      <c r="I53" s="186" t="s">
        <v>22</v>
      </c>
      <c r="J53" s="184" t="s">
        <v>37</v>
      </c>
      <c r="K53" s="183" t="s">
        <v>22</v>
      </c>
      <c r="L53" s="185" t="s">
        <v>37</v>
      </c>
      <c r="M53" s="1407" t="s">
        <v>22</v>
      </c>
      <c r="N53" s="1408" t="s">
        <v>37</v>
      </c>
      <c r="O53" s="186" t="s">
        <v>22</v>
      </c>
      <c r="P53" s="184" t="s">
        <v>37</v>
      </c>
      <c r="Q53" s="183" t="s">
        <v>22</v>
      </c>
      <c r="R53" s="185" t="s">
        <v>37</v>
      </c>
      <c r="S53" s="3995" t="s">
        <v>37</v>
      </c>
      <c r="T53" s="3996"/>
      <c r="U53" s="24"/>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row>
    <row r="54" spans="1:72" s="9" customFormat="1" ht="44.25" customHeight="1" thickBot="1">
      <c r="A54" s="23"/>
      <c r="B54" s="3962"/>
      <c r="C54" s="3963"/>
      <c r="D54" s="3964"/>
      <c r="E54" s="1544">
        <f t="shared" ref="E54:S54" si="9">SUM(E13:E50)</f>
        <v>154.4515675074579</v>
      </c>
      <c r="F54" s="1545">
        <f t="shared" si="9"/>
        <v>256.81836284730366</v>
      </c>
      <c r="G54" s="1544">
        <f t="shared" si="9"/>
        <v>243.69939935736707</v>
      </c>
      <c r="H54" s="1545">
        <f t="shared" si="9"/>
        <v>229.56494142336746</v>
      </c>
      <c r="I54" s="1544">
        <f t="shared" si="9"/>
        <v>489.04053591655401</v>
      </c>
      <c r="J54" s="1545">
        <f t="shared" si="9"/>
        <v>487.24295901425558</v>
      </c>
      <c r="K54" s="1544">
        <f t="shared" si="9"/>
        <v>11.672143183221397</v>
      </c>
      <c r="L54" s="1545">
        <f t="shared" si="9"/>
        <v>51.123987142509705</v>
      </c>
      <c r="M54" s="1544">
        <f t="shared" si="9"/>
        <v>47.616904936951528</v>
      </c>
      <c r="N54" s="1545">
        <f t="shared" si="9"/>
        <v>183.48451666623652</v>
      </c>
      <c r="O54" s="1544">
        <f t="shared" si="9"/>
        <v>45.563538823324592</v>
      </c>
      <c r="P54" s="1545">
        <f t="shared" si="9"/>
        <v>176.90838065364278</v>
      </c>
      <c r="Q54" s="1544">
        <f t="shared" si="9"/>
        <v>21.745146878436266</v>
      </c>
      <c r="R54" s="1545" t="e">
        <f t="shared" si="9"/>
        <v>#REF!</v>
      </c>
      <c r="S54" s="3997">
        <f t="shared" si="9"/>
        <v>2613134.9503295813</v>
      </c>
      <c r="T54" s="3998">
        <f>SUM(T13:T46)</f>
        <v>0</v>
      </c>
      <c r="U54" s="24"/>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row>
    <row r="55" spans="1:72" ht="27.75" customHeight="1" thickBot="1">
      <c r="A55" s="31"/>
      <c r="B55" s="3956"/>
      <c r="C55" s="3956"/>
      <c r="D55" s="3956"/>
      <c r="E55" s="3956"/>
      <c r="F55" s="3956"/>
      <c r="G55" s="3956"/>
      <c r="H55" s="3956"/>
      <c r="I55" s="3956"/>
      <c r="J55" s="3956"/>
      <c r="K55" s="3956"/>
      <c r="L55" s="3956"/>
      <c r="M55" s="3957"/>
      <c r="N55" s="3957"/>
      <c r="O55" s="3956"/>
      <c r="P55" s="3956"/>
      <c r="Q55" s="3956"/>
      <c r="R55" s="3956"/>
      <c r="S55" s="1532"/>
      <c r="T55" s="1532"/>
      <c r="U55" s="40"/>
    </row>
    <row r="56" spans="1:72" ht="13.5" thickBot="1">
      <c r="B56" s="6"/>
      <c r="C56" s="6"/>
      <c r="D56" s="6"/>
      <c r="E56" s="6"/>
      <c r="F56" s="6"/>
      <c r="G56" s="6"/>
      <c r="H56" s="6"/>
      <c r="I56" s="6"/>
      <c r="J56" s="6"/>
      <c r="K56" s="6"/>
      <c r="L56" s="6"/>
      <c r="M56" s="5"/>
      <c r="N56" s="5"/>
      <c r="O56" s="5"/>
      <c r="P56" s="5"/>
      <c r="Q56" s="5"/>
      <c r="R56" s="5"/>
      <c r="S56" s="5"/>
      <c r="T56" s="5"/>
    </row>
    <row r="57" spans="1:72" ht="44.15" customHeight="1" thickBot="1">
      <c r="B57" s="4020" t="s">
        <v>1132</v>
      </c>
      <c r="C57" s="4021"/>
      <c r="D57" s="4022"/>
      <c r="E57" s="1202" t="s">
        <v>22</v>
      </c>
      <c r="F57" s="1304" t="s">
        <v>37</v>
      </c>
      <c r="G57" s="1306" t="s">
        <v>22</v>
      </c>
      <c r="H57" s="1203" t="s">
        <v>37</v>
      </c>
      <c r="I57" s="1202" t="s">
        <v>22</v>
      </c>
      <c r="J57" s="1304" t="s">
        <v>37</v>
      </c>
      <c r="K57" s="1306" t="s">
        <v>22</v>
      </c>
      <c r="L57" s="1203" t="s">
        <v>37</v>
      </c>
      <c r="M57" s="1202" t="s">
        <v>22</v>
      </c>
      <c r="N57" s="1203" t="s">
        <v>37</v>
      </c>
      <c r="O57" s="1202" t="s">
        <v>22</v>
      </c>
      <c r="P57" s="1203" t="s">
        <v>37</v>
      </c>
    </row>
    <row r="58" spans="1:72" ht="44.15" customHeight="1">
      <c r="B58" s="4023" t="s">
        <v>1133</v>
      </c>
      <c r="C58" s="4024"/>
      <c r="D58" s="4025"/>
      <c r="E58" s="1607">
        <f t="shared" ref="E58:P58" si="10">SUM(E13:E17)</f>
        <v>6.5970360000000001</v>
      </c>
      <c r="F58" s="575">
        <f t="shared" si="10"/>
        <v>28.895017680000002</v>
      </c>
      <c r="G58" s="1560">
        <f t="shared" si="10"/>
        <v>4.0274039999999998</v>
      </c>
      <c r="H58" s="1614">
        <f t="shared" si="10"/>
        <v>17.640029519999999</v>
      </c>
      <c r="I58" s="1607">
        <f t="shared" si="10"/>
        <v>1.5813120000000001</v>
      </c>
      <c r="J58" s="575">
        <f t="shared" si="10"/>
        <v>6.9261465600000003</v>
      </c>
      <c r="K58" s="1560">
        <f t="shared" si="10"/>
        <v>0.54502941176470587</v>
      </c>
      <c r="L58" s="1614">
        <f t="shared" si="10"/>
        <v>2.3872288235294121</v>
      </c>
      <c r="M58" s="1607">
        <f t="shared" si="10"/>
        <v>1.8409882352941174</v>
      </c>
      <c r="N58" s="1526">
        <f t="shared" si="10"/>
        <v>8.0635284705882349</v>
      </c>
      <c r="O58" s="1607">
        <f t="shared" si="10"/>
        <v>1.8409882352941174</v>
      </c>
      <c r="P58" s="1526">
        <f t="shared" si="10"/>
        <v>8.0635284705882349</v>
      </c>
      <c r="Q58" s="1029"/>
      <c r="R58" s="1029"/>
      <c r="S58" s="1029"/>
      <c r="T58" s="1029"/>
    </row>
    <row r="59" spans="1:72" ht="44.15" customHeight="1">
      <c r="B59" s="4026" t="s">
        <v>1134</v>
      </c>
      <c r="C59" s="4027"/>
      <c r="D59" s="4028"/>
      <c r="E59" s="1608">
        <f>E13+E14+E31</f>
        <v>5.0550680516780506</v>
      </c>
      <c r="F59" s="1609">
        <f>F13+F14+F31</f>
        <v>21.249852807377625</v>
      </c>
      <c r="G59" s="1608">
        <f>G13+G14+G31</f>
        <v>5.2939778350529192</v>
      </c>
      <c r="H59" s="1609">
        <f>H13+H14+H31</f>
        <v>21.408161911395183</v>
      </c>
      <c r="I59" s="1608">
        <f>I13+I14+I21+I22+I23+I24+I31+I35+I40</f>
        <v>43.816679802551036</v>
      </c>
      <c r="J59" s="1609">
        <f>J13+J14+J21+J22+J23+J24+J31+J35+J40</f>
        <v>189.08129249641019</v>
      </c>
      <c r="K59" s="1608">
        <f t="shared" ref="K59:P59" si="11">K13+K14+K31</f>
        <v>0.28601470588235295</v>
      </c>
      <c r="L59" s="1609">
        <f t="shared" si="11"/>
        <v>1.252744411764706</v>
      </c>
      <c r="M59" s="1608">
        <f t="shared" si="11"/>
        <v>1.0521122335376041</v>
      </c>
      <c r="N59" s="1609">
        <f t="shared" si="11"/>
        <v>4.3602929315521157</v>
      </c>
      <c r="O59" s="1608">
        <f t="shared" si="11"/>
        <v>1.0521122335376041</v>
      </c>
      <c r="P59" s="1609">
        <f t="shared" si="11"/>
        <v>4.3602929315521157</v>
      </c>
      <c r="Q59" s="1029"/>
      <c r="R59" s="1029"/>
      <c r="S59" s="1029"/>
      <c r="T59" s="1029"/>
    </row>
    <row r="60" spans="1:72" ht="44.15" customHeight="1" thickBot="1">
      <c r="B60" s="4029" t="s">
        <v>1138</v>
      </c>
      <c r="C60" s="4030"/>
      <c r="D60" s="4031"/>
      <c r="E60" s="1610">
        <f t="shared" ref="E60:P60" si="12">SUM(E47:E50)</f>
        <v>33.6</v>
      </c>
      <c r="F60" s="1611">
        <f t="shared" si="12"/>
        <v>147.16800000000003</v>
      </c>
      <c r="G60" s="1610">
        <f t="shared" si="12"/>
        <v>20.399999999999999</v>
      </c>
      <c r="H60" s="1612">
        <f t="shared" si="12"/>
        <v>89.35199999999999</v>
      </c>
      <c r="I60" s="1610">
        <f t="shared" si="12"/>
        <v>36.799999999999997</v>
      </c>
      <c r="J60" s="1612">
        <f t="shared" si="12"/>
        <v>161.184</v>
      </c>
      <c r="K60" s="1610">
        <f t="shared" si="12"/>
        <v>8.5399999999999991</v>
      </c>
      <c r="L60" s="1612">
        <f t="shared" si="12"/>
        <v>37.405199999999994</v>
      </c>
      <c r="M60" s="1610">
        <f>SUM(M47:M50)</f>
        <v>36.799999999999997</v>
      </c>
      <c r="N60" s="1612">
        <f>SUM(N47:N50)</f>
        <v>161.184</v>
      </c>
      <c r="O60" s="1610">
        <f t="shared" si="12"/>
        <v>36.799999999999997</v>
      </c>
      <c r="P60" s="1612">
        <f t="shared" si="12"/>
        <v>161.184</v>
      </c>
      <c r="Q60" s="1029"/>
      <c r="R60" s="1029"/>
      <c r="S60" s="1029"/>
      <c r="T60" s="1029"/>
    </row>
    <row r="61" spans="1:72" ht="27.65" customHeight="1">
      <c r="A61" s="1615"/>
      <c r="B61" s="4032"/>
      <c r="C61" s="4032"/>
      <c r="D61" s="4032"/>
      <c r="E61" s="1616"/>
      <c r="F61" s="1617"/>
      <c r="G61" s="1616"/>
      <c r="H61" s="1617"/>
      <c r="I61" s="1616"/>
      <c r="J61" s="1617"/>
      <c r="K61" s="1616"/>
      <c r="L61" s="1617"/>
      <c r="M61" s="1616"/>
      <c r="N61" s="1617"/>
      <c r="O61" s="1616"/>
      <c r="P61" s="1617"/>
      <c r="Q61" s="1615"/>
      <c r="R61" s="1615"/>
      <c r="S61" s="1615"/>
      <c r="T61" s="1615"/>
      <c r="U61" s="1615"/>
      <c r="W61" s="1037"/>
    </row>
    <row r="62" spans="1:72" ht="29.25" customHeight="1">
      <c r="D62" s="1216" t="s">
        <v>1223</v>
      </c>
      <c r="F62" s="1213"/>
      <c r="G62" s="1427" t="s">
        <v>1326</v>
      </c>
      <c r="H62" s="1428" t="s">
        <v>1298</v>
      </c>
      <c r="I62" s="1429"/>
      <c r="K62" s="1216" t="s">
        <v>1308</v>
      </c>
      <c r="L62" s="1216"/>
    </row>
    <row r="63" spans="1:72" ht="26.25" customHeight="1">
      <c r="D63" s="1209" t="s">
        <v>1327</v>
      </c>
      <c r="E63" s="1211">
        <f>SUM(F54,L54,P54,'COGEN-New'!J21)</f>
        <v>499.2696906434561</v>
      </c>
      <c r="F63" s="1212"/>
      <c r="G63" s="1430">
        <f>E63/$E$66</f>
        <v>9.8728433981304349</v>
      </c>
      <c r="H63" s="1431">
        <f>'COGEN-New'!M2</f>
        <v>24</v>
      </c>
      <c r="I63" s="1432" t="s">
        <v>1328</v>
      </c>
      <c r="J63" s="1210"/>
      <c r="K63" s="1210" t="s">
        <v>1306</v>
      </c>
      <c r="L63" s="1344">
        <f>(L66/417) + (L68/15669)</f>
        <v>0.64696735682307616</v>
      </c>
      <c r="M63" s="8"/>
      <c r="O63" s="8"/>
      <c r="R63" s="199"/>
    </row>
    <row r="64" spans="1:72" s="1029" customFormat="1" ht="26.25" customHeight="1">
      <c r="D64" s="1209" t="s">
        <v>1329</v>
      </c>
      <c r="E64" s="1211">
        <f>E63-SUM(F13:F17,L13:L17,P13:P17)</f>
        <v>459.92391566933844</v>
      </c>
      <c r="F64" s="1212"/>
      <c r="G64" s="1433">
        <f>E64/$E$66</f>
        <v>9.0947976205129208</v>
      </c>
      <c r="H64" s="1434">
        <v>8.51</v>
      </c>
      <c r="I64" s="1432" t="s">
        <v>1328</v>
      </c>
      <c r="J64" s="1210"/>
      <c r="K64" s="1210"/>
      <c r="L64" s="1344"/>
      <c r="M64" s="8"/>
      <c r="O64" s="8"/>
      <c r="R64" s="1035"/>
      <c r="S64" s="1036"/>
      <c r="T64" s="1036"/>
    </row>
    <row r="65" spans="4:20" s="1029" customFormat="1" ht="23.5">
      <c r="D65" s="1209" t="s">
        <v>1330</v>
      </c>
      <c r="E65" s="1211">
        <f>E63-SUM(F47:F50,L47:L50,P47:P50)-'COGEN-New'!J21</f>
        <v>139.09353064345603</v>
      </c>
      <c r="F65" s="1212"/>
      <c r="G65" s="1433">
        <f>E65/$E$66</f>
        <v>2.750514744778644</v>
      </c>
      <c r="H65" s="1435" t="s">
        <v>445</v>
      </c>
      <c r="I65" s="1434"/>
      <c r="J65" s="1210"/>
      <c r="K65" s="1210"/>
      <c r="L65" s="1344"/>
      <c r="M65" s="8"/>
      <c r="O65" s="8"/>
      <c r="R65" s="1035"/>
      <c r="T65" s="1036"/>
    </row>
    <row r="66" spans="4:20" s="1029" customFormat="1" ht="23.5">
      <c r="D66" s="1209" t="s">
        <v>1221</v>
      </c>
      <c r="E66" s="1210">
        <v>50.57</v>
      </c>
      <c r="F66" s="1213"/>
      <c r="G66" s="1211"/>
      <c r="H66" s="1210"/>
      <c r="I66" s="1210"/>
      <c r="J66" s="1210"/>
      <c r="K66" s="1210" t="s">
        <v>21</v>
      </c>
      <c r="L66" s="1036">
        <f>F54</f>
        <v>256.81836284730366</v>
      </c>
      <c r="M66" s="1029" t="s">
        <v>37</v>
      </c>
      <c r="O66" s="1029" t="s">
        <v>37</v>
      </c>
      <c r="R66" s="1035"/>
      <c r="T66" s="1036"/>
    </row>
    <row r="67" spans="4:20" ht="23.5">
      <c r="D67" s="1216" t="s">
        <v>1224</v>
      </c>
      <c r="F67" s="1213"/>
      <c r="G67" s="8"/>
      <c r="H67" s="1210"/>
      <c r="I67" s="1210"/>
      <c r="J67" s="1210"/>
      <c r="K67" s="1210"/>
      <c r="L67" s="1029"/>
      <c r="M67" s="1029"/>
      <c r="N67" s="8"/>
      <c r="O67" s="1029"/>
      <c r="P67" s="8"/>
      <c r="Q67" s="8"/>
      <c r="R67" s="199"/>
      <c r="S67" s="8"/>
      <c r="T67" s="8"/>
    </row>
    <row r="68" spans="4:20" ht="23.5">
      <c r="D68" s="1209" t="s">
        <v>1220</v>
      </c>
      <c r="E68" s="1211">
        <f>E63</f>
        <v>499.2696906434561</v>
      </c>
      <c r="F68" s="1212"/>
      <c r="G68" s="1211">
        <f>E68/E69</f>
        <v>5.3800613215889665</v>
      </c>
      <c r="H68" s="1210"/>
      <c r="I68" s="1210"/>
      <c r="J68" s="1211"/>
      <c r="K68" s="1210" t="s">
        <v>149</v>
      </c>
      <c r="L68" s="1036">
        <f>J54</f>
        <v>487.24295901425558</v>
      </c>
      <c r="M68" s="1029" t="s">
        <v>1307</v>
      </c>
      <c r="O68" s="1029" t="s">
        <v>1307</v>
      </c>
      <c r="R68" s="199"/>
      <c r="T68" s="8"/>
    </row>
    <row r="69" spans="4:20" ht="23.5">
      <c r="D69" s="1209" t="s">
        <v>1221</v>
      </c>
      <c r="E69" s="1210">
        <v>92.8</v>
      </c>
      <c r="F69" s="1213"/>
      <c r="G69" s="1211"/>
      <c r="H69" s="1211"/>
      <c r="I69" s="1211"/>
      <c r="J69" s="1211"/>
      <c r="K69" s="1211"/>
      <c r="L69" s="8"/>
      <c r="M69" s="8"/>
      <c r="O69" s="8"/>
      <c r="R69" s="8"/>
    </row>
    <row r="70" spans="4:20" ht="23.5">
      <c r="D70" s="1216" t="s">
        <v>1225</v>
      </c>
      <c r="F70" s="1213"/>
      <c r="G70" s="8"/>
      <c r="H70" s="1210"/>
      <c r="I70" s="1210"/>
      <c r="J70" s="1211"/>
      <c r="K70" s="1211"/>
    </row>
    <row r="71" spans="4:20" ht="23.5">
      <c r="D71" s="1209" t="s">
        <v>1220</v>
      </c>
      <c r="E71" s="1211">
        <f>E63</f>
        <v>499.2696906434561</v>
      </c>
      <c r="F71" s="1212"/>
      <c r="G71" s="1211">
        <f>E71/E72</f>
        <v>3.6819298720018887</v>
      </c>
      <c r="H71" s="1210"/>
      <c r="I71" s="1210"/>
      <c r="J71" s="1211"/>
      <c r="K71" s="1211"/>
    </row>
    <row r="72" spans="4:20" ht="23.5">
      <c r="D72" s="1209" t="s">
        <v>1221</v>
      </c>
      <c r="E72" s="1210">
        <v>135.6</v>
      </c>
      <c r="F72" s="1213"/>
      <c r="G72" s="1211"/>
      <c r="H72" s="1210"/>
      <c r="I72" s="1210"/>
      <c r="J72" s="1211"/>
      <c r="K72" s="1211"/>
    </row>
    <row r="73" spans="4:20" ht="20.5">
      <c r="D73" s="1216" t="s">
        <v>1226</v>
      </c>
      <c r="F73" s="1213"/>
      <c r="G73" s="8"/>
      <c r="Q73" s="8"/>
      <c r="R73" s="8"/>
    </row>
    <row r="74" spans="4:20" ht="23.5">
      <c r="D74" s="1209" t="s">
        <v>1220</v>
      </c>
      <c r="E74" s="1211">
        <f>E63</f>
        <v>499.2696906434561</v>
      </c>
      <c r="F74" s="1212"/>
      <c r="G74" s="1211">
        <f>E74/E75</f>
        <v>2.4876417072419339</v>
      </c>
    </row>
    <row r="75" spans="4:20" ht="23.5">
      <c r="D75" s="1209" t="s">
        <v>1221</v>
      </c>
      <c r="E75" s="1210">
        <v>200.7</v>
      </c>
      <c r="F75" s="1213"/>
      <c r="G75" s="1211"/>
      <c r="I75" s="8"/>
      <c r="J75" s="8"/>
    </row>
  </sheetData>
  <mergeCells count="83">
    <mergeCell ref="B57:D57"/>
    <mergeCell ref="B58:D58"/>
    <mergeCell ref="B59:D59"/>
    <mergeCell ref="B60:D60"/>
    <mergeCell ref="B61:D61"/>
    <mergeCell ref="B55:R55"/>
    <mergeCell ref="S47:T47"/>
    <mergeCell ref="S48:T48"/>
    <mergeCell ref="S49:T49"/>
    <mergeCell ref="S50:T50"/>
    <mergeCell ref="B52:D54"/>
    <mergeCell ref="E52:F52"/>
    <mergeCell ref="G52:H52"/>
    <mergeCell ref="I52:J52"/>
    <mergeCell ref="K52:L52"/>
    <mergeCell ref="M52:N52"/>
    <mergeCell ref="O52:P52"/>
    <mergeCell ref="Q52:R52"/>
    <mergeCell ref="S52:T52"/>
    <mergeCell ref="S53:T53"/>
    <mergeCell ref="S54:T54"/>
    <mergeCell ref="E46:T46"/>
    <mergeCell ref="S35:T35"/>
    <mergeCell ref="S36:T36"/>
    <mergeCell ref="S37:T37"/>
    <mergeCell ref="E38:T38"/>
    <mergeCell ref="E39:T39"/>
    <mergeCell ref="S40:T40"/>
    <mergeCell ref="S41:T41"/>
    <mergeCell ref="E42:T42"/>
    <mergeCell ref="E43:T43"/>
    <mergeCell ref="E44:T44"/>
    <mergeCell ref="E45:T45"/>
    <mergeCell ref="S34:T34"/>
    <mergeCell ref="S23:T23"/>
    <mergeCell ref="S24:T24"/>
    <mergeCell ref="E25:T25"/>
    <mergeCell ref="E26:T26"/>
    <mergeCell ref="E27:T27"/>
    <mergeCell ref="E28:T28"/>
    <mergeCell ref="E29:T29"/>
    <mergeCell ref="E30:T30"/>
    <mergeCell ref="S31:T31"/>
    <mergeCell ref="S32:T32"/>
    <mergeCell ref="S33:T33"/>
    <mergeCell ref="S22:T22"/>
    <mergeCell ref="J18:J20"/>
    <mergeCell ref="K18:K20"/>
    <mergeCell ref="L18:L20"/>
    <mergeCell ref="M18:M20"/>
    <mergeCell ref="N18:N20"/>
    <mergeCell ref="O18:O20"/>
    <mergeCell ref="P18:P20"/>
    <mergeCell ref="Q18:Q20"/>
    <mergeCell ref="R18:R20"/>
    <mergeCell ref="S18:T20"/>
    <mergeCell ref="S21:T21"/>
    <mergeCell ref="S13:T13"/>
    <mergeCell ref="S14:T14"/>
    <mergeCell ref="S15:T15"/>
    <mergeCell ref="S16:T16"/>
    <mergeCell ref="S17:T17"/>
    <mergeCell ref="E18:E20"/>
    <mergeCell ref="F18:F20"/>
    <mergeCell ref="G18:G20"/>
    <mergeCell ref="H18:H20"/>
    <mergeCell ref="I18:I20"/>
    <mergeCell ref="S12:T12"/>
    <mergeCell ref="B3:T3"/>
    <mergeCell ref="B4:T4"/>
    <mergeCell ref="B5:T5"/>
    <mergeCell ref="A9:U9"/>
    <mergeCell ref="B11:B12"/>
    <mergeCell ref="C11:C12"/>
    <mergeCell ref="D11:D12"/>
    <mergeCell ref="E11:F11"/>
    <mergeCell ref="G11:H11"/>
    <mergeCell ref="I11:J11"/>
    <mergeCell ref="K11:L11"/>
    <mergeCell ref="M11:N11"/>
    <mergeCell ref="O11:P11"/>
    <mergeCell ref="Q11:R11"/>
    <mergeCell ref="S11:T11"/>
  </mergeCells>
  <conditionalFormatting sqref="M54:N54">
    <cfRule type="cellIs" dxfId="24" priority="2" operator="greaterThan">
      <formula>250</formula>
    </cfRule>
  </conditionalFormatting>
  <conditionalFormatting sqref="M59:N59">
    <cfRule type="cellIs" dxfId="23" priority="1" operator="greaterThan">
      <formula>100</formula>
    </cfRule>
  </conditionalFormatting>
  <printOptions horizontalCentered="1"/>
  <pageMargins left="0.25" right="0.25" top="0.5" bottom="0.5" header="0.3" footer="0.3"/>
  <pageSetup paperSize="17" scale="65" fitToHeight="3" orientation="landscape" r:id="rId1"/>
  <headerFooter alignWithMargins="0">
    <oddFooter>&amp;CCalculations: Page &amp;P</oddFooter>
  </headerFooter>
  <rowBreaks count="2" manualBreakCount="2">
    <brk id="30" max="20" man="1"/>
    <brk id="54"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0">
    <tabColor theme="1"/>
  </sheetPr>
  <dimension ref="A1:U54"/>
  <sheetViews>
    <sheetView view="pageBreakPreview" topLeftCell="A36" zoomScale="85" zoomScaleNormal="85" zoomScaleSheetLayoutView="85" zoomScalePageLayoutView="85" workbookViewId="0">
      <selection activeCell="E19" sqref="E19:R20"/>
    </sheetView>
  </sheetViews>
  <sheetFormatPr defaultColWidth="8.6328125" defaultRowHeight="13"/>
  <cols>
    <col min="1" max="1" width="10" style="78" customWidth="1"/>
    <col min="2" max="19" width="7.36328125" style="78" customWidth="1"/>
    <col min="20" max="29" width="7.453125" style="78" customWidth="1"/>
    <col min="30" max="16384" width="8.6328125" style="78"/>
  </cols>
  <sheetData>
    <row r="1" spans="1:21" ht="18" customHeight="1">
      <c r="A1" s="4046" t="s">
        <v>1488</v>
      </c>
      <c r="B1" s="4047"/>
      <c r="C1" s="4047"/>
      <c r="D1" s="4047"/>
      <c r="E1" s="4047"/>
      <c r="F1" s="4047"/>
      <c r="G1" s="4047"/>
      <c r="H1" s="4047"/>
      <c r="I1" s="4047"/>
      <c r="J1" s="4047"/>
      <c r="K1" s="4047"/>
      <c r="L1" s="4047"/>
      <c r="M1" s="4047"/>
      <c r="N1" s="4047"/>
      <c r="O1" s="4047"/>
      <c r="P1" s="4047"/>
      <c r="Q1" s="4047"/>
      <c r="R1" s="4047"/>
      <c r="S1" s="4047"/>
      <c r="T1" s="77"/>
      <c r="U1" s="77"/>
    </row>
    <row r="2" spans="1:21" ht="49.5" customHeight="1" thickBot="1">
      <c r="A2" s="4048" t="s">
        <v>1252</v>
      </c>
      <c r="B2" s="4049"/>
      <c r="C2" s="4049"/>
      <c r="D2" s="4049"/>
      <c r="E2" s="4049"/>
      <c r="F2" s="4049"/>
      <c r="G2" s="4049"/>
      <c r="H2" s="4049"/>
      <c r="I2" s="4049"/>
      <c r="J2" s="4049"/>
      <c r="K2" s="4049"/>
      <c r="L2" s="4049"/>
      <c r="M2" s="4049"/>
      <c r="N2" s="4049"/>
      <c r="O2" s="4049"/>
      <c r="P2" s="4049"/>
      <c r="Q2" s="4049"/>
      <c r="R2" s="4049"/>
      <c r="S2" s="4049"/>
    </row>
    <row r="3" spans="1:21" ht="13.5" customHeight="1">
      <c r="A3" s="4050" t="s">
        <v>148</v>
      </c>
      <c r="B3" s="4040" t="s">
        <v>21</v>
      </c>
      <c r="C3" s="4041"/>
      <c r="D3" s="4040" t="s">
        <v>0</v>
      </c>
      <c r="E3" s="4041"/>
      <c r="F3" s="4042" t="s">
        <v>149</v>
      </c>
      <c r="G3" s="4052"/>
      <c r="H3" s="4040" t="s">
        <v>150</v>
      </c>
      <c r="I3" s="4041"/>
      <c r="J3" s="4042" t="s">
        <v>1258</v>
      </c>
      <c r="K3" s="4052"/>
      <c r="L3" s="4040" t="s">
        <v>151</v>
      </c>
      <c r="M3" s="4041"/>
      <c r="N3" s="4042" t="s">
        <v>152</v>
      </c>
      <c r="O3" s="4052"/>
      <c r="P3" s="4040" t="s">
        <v>153</v>
      </c>
      <c r="Q3" s="4041"/>
      <c r="R3" s="4042" t="s">
        <v>154</v>
      </c>
      <c r="S3" s="4041"/>
    </row>
    <row r="4" spans="1:21" ht="14.25" customHeight="1">
      <c r="A4" s="4051"/>
      <c r="B4" s="79" t="s">
        <v>22</v>
      </c>
      <c r="C4" s="80" t="s">
        <v>155</v>
      </c>
      <c r="D4" s="79" t="s">
        <v>22</v>
      </c>
      <c r="E4" s="80" t="s">
        <v>155</v>
      </c>
      <c r="F4" s="81" t="s">
        <v>22</v>
      </c>
      <c r="G4" s="82" t="s">
        <v>155</v>
      </c>
      <c r="H4" s="79" t="s">
        <v>22</v>
      </c>
      <c r="I4" s="80" t="s">
        <v>155</v>
      </c>
      <c r="J4" s="81" t="s">
        <v>22</v>
      </c>
      <c r="K4" s="82" t="s">
        <v>155</v>
      </c>
      <c r="L4" s="79" t="s">
        <v>22</v>
      </c>
      <c r="M4" s="80" t="s">
        <v>155</v>
      </c>
      <c r="N4" s="81" t="s">
        <v>22</v>
      </c>
      <c r="O4" s="82" t="s">
        <v>155</v>
      </c>
      <c r="P4" s="83" t="s">
        <v>22</v>
      </c>
      <c r="Q4" s="84" t="s">
        <v>155</v>
      </c>
      <c r="R4" s="81" t="s">
        <v>22</v>
      </c>
      <c r="S4" s="80" t="s">
        <v>155</v>
      </c>
    </row>
    <row r="5" spans="1:21" ht="15.75" customHeight="1">
      <c r="A5" s="356" t="str">
        <f>'2-E-Co'!A5</f>
        <v>SHTR1</v>
      </c>
      <c r="B5" s="284">
        <f>'2-E-Co'!B5</f>
        <v>1.730961</v>
      </c>
      <c r="C5" s="285">
        <f>'2-E-Co'!C5</f>
        <v>7.5816091799999992</v>
      </c>
      <c r="D5" s="284">
        <f>'2-E-Co'!D5</f>
        <v>1.0567289999999998</v>
      </c>
      <c r="E5" s="285">
        <f>'2-E-Co'!E5</f>
        <v>4.6284730199999995</v>
      </c>
      <c r="F5" s="284">
        <f>'2-E-Co'!F5</f>
        <v>0.414912</v>
      </c>
      <c r="G5" s="285">
        <f>'2-E-Co'!G5</f>
        <v>1.81731456</v>
      </c>
      <c r="H5" s="284">
        <f>'2-E-Co'!H5</f>
        <v>0.14300735294117647</v>
      </c>
      <c r="I5" s="285">
        <f>'2-E-Co'!I5</f>
        <v>0.62637220588235298</v>
      </c>
      <c r="J5" s="284">
        <f>'2-E-Co'!J5</f>
        <v>0.48304705882352933</v>
      </c>
      <c r="K5" s="285">
        <f>'2-E-Co'!K5</f>
        <v>2.1157461176470584</v>
      </c>
      <c r="L5" s="284">
        <f>'2-E-Co'!L5</f>
        <v>0.48304705882352933</v>
      </c>
      <c r="M5" s="285">
        <f>'2-E-Co'!M5</f>
        <v>2.1157461176470584</v>
      </c>
      <c r="N5" s="284">
        <f>'2-E-Co'!N5</f>
        <v>0.48304705882352933</v>
      </c>
      <c r="O5" s="285">
        <f>'2-E-Co'!O5</f>
        <v>2.1157461176470584</v>
      </c>
      <c r="P5" s="284" t="str">
        <f>'2-E-Co'!P5</f>
        <v>-</v>
      </c>
      <c r="Q5" s="285" t="str">
        <f>'2-E-Co'!Q5</f>
        <v>-</v>
      </c>
      <c r="R5" s="284" t="str">
        <f>'2-E-Co'!R5</f>
        <v>-</v>
      </c>
      <c r="S5" s="285" t="str">
        <f>'2-E-Co'!S5</f>
        <v>-</v>
      </c>
    </row>
    <row r="6" spans="1:21" ht="15.75" customHeight="1">
      <c r="A6" s="256" t="str">
        <f>'2-E-Co'!A6</f>
        <v>SHTR2</v>
      </c>
      <c r="B6" s="95">
        <f>'2-E-Co'!B6</f>
        <v>1.730961</v>
      </c>
      <c r="C6" s="96">
        <f>'2-E-Co'!C6</f>
        <v>7.5816091799999992</v>
      </c>
      <c r="D6" s="95">
        <f>'2-E-Co'!D6</f>
        <v>1.0567289999999998</v>
      </c>
      <c r="E6" s="96">
        <f>'2-E-Co'!E6</f>
        <v>4.6284730199999995</v>
      </c>
      <c r="F6" s="95">
        <f>'2-E-Co'!F6</f>
        <v>0.414912</v>
      </c>
      <c r="G6" s="96">
        <f>'2-E-Co'!G6</f>
        <v>1.81731456</v>
      </c>
      <c r="H6" s="95">
        <f>'2-E-Co'!H6</f>
        <v>0.14300735294117647</v>
      </c>
      <c r="I6" s="96">
        <f>'2-E-Co'!I6</f>
        <v>0.62637220588235298</v>
      </c>
      <c r="J6" s="95">
        <f>'2-E-Co'!J6</f>
        <v>0.48304705882352933</v>
      </c>
      <c r="K6" s="96">
        <f>'2-E-Co'!K6</f>
        <v>2.1157461176470584</v>
      </c>
      <c r="L6" s="95">
        <f>'2-E-Co'!L6</f>
        <v>0.48304705882352933</v>
      </c>
      <c r="M6" s="96">
        <f>'2-E-Co'!M6</f>
        <v>2.1157461176470584</v>
      </c>
      <c r="N6" s="95">
        <f>'2-E-Co'!N6</f>
        <v>0.48304705882352933</v>
      </c>
      <c r="O6" s="96">
        <f>'2-E-Co'!O6</f>
        <v>2.1157461176470584</v>
      </c>
      <c r="P6" s="95" t="str">
        <f>'2-E-Co'!P6</f>
        <v>-</v>
      </c>
      <c r="Q6" s="96" t="str">
        <f>'2-E-Co'!Q6</f>
        <v>-</v>
      </c>
      <c r="R6" s="95" t="str">
        <f>'2-E-Co'!R6</f>
        <v>-</v>
      </c>
      <c r="S6" s="96" t="str">
        <f>'2-E-Co'!S6</f>
        <v>-</v>
      </c>
    </row>
    <row r="7" spans="1:21" ht="15.75" customHeight="1">
      <c r="A7" s="356" t="str">
        <f>'2-E-Co'!A7</f>
        <v>RHTR1</v>
      </c>
      <c r="B7" s="284">
        <f>'2-E-Co'!B7</f>
        <v>1.0450380000000001</v>
      </c>
      <c r="C7" s="285">
        <f>'2-E-Co'!C7</f>
        <v>4.5772664400000007</v>
      </c>
      <c r="D7" s="284">
        <f>'2-E-Co'!D7</f>
        <v>0.63798199999999994</v>
      </c>
      <c r="E7" s="285">
        <f>'2-E-Co'!E7</f>
        <v>2.7943611599999998</v>
      </c>
      <c r="F7" s="284">
        <f>'2-E-Co'!F7</f>
        <v>0.250496</v>
      </c>
      <c r="G7" s="285">
        <f>'2-E-Co'!G7</f>
        <v>1.09717248</v>
      </c>
      <c r="H7" s="284">
        <f>'2-E-Co'!H7</f>
        <v>8.633823529411766E-2</v>
      </c>
      <c r="I7" s="285">
        <f>'2-E-Co'!I7</f>
        <v>0.37816147058823535</v>
      </c>
      <c r="J7" s="284">
        <f>'2-E-Co'!J7</f>
        <v>0.29163137254901961</v>
      </c>
      <c r="K7" s="285">
        <f>'2-E-Co'!K7</f>
        <v>1.2773454117647058</v>
      </c>
      <c r="L7" s="284">
        <f>'2-E-Co'!L7</f>
        <v>0.29163137254901961</v>
      </c>
      <c r="M7" s="285">
        <f>'2-E-Co'!M7</f>
        <v>1.2773454117647058</v>
      </c>
      <c r="N7" s="284">
        <f>'2-E-Co'!N7</f>
        <v>0.29163137254901961</v>
      </c>
      <c r="O7" s="285">
        <f>'2-E-Co'!O7</f>
        <v>1.2773454117647058</v>
      </c>
      <c r="P7" s="284" t="str">
        <f>'2-E-Co'!P7</f>
        <v>-</v>
      </c>
      <c r="Q7" s="285" t="str">
        <f>'2-E-Co'!Q7</f>
        <v>-</v>
      </c>
      <c r="R7" s="284" t="str">
        <f>'2-E-Co'!R7</f>
        <v>-</v>
      </c>
      <c r="S7" s="285" t="str">
        <f>'2-E-Co'!S7</f>
        <v>-</v>
      </c>
    </row>
    <row r="8" spans="1:21" ht="15.75" customHeight="1">
      <c r="A8" s="256" t="str">
        <f>'2-E-Co'!A8</f>
        <v>RHTR2</v>
      </c>
      <c r="B8" s="95">
        <f>'2-E-Co'!B8</f>
        <v>1.0450380000000001</v>
      </c>
      <c r="C8" s="96">
        <f>'2-E-Co'!C8</f>
        <v>4.5772664400000007</v>
      </c>
      <c r="D8" s="95">
        <f>'2-E-Co'!D8</f>
        <v>0.63798199999999994</v>
      </c>
      <c r="E8" s="96">
        <f>'2-E-Co'!E8</f>
        <v>2.7943611599999998</v>
      </c>
      <c r="F8" s="95">
        <f>'2-E-Co'!F8</f>
        <v>0.250496</v>
      </c>
      <c r="G8" s="96">
        <f>'2-E-Co'!G8</f>
        <v>1.09717248</v>
      </c>
      <c r="H8" s="95">
        <f>'2-E-Co'!H8</f>
        <v>8.633823529411766E-2</v>
      </c>
      <c r="I8" s="96">
        <f>'2-E-Co'!I8</f>
        <v>0.37816147058823535</v>
      </c>
      <c r="J8" s="95">
        <f>'2-E-Co'!J8</f>
        <v>0.29163137254901961</v>
      </c>
      <c r="K8" s="96">
        <f>'2-E-Co'!K8</f>
        <v>1.2773454117647058</v>
      </c>
      <c r="L8" s="95">
        <f>'2-E-Co'!L8</f>
        <v>0.29163137254901961</v>
      </c>
      <c r="M8" s="96">
        <f>'2-E-Co'!M8</f>
        <v>1.2773454117647058</v>
      </c>
      <c r="N8" s="95">
        <f>'2-E-Co'!N8</f>
        <v>0.29163137254901961</v>
      </c>
      <c r="O8" s="96">
        <f>'2-E-Co'!O8</f>
        <v>1.2773454117647058</v>
      </c>
      <c r="P8" s="95" t="str">
        <f>'2-E-Co'!P8</f>
        <v>-</v>
      </c>
      <c r="Q8" s="96" t="str">
        <f>'2-E-Co'!Q8</f>
        <v>-</v>
      </c>
      <c r="R8" s="95" t="str">
        <f>'2-E-Co'!R8</f>
        <v>-</v>
      </c>
      <c r="S8" s="96" t="str">
        <f>'2-E-Co'!S8</f>
        <v>-</v>
      </c>
    </row>
    <row r="9" spans="1:21" ht="15.75" customHeight="1">
      <c r="A9" s="356" t="str">
        <f>'2-E-Co'!A9</f>
        <v>RHTR3</v>
      </c>
      <c r="B9" s="284">
        <f>'2-E-Co'!B9</f>
        <v>1.0450380000000001</v>
      </c>
      <c r="C9" s="285">
        <f>'2-E-Co'!C9</f>
        <v>4.5772664400000007</v>
      </c>
      <c r="D9" s="284">
        <f>'2-E-Co'!D9</f>
        <v>0.63798199999999994</v>
      </c>
      <c r="E9" s="285">
        <f>'2-E-Co'!E9</f>
        <v>2.7943611599999998</v>
      </c>
      <c r="F9" s="284">
        <f>'2-E-Co'!F9</f>
        <v>0.250496</v>
      </c>
      <c r="G9" s="285">
        <f>'2-E-Co'!G9</f>
        <v>1.09717248</v>
      </c>
      <c r="H9" s="284">
        <f>'2-E-Co'!H9</f>
        <v>8.633823529411766E-2</v>
      </c>
      <c r="I9" s="285">
        <f>'2-E-Co'!I9</f>
        <v>0.37816147058823535</v>
      </c>
      <c r="J9" s="284">
        <f>'2-E-Co'!J9</f>
        <v>0.29163137254901961</v>
      </c>
      <c r="K9" s="285">
        <f>'2-E-Co'!K9</f>
        <v>1.2773454117647058</v>
      </c>
      <c r="L9" s="284">
        <f>'2-E-Co'!L9</f>
        <v>0.29163137254901961</v>
      </c>
      <c r="M9" s="285">
        <f>'2-E-Co'!M9</f>
        <v>1.2773454117647058</v>
      </c>
      <c r="N9" s="284">
        <f>'2-E-Co'!N9</f>
        <v>0.29163137254901961</v>
      </c>
      <c r="O9" s="285">
        <f>'2-E-Co'!O9</f>
        <v>1.2773454117647058</v>
      </c>
      <c r="P9" s="284" t="str">
        <f>'2-E-Co'!P9</f>
        <v>-</v>
      </c>
      <c r="Q9" s="285" t="str">
        <f>'2-E-Co'!Q9</f>
        <v>-</v>
      </c>
      <c r="R9" s="284" t="str">
        <f>'2-E-Co'!R9</f>
        <v>-</v>
      </c>
      <c r="S9" s="285" t="str">
        <f>'2-E-Co'!S9</f>
        <v>-</v>
      </c>
    </row>
    <row r="10" spans="1:21" ht="15.75" customHeight="1">
      <c r="A10" s="256" t="s">
        <v>1426</v>
      </c>
      <c r="B10" s="4034" t="s">
        <v>1371</v>
      </c>
      <c r="C10" s="4035"/>
      <c r="D10" s="4035"/>
      <c r="E10" s="4035"/>
      <c r="F10" s="4035"/>
      <c r="G10" s="4035"/>
      <c r="H10" s="4035"/>
      <c r="I10" s="4035"/>
      <c r="J10" s="4035"/>
      <c r="K10" s="4035"/>
      <c r="L10" s="4035"/>
      <c r="M10" s="4035"/>
      <c r="N10" s="4035"/>
      <c r="O10" s="4035"/>
      <c r="P10" s="4035"/>
      <c r="Q10" s="4035"/>
      <c r="R10" s="4035"/>
      <c r="S10" s="4036"/>
    </row>
    <row r="11" spans="1:21" ht="15.75" customHeight="1">
      <c r="A11" s="356" t="s">
        <v>1427</v>
      </c>
      <c r="B11" s="4037" t="s">
        <v>1371</v>
      </c>
      <c r="C11" s="4038"/>
      <c r="D11" s="4038"/>
      <c r="E11" s="4038"/>
      <c r="F11" s="4038"/>
      <c r="G11" s="4038"/>
      <c r="H11" s="4038"/>
      <c r="I11" s="4038"/>
      <c r="J11" s="4038"/>
      <c r="K11" s="4038"/>
      <c r="L11" s="4038"/>
      <c r="M11" s="4038"/>
      <c r="N11" s="4038"/>
      <c r="O11" s="4038"/>
      <c r="P11" s="4038"/>
      <c r="Q11" s="4038"/>
      <c r="R11" s="4038"/>
      <c r="S11" s="4039"/>
    </row>
    <row r="12" spans="1:21" ht="15.75" customHeight="1">
      <c r="A12" s="256" t="s">
        <v>1428</v>
      </c>
      <c r="B12" s="4034" t="s">
        <v>1371</v>
      </c>
      <c r="C12" s="4035"/>
      <c r="D12" s="4035"/>
      <c r="E12" s="4035"/>
      <c r="F12" s="4035"/>
      <c r="G12" s="4035"/>
      <c r="H12" s="4035"/>
      <c r="I12" s="4035"/>
      <c r="J12" s="4035"/>
      <c r="K12" s="4035"/>
      <c r="L12" s="4035"/>
      <c r="M12" s="4035"/>
      <c r="N12" s="4035"/>
      <c r="O12" s="4035"/>
      <c r="P12" s="4035"/>
      <c r="Q12" s="4035"/>
      <c r="R12" s="4035"/>
      <c r="S12" s="4036"/>
    </row>
    <row r="13" spans="1:21" ht="15.75" customHeight="1">
      <c r="A13" s="356" t="str">
        <f>'2-E-Co'!A19</f>
        <v>IFR1</v>
      </c>
      <c r="B13" s="579" t="s">
        <v>17</v>
      </c>
      <c r="C13" s="580" t="s">
        <v>17</v>
      </c>
      <c r="D13" s="579" t="s">
        <v>17</v>
      </c>
      <c r="E13" s="580" t="s">
        <v>17</v>
      </c>
      <c r="F13" s="579">
        <f>'IFR Tanks (IFR1-IFR4)'!C41</f>
        <v>1.1752020371542549</v>
      </c>
      <c r="G13" s="580">
        <f>'IFR Tanks (IFR1-IFR4)'!D41</f>
        <v>5.1473849227356343</v>
      </c>
      <c r="H13" s="579" t="s">
        <v>17</v>
      </c>
      <c r="I13" s="580" t="s">
        <v>17</v>
      </c>
      <c r="J13" s="579" t="s">
        <v>17</v>
      </c>
      <c r="K13" s="580" t="s">
        <v>17</v>
      </c>
      <c r="L13" s="579" t="s">
        <v>17</v>
      </c>
      <c r="M13" s="580" t="s">
        <v>17</v>
      </c>
      <c r="N13" s="579" t="s">
        <v>17</v>
      </c>
      <c r="O13" s="580" t="s">
        <v>17</v>
      </c>
      <c r="P13" s="292" t="s">
        <v>17</v>
      </c>
      <c r="Q13" s="293" t="s">
        <v>17</v>
      </c>
      <c r="R13" s="294" t="s">
        <v>17</v>
      </c>
      <c r="S13" s="293" t="s">
        <v>17</v>
      </c>
    </row>
    <row r="14" spans="1:21" ht="15.75" customHeight="1">
      <c r="A14" s="256" t="str">
        <f>'2-E-Co'!A20</f>
        <v>IFR2</v>
      </c>
      <c r="B14" s="577" t="s">
        <v>17</v>
      </c>
      <c r="C14" s="578" t="s">
        <v>17</v>
      </c>
      <c r="D14" s="577" t="s">
        <v>17</v>
      </c>
      <c r="E14" s="578" t="s">
        <v>17</v>
      </c>
      <c r="F14" s="93">
        <f>F13</f>
        <v>1.1752020371542549</v>
      </c>
      <c r="G14" s="94">
        <f>G13</f>
        <v>5.1473849227356343</v>
      </c>
      <c r="H14" s="577" t="s">
        <v>17</v>
      </c>
      <c r="I14" s="578" t="s">
        <v>17</v>
      </c>
      <c r="J14" s="572" t="s">
        <v>17</v>
      </c>
      <c r="K14" s="573" t="s">
        <v>17</v>
      </c>
      <c r="L14" s="577" t="s">
        <v>17</v>
      </c>
      <c r="M14" s="578" t="s">
        <v>17</v>
      </c>
      <c r="N14" s="577" t="s">
        <v>17</v>
      </c>
      <c r="O14" s="578" t="s">
        <v>17</v>
      </c>
      <c r="P14" s="91" t="s">
        <v>17</v>
      </c>
      <c r="Q14" s="92" t="s">
        <v>17</v>
      </c>
      <c r="R14" s="89" t="s">
        <v>17</v>
      </c>
      <c r="S14" s="92" t="s">
        <v>17</v>
      </c>
    </row>
    <row r="15" spans="1:21" ht="15.75" customHeight="1">
      <c r="A15" s="356" t="str">
        <f>'2-E-Co'!A21</f>
        <v>IFR3</v>
      </c>
      <c r="B15" s="579" t="s">
        <v>17</v>
      </c>
      <c r="C15" s="580" t="s">
        <v>17</v>
      </c>
      <c r="D15" s="579" t="s">
        <v>17</v>
      </c>
      <c r="E15" s="580" t="s">
        <v>17</v>
      </c>
      <c r="F15" s="286">
        <f>F13</f>
        <v>1.1752020371542549</v>
      </c>
      <c r="G15" s="287">
        <f>G13</f>
        <v>5.1473849227356343</v>
      </c>
      <c r="H15" s="579" t="s">
        <v>17</v>
      </c>
      <c r="I15" s="580" t="s">
        <v>17</v>
      </c>
      <c r="J15" s="413" t="s">
        <v>17</v>
      </c>
      <c r="K15" s="414" t="s">
        <v>17</v>
      </c>
      <c r="L15" s="579" t="s">
        <v>17</v>
      </c>
      <c r="M15" s="580" t="s">
        <v>17</v>
      </c>
      <c r="N15" s="579" t="s">
        <v>17</v>
      </c>
      <c r="O15" s="580" t="s">
        <v>17</v>
      </c>
      <c r="P15" s="292" t="s">
        <v>17</v>
      </c>
      <c r="Q15" s="293" t="s">
        <v>17</v>
      </c>
      <c r="R15" s="294" t="s">
        <v>17</v>
      </c>
      <c r="S15" s="293" t="s">
        <v>17</v>
      </c>
    </row>
    <row r="16" spans="1:21" ht="15.75" customHeight="1">
      <c r="A16" s="256" t="str">
        <f>'2-E-Co'!A22</f>
        <v>IFR4</v>
      </c>
      <c r="B16" s="577" t="s">
        <v>17</v>
      </c>
      <c r="C16" s="578" t="s">
        <v>17</v>
      </c>
      <c r="D16" s="577" t="s">
        <v>17</v>
      </c>
      <c r="E16" s="578" t="s">
        <v>17</v>
      </c>
      <c r="F16" s="577">
        <f>F13</f>
        <v>1.1752020371542549</v>
      </c>
      <c r="G16" s="578">
        <f>G13</f>
        <v>5.1473849227356343</v>
      </c>
      <c r="H16" s="577" t="s">
        <v>17</v>
      </c>
      <c r="I16" s="578" t="s">
        <v>17</v>
      </c>
      <c r="J16" s="577" t="s">
        <v>17</v>
      </c>
      <c r="K16" s="578" t="s">
        <v>17</v>
      </c>
      <c r="L16" s="577" t="s">
        <v>17</v>
      </c>
      <c r="M16" s="578" t="s">
        <v>17</v>
      </c>
      <c r="N16" s="577" t="s">
        <v>17</v>
      </c>
      <c r="O16" s="578" t="s">
        <v>17</v>
      </c>
      <c r="P16" s="91" t="s">
        <v>17</v>
      </c>
      <c r="Q16" s="92" t="s">
        <v>17</v>
      </c>
      <c r="R16" s="89" t="s">
        <v>17</v>
      </c>
      <c r="S16" s="92" t="s">
        <v>17</v>
      </c>
    </row>
    <row r="17" spans="1:19" ht="15.75" customHeight="1">
      <c r="A17" s="356" t="str">
        <f>'2-E-Co'!A23</f>
        <v>OTK1</v>
      </c>
      <c r="B17" s="579" t="s">
        <v>17</v>
      </c>
      <c r="C17" s="580" t="s">
        <v>17</v>
      </c>
      <c r="D17" s="579" t="s">
        <v>17</v>
      </c>
      <c r="E17" s="580" t="s">
        <v>17</v>
      </c>
      <c r="F17" s="579">
        <f>'Summary UC-Co'!I26</f>
        <v>25.094700837614305</v>
      </c>
      <c r="G17" s="580">
        <f>'Summary UC-Co'!J26</f>
        <v>109.91478966875064</v>
      </c>
      <c r="H17" s="579" t="s">
        <v>17</v>
      </c>
      <c r="I17" s="580" t="s">
        <v>17</v>
      </c>
      <c r="J17" s="579" t="s">
        <v>17</v>
      </c>
      <c r="K17" s="580" t="s">
        <v>17</v>
      </c>
      <c r="L17" s="579" t="s">
        <v>17</v>
      </c>
      <c r="M17" s="580" t="s">
        <v>17</v>
      </c>
      <c r="N17" s="579" t="s">
        <v>17</v>
      </c>
      <c r="O17" s="580" t="s">
        <v>17</v>
      </c>
      <c r="P17" s="292" t="s">
        <v>17</v>
      </c>
      <c r="Q17" s="293" t="s">
        <v>17</v>
      </c>
      <c r="R17" s="294" t="s">
        <v>17</v>
      </c>
      <c r="S17" s="293" t="s">
        <v>17</v>
      </c>
    </row>
    <row r="18" spans="1:19" ht="15.75" customHeight="1">
      <c r="A18" s="256" t="str">
        <f>'2-E-Co'!A24</f>
        <v>OTK2</v>
      </c>
      <c r="B18" s="577" t="s">
        <v>17</v>
      </c>
      <c r="C18" s="578" t="s">
        <v>17</v>
      </c>
      <c r="D18" s="577" t="s">
        <v>17</v>
      </c>
      <c r="E18" s="578" t="s">
        <v>17</v>
      </c>
      <c r="F18" s="93">
        <f>F17</f>
        <v>25.094700837614305</v>
      </c>
      <c r="G18" s="94">
        <f>G17</f>
        <v>109.91478966875064</v>
      </c>
      <c r="H18" s="577" t="s">
        <v>17</v>
      </c>
      <c r="I18" s="578" t="s">
        <v>17</v>
      </c>
      <c r="J18" s="572" t="s">
        <v>17</v>
      </c>
      <c r="K18" s="573" t="s">
        <v>17</v>
      </c>
      <c r="L18" s="577" t="s">
        <v>17</v>
      </c>
      <c r="M18" s="578" t="s">
        <v>17</v>
      </c>
      <c r="N18" s="577" t="s">
        <v>17</v>
      </c>
      <c r="O18" s="578" t="s">
        <v>17</v>
      </c>
      <c r="P18" s="91" t="s">
        <v>17</v>
      </c>
      <c r="Q18" s="92" t="s">
        <v>17</v>
      </c>
      <c r="R18" s="89" t="s">
        <v>17</v>
      </c>
      <c r="S18" s="92" t="s">
        <v>17</v>
      </c>
    </row>
    <row r="19" spans="1:19" ht="15.75" customHeight="1">
      <c r="A19" s="356" t="str">
        <f>'2-E-Co'!A25</f>
        <v>OTK3</v>
      </c>
      <c r="B19" s="579" t="s">
        <v>17</v>
      </c>
      <c r="C19" s="580" t="s">
        <v>17</v>
      </c>
      <c r="D19" s="579" t="s">
        <v>17</v>
      </c>
      <c r="E19" s="580" t="s">
        <v>17</v>
      </c>
      <c r="F19" s="286">
        <f>F17</f>
        <v>25.094700837614305</v>
      </c>
      <c r="G19" s="287">
        <f>G17</f>
        <v>109.91478966875064</v>
      </c>
      <c r="H19" s="579" t="s">
        <v>17</v>
      </c>
      <c r="I19" s="580" t="s">
        <v>17</v>
      </c>
      <c r="J19" s="413" t="s">
        <v>17</v>
      </c>
      <c r="K19" s="414" t="s">
        <v>17</v>
      </c>
      <c r="L19" s="579" t="s">
        <v>17</v>
      </c>
      <c r="M19" s="580" t="s">
        <v>17</v>
      </c>
      <c r="N19" s="579" t="s">
        <v>17</v>
      </c>
      <c r="O19" s="580" t="s">
        <v>17</v>
      </c>
      <c r="P19" s="292" t="s">
        <v>17</v>
      </c>
      <c r="Q19" s="293" t="s">
        <v>17</v>
      </c>
      <c r="R19" s="294" t="s">
        <v>17</v>
      </c>
      <c r="S19" s="293" t="s">
        <v>17</v>
      </c>
    </row>
    <row r="20" spans="1:19" ht="15.75" customHeight="1">
      <c r="A20" s="256" t="str">
        <f>'2-E-Co'!A26</f>
        <v>OTK4</v>
      </c>
      <c r="B20" s="577" t="s">
        <v>17</v>
      </c>
      <c r="C20" s="578" t="s">
        <v>17</v>
      </c>
      <c r="D20" s="577" t="s">
        <v>17</v>
      </c>
      <c r="E20" s="578" t="s">
        <v>17</v>
      </c>
      <c r="F20" s="577">
        <f>F17</f>
        <v>25.094700837614305</v>
      </c>
      <c r="G20" s="578">
        <f>G17</f>
        <v>109.91478966875064</v>
      </c>
      <c r="H20" s="577" t="s">
        <v>17</v>
      </c>
      <c r="I20" s="578" t="s">
        <v>17</v>
      </c>
      <c r="J20" s="577" t="s">
        <v>17</v>
      </c>
      <c r="K20" s="578" t="s">
        <v>17</v>
      </c>
      <c r="L20" s="577" t="s">
        <v>17</v>
      </c>
      <c r="M20" s="578" t="s">
        <v>17</v>
      </c>
      <c r="N20" s="577" t="s">
        <v>17</v>
      </c>
      <c r="O20" s="578" t="s">
        <v>17</v>
      </c>
      <c r="P20" s="91" t="s">
        <v>17</v>
      </c>
      <c r="Q20" s="92" t="s">
        <v>17</v>
      </c>
      <c r="R20" s="89" t="s">
        <v>17</v>
      </c>
      <c r="S20" s="92" t="s">
        <v>17</v>
      </c>
    </row>
    <row r="21" spans="1:19" ht="15.75" customHeight="1">
      <c r="A21" s="356" t="str">
        <f>'2-E-Co'!A27</f>
        <v>OTK5</v>
      </c>
      <c r="B21" s="579" t="s">
        <v>17</v>
      </c>
      <c r="C21" s="580" t="s">
        <v>17</v>
      </c>
      <c r="D21" s="579" t="s">
        <v>17</v>
      </c>
      <c r="E21" s="580" t="s">
        <v>17</v>
      </c>
      <c r="F21" s="579">
        <f>F20</f>
        <v>25.094700837614305</v>
      </c>
      <c r="G21" s="580">
        <f>G20</f>
        <v>109.91478966875064</v>
      </c>
      <c r="H21" s="579" t="s">
        <v>17</v>
      </c>
      <c r="I21" s="580" t="s">
        <v>17</v>
      </c>
      <c r="J21" s="579" t="s">
        <v>17</v>
      </c>
      <c r="K21" s="580" t="s">
        <v>17</v>
      </c>
      <c r="L21" s="579" t="s">
        <v>17</v>
      </c>
      <c r="M21" s="580" t="s">
        <v>17</v>
      </c>
      <c r="N21" s="579" t="s">
        <v>17</v>
      </c>
      <c r="O21" s="580" t="s">
        <v>17</v>
      </c>
      <c r="P21" s="292" t="s">
        <v>17</v>
      </c>
      <c r="Q21" s="293" t="s">
        <v>17</v>
      </c>
      <c r="R21" s="294" t="s">
        <v>17</v>
      </c>
      <c r="S21" s="293" t="s">
        <v>17</v>
      </c>
    </row>
    <row r="22" spans="1:19" ht="15.75" customHeight="1">
      <c r="A22" s="256" t="str">
        <f>'2-E-Co'!A28</f>
        <v>OTK6</v>
      </c>
      <c r="B22" s="577" t="s">
        <v>17</v>
      </c>
      <c r="C22" s="578" t="s">
        <v>17</v>
      </c>
      <c r="D22" s="577" t="s">
        <v>17</v>
      </c>
      <c r="E22" s="578" t="s">
        <v>17</v>
      </c>
      <c r="F22" s="93">
        <f>F20</f>
        <v>25.094700837614305</v>
      </c>
      <c r="G22" s="94">
        <f>G20</f>
        <v>109.91478966875064</v>
      </c>
      <c r="H22" s="577" t="s">
        <v>17</v>
      </c>
      <c r="I22" s="578" t="s">
        <v>17</v>
      </c>
      <c r="J22" s="572" t="s">
        <v>17</v>
      </c>
      <c r="K22" s="573" t="s">
        <v>17</v>
      </c>
      <c r="L22" s="577" t="s">
        <v>17</v>
      </c>
      <c r="M22" s="578" t="s">
        <v>17</v>
      </c>
      <c r="N22" s="577" t="s">
        <v>17</v>
      </c>
      <c r="O22" s="578" t="s">
        <v>17</v>
      </c>
      <c r="P22" s="91" t="s">
        <v>17</v>
      </c>
      <c r="Q22" s="92" t="s">
        <v>17</v>
      </c>
      <c r="R22" s="89" t="s">
        <v>17</v>
      </c>
      <c r="S22" s="92" t="s">
        <v>17</v>
      </c>
    </row>
    <row r="23" spans="1:19" ht="15.75" customHeight="1">
      <c r="A23" s="356" t="str">
        <f>'2-E-Co'!A29</f>
        <v>ECD1</v>
      </c>
      <c r="B23" s="4037" t="s">
        <v>1371</v>
      </c>
      <c r="C23" s="4038"/>
      <c r="D23" s="4038"/>
      <c r="E23" s="4038"/>
      <c r="F23" s="4038"/>
      <c r="G23" s="4038"/>
      <c r="H23" s="4038"/>
      <c r="I23" s="4038"/>
      <c r="J23" s="4038"/>
      <c r="K23" s="4038"/>
      <c r="L23" s="4038"/>
      <c r="M23" s="4038"/>
      <c r="N23" s="4038"/>
      <c r="O23" s="4038"/>
      <c r="P23" s="4038"/>
      <c r="Q23" s="4038"/>
      <c r="R23" s="4038"/>
      <c r="S23" s="4039"/>
    </row>
    <row r="24" spans="1:19" ht="15.75" customHeight="1">
      <c r="A24" s="256" t="str">
        <f>'2-E-Co'!A30</f>
        <v>TO1</v>
      </c>
      <c r="B24" s="4034" t="s">
        <v>1371</v>
      </c>
      <c r="C24" s="4035"/>
      <c r="D24" s="4035"/>
      <c r="E24" s="4035"/>
      <c r="F24" s="4035"/>
      <c r="G24" s="4035"/>
      <c r="H24" s="4035"/>
      <c r="I24" s="4035"/>
      <c r="J24" s="4035"/>
      <c r="K24" s="4035"/>
      <c r="L24" s="4035"/>
      <c r="M24" s="4035"/>
      <c r="N24" s="4035"/>
      <c r="O24" s="4035"/>
      <c r="P24" s="4035"/>
      <c r="Q24" s="4035"/>
      <c r="R24" s="4035"/>
      <c r="S24" s="4036"/>
    </row>
    <row r="25" spans="1:19" ht="15.75" customHeight="1">
      <c r="A25" s="356" t="str">
        <f>'2-E-Co'!A31</f>
        <v>TO2</v>
      </c>
      <c r="B25" s="4037" t="s">
        <v>1371</v>
      </c>
      <c r="C25" s="4038"/>
      <c r="D25" s="4038"/>
      <c r="E25" s="4038"/>
      <c r="F25" s="4038"/>
      <c r="G25" s="4038"/>
      <c r="H25" s="4038"/>
      <c r="I25" s="4038"/>
      <c r="J25" s="4038"/>
      <c r="K25" s="4038"/>
      <c r="L25" s="4038"/>
      <c r="M25" s="4038"/>
      <c r="N25" s="4038"/>
      <c r="O25" s="4038"/>
      <c r="P25" s="4038"/>
      <c r="Q25" s="4038"/>
      <c r="R25" s="4038"/>
      <c r="S25" s="4039"/>
    </row>
    <row r="26" spans="1:19" ht="15.75" customHeight="1">
      <c r="A26" s="256" t="str">
        <f>'2-E-Co'!A32</f>
        <v>TO3</v>
      </c>
      <c r="B26" s="4034" t="s">
        <v>1371</v>
      </c>
      <c r="C26" s="4035"/>
      <c r="D26" s="4035"/>
      <c r="E26" s="4035"/>
      <c r="F26" s="4035"/>
      <c r="G26" s="4035"/>
      <c r="H26" s="4035"/>
      <c r="I26" s="4035"/>
      <c r="J26" s="4035"/>
      <c r="K26" s="4035"/>
      <c r="L26" s="4035"/>
      <c r="M26" s="4035"/>
      <c r="N26" s="4035"/>
      <c r="O26" s="4035"/>
      <c r="P26" s="4035"/>
      <c r="Q26" s="4035"/>
      <c r="R26" s="4035"/>
      <c r="S26" s="4036"/>
    </row>
    <row r="27" spans="1:19" ht="15.75" customHeight="1">
      <c r="A27" s="356" t="str">
        <f>'2-E-Co'!A33</f>
        <v>FUG</v>
      </c>
      <c r="B27" s="579" t="s">
        <v>17</v>
      </c>
      <c r="C27" s="580" t="s">
        <v>17</v>
      </c>
      <c r="D27" s="579" t="s">
        <v>17</v>
      </c>
      <c r="E27" s="580" t="s">
        <v>17</v>
      </c>
      <c r="F27" s="286">
        <f>Fugitive!G39</f>
        <v>88.63844276133257</v>
      </c>
      <c r="G27" s="287">
        <f>Fugitive!I39</f>
        <v>388.23637929463672</v>
      </c>
      <c r="H27" s="579" t="s">
        <v>17</v>
      </c>
      <c r="I27" s="580" t="s">
        <v>17</v>
      </c>
      <c r="J27" s="413" t="s">
        <v>17</v>
      </c>
      <c r="K27" s="414" t="s">
        <v>17</v>
      </c>
      <c r="L27" s="579" t="s">
        <v>17</v>
      </c>
      <c r="M27" s="580" t="s">
        <v>17</v>
      </c>
      <c r="N27" s="579" t="s">
        <v>17</v>
      </c>
      <c r="O27" s="580" t="s">
        <v>17</v>
      </c>
      <c r="P27" s="292" t="s">
        <v>17</v>
      </c>
      <c r="Q27" s="293" t="s">
        <v>17</v>
      </c>
      <c r="R27" s="294" t="s">
        <v>17</v>
      </c>
      <c r="S27" s="293" t="s">
        <v>17</v>
      </c>
    </row>
    <row r="28" spans="1:19" ht="15.75" customHeight="1">
      <c r="A28" s="256" t="str">
        <f>'2-E-Co'!A34</f>
        <v>SSM</v>
      </c>
      <c r="B28" s="577" t="s">
        <v>17</v>
      </c>
      <c r="C28" s="578" t="s">
        <v>17</v>
      </c>
      <c r="D28" s="577" t="s">
        <v>17</v>
      </c>
      <c r="E28" s="578" t="s">
        <v>17</v>
      </c>
      <c r="F28" s="577" t="s">
        <v>17</v>
      </c>
      <c r="G28" s="578">
        <f>'Summary UC-Co'!J37</f>
        <v>10</v>
      </c>
      <c r="H28" s="577" t="s">
        <v>17</v>
      </c>
      <c r="I28" s="578" t="s">
        <v>17</v>
      </c>
      <c r="J28" s="577" t="s">
        <v>17</v>
      </c>
      <c r="K28" s="578" t="s">
        <v>17</v>
      </c>
      <c r="L28" s="577" t="s">
        <v>17</v>
      </c>
      <c r="M28" s="578" t="s">
        <v>17</v>
      </c>
      <c r="N28" s="577" t="s">
        <v>17</v>
      </c>
      <c r="O28" s="578" t="s">
        <v>17</v>
      </c>
      <c r="P28" s="91" t="s">
        <v>17</v>
      </c>
      <c r="Q28" s="92" t="s">
        <v>17</v>
      </c>
      <c r="R28" s="89" t="s">
        <v>17</v>
      </c>
      <c r="S28" s="92" t="s">
        <v>17</v>
      </c>
    </row>
    <row r="29" spans="1:19" ht="15.75" customHeight="1">
      <c r="A29" s="356" t="str">
        <f>'2-E-Co'!A35</f>
        <v>ROAD</v>
      </c>
      <c r="B29" s="579" t="s">
        <v>17</v>
      </c>
      <c r="C29" s="580" t="s">
        <v>17</v>
      </c>
      <c r="D29" s="579" t="s">
        <v>17</v>
      </c>
      <c r="E29" s="580" t="s">
        <v>17</v>
      </c>
      <c r="F29" s="579" t="s">
        <v>17</v>
      </c>
      <c r="G29" s="580" t="s">
        <v>17</v>
      </c>
      <c r="H29" s="579" t="s">
        <v>17</v>
      </c>
      <c r="I29" s="580" t="s">
        <v>17</v>
      </c>
      <c r="J29" s="579">
        <f>'2-E-Co'!J35</f>
        <v>2.7556902133370476</v>
      </c>
      <c r="K29" s="580">
        <f>'2-E-Co'!K35</f>
        <v>8.8254079636430482</v>
      </c>
      <c r="L29" s="579">
        <f>'2-E-Co'!L35</f>
        <v>0.70232409971011567</v>
      </c>
      <c r="M29" s="580">
        <f>'2-E-Co'!M35</f>
        <v>2.2492719510493018</v>
      </c>
      <c r="N29" s="579">
        <f>'2-E-Co'!N35</f>
        <v>7.0232409971011545E-2</v>
      </c>
      <c r="O29" s="580">
        <f>'2-E-Co'!O35</f>
        <v>0.22492719510493014</v>
      </c>
      <c r="P29" s="292" t="s">
        <v>17</v>
      </c>
      <c r="Q29" s="293" t="s">
        <v>17</v>
      </c>
      <c r="R29" s="294" t="s">
        <v>17</v>
      </c>
      <c r="S29" s="293" t="s">
        <v>17</v>
      </c>
    </row>
    <row r="30" spans="1:19" ht="15.75" customHeight="1">
      <c r="A30" s="256" t="str">
        <f>'2-E-Co'!A36</f>
        <v>PWTK1</v>
      </c>
      <c r="B30" s="577" t="s">
        <v>17</v>
      </c>
      <c r="C30" s="578" t="s">
        <v>17</v>
      </c>
      <c r="D30" s="577" t="s">
        <v>17</v>
      </c>
      <c r="E30" s="578" t="s">
        <v>17</v>
      </c>
      <c r="F30" s="577">
        <f>'Tank Summary'!L21</f>
        <v>2.360259684389519E-3</v>
      </c>
      <c r="G30" s="578">
        <f>'Tank Summary'!M21</f>
        <v>1.0337937417626092E-2</v>
      </c>
      <c r="H30" s="577" t="s">
        <v>17</v>
      </c>
      <c r="I30" s="578" t="s">
        <v>17</v>
      </c>
      <c r="J30" s="577" t="s">
        <v>17</v>
      </c>
      <c r="K30" s="578" t="s">
        <v>17</v>
      </c>
      <c r="L30" s="577" t="s">
        <v>17</v>
      </c>
      <c r="M30" s="578" t="s">
        <v>17</v>
      </c>
      <c r="N30" s="577" t="s">
        <v>17</v>
      </c>
      <c r="O30" s="578" t="s">
        <v>17</v>
      </c>
      <c r="P30" s="91" t="s">
        <v>17</v>
      </c>
      <c r="Q30" s="92" t="s">
        <v>17</v>
      </c>
      <c r="R30" s="89" t="s">
        <v>17</v>
      </c>
      <c r="S30" s="92" t="s">
        <v>17</v>
      </c>
    </row>
    <row r="31" spans="1:19" ht="15.75" customHeight="1">
      <c r="A31" s="356" t="str">
        <f>'2-E-Co'!A37</f>
        <v>PWTK2</v>
      </c>
      <c r="B31" s="579" t="s">
        <v>17</v>
      </c>
      <c r="C31" s="580" t="s">
        <v>17</v>
      </c>
      <c r="D31" s="579" t="s">
        <v>17</v>
      </c>
      <c r="E31" s="580" t="s">
        <v>17</v>
      </c>
      <c r="F31" s="579">
        <f>'Tank Summary'!L22</f>
        <v>2.360259684389519E-3</v>
      </c>
      <c r="G31" s="580">
        <f>'Tank Summary'!M22</f>
        <v>1.0337937417626092E-2</v>
      </c>
      <c r="H31" s="579" t="s">
        <v>17</v>
      </c>
      <c r="I31" s="580" t="s">
        <v>17</v>
      </c>
      <c r="J31" s="579" t="s">
        <v>17</v>
      </c>
      <c r="K31" s="580" t="s">
        <v>17</v>
      </c>
      <c r="L31" s="579" t="s">
        <v>17</v>
      </c>
      <c r="M31" s="580" t="s">
        <v>17</v>
      </c>
      <c r="N31" s="579" t="s">
        <v>17</v>
      </c>
      <c r="O31" s="580" t="s">
        <v>17</v>
      </c>
      <c r="P31" s="292" t="s">
        <v>17</v>
      </c>
      <c r="Q31" s="293" t="s">
        <v>17</v>
      </c>
      <c r="R31" s="294" t="s">
        <v>17</v>
      </c>
      <c r="S31" s="293" t="s">
        <v>17</v>
      </c>
    </row>
    <row r="32" spans="1:19" ht="15.65" customHeight="1">
      <c r="A32" s="256" t="str">
        <f>'2-E-Co'!A38</f>
        <v>PWTL</v>
      </c>
      <c r="B32" s="577" t="s">
        <v>17</v>
      </c>
      <c r="C32" s="578" t="s">
        <v>17</v>
      </c>
      <c r="D32" s="577" t="s">
        <v>17</v>
      </c>
      <c r="E32" s="578" t="s">
        <v>17</v>
      </c>
      <c r="F32" s="577">
        <f>'Load-H2O'!F33</f>
        <v>0.39339345182963747</v>
      </c>
      <c r="G32" s="578">
        <f>'Load-H2O'!G33</f>
        <v>2.4902276270262185</v>
      </c>
      <c r="H32" s="577" t="s">
        <v>17</v>
      </c>
      <c r="I32" s="578" t="s">
        <v>17</v>
      </c>
      <c r="J32" s="577" t="s">
        <v>17</v>
      </c>
      <c r="K32" s="578" t="s">
        <v>17</v>
      </c>
      <c r="L32" s="577" t="s">
        <v>17</v>
      </c>
      <c r="M32" s="578" t="s">
        <v>17</v>
      </c>
      <c r="N32" s="577" t="s">
        <v>17</v>
      </c>
      <c r="O32" s="578" t="s">
        <v>17</v>
      </c>
      <c r="P32" s="91" t="s">
        <v>17</v>
      </c>
      <c r="Q32" s="92" t="s">
        <v>17</v>
      </c>
      <c r="R32" s="89" t="s">
        <v>17</v>
      </c>
      <c r="S32" s="92" t="s">
        <v>17</v>
      </c>
    </row>
    <row r="33" spans="1:19" ht="13.5" customHeight="1">
      <c r="A33" s="356" t="str">
        <f>'2-E-Co'!A39</f>
        <v>OTL</v>
      </c>
      <c r="B33" s="579" t="s">
        <v>17</v>
      </c>
      <c r="C33" s="580" t="s">
        <v>17</v>
      </c>
      <c r="D33" s="579" t="s">
        <v>17</v>
      </c>
      <c r="E33" s="580" t="s">
        <v>17</v>
      </c>
      <c r="F33" s="579">
        <f>'Load-Slop Oil'!F34*'Load-Slop Oil'!I20/100</f>
        <v>54.47067380149624</v>
      </c>
      <c r="G33" s="580">
        <f>'Load-Slop Oil'!G34*'Load-Slop Oil'!I20/100</f>
        <v>10.321550971628724</v>
      </c>
      <c r="H33" s="579" t="s">
        <v>17</v>
      </c>
      <c r="I33" s="580" t="s">
        <v>17</v>
      </c>
      <c r="J33" s="579" t="s">
        <v>17</v>
      </c>
      <c r="K33" s="580" t="s">
        <v>17</v>
      </c>
      <c r="L33" s="579" t="s">
        <v>17</v>
      </c>
      <c r="M33" s="580" t="s">
        <v>17</v>
      </c>
      <c r="N33" s="579" t="s">
        <v>17</v>
      </c>
      <c r="O33" s="580" t="s">
        <v>17</v>
      </c>
      <c r="P33" s="292" t="s">
        <v>17</v>
      </c>
      <c r="Q33" s="293" t="s">
        <v>17</v>
      </c>
      <c r="R33" s="294" t="s">
        <v>17</v>
      </c>
      <c r="S33" s="293" t="s">
        <v>17</v>
      </c>
    </row>
    <row r="34" spans="1:19" ht="15.65" customHeight="1">
      <c r="A34" s="256" t="str">
        <f>'2-E-Co'!A40</f>
        <v>AU1</v>
      </c>
      <c r="B34" s="577" t="s">
        <v>17</v>
      </c>
      <c r="C34" s="578" t="s">
        <v>17</v>
      </c>
      <c r="D34" s="577" t="s">
        <v>17</v>
      </c>
      <c r="E34" s="578" t="s">
        <v>17</v>
      </c>
      <c r="F34" s="577">
        <f>'Summary UC-Co'!I43</f>
        <v>62.455189452722529</v>
      </c>
      <c r="G34" s="578">
        <f>'Summary UC-Co'!J43</f>
        <v>273.55372980292469</v>
      </c>
      <c r="H34" s="577" t="s">
        <v>17</v>
      </c>
      <c r="I34" s="578" t="s">
        <v>17</v>
      </c>
      <c r="J34" s="577" t="s">
        <v>17</v>
      </c>
      <c r="K34" s="578" t="s">
        <v>17</v>
      </c>
      <c r="L34" s="577" t="s">
        <v>17</v>
      </c>
      <c r="M34" s="578" t="s">
        <v>17</v>
      </c>
      <c r="N34" s="577" t="s">
        <v>17</v>
      </c>
      <c r="O34" s="578" t="s">
        <v>17</v>
      </c>
      <c r="P34" s="91" t="s">
        <v>17</v>
      </c>
      <c r="Q34" s="92" t="s">
        <v>17</v>
      </c>
      <c r="R34" s="89" t="s">
        <v>17</v>
      </c>
      <c r="S34" s="92" t="s">
        <v>17</v>
      </c>
    </row>
    <row r="35" spans="1:19" ht="13.5" customHeight="1">
      <c r="A35" s="356" t="str">
        <f>'2-E-Co'!A41</f>
        <v>AU2</v>
      </c>
      <c r="B35" s="579" t="s">
        <v>17</v>
      </c>
      <c r="C35" s="580" t="s">
        <v>17</v>
      </c>
      <c r="D35" s="579" t="s">
        <v>17</v>
      </c>
      <c r="E35" s="580" t="s">
        <v>17</v>
      </c>
      <c r="F35" s="579">
        <f>'Summary UC-Co'!I44</f>
        <v>62.455189452722529</v>
      </c>
      <c r="G35" s="580">
        <f>'Summary UC-Co'!J44</f>
        <v>273.55372980292469</v>
      </c>
      <c r="H35" s="579" t="s">
        <v>17</v>
      </c>
      <c r="I35" s="580" t="s">
        <v>17</v>
      </c>
      <c r="J35" s="579" t="s">
        <v>17</v>
      </c>
      <c r="K35" s="580" t="s">
        <v>17</v>
      </c>
      <c r="L35" s="579" t="s">
        <v>17</v>
      </c>
      <c r="M35" s="580" t="s">
        <v>17</v>
      </c>
      <c r="N35" s="579" t="s">
        <v>17</v>
      </c>
      <c r="O35" s="580" t="s">
        <v>17</v>
      </c>
      <c r="P35" s="292" t="s">
        <v>17</v>
      </c>
      <c r="Q35" s="293" t="s">
        <v>17</v>
      </c>
      <c r="R35" s="294" t="s">
        <v>17</v>
      </c>
      <c r="S35" s="293" t="s">
        <v>17</v>
      </c>
    </row>
    <row r="36" spans="1:19" ht="15.65" customHeight="1">
      <c r="A36" s="256" t="str">
        <f>'2-E-Co'!A42</f>
        <v>AU3</v>
      </c>
      <c r="B36" s="577" t="s">
        <v>17</v>
      </c>
      <c r="C36" s="578" t="s">
        <v>17</v>
      </c>
      <c r="D36" s="577" t="s">
        <v>17</v>
      </c>
      <c r="E36" s="578" t="s">
        <v>17</v>
      </c>
      <c r="F36" s="577">
        <f>'Summary UC-Co'!I45</f>
        <v>62.455189452722529</v>
      </c>
      <c r="G36" s="578">
        <f>'Summary UC-Co'!J45</f>
        <v>273.55372980292469</v>
      </c>
      <c r="H36" s="577" t="s">
        <v>17</v>
      </c>
      <c r="I36" s="578" t="s">
        <v>17</v>
      </c>
      <c r="J36" s="577" t="s">
        <v>17</v>
      </c>
      <c r="K36" s="578" t="s">
        <v>17</v>
      </c>
      <c r="L36" s="577" t="s">
        <v>17</v>
      </c>
      <c r="M36" s="578" t="s">
        <v>17</v>
      </c>
      <c r="N36" s="577" t="s">
        <v>17</v>
      </c>
      <c r="O36" s="578" t="s">
        <v>17</v>
      </c>
      <c r="P36" s="91" t="s">
        <v>17</v>
      </c>
      <c r="Q36" s="92" t="s">
        <v>17</v>
      </c>
      <c r="R36" s="89" t="s">
        <v>17</v>
      </c>
      <c r="S36" s="92" t="s">
        <v>17</v>
      </c>
    </row>
    <row r="37" spans="1:19" ht="15.65" customHeight="1">
      <c r="A37" s="356" t="str">
        <f>'2-E-Co'!A43</f>
        <v>GBS1</v>
      </c>
      <c r="B37" s="579" t="s">
        <v>17</v>
      </c>
      <c r="C37" s="580" t="s">
        <v>17</v>
      </c>
      <c r="D37" s="579" t="s">
        <v>17</v>
      </c>
      <c r="E37" s="580" t="s">
        <v>17</v>
      </c>
      <c r="F37" s="579">
        <f>'Tank Summary'!L23</f>
        <v>229.80658100387194</v>
      </c>
      <c r="G37" s="580">
        <f>'Tank Summary'!M23</f>
        <v>1006.5528247969593</v>
      </c>
      <c r="H37" s="579" t="s">
        <v>17</v>
      </c>
      <c r="I37" s="580" t="s">
        <v>17</v>
      </c>
      <c r="J37" s="579" t="s">
        <v>17</v>
      </c>
      <c r="K37" s="580" t="s">
        <v>17</v>
      </c>
      <c r="L37" s="579" t="s">
        <v>17</v>
      </c>
      <c r="M37" s="580" t="s">
        <v>17</v>
      </c>
      <c r="N37" s="579" t="s">
        <v>17</v>
      </c>
      <c r="O37" s="580" t="s">
        <v>17</v>
      </c>
      <c r="P37" s="292" t="s">
        <v>17</v>
      </c>
      <c r="Q37" s="293" t="s">
        <v>17</v>
      </c>
      <c r="R37" s="294" t="s">
        <v>17</v>
      </c>
      <c r="S37" s="293" t="s">
        <v>17</v>
      </c>
    </row>
    <row r="38" spans="1:19" ht="15.65" customHeight="1">
      <c r="A38" s="256" t="str">
        <f>'2-E-Co'!A44</f>
        <v>OTK7</v>
      </c>
      <c r="B38" s="577" t="s">
        <v>17</v>
      </c>
      <c r="C38" s="578" t="s">
        <v>17</v>
      </c>
      <c r="D38" s="577" t="s">
        <v>17</v>
      </c>
      <c r="E38" s="578" t="s">
        <v>17</v>
      </c>
      <c r="F38" s="577">
        <f>'Tank Summary'!L24</f>
        <v>23.205544762405538</v>
      </c>
      <c r="G38" s="578">
        <f>'Tank Summary'!M24</f>
        <v>101.64028605933626</v>
      </c>
      <c r="H38" s="577" t="s">
        <v>17</v>
      </c>
      <c r="I38" s="578" t="s">
        <v>17</v>
      </c>
      <c r="J38" s="577" t="s">
        <v>17</v>
      </c>
      <c r="K38" s="578" t="s">
        <v>17</v>
      </c>
      <c r="L38" s="577" t="s">
        <v>17</v>
      </c>
      <c r="M38" s="578" t="s">
        <v>17</v>
      </c>
      <c r="N38" s="577" t="s">
        <v>17</v>
      </c>
      <c r="O38" s="578" t="s">
        <v>17</v>
      </c>
      <c r="P38" s="91" t="s">
        <v>17</v>
      </c>
      <c r="Q38" s="92" t="s">
        <v>17</v>
      </c>
      <c r="R38" s="89" t="s">
        <v>17</v>
      </c>
      <c r="S38" s="92" t="s">
        <v>17</v>
      </c>
    </row>
    <row r="39" spans="1:19" ht="15.65" customHeight="1">
      <c r="A39" s="356" t="str">
        <f>'2-E-Co'!A45</f>
        <v>TUR1</v>
      </c>
      <c r="B39" s="1556">
        <f>'Summary UC-Co'!E48</f>
        <v>51.4</v>
      </c>
      <c r="C39" s="1557">
        <f>'Summary UC-Co'!F48</f>
        <v>225.13200000000001</v>
      </c>
      <c r="D39" s="1556">
        <f>'Summary UC-Co'!G48</f>
        <v>35.1</v>
      </c>
      <c r="E39" s="1557">
        <f>'Summary UC-Co'!H48</f>
        <v>153.738</v>
      </c>
      <c r="F39" s="1556">
        <f>'Summary UC-Co'!I48</f>
        <v>14.4</v>
      </c>
      <c r="G39" s="1557">
        <f>'Summary UC-Co'!J48</f>
        <v>63.072000000000003</v>
      </c>
      <c r="H39" s="1556">
        <f>'Summary UC-Co'!K48</f>
        <v>2.1350532104919506</v>
      </c>
      <c r="I39" s="1557">
        <f>'Summary UC-Co'!L48</f>
        <v>9.3515330619547434</v>
      </c>
      <c r="J39" s="1556">
        <f>'Summary UC-Co'!M48</f>
        <v>9.1999999999999993</v>
      </c>
      <c r="K39" s="1557">
        <f>'Summary UC-Co'!N48</f>
        <v>40.295999999999999</v>
      </c>
      <c r="L39" s="1556">
        <f>'Summary UC-Co'!O48</f>
        <v>9.1999999999999993</v>
      </c>
      <c r="M39" s="1557">
        <f>'Summary UC-Co'!P48</f>
        <v>40.295999999999999</v>
      </c>
      <c r="N39" s="1556">
        <f>L39</f>
        <v>9.1999999999999993</v>
      </c>
      <c r="O39" s="1557">
        <f>M39</f>
        <v>40.295999999999999</v>
      </c>
      <c r="P39" s="1275" t="s">
        <v>17</v>
      </c>
      <c r="Q39" s="1276" t="s">
        <v>17</v>
      </c>
      <c r="R39" s="1275" t="s">
        <v>17</v>
      </c>
      <c r="S39" s="1276" t="s">
        <v>17</v>
      </c>
    </row>
    <row r="40" spans="1:19" ht="16.5" customHeight="1">
      <c r="A40" s="256" t="str">
        <f>'2-E-Co'!A46</f>
        <v>TUR2</v>
      </c>
      <c r="B40" s="95">
        <f>B39</f>
        <v>51.4</v>
      </c>
      <c r="C40" s="96">
        <f>C39</f>
        <v>225.13200000000001</v>
      </c>
      <c r="D40" s="95">
        <f t="shared" ref="D40:O40" si="0">D39</f>
        <v>35.1</v>
      </c>
      <c r="E40" s="96">
        <f t="shared" si="0"/>
        <v>153.738</v>
      </c>
      <c r="F40" s="95">
        <f t="shared" si="0"/>
        <v>14.4</v>
      </c>
      <c r="G40" s="96">
        <f t="shared" si="0"/>
        <v>63.072000000000003</v>
      </c>
      <c r="H40" s="95">
        <f t="shared" si="0"/>
        <v>2.1350532104919506</v>
      </c>
      <c r="I40" s="96">
        <f t="shared" si="0"/>
        <v>9.3515330619547434</v>
      </c>
      <c r="J40" s="95">
        <f t="shared" si="0"/>
        <v>9.1999999999999993</v>
      </c>
      <c r="K40" s="96">
        <f t="shared" si="0"/>
        <v>40.295999999999999</v>
      </c>
      <c r="L40" s="95">
        <f t="shared" si="0"/>
        <v>9.1999999999999993</v>
      </c>
      <c r="M40" s="96">
        <f t="shared" si="0"/>
        <v>40.295999999999999</v>
      </c>
      <c r="N40" s="95">
        <f t="shared" si="0"/>
        <v>9.1999999999999993</v>
      </c>
      <c r="O40" s="96">
        <f t="shared" si="0"/>
        <v>40.295999999999999</v>
      </c>
      <c r="P40" s="95" t="s">
        <v>17</v>
      </c>
      <c r="Q40" s="96" t="s">
        <v>17</v>
      </c>
      <c r="R40" s="95" t="s">
        <v>17</v>
      </c>
      <c r="S40" s="96" t="s">
        <v>17</v>
      </c>
    </row>
    <row r="41" spans="1:19" ht="15.65" customHeight="1">
      <c r="A41" s="356" t="str">
        <f>'2-E-Co'!A47</f>
        <v>TUR3</v>
      </c>
      <c r="B41" s="1556">
        <f>B39</f>
        <v>51.4</v>
      </c>
      <c r="C41" s="1557">
        <f>C39</f>
        <v>225.13200000000001</v>
      </c>
      <c r="D41" s="1556">
        <f t="shared" ref="D41:O41" si="1">D39</f>
        <v>35.1</v>
      </c>
      <c r="E41" s="1557">
        <f t="shared" si="1"/>
        <v>153.738</v>
      </c>
      <c r="F41" s="1556">
        <f t="shared" si="1"/>
        <v>14.4</v>
      </c>
      <c r="G41" s="1557">
        <f t="shared" si="1"/>
        <v>63.072000000000003</v>
      </c>
      <c r="H41" s="1556">
        <f t="shared" si="1"/>
        <v>2.1350532104919506</v>
      </c>
      <c r="I41" s="1557">
        <f t="shared" si="1"/>
        <v>9.3515330619547434</v>
      </c>
      <c r="J41" s="1556">
        <f t="shared" si="1"/>
        <v>9.1999999999999993</v>
      </c>
      <c r="K41" s="1557">
        <f t="shared" si="1"/>
        <v>40.295999999999999</v>
      </c>
      <c r="L41" s="1556">
        <f t="shared" si="1"/>
        <v>9.1999999999999993</v>
      </c>
      <c r="M41" s="1557">
        <f t="shared" si="1"/>
        <v>40.295999999999999</v>
      </c>
      <c r="N41" s="1556">
        <f t="shared" si="1"/>
        <v>9.1999999999999993</v>
      </c>
      <c r="O41" s="1557">
        <f t="shared" si="1"/>
        <v>40.295999999999999</v>
      </c>
      <c r="P41" s="1275" t="s">
        <v>17</v>
      </c>
      <c r="Q41" s="1276" t="s">
        <v>17</v>
      </c>
      <c r="R41" s="1275" t="s">
        <v>17</v>
      </c>
      <c r="S41" s="1276" t="s">
        <v>17</v>
      </c>
    </row>
    <row r="42" spans="1:19" ht="15.65" customHeight="1">
      <c r="A42" s="1626" t="str">
        <f>'2-E-Co'!A48</f>
        <v>TUR4</v>
      </c>
      <c r="B42" s="2936">
        <f>B39</f>
        <v>51.4</v>
      </c>
      <c r="C42" s="2937">
        <f>C39</f>
        <v>225.13200000000001</v>
      </c>
      <c r="D42" s="2936">
        <f t="shared" ref="D42:O42" si="2">D39</f>
        <v>35.1</v>
      </c>
      <c r="E42" s="2937">
        <f t="shared" si="2"/>
        <v>153.738</v>
      </c>
      <c r="F42" s="2936">
        <f t="shared" si="2"/>
        <v>14.4</v>
      </c>
      <c r="G42" s="2937">
        <f t="shared" si="2"/>
        <v>63.072000000000003</v>
      </c>
      <c r="H42" s="2936">
        <f t="shared" si="2"/>
        <v>2.1350532104919506</v>
      </c>
      <c r="I42" s="2937">
        <f t="shared" si="2"/>
        <v>9.3515330619547434</v>
      </c>
      <c r="J42" s="2936">
        <f t="shared" si="2"/>
        <v>9.1999999999999993</v>
      </c>
      <c r="K42" s="2937">
        <f t="shared" si="2"/>
        <v>40.295999999999999</v>
      </c>
      <c r="L42" s="2936">
        <f t="shared" si="2"/>
        <v>9.1999999999999993</v>
      </c>
      <c r="M42" s="2937">
        <f t="shared" si="2"/>
        <v>40.295999999999999</v>
      </c>
      <c r="N42" s="2936">
        <f t="shared" si="2"/>
        <v>9.1999999999999993</v>
      </c>
      <c r="O42" s="2937">
        <f t="shared" si="2"/>
        <v>40.295999999999999</v>
      </c>
      <c r="P42" s="2936" t="s">
        <v>17</v>
      </c>
      <c r="Q42" s="2937" t="s">
        <v>17</v>
      </c>
      <c r="R42" s="2936" t="s">
        <v>17</v>
      </c>
      <c r="S42" s="2937" t="s">
        <v>17</v>
      </c>
    </row>
    <row r="43" spans="1:19" ht="16.5" customHeight="1">
      <c r="A43" s="1297" t="str">
        <f>'2-E-Co'!A49</f>
        <v>GEN1</v>
      </c>
      <c r="B43" s="2630">
        <f>'2-E-Co'!B49</f>
        <v>7.6014109347442673</v>
      </c>
      <c r="C43" s="2626">
        <f>'2-E-Co'!C49</f>
        <v>0.38007054673721336</v>
      </c>
      <c r="D43" s="2630">
        <f>'2-E-Co'!D49</f>
        <v>12.770370370370369</v>
      </c>
      <c r="E43" s="2626">
        <f>'2-E-Co'!E49</f>
        <v>0.63851851851851849</v>
      </c>
      <c r="F43" s="2630">
        <f>'2-E-Co'!F49</f>
        <v>4.887584801621446</v>
      </c>
      <c r="G43" s="2626">
        <f>'2-E-Co'!G49</f>
        <v>0.24437924008107231</v>
      </c>
      <c r="H43" s="2630">
        <f>'2-E-Co'!H49</f>
        <v>5.268486050420168E-2</v>
      </c>
      <c r="I43" s="2626">
        <f>'2-E-Co'!I49</f>
        <v>2.6342430252100841E-3</v>
      </c>
      <c r="J43" s="2630">
        <f>'2-E-Co'!J49</f>
        <v>0.21023717968</v>
      </c>
      <c r="K43" s="2626">
        <f>'2-E-Co'!K49</f>
        <v>1.0511858984E-2</v>
      </c>
      <c r="L43" s="2630">
        <f>'2-E-Co'!L49</f>
        <v>0.21023717968</v>
      </c>
      <c r="M43" s="2626">
        <f>'2-E-Co'!M49</f>
        <v>1.0511858984E-2</v>
      </c>
      <c r="N43" s="2630">
        <f>'2-E-Co'!N49</f>
        <v>0.21023717968</v>
      </c>
      <c r="O43" s="2626">
        <f>'2-E-Co'!O49</f>
        <v>1.0511858984E-2</v>
      </c>
      <c r="P43" s="2630" t="s">
        <v>17</v>
      </c>
      <c r="Q43" s="2626" t="s">
        <v>17</v>
      </c>
      <c r="R43" s="2630" t="s">
        <v>17</v>
      </c>
      <c r="S43" s="2626" t="s">
        <v>17</v>
      </c>
    </row>
    <row r="44" spans="1:19" ht="16.5" customHeight="1">
      <c r="A44" s="1553" t="str">
        <f>'2-E-Co'!A50</f>
        <v>GEN2</v>
      </c>
      <c r="B44" s="2637">
        <f>'2-E-Co'!B50</f>
        <v>7.6014109347442673</v>
      </c>
      <c r="C44" s="2635">
        <f>'2-E-Co'!C50</f>
        <v>0.38007054673721336</v>
      </c>
      <c r="D44" s="2637">
        <f>'2-E-Co'!D50</f>
        <v>12.770370370370369</v>
      </c>
      <c r="E44" s="2635">
        <f>'2-E-Co'!E50</f>
        <v>0.63851851851851849</v>
      </c>
      <c r="F44" s="2637">
        <f>'2-E-Co'!F50</f>
        <v>4.887584801621446</v>
      </c>
      <c r="G44" s="2635">
        <f>'2-E-Co'!G50</f>
        <v>0.24437924008107231</v>
      </c>
      <c r="H44" s="2637">
        <f>'2-E-Co'!H50</f>
        <v>5.268486050420168E-2</v>
      </c>
      <c r="I44" s="2635">
        <f>'2-E-Co'!I50</f>
        <v>2.6342430252100841E-3</v>
      </c>
      <c r="J44" s="2637">
        <f>'2-E-Co'!J50</f>
        <v>0.21023717968</v>
      </c>
      <c r="K44" s="2635">
        <f>'2-E-Co'!K50</f>
        <v>1.0511858984E-2</v>
      </c>
      <c r="L44" s="2637">
        <f>'2-E-Co'!L50</f>
        <v>0.21023717968</v>
      </c>
      <c r="M44" s="2635">
        <f>'2-E-Co'!M50</f>
        <v>1.0511858984E-2</v>
      </c>
      <c r="N44" s="2637">
        <f>'2-E-Co'!N50</f>
        <v>0.21023717968</v>
      </c>
      <c r="O44" s="2635">
        <f>'2-E-Co'!O50</f>
        <v>1.0511858984E-2</v>
      </c>
      <c r="P44" s="1397" t="s">
        <v>17</v>
      </c>
      <c r="Q44" s="1398" t="s">
        <v>17</v>
      </c>
      <c r="R44" s="1397" t="s">
        <v>17</v>
      </c>
      <c r="S44" s="1398" t="s">
        <v>17</v>
      </c>
    </row>
    <row r="45" spans="1:19" ht="16.25" customHeight="1">
      <c r="A45" s="1297" t="str">
        <f>'2-E-Co'!A51</f>
        <v>GEN3</v>
      </c>
      <c r="B45" s="2630">
        <f>'2-E-Co'!B51</f>
        <v>7.6014109347442673</v>
      </c>
      <c r="C45" s="2626">
        <f>'2-E-Co'!C51</f>
        <v>0.38007054673721336</v>
      </c>
      <c r="D45" s="2630">
        <f>'2-E-Co'!D51</f>
        <v>12.770370370370369</v>
      </c>
      <c r="E45" s="2626">
        <f>'2-E-Co'!E51</f>
        <v>0.63851851851851849</v>
      </c>
      <c r="F45" s="2630">
        <f>'2-E-Co'!F51</f>
        <v>4.887584801621446</v>
      </c>
      <c r="G45" s="2626">
        <f>'2-E-Co'!G51</f>
        <v>0.24437924008107231</v>
      </c>
      <c r="H45" s="2630">
        <f>'2-E-Co'!H51</f>
        <v>5.268486050420168E-2</v>
      </c>
      <c r="I45" s="2626">
        <f>'2-E-Co'!I51</f>
        <v>2.6342430252100841E-3</v>
      </c>
      <c r="J45" s="2630">
        <f>'2-E-Co'!J51</f>
        <v>0.21023717968</v>
      </c>
      <c r="K45" s="2626">
        <f>'2-E-Co'!K51</f>
        <v>1.0511858984E-2</v>
      </c>
      <c r="L45" s="2630">
        <f>'2-E-Co'!L51</f>
        <v>0.21023717968</v>
      </c>
      <c r="M45" s="2626">
        <f>'2-E-Co'!M51</f>
        <v>1.0511858984E-2</v>
      </c>
      <c r="N45" s="2630">
        <f>'2-E-Co'!N51</f>
        <v>0.21023717968</v>
      </c>
      <c r="O45" s="2626">
        <f>'2-E-Co'!O51</f>
        <v>1.0511858984E-2</v>
      </c>
      <c r="P45" s="1275" t="s">
        <v>17</v>
      </c>
      <c r="Q45" s="1276" t="s">
        <v>17</v>
      </c>
      <c r="R45" s="1275" t="s">
        <v>17</v>
      </c>
      <c r="S45" s="1276" t="s">
        <v>17</v>
      </c>
    </row>
    <row r="46" spans="1:19" ht="16.5" customHeight="1">
      <c r="A46" s="1553" t="str">
        <f>'2-E-Co'!A52</f>
        <v>GEN4</v>
      </c>
      <c r="B46" s="2637">
        <f>'2-E-Co'!B52</f>
        <v>7.6014109347442673</v>
      </c>
      <c r="C46" s="2635">
        <f>'2-E-Co'!C52</f>
        <v>0.38007054673721336</v>
      </c>
      <c r="D46" s="2637">
        <f>'2-E-Co'!D52</f>
        <v>12.770370370370369</v>
      </c>
      <c r="E46" s="2635">
        <f>'2-E-Co'!E52</f>
        <v>0.63851851851851849</v>
      </c>
      <c r="F46" s="2637">
        <f>'2-E-Co'!F52</f>
        <v>4.887584801621446</v>
      </c>
      <c r="G46" s="2635">
        <f>'2-E-Co'!G52</f>
        <v>0.24437924008107231</v>
      </c>
      <c r="H46" s="2637">
        <f>'2-E-Co'!H52</f>
        <v>5.268486050420168E-2</v>
      </c>
      <c r="I46" s="2635">
        <f>'2-E-Co'!I52</f>
        <v>2.6342430252100841E-3</v>
      </c>
      <c r="J46" s="2637">
        <f>'2-E-Co'!J52</f>
        <v>0.21023717968</v>
      </c>
      <c r="K46" s="2635">
        <f>'2-E-Co'!K52</f>
        <v>1.0511858984E-2</v>
      </c>
      <c r="L46" s="2637">
        <f>'2-E-Co'!L52</f>
        <v>0.21023717968</v>
      </c>
      <c r="M46" s="2635">
        <f>'2-E-Co'!M52</f>
        <v>1.0511858984E-2</v>
      </c>
      <c r="N46" s="2637">
        <f>'2-E-Co'!N52</f>
        <v>0.21023717968</v>
      </c>
      <c r="O46" s="2635">
        <f>'2-E-Co'!O52</f>
        <v>1.0511858984E-2</v>
      </c>
      <c r="P46" s="1397" t="s">
        <v>17</v>
      </c>
      <c r="Q46" s="1398" t="s">
        <v>17</v>
      </c>
      <c r="R46" s="1397" t="s">
        <v>17</v>
      </c>
      <c r="S46" s="1398" t="s">
        <v>17</v>
      </c>
    </row>
    <row r="47" spans="1:19" ht="16.5" customHeight="1">
      <c r="A47" s="3384" t="str">
        <f>'2-E-Co'!A53</f>
        <v>GEN5</v>
      </c>
      <c r="B47" s="3065">
        <f>'2-E-Co'!B53</f>
        <v>7.6014109347442673</v>
      </c>
      <c r="C47" s="3064">
        <f>'2-E-Co'!C53</f>
        <v>0.38007054673721336</v>
      </c>
      <c r="D47" s="3065">
        <f>'2-E-Co'!D53</f>
        <v>12.770370370370369</v>
      </c>
      <c r="E47" s="3064">
        <f>'2-E-Co'!E53</f>
        <v>0.63851851851851849</v>
      </c>
      <c r="F47" s="3065">
        <f>'2-E-Co'!F53</f>
        <v>4.887584801621446</v>
      </c>
      <c r="G47" s="3064">
        <f>'2-E-Co'!G53</f>
        <v>0.24437924008107231</v>
      </c>
      <c r="H47" s="3065">
        <f>'2-E-Co'!H53</f>
        <v>5.268486050420168E-2</v>
      </c>
      <c r="I47" s="3064">
        <f>'2-E-Co'!I53</f>
        <v>2.6342430252100841E-3</v>
      </c>
      <c r="J47" s="3065">
        <f>'2-E-Co'!J53</f>
        <v>0.21023717968</v>
      </c>
      <c r="K47" s="3064">
        <f>'2-E-Co'!K53</f>
        <v>1.0511858984E-2</v>
      </c>
      <c r="L47" s="3065">
        <f>'2-E-Co'!L53</f>
        <v>0.21023717968</v>
      </c>
      <c r="M47" s="3064">
        <f>'2-E-Co'!M53</f>
        <v>1.0511858984E-2</v>
      </c>
      <c r="N47" s="3065">
        <f>'2-E-Co'!N53</f>
        <v>0.21023717968</v>
      </c>
      <c r="O47" s="3064">
        <f>'2-E-Co'!O53</f>
        <v>1.0511858984E-2</v>
      </c>
      <c r="P47" s="3066" t="s">
        <v>17</v>
      </c>
      <c r="Q47" s="3067" t="s">
        <v>17</v>
      </c>
      <c r="R47" s="3066" t="s">
        <v>17</v>
      </c>
      <c r="S47" s="3067" t="s">
        <v>17</v>
      </c>
    </row>
    <row r="48" spans="1:19" ht="16.5" customHeight="1">
      <c r="A48" s="2913" t="str">
        <f>'2-E-Co'!A54</f>
        <v>GEN6</v>
      </c>
      <c r="B48" s="2914">
        <f>'2-E-Co'!B54</f>
        <v>7.6014109347442673</v>
      </c>
      <c r="C48" s="2915">
        <f>'2-E-Co'!C54</f>
        <v>0.38007054673721336</v>
      </c>
      <c r="D48" s="2914">
        <f>'2-E-Co'!D54</f>
        <v>12.770370370370369</v>
      </c>
      <c r="E48" s="2915">
        <f>'2-E-Co'!E54</f>
        <v>0.63851851851851849</v>
      </c>
      <c r="F48" s="2914">
        <f>'2-E-Co'!F54</f>
        <v>4.887584801621446</v>
      </c>
      <c r="G48" s="2915">
        <f>'2-E-Co'!G54</f>
        <v>0.24437924008107231</v>
      </c>
      <c r="H48" s="2914">
        <f>'2-E-Co'!H54</f>
        <v>5.268486050420168E-2</v>
      </c>
      <c r="I48" s="2915">
        <f>'2-E-Co'!I54</f>
        <v>2.6342430252100841E-3</v>
      </c>
      <c r="J48" s="2914">
        <f>'2-E-Co'!J54</f>
        <v>0.21023717968</v>
      </c>
      <c r="K48" s="2915">
        <f>'2-E-Co'!K54</f>
        <v>1.0511858984E-2</v>
      </c>
      <c r="L48" s="2914">
        <f>'2-E-Co'!L54</f>
        <v>0.21023717968</v>
      </c>
      <c r="M48" s="2915">
        <f>'2-E-Co'!M54</f>
        <v>1.0511858984E-2</v>
      </c>
      <c r="N48" s="2914">
        <f>'2-E-Co'!N54</f>
        <v>0.21023717968</v>
      </c>
      <c r="O48" s="2915">
        <f>'2-E-Co'!O54</f>
        <v>1.0511858984E-2</v>
      </c>
      <c r="P48" s="2914" t="s">
        <v>17</v>
      </c>
      <c r="Q48" s="2915" t="s">
        <v>17</v>
      </c>
      <c r="R48" s="2914" t="s">
        <v>17</v>
      </c>
      <c r="S48" s="2915" t="s">
        <v>17</v>
      </c>
    </row>
    <row r="49" spans="1:19" ht="16.5" customHeight="1">
      <c r="A49" s="3385" t="str">
        <f>'2-E-Co'!A55</f>
        <v>GEN7</v>
      </c>
      <c r="B49" s="3043">
        <f>'2-E-Co'!B55</f>
        <v>7.6014109347442673</v>
      </c>
      <c r="C49" s="3044">
        <f>'2-E-Co'!C55</f>
        <v>0.38007054673721336</v>
      </c>
      <c r="D49" s="3043">
        <f>'2-E-Co'!D55</f>
        <v>12.770370370370369</v>
      </c>
      <c r="E49" s="3044">
        <f>'2-E-Co'!E55</f>
        <v>0.63851851851851849</v>
      </c>
      <c r="F49" s="3043">
        <f>'2-E-Co'!F55</f>
        <v>4.887584801621446</v>
      </c>
      <c r="G49" s="3044">
        <f>'2-E-Co'!G55</f>
        <v>0.24437924008107231</v>
      </c>
      <c r="H49" s="3043">
        <f>'2-E-Co'!H55</f>
        <v>5.268486050420168E-2</v>
      </c>
      <c r="I49" s="3044">
        <f>'2-E-Co'!I55</f>
        <v>2.6342430252100841E-3</v>
      </c>
      <c r="J49" s="3043">
        <f>'2-E-Co'!J55</f>
        <v>0.21023717968</v>
      </c>
      <c r="K49" s="3044">
        <f>'2-E-Co'!K55</f>
        <v>1.0511858984E-2</v>
      </c>
      <c r="L49" s="3043">
        <f>'2-E-Co'!L55</f>
        <v>0.21023717968</v>
      </c>
      <c r="M49" s="3044">
        <f>'2-E-Co'!M55</f>
        <v>1.0511858984E-2</v>
      </c>
      <c r="N49" s="3043">
        <f>'2-E-Co'!N55</f>
        <v>0.21023717968</v>
      </c>
      <c r="O49" s="3044">
        <f>'2-E-Co'!O55</f>
        <v>1.0511858984E-2</v>
      </c>
      <c r="P49" s="3045" t="s">
        <v>17</v>
      </c>
      <c r="Q49" s="3046" t="s">
        <v>17</v>
      </c>
      <c r="R49" s="3045" t="s">
        <v>17</v>
      </c>
      <c r="S49" s="3046" t="s">
        <v>17</v>
      </c>
    </row>
    <row r="50" spans="1:19" ht="16.5" customHeight="1" thickBot="1">
      <c r="A50" s="3386" t="str">
        <f>'2-E-Co'!A56</f>
        <v>GEN8</v>
      </c>
      <c r="B50" s="3387">
        <f>'2-E-Co'!B56</f>
        <v>7.6014109347442673</v>
      </c>
      <c r="C50" s="3388">
        <f>'2-E-Co'!C56</f>
        <v>0.38007054673721336</v>
      </c>
      <c r="D50" s="3387">
        <f>'2-E-Co'!D56</f>
        <v>12.770370370370369</v>
      </c>
      <c r="E50" s="3388">
        <f>'2-E-Co'!E56</f>
        <v>0.63851851851851849</v>
      </c>
      <c r="F50" s="3387">
        <f>'2-E-Co'!F56</f>
        <v>4.887584801621446</v>
      </c>
      <c r="G50" s="3388">
        <f>'2-E-Co'!G56</f>
        <v>0.24437924008107231</v>
      </c>
      <c r="H50" s="3387">
        <f>'2-E-Co'!H56</f>
        <v>5.268486050420168E-2</v>
      </c>
      <c r="I50" s="3388">
        <f>'2-E-Co'!I56</f>
        <v>2.6342430252100841E-3</v>
      </c>
      <c r="J50" s="3387">
        <f>'2-E-Co'!J56</f>
        <v>0.21023717968</v>
      </c>
      <c r="K50" s="3388">
        <f>'2-E-Co'!K56</f>
        <v>1.0511858984E-2</v>
      </c>
      <c r="L50" s="3387">
        <f>'2-E-Co'!L56</f>
        <v>0.21023717968</v>
      </c>
      <c r="M50" s="3388">
        <f>'2-E-Co'!M56</f>
        <v>1.0511858984E-2</v>
      </c>
      <c r="N50" s="3387">
        <f>'2-E-Co'!N56</f>
        <v>0.21023717968</v>
      </c>
      <c r="O50" s="3388">
        <f>'2-E-Co'!O56</f>
        <v>1.0511858984E-2</v>
      </c>
      <c r="P50" s="3387" t="s">
        <v>17</v>
      </c>
      <c r="Q50" s="3388" t="s">
        <v>17</v>
      </c>
      <c r="R50" s="3387" t="s">
        <v>17</v>
      </c>
      <c r="S50" s="3388" t="s">
        <v>17</v>
      </c>
    </row>
    <row r="51" spans="1:19" ht="13.5" thickBot="1">
      <c r="A51" s="105" t="s">
        <v>50</v>
      </c>
      <c r="B51" s="260">
        <f>SUM(B5:B50)</f>
        <v>273.00832347795415</v>
      </c>
      <c r="C51" s="261">
        <f>SUM(C5:C50)</f>
        <v>932.46358205389788</v>
      </c>
      <c r="D51" s="260">
        <f t="shared" ref="D51:O51" si="3">SUM(D5:D50)</f>
        <v>246.59036696296286</v>
      </c>
      <c r="E51" s="261">
        <f t="shared" si="3"/>
        <v>637.70017766814783</v>
      </c>
      <c r="F51" s="260">
        <f t="shared" si="3"/>
        <v>837.43592824574648</v>
      </c>
      <c r="G51" s="261">
        <f t="shared" si="3"/>
        <v>3281.1705922172905</v>
      </c>
      <c r="H51" s="260">
        <f t="shared" si="3"/>
        <v>9.5067211377661263</v>
      </c>
      <c r="I51" s="261">
        <f t="shared" si="3"/>
        <v>39.814435015550089</v>
      </c>
      <c r="J51" s="260">
        <f t="shared" si="3"/>
        <v>43.078575886071164</v>
      </c>
      <c r="K51" s="261">
        <f t="shared" si="3"/>
        <v>178.15703130610319</v>
      </c>
      <c r="L51" s="260">
        <f t="shared" si="3"/>
        <v>41.025209772444228</v>
      </c>
      <c r="M51" s="261">
        <f t="shared" si="3"/>
        <v>171.58089529350943</v>
      </c>
      <c r="N51" s="260">
        <f t="shared" si="3"/>
        <v>40.393118082705129</v>
      </c>
      <c r="O51" s="261">
        <f t="shared" si="3"/>
        <v>169.55655053756507</v>
      </c>
      <c r="P51" s="262" t="s">
        <v>17</v>
      </c>
      <c r="Q51" s="263" t="s">
        <v>17</v>
      </c>
      <c r="R51" s="262" t="s">
        <v>17</v>
      </c>
      <c r="S51" s="264" t="s">
        <v>17</v>
      </c>
    </row>
    <row r="52" spans="1:19" ht="26.15" customHeight="1">
      <c r="A52" s="4043" t="s">
        <v>1253</v>
      </c>
      <c r="B52" s="4044"/>
      <c r="C52" s="4044"/>
      <c r="D52" s="4044"/>
      <c r="E52" s="4044"/>
      <c r="F52" s="4044"/>
      <c r="G52" s="4044"/>
      <c r="H52" s="4044"/>
      <c r="I52" s="4044"/>
      <c r="J52" s="4044"/>
      <c r="K52" s="4044"/>
      <c r="L52" s="4044"/>
      <c r="M52" s="4044"/>
      <c r="N52" s="4044"/>
      <c r="O52" s="4044"/>
      <c r="P52" s="4044"/>
      <c r="Q52" s="4044"/>
      <c r="R52" s="4044"/>
      <c r="S52" s="4045"/>
    </row>
    <row r="53" spans="1:19">
      <c r="A53" s="101"/>
      <c r="B53" s="101"/>
      <c r="C53" s="101"/>
      <c r="D53" s="101"/>
      <c r="E53" s="101"/>
      <c r="F53" s="101"/>
      <c r="G53" s="101"/>
      <c r="H53" s="101"/>
      <c r="I53" s="101"/>
      <c r="J53" s="101"/>
      <c r="K53" s="101"/>
      <c r="L53" s="101"/>
      <c r="M53" s="101"/>
      <c r="N53" s="101"/>
      <c r="O53" s="101"/>
      <c r="P53" s="101"/>
      <c r="Q53" s="101"/>
      <c r="R53" s="101"/>
      <c r="S53" s="101"/>
    </row>
    <row r="54" spans="1:19" ht="13.25" customHeight="1">
      <c r="A54" s="4033"/>
      <c r="B54" s="4033"/>
      <c r="C54" s="4033"/>
      <c r="D54" s="4033"/>
      <c r="E54" s="4033"/>
      <c r="F54" s="4033"/>
      <c r="G54" s="4033"/>
      <c r="H54" s="4033"/>
      <c r="I54" s="4033"/>
      <c r="J54" s="4033"/>
      <c r="K54" s="4033"/>
      <c r="L54" s="4033"/>
      <c r="M54" s="4033"/>
      <c r="N54" s="4033"/>
      <c r="O54" s="4033"/>
      <c r="P54" s="4033"/>
      <c r="Q54" s="4033"/>
      <c r="R54" s="4033"/>
      <c r="S54" s="4033"/>
    </row>
  </sheetData>
  <mergeCells count="21">
    <mergeCell ref="A1:S1"/>
    <mergeCell ref="A2:S2"/>
    <mergeCell ref="A3:A4"/>
    <mergeCell ref="B3:C3"/>
    <mergeCell ref="D3:E3"/>
    <mergeCell ref="F3:G3"/>
    <mergeCell ref="H3:I3"/>
    <mergeCell ref="J3:K3"/>
    <mergeCell ref="L3:M3"/>
    <mergeCell ref="N3:O3"/>
    <mergeCell ref="A54:S54"/>
    <mergeCell ref="B10:S10"/>
    <mergeCell ref="B11:S11"/>
    <mergeCell ref="B12:S12"/>
    <mergeCell ref="P3:Q3"/>
    <mergeCell ref="R3:S3"/>
    <mergeCell ref="A52:S52"/>
    <mergeCell ref="B23:S23"/>
    <mergeCell ref="B24:S24"/>
    <mergeCell ref="B25:S25"/>
    <mergeCell ref="B26:S26"/>
  </mergeCells>
  <conditionalFormatting sqref="B51">
    <cfRule type="expression" dxfId="22" priority="5" stopIfTrue="1">
      <formula>"if B35 &gt; 10"</formula>
    </cfRule>
  </conditionalFormatting>
  <conditionalFormatting sqref="D51 F51 H51 J51 L51 N51">
    <cfRule type="expression" dxfId="21" priority="1" stopIfTrue="1">
      <formula>"if B35 &gt; 10"</formula>
    </cfRule>
  </conditionalFormatting>
  <printOptions horizontalCentered="1" verticalCentered="1"/>
  <pageMargins left="0.7" right="0.7" top="0.75" bottom="0.75" header="0.3" footer="0.3"/>
  <pageSetup scale="86"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6/14/2019&amp;C&amp;8Table 2-D:  Page &amp;P&amp;R&amp;8Printed &amp;D &amp;T</oddFooter>
  </headerFooter>
  <rowBreaks count="1" manualBreakCount="1">
    <brk id="30"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theme="1"/>
  </sheetPr>
  <dimension ref="A1:U63"/>
  <sheetViews>
    <sheetView view="pageBreakPreview" topLeftCell="A55" zoomScale="85" zoomScaleNormal="115" zoomScaleSheetLayoutView="85" zoomScalePageLayoutView="85" workbookViewId="0">
      <selection activeCell="E19" sqref="E19:R20"/>
    </sheetView>
  </sheetViews>
  <sheetFormatPr defaultColWidth="8.6328125" defaultRowHeight="13"/>
  <cols>
    <col min="1" max="1" width="10" style="78" customWidth="1"/>
    <col min="2" max="19" width="7.36328125" style="78" customWidth="1"/>
    <col min="20" max="29" width="7.453125" style="78" customWidth="1"/>
    <col min="30" max="16384" width="8.6328125" style="78"/>
  </cols>
  <sheetData>
    <row r="1" spans="1:21" ht="18" customHeight="1">
      <c r="A1" s="4046" t="s">
        <v>1485</v>
      </c>
      <c r="B1" s="4047"/>
      <c r="C1" s="4047"/>
      <c r="D1" s="4047"/>
      <c r="E1" s="4047"/>
      <c r="F1" s="4047"/>
      <c r="G1" s="4047"/>
      <c r="H1" s="4047"/>
      <c r="I1" s="4047"/>
      <c r="J1" s="4047"/>
      <c r="K1" s="4047"/>
      <c r="L1" s="4047"/>
      <c r="M1" s="4047"/>
      <c r="N1" s="4047"/>
      <c r="O1" s="4047"/>
      <c r="P1" s="4047"/>
      <c r="Q1" s="4047"/>
      <c r="R1" s="4047"/>
      <c r="S1" s="4047"/>
      <c r="T1" s="77"/>
      <c r="U1" s="77"/>
    </row>
    <row r="2" spans="1:21" ht="57.65" customHeight="1" thickBot="1">
      <c r="A2" s="4048" t="s">
        <v>1252</v>
      </c>
      <c r="B2" s="4049"/>
      <c r="C2" s="4049"/>
      <c r="D2" s="4049"/>
      <c r="E2" s="4049"/>
      <c r="F2" s="4049"/>
      <c r="G2" s="4049"/>
      <c r="H2" s="4049"/>
      <c r="I2" s="4049"/>
      <c r="J2" s="4049"/>
      <c r="K2" s="4049"/>
      <c r="L2" s="4049"/>
      <c r="M2" s="4049"/>
      <c r="N2" s="4049"/>
      <c r="O2" s="4049"/>
      <c r="P2" s="4049"/>
      <c r="Q2" s="4049"/>
      <c r="R2" s="4049"/>
      <c r="S2" s="4049"/>
    </row>
    <row r="3" spans="1:21" ht="13.5" customHeight="1">
      <c r="A3" s="4050" t="s">
        <v>148</v>
      </c>
      <c r="B3" s="4040" t="s">
        <v>21</v>
      </c>
      <c r="C3" s="4041"/>
      <c r="D3" s="4040" t="s">
        <v>0</v>
      </c>
      <c r="E3" s="4041"/>
      <c r="F3" s="4042" t="s">
        <v>149</v>
      </c>
      <c r="G3" s="4052"/>
      <c r="H3" s="4040" t="s">
        <v>150</v>
      </c>
      <c r="I3" s="4041"/>
      <c r="J3" s="4042" t="s">
        <v>1258</v>
      </c>
      <c r="K3" s="4052"/>
      <c r="L3" s="4040" t="s">
        <v>151</v>
      </c>
      <c r="M3" s="4041"/>
      <c r="N3" s="4042" t="s">
        <v>152</v>
      </c>
      <c r="O3" s="4052"/>
      <c r="P3" s="4040" t="s">
        <v>153</v>
      </c>
      <c r="Q3" s="4041"/>
      <c r="R3" s="4042" t="s">
        <v>154</v>
      </c>
      <c r="S3" s="4041"/>
    </row>
    <row r="4" spans="1:21" ht="14.25" customHeight="1">
      <c r="A4" s="4051"/>
      <c r="B4" s="79" t="s">
        <v>22</v>
      </c>
      <c r="C4" s="80" t="s">
        <v>155</v>
      </c>
      <c r="D4" s="79" t="s">
        <v>22</v>
      </c>
      <c r="E4" s="80" t="s">
        <v>155</v>
      </c>
      <c r="F4" s="81" t="s">
        <v>22</v>
      </c>
      <c r="G4" s="82" t="s">
        <v>155</v>
      </c>
      <c r="H4" s="79" t="s">
        <v>22</v>
      </c>
      <c r="I4" s="80" t="s">
        <v>155</v>
      </c>
      <c r="J4" s="81" t="s">
        <v>22</v>
      </c>
      <c r="K4" s="82" t="s">
        <v>155</v>
      </c>
      <c r="L4" s="79" t="s">
        <v>22</v>
      </c>
      <c r="M4" s="80" t="s">
        <v>155</v>
      </c>
      <c r="N4" s="81" t="s">
        <v>22</v>
      </c>
      <c r="O4" s="82" t="s">
        <v>155</v>
      </c>
      <c r="P4" s="83" t="s">
        <v>22</v>
      </c>
      <c r="Q4" s="84" t="s">
        <v>155</v>
      </c>
      <c r="R4" s="81" t="s">
        <v>22</v>
      </c>
      <c r="S4" s="80" t="s">
        <v>155</v>
      </c>
    </row>
    <row r="5" spans="1:21" ht="15.75" customHeight="1">
      <c r="A5" s="356" t="str">
        <f>'2-E-NoCo'!A5</f>
        <v>SHTR1</v>
      </c>
      <c r="B5" s="284">
        <f>'2-E-NoCo'!B5</f>
        <v>1.730961</v>
      </c>
      <c r="C5" s="285">
        <f>'2-E-NoCo'!C5</f>
        <v>7.5816091799999992</v>
      </c>
      <c r="D5" s="284">
        <f>'2-E-NoCo'!D5</f>
        <v>1.0567289999999998</v>
      </c>
      <c r="E5" s="285">
        <f>'2-E-NoCo'!E5</f>
        <v>4.6284730199999995</v>
      </c>
      <c r="F5" s="284">
        <f>'2-E-NoCo'!F5</f>
        <v>0.414912</v>
      </c>
      <c r="G5" s="285">
        <f>'2-E-NoCo'!G5</f>
        <v>1.81731456</v>
      </c>
      <c r="H5" s="284">
        <f>'2-E-NoCo'!H5</f>
        <v>0.14300735294117647</v>
      </c>
      <c r="I5" s="285">
        <f>'2-E-NoCo'!I5</f>
        <v>0.62637220588235298</v>
      </c>
      <c r="J5" s="284">
        <f>'2-E-NoCo'!J5</f>
        <v>0.48304705882352933</v>
      </c>
      <c r="K5" s="285">
        <f>'2-E-NoCo'!K5</f>
        <v>2.1157461176470584</v>
      </c>
      <c r="L5" s="284">
        <f>'2-E-NoCo'!L5</f>
        <v>0.48304705882352933</v>
      </c>
      <c r="M5" s="285">
        <f>'2-E-NoCo'!M5</f>
        <v>2.1157461176470584</v>
      </c>
      <c r="N5" s="284">
        <f>'2-E-NoCo'!N5</f>
        <v>0.48304705882352933</v>
      </c>
      <c r="O5" s="285">
        <f>'2-E-NoCo'!O5</f>
        <v>2.1157461176470584</v>
      </c>
      <c r="P5" s="292" t="s">
        <v>17</v>
      </c>
      <c r="Q5" s="293" t="s">
        <v>17</v>
      </c>
      <c r="R5" s="294" t="s">
        <v>17</v>
      </c>
      <c r="S5" s="293" t="s">
        <v>17</v>
      </c>
    </row>
    <row r="6" spans="1:21" ht="15.75" customHeight="1">
      <c r="A6" s="256" t="str">
        <f>'2-E-NoCo'!A6</f>
        <v>SHTR2</v>
      </c>
      <c r="B6" s="95">
        <f>'2-E-NoCo'!B6</f>
        <v>1.730961</v>
      </c>
      <c r="C6" s="96">
        <f>'2-E-NoCo'!C6</f>
        <v>7.5816091799999992</v>
      </c>
      <c r="D6" s="95">
        <f>'2-E-NoCo'!D6</f>
        <v>1.0567289999999998</v>
      </c>
      <c r="E6" s="96">
        <f>'2-E-NoCo'!E6</f>
        <v>4.6284730199999995</v>
      </c>
      <c r="F6" s="95">
        <f>'2-E-NoCo'!F6</f>
        <v>0.414912</v>
      </c>
      <c r="G6" s="96">
        <f>'2-E-NoCo'!G6</f>
        <v>1.81731456</v>
      </c>
      <c r="H6" s="95">
        <f>'2-E-NoCo'!H6</f>
        <v>0.14300735294117647</v>
      </c>
      <c r="I6" s="96">
        <f>'2-E-NoCo'!I6</f>
        <v>0.62637220588235298</v>
      </c>
      <c r="J6" s="95">
        <f>'2-E-NoCo'!J6</f>
        <v>0.48304705882352933</v>
      </c>
      <c r="K6" s="96">
        <f>'2-E-NoCo'!K6</f>
        <v>2.1157461176470584</v>
      </c>
      <c r="L6" s="95">
        <f>'2-E-NoCo'!L6</f>
        <v>0.48304705882352933</v>
      </c>
      <c r="M6" s="96">
        <f>'2-E-NoCo'!M6</f>
        <v>2.1157461176470584</v>
      </c>
      <c r="N6" s="95">
        <f>'2-E-NoCo'!N6</f>
        <v>0.48304705882352933</v>
      </c>
      <c r="O6" s="96">
        <f>'2-E-NoCo'!O6</f>
        <v>2.1157461176470584</v>
      </c>
      <c r="P6" s="91" t="s">
        <v>17</v>
      </c>
      <c r="Q6" s="92" t="s">
        <v>17</v>
      </c>
      <c r="R6" s="89" t="s">
        <v>17</v>
      </c>
      <c r="S6" s="92" t="s">
        <v>17</v>
      </c>
    </row>
    <row r="7" spans="1:21" ht="15.75" customHeight="1">
      <c r="A7" s="356" t="str">
        <f>'2-E-NoCo'!A7</f>
        <v>SHTR3</v>
      </c>
      <c r="B7" s="284">
        <f>'2-E-NoCo'!B7</f>
        <v>1.730961</v>
      </c>
      <c r="C7" s="285">
        <f>'2-E-NoCo'!C7</f>
        <v>7.5816091799999992</v>
      </c>
      <c r="D7" s="284">
        <f>'2-E-NoCo'!D7</f>
        <v>1.0567289999999998</v>
      </c>
      <c r="E7" s="285">
        <f>'2-E-NoCo'!E7</f>
        <v>4.6284730199999995</v>
      </c>
      <c r="F7" s="284">
        <f>'2-E-NoCo'!F7</f>
        <v>0.414912</v>
      </c>
      <c r="G7" s="285">
        <f>'2-E-NoCo'!G7</f>
        <v>1.81731456</v>
      </c>
      <c r="H7" s="284">
        <f>'2-E-NoCo'!H7</f>
        <v>0.14300735294117647</v>
      </c>
      <c r="I7" s="285">
        <f>'2-E-NoCo'!I7</f>
        <v>0.62637220588235298</v>
      </c>
      <c r="J7" s="284">
        <f>'2-E-NoCo'!J7</f>
        <v>0.48304705882352933</v>
      </c>
      <c r="K7" s="285">
        <f>'2-E-NoCo'!K7</f>
        <v>2.1157461176470584</v>
      </c>
      <c r="L7" s="284">
        <f>'2-E-NoCo'!L7</f>
        <v>0.48304705882352933</v>
      </c>
      <c r="M7" s="285">
        <f>'2-E-NoCo'!M7</f>
        <v>2.1157461176470584</v>
      </c>
      <c r="N7" s="284">
        <f>'2-E-NoCo'!N7</f>
        <v>0.48304705882352933</v>
      </c>
      <c r="O7" s="285">
        <f>'2-E-NoCo'!O7</f>
        <v>2.1157461176470584</v>
      </c>
      <c r="P7" s="292" t="s">
        <v>17</v>
      </c>
      <c r="Q7" s="293" t="s">
        <v>17</v>
      </c>
      <c r="R7" s="294" t="s">
        <v>17</v>
      </c>
      <c r="S7" s="293" t="s">
        <v>17</v>
      </c>
    </row>
    <row r="8" spans="1:21" ht="15.75" customHeight="1">
      <c r="A8" s="256" t="str">
        <f>'2-E-NoCo'!A8</f>
        <v>SHTR4</v>
      </c>
      <c r="B8" s="95">
        <f>'2-E-NoCo'!B8</f>
        <v>1.730961</v>
      </c>
      <c r="C8" s="96">
        <f>'2-E-NoCo'!C8</f>
        <v>7.5816091799999992</v>
      </c>
      <c r="D8" s="95">
        <f>'2-E-NoCo'!D8</f>
        <v>1.0567289999999998</v>
      </c>
      <c r="E8" s="96">
        <f>'2-E-NoCo'!E8</f>
        <v>4.6284730199999995</v>
      </c>
      <c r="F8" s="95">
        <f>'2-E-NoCo'!F8</f>
        <v>0.414912</v>
      </c>
      <c r="G8" s="96">
        <f>'2-E-NoCo'!G8</f>
        <v>1.81731456</v>
      </c>
      <c r="H8" s="95">
        <f>'2-E-NoCo'!H8</f>
        <v>0.14300735294117647</v>
      </c>
      <c r="I8" s="96">
        <f>'2-E-NoCo'!I8</f>
        <v>0.62637220588235298</v>
      </c>
      <c r="J8" s="95">
        <f>'2-E-NoCo'!J8</f>
        <v>0.48304705882352933</v>
      </c>
      <c r="K8" s="96">
        <f>'2-E-NoCo'!K8</f>
        <v>2.1157461176470584</v>
      </c>
      <c r="L8" s="95">
        <f>'2-E-NoCo'!L8</f>
        <v>0.48304705882352933</v>
      </c>
      <c r="M8" s="96">
        <f>'2-E-NoCo'!M8</f>
        <v>2.1157461176470584</v>
      </c>
      <c r="N8" s="95">
        <f>'2-E-NoCo'!N8</f>
        <v>0.48304705882352933</v>
      </c>
      <c r="O8" s="96">
        <f>'2-E-NoCo'!O8</f>
        <v>2.1157461176470584</v>
      </c>
      <c r="P8" s="91" t="s">
        <v>17</v>
      </c>
      <c r="Q8" s="92" t="s">
        <v>17</v>
      </c>
      <c r="R8" s="89" t="s">
        <v>17</v>
      </c>
      <c r="S8" s="92" t="s">
        <v>17</v>
      </c>
    </row>
    <row r="9" spans="1:21" ht="15.75" customHeight="1">
      <c r="A9" s="356" t="str">
        <f>'2-E-NoCo'!A9</f>
        <v>SHTR5</v>
      </c>
      <c r="B9" s="284">
        <f>'2-E-NoCo'!B9</f>
        <v>1.730961</v>
      </c>
      <c r="C9" s="285">
        <f>'2-E-NoCo'!C9</f>
        <v>7.5816091799999992</v>
      </c>
      <c r="D9" s="284">
        <f>'2-E-NoCo'!D9</f>
        <v>1.0567289999999998</v>
      </c>
      <c r="E9" s="285">
        <f>'2-E-NoCo'!E9</f>
        <v>4.6284730199999995</v>
      </c>
      <c r="F9" s="284">
        <f>'2-E-NoCo'!F9</f>
        <v>0.414912</v>
      </c>
      <c r="G9" s="285">
        <f>'2-E-NoCo'!G9</f>
        <v>1.81731456</v>
      </c>
      <c r="H9" s="284">
        <f>'2-E-NoCo'!H9</f>
        <v>0.14300735294117647</v>
      </c>
      <c r="I9" s="285">
        <f>'2-E-NoCo'!I9</f>
        <v>0.62637220588235298</v>
      </c>
      <c r="J9" s="284">
        <f>'2-E-NoCo'!J9</f>
        <v>0.48304705882352933</v>
      </c>
      <c r="K9" s="285">
        <f>'2-E-NoCo'!K9</f>
        <v>2.1157461176470584</v>
      </c>
      <c r="L9" s="284">
        <f>'2-E-NoCo'!L9</f>
        <v>0.48304705882352933</v>
      </c>
      <c r="M9" s="285">
        <f>'2-E-NoCo'!M9</f>
        <v>2.1157461176470584</v>
      </c>
      <c r="N9" s="284">
        <f>'2-E-NoCo'!N9</f>
        <v>0.48304705882352933</v>
      </c>
      <c r="O9" s="285">
        <f>'2-E-NoCo'!O9</f>
        <v>2.1157461176470584</v>
      </c>
      <c r="P9" s="292" t="s">
        <v>17</v>
      </c>
      <c r="Q9" s="293" t="s">
        <v>17</v>
      </c>
      <c r="R9" s="294" t="s">
        <v>17</v>
      </c>
      <c r="S9" s="293" t="s">
        <v>17</v>
      </c>
    </row>
    <row r="10" spans="1:21" ht="15.75" customHeight="1">
      <c r="A10" s="256" t="str">
        <f>'2-E-NoCo'!A10</f>
        <v>SHTR6</v>
      </c>
      <c r="B10" s="95">
        <f>'2-E-NoCo'!B10</f>
        <v>1.730961</v>
      </c>
      <c r="C10" s="96">
        <f>'2-E-NoCo'!C10</f>
        <v>7.5816091799999992</v>
      </c>
      <c r="D10" s="95">
        <f>'2-E-NoCo'!D10</f>
        <v>1.0567289999999998</v>
      </c>
      <c r="E10" s="96">
        <f>'2-E-NoCo'!E10</f>
        <v>4.6284730199999995</v>
      </c>
      <c r="F10" s="95">
        <f>'2-E-NoCo'!F10</f>
        <v>0.414912</v>
      </c>
      <c r="G10" s="96">
        <f>'2-E-NoCo'!G10</f>
        <v>1.81731456</v>
      </c>
      <c r="H10" s="95">
        <f>'2-E-NoCo'!H10</f>
        <v>0.14300735294117647</v>
      </c>
      <c r="I10" s="96">
        <f>'2-E-NoCo'!I10</f>
        <v>0.62637220588235298</v>
      </c>
      <c r="J10" s="95">
        <f>'2-E-NoCo'!J10</f>
        <v>0.48304705882352933</v>
      </c>
      <c r="K10" s="96">
        <f>'2-E-NoCo'!K10</f>
        <v>2.1157461176470584</v>
      </c>
      <c r="L10" s="95">
        <f>'2-E-NoCo'!L10</f>
        <v>0.48304705882352933</v>
      </c>
      <c r="M10" s="96">
        <f>'2-E-NoCo'!M10</f>
        <v>2.1157461176470584</v>
      </c>
      <c r="N10" s="95">
        <f>'2-E-NoCo'!N10</f>
        <v>0.48304705882352933</v>
      </c>
      <c r="O10" s="96">
        <f>'2-E-NoCo'!O10</f>
        <v>2.1157461176470584</v>
      </c>
      <c r="P10" s="91" t="s">
        <v>17</v>
      </c>
      <c r="Q10" s="92" t="s">
        <v>17</v>
      </c>
      <c r="R10" s="89" t="s">
        <v>17</v>
      </c>
      <c r="S10" s="92" t="s">
        <v>17</v>
      </c>
    </row>
    <row r="11" spans="1:21" ht="15.75" customHeight="1">
      <c r="A11" s="356" t="str">
        <f>'2-E-NoCo'!A11</f>
        <v>SHTR7</v>
      </c>
      <c r="B11" s="284">
        <f>'2-E-NoCo'!B11</f>
        <v>1.730961</v>
      </c>
      <c r="C11" s="285">
        <f>'2-E-NoCo'!C11</f>
        <v>7.5816091799999992</v>
      </c>
      <c r="D11" s="284">
        <f>'2-E-NoCo'!D11</f>
        <v>1.0567289999999998</v>
      </c>
      <c r="E11" s="285">
        <f>'2-E-NoCo'!E11</f>
        <v>4.6284730199999995</v>
      </c>
      <c r="F11" s="284">
        <f>'2-E-NoCo'!F11</f>
        <v>0.414912</v>
      </c>
      <c r="G11" s="285">
        <f>'2-E-NoCo'!G11</f>
        <v>1.81731456</v>
      </c>
      <c r="H11" s="284">
        <f>'2-E-NoCo'!H11</f>
        <v>0.14300735294117647</v>
      </c>
      <c r="I11" s="285">
        <f>'2-E-NoCo'!I11</f>
        <v>0.62637220588235298</v>
      </c>
      <c r="J11" s="284">
        <f>'2-E-NoCo'!J11</f>
        <v>0.48304705882352933</v>
      </c>
      <c r="K11" s="285">
        <f>'2-E-NoCo'!K11</f>
        <v>2.1157461176470584</v>
      </c>
      <c r="L11" s="284">
        <f>'2-E-NoCo'!L11</f>
        <v>0.48304705882352933</v>
      </c>
      <c r="M11" s="285">
        <f>'2-E-NoCo'!M11</f>
        <v>2.1157461176470584</v>
      </c>
      <c r="N11" s="284">
        <f>'2-E-NoCo'!N11</f>
        <v>0.48304705882352933</v>
      </c>
      <c r="O11" s="285">
        <f>'2-E-NoCo'!O11</f>
        <v>2.1157461176470584</v>
      </c>
      <c r="P11" s="292" t="s">
        <v>17</v>
      </c>
      <c r="Q11" s="293" t="s">
        <v>17</v>
      </c>
      <c r="R11" s="294" t="s">
        <v>17</v>
      </c>
      <c r="S11" s="293" t="s">
        <v>17</v>
      </c>
    </row>
    <row r="12" spans="1:21" ht="15.75" customHeight="1">
      <c r="A12" s="256" t="str">
        <f>'2-E-NoCo'!A12</f>
        <v>SHTR8</v>
      </c>
      <c r="B12" s="95">
        <f>'2-E-NoCo'!B12</f>
        <v>1.730961</v>
      </c>
      <c r="C12" s="96">
        <f>'2-E-NoCo'!C12</f>
        <v>7.5816091799999992</v>
      </c>
      <c r="D12" s="95">
        <f>'2-E-NoCo'!D12</f>
        <v>1.0567289999999998</v>
      </c>
      <c r="E12" s="96">
        <f>'2-E-NoCo'!E12</f>
        <v>4.6284730199999995</v>
      </c>
      <c r="F12" s="95">
        <f>'2-E-NoCo'!F12</f>
        <v>0.414912</v>
      </c>
      <c r="G12" s="96">
        <f>'2-E-NoCo'!G12</f>
        <v>1.81731456</v>
      </c>
      <c r="H12" s="95">
        <f>'2-E-NoCo'!H12</f>
        <v>0.14300735294117647</v>
      </c>
      <c r="I12" s="96">
        <f>'2-E-NoCo'!I12</f>
        <v>0.62637220588235298</v>
      </c>
      <c r="J12" s="95">
        <f>'2-E-NoCo'!J12</f>
        <v>0.48304705882352933</v>
      </c>
      <c r="K12" s="96">
        <f>'2-E-NoCo'!K12</f>
        <v>2.1157461176470584</v>
      </c>
      <c r="L12" s="95">
        <f>'2-E-NoCo'!L12</f>
        <v>0.48304705882352933</v>
      </c>
      <c r="M12" s="96">
        <f>'2-E-NoCo'!M12</f>
        <v>2.1157461176470584</v>
      </c>
      <c r="N12" s="95">
        <f>'2-E-NoCo'!N12</f>
        <v>0.48304705882352933</v>
      </c>
      <c r="O12" s="96">
        <f>'2-E-NoCo'!O12</f>
        <v>2.1157461176470584</v>
      </c>
      <c r="P12" s="91" t="s">
        <v>17</v>
      </c>
      <c r="Q12" s="92" t="s">
        <v>17</v>
      </c>
      <c r="R12" s="89" t="s">
        <v>17</v>
      </c>
      <c r="S12" s="92" t="s">
        <v>17</v>
      </c>
    </row>
    <row r="13" spans="1:21" ht="15.75" customHeight="1">
      <c r="A13" s="356" t="str">
        <f>'2-E-NoCo'!A13</f>
        <v>SHTR9</v>
      </c>
      <c r="B13" s="284">
        <f>'2-E-NoCo'!B13</f>
        <v>1.730961</v>
      </c>
      <c r="C13" s="285">
        <f>'2-E-NoCo'!C13</f>
        <v>7.5816091799999992</v>
      </c>
      <c r="D13" s="284">
        <f>'2-E-NoCo'!D13</f>
        <v>1.0567289999999998</v>
      </c>
      <c r="E13" s="285">
        <f>'2-E-NoCo'!E13</f>
        <v>4.6284730199999995</v>
      </c>
      <c r="F13" s="284">
        <f>'2-E-NoCo'!F13</f>
        <v>0.414912</v>
      </c>
      <c r="G13" s="285">
        <f>'2-E-NoCo'!G13</f>
        <v>1.81731456</v>
      </c>
      <c r="H13" s="284">
        <f>'2-E-NoCo'!H13</f>
        <v>0.14300735294117647</v>
      </c>
      <c r="I13" s="285">
        <f>'2-E-NoCo'!I13</f>
        <v>0.62637220588235298</v>
      </c>
      <c r="J13" s="284">
        <f>'2-E-NoCo'!J13</f>
        <v>0.48304705882352933</v>
      </c>
      <c r="K13" s="285">
        <f>'2-E-NoCo'!K13</f>
        <v>2.1157461176470584</v>
      </c>
      <c r="L13" s="284">
        <f>'2-E-NoCo'!L13</f>
        <v>0.48304705882352933</v>
      </c>
      <c r="M13" s="285">
        <f>'2-E-NoCo'!M13</f>
        <v>2.1157461176470584</v>
      </c>
      <c r="N13" s="284">
        <f>'2-E-NoCo'!N13</f>
        <v>0.48304705882352933</v>
      </c>
      <c r="O13" s="285">
        <f>'2-E-NoCo'!O13</f>
        <v>2.1157461176470584</v>
      </c>
      <c r="P13" s="292" t="s">
        <v>17</v>
      </c>
      <c r="Q13" s="293" t="s">
        <v>17</v>
      </c>
      <c r="R13" s="294" t="s">
        <v>17</v>
      </c>
      <c r="S13" s="293" t="s">
        <v>17</v>
      </c>
    </row>
    <row r="14" spans="1:21" ht="15.75" customHeight="1">
      <c r="A14" s="256" t="str">
        <f>'2-E-NoCo'!A14</f>
        <v>SHTR10</v>
      </c>
      <c r="B14" s="95">
        <f>'2-E-NoCo'!B14</f>
        <v>1.730961</v>
      </c>
      <c r="C14" s="96">
        <f>'2-E-NoCo'!C14</f>
        <v>7.5816091799999992</v>
      </c>
      <c r="D14" s="95">
        <f>'2-E-NoCo'!D14</f>
        <v>1.0567289999999998</v>
      </c>
      <c r="E14" s="96">
        <f>'2-E-NoCo'!E14</f>
        <v>4.6284730199999995</v>
      </c>
      <c r="F14" s="95">
        <f>'2-E-NoCo'!F14</f>
        <v>0.414912</v>
      </c>
      <c r="G14" s="96">
        <f>'2-E-NoCo'!G14</f>
        <v>1.81731456</v>
      </c>
      <c r="H14" s="95">
        <f>'2-E-NoCo'!H14</f>
        <v>0.14300735294117647</v>
      </c>
      <c r="I14" s="96">
        <f>'2-E-NoCo'!I14</f>
        <v>0.62637220588235298</v>
      </c>
      <c r="J14" s="95">
        <f>'2-E-NoCo'!J14</f>
        <v>0.48304705882352933</v>
      </c>
      <c r="K14" s="96">
        <f>'2-E-NoCo'!K14</f>
        <v>2.1157461176470584</v>
      </c>
      <c r="L14" s="95">
        <f>'2-E-NoCo'!L14</f>
        <v>0.48304705882352933</v>
      </c>
      <c r="M14" s="96">
        <f>'2-E-NoCo'!M14</f>
        <v>2.1157461176470584</v>
      </c>
      <c r="N14" s="95">
        <f>'2-E-NoCo'!N14</f>
        <v>0.48304705882352933</v>
      </c>
      <c r="O14" s="96">
        <f>'2-E-NoCo'!O14</f>
        <v>2.1157461176470584</v>
      </c>
      <c r="P14" s="91" t="s">
        <v>17</v>
      </c>
      <c r="Q14" s="92" t="s">
        <v>17</v>
      </c>
      <c r="R14" s="89" t="s">
        <v>17</v>
      </c>
      <c r="S14" s="92" t="s">
        <v>17</v>
      </c>
    </row>
    <row r="15" spans="1:21" ht="15.75" customHeight="1">
      <c r="A15" s="356" t="str">
        <f>'2-E-NoCo'!A15</f>
        <v>SHTR11</v>
      </c>
      <c r="B15" s="284">
        <f>'2-E-NoCo'!B15</f>
        <v>1.730961</v>
      </c>
      <c r="C15" s="285">
        <f>'2-E-NoCo'!C15</f>
        <v>7.5816091799999992</v>
      </c>
      <c r="D15" s="284">
        <f>'2-E-NoCo'!D15</f>
        <v>1.0567289999999998</v>
      </c>
      <c r="E15" s="285">
        <f>'2-E-NoCo'!E15</f>
        <v>4.6284730199999995</v>
      </c>
      <c r="F15" s="284">
        <f>'2-E-NoCo'!F15</f>
        <v>0.414912</v>
      </c>
      <c r="G15" s="285">
        <f>'2-E-NoCo'!G15</f>
        <v>1.81731456</v>
      </c>
      <c r="H15" s="284">
        <f>'2-E-NoCo'!H15</f>
        <v>0.14300735294117647</v>
      </c>
      <c r="I15" s="285">
        <f>'2-E-NoCo'!I15</f>
        <v>0.62637220588235298</v>
      </c>
      <c r="J15" s="284">
        <f>'2-E-NoCo'!J15</f>
        <v>0.48304705882352933</v>
      </c>
      <c r="K15" s="285">
        <f>'2-E-NoCo'!K15</f>
        <v>2.1157461176470584</v>
      </c>
      <c r="L15" s="284">
        <f>'2-E-NoCo'!L15</f>
        <v>0.48304705882352933</v>
      </c>
      <c r="M15" s="285">
        <f>'2-E-NoCo'!M15</f>
        <v>2.1157461176470584</v>
      </c>
      <c r="N15" s="284">
        <f>'2-E-NoCo'!N15</f>
        <v>0.48304705882352933</v>
      </c>
      <c r="O15" s="285">
        <f>'2-E-NoCo'!O15</f>
        <v>2.1157461176470584</v>
      </c>
      <c r="P15" s="292" t="s">
        <v>17</v>
      </c>
      <c r="Q15" s="293" t="s">
        <v>17</v>
      </c>
      <c r="R15" s="294" t="s">
        <v>17</v>
      </c>
      <c r="S15" s="293" t="s">
        <v>17</v>
      </c>
    </row>
    <row r="16" spans="1:21" ht="15.75" customHeight="1">
      <c r="A16" s="256" t="str">
        <f>'2-E-NoCo'!A16</f>
        <v>SHTR12</v>
      </c>
      <c r="B16" s="95">
        <f>'2-E-NoCo'!B16</f>
        <v>1.730961</v>
      </c>
      <c r="C16" s="96">
        <f>'2-E-NoCo'!C16</f>
        <v>7.5816091799999992</v>
      </c>
      <c r="D16" s="95">
        <f>'2-E-NoCo'!D16</f>
        <v>1.0567289999999998</v>
      </c>
      <c r="E16" s="96">
        <f>'2-E-NoCo'!E16</f>
        <v>4.6284730199999995</v>
      </c>
      <c r="F16" s="95">
        <f>'2-E-NoCo'!F16</f>
        <v>0.414912</v>
      </c>
      <c r="G16" s="96">
        <f>'2-E-NoCo'!G16</f>
        <v>1.81731456</v>
      </c>
      <c r="H16" s="95">
        <f>'2-E-NoCo'!H16</f>
        <v>0.14300735294117647</v>
      </c>
      <c r="I16" s="96">
        <f>'2-E-NoCo'!I16</f>
        <v>0.62637220588235298</v>
      </c>
      <c r="J16" s="95">
        <f>'2-E-NoCo'!J16</f>
        <v>0.48304705882352933</v>
      </c>
      <c r="K16" s="96">
        <f>'2-E-NoCo'!K16</f>
        <v>2.1157461176470584</v>
      </c>
      <c r="L16" s="95">
        <f>'2-E-NoCo'!L16</f>
        <v>0.48304705882352933</v>
      </c>
      <c r="M16" s="96">
        <f>'2-E-NoCo'!M16</f>
        <v>2.1157461176470584</v>
      </c>
      <c r="N16" s="95">
        <f>'2-E-NoCo'!N16</f>
        <v>0.48304705882352933</v>
      </c>
      <c r="O16" s="96">
        <f>'2-E-NoCo'!O16</f>
        <v>2.1157461176470584</v>
      </c>
      <c r="P16" s="91" t="s">
        <v>17</v>
      </c>
      <c r="Q16" s="92" t="s">
        <v>17</v>
      </c>
      <c r="R16" s="89" t="s">
        <v>17</v>
      </c>
      <c r="S16" s="92" t="s">
        <v>17</v>
      </c>
    </row>
    <row r="17" spans="1:19" ht="15.75" customHeight="1">
      <c r="A17" s="356" t="str">
        <f>'2-E-NoCo'!A17</f>
        <v>CHTR1</v>
      </c>
      <c r="B17" s="284">
        <f>'2-E-NoCo'!B17</f>
        <v>3.4732659999999997</v>
      </c>
      <c r="C17" s="285">
        <f>'2-E-NoCo'!C17</f>
        <v>15.212905079999999</v>
      </c>
      <c r="D17" s="284">
        <f>'2-E-NoCo'!D17</f>
        <v>1.6950369999999997</v>
      </c>
      <c r="E17" s="285">
        <f>'2-E-NoCo'!E17</f>
        <v>7.4242620599999984</v>
      </c>
      <c r="F17" s="284">
        <f>'2-E-NoCo'!F17</f>
        <v>0.66553600000000002</v>
      </c>
      <c r="G17" s="285">
        <f>'2-E-NoCo'!G17</f>
        <v>2.9150476800000003</v>
      </c>
      <c r="H17" s="284">
        <f>'2-E-NoCo'!H17</f>
        <v>0.22938970588235294</v>
      </c>
      <c r="I17" s="285">
        <f>'2-E-NoCo'!I17</f>
        <v>1.0047269117647057</v>
      </c>
      <c r="J17" s="284">
        <f>'2-E-NoCo'!J17</f>
        <v>0.77482745098039207</v>
      </c>
      <c r="K17" s="285">
        <f>'2-E-NoCo'!K17</f>
        <v>3.393744235294117</v>
      </c>
      <c r="L17" s="284">
        <f>'2-E-NoCo'!L17</f>
        <v>0.77482745098039207</v>
      </c>
      <c r="M17" s="285">
        <f>'2-E-NoCo'!M17</f>
        <v>3.393744235294117</v>
      </c>
      <c r="N17" s="284">
        <f>'2-E-NoCo'!N17</f>
        <v>0.77482745098039207</v>
      </c>
      <c r="O17" s="285">
        <f>'2-E-NoCo'!O17</f>
        <v>3.393744235294117</v>
      </c>
      <c r="P17" s="292" t="s">
        <v>17</v>
      </c>
      <c r="Q17" s="293" t="s">
        <v>17</v>
      </c>
      <c r="R17" s="294" t="s">
        <v>17</v>
      </c>
      <c r="S17" s="293" t="s">
        <v>17</v>
      </c>
    </row>
    <row r="18" spans="1:19" ht="15.75" customHeight="1">
      <c r="A18" s="256" t="str">
        <f>'2-E-NoCo'!A18</f>
        <v>CHTR2</v>
      </c>
      <c r="B18" s="95">
        <f>'2-E-NoCo'!B18</f>
        <v>3.4732659999999997</v>
      </c>
      <c r="C18" s="96">
        <f>'2-E-NoCo'!C18</f>
        <v>15.212905079999999</v>
      </c>
      <c r="D18" s="95">
        <f>'2-E-NoCo'!D18</f>
        <v>1.6950369999999997</v>
      </c>
      <c r="E18" s="96">
        <f>'2-E-NoCo'!E18</f>
        <v>7.4242620599999984</v>
      </c>
      <c r="F18" s="95">
        <f>'2-E-NoCo'!F18</f>
        <v>0.66553600000000002</v>
      </c>
      <c r="G18" s="96">
        <f>'2-E-NoCo'!G18</f>
        <v>2.9150476800000003</v>
      </c>
      <c r="H18" s="95">
        <f>'2-E-NoCo'!H18</f>
        <v>0.22938970588235294</v>
      </c>
      <c r="I18" s="96">
        <f>'2-E-NoCo'!I18</f>
        <v>1.0047269117647057</v>
      </c>
      <c r="J18" s="95">
        <f>'2-E-NoCo'!J18</f>
        <v>0.77482745098039207</v>
      </c>
      <c r="K18" s="96">
        <f>'2-E-NoCo'!K18</f>
        <v>3.393744235294117</v>
      </c>
      <c r="L18" s="95">
        <f>'2-E-NoCo'!L18</f>
        <v>0.77482745098039207</v>
      </c>
      <c r="M18" s="96">
        <f>'2-E-NoCo'!M18</f>
        <v>3.393744235294117</v>
      </c>
      <c r="N18" s="95">
        <f>'2-E-NoCo'!N18</f>
        <v>0.77482745098039207</v>
      </c>
      <c r="O18" s="96">
        <f>'2-E-NoCo'!O18</f>
        <v>3.393744235294117</v>
      </c>
      <c r="P18" s="91" t="s">
        <v>17</v>
      </c>
      <c r="Q18" s="92" t="s">
        <v>17</v>
      </c>
      <c r="R18" s="89" t="s">
        <v>17</v>
      </c>
      <c r="S18" s="92" t="s">
        <v>17</v>
      </c>
    </row>
    <row r="19" spans="1:19" ht="15.75" customHeight="1">
      <c r="A19" s="356" t="str">
        <f>'2-E-NoCo'!A19</f>
        <v>CHTR3</v>
      </c>
      <c r="B19" s="284">
        <f>'2-E-NoCo'!B19</f>
        <v>3.4732659999999997</v>
      </c>
      <c r="C19" s="285">
        <f>'2-E-NoCo'!C19</f>
        <v>15.212905079999999</v>
      </c>
      <c r="D19" s="284">
        <f>'2-E-NoCo'!D19</f>
        <v>1.6950369999999997</v>
      </c>
      <c r="E19" s="285">
        <f>'2-E-NoCo'!E19</f>
        <v>7.4242620599999984</v>
      </c>
      <c r="F19" s="284">
        <f>'2-E-NoCo'!F19</f>
        <v>0.66553600000000002</v>
      </c>
      <c r="G19" s="285">
        <f>'2-E-NoCo'!G19</f>
        <v>2.9150476800000003</v>
      </c>
      <c r="H19" s="284">
        <f>'2-E-NoCo'!H19</f>
        <v>0.22938970588235294</v>
      </c>
      <c r="I19" s="285">
        <f>'2-E-NoCo'!I19</f>
        <v>1.0047269117647057</v>
      </c>
      <c r="J19" s="284">
        <f>'2-E-NoCo'!J19</f>
        <v>0.77482745098039207</v>
      </c>
      <c r="K19" s="285">
        <f>'2-E-NoCo'!K19</f>
        <v>3.393744235294117</v>
      </c>
      <c r="L19" s="284">
        <f>'2-E-NoCo'!L19</f>
        <v>0.77482745098039207</v>
      </c>
      <c r="M19" s="285">
        <f>'2-E-NoCo'!M19</f>
        <v>3.393744235294117</v>
      </c>
      <c r="N19" s="284">
        <f>'2-E-NoCo'!N19</f>
        <v>0.77482745098039207</v>
      </c>
      <c r="O19" s="285">
        <f>'2-E-NoCo'!O19</f>
        <v>3.393744235294117</v>
      </c>
      <c r="P19" s="292" t="s">
        <v>17</v>
      </c>
      <c r="Q19" s="293" t="s">
        <v>17</v>
      </c>
      <c r="R19" s="294" t="s">
        <v>17</v>
      </c>
      <c r="S19" s="293" t="s">
        <v>17</v>
      </c>
    </row>
    <row r="20" spans="1:19" ht="15.75" customHeight="1">
      <c r="A20" s="256" t="str">
        <f>'2-E-NoCo'!A20</f>
        <v>RHTR1</v>
      </c>
      <c r="B20" s="95">
        <f>'2-E-NoCo'!B20</f>
        <v>1.0450380000000001</v>
      </c>
      <c r="C20" s="96">
        <f>'2-E-NoCo'!C20</f>
        <v>4.5772664400000007</v>
      </c>
      <c r="D20" s="95">
        <f>'2-E-NoCo'!D20</f>
        <v>0.63798199999999994</v>
      </c>
      <c r="E20" s="96">
        <f>'2-E-NoCo'!E20</f>
        <v>2.7943611599999998</v>
      </c>
      <c r="F20" s="95">
        <f>'2-E-NoCo'!F20</f>
        <v>0.250496</v>
      </c>
      <c r="G20" s="96">
        <f>'2-E-NoCo'!G20</f>
        <v>1.09717248</v>
      </c>
      <c r="H20" s="95">
        <f>'2-E-NoCo'!H20</f>
        <v>8.633823529411766E-2</v>
      </c>
      <c r="I20" s="96">
        <f>'2-E-NoCo'!I20</f>
        <v>0.37816147058823535</v>
      </c>
      <c r="J20" s="95">
        <f>'2-E-NoCo'!J20</f>
        <v>0.29163137254901961</v>
      </c>
      <c r="K20" s="96">
        <f>'2-E-NoCo'!K20</f>
        <v>1.2773454117647058</v>
      </c>
      <c r="L20" s="95">
        <f>'2-E-NoCo'!L20</f>
        <v>0.29163137254901961</v>
      </c>
      <c r="M20" s="96">
        <f>'2-E-NoCo'!M20</f>
        <v>1.2773454117647058</v>
      </c>
      <c r="N20" s="95">
        <f>'2-E-NoCo'!N20</f>
        <v>0.29163137254901961</v>
      </c>
      <c r="O20" s="96">
        <f>'2-E-NoCo'!O20</f>
        <v>1.2773454117647058</v>
      </c>
      <c r="P20" s="91" t="s">
        <v>17</v>
      </c>
      <c r="Q20" s="92" t="s">
        <v>17</v>
      </c>
      <c r="R20" s="89" t="s">
        <v>17</v>
      </c>
      <c r="S20" s="92" t="s">
        <v>17</v>
      </c>
    </row>
    <row r="21" spans="1:19" ht="15.75" customHeight="1">
      <c r="A21" s="356" t="str">
        <f>'2-E-NoCo'!A21</f>
        <v>RHTR2</v>
      </c>
      <c r="B21" s="284">
        <f>'2-E-NoCo'!B21</f>
        <v>1.0450380000000001</v>
      </c>
      <c r="C21" s="285">
        <f>'2-E-NoCo'!C21</f>
        <v>4.5772664400000007</v>
      </c>
      <c r="D21" s="284">
        <f>'2-E-NoCo'!D21</f>
        <v>0.63798199999999994</v>
      </c>
      <c r="E21" s="285">
        <f>'2-E-NoCo'!E21</f>
        <v>2.7943611599999998</v>
      </c>
      <c r="F21" s="284">
        <f>'2-E-NoCo'!F21</f>
        <v>0.250496</v>
      </c>
      <c r="G21" s="285">
        <f>'2-E-NoCo'!G21</f>
        <v>1.09717248</v>
      </c>
      <c r="H21" s="284">
        <f>'2-E-NoCo'!H21</f>
        <v>8.633823529411766E-2</v>
      </c>
      <c r="I21" s="285">
        <f>'2-E-NoCo'!I21</f>
        <v>0.37816147058823535</v>
      </c>
      <c r="J21" s="284">
        <f>'2-E-NoCo'!J21</f>
        <v>0.29163137254901961</v>
      </c>
      <c r="K21" s="285">
        <f>'2-E-NoCo'!K21</f>
        <v>1.2773454117647058</v>
      </c>
      <c r="L21" s="284">
        <f>'2-E-NoCo'!L21</f>
        <v>0.29163137254901961</v>
      </c>
      <c r="M21" s="285">
        <f>'2-E-NoCo'!M21</f>
        <v>1.2773454117647058</v>
      </c>
      <c r="N21" s="284">
        <f>'2-E-NoCo'!N21</f>
        <v>0.29163137254901961</v>
      </c>
      <c r="O21" s="285">
        <f>'2-E-NoCo'!O21</f>
        <v>1.2773454117647058</v>
      </c>
      <c r="P21" s="292" t="s">
        <v>17</v>
      </c>
      <c r="Q21" s="293" t="s">
        <v>17</v>
      </c>
      <c r="R21" s="294" t="s">
        <v>17</v>
      </c>
      <c r="S21" s="293" t="s">
        <v>17</v>
      </c>
    </row>
    <row r="22" spans="1:19" ht="15.75" customHeight="1">
      <c r="A22" s="256" t="str">
        <f>'2-E-NoCo'!A22</f>
        <v>RHTR3</v>
      </c>
      <c r="B22" s="95">
        <f>'2-E-NoCo'!B22</f>
        <v>1.0450380000000001</v>
      </c>
      <c r="C22" s="96">
        <f>'2-E-NoCo'!C22</f>
        <v>4.5772664400000007</v>
      </c>
      <c r="D22" s="95">
        <f>'2-E-NoCo'!D22</f>
        <v>0.63798199999999994</v>
      </c>
      <c r="E22" s="96">
        <f>'2-E-NoCo'!E22</f>
        <v>2.7943611599999998</v>
      </c>
      <c r="F22" s="95">
        <f>'2-E-NoCo'!F22</f>
        <v>0.250496</v>
      </c>
      <c r="G22" s="96">
        <f>'2-E-NoCo'!G22</f>
        <v>1.09717248</v>
      </c>
      <c r="H22" s="95">
        <f>'2-E-NoCo'!H22</f>
        <v>8.633823529411766E-2</v>
      </c>
      <c r="I22" s="96">
        <f>'2-E-NoCo'!I22</f>
        <v>0.37816147058823535</v>
      </c>
      <c r="J22" s="95">
        <f>'2-E-NoCo'!J22</f>
        <v>0.29163137254901961</v>
      </c>
      <c r="K22" s="96">
        <f>'2-E-NoCo'!K22</f>
        <v>1.2773454117647058</v>
      </c>
      <c r="L22" s="95">
        <f>'2-E-NoCo'!L22</f>
        <v>0.29163137254901961</v>
      </c>
      <c r="M22" s="96">
        <f>'2-E-NoCo'!M22</f>
        <v>1.2773454117647058</v>
      </c>
      <c r="N22" s="95">
        <f>'2-E-NoCo'!N22</f>
        <v>0.29163137254901961</v>
      </c>
      <c r="O22" s="96">
        <f>'2-E-NoCo'!O22</f>
        <v>1.2773454117647058</v>
      </c>
      <c r="P22" s="91" t="s">
        <v>17</v>
      </c>
      <c r="Q22" s="92" t="s">
        <v>17</v>
      </c>
      <c r="R22" s="89" t="s">
        <v>17</v>
      </c>
      <c r="S22" s="92" t="s">
        <v>17</v>
      </c>
    </row>
    <row r="23" spans="1:19" ht="15.75" customHeight="1">
      <c r="A23" s="356" t="s">
        <v>1426</v>
      </c>
      <c r="B23" s="4037" t="s">
        <v>1371</v>
      </c>
      <c r="C23" s="4038"/>
      <c r="D23" s="4038"/>
      <c r="E23" s="4038"/>
      <c r="F23" s="4038"/>
      <c r="G23" s="4038"/>
      <c r="H23" s="4038"/>
      <c r="I23" s="4038"/>
      <c r="J23" s="4038"/>
      <c r="K23" s="4038"/>
      <c r="L23" s="4038"/>
      <c r="M23" s="4038"/>
      <c r="N23" s="4038"/>
      <c r="O23" s="4038"/>
      <c r="P23" s="4038"/>
      <c r="Q23" s="4038"/>
      <c r="R23" s="4038"/>
      <c r="S23" s="4039"/>
    </row>
    <row r="24" spans="1:19" ht="15.75" customHeight="1">
      <c r="A24" s="256" t="s">
        <v>1427</v>
      </c>
      <c r="B24" s="4034" t="s">
        <v>1371</v>
      </c>
      <c r="C24" s="4035"/>
      <c r="D24" s="4035"/>
      <c r="E24" s="4035"/>
      <c r="F24" s="4035"/>
      <c r="G24" s="4035"/>
      <c r="H24" s="4035"/>
      <c r="I24" s="4035"/>
      <c r="J24" s="4035"/>
      <c r="K24" s="4035"/>
      <c r="L24" s="4035"/>
      <c r="M24" s="4035"/>
      <c r="N24" s="4035"/>
      <c r="O24" s="4035"/>
      <c r="P24" s="4035"/>
      <c r="Q24" s="4035"/>
      <c r="R24" s="4035"/>
      <c r="S24" s="4036"/>
    </row>
    <row r="25" spans="1:19" ht="15.75" customHeight="1">
      <c r="A25" s="356" t="s">
        <v>1428</v>
      </c>
      <c r="B25" s="4037" t="s">
        <v>1371</v>
      </c>
      <c r="C25" s="4038"/>
      <c r="D25" s="4038"/>
      <c r="E25" s="4038"/>
      <c r="F25" s="4038"/>
      <c r="G25" s="4038"/>
      <c r="H25" s="4038"/>
      <c r="I25" s="4038"/>
      <c r="J25" s="4038"/>
      <c r="K25" s="4038"/>
      <c r="L25" s="4038"/>
      <c r="M25" s="4038"/>
      <c r="N25" s="4038"/>
      <c r="O25" s="4038"/>
      <c r="P25" s="4038"/>
      <c r="Q25" s="4038"/>
      <c r="R25" s="4038"/>
      <c r="S25" s="4039"/>
    </row>
    <row r="26" spans="1:19" ht="15.75" customHeight="1">
      <c r="A26" s="256" t="str">
        <f>'2-E-NoCo'!A26</f>
        <v>IFR1</v>
      </c>
      <c r="B26" s="577" t="s">
        <v>17</v>
      </c>
      <c r="C26" s="578" t="s">
        <v>17</v>
      </c>
      <c r="D26" s="577" t="s">
        <v>17</v>
      </c>
      <c r="E26" s="578" t="s">
        <v>17</v>
      </c>
      <c r="F26" s="93">
        <f>'IFR Tanks (IFR1-IFR4)'!C41</f>
        <v>1.1752020371542549</v>
      </c>
      <c r="G26" s="94">
        <f>'IFR Tanks (IFR1-IFR4)'!D41</f>
        <v>5.1473849227356343</v>
      </c>
      <c r="H26" s="577" t="s">
        <v>17</v>
      </c>
      <c r="I26" s="578" t="s">
        <v>17</v>
      </c>
      <c r="J26" s="572" t="s">
        <v>17</v>
      </c>
      <c r="K26" s="573" t="s">
        <v>17</v>
      </c>
      <c r="L26" s="577" t="s">
        <v>17</v>
      </c>
      <c r="M26" s="578" t="s">
        <v>17</v>
      </c>
      <c r="N26" s="577" t="s">
        <v>17</v>
      </c>
      <c r="O26" s="578" t="s">
        <v>17</v>
      </c>
      <c r="P26" s="91" t="s">
        <v>17</v>
      </c>
      <c r="Q26" s="92" t="s">
        <v>17</v>
      </c>
      <c r="R26" s="89" t="s">
        <v>17</v>
      </c>
      <c r="S26" s="92" t="s">
        <v>17</v>
      </c>
    </row>
    <row r="27" spans="1:19" ht="15.75" customHeight="1">
      <c r="A27" s="356" t="str">
        <f>'2-E-NoCo'!A27</f>
        <v>IFR2</v>
      </c>
      <c r="B27" s="579" t="s">
        <v>17</v>
      </c>
      <c r="C27" s="580" t="s">
        <v>17</v>
      </c>
      <c r="D27" s="579" t="s">
        <v>17</v>
      </c>
      <c r="E27" s="580" t="s">
        <v>17</v>
      </c>
      <c r="F27" s="286">
        <f>F26</f>
        <v>1.1752020371542549</v>
      </c>
      <c r="G27" s="287">
        <f>G26</f>
        <v>5.1473849227356343</v>
      </c>
      <c r="H27" s="579" t="s">
        <v>17</v>
      </c>
      <c r="I27" s="580" t="s">
        <v>17</v>
      </c>
      <c r="J27" s="413" t="s">
        <v>17</v>
      </c>
      <c r="K27" s="414" t="s">
        <v>17</v>
      </c>
      <c r="L27" s="579" t="s">
        <v>17</v>
      </c>
      <c r="M27" s="580" t="s">
        <v>17</v>
      </c>
      <c r="N27" s="579" t="s">
        <v>17</v>
      </c>
      <c r="O27" s="580" t="s">
        <v>17</v>
      </c>
      <c r="P27" s="292" t="s">
        <v>17</v>
      </c>
      <c r="Q27" s="293" t="s">
        <v>17</v>
      </c>
      <c r="R27" s="294" t="s">
        <v>17</v>
      </c>
      <c r="S27" s="293" t="s">
        <v>17</v>
      </c>
    </row>
    <row r="28" spans="1:19" ht="15.75" customHeight="1">
      <c r="A28" s="256" t="str">
        <f>'2-E-NoCo'!A28</f>
        <v>IFR3</v>
      </c>
      <c r="B28" s="577" t="s">
        <v>17</v>
      </c>
      <c r="C28" s="578" t="s">
        <v>17</v>
      </c>
      <c r="D28" s="577" t="s">
        <v>17</v>
      </c>
      <c r="E28" s="578" t="s">
        <v>17</v>
      </c>
      <c r="F28" s="577">
        <f>F26</f>
        <v>1.1752020371542549</v>
      </c>
      <c r="G28" s="578">
        <f>G26</f>
        <v>5.1473849227356343</v>
      </c>
      <c r="H28" s="577" t="s">
        <v>17</v>
      </c>
      <c r="I28" s="578" t="s">
        <v>17</v>
      </c>
      <c r="J28" s="577" t="s">
        <v>17</v>
      </c>
      <c r="K28" s="578" t="s">
        <v>17</v>
      </c>
      <c r="L28" s="577" t="s">
        <v>17</v>
      </c>
      <c r="M28" s="578" t="s">
        <v>17</v>
      </c>
      <c r="N28" s="577" t="s">
        <v>17</v>
      </c>
      <c r="O28" s="578" t="s">
        <v>17</v>
      </c>
      <c r="P28" s="91" t="s">
        <v>17</v>
      </c>
      <c r="Q28" s="92" t="s">
        <v>17</v>
      </c>
      <c r="R28" s="89" t="s">
        <v>17</v>
      </c>
      <c r="S28" s="92" t="s">
        <v>17</v>
      </c>
    </row>
    <row r="29" spans="1:19" ht="15.75" customHeight="1">
      <c r="A29" s="356" t="str">
        <f>'2-E-NoCo'!A29</f>
        <v>IFR4</v>
      </c>
      <c r="B29" s="579" t="s">
        <v>17</v>
      </c>
      <c r="C29" s="580" t="s">
        <v>17</v>
      </c>
      <c r="D29" s="579" t="s">
        <v>17</v>
      </c>
      <c r="E29" s="580" t="s">
        <v>17</v>
      </c>
      <c r="F29" s="579">
        <f>F26</f>
        <v>1.1752020371542549</v>
      </c>
      <c r="G29" s="580">
        <f>G26</f>
        <v>5.1473849227356343</v>
      </c>
      <c r="H29" s="579" t="s">
        <v>17</v>
      </c>
      <c r="I29" s="580" t="s">
        <v>17</v>
      </c>
      <c r="J29" s="579" t="s">
        <v>17</v>
      </c>
      <c r="K29" s="580" t="s">
        <v>17</v>
      </c>
      <c r="L29" s="579" t="s">
        <v>17</v>
      </c>
      <c r="M29" s="580" t="s">
        <v>17</v>
      </c>
      <c r="N29" s="579" t="s">
        <v>17</v>
      </c>
      <c r="O29" s="580" t="s">
        <v>17</v>
      </c>
      <c r="P29" s="292" t="s">
        <v>17</v>
      </c>
      <c r="Q29" s="293" t="s">
        <v>17</v>
      </c>
      <c r="R29" s="294" t="s">
        <v>17</v>
      </c>
      <c r="S29" s="293" t="s">
        <v>17</v>
      </c>
    </row>
    <row r="30" spans="1:19" ht="15.75" customHeight="1">
      <c r="A30" s="256" t="str">
        <f>'2-E-NoCo'!A30</f>
        <v>OTK1</v>
      </c>
      <c r="B30" s="577" t="s">
        <v>17</v>
      </c>
      <c r="C30" s="578" t="s">
        <v>17</v>
      </c>
      <c r="D30" s="577" t="s">
        <v>17</v>
      </c>
      <c r="E30" s="578" t="s">
        <v>17</v>
      </c>
      <c r="F30" s="93">
        <f>'Tank Summary'!L15</f>
        <v>25.094700837614305</v>
      </c>
      <c r="G30" s="94">
        <f>'Tank Summary'!M15</f>
        <v>109.91478966875064</v>
      </c>
      <c r="H30" s="577" t="s">
        <v>17</v>
      </c>
      <c r="I30" s="578" t="s">
        <v>17</v>
      </c>
      <c r="J30" s="572" t="s">
        <v>17</v>
      </c>
      <c r="K30" s="573" t="s">
        <v>17</v>
      </c>
      <c r="L30" s="577" t="s">
        <v>17</v>
      </c>
      <c r="M30" s="578" t="s">
        <v>17</v>
      </c>
      <c r="N30" s="577" t="s">
        <v>17</v>
      </c>
      <c r="O30" s="578" t="s">
        <v>17</v>
      </c>
      <c r="P30" s="91" t="s">
        <v>17</v>
      </c>
      <c r="Q30" s="92" t="s">
        <v>17</v>
      </c>
      <c r="R30" s="89" t="s">
        <v>17</v>
      </c>
      <c r="S30" s="92" t="s">
        <v>17</v>
      </c>
    </row>
    <row r="31" spans="1:19" ht="15.75" customHeight="1">
      <c r="A31" s="356" t="str">
        <f>'2-E-NoCo'!A31</f>
        <v>OTK2</v>
      </c>
      <c r="B31" s="579" t="s">
        <v>17</v>
      </c>
      <c r="C31" s="580" t="s">
        <v>17</v>
      </c>
      <c r="D31" s="579" t="s">
        <v>17</v>
      </c>
      <c r="E31" s="580" t="s">
        <v>17</v>
      </c>
      <c r="F31" s="579">
        <f>F30</f>
        <v>25.094700837614305</v>
      </c>
      <c r="G31" s="580">
        <f>G30</f>
        <v>109.91478966875064</v>
      </c>
      <c r="H31" s="579" t="s">
        <v>17</v>
      </c>
      <c r="I31" s="580" t="s">
        <v>17</v>
      </c>
      <c r="J31" s="579" t="s">
        <v>17</v>
      </c>
      <c r="K31" s="580" t="s">
        <v>17</v>
      </c>
      <c r="L31" s="579" t="s">
        <v>17</v>
      </c>
      <c r="M31" s="580" t="s">
        <v>17</v>
      </c>
      <c r="N31" s="579" t="s">
        <v>17</v>
      </c>
      <c r="O31" s="580" t="s">
        <v>17</v>
      </c>
      <c r="P31" s="292" t="s">
        <v>17</v>
      </c>
      <c r="Q31" s="293" t="s">
        <v>17</v>
      </c>
      <c r="R31" s="294" t="s">
        <v>17</v>
      </c>
      <c r="S31" s="293" t="s">
        <v>17</v>
      </c>
    </row>
    <row r="32" spans="1:19" ht="15.65" customHeight="1">
      <c r="A32" s="256" t="str">
        <f>'2-E-NoCo'!A32</f>
        <v>OTK3</v>
      </c>
      <c r="B32" s="577" t="s">
        <v>17</v>
      </c>
      <c r="C32" s="578" t="s">
        <v>17</v>
      </c>
      <c r="D32" s="577" t="s">
        <v>17</v>
      </c>
      <c r="E32" s="578" t="s">
        <v>17</v>
      </c>
      <c r="F32" s="93">
        <f>F30</f>
        <v>25.094700837614305</v>
      </c>
      <c r="G32" s="94">
        <f>G30</f>
        <v>109.91478966875064</v>
      </c>
      <c r="H32" s="577" t="s">
        <v>17</v>
      </c>
      <c r="I32" s="578" t="s">
        <v>17</v>
      </c>
      <c r="J32" s="572" t="s">
        <v>17</v>
      </c>
      <c r="K32" s="573" t="s">
        <v>17</v>
      </c>
      <c r="L32" s="577" t="s">
        <v>17</v>
      </c>
      <c r="M32" s="578" t="s">
        <v>17</v>
      </c>
      <c r="N32" s="577" t="s">
        <v>17</v>
      </c>
      <c r="O32" s="578" t="s">
        <v>17</v>
      </c>
      <c r="P32" s="91" t="s">
        <v>17</v>
      </c>
      <c r="Q32" s="92" t="s">
        <v>17</v>
      </c>
      <c r="R32" s="89" t="s">
        <v>17</v>
      </c>
      <c r="S32" s="92" t="s">
        <v>17</v>
      </c>
    </row>
    <row r="33" spans="1:19" ht="13.5" customHeight="1">
      <c r="A33" s="356" t="str">
        <f>'2-E-NoCo'!A33</f>
        <v>OTK4</v>
      </c>
      <c r="B33" s="579" t="s">
        <v>17</v>
      </c>
      <c r="C33" s="580" t="s">
        <v>17</v>
      </c>
      <c r="D33" s="579" t="s">
        <v>17</v>
      </c>
      <c r="E33" s="580" t="s">
        <v>17</v>
      </c>
      <c r="F33" s="579">
        <f>F30</f>
        <v>25.094700837614305</v>
      </c>
      <c r="G33" s="580">
        <f>G30</f>
        <v>109.91478966875064</v>
      </c>
      <c r="H33" s="579" t="s">
        <v>17</v>
      </c>
      <c r="I33" s="580" t="s">
        <v>17</v>
      </c>
      <c r="J33" s="579" t="s">
        <v>17</v>
      </c>
      <c r="K33" s="580" t="s">
        <v>17</v>
      </c>
      <c r="L33" s="579" t="s">
        <v>17</v>
      </c>
      <c r="M33" s="580" t="s">
        <v>17</v>
      </c>
      <c r="N33" s="579" t="s">
        <v>17</v>
      </c>
      <c r="O33" s="580" t="s">
        <v>17</v>
      </c>
      <c r="P33" s="292" t="s">
        <v>17</v>
      </c>
      <c r="Q33" s="293" t="s">
        <v>17</v>
      </c>
      <c r="R33" s="294" t="s">
        <v>17</v>
      </c>
      <c r="S33" s="293" t="s">
        <v>17</v>
      </c>
    </row>
    <row r="34" spans="1:19" ht="15.65" customHeight="1">
      <c r="A34" s="256" t="str">
        <f>'2-E-NoCo'!A34</f>
        <v>OTK5</v>
      </c>
      <c r="B34" s="577" t="s">
        <v>17</v>
      </c>
      <c r="C34" s="578" t="s">
        <v>17</v>
      </c>
      <c r="D34" s="577" t="s">
        <v>17</v>
      </c>
      <c r="E34" s="578" t="s">
        <v>17</v>
      </c>
      <c r="F34" s="93">
        <f>F30</f>
        <v>25.094700837614305</v>
      </c>
      <c r="G34" s="94">
        <f>G30</f>
        <v>109.91478966875064</v>
      </c>
      <c r="H34" s="577" t="s">
        <v>17</v>
      </c>
      <c r="I34" s="578" t="s">
        <v>17</v>
      </c>
      <c r="J34" s="572" t="s">
        <v>17</v>
      </c>
      <c r="K34" s="573" t="s">
        <v>17</v>
      </c>
      <c r="L34" s="577" t="s">
        <v>17</v>
      </c>
      <c r="M34" s="578" t="s">
        <v>17</v>
      </c>
      <c r="N34" s="577" t="s">
        <v>17</v>
      </c>
      <c r="O34" s="578" t="s">
        <v>17</v>
      </c>
      <c r="P34" s="91" t="s">
        <v>17</v>
      </c>
      <c r="Q34" s="92" t="s">
        <v>17</v>
      </c>
      <c r="R34" s="89" t="s">
        <v>17</v>
      </c>
      <c r="S34" s="92" t="s">
        <v>17</v>
      </c>
    </row>
    <row r="35" spans="1:19" ht="13.5" customHeight="1">
      <c r="A35" s="356" t="str">
        <f>'2-E-NoCo'!A35</f>
        <v>OTK6</v>
      </c>
      <c r="B35" s="579" t="s">
        <v>17</v>
      </c>
      <c r="C35" s="580" t="s">
        <v>17</v>
      </c>
      <c r="D35" s="579" t="s">
        <v>17</v>
      </c>
      <c r="E35" s="580" t="s">
        <v>17</v>
      </c>
      <c r="F35" s="579">
        <f>F30</f>
        <v>25.094700837614305</v>
      </c>
      <c r="G35" s="580">
        <f>G30</f>
        <v>109.91478966875064</v>
      </c>
      <c r="H35" s="579" t="s">
        <v>17</v>
      </c>
      <c r="I35" s="580" t="s">
        <v>17</v>
      </c>
      <c r="J35" s="579" t="s">
        <v>17</v>
      </c>
      <c r="K35" s="580" t="s">
        <v>17</v>
      </c>
      <c r="L35" s="579" t="s">
        <v>17</v>
      </c>
      <c r="M35" s="580" t="s">
        <v>17</v>
      </c>
      <c r="N35" s="579" t="s">
        <v>17</v>
      </c>
      <c r="O35" s="580" t="s">
        <v>17</v>
      </c>
      <c r="P35" s="292" t="s">
        <v>17</v>
      </c>
      <c r="Q35" s="293" t="s">
        <v>17</v>
      </c>
      <c r="R35" s="294" t="s">
        <v>17</v>
      </c>
      <c r="S35" s="293" t="s">
        <v>17</v>
      </c>
    </row>
    <row r="36" spans="1:19" ht="15.65" customHeight="1">
      <c r="A36" s="256" t="str">
        <f>'2-E-NoCo'!A36</f>
        <v>ECD1</v>
      </c>
      <c r="B36" s="4034" t="s">
        <v>1371</v>
      </c>
      <c r="C36" s="4035"/>
      <c r="D36" s="4035"/>
      <c r="E36" s="4035"/>
      <c r="F36" s="4035"/>
      <c r="G36" s="4035"/>
      <c r="H36" s="4035"/>
      <c r="I36" s="4035"/>
      <c r="J36" s="4035"/>
      <c r="K36" s="4035"/>
      <c r="L36" s="4035"/>
      <c r="M36" s="4035"/>
      <c r="N36" s="4035"/>
      <c r="O36" s="4035"/>
      <c r="P36" s="4035"/>
      <c r="Q36" s="4035"/>
      <c r="R36" s="4035"/>
      <c r="S36" s="4036"/>
    </row>
    <row r="37" spans="1:19" ht="15.65" customHeight="1">
      <c r="A37" s="356" t="str">
        <f>'2-E-NoCo'!A37</f>
        <v>TO1</v>
      </c>
      <c r="B37" s="4037" t="s">
        <v>1371</v>
      </c>
      <c r="C37" s="4038"/>
      <c r="D37" s="4038"/>
      <c r="E37" s="4038"/>
      <c r="F37" s="4038"/>
      <c r="G37" s="4038"/>
      <c r="H37" s="4038"/>
      <c r="I37" s="4038"/>
      <c r="J37" s="4038"/>
      <c r="K37" s="4038"/>
      <c r="L37" s="4038"/>
      <c r="M37" s="4038"/>
      <c r="N37" s="4038"/>
      <c r="O37" s="4038"/>
      <c r="P37" s="4038"/>
      <c r="Q37" s="4038"/>
      <c r="R37" s="4038"/>
      <c r="S37" s="4039"/>
    </row>
    <row r="38" spans="1:19" ht="15.65" customHeight="1">
      <c r="A38" s="256" t="str">
        <f>'2-E-NoCo'!A38</f>
        <v>TO2</v>
      </c>
      <c r="B38" s="4034" t="s">
        <v>1371</v>
      </c>
      <c r="C38" s="4035"/>
      <c r="D38" s="4035"/>
      <c r="E38" s="4035"/>
      <c r="F38" s="4035"/>
      <c r="G38" s="4035"/>
      <c r="H38" s="4035"/>
      <c r="I38" s="4035"/>
      <c r="J38" s="4035"/>
      <c r="K38" s="4035"/>
      <c r="L38" s="4035"/>
      <c r="M38" s="4035"/>
      <c r="N38" s="4035"/>
      <c r="O38" s="4035"/>
      <c r="P38" s="4035"/>
      <c r="Q38" s="4035"/>
      <c r="R38" s="4035"/>
      <c r="S38" s="4036"/>
    </row>
    <row r="39" spans="1:19" ht="15.65" customHeight="1">
      <c r="A39" s="356" t="str">
        <f>'2-E-NoCo'!A39</f>
        <v>TO3</v>
      </c>
      <c r="B39" s="4037" t="s">
        <v>1371</v>
      </c>
      <c r="C39" s="4038"/>
      <c r="D39" s="4038"/>
      <c r="E39" s="4038"/>
      <c r="F39" s="4038"/>
      <c r="G39" s="4038"/>
      <c r="H39" s="4038"/>
      <c r="I39" s="4038"/>
      <c r="J39" s="4038"/>
      <c r="K39" s="4038"/>
      <c r="L39" s="4038"/>
      <c r="M39" s="4038"/>
      <c r="N39" s="4038"/>
      <c r="O39" s="4038"/>
      <c r="P39" s="4038"/>
      <c r="Q39" s="4038"/>
      <c r="R39" s="4038"/>
      <c r="S39" s="4039"/>
    </row>
    <row r="40" spans="1:19" ht="16.5" customHeight="1">
      <c r="A40" s="256" t="str">
        <f>'2-E-NoCo'!A40</f>
        <v>FUG</v>
      </c>
      <c r="B40" s="577" t="s">
        <v>17</v>
      </c>
      <c r="C40" s="578" t="s">
        <v>17</v>
      </c>
      <c r="D40" s="577" t="s">
        <v>17</v>
      </c>
      <c r="E40" s="578" t="s">
        <v>17</v>
      </c>
      <c r="F40" s="95">
        <f>Fugitive!G39</f>
        <v>88.63844276133257</v>
      </c>
      <c r="G40" s="96">
        <f>Fugitive!I39</f>
        <v>388.23637929463672</v>
      </c>
      <c r="H40" s="577" t="s">
        <v>17</v>
      </c>
      <c r="I40" s="578" t="s">
        <v>17</v>
      </c>
      <c r="J40" s="577" t="s">
        <v>17</v>
      </c>
      <c r="K40" s="578" t="s">
        <v>17</v>
      </c>
      <c r="L40" s="577" t="s">
        <v>17</v>
      </c>
      <c r="M40" s="578" t="s">
        <v>17</v>
      </c>
      <c r="N40" s="577" t="s">
        <v>17</v>
      </c>
      <c r="O40" s="578" t="s">
        <v>17</v>
      </c>
      <c r="P40" s="95" t="s">
        <v>17</v>
      </c>
      <c r="Q40" s="96" t="s">
        <v>17</v>
      </c>
      <c r="R40" s="95" t="s">
        <v>17</v>
      </c>
      <c r="S40" s="96" t="s">
        <v>17</v>
      </c>
    </row>
    <row r="41" spans="1:19" ht="15.65" customHeight="1">
      <c r="A41" s="356" t="str">
        <f>'2-E-NoCo'!A41</f>
        <v>SSM</v>
      </c>
      <c r="B41" s="1270" t="s">
        <v>17</v>
      </c>
      <c r="C41" s="1271" t="s">
        <v>17</v>
      </c>
      <c r="D41" s="1270" t="s">
        <v>17</v>
      </c>
      <c r="E41" s="1271" t="s">
        <v>17</v>
      </c>
      <c r="F41" s="1270" t="s">
        <v>17</v>
      </c>
      <c r="G41" s="1272">
        <v>10</v>
      </c>
      <c r="H41" s="1270" t="s">
        <v>17</v>
      </c>
      <c r="I41" s="1271" t="s">
        <v>17</v>
      </c>
      <c r="J41" s="1273" t="s">
        <v>17</v>
      </c>
      <c r="K41" s="1274" t="s">
        <v>17</v>
      </c>
      <c r="L41" s="1275" t="s">
        <v>17</v>
      </c>
      <c r="M41" s="1276" t="s">
        <v>17</v>
      </c>
      <c r="N41" s="1275" t="s">
        <v>17</v>
      </c>
      <c r="O41" s="1276" t="s">
        <v>17</v>
      </c>
      <c r="P41" s="1275" t="s">
        <v>17</v>
      </c>
      <c r="Q41" s="1276" t="s">
        <v>17</v>
      </c>
      <c r="R41" s="1275" t="s">
        <v>17</v>
      </c>
      <c r="S41" s="1276" t="s">
        <v>17</v>
      </c>
    </row>
    <row r="42" spans="1:19" ht="15.65" customHeight="1">
      <c r="A42" s="256" t="str">
        <f>'2-E-NoCo'!A42</f>
        <v>ROAD</v>
      </c>
      <c r="B42" s="95" t="s">
        <v>17</v>
      </c>
      <c r="C42" s="96" t="s">
        <v>17</v>
      </c>
      <c r="D42" s="95" t="s">
        <v>17</v>
      </c>
      <c r="E42" s="96" t="s">
        <v>17</v>
      </c>
      <c r="F42" s="95" t="s">
        <v>17</v>
      </c>
      <c r="G42" s="96" t="s">
        <v>17</v>
      </c>
      <c r="H42" s="95" t="s">
        <v>17</v>
      </c>
      <c r="I42" s="96" t="s">
        <v>17</v>
      </c>
      <c r="J42" s="572">
        <f>Road!C24</f>
        <v>2.7556902133370476</v>
      </c>
      <c r="K42" s="573">
        <f>Road!C25</f>
        <v>8.8254079636430482</v>
      </c>
      <c r="L42" s="95">
        <f>Road!F24</f>
        <v>0.70232409971011567</v>
      </c>
      <c r="M42" s="96">
        <f>Road!F25</f>
        <v>2.2492719510493018</v>
      </c>
      <c r="N42" s="95">
        <f>Road!I24</f>
        <v>7.0232409971011545E-2</v>
      </c>
      <c r="O42" s="96">
        <f>Road!I37</f>
        <v>1.3077162506100588</v>
      </c>
      <c r="P42" s="95" t="s">
        <v>17</v>
      </c>
      <c r="Q42" s="96" t="s">
        <v>17</v>
      </c>
      <c r="R42" s="95" t="s">
        <v>17</v>
      </c>
      <c r="S42" s="96" t="s">
        <v>17</v>
      </c>
    </row>
    <row r="43" spans="1:19" ht="15.65" customHeight="1">
      <c r="A43" s="356" t="str">
        <f>'2-E-NoCo'!A43</f>
        <v>PWTK1</v>
      </c>
      <c r="B43" s="296" t="s">
        <v>17</v>
      </c>
      <c r="C43" s="297" t="s">
        <v>17</v>
      </c>
      <c r="D43" s="296" t="s">
        <v>17</v>
      </c>
      <c r="E43" s="297" t="s">
        <v>17</v>
      </c>
      <c r="F43" s="286">
        <f>'Tank Summary'!L21</f>
        <v>2.360259684389519E-3</v>
      </c>
      <c r="G43" s="287">
        <f>'Tank Summary'!M21</f>
        <v>1.0337937417626092E-2</v>
      </c>
      <c r="H43" s="296" t="s">
        <v>17</v>
      </c>
      <c r="I43" s="297" t="s">
        <v>17</v>
      </c>
      <c r="J43" s="294" t="s">
        <v>17</v>
      </c>
      <c r="K43" s="295" t="s">
        <v>17</v>
      </c>
      <c r="L43" s="296" t="s">
        <v>17</v>
      </c>
      <c r="M43" s="297" t="s">
        <v>17</v>
      </c>
      <c r="N43" s="294" t="s">
        <v>17</v>
      </c>
      <c r="O43" s="295" t="s">
        <v>17</v>
      </c>
      <c r="P43" s="292" t="s">
        <v>17</v>
      </c>
      <c r="Q43" s="293" t="s">
        <v>17</v>
      </c>
      <c r="R43" s="292" t="s">
        <v>17</v>
      </c>
      <c r="S43" s="293" t="s">
        <v>17</v>
      </c>
    </row>
    <row r="44" spans="1:19" ht="15.65" customHeight="1">
      <c r="A44" s="256" t="str">
        <f>'2-E-NoCo'!A44</f>
        <v>PWTK2</v>
      </c>
      <c r="B44" s="95" t="s">
        <v>17</v>
      </c>
      <c r="C44" s="96" t="s">
        <v>17</v>
      </c>
      <c r="D44" s="95" t="s">
        <v>17</v>
      </c>
      <c r="E44" s="96" t="s">
        <v>17</v>
      </c>
      <c r="F44" s="95">
        <f>F43</f>
        <v>2.360259684389519E-3</v>
      </c>
      <c r="G44" s="96">
        <f>G43</f>
        <v>1.0337937417626092E-2</v>
      </c>
      <c r="H44" s="95" t="s">
        <v>17</v>
      </c>
      <c r="I44" s="96" t="s">
        <v>17</v>
      </c>
      <c r="J44" s="572" t="s">
        <v>17</v>
      </c>
      <c r="K44" s="573" t="s">
        <v>17</v>
      </c>
      <c r="L44" s="577" t="s">
        <v>17</v>
      </c>
      <c r="M44" s="578" t="s">
        <v>17</v>
      </c>
      <c r="N44" s="577" t="s">
        <v>17</v>
      </c>
      <c r="O44" s="578" t="s">
        <v>17</v>
      </c>
      <c r="P44" s="95" t="s">
        <v>17</v>
      </c>
      <c r="Q44" s="96" t="s">
        <v>17</v>
      </c>
      <c r="R44" s="95" t="s">
        <v>17</v>
      </c>
      <c r="S44" s="96" t="s">
        <v>17</v>
      </c>
    </row>
    <row r="45" spans="1:19" ht="13.5" customHeight="1">
      <c r="A45" s="356" t="str">
        <f>'2-E-NoCo'!A45</f>
        <v>PWTL</v>
      </c>
      <c r="B45" s="296" t="s">
        <v>17</v>
      </c>
      <c r="C45" s="297" t="s">
        <v>17</v>
      </c>
      <c r="D45" s="296" t="s">
        <v>17</v>
      </c>
      <c r="E45" s="297" t="s">
        <v>17</v>
      </c>
      <c r="F45" s="286">
        <f>'Load-H2O'!F33</f>
        <v>0.39339345182963747</v>
      </c>
      <c r="G45" s="287">
        <f>'Load-H2O'!G33</f>
        <v>2.4902276270262185</v>
      </c>
      <c r="H45" s="296" t="s">
        <v>17</v>
      </c>
      <c r="I45" s="297" t="s">
        <v>17</v>
      </c>
      <c r="J45" s="294" t="s">
        <v>17</v>
      </c>
      <c r="K45" s="295" t="s">
        <v>17</v>
      </c>
      <c r="L45" s="292" t="s">
        <v>17</v>
      </c>
      <c r="M45" s="293" t="s">
        <v>17</v>
      </c>
      <c r="N45" s="292" t="s">
        <v>17</v>
      </c>
      <c r="O45" s="293" t="s">
        <v>17</v>
      </c>
      <c r="P45" s="292" t="s">
        <v>17</v>
      </c>
      <c r="Q45" s="293" t="s">
        <v>17</v>
      </c>
      <c r="R45" s="292" t="s">
        <v>17</v>
      </c>
      <c r="S45" s="293" t="s">
        <v>17</v>
      </c>
    </row>
    <row r="46" spans="1:19" ht="15.65" customHeight="1">
      <c r="A46" s="256" t="str">
        <f>'2-E-NoCo'!A46</f>
        <v>OTL</v>
      </c>
      <c r="B46" s="95" t="s">
        <v>17</v>
      </c>
      <c r="C46" s="96" t="s">
        <v>17</v>
      </c>
      <c r="D46" s="95" t="s">
        <v>17</v>
      </c>
      <c r="E46" s="96" t="s">
        <v>17</v>
      </c>
      <c r="F46" s="95">
        <f>'Load-Slop Oil'!F34*'Load-Slop Oil'!I20/100</f>
        <v>54.47067380149624</v>
      </c>
      <c r="G46" s="96">
        <f>'Load-Slop Oil'!G34*'Load-Slop Oil'!I20/100</f>
        <v>10.321550971628724</v>
      </c>
      <c r="H46" s="95" t="s">
        <v>17</v>
      </c>
      <c r="I46" s="96" t="s">
        <v>17</v>
      </c>
      <c r="J46" s="572" t="s">
        <v>17</v>
      </c>
      <c r="K46" s="573" t="s">
        <v>17</v>
      </c>
      <c r="L46" s="577" t="s">
        <v>17</v>
      </c>
      <c r="M46" s="578" t="s">
        <v>17</v>
      </c>
      <c r="N46" s="577" t="s">
        <v>17</v>
      </c>
      <c r="O46" s="578" t="s">
        <v>17</v>
      </c>
      <c r="P46" s="95" t="s">
        <v>17</v>
      </c>
      <c r="Q46" s="96" t="s">
        <v>17</v>
      </c>
      <c r="R46" s="95" t="s">
        <v>17</v>
      </c>
      <c r="S46" s="96" t="s">
        <v>17</v>
      </c>
    </row>
    <row r="47" spans="1:19" ht="13.5" customHeight="1">
      <c r="A47" s="356" t="str">
        <f>'2-E-NoCo'!A47</f>
        <v>AU1</v>
      </c>
      <c r="B47" s="296" t="s">
        <v>17</v>
      </c>
      <c r="C47" s="297" t="s">
        <v>17</v>
      </c>
      <c r="D47" s="296" t="s">
        <v>17</v>
      </c>
      <c r="E47" s="297" t="s">
        <v>17</v>
      </c>
      <c r="F47" s="286">
        <f>'TO Hrly (TO1-TO3)'!F32</f>
        <v>62.455189452722529</v>
      </c>
      <c r="G47" s="287">
        <f>'TO Ann (TO1-TO3)'!F32</f>
        <v>273.55372980292469</v>
      </c>
      <c r="H47" s="296" t="s">
        <v>17</v>
      </c>
      <c r="I47" s="297" t="s">
        <v>17</v>
      </c>
      <c r="J47" s="296" t="s">
        <v>17</v>
      </c>
      <c r="K47" s="297" t="s">
        <v>17</v>
      </c>
      <c r="L47" s="292" t="s">
        <v>17</v>
      </c>
      <c r="M47" s="293" t="s">
        <v>17</v>
      </c>
      <c r="N47" s="292" t="s">
        <v>17</v>
      </c>
      <c r="O47" s="293" t="s">
        <v>17</v>
      </c>
      <c r="P47" s="292" t="s">
        <v>17</v>
      </c>
      <c r="Q47" s="293" t="s">
        <v>17</v>
      </c>
      <c r="R47" s="292" t="s">
        <v>17</v>
      </c>
      <c r="S47" s="293" t="s">
        <v>17</v>
      </c>
    </row>
    <row r="48" spans="1:19" ht="15.65" customHeight="1">
      <c r="A48" s="256" t="str">
        <f>'2-E-NoCo'!A48</f>
        <v>AU2</v>
      </c>
      <c r="B48" s="95" t="s">
        <v>17</v>
      </c>
      <c r="C48" s="96" t="s">
        <v>17</v>
      </c>
      <c r="D48" s="95" t="s">
        <v>17</v>
      </c>
      <c r="E48" s="96" t="s">
        <v>17</v>
      </c>
      <c r="F48" s="93">
        <f>F47</f>
        <v>62.455189452722529</v>
      </c>
      <c r="G48" s="94">
        <f>G47</f>
        <v>273.55372980292469</v>
      </c>
      <c r="H48" s="95" t="s">
        <v>17</v>
      </c>
      <c r="I48" s="96" t="s">
        <v>17</v>
      </c>
      <c r="J48" s="95" t="s">
        <v>17</v>
      </c>
      <c r="K48" s="96" t="s">
        <v>17</v>
      </c>
      <c r="L48" s="95" t="s">
        <v>17</v>
      </c>
      <c r="M48" s="96" t="s">
        <v>17</v>
      </c>
      <c r="N48" s="95" t="s">
        <v>17</v>
      </c>
      <c r="O48" s="96" t="s">
        <v>17</v>
      </c>
      <c r="P48" s="91" t="s">
        <v>17</v>
      </c>
      <c r="Q48" s="92" t="s">
        <v>17</v>
      </c>
      <c r="R48" s="89" t="s">
        <v>17</v>
      </c>
      <c r="S48" s="92" t="s">
        <v>17</v>
      </c>
    </row>
    <row r="49" spans="1:19" ht="15.65" customHeight="1">
      <c r="A49" s="356" t="str">
        <f>'2-E-NoCo'!A49</f>
        <v>AU3</v>
      </c>
      <c r="B49" s="296" t="s">
        <v>17</v>
      </c>
      <c r="C49" s="297" t="s">
        <v>17</v>
      </c>
      <c r="D49" s="296" t="s">
        <v>17</v>
      </c>
      <c r="E49" s="297" t="s">
        <v>17</v>
      </c>
      <c r="F49" s="286">
        <f>F47</f>
        <v>62.455189452722529</v>
      </c>
      <c r="G49" s="287">
        <f>G47</f>
        <v>273.55372980292469</v>
      </c>
      <c r="H49" s="296" t="s">
        <v>17</v>
      </c>
      <c r="I49" s="297" t="s">
        <v>17</v>
      </c>
      <c r="J49" s="294" t="s">
        <v>17</v>
      </c>
      <c r="K49" s="295" t="s">
        <v>17</v>
      </c>
      <c r="L49" s="292" t="s">
        <v>17</v>
      </c>
      <c r="M49" s="293" t="s">
        <v>17</v>
      </c>
      <c r="N49" s="292" t="s">
        <v>17</v>
      </c>
      <c r="O49" s="293" t="s">
        <v>17</v>
      </c>
      <c r="P49" s="292" t="s">
        <v>17</v>
      </c>
      <c r="Q49" s="293" t="s">
        <v>17</v>
      </c>
      <c r="R49" s="292" t="s">
        <v>17</v>
      </c>
      <c r="S49" s="293" t="s">
        <v>17</v>
      </c>
    </row>
    <row r="50" spans="1:19" ht="15.65" customHeight="1">
      <c r="A50" s="256" t="str">
        <f>'2-E-NoCo'!A50</f>
        <v>GBS1</v>
      </c>
      <c r="B50" s="95" t="s">
        <v>17</v>
      </c>
      <c r="C50" s="96" t="s">
        <v>17</v>
      </c>
      <c r="D50" s="95" t="s">
        <v>17</v>
      </c>
      <c r="E50" s="96" t="s">
        <v>17</v>
      </c>
      <c r="F50" s="95">
        <f>'Tank Summary'!L23</f>
        <v>229.80658100387194</v>
      </c>
      <c r="G50" s="96">
        <f>'Tank Summary'!M23</f>
        <v>1006.5528247969593</v>
      </c>
      <c r="H50" s="95" t="s">
        <v>17</v>
      </c>
      <c r="I50" s="96" t="s">
        <v>17</v>
      </c>
      <c r="J50" s="572" t="s">
        <v>17</v>
      </c>
      <c r="K50" s="573" t="s">
        <v>17</v>
      </c>
      <c r="L50" s="95" t="s">
        <v>17</v>
      </c>
      <c r="M50" s="96" t="s">
        <v>17</v>
      </c>
      <c r="N50" s="95" t="s">
        <v>17</v>
      </c>
      <c r="O50" s="96" t="s">
        <v>17</v>
      </c>
      <c r="P50" s="95" t="s">
        <v>17</v>
      </c>
      <c r="Q50" s="96" t="s">
        <v>17</v>
      </c>
      <c r="R50" s="95" t="s">
        <v>17</v>
      </c>
      <c r="S50" s="96" t="s">
        <v>17</v>
      </c>
    </row>
    <row r="51" spans="1:19" ht="15.65" customHeight="1">
      <c r="A51" s="356" t="str">
        <f>'2-E-NoCo'!A51</f>
        <v>OTK7</v>
      </c>
      <c r="B51" s="292" t="s">
        <v>17</v>
      </c>
      <c r="C51" s="293" t="s">
        <v>17</v>
      </c>
      <c r="D51" s="292" t="s">
        <v>17</v>
      </c>
      <c r="E51" s="293" t="s">
        <v>17</v>
      </c>
      <c r="F51" s="286">
        <f>'Tank Summary'!L24</f>
        <v>23.205544762405538</v>
      </c>
      <c r="G51" s="287">
        <f>'Tank Summary'!M24</f>
        <v>101.64028605933626</v>
      </c>
      <c r="H51" s="296" t="s">
        <v>17</v>
      </c>
      <c r="I51" s="297" t="s">
        <v>17</v>
      </c>
      <c r="J51" s="294" t="s">
        <v>17</v>
      </c>
      <c r="K51" s="295" t="s">
        <v>17</v>
      </c>
      <c r="L51" s="292" t="s">
        <v>17</v>
      </c>
      <c r="M51" s="293" t="s">
        <v>17</v>
      </c>
      <c r="N51" s="292" t="s">
        <v>17</v>
      </c>
      <c r="O51" s="293" t="s">
        <v>17</v>
      </c>
      <c r="P51" s="292" t="s">
        <v>17</v>
      </c>
      <c r="Q51" s="293" t="s">
        <v>17</v>
      </c>
      <c r="R51" s="292" t="s">
        <v>17</v>
      </c>
      <c r="S51" s="293" t="s">
        <v>17</v>
      </c>
    </row>
    <row r="52" spans="1:19" ht="16.5" customHeight="1">
      <c r="A52" s="256" t="str">
        <f>'Summary-NoCo'!C62</f>
        <v>GEN1</v>
      </c>
      <c r="B52" s="95">
        <f>'Summary-NoCo'!E62</f>
        <v>7.6014109347442673</v>
      </c>
      <c r="C52" s="96">
        <f>'Summary-NoCo'!F62</f>
        <v>0.38007054673721336</v>
      </c>
      <c r="D52" s="95">
        <f>'Summary-NoCo'!G62</f>
        <v>12.770370370370369</v>
      </c>
      <c r="E52" s="96">
        <f>'Summary-NoCo'!H62</f>
        <v>0.63851851851851849</v>
      </c>
      <c r="F52" s="95">
        <f>'Summary-NoCo'!I62</f>
        <v>4.887584801621446</v>
      </c>
      <c r="G52" s="96">
        <f>'Summary-NoCo'!J62</f>
        <v>0.24437924008107231</v>
      </c>
      <c r="H52" s="95">
        <f>'Summary-NoCo'!K62</f>
        <v>5.268486050420168E-2</v>
      </c>
      <c r="I52" s="96">
        <f>'Summary-NoCo'!L62</f>
        <v>2.6342430252100841E-3</v>
      </c>
      <c r="J52" s="95">
        <f>'Summary-NoCo'!M62</f>
        <v>0.21023717968</v>
      </c>
      <c r="K52" s="96">
        <f>'Summary-NoCo'!N62</f>
        <v>1.0511858984E-2</v>
      </c>
      <c r="L52" s="95">
        <f>'Summary-NoCo'!O62</f>
        <v>0.21023717968</v>
      </c>
      <c r="M52" s="96">
        <f>'Summary-NoCo'!P62</f>
        <v>1.0511858984E-2</v>
      </c>
      <c r="N52" s="95">
        <f t="shared" ref="N52:O56" si="0">L52</f>
        <v>0.21023717968</v>
      </c>
      <c r="O52" s="96">
        <f t="shared" si="0"/>
        <v>1.0511858984E-2</v>
      </c>
      <c r="P52" s="91" t="s">
        <v>17</v>
      </c>
      <c r="Q52" s="92" t="s">
        <v>17</v>
      </c>
      <c r="R52" s="91" t="s">
        <v>17</v>
      </c>
      <c r="S52" s="92" t="s">
        <v>17</v>
      </c>
    </row>
    <row r="53" spans="1:19" ht="16.5" customHeight="1">
      <c r="A53" s="356" t="str">
        <f>'Summary-NoCo'!C63</f>
        <v>GEN2</v>
      </c>
      <c r="B53" s="284">
        <f>'Summary-NoCo'!E63</f>
        <v>7.6014109347442673</v>
      </c>
      <c r="C53" s="285">
        <f>'Summary-NoCo'!F63</f>
        <v>0.38007054673721336</v>
      </c>
      <c r="D53" s="284">
        <f>'Summary-NoCo'!G63</f>
        <v>12.770370370370369</v>
      </c>
      <c r="E53" s="285">
        <f>'Summary-NoCo'!H63</f>
        <v>0.63851851851851849</v>
      </c>
      <c r="F53" s="284">
        <f>'Summary-NoCo'!I63</f>
        <v>4.887584801621446</v>
      </c>
      <c r="G53" s="285">
        <f>'Summary-NoCo'!J63</f>
        <v>0.24437924008107231</v>
      </c>
      <c r="H53" s="284">
        <f>'Summary-NoCo'!K63</f>
        <v>5.268486050420168E-2</v>
      </c>
      <c r="I53" s="285">
        <f>'Summary-NoCo'!L63</f>
        <v>2.6342430252100841E-3</v>
      </c>
      <c r="J53" s="284">
        <f>'Summary-NoCo'!M63</f>
        <v>0.21023717968</v>
      </c>
      <c r="K53" s="285">
        <f>'Summary-NoCo'!N63</f>
        <v>1.0511858984E-2</v>
      </c>
      <c r="L53" s="284">
        <f>'Summary-NoCo'!O63</f>
        <v>0.21023717968</v>
      </c>
      <c r="M53" s="285">
        <f>'Summary-NoCo'!P63</f>
        <v>1.0511858984E-2</v>
      </c>
      <c r="N53" s="284">
        <f t="shared" si="0"/>
        <v>0.21023717968</v>
      </c>
      <c r="O53" s="285">
        <f t="shared" si="0"/>
        <v>1.0511858984E-2</v>
      </c>
      <c r="P53" s="292" t="s">
        <v>17</v>
      </c>
      <c r="Q53" s="293" t="s">
        <v>17</v>
      </c>
      <c r="R53" s="292" t="s">
        <v>17</v>
      </c>
      <c r="S53" s="293" t="s">
        <v>17</v>
      </c>
    </row>
    <row r="54" spans="1:19" ht="16.5" customHeight="1">
      <c r="A54" s="256" t="str">
        <f>'Summary-NoCo'!C64</f>
        <v>GEN3</v>
      </c>
      <c r="B54" s="95">
        <f>'Summary-NoCo'!E64</f>
        <v>7.6014109347442673</v>
      </c>
      <c r="C54" s="96">
        <f>'Summary-NoCo'!F64</f>
        <v>0.38007054673721336</v>
      </c>
      <c r="D54" s="95">
        <f>'Summary-NoCo'!G64</f>
        <v>12.770370370370369</v>
      </c>
      <c r="E54" s="96">
        <f>'Summary-NoCo'!H64</f>
        <v>0.63851851851851849</v>
      </c>
      <c r="F54" s="95">
        <f>'Summary-NoCo'!I64</f>
        <v>4.887584801621446</v>
      </c>
      <c r="G54" s="96">
        <f>'Summary-NoCo'!J64</f>
        <v>0.24437924008107231</v>
      </c>
      <c r="H54" s="95">
        <f>'Summary-NoCo'!K64</f>
        <v>5.268486050420168E-2</v>
      </c>
      <c r="I54" s="96">
        <f>'Summary-NoCo'!L64</f>
        <v>2.6342430252100841E-3</v>
      </c>
      <c r="J54" s="95">
        <f>'Summary-NoCo'!M64</f>
        <v>0.21023717968</v>
      </c>
      <c r="K54" s="96">
        <f>'Summary-NoCo'!N64</f>
        <v>1.0511858984E-2</v>
      </c>
      <c r="L54" s="95">
        <f>'Summary-NoCo'!O64</f>
        <v>0.21023717968</v>
      </c>
      <c r="M54" s="96">
        <f>'Summary-NoCo'!P64</f>
        <v>1.0511858984E-2</v>
      </c>
      <c r="N54" s="95">
        <f t="shared" si="0"/>
        <v>0.21023717968</v>
      </c>
      <c r="O54" s="96">
        <f t="shared" si="0"/>
        <v>1.0511858984E-2</v>
      </c>
      <c r="P54" s="91" t="s">
        <v>17</v>
      </c>
      <c r="Q54" s="92" t="s">
        <v>17</v>
      </c>
      <c r="R54" s="91" t="s">
        <v>17</v>
      </c>
      <c r="S54" s="92" t="s">
        <v>17</v>
      </c>
    </row>
    <row r="55" spans="1:19" ht="16.5" customHeight="1">
      <c r="A55" s="356" t="str">
        <f>'Summary-NoCo'!C65</f>
        <v>GEN4</v>
      </c>
      <c r="B55" s="284">
        <f>'Summary-NoCo'!E65</f>
        <v>7.6014109347442673</v>
      </c>
      <c r="C55" s="285">
        <f>'Summary-NoCo'!F65</f>
        <v>0.38007054673721336</v>
      </c>
      <c r="D55" s="284">
        <f>'Summary-NoCo'!G65</f>
        <v>12.770370370370369</v>
      </c>
      <c r="E55" s="285">
        <f>'Summary-NoCo'!H65</f>
        <v>0.63851851851851849</v>
      </c>
      <c r="F55" s="284">
        <f>'Summary-NoCo'!I65</f>
        <v>4.887584801621446</v>
      </c>
      <c r="G55" s="285">
        <f>'Summary-NoCo'!J65</f>
        <v>0.24437924008107231</v>
      </c>
      <c r="H55" s="284">
        <f>'Summary-NoCo'!K65</f>
        <v>5.268486050420168E-2</v>
      </c>
      <c r="I55" s="285">
        <f>'Summary-NoCo'!L65</f>
        <v>2.6342430252100841E-3</v>
      </c>
      <c r="J55" s="284">
        <f>'Summary-NoCo'!M65</f>
        <v>0.21023717968</v>
      </c>
      <c r="K55" s="285">
        <f>'Summary-NoCo'!N65</f>
        <v>1.0511858984E-2</v>
      </c>
      <c r="L55" s="284">
        <f>'Summary-NoCo'!O65</f>
        <v>0.21023717968</v>
      </c>
      <c r="M55" s="285">
        <f>'Summary-NoCo'!P65</f>
        <v>1.0511858984E-2</v>
      </c>
      <c r="N55" s="284">
        <f t="shared" si="0"/>
        <v>0.21023717968</v>
      </c>
      <c r="O55" s="285">
        <f t="shared" si="0"/>
        <v>1.0511858984E-2</v>
      </c>
      <c r="P55" s="292" t="s">
        <v>17</v>
      </c>
      <c r="Q55" s="293" t="s">
        <v>17</v>
      </c>
      <c r="R55" s="292" t="s">
        <v>17</v>
      </c>
      <c r="S55" s="293" t="s">
        <v>17</v>
      </c>
    </row>
    <row r="56" spans="1:19" ht="16.5" customHeight="1">
      <c r="A56" s="3376" t="str">
        <f>'Summary-NoCo'!C66</f>
        <v>GEN5</v>
      </c>
      <c r="B56" s="3063">
        <f>'Summary-NoCo'!E66</f>
        <v>7.6014109347442673</v>
      </c>
      <c r="C56" s="3062">
        <f>'Summary-NoCo'!F66</f>
        <v>0.38007054673721336</v>
      </c>
      <c r="D56" s="3063">
        <f>'Summary-NoCo'!G66</f>
        <v>12.770370370370369</v>
      </c>
      <c r="E56" s="3062">
        <f>'Summary-NoCo'!H66</f>
        <v>0.63851851851851849</v>
      </c>
      <c r="F56" s="3063">
        <f>'Summary-NoCo'!I66</f>
        <v>4.887584801621446</v>
      </c>
      <c r="G56" s="3062">
        <f>'Summary-NoCo'!J66</f>
        <v>0.24437924008107231</v>
      </c>
      <c r="H56" s="3063">
        <f>'Summary-NoCo'!K66</f>
        <v>5.268486050420168E-2</v>
      </c>
      <c r="I56" s="3062">
        <f>'Summary-NoCo'!L66</f>
        <v>2.6342430252100841E-3</v>
      </c>
      <c r="J56" s="3063">
        <f>'Summary-NoCo'!M66</f>
        <v>0.21023717968</v>
      </c>
      <c r="K56" s="3062">
        <f>'Summary-NoCo'!N66</f>
        <v>1.0511858984E-2</v>
      </c>
      <c r="L56" s="3063">
        <f>'Summary-NoCo'!O66</f>
        <v>0.21023717968</v>
      </c>
      <c r="M56" s="3062">
        <f>'Summary-NoCo'!P66</f>
        <v>1.0511858984E-2</v>
      </c>
      <c r="N56" s="3063">
        <f t="shared" si="0"/>
        <v>0.21023717968</v>
      </c>
      <c r="O56" s="3062">
        <f t="shared" si="0"/>
        <v>1.0511858984E-2</v>
      </c>
      <c r="P56" s="3060" t="s">
        <v>17</v>
      </c>
      <c r="Q56" s="3061" t="s">
        <v>17</v>
      </c>
      <c r="R56" s="3060" t="s">
        <v>17</v>
      </c>
      <c r="S56" s="3061" t="s">
        <v>17</v>
      </c>
    </row>
    <row r="57" spans="1:19" ht="16.5" customHeight="1">
      <c r="A57" s="3042" t="str">
        <f>'Summary-NoCo'!C67</f>
        <v>GEN6</v>
      </c>
      <c r="B57" s="3043">
        <f>'Summary-NoCo'!E67</f>
        <v>7.6014109347442673</v>
      </c>
      <c r="C57" s="3044">
        <f>'Summary-NoCo'!F67</f>
        <v>0.38007054673721336</v>
      </c>
      <c r="D57" s="3043">
        <f>'Summary-NoCo'!G67</f>
        <v>12.770370370370369</v>
      </c>
      <c r="E57" s="3044">
        <f>'Summary-NoCo'!H67</f>
        <v>0.63851851851851849</v>
      </c>
      <c r="F57" s="3043">
        <f>'Summary-NoCo'!I67</f>
        <v>4.887584801621446</v>
      </c>
      <c r="G57" s="3044">
        <f>'Summary-NoCo'!J67</f>
        <v>0.24437924008107231</v>
      </c>
      <c r="H57" s="3043">
        <f>'Summary-NoCo'!K67</f>
        <v>5.268486050420168E-2</v>
      </c>
      <c r="I57" s="3044">
        <f>'Summary-NoCo'!L67</f>
        <v>2.6342430252100841E-3</v>
      </c>
      <c r="J57" s="3043">
        <f>'Summary-NoCo'!M67</f>
        <v>0.21023717968</v>
      </c>
      <c r="K57" s="3044">
        <f>'Summary-NoCo'!N67</f>
        <v>1.0511858984E-2</v>
      </c>
      <c r="L57" s="3043">
        <f>'Summary-NoCo'!O67</f>
        <v>0.21023717968</v>
      </c>
      <c r="M57" s="3044">
        <f>'Summary-NoCo'!P67</f>
        <v>1.0511858984E-2</v>
      </c>
      <c r="N57" s="3043">
        <f t="shared" ref="N57:O59" si="1">L57</f>
        <v>0.21023717968</v>
      </c>
      <c r="O57" s="3044">
        <f t="shared" si="1"/>
        <v>1.0511858984E-2</v>
      </c>
      <c r="P57" s="3045" t="s">
        <v>17</v>
      </c>
      <c r="Q57" s="3046" t="s">
        <v>17</v>
      </c>
      <c r="R57" s="3045" t="s">
        <v>17</v>
      </c>
      <c r="S57" s="3046" t="s">
        <v>17</v>
      </c>
    </row>
    <row r="58" spans="1:19" ht="16.5" customHeight="1">
      <c r="A58" s="1626" t="str">
        <f>'Summary-NoCo'!C68</f>
        <v>GEN7</v>
      </c>
      <c r="B58" s="2936">
        <f>'Summary-NoCo'!E68</f>
        <v>7.6014109347442673</v>
      </c>
      <c r="C58" s="2937">
        <f>'Summary-NoCo'!F68</f>
        <v>0.38007054673721336</v>
      </c>
      <c r="D58" s="2936">
        <f>'Summary-NoCo'!G68</f>
        <v>12.770370370370369</v>
      </c>
      <c r="E58" s="2937">
        <f>'Summary-NoCo'!H68</f>
        <v>0.63851851851851849</v>
      </c>
      <c r="F58" s="2936">
        <f>'Summary-NoCo'!I68</f>
        <v>4.887584801621446</v>
      </c>
      <c r="G58" s="2937">
        <f>'Summary-NoCo'!J68</f>
        <v>0.24437924008107231</v>
      </c>
      <c r="H58" s="2936">
        <f>'Summary-NoCo'!K68</f>
        <v>5.268486050420168E-2</v>
      </c>
      <c r="I58" s="2937">
        <f>'Summary-NoCo'!L68</f>
        <v>2.6342430252100841E-3</v>
      </c>
      <c r="J58" s="2936">
        <f>'Summary-NoCo'!M68</f>
        <v>0.21023717968</v>
      </c>
      <c r="K58" s="2937">
        <f>'Summary-NoCo'!N68</f>
        <v>1.0511858984E-2</v>
      </c>
      <c r="L58" s="2936">
        <f>'Summary-NoCo'!O68</f>
        <v>0.21023717968</v>
      </c>
      <c r="M58" s="2937">
        <f>'Summary-NoCo'!P68</f>
        <v>1.0511858984E-2</v>
      </c>
      <c r="N58" s="2936">
        <f t="shared" si="1"/>
        <v>0.21023717968</v>
      </c>
      <c r="O58" s="2937">
        <f t="shared" si="1"/>
        <v>1.0511858984E-2</v>
      </c>
      <c r="P58" s="1632" t="s">
        <v>17</v>
      </c>
      <c r="Q58" s="1633" t="s">
        <v>17</v>
      </c>
      <c r="R58" s="1632" t="s">
        <v>17</v>
      </c>
      <c r="S58" s="1633" t="s">
        <v>17</v>
      </c>
    </row>
    <row r="59" spans="1:19" ht="16.5" customHeight="1" thickBot="1">
      <c r="A59" s="3377" t="str">
        <f>'Summary-NoCo'!C69</f>
        <v>GEN8</v>
      </c>
      <c r="B59" s="3378">
        <f>'Summary-NoCo'!E69</f>
        <v>7.6014109347442673</v>
      </c>
      <c r="C59" s="3379">
        <f>'Summary-NoCo'!F69</f>
        <v>0.38007054673721336</v>
      </c>
      <c r="D59" s="3378">
        <f>'Summary-NoCo'!G69</f>
        <v>12.770370370370369</v>
      </c>
      <c r="E59" s="3379">
        <f>'Summary-NoCo'!H69</f>
        <v>0.63851851851851849</v>
      </c>
      <c r="F59" s="3378">
        <f>'Summary-NoCo'!I69</f>
        <v>4.887584801621446</v>
      </c>
      <c r="G59" s="3379">
        <f>'Summary-NoCo'!J69</f>
        <v>0.24437924008107231</v>
      </c>
      <c r="H59" s="3378">
        <f>'Summary-NoCo'!K69</f>
        <v>5.268486050420168E-2</v>
      </c>
      <c r="I59" s="3379">
        <f>'Summary-NoCo'!L69</f>
        <v>2.6342430252100841E-3</v>
      </c>
      <c r="J59" s="3378">
        <f>'Summary-NoCo'!M69</f>
        <v>0.21023717968</v>
      </c>
      <c r="K59" s="3379">
        <f>'Summary-NoCo'!N69</f>
        <v>1.0511858984E-2</v>
      </c>
      <c r="L59" s="3378">
        <f>'Summary-NoCo'!O69</f>
        <v>0.21023717968</v>
      </c>
      <c r="M59" s="3379">
        <f>'Summary-NoCo'!P69</f>
        <v>1.0511858984E-2</v>
      </c>
      <c r="N59" s="3378">
        <f t="shared" si="1"/>
        <v>0.21023717968</v>
      </c>
      <c r="O59" s="3379">
        <f t="shared" si="1"/>
        <v>1.0511858984E-2</v>
      </c>
      <c r="P59" s="3380" t="s">
        <v>17</v>
      </c>
      <c r="Q59" s="3381" t="s">
        <v>17</v>
      </c>
      <c r="R59" s="3380" t="s">
        <v>17</v>
      </c>
      <c r="S59" s="3381" t="s">
        <v>17</v>
      </c>
    </row>
    <row r="60" spans="1:19" ht="13.5" thickBot="1">
      <c r="A60" s="105" t="s">
        <v>50</v>
      </c>
      <c r="B60" s="260">
        <f>SUM(B5:B59)</f>
        <v>95.137731477954119</v>
      </c>
      <c r="C60" s="260">
        <f t="shared" ref="C60:O60" si="2">SUM(C5:C59)</f>
        <v>153.39038909389768</v>
      </c>
      <c r="D60" s="260">
        <f t="shared" si="2"/>
        <v>121.84276796296298</v>
      </c>
      <c r="E60" s="260">
        <f t="shared" si="2"/>
        <v>91.305694048148183</v>
      </c>
      <c r="F60" s="260">
        <f t="shared" si="2"/>
        <v>785.98165624574654</v>
      </c>
      <c r="G60" s="260">
        <f t="shared" si="2"/>
        <v>3055.8008808572899</v>
      </c>
      <c r="H60" s="260">
        <f t="shared" si="2"/>
        <v>3.0847509428571436</v>
      </c>
      <c r="I60" s="260">
        <f t="shared" si="2"/>
        <v>11.686205561848734</v>
      </c>
      <c r="J60" s="260">
        <f t="shared" si="2"/>
        <v>13.433528827247633</v>
      </c>
      <c r="K60" s="260">
        <f t="shared" si="2"/>
        <v>48.311725188456251</v>
      </c>
      <c r="L60" s="260">
        <f t="shared" si="2"/>
        <v>11.380162713620702</v>
      </c>
      <c r="M60" s="260">
        <f t="shared" si="2"/>
        <v>41.735589175862501</v>
      </c>
      <c r="N60" s="260">
        <f t="shared" si="2"/>
        <v>10.748071023881597</v>
      </c>
      <c r="O60" s="260">
        <f t="shared" si="2"/>
        <v>40.794033475423255</v>
      </c>
      <c r="P60" s="262" t="s">
        <v>17</v>
      </c>
      <c r="Q60" s="263" t="s">
        <v>17</v>
      </c>
      <c r="R60" s="262" t="s">
        <v>17</v>
      </c>
      <c r="S60" s="264" t="s">
        <v>17</v>
      </c>
    </row>
    <row r="61" spans="1:19" ht="26.15" customHeight="1">
      <c r="A61" s="4043" t="s">
        <v>1253</v>
      </c>
      <c r="B61" s="4044"/>
      <c r="C61" s="4044"/>
      <c r="D61" s="4044"/>
      <c r="E61" s="4044"/>
      <c r="F61" s="4044"/>
      <c r="G61" s="4044"/>
      <c r="H61" s="4044"/>
      <c r="I61" s="4044"/>
      <c r="J61" s="4044"/>
      <c r="K61" s="4044"/>
      <c r="L61" s="4044"/>
      <c r="M61" s="4044"/>
      <c r="N61" s="4044"/>
      <c r="O61" s="4044"/>
      <c r="P61" s="4044"/>
      <c r="Q61" s="4044"/>
      <c r="R61" s="4044"/>
      <c r="S61" s="4045"/>
    </row>
    <row r="62" spans="1:19">
      <c r="A62" s="101"/>
      <c r="B62" s="101"/>
      <c r="C62" s="101"/>
      <c r="D62" s="101"/>
      <c r="E62" s="101"/>
      <c r="F62" s="101"/>
      <c r="G62" s="101"/>
      <c r="H62" s="101"/>
      <c r="I62" s="101"/>
      <c r="J62" s="101"/>
      <c r="K62" s="101"/>
      <c r="L62" s="101"/>
      <c r="M62" s="101"/>
      <c r="N62" s="101"/>
      <c r="O62" s="101"/>
      <c r="P62" s="101"/>
      <c r="Q62" s="101"/>
      <c r="R62" s="101"/>
      <c r="S62" s="101"/>
    </row>
    <row r="63" spans="1:19" ht="13.25" customHeight="1">
      <c r="A63" s="4033"/>
      <c r="B63" s="4033"/>
      <c r="C63" s="4033"/>
      <c r="D63" s="4033"/>
      <c r="E63" s="4033"/>
      <c r="F63" s="4033"/>
      <c r="G63" s="4033"/>
      <c r="H63" s="4033"/>
      <c r="I63" s="4033"/>
      <c r="J63" s="4033"/>
      <c r="K63" s="4033"/>
      <c r="L63" s="4033"/>
      <c r="M63" s="4033"/>
      <c r="N63" s="4033"/>
      <c r="O63" s="4033"/>
      <c r="P63" s="4033"/>
      <c r="Q63" s="4033"/>
      <c r="R63" s="4033"/>
      <c r="S63" s="4033"/>
    </row>
  </sheetData>
  <mergeCells count="21">
    <mergeCell ref="A61:S61"/>
    <mergeCell ref="A63:S63"/>
    <mergeCell ref="P3:Q3"/>
    <mergeCell ref="R3:S3"/>
    <mergeCell ref="B39:S39"/>
    <mergeCell ref="B23:S23"/>
    <mergeCell ref="B24:S24"/>
    <mergeCell ref="B25:S25"/>
    <mergeCell ref="B36:S36"/>
    <mergeCell ref="B37:S37"/>
    <mergeCell ref="B38:S38"/>
    <mergeCell ref="A1:S1"/>
    <mergeCell ref="A2:S2"/>
    <mergeCell ref="A3:A4"/>
    <mergeCell ref="B3:C3"/>
    <mergeCell ref="D3:E3"/>
    <mergeCell ref="F3:G3"/>
    <mergeCell ref="H3:I3"/>
    <mergeCell ref="J3:K3"/>
    <mergeCell ref="L3:M3"/>
    <mergeCell ref="N3:O3"/>
  </mergeCells>
  <conditionalFormatting sqref="B60">
    <cfRule type="expression" dxfId="20" priority="6" stopIfTrue="1">
      <formula>"if B35 &gt; 10"</formula>
    </cfRule>
  </conditionalFormatting>
  <conditionalFormatting sqref="C60:O60">
    <cfRule type="expression" dxfId="19" priority="1" stopIfTrue="1">
      <formula>"if B35 &gt; 10"</formula>
    </cfRule>
  </conditionalFormatting>
  <printOptions horizontalCentered="1" verticalCentered="1"/>
  <pageMargins left="0.7" right="0.7" top="0.75" bottom="0.75" header="0.3" footer="0.3"/>
  <pageSetup scale="85"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6/14/2019&amp;C&amp;8Table 2-D:  Page &amp;P&amp;R&amp;8Printed &amp;D &amp;T</oddFooter>
  </headerFooter>
  <rowBreaks count="1" manualBreakCount="1">
    <brk id="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theme="1"/>
  </sheetPr>
  <dimension ref="A1:U60"/>
  <sheetViews>
    <sheetView view="pageBreakPreview" topLeftCell="A46" zoomScaleNormal="100" zoomScaleSheetLayoutView="100" zoomScalePageLayoutView="70" workbookViewId="0">
      <selection activeCell="C57" sqref="C57"/>
    </sheetView>
  </sheetViews>
  <sheetFormatPr defaultColWidth="8.6328125" defaultRowHeight="13"/>
  <cols>
    <col min="1" max="1" width="9.453125" style="78" customWidth="1"/>
    <col min="2" max="19" width="7.36328125" style="78" customWidth="1"/>
    <col min="20" max="29" width="7.453125" style="78" customWidth="1"/>
    <col min="30" max="16384" width="8.6328125" style="78"/>
  </cols>
  <sheetData>
    <row r="1" spans="1:21" ht="23.25" customHeight="1">
      <c r="A1" s="4046" t="s">
        <v>1489</v>
      </c>
      <c r="B1" s="4047"/>
      <c r="C1" s="4047"/>
      <c r="D1" s="4047"/>
      <c r="E1" s="4047"/>
      <c r="F1" s="4047"/>
      <c r="G1" s="4047"/>
      <c r="H1" s="4047"/>
      <c r="I1" s="4047"/>
      <c r="J1" s="4047"/>
      <c r="K1" s="4047"/>
      <c r="L1" s="4047"/>
      <c r="M1" s="4047"/>
      <c r="N1" s="4047"/>
      <c r="O1" s="4047"/>
      <c r="P1" s="4047"/>
      <c r="Q1" s="4047"/>
      <c r="R1" s="4047"/>
      <c r="S1" s="4047"/>
      <c r="T1" s="77"/>
      <c r="U1" s="77"/>
    </row>
    <row r="2" spans="1:21" ht="42" customHeight="1" thickBot="1">
      <c r="A2" s="4093" t="s">
        <v>1254</v>
      </c>
      <c r="B2" s="4094"/>
      <c r="C2" s="4094"/>
      <c r="D2" s="4094"/>
      <c r="E2" s="4094"/>
      <c r="F2" s="4094"/>
      <c r="G2" s="4094"/>
      <c r="H2" s="4094"/>
      <c r="I2" s="4094"/>
      <c r="J2" s="4094"/>
      <c r="K2" s="4094"/>
      <c r="L2" s="4094"/>
      <c r="M2" s="4094"/>
      <c r="N2" s="4094"/>
      <c r="O2" s="4094"/>
      <c r="P2" s="4094"/>
      <c r="Q2" s="4094"/>
      <c r="R2" s="4094"/>
      <c r="S2" s="4094"/>
    </row>
    <row r="3" spans="1:21" ht="14.25" customHeight="1">
      <c r="A3" s="4050" t="s">
        <v>148</v>
      </c>
      <c r="B3" s="4040" t="s">
        <v>21</v>
      </c>
      <c r="C3" s="4041"/>
      <c r="D3" s="4040" t="s">
        <v>0</v>
      </c>
      <c r="E3" s="4041"/>
      <c r="F3" s="4042" t="s">
        <v>149</v>
      </c>
      <c r="G3" s="4052"/>
      <c r="H3" s="4040" t="s">
        <v>150</v>
      </c>
      <c r="I3" s="4041"/>
      <c r="J3" s="4042" t="s">
        <v>1258</v>
      </c>
      <c r="K3" s="4052"/>
      <c r="L3" s="4040" t="s">
        <v>156</v>
      </c>
      <c r="M3" s="4041"/>
      <c r="N3" s="4040" t="s">
        <v>157</v>
      </c>
      <c r="O3" s="4041"/>
      <c r="P3" s="4040" t="s">
        <v>153</v>
      </c>
      <c r="Q3" s="4041"/>
      <c r="R3" s="4040" t="s">
        <v>154</v>
      </c>
      <c r="S3" s="4041"/>
    </row>
    <row r="4" spans="1:21" ht="13.5" customHeight="1">
      <c r="A4" s="4095"/>
      <c r="B4" s="83" t="s">
        <v>1908</v>
      </c>
      <c r="C4" s="84" t="s">
        <v>155</v>
      </c>
      <c r="D4" s="83" t="s">
        <v>1908</v>
      </c>
      <c r="E4" s="84" t="s">
        <v>155</v>
      </c>
      <c r="F4" s="83" t="s">
        <v>1908</v>
      </c>
      <c r="G4" s="103" t="s">
        <v>155</v>
      </c>
      <c r="H4" s="83" t="s">
        <v>1908</v>
      </c>
      <c r="I4" s="84" t="s">
        <v>155</v>
      </c>
      <c r="J4" s="83" t="s">
        <v>1908</v>
      </c>
      <c r="K4" s="103" t="s">
        <v>155</v>
      </c>
      <c r="L4" s="83" t="s">
        <v>1908</v>
      </c>
      <c r="M4" s="84" t="s">
        <v>155</v>
      </c>
      <c r="N4" s="83" t="s">
        <v>1908</v>
      </c>
      <c r="O4" s="84" t="s">
        <v>155</v>
      </c>
      <c r="P4" s="83" t="s">
        <v>22</v>
      </c>
      <c r="Q4" s="84" t="s">
        <v>155</v>
      </c>
      <c r="R4" s="83" t="s">
        <v>22</v>
      </c>
      <c r="S4" s="84" t="s">
        <v>155</v>
      </c>
    </row>
    <row r="5" spans="1:21" ht="16.5" customHeight="1">
      <c r="A5" s="283" t="str">
        <f>'2-A_4TURB'!A7</f>
        <v>SHTR1</v>
      </c>
      <c r="B5" s="284">
        <f>Burners!M14</f>
        <v>1.730961</v>
      </c>
      <c r="C5" s="285">
        <f>Burners!R14</f>
        <v>7.5816091799999992</v>
      </c>
      <c r="D5" s="284">
        <f>Burners!N14</f>
        <v>1.0567289999999998</v>
      </c>
      <c r="E5" s="285">
        <f>Burners!S14</f>
        <v>4.6284730199999995</v>
      </c>
      <c r="F5" s="286">
        <f>Burners!O14</f>
        <v>0.414912</v>
      </c>
      <c r="G5" s="287">
        <f>Burners!T14</f>
        <v>1.81731456</v>
      </c>
      <c r="H5" s="284">
        <f>Burners!P14</f>
        <v>0.14300735294117647</v>
      </c>
      <c r="I5" s="285">
        <f>Burners!U14</f>
        <v>0.62637220588235298</v>
      </c>
      <c r="J5" s="413">
        <f t="shared" ref="J5:K9" si="0">L5</f>
        <v>0.48304705882352933</v>
      </c>
      <c r="K5" s="414">
        <f t="shared" si="0"/>
        <v>2.1157461176470584</v>
      </c>
      <c r="L5" s="290">
        <f>Burners!Q14</f>
        <v>0.48304705882352933</v>
      </c>
      <c r="M5" s="291">
        <f>Burners!V14</f>
        <v>2.1157461176470584</v>
      </c>
      <c r="N5" s="288">
        <f t="shared" ref="N5:O9" si="1">L5</f>
        <v>0.48304705882352933</v>
      </c>
      <c r="O5" s="289">
        <f t="shared" si="1"/>
        <v>2.1157461176470584</v>
      </c>
      <c r="P5" s="292" t="s">
        <v>17</v>
      </c>
      <c r="Q5" s="293" t="s">
        <v>17</v>
      </c>
      <c r="R5" s="294" t="s">
        <v>17</v>
      </c>
      <c r="S5" s="293" t="s">
        <v>17</v>
      </c>
    </row>
    <row r="6" spans="1:21" ht="16.5" customHeight="1">
      <c r="A6" s="256" t="str">
        <f>'2-A_4TURB'!A9</f>
        <v>SHTR2</v>
      </c>
      <c r="B6" s="95">
        <f>Burners!M15</f>
        <v>1.730961</v>
      </c>
      <c r="C6" s="96">
        <f>Burners!R15</f>
        <v>7.5816091799999992</v>
      </c>
      <c r="D6" s="95">
        <f>Burners!N15</f>
        <v>1.0567289999999998</v>
      </c>
      <c r="E6" s="96">
        <f>Burners!S15</f>
        <v>4.6284730199999995</v>
      </c>
      <c r="F6" s="93">
        <f>Burners!O15</f>
        <v>0.414912</v>
      </c>
      <c r="G6" s="94">
        <f>Burners!T15</f>
        <v>1.81731456</v>
      </c>
      <c r="H6" s="95">
        <f>Burners!P15</f>
        <v>0.14300735294117647</v>
      </c>
      <c r="I6" s="96">
        <f>Burners!U15</f>
        <v>0.62637220588235298</v>
      </c>
      <c r="J6" s="572">
        <f t="shared" si="0"/>
        <v>0.48304705882352933</v>
      </c>
      <c r="K6" s="573">
        <f t="shared" si="0"/>
        <v>2.1157461176470584</v>
      </c>
      <c r="L6" s="362">
        <f>Burners!Q15</f>
        <v>0.48304705882352933</v>
      </c>
      <c r="M6" s="104">
        <f>Burners!V15</f>
        <v>2.1157461176470584</v>
      </c>
      <c r="N6" s="360">
        <f t="shared" si="1"/>
        <v>0.48304705882352933</v>
      </c>
      <c r="O6" s="361">
        <f t="shared" si="1"/>
        <v>2.1157461176470584</v>
      </c>
      <c r="P6" s="91" t="s">
        <v>17</v>
      </c>
      <c r="Q6" s="92" t="s">
        <v>17</v>
      </c>
      <c r="R6" s="89" t="s">
        <v>17</v>
      </c>
      <c r="S6" s="92" t="s">
        <v>17</v>
      </c>
    </row>
    <row r="7" spans="1:21" ht="16.5" customHeight="1">
      <c r="A7" s="356" t="str">
        <f>'2-A_4TURB'!A11</f>
        <v>RHTR1</v>
      </c>
      <c r="B7" s="284">
        <f>Burners!M16</f>
        <v>1.0450380000000001</v>
      </c>
      <c r="C7" s="285">
        <f>Burners!R16</f>
        <v>4.5772664400000007</v>
      </c>
      <c r="D7" s="284">
        <f>Burners!N16</f>
        <v>0.63798199999999994</v>
      </c>
      <c r="E7" s="285">
        <f>Burners!S16</f>
        <v>2.7943611599999998</v>
      </c>
      <c r="F7" s="286">
        <f>Burners!O16</f>
        <v>0.250496</v>
      </c>
      <c r="G7" s="287">
        <f>Burners!T16</f>
        <v>1.09717248</v>
      </c>
      <c r="H7" s="284">
        <f>Burners!P16</f>
        <v>8.633823529411766E-2</v>
      </c>
      <c r="I7" s="285">
        <f>Burners!U16</f>
        <v>0.37816147058823535</v>
      </c>
      <c r="J7" s="413">
        <f t="shared" si="0"/>
        <v>0.29163137254901961</v>
      </c>
      <c r="K7" s="414">
        <f t="shared" si="0"/>
        <v>1.2773454117647058</v>
      </c>
      <c r="L7" s="290">
        <f>Burners!Q16</f>
        <v>0.29163137254901961</v>
      </c>
      <c r="M7" s="291">
        <f>Burners!V16</f>
        <v>1.2773454117647058</v>
      </c>
      <c r="N7" s="288">
        <f t="shared" si="1"/>
        <v>0.29163137254901961</v>
      </c>
      <c r="O7" s="289">
        <f t="shared" si="1"/>
        <v>1.2773454117647058</v>
      </c>
      <c r="P7" s="292" t="s">
        <v>17</v>
      </c>
      <c r="Q7" s="293" t="s">
        <v>17</v>
      </c>
      <c r="R7" s="294" t="s">
        <v>17</v>
      </c>
      <c r="S7" s="293" t="s">
        <v>17</v>
      </c>
    </row>
    <row r="8" spans="1:21" ht="16.5" customHeight="1">
      <c r="A8" s="256" t="str">
        <f>'2-A_4TURB'!A13</f>
        <v>RHTR2</v>
      </c>
      <c r="B8" s="95">
        <f>Burners!M17</f>
        <v>1.0450380000000001</v>
      </c>
      <c r="C8" s="96">
        <f>Burners!R17</f>
        <v>4.5772664400000007</v>
      </c>
      <c r="D8" s="95">
        <f>Burners!N17</f>
        <v>0.63798199999999994</v>
      </c>
      <c r="E8" s="96">
        <f>Burners!S17</f>
        <v>2.7943611599999998</v>
      </c>
      <c r="F8" s="93">
        <f>Burners!O17</f>
        <v>0.250496</v>
      </c>
      <c r="G8" s="94">
        <f>Burners!T17</f>
        <v>1.09717248</v>
      </c>
      <c r="H8" s="95">
        <f>Burners!P17</f>
        <v>8.633823529411766E-2</v>
      </c>
      <c r="I8" s="96">
        <f>Burners!U17</f>
        <v>0.37816147058823535</v>
      </c>
      <c r="J8" s="572">
        <f t="shared" si="0"/>
        <v>0.29163137254901961</v>
      </c>
      <c r="K8" s="573">
        <f t="shared" si="0"/>
        <v>1.2773454117647058</v>
      </c>
      <c r="L8" s="362">
        <f>Burners!Q17</f>
        <v>0.29163137254901961</v>
      </c>
      <c r="M8" s="104">
        <f>Burners!V17</f>
        <v>1.2773454117647058</v>
      </c>
      <c r="N8" s="360">
        <f t="shared" si="1"/>
        <v>0.29163137254901961</v>
      </c>
      <c r="O8" s="361">
        <f t="shared" si="1"/>
        <v>1.2773454117647058</v>
      </c>
      <c r="P8" s="91" t="s">
        <v>17</v>
      </c>
      <c r="Q8" s="92" t="s">
        <v>17</v>
      </c>
      <c r="R8" s="89" t="s">
        <v>17</v>
      </c>
      <c r="S8" s="92" t="s">
        <v>17</v>
      </c>
    </row>
    <row r="9" spans="1:21" ht="16.5" customHeight="1">
      <c r="A9" s="356" t="str">
        <f>'2-A_4TURB'!A15</f>
        <v>RHTR3</v>
      </c>
      <c r="B9" s="284">
        <f>Burners!M18</f>
        <v>1.0450380000000001</v>
      </c>
      <c r="C9" s="285">
        <f>Burners!R18</f>
        <v>4.5772664400000007</v>
      </c>
      <c r="D9" s="284">
        <f>Burners!N18</f>
        <v>0.63798199999999994</v>
      </c>
      <c r="E9" s="285">
        <f>Burners!S18</f>
        <v>2.7943611599999998</v>
      </c>
      <c r="F9" s="286">
        <f>Burners!O18</f>
        <v>0.250496</v>
      </c>
      <c r="G9" s="287">
        <f>Burners!T18</f>
        <v>1.09717248</v>
      </c>
      <c r="H9" s="284">
        <f>Burners!P18</f>
        <v>8.633823529411766E-2</v>
      </c>
      <c r="I9" s="285">
        <f>Burners!U18</f>
        <v>0.37816147058823535</v>
      </c>
      <c r="J9" s="413">
        <f t="shared" si="0"/>
        <v>0.29163137254901961</v>
      </c>
      <c r="K9" s="414">
        <f t="shared" si="0"/>
        <v>1.2773454117647058</v>
      </c>
      <c r="L9" s="290">
        <f>Burners!Q18</f>
        <v>0.29163137254901961</v>
      </c>
      <c r="M9" s="291">
        <f>Burners!V18</f>
        <v>1.2773454117647058</v>
      </c>
      <c r="N9" s="288">
        <f t="shared" si="1"/>
        <v>0.29163137254901961</v>
      </c>
      <c r="O9" s="289">
        <f t="shared" si="1"/>
        <v>1.2773454117647058</v>
      </c>
      <c r="P9" s="292" t="s">
        <v>17</v>
      </c>
      <c r="Q9" s="293" t="s">
        <v>17</v>
      </c>
      <c r="R9" s="294" t="s">
        <v>17</v>
      </c>
      <c r="S9" s="293" t="s">
        <v>17</v>
      </c>
    </row>
    <row r="10" spans="1:21" ht="16.5" customHeight="1">
      <c r="A10" s="4066" t="str">
        <f>'2-E-NoCo'!A23</f>
        <v>FL1-FL3 - 
Pilot/Purge</v>
      </c>
      <c r="B10" s="4063">
        <f>'2-E-NoCo'!B23</f>
        <v>2.6783137254439984</v>
      </c>
      <c r="C10" s="4060">
        <f>'2-E-NoCo'!C23</f>
        <v>11.73101411744471</v>
      </c>
      <c r="D10" s="4063">
        <f>'2-E-NoCo'!D23</f>
        <v>5.3469234156508803</v>
      </c>
      <c r="E10" s="4060">
        <f>'2-E-NoCo'!E23</f>
        <v>23.419524560550855</v>
      </c>
      <c r="F10" s="4063">
        <f>'2-E-NoCo'!F23</f>
        <v>0.80398014094115633</v>
      </c>
      <c r="G10" s="4060">
        <f>'2-E-NoCo'!G23</f>
        <v>3.5214330173222645</v>
      </c>
      <c r="H10" s="4063">
        <f>'2-E-NoCo'!H23</f>
        <v>0</v>
      </c>
      <c r="I10" s="4060">
        <f>'2-E-NoCo'!I23</f>
        <v>0</v>
      </c>
      <c r="J10" s="4063">
        <f>'2-E-NoCo'!J23</f>
        <v>0.14460915255310022</v>
      </c>
      <c r="K10" s="4060">
        <f>'2-E-NoCo'!K23</f>
        <v>0.63338808818257897</v>
      </c>
      <c r="L10" s="4063">
        <f>'2-E-NoCo'!L23</f>
        <v>0.14460915255310022</v>
      </c>
      <c r="M10" s="4060">
        <f>'2-E-NoCo'!M23</f>
        <v>0.63338808818257897</v>
      </c>
      <c r="N10" s="4063">
        <f>'2-E-NoCo'!N23</f>
        <v>0.14460915255310022</v>
      </c>
      <c r="O10" s="4060">
        <f>'2-E-NoCo'!O23</f>
        <v>0.63338808818257897</v>
      </c>
      <c r="P10" s="4054" t="s">
        <v>17</v>
      </c>
      <c r="Q10" s="4057" t="s">
        <v>17</v>
      </c>
      <c r="R10" s="4054" t="s">
        <v>17</v>
      </c>
      <c r="S10" s="4057" t="s">
        <v>17</v>
      </c>
    </row>
    <row r="11" spans="1:21" ht="16.5" customHeight="1">
      <c r="A11" s="4067"/>
      <c r="B11" s="4064"/>
      <c r="C11" s="4061"/>
      <c r="D11" s="4064"/>
      <c r="E11" s="4061"/>
      <c r="F11" s="4064"/>
      <c r="G11" s="4061"/>
      <c r="H11" s="4064"/>
      <c r="I11" s="4061"/>
      <c r="J11" s="4064"/>
      <c r="K11" s="4061"/>
      <c r="L11" s="4064"/>
      <c r="M11" s="4061"/>
      <c r="N11" s="4064"/>
      <c r="O11" s="4061"/>
      <c r="P11" s="4055"/>
      <c r="Q11" s="4058"/>
      <c r="R11" s="4055"/>
      <c r="S11" s="4058"/>
    </row>
    <row r="12" spans="1:21" ht="16.5" customHeight="1">
      <c r="A12" s="4068"/>
      <c r="B12" s="4065"/>
      <c r="C12" s="4062"/>
      <c r="D12" s="4065"/>
      <c r="E12" s="4062"/>
      <c r="F12" s="4065"/>
      <c r="G12" s="4062"/>
      <c r="H12" s="4065"/>
      <c r="I12" s="4062"/>
      <c r="J12" s="4065"/>
      <c r="K12" s="4062"/>
      <c r="L12" s="4065"/>
      <c r="M12" s="4062"/>
      <c r="N12" s="4065"/>
      <c r="O12" s="4062"/>
      <c r="P12" s="4056"/>
      <c r="Q12" s="4059"/>
      <c r="R12" s="4056"/>
      <c r="S12" s="4059"/>
    </row>
    <row r="13" spans="1:21" ht="16.5" customHeight="1">
      <c r="A13" s="4081" t="str">
        <f>'2-E-NoCo'!A24</f>
        <v>FL1-FL3OVHD-SSM</v>
      </c>
      <c r="B13" s="4072">
        <f>'2-E-NoCo'!B24</f>
        <v>61.513056157500003</v>
      </c>
      <c r="C13" s="4069">
        <f>'2-E-NoCo'!C24</f>
        <v>11.195376220665</v>
      </c>
      <c r="D13" s="4072">
        <f>'2-E-NoCo'!D24</f>
        <v>122.80323892312499</v>
      </c>
      <c r="E13" s="4069">
        <f>'2-E-NoCo'!E24</f>
        <v>22.350189484008748</v>
      </c>
      <c r="F13" s="4072">
        <f>'2-E-NoCo'!F24</f>
        <v>404.28661353006083</v>
      </c>
      <c r="G13" s="4069">
        <f>'2-E-NoCo'!G24</f>
        <v>73.580163662471065</v>
      </c>
      <c r="H13" s="4072">
        <f>'2-E-NoCo'!H24</f>
        <v>0</v>
      </c>
      <c r="I13" s="4069">
        <f>'2-E-NoCo'!I24</f>
        <v>0</v>
      </c>
      <c r="J13" s="4072">
        <f>'2-E-NoCo'!J24</f>
        <v>3.3212505455882351</v>
      </c>
      <c r="K13" s="4069">
        <f>'2-E-NoCo'!K24</f>
        <v>0.60446759929705873</v>
      </c>
      <c r="L13" s="4072">
        <f>'2-E-NoCo'!L24</f>
        <v>3.3212505455882351</v>
      </c>
      <c r="M13" s="4069">
        <f>'2-E-NoCo'!M24</f>
        <v>0.60446759929705873</v>
      </c>
      <c r="N13" s="4072">
        <f>'2-E-NoCo'!N24</f>
        <v>3.3212505455882351</v>
      </c>
      <c r="O13" s="4069">
        <f>'2-E-NoCo'!O24</f>
        <v>0.60446759929705873</v>
      </c>
      <c r="P13" s="4075" t="s">
        <v>17</v>
      </c>
      <c r="Q13" s="4078" t="s">
        <v>17</v>
      </c>
      <c r="R13" s="4075" t="s">
        <v>17</v>
      </c>
      <c r="S13" s="4078" t="s">
        <v>17</v>
      </c>
    </row>
    <row r="14" spans="1:21" ht="16.5" customHeight="1">
      <c r="A14" s="4082"/>
      <c r="B14" s="4073"/>
      <c r="C14" s="4070"/>
      <c r="D14" s="4073"/>
      <c r="E14" s="4070"/>
      <c r="F14" s="4073"/>
      <c r="G14" s="4070"/>
      <c r="H14" s="4073"/>
      <c r="I14" s="4070"/>
      <c r="J14" s="4073"/>
      <c r="K14" s="4070"/>
      <c r="L14" s="4073"/>
      <c r="M14" s="4070"/>
      <c r="N14" s="4073"/>
      <c r="O14" s="4070"/>
      <c r="P14" s="4076"/>
      <c r="Q14" s="4079"/>
      <c r="R14" s="4076"/>
      <c r="S14" s="4079"/>
    </row>
    <row r="15" spans="1:21" ht="16.5" customHeight="1">
      <c r="A15" s="4083"/>
      <c r="B15" s="4074"/>
      <c r="C15" s="4071"/>
      <c r="D15" s="4074"/>
      <c r="E15" s="4071"/>
      <c r="F15" s="4074"/>
      <c r="G15" s="4071"/>
      <c r="H15" s="4074"/>
      <c r="I15" s="4071"/>
      <c r="J15" s="4074"/>
      <c r="K15" s="4071"/>
      <c r="L15" s="4074"/>
      <c r="M15" s="4071"/>
      <c r="N15" s="4074"/>
      <c r="O15" s="4071"/>
      <c r="P15" s="4077"/>
      <c r="Q15" s="4080"/>
      <c r="R15" s="4077"/>
      <c r="S15" s="4080"/>
    </row>
    <row r="16" spans="1:21" ht="16.5" customHeight="1">
      <c r="A16" s="4066" t="str">
        <f>'2-E-NoCo'!A25</f>
        <v>FL1-FL3CRYO-SSM</v>
      </c>
      <c r="B16" s="4063">
        <f>'2-E-NoCo'!B25</f>
        <v>102.42580604979864</v>
      </c>
      <c r="C16" s="4060">
        <f>'2-E-NoCo'!C25</f>
        <v>18.641496701063353</v>
      </c>
      <c r="D16" s="4063">
        <f>'2-E-NoCo'!D25</f>
        <v>204.48050410666323</v>
      </c>
      <c r="E16" s="4060">
        <f>'2-E-NoCo'!E25</f>
        <v>37.215451747412708</v>
      </c>
      <c r="F16" s="4063">
        <f>'2-E-NoCo'!F25</f>
        <v>210.13055132600644</v>
      </c>
      <c r="G16" s="4060">
        <f>'2-E-NoCo'!G25</f>
        <v>38.243760341333171</v>
      </c>
      <c r="H16" s="4063">
        <f>'2-E-NoCo'!H25</f>
        <v>5.0643749702923742E-2</v>
      </c>
      <c r="I16" s="4060">
        <f>'2-E-NoCo'!I25</f>
        <v>9.2171624459321221E-3</v>
      </c>
      <c r="J16" s="4063">
        <f>'2-E-NoCo'!J25</f>
        <v>5.2857362398266847</v>
      </c>
      <c r="K16" s="4060">
        <f>'2-E-NoCo'!K25</f>
        <v>0.96200399564845651</v>
      </c>
      <c r="L16" s="4063">
        <f>'2-E-NoCo'!L25</f>
        <v>5.2857362398266847</v>
      </c>
      <c r="M16" s="4060">
        <f>'2-E-NoCo'!M25</f>
        <v>0.96200399564845651</v>
      </c>
      <c r="N16" s="4063">
        <f>'2-E-NoCo'!N25</f>
        <v>5.2857362398266847</v>
      </c>
      <c r="O16" s="4060">
        <f>'2-E-NoCo'!O25</f>
        <v>0.96200399564845651</v>
      </c>
      <c r="P16" s="4054" t="s">
        <v>17</v>
      </c>
      <c r="Q16" s="4057" t="s">
        <v>17</v>
      </c>
      <c r="R16" s="4054" t="s">
        <v>17</v>
      </c>
      <c r="S16" s="4057" t="s">
        <v>17</v>
      </c>
    </row>
    <row r="17" spans="1:19" ht="16.5" customHeight="1">
      <c r="A17" s="4067"/>
      <c r="B17" s="4064"/>
      <c r="C17" s="4061"/>
      <c r="D17" s="4064"/>
      <c r="E17" s="4061"/>
      <c r="F17" s="4064"/>
      <c r="G17" s="4061"/>
      <c r="H17" s="4064"/>
      <c r="I17" s="4061"/>
      <c r="J17" s="4064"/>
      <c r="K17" s="4061"/>
      <c r="L17" s="4064"/>
      <c r="M17" s="4061"/>
      <c r="N17" s="4064"/>
      <c r="O17" s="4061"/>
      <c r="P17" s="4055"/>
      <c r="Q17" s="4058"/>
      <c r="R17" s="4055"/>
      <c r="S17" s="4058"/>
    </row>
    <row r="18" spans="1:19" ht="16.5" customHeight="1">
      <c r="A18" s="4068"/>
      <c r="B18" s="4065"/>
      <c r="C18" s="4062"/>
      <c r="D18" s="4065"/>
      <c r="E18" s="4062"/>
      <c r="F18" s="4065"/>
      <c r="G18" s="4062"/>
      <c r="H18" s="4065"/>
      <c r="I18" s="4062"/>
      <c r="J18" s="4065"/>
      <c r="K18" s="4062"/>
      <c r="L18" s="4065"/>
      <c r="M18" s="4062"/>
      <c r="N18" s="4065"/>
      <c r="O18" s="4062"/>
      <c r="P18" s="4056"/>
      <c r="Q18" s="4059"/>
      <c r="R18" s="4056"/>
      <c r="S18" s="4059"/>
    </row>
    <row r="19" spans="1:19" ht="16.5" customHeight="1">
      <c r="A19" s="356" t="str">
        <f>'2-A_4TURB'!A27</f>
        <v>IFR1</v>
      </c>
      <c r="B19" s="579" t="s">
        <v>17</v>
      </c>
      <c r="C19" s="580" t="s">
        <v>17</v>
      </c>
      <c r="D19" s="579" t="s">
        <v>17</v>
      </c>
      <c r="E19" s="580" t="s">
        <v>17</v>
      </c>
      <c r="F19" s="579">
        <f>'IFR Tanks (IFR1-IFR4)'!C41</f>
        <v>1.1752020371542549</v>
      </c>
      <c r="G19" s="580">
        <f>'IFR Tanks (IFR1-IFR4)'!D41</f>
        <v>5.1473849227356343</v>
      </c>
      <c r="H19" s="579" t="s">
        <v>17</v>
      </c>
      <c r="I19" s="580" t="s">
        <v>17</v>
      </c>
      <c r="J19" s="579" t="s">
        <v>17</v>
      </c>
      <c r="K19" s="580" t="s">
        <v>17</v>
      </c>
      <c r="L19" s="579" t="s">
        <v>17</v>
      </c>
      <c r="M19" s="580" t="s">
        <v>17</v>
      </c>
      <c r="N19" s="579" t="s">
        <v>17</v>
      </c>
      <c r="O19" s="580" t="s">
        <v>17</v>
      </c>
      <c r="P19" s="292" t="s">
        <v>17</v>
      </c>
      <c r="Q19" s="293" t="s">
        <v>17</v>
      </c>
      <c r="R19" s="294" t="s">
        <v>17</v>
      </c>
      <c r="S19" s="293" t="s">
        <v>17</v>
      </c>
    </row>
    <row r="20" spans="1:19" ht="16.5" customHeight="1">
      <c r="A20" s="256" t="str">
        <f>'2-A_4TURB'!A29</f>
        <v>IFR2</v>
      </c>
      <c r="B20" s="577" t="s">
        <v>17</v>
      </c>
      <c r="C20" s="578" t="s">
        <v>17</v>
      </c>
      <c r="D20" s="577" t="s">
        <v>17</v>
      </c>
      <c r="E20" s="578" t="s">
        <v>17</v>
      </c>
      <c r="F20" s="93">
        <f>F19</f>
        <v>1.1752020371542549</v>
      </c>
      <c r="G20" s="94">
        <f>G19</f>
        <v>5.1473849227356343</v>
      </c>
      <c r="H20" s="577" t="s">
        <v>17</v>
      </c>
      <c r="I20" s="578" t="s">
        <v>17</v>
      </c>
      <c r="J20" s="572" t="s">
        <v>17</v>
      </c>
      <c r="K20" s="573" t="s">
        <v>17</v>
      </c>
      <c r="L20" s="577" t="s">
        <v>17</v>
      </c>
      <c r="M20" s="578" t="s">
        <v>17</v>
      </c>
      <c r="N20" s="577" t="s">
        <v>17</v>
      </c>
      <c r="O20" s="578" t="s">
        <v>17</v>
      </c>
      <c r="P20" s="91" t="s">
        <v>17</v>
      </c>
      <c r="Q20" s="92" t="s">
        <v>17</v>
      </c>
      <c r="R20" s="89" t="s">
        <v>17</v>
      </c>
      <c r="S20" s="92" t="s">
        <v>17</v>
      </c>
    </row>
    <row r="21" spans="1:19" ht="16.5" customHeight="1">
      <c r="A21" s="356" t="str">
        <f>'2-A_4TURB'!A31</f>
        <v>IFR3</v>
      </c>
      <c r="B21" s="579" t="s">
        <v>17</v>
      </c>
      <c r="C21" s="580" t="s">
        <v>17</v>
      </c>
      <c r="D21" s="579" t="s">
        <v>17</v>
      </c>
      <c r="E21" s="580" t="s">
        <v>17</v>
      </c>
      <c r="F21" s="286">
        <f>F19</f>
        <v>1.1752020371542549</v>
      </c>
      <c r="G21" s="287">
        <f>G19</f>
        <v>5.1473849227356343</v>
      </c>
      <c r="H21" s="579" t="s">
        <v>17</v>
      </c>
      <c r="I21" s="580" t="s">
        <v>17</v>
      </c>
      <c r="J21" s="413" t="s">
        <v>17</v>
      </c>
      <c r="K21" s="414" t="s">
        <v>17</v>
      </c>
      <c r="L21" s="579" t="s">
        <v>17</v>
      </c>
      <c r="M21" s="580" t="s">
        <v>17</v>
      </c>
      <c r="N21" s="579" t="s">
        <v>17</v>
      </c>
      <c r="O21" s="580" t="s">
        <v>17</v>
      </c>
      <c r="P21" s="292" t="s">
        <v>17</v>
      </c>
      <c r="Q21" s="293" t="s">
        <v>17</v>
      </c>
      <c r="R21" s="294" t="s">
        <v>17</v>
      </c>
      <c r="S21" s="293" t="s">
        <v>17</v>
      </c>
    </row>
    <row r="22" spans="1:19" ht="16.5" customHeight="1">
      <c r="A22" s="256" t="str">
        <f>'2-A_4TURB'!A33</f>
        <v>IFR4</v>
      </c>
      <c r="B22" s="577" t="s">
        <v>17</v>
      </c>
      <c r="C22" s="578" t="s">
        <v>17</v>
      </c>
      <c r="D22" s="577" t="s">
        <v>17</v>
      </c>
      <c r="E22" s="578" t="s">
        <v>17</v>
      </c>
      <c r="F22" s="93">
        <f>F19</f>
        <v>1.1752020371542549</v>
      </c>
      <c r="G22" s="94">
        <f>G19</f>
        <v>5.1473849227356343</v>
      </c>
      <c r="H22" s="577" t="s">
        <v>17</v>
      </c>
      <c r="I22" s="578" t="s">
        <v>17</v>
      </c>
      <c r="J22" s="572" t="s">
        <v>17</v>
      </c>
      <c r="K22" s="573" t="s">
        <v>17</v>
      </c>
      <c r="L22" s="577" t="s">
        <v>17</v>
      </c>
      <c r="M22" s="578" t="s">
        <v>17</v>
      </c>
      <c r="N22" s="577" t="s">
        <v>17</v>
      </c>
      <c r="O22" s="578" t="s">
        <v>17</v>
      </c>
      <c r="P22" s="91" t="s">
        <v>17</v>
      </c>
      <c r="Q22" s="92" t="s">
        <v>17</v>
      </c>
      <c r="R22" s="89" t="s">
        <v>17</v>
      </c>
      <c r="S22" s="92" t="s">
        <v>17</v>
      </c>
    </row>
    <row r="23" spans="1:19" ht="16.5" customHeight="1">
      <c r="A23" s="356" t="str">
        <f>'2-A_4TURB'!A35</f>
        <v>OTK1</v>
      </c>
      <c r="B23" s="4087" t="str">
        <f>'Summary-Co'!E27</f>
        <v>Emissions represented at ECD1.</v>
      </c>
      <c r="C23" s="4088"/>
      <c r="D23" s="4088"/>
      <c r="E23" s="4088"/>
      <c r="F23" s="4088"/>
      <c r="G23" s="4088"/>
      <c r="H23" s="4088"/>
      <c r="I23" s="4088"/>
      <c r="J23" s="4088"/>
      <c r="K23" s="4088"/>
      <c r="L23" s="4088"/>
      <c r="M23" s="4088"/>
      <c r="N23" s="4088"/>
      <c r="O23" s="4088"/>
      <c r="P23" s="4088"/>
      <c r="Q23" s="4088"/>
      <c r="R23" s="4088"/>
      <c r="S23" s="4089"/>
    </row>
    <row r="24" spans="1:19" ht="16.5" customHeight="1">
      <c r="A24" s="256" t="str">
        <f>'2-A_4TURB'!A37</f>
        <v>OTK2</v>
      </c>
      <c r="B24" s="4084" t="str">
        <f>'Summary-Co'!E28</f>
        <v>Emissions represented at ECD1.</v>
      </c>
      <c r="C24" s="4085"/>
      <c r="D24" s="4085"/>
      <c r="E24" s="4085"/>
      <c r="F24" s="4085"/>
      <c r="G24" s="4085"/>
      <c r="H24" s="4085"/>
      <c r="I24" s="4085"/>
      <c r="J24" s="4085"/>
      <c r="K24" s="4085"/>
      <c r="L24" s="4085"/>
      <c r="M24" s="4085"/>
      <c r="N24" s="4085"/>
      <c r="O24" s="4085"/>
      <c r="P24" s="4085"/>
      <c r="Q24" s="4085"/>
      <c r="R24" s="4085"/>
      <c r="S24" s="4086"/>
    </row>
    <row r="25" spans="1:19" ht="16.5" customHeight="1">
      <c r="A25" s="356" t="str">
        <f>'2-A_4TURB'!A39</f>
        <v>OTK3</v>
      </c>
      <c r="B25" s="4087" t="str">
        <f>'Summary-Co'!E29</f>
        <v>Emissions represented at ECD1.</v>
      </c>
      <c r="C25" s="4088"/>
      <c r="D25" s="4088"/>
      <c r="E25" s="4088"/>
      <c r="F25" s="4088"/>
      <c r="G25" s="4088"/>
      <c r="H25" s="4088"/>
      <c r="I25" s="4088"/>
      <c r="J25" s="4088"/>
      <c r="K25" s="4088"/>
      <c r="L25" s="4088"/>
      <c r="M25" s="4088"/>
      <c r="N25" s="4088"/>
      <c r="O25" s="4088"/>
      <c r="P25" s="4088"/>
      <c r="Q25" s="4088"/>
      <c r="R25" s="4088"/>
      <c r="S25" s="4089"/>
    </row>
    <row r="26" spans="1:19" ht="16.5" customHeight="1">
      <c r="A26" s="256" t="str">
        <f>'2-A_4TURB'!A41</f>
        <v>OTK4</v>
      </c>
      <c r="B26" s="4084" t="str">
        <f>'Summary-Co'!E30</f>
        <v>Emissions represented at ECD1.</v>
      </c>
      <c r="C26" s="4085"/>
      <c r="D26" s="4085"/>
      <c r="E26" s="4085"/>
      <c r="F26" s="4085"/>
      <c r="G26" s="4085"/>
      <c r="H26" s="4085"/>
      <c r="I26" s="4085"/>
      <c r="J26" s="4085"/>
      <c r="K26" s="4085"/>
      <c r="L26" s="4085"/>
      <c r="M26" s="4085"/>
      <c r="N26" s="4085"/>
      <c r="O26" s="4085"/>
      <c r="P26" s="4085"/>
      <c r="Q26" s="4085"/>
      <c r="R26" s="4085"/>
      <c r="S26" s="4086"/>
    </row>
    <row r="27" spans="1:19" ht="16.5" customHeight="1">
      <c r="A27" s="356" t="str">
        <f>'2-A_4TURB'!A43</f>
        <v>OTK5</v>
      </c>
      <c r="B27" s="4087" t="str">
        <f>'Summary-Co'!E31</f>
        <v>Emissions represented at ECD1.</v>
      </c>
      <c r="C27" s="4088"/>
      <c r="D27" s="4088"/>
      <c r="E27" s="4088"/>
      <c r="F27" s="4088"/>
      <c r="G27" s="4088"/>
      <c r="H27" s="4088"/>
      <c r="I27" s="4088"/>
      <c r="J27" s="4088"/>
      <c r="K27" s="4088"/>
      <c r="L27" s="4088"/>
      <c r="M27" s="4088"/>
      <c r="N27" s="4088"/>
      <c r="O27" s="4088"/>
      <c r="P27" s="4088"/>
      <c r="Q27" s="4088"/>
      <c r="R27" s="4088"/>
      <c r="S27" s="4089"/>
    </row>
    <row r="28" spans="1:19" ht="16.5" customHeight="1">
      <c r="A28" s="256" t="str">
        <f>'2-A_4TURB'!A45</f>
        <v>OTK6</v>
      </c>
      <c r="B28" s="4084" t="str">
        <f>'Summary-Co'!E32</f>
        <v>Emissions represented at ECD1.</v>
      </c>
      <c r="C28" s="4085"/>
      <c r="D28" s="4085"/>
      <c r="E28" s="4085"/>
      <c r="F28" s="4085"/>
      <c r="G28" s="4085"/>
      <c r="H28" s="4085"/>
      <c r="I28" s="4085"/>
      <c r="J28" s="4085"/>
      <c r="K28" s="4085"/>
      <c r="L28" s="4085"/>
      <c r="M28" s="4085"/>
      <c r="N28" s="4085"/>
      <c r="O28" s="4085"/>
      <c r="P28" s="4085"/>
      <c r="Q28" s="4085"/>
      <c r="R28" s="4085"/>
      <c r="S28" s="4086"/>
    </row>
    <row r="29" spans="1:19" ht="16.5" customHeight="1">
      <c r="A29" s="356" t="str">
        <f>'2-A_4TURB'!A47</f>
        <v>ECD1</v>
      </c>
      <c r="B29" s="284">
        <f>'Hrly (ECD1)'!R12</f>
        <v>1.5931460516780505</v>
      </c>
      <c r="C29" s="285">
        <f>' Ann (ECD1)'!R12</f>
        <v>6.0866344473776257</v>
      </c>
      <c r="D29" s="284">
        <f>'Hrly (ECD1)'!R13</f>
        <v>3.1805198350529196</v>
      </c>
      <c r="E29" s="285">
        <f>' Ann (ECD1)'!R13</f>
        <v>12.151215871395186</v>
      </c>
      <c r="F29" s="284">
        <f>'Hrly (ECD1)'!O41</f>
        <v>7.2766034925122449</v>
      </c>
      <c r="G29" s="285">
        <f>' Ann (ECD1)'!O41</f>
        <v>28.268593950427899</v>
      </c>
      <c r="H29" s="284">
        <f>'Hrly (ECD1)'!R14</f>
        <v>0</v>
      </c>
      <c r="I29" s="285">
        <f>' Ann (ECD1)'!R14</f>
        <v>0</v>
      </c>
      <c r="J29" s="413">
        <f>L29</f>
        <v>8.6018115890545505E-2</v>
      </c>
      <c r="K29" s="414">
        <f>M29</f>
        <v>0.12880069625799914</v>
      </c>
      <c r="L29" s="284">
        <f>'Hrly (ECD1)'!R15</f>
        <v>8.6018115890545505E-2</v>
      </c>
      <c r="M29" s="285">
        <f>' Ann (ECD1)'!R15</f>
        <v>0.12880069625799914</v>
      </c>
      <c r="N29" s="284">
        <f>L29</f>
        <v>8.6018115890545505E-2</v>
      </c>
      <c r="O29" s="285">
        <f>M29</f>
        <v>0.12880069625799914</v>
      </c>
      <c r="P29" s="284" t="s">
        <v>17</v>
      </c>
      <c r="Q29" s="285" t="s">
        <v>17</v>
      </c>
      <c r="R29" s="284" t="s">
        <v>17</v>
      </c>
      <c r="S29" s="285" t="s">
        <v>17</v>
      </c>
    </row>
    <row r="30" spans="1:19" ht="16.5" customHeight="1">
      <c r="A30" s="256" t="str">
        <f>'2-A_4TURB'!A49</f>
        <v>TO1</v>
      </c>
      <c r="B30" s="95">
        <f>'TO Hrly (TO1-TO3)'!K12</f>
        <v>2.5190885601790693</v>
      </c>
      <c r="C30" s="96">
        <f>'TO Ann (TO1-TO3)'!K12</f>
        <v>11.033607893584323</v>
      </c>
      <c r="D30" s="95">
        <f>'TO Hrly (TO1-TO3)'!K13</f>
        <v>2.0880159999999997</v>
      </c>
      <c r="E30" s="96">
        <f>'TO Ann (TO1-TO3)'!K13</f>
        <v>9.1455100799999975</v>
      </c>
      <c r="F30" s="95">
        <f>'TO Hrly (TO1-TO3)'!H32</f>
        <v>0.62455189452722593</v>
      </c>
      <c r="G30" s="96">
        <f>'TO Ann (TO1-TO3)'!H32</f>
        <v>2.7355372980292492</v>
      </c>
      <c r="H30" s="95">
        <f>'TO Hrly (TO1-TO3)'!K14</f>
        <v>0.86237125715223051</v>
      </c>
      <c r="I30" s="96">
        <f>'TO Ann (TO1-TO3)'!K14</f>
        <v>3.7771861063267695</v>
      </c>
      <c r="J30" s="572">
        <f>L30</f>
        <v>0.23462099335001135</v>
      </c>
      <c r="K30" s="573">
        <f>M30</f>
        <v>1.0276399508730496</v>
      </c>
      <c r="L30" s="95">
        <f>'TO Hrly (TO1-TO3)'!K15</f>
        <v>0.23462099335001135</v>
      </c>
      <c r="M30" s="96">
        <f>'TO Ann (TO1-TO3)'!K15</f>
        <v>1.0276399508730496</v>
      </c>
      <c r="N30" s="95">
        <f>L30</f>
        <v>0.23462099335001135</v>
      </c>
      <c r="O30" s="96">
        <f>M30</f>
        <v>1.0276399508730496</v>
      </c>
      <c r="P30" s="95" t="s">
        <v>17</v>
      </c>
      <c r="Q30" s="96" t="s">
        <v>17</v>
      </c>
      <c r="R30" s="95" t="s">
        <v>17</v>
      </c>
      <c r="S30" s="96" t="s">
        <v>17</v>
      </c>
    </row>
    <row r="31" spans="1:19" ht="16.5" customHeight="1">
      <c r="A31" s="356" t="str">
        <f>'2-A_4TURB'!A51</f>
        <v>TO2</v>
      </c>
      <c r="B31" s="284">
        <f>B30</f>
        <v>2.5190885601790693</v>
      </c>
      <c r="C31" s="285">
        <f>C30</f>
        <v>11.033607893584323</v>
      </c>
      <c r="D31" s="284">
        <f t="shared" ref="D31:O31" si="2">D30</f>
        <v>2.0880159999999997</v>
      </c>
      <c r="E31" s="285">
        <f t="shared" si="2"/>
        <v>9.1455100799999975</v>
      </c>
      <c r="F31" s="284">
        <f t="shared" si="2"/>
        <v>0.62455189452722593</v>
      </c>
      <c r="G31" s="285">
        <f t="shared" si="2"/>
        <v>2.7355372980292492</v>
      </c>
      <c r="H31" s="284">
        <f t="shared" si="2"/>
        <v>0.86237125715223051</v>
      </c>
      <c r="I31" s="285">
        <f t="shared" si="2"/>
        <v>3.7771861063267695</v>
      </c>
      <c r="J31" s="284">
        <f t="shared" si="2"/>
        <v>0.23462099335001135</v>
      </c>
      <c r="K31" s="285">
        <f t="shared" si="2"/>
        <v>1.0276399508730496</v>
      </c>
      <c r="L31" s="284">
        <f t="shared" si="2"/>
        <v>0.23462099335001135</v>
      </c>
      <c r="M31" s="285">
        <f t="shared" si="2"/>
        <v>1.0276399508730496</v>
      </c>
      <c r="N31" s="284">
        <f t="shared" si="2"/>
        <v>0.23462099335001135</v>
      </c>
      <c r="O31" s="285">
        <f t="shared" si="2"/>
        <v>1.0276399508730496</v>
      </c>
      <c r="P31" s="292" t="s">
        <v>17</v>
      </c>
      <c r="Q31" s="293" t="s">
        <v>17</v>
      </c>
      <c r="R31" s="294" t="s">
        <v>17</v>
      </c>
      <c r="S31" s="293" t="s">
        <v>17</v>
      </c>
    </row>
    <row r="32" spans="1:19" ht="16.5" customHeight="1">
      <c r="A32" s="256" t="str">
        <f>'2-A_4TURB'!A53</f>
        <v>TO3</v>
      </c>
      <c r="B32" s="95">
        <f>B30</f>
        <v>2.5190885601790693</v>
      </c>
      <c r="C32" s="96">
        <f>C30</f>
        <v>11.033607893584323</v>
      </c>
      <c r="D32" s="95">
        <f t="shared" ref="D32:O32" si="3">D30</f>
        <v>2.0880159999999997</v>
      </c>
      <c r="E32" s="96">
        <f t="shared" si="3"/>
        <v>9.1455100799999975</v>
      </c>
      <c r="F32" s="95">
        <f t="shared" si="3"/>
        <v>0.62455189452722593</v>
      </c>
      <c r="G32" s="96">
        <f t="shared" si="3"/>
        <v>2.7355372980292492</v>
      </c>
      <c r="H32" s="95">
        <f t="shared" si="3"/>
        <v>0.86237125715223051</v>
      </c>
      <c r="I32" s="96">
        <f t="shared" si="3"/>
        <v>3.7771861063267695</v>
      </c>
      <c r="J32" s="95">
        <f t="shared" si="3"/>
        <v>0.23462099335001135</v>
      </c>
      <c r="K32" s="96">
        <f t="shared" si="3"/>
        <v>1.0276399508730496</v>
      </c>
      <c r="L32" s="95">
        <f t="shared" si="3"/>
        <v>0.23462099335001135</v>
      </c>
      <c r="M32" s="96">
        <f t="shared" si="3"/>
        <v>1.0276399508730496</v>
      </c>
      <c r="N32" s="95">
        <f t="shared" si="3"/>
        <v>0.23462099335001135</v>
      </c>
      <c r="O32" s="96">
        <f t="shared" si="3"/>
        <v>1.0276399508730496</v>
      </c>
      <c r="P32" s="91" t="s">
        <v>17</v>
      </c>
      <c r="Q32" s="92" t="s">
        <v>17</v>
      </c>
      <c r="R32" s="89" t="s">
        <v>17</v>
      </c>
      <c r="S32" s="92" t="s">
        <v>17</v>
      </c>
    </row>
    <row r="33" spans="1:19" ht="16.5" customHeight="1">
      <c r="A33" s="356" t="str">
        <f>'2-A_4TURB'!A55</f>
        <v>FUG</v>
      </c>
      <c r="B33" s="579" t="s">
        <v>17</v>
      </c>
      <c r="C33" s="580" t="s">
        <v>17</v>
      </c>
      <c r="D33" s="579" t="s">
        <v>17</v>
      </c>
      <c r="E33" s="580" t="s">
        <v>17</v>
      </c>
      <c r="F33" s="284">
        <f>Fugitive!G72</f>
        <v>30.616050709592137</v>
      </c>
      <c r="G33" s="285">
        <f>Fugitive!I72</f>
        <v>134.09830210801351</v>
      </c>
      <c r="H33" s="579" t="s">
        <v>17</v>
      </c>
      <c r="I33" s="580" t="s">
        <v>17</v>
      </c>
      <c r="J33" s="579" t="s">
        <v>17</v>
      </c>
      <c r="K33" s="580" t="s">
        <v>17</v>
      </c>
      <c r="L33" s="579" t="s">
        <v>17</v>
      </c>
      <c r="M33" s="580" t="s">
        <v>17</v>
      </c>
      <c r="N33" s="579" t="s">
        <v>17</v>
      </c>
      <c r="O33" s="580" t="s">
        <v>17</v>
      </c>
      <c r="P33" s="284" t="s">
        <v>17</v>
      </c>
      <c r="Q33" s="285" t="s">
        <v>17</v>
      </c>
      <c r="R33" s="284" t="s">
        <v>17</v>
      </c>
      <c r="S33" s="285" t="s">
        <v>17</v>
      </c>
    </row>
    <row r="34" spans="1:19" ht="16.5" customHeight="1">
      <c r="A34" s="1504" t="str">
        <f>'2-A_4TURB'!A57</f>
        <v>SSM</v>
      </c>
      <c r="B34" s="1528" t="s">
        <v>17</v>
      </c>
      <c r="C34" s="1529" t="s">
        <v>17</v>
      </c>
      <c r="D34" s="1528" t="s">
        <v>17</v>
      </c>
      <c r="E34" s="1529" t="s">
        <v>17</v>
      </c>
      <c r="F34" s="1528" t="s">
        <v>17</v>
      </c>
      <c r="G34" s="1530">
        <v>10</v>
      </c>
      <c r="H34" s="1528" t="s">
        <v>17</v>
      </c>
      <c r="I34" s="1529" t="s">
        <v>17</v>
      </c>
      <c r="J34" s="1293" t="s">
        <v>17</v>
      </c>
      <c r="K34" s="1294" t="s">
        <v>17</v>
      </c>
      <c r="L34" s="1295" t="s">
        <v>17</v>
      </c>
      <c r="M34" s="1296" t="s">
        <v>17</v>
      </c>
      <c r="N34" s="1295" t="s">
        <v>17</v>
      </c>
      <c r="O34" s="1296" t="s">
        <v>17</v>
      </c>
      <c r="P34" s="1295" t="s">
        <v>17</v>
      </c>
      <c r="Q34" s="1296" t="s">
        <v>17</v>
      </c>
      <c r="R34" s="1295" t="s">
        <v>17</v>
      </c>
      <c r="S34" s="1296" t="s">
        <v>17</v>
      </c>
    </row>
    <row r="35" spans="1:19" ht="16.5" customHeight="1">
      <c r="A35" s="356" t="str">
        <f>'2-A_4TURB'!A59</f>
        <v>ROAD</v>
      </c>
      <c r="B35" s="284" t="s">
        <v>17</v>
      </c>
      <c r="C35" s="285" t="s">
        <v>17</v>
      </c>
      <c r="D35" s="284" t="s">
        <v>17</v>
      </c>
      <c r="E35" s="285" t="s">
        <v>17</v>
      </c>
      <c r="F35" s="284" t="s">
        <v>17</v>
      </c>
      <c r="G35" s="285" t="s">
        <v>17</v>
      </c>
      <c r="H35" s="284" t="s">
        <v>17</v>
      </c>
      <c r="I35" s="285" t="s">
        <v>17</v>
      </c>
      <c r="J35" s="413">
        <f>Road!C24</f>
        <v>2.7556902133370476</v>
      </c>
      <c r="K35" s="414">
        <f>Road!C25</f>
        <v>8.8254079636430482</v>
      </c>
      <c r="L35" s="284">
        <f>Road!F24</f>
        <v>0.70232409971011567</v>
      </c>
      <c r="M35" s="285">
        <f>Road!F25</f>
        <v>2.2492719510493018</v>
      </c>
      <c r="N35" s="284">
        <f>Road!I24</f>
        <v>7.0232409971011545E-2</v>
      </c>
      <c r="O35" s="285">
        <f>Road!I25</f>
        <v>0.22492719510493014</v>
      </c>
      <c r="P35" s="284" t="s">
        <v>17</v>
      </c>
      <c r="Q35" s="285" t="s">
        <v>17</v>
      </c>
      <c r="R35" s="284" t="s">
        <v>17</v>
      </c>
      <c r="S35" s="285" t="s">
        <v>17</v>
      </c>
    </row>
    <row r="36" spans="1:19" ht="16.5" customHeight="1">
      <c r="A36" s="256" t="str">
        <f>'2-A_4TURB'!A61</f>
        <v>PWTK1</v>
      </c>
      <c r="B36" s="4084" t="str">
        <f>'Summary-Co'!E40</f>
        <v>Emissions represented at ECD1.</v>
      </c>
      <c r="C36" s="4085"/>
      <c r="D36" s="4085"/>
      <c r="E36" s="4085"/>
      <c r="F36" s="4085"/>
      <c r="G36" s="4085"/>
      <c r="H36" s="4085"/>
      <c r="I36" s="4085"/>
      <c r="J36" s="4085"/>
      <c r="K36" s="4085"/>
      <c r="L36" s="4085"/>
      <c r="M36" s="4085"/>
      <c r="N36" s="4085"/>
      <c r="O36" s="4085"/>
      <c r="P36" s="4085"/>
      <c r="Q36" s="4085"/>
      <c r="R36" s="4085"/>
      <c r="S36" s="4086"/>
    </row>
    <row r="37" spans="1:19" ht="16.5" customHeight="1">
      <c r="A37" s="356" t="str">
        <f>'2-A_4TURB'!A63</f>
        <v>PWTK2</v>
      </c>
      <c r="B37" s="4087" t="str">
        <f>'Summary-Co'!E41</f>
        <v>Emissions represented at ECD1.</v>
      </c>
      <c r="C37" s="4088"/>
      <c r="D37" s="4088"/>
      <c r="E37" s="4088"/>
      <c r="F37" s="4088"/>
      <c r="G37" s="4088"/>
      <c r="H37" s="4088"/>
      <c r="I37" s="4088"/>
      <c r="J37" s="4088"/>
      <c r="K37" s="4088"/>
      <c r="L37" s="4088"/>
      <c r="M37" s="4088"/>
      <c r="N37" s="4088"/>
      <c r="O37" s="4088"/>
      <c r="P37" s="4088"/>
      <c r="Q37" s="4088"/>
      <c r="R37" s="4088"/>
      <c r="S37" s="4089"/>
    </row>
    <row r="38" spans="1:19" ht="16.5" customHeight="1">
      <c r="A38" s="1546" t="str">
        <f>'2-A_4TURB'!A65</f>
        <v>PWTL</v>
      </c>
      <c r="B38" s="1547" t="s">
        <v>17</v>
      </c>
      <c r="C38" s="1548" t="s">
        <v>17</v>
      </c>
      <c r="D38" s="1547" t="s">
        <v>17</v>
      </c>
      <c r="E38" s="1548" t="s">
        <v>17</v>
      </c>
      <c r="F38" s="1399">
        <f>'Load-H2O'!F33</f>
        <v>0.39339345182963747</v>
      </c>
      <c r="G38" s="1400">
        <f>'Load-H2O'!G33</f>
        <v>2.4902276270262185</v>
      </c>
      <c r="H38" s="1547" t="s">
        <v>17</v>
      </c>
      <c r="I38" s="1548" t="s">
        <v>17</v>
      </c>
      <c r="J38" s="1549" t="s">
        <v>17</v>
      </c>
      <c r="K38" s="1550" t="s">
        <v>17</v>
      </c>
      <c r="L38" s="1551" t="s">
        <v>17</v>
      </c>
      <c r="M38" s="1552" t="s">
        <v>17</v>
      </c>
      <c r="N38" s="1551" t="s">
        <v>17</v>
      </c>
      <c r="O38" s="1552" t="s">
        <v>17</v>
      </c>
      <c r="P38" s="1551" t="s">
        <v>17</v>
      </c>
      <c r="Q38" s="1552" t="s">
        <v>17</v>
      </c>
      <c r="R38" s="1551" t="s">
        <v>17</v>
      </c>
      <c r="S38" s="1552" t="s">
        <v>17</v>
      </c>
    </row>
    <row r="39" spans="1:19" ht="16.5" customHeight="1">
      <c r="A39" s="356" t="str">
        <f>'2-A_4TURB'!A67</f>
        <v>OTL</v>
      </c>
      <c r="B39" s="296" t="s">
        <v>17</v>
      </c>
      <c r="C39" s="297" t="s">
        <v>17</v>
      </c>
      <c r="D39" s="296" t="s">
        <v>17</v>
      </c>
      <c r="E39" s="297" t="s">
        <v>17</v>
      </c>
      <c r="F39" s="286">
        <f>'Load-Slop Oil'!F43</f>
        <v>0.70811875941945179</v>
      </c>
      <c r="G39" s="287">
        <f>'Load-Slop Oil'!G43</f>
        <v>0.13418016263117355</v>
      </c>
      <c r="H39" s="296" t="s">
        <v>17</v>
      </c>
      <c r="I39" s="297" t="s">
        <v>17</v>
      </c>
      <c r="J39" s="294" t="s">
        <v>17</v>
      </c>
      <c r="K39" s="295" t="s">
        <v>17</v>
      </c>
      <c r="L39" s="292" t="s">
        <v>17</v>
      </c>
      <c r="M39" s="293" t="s">
        <v>17</v>
      </c>
      <c r="N39" s="292" t="s">
        <v>17</v>
      </c>
      <c r="O39" s="293" t="s">
        <v>17</v>
      </c>
      <c r="P39" s="292" t="s">
        <v>17</v>
      </c>
      <c r="Q39" s="293" t="s">
        <v>17</v>
      </c>
      <c r="R39" s="292" t="s">
        <v>17</v>
      </c>
      <c r="S39" s="293" t="s">
        <v>17</v>
      </c>
    </row>
    <row r="40" spans="1:19" ht="16.5" customHeight="1">
      <c r="A40" s="1546" t="str">
        <f>'2-A_4TURB'!A69</f>
        <v>AU1</v>
      </c>
      <c r="B40" s="4090" t="str">
        <f>'Summary-Co'!E44</f>
        <v>Emissions represented at TO1.</v>
      </c>
      <c r="C40" s="4091"/>
      <c r="D40" s="4091"/>
      <c r="E40" s="4091"/>
      <c r="F40" s="4091"/>
      <c r="G40" s="4091"/>
      <c r="H40" s="4091"/>
      <c r="I40" s="4091"/>
      <c r="J40" s="4091"/>
      <c r="K40" s="4091"/>
      <c r="L40" s="4091"/>
      <c r="M40" s="4091"/>
      <c r="N40" s="4091"/>
      <c r="O40" s="4091"/>
      <c r="P40" s="4091"/>
      <c r="Q40" s="4091"/>
      <c r="R40" s="4091"/>
      <c r="S40" s="4092"/>
    </row>
    <row r="41" spans="1:19" ht="16.5" customHeight="1">
      <c r="A41" s="356" t="str">
        <f>'2-A_4TURB'!A71</f>
        <v>AU2</v>
      </c>
      <c r="B41" s="4087" t="str">
        <f>'Summary-Co'!E45</f>
        <v>Emissions represented at TO2.</v>
      </c>
      <c r="C41" s="4088"/>
      <c r="D41" s="4088"/>
      <c r="E41" s="4088"/>
      <c r="F41" s="4088"/>
      <c r="G41" s="4088"/>
      <c r="H41" s="4088"/>
      <c r="I41" s="4088"/>
      <c r="J41" s="4088"/>
      <c r="K41" s="4088"/>
      <c r="L41" s="4088"/>
      <c r="M41" s="4088"/>
      <c r="N41" s="4088"/>
      <c r="O41" s="4088"/>
      <c r="P41" s="4088"/>
      <c r="Q41" s="4088"/>
      <c r="R41" s="4088"/>
      <c r="S41" s="4089"/>
    </row>
    <row r="42" spans="1:19" ht="16.5" customHeight="1">
      <c r="A42" s="1546" t="str">
        <f>'2-A_4TURB'!A73</f>
        <v>AU3</v>
      </c>
      <c r="B42" s="4090" t="str">
        <f>'Summary-Co'!E46</f>
        <v>Emissions represented at TO3.</v>
      </c>
      <c r="C42" s="4091"/>
      <c r="D42" s="4091"/>
      <c r="E42" s="4091"/>
      <c r="F42" s="4091"/>
      <c r="G42" s="4091"/>
      <c r="H42" s="4091"/>
      <c r="I42" s="4091"/>
      <c r="J42" s="4091"/>
      <c r="K42" s="4091"/>
      <c r="L42" s="4091"/>
      <c r="M42" s="4091"/>
      <c r="N42" s="4091"/>
      <c r="O42" s="4091"/>
      <c r="P42" s="4091"/>
      <c r="Q42" s="4091"/>
      <c r="R42" s="4091"/>
      <c r="S42" s="4092"/>
    </row>
    <row r="43" spans="1:19" ht="16.5" customHeight="1">
      <c r="A43" s="356" t="str">
        <f>'2-A_4TURB'!A75</f>
        <v>GBS1</v>
      </c>
      <c r="B43" s="4087" t="str">
        <f>'Summary-Co'!E47</f>
        <v>Emissions represented at ECD1.</v>
      </c>
      <c r="C43" s="4088"/>
      <c r="D43" s="4088"/>
      <c r="E43" s="4088"/>
      <c r="F43" s="4088"/>
      <c r="G43" s="4088"/>
      <c r="H43" s="4088"/>
      <c r="I43" s="4088"/>
      <c r="J43" s="4088"/>
      <c r="K43" s="4088"/>
      <c r="L43" s="4088"/>
      <c r="M43" s="4088"/>
      <c r="N43" s="4088"/>
      <c r="O43" s="4088"/>
      <c r="P43" s="4088"/>
      <c r="Q43" s="4088"/>
      <c r="R43" s="4088"/>
      <c r="S43" s="4089"/>
    </row>
    <row r="44" spans="1:19" ht="16.5" customHeight="1">
      <c r="A44" s="1546" t="str">
        <f>'2-A_4TURB'!A77</f>
        <v>OTK7</v>
      </c>
      <c r="B44" s="4090" t="str">
        <f>'Summary-Co'!E47</f>
        <v>Emissions represented at ECD1.</v>
      </c>
      <c r="C44" s="4091"/>
      <c r="D44" s="4091"/>
      <c r="E44" s="4091"/>
      <c r="F44" s="4091"/>
      <c r="G44" s="4091"/>
      <c r="H44" s="4091"/>
      <c r="I44" s="4091"/>
      <c r="J44" s="4091"/>
      <c r="K44" s="4091"/>
      <c r="L44" s="4091"/>
      <c r="M44" s="4091"/>
      <c r="N44" s="4091"/>
      <c r="O44" s="4091"/>
      <c r="P44" s="4091"/>
      <c r="Q44" s="4091"/>
      <c r="R44" s="4091"/>
      <c r="S44" s="4092"/>
    </row>
    <row r="45" spans="1:19" ht="16.5" customHeight="1">
      <c r="A45" s="1503" t="str">
        <f>'2-A All'!A105</f>
        <v>TUR1</v>
      </c>
      <c r="B45" s="1556">
        <f>'Summary-Co'!E49</f>
        <v>8.4</v>
      </c>
      <c r="C45" s="1557">
        <f>'Summary-Co'!F49</f>
        <v>36.792000000000002</v>
      </c>
      <c r="D45" s="1556">
        <f>'Summary-Co'!G49</f>
        <v>5.0999999999999996</v>
      </c>
      <c r="E45" s="1557">
        <f>'Summary-Co'!H49</f>
        <v>22.338000000000001</v>
      </c>
      <c r="F45" s="1556">
        <f>'Summary-Co'!I49</f>
        <v>9.1999999999999975</v>
      </c>
      <c r="G45" s="1557">
        <f>'Summary-Co'!J49</f>
        <v>40.295999999999992</v>
      </c>
      <c r="H45" s="1556">
        <f>'Summary-Co'!K49</f>
        <v>2.1350532104919506</v>
      </c>
      <c r="I45" s="1557">
        <f>'Summary-Co'!L49</f>
        <v>9.3515330619547434</v>
      </c>
      <c r="J45" s="1556">
        <f>'Summary-Co'!M49</f>
        <v>9.1999999999999993</v>
      </c>
      <c r="K45" s="1557">
        <f>'Summary-Co'!N49</f>
        <v>40.295999999999999</v>
      </c>
      <c r="L45" s="1556">
        <f>'Summary-Co'!O49</f>
        <v>9.1999999999999993</v>
      </c>
      <c r="M45" s="1557">
        <f>'Summary-Co'!P49</f>
        <v>40.295999999999999</v>
      </c>
      <c r="N45" s="1558">
        <f>J45</f>
        <v>9.1999999999999993</v>
      </c>
      <c r="O45" s="1559">
        <f>K45</f>
        <v>40.295999999999999</v>
      </c>
      <c r="P45" s="284" t="s">
        <v>17</v>
      </c>
      <c r="Q45" s="285" t="s">
        <v>17</v>
      </c>
      <c r="R45" s="284" t="s">
        <v>17</v>
      </c>
      <c r="S45" s="285" t="s">
        <v>17</v>
      </c>
    </row>
    <row r="46" spans="1:19" ht="16.5" customHeight="1">
      <c r="A46" s="1553" t="str">
        <f>'2-A All'!A107</f>
        <v>TUR2</v>
      </c>
      <c r="B46" s="1554">
        <f>B45</f>
        <v>8.4</v>
      </c>
      <c r="C46" s="1555">
        <f>C45</f>
        <v>36.792000000000002</v>
      </c>
      <c r="D46" s="1554">
        <f t="shared" ref="D46:O46" si="4">D45</f>
        <v>5.0999999999999996</v>
      </c>
      <c r="E46" s="1555">
        <f t="shared" si="4"/>
        <v>22.338000000000001</v>
      </c>
      <c r="F46" s="1554">
        <f t="shared" si="4"/>
        <v>9.1999999999999975</v>
      </c>
      <c r="G46" s="1555">
        <f t="shared" si="4"/>
        <v>40.295999999999992</v>
      </c>
      <c r="H46" s="1554">
        <f t="shared" si="4"/>
        <v>2.1350532104919506</v>
      </c>
      <c r="I46" s="1555">
        <f t="shared" si="4"/>
        <v>9.3515330619547434</v>
      </c>
      <c r="J46" s="2637">
        <f>J45</f>
        <v>9.1999999999999993</v>
      </c>
      <c r="K46" s="1555">
        <f t="shared" si="4"/>
        <v>40.295999999999999</v>
      </c>
      <c r="L46" s="1554">
        <f t="shared" si="4"/>
        <v>9.1999999999999993</v>
      </c>
      <c r="M46" s="1555">
        <f t="shared" si="4"/>
        <v>40.295999999999999</v>
      </c>
      <c r="N46" s="1554">
        <f t="shared" si="4"/>
        <v>9.1999999999999993</v>
      </c>
      <c r="O46" s="1555">
        <f t="shared" si="4"/>
        <v>40.295999999999999</v>
      </c>
      <c r="P46" s="1295" t="s">
        <v>17</v>
      </c>
      <c r="Q46" s="1296" t="s">
        <v>17</v>
      </c>
      <c r="R46" s="1295" t="s">
        <v>17</v>
      </c>
      <c r="S46" s="1296" t="s">
        <v>17</v>
      </c>
    </row>
    <row r="47" spans="1:19" ht="16.5" customHeight="1">
      <c r="A47" s="1297" t="str">
        <f>'2-A All'!A109</f>
        <v>TUR3</v>
      </c>
      <c r="B47" s="1309">
        <f>B45</f>
        <v>8.4</v>
      </c>
      <c r="C47" s="1310">
        <f>C45</f>
        <v>36.792000000000002</v>
      </c>
      <c r="D47" s="1309">
        <f t="shared" ref="D47:O47" si="5">D45</f>
        <v>5.0999999999999996</v>
      </c>
      <c r="E47" s="1310">
        <f t="shared" si="5"/>
        <v>22.338000000000001</v>
      </c>
      <c r="F47" s="1309">
        <f t="shared" si="5"/>
        <v>9.1999999999999975</v>
      </c>
      <c r="G47" s="1310">
        <f t="shared" si="5"/>
        <v>40.295999999999992</v>
      </c>
      <c r="H47" s="1309">
        <f t="shared" si="5"/>
        <v>2.1350532104919506</v>
      </c>
      <c r="I47" s="1310">
        <f t="shared" si="5"/>
        <v>9.3515330619547434</v>
      </c>
      <c r="J47" s="1309">
        <f t="shared" si="5"/>
        <v>9.1999999999999993</v>
      </c>
      <c r="K47" s="1310">
        <f t="shared" si="5"/>
        <v>40.295999999999999</v>
      </c>
      <c r="L47" s="1309">
        <f t="shared" si="5"/>
        <v>9.1999999999999993</v>
      </c>
      <c r="M47" s="1310">
        <f t="shared" si="5"/>
        <v>40.295999999999999</v>
      </c>
      <c r="N47" s="1309">
        <f t="shared" si="5"/>
        <v>9.1999999999999993</v>
      </c>
      <c r="O47" s="1310">
        <f t="shared" si="5"/>
        <v>40.295999999999999</v>
      </c>
      <c r="P47" s="284" t="s">
        <v>17</v>
      </c>
      <c r="Q47" s="285" t="s">
        <v>17</v>
      </c>
      <c r="R47" s="284" t="s">
        <v>17</v>
      </c>
      <c r="S47" s="285" t="s">
        <v>17</v>
      </c>
    </row>
    <row r="48" spans="1:19" ht="16.5" customHeight="1">
      <c r="A48" s="2913" t="str">
        <f>'2-A All'!A111</f>
        <v>TUR4</v>
      </c>
      <c r="B48" s="2914">
        <f>B46</f>
        <v>8.4</v>
      </c>
      <c r="C48" s="2915">
        <f>C46</f>
        <v>36.792000000000002</v>
      </c>
      <c r="D48" s="2914">
        <f t="shared" ref="D48:O48" si="6">D46</f>
        <v>5.0999999999999996</v>
      </c>
      <c r="E48" s="2915">
        <f t="shared" si="6"/>
        <v>22.338000000000001</v>
      </c>
      <c r="F48" s="2914">
        <f t="shared" si="6"/>
        <v>9.1999999999999975</v>
      </c>
      <c r="G48" s="2915">
        <f t="shared" si="6"/>
        <v>40.295999999999992</v>
      </c>
      <c r="H48" s="2914">
        <f t="shared" si="6"/>
        <v>2.1350532104919506</v>
      </c>
      <c r="I48" s="2915">
        <f t="shared" si="6"/>
        <v>9.3515330619547434</v>
      </c>
      <c r="J48" s="2914">
        <f t="shared" si="6"/>
        <v>9.1999999999999993</v>
      </c>
      <c r="K48" s="2915">
        <f t="shared" si="6"/>
        <v>40.295999999999999</v>
      </c>
      <c r="L48" s="2914">
        <f t="shared" si="6"/>
        <v>9.1999999999999993</v>
      </c>
      <c r="M48" s="2915">
        <f t="shared" si="6"/>
        <v>40.295999999999999</v>
      </c>
      <c r="N48" s="2914">
        <f t="shared" si="6"/>
        <v>9.1999999999999993</v>
      </c>
      <c r="O48" s="2915">
        <f t="shared" si="6"/>
        <v>40.295999999999999</v>
      </c>
      <c r="P48" s="1632" t="s">
        <v>17</v>
      </c>
      <c r="Q48" s="1633" t="s">
        <v>17</v>
      </c>
      <c r="R48" s="1632" t="s">
        <v>17</v>
      </c>
      <c r="S48" s="1633" t="s">
        <v>17</v>
      </c>
    </row>
    <row r="49" spans="1:19" ht="16.5" customHeight="1">
      <c r="A49" s="1297" t="str">
        <f>'2-A All'!A113</f>
        <v>GEN1</v>
      </c>
      <c r="B49" s="2630">
        <f>'Summary-Co'!E53</f>
        <v>7.6014109347442673</v>
      </c>
      <c r="C49" s="2626">
        <f>'Summary-Co'!F53</f>
        <v>0.38007054673721336</v>
      </c>
      <c r="D49" s="2630">
        <f>'Summary-Co'!G53</f>
        <v>12.770370370370369</v>
      </c>
      <c r="E49" s="2626">
        <f>'Summary-Co'!H53</f>
        <v>0.63851851851851849</v>
      </c>
      <c r="F49" s="2630">
        <f>'Summary-Co'!I53</f>
        <v>4.887584801621446</v>
      </c>
      <c r="G49" s="2626">
        <f>'Summary-Co'!J53</f>
        <v>0.24437924008107231</v>
      </c>
      <c r="H49" s="2630">
        <f>'Summary-Co'!K53</f>
        <v>5.268486050420168E-2</v>
      </c>
      <c r="I49" s="2626">
        <f>'Summary-Co'!L53</f>
        <v>2.6342430252100841E-3</v>
      </c>
      <c r="J49" s="2630">
        <f>'Summary-Co'!M53</f>
        <v>0.21023717968</v>
      </c>
      <c r="K49" s="2626">
        <f>'Summary-Co'!N53</f>
        <v>1.0511858984E-2</v>
      </c>
      <c r="L49" s="2630">
        <f>'Summary-Co'!O53</f>
        <v>0.21023717968</v>
      </c>
      <c r="M49" s="2626">
        <f>'Summary-Co'!P53</f>
        <v>1.0511858984E-2</v>
      </c>
      <c r="N49" s="2630">
        <f t="shared" ref="N49:O56" si="7">L49</f>
        <v>0.21023717968</v>
      </c>
      <c r="O49" s="2626">
        <f t="shared" si="7"/>
        <v>1.0511858984E-2</v>
      </c>
      <c r="P49" s="284" t="s">
        <v>17</v>
      </c>
      <c r="Q49" s="285" t="s">
        <v>17</v>
      </c>
      <c r="R49" s="284" t="s">
        <v>17</v>
      </c>
      <c r="S49" s="285" t="s">
        <v>17</v>
      </c>
    </row>
    <row r="50" spans="1:19" ht="16.5" customHeight="1">
      <c r="A50" s="2916" t="str">
        <f>'2-A All'!A115</f>
        <v>GEN2</v>
      </c>
      <c r="B50" s="2637">
        <f>'Summary-Co'!E54</f>
        <v>7.6014109347442673</v>
      </c>
      <c r="C50" s="2635">
        <f>'Summary-Co'!F54</f>
        <v>0.38007054673721336</v>
      </c>
      <c r="D50" s="2637">
        <f>'Summary-Co'!G54</f>
        <v>12.770370370370369</v>
      </c>
      <c r="E50" s="2635">
        <f>'Summary-Co'!H54</f>
        <v>0.63851851851851849</v>
      </c>
      <c r="F50" s="2637">
        <f>'Summary-Co'!I54</f>
        <v>4.887584801621446</v>
      </c>
      <c r="G50" s="2635">
        <f>'Summary-Co'!J54</f>
        <v>0.24437924008107231</v>
      </c>
      <c r="H50" s="2637">
        <f>'Summary-Co'!K54</f>
        <v>5.268486050420168E-2</v>
      </c>
      <c r="I50" s="2635">
        <f>'Summary-Co'!L54</f>
        <v>2.6342430252100841E-3</v>
      </c>
      <c r="J50" s="2637">
        <f>'Summary-Co'!M54</f>
        <v>0.21023717968</v>
      </c>
      <c r="K50" s="2635">
        <f>'Summary-Co'!N54</f>
        <v>1.0511858984E-2</v>
      </c>
      <c r="L50" s="2637">
        <f>'Summary-Co'!O54</f>
        <v>0.21023717968</v>
      </c>
      <c r="M50" s="2635">
        <f>'Summary-Co'!P54</f>
        <v>1.0511858984E-2</v>
      </c>
      <c r="N50" s="2637">
        <f t="shared" si="7"/>
        <v>0.21023717968</v>
      </c>
      <c r="O50" s="2635">
        <f t="shared" si="7"/>
        <v>1.0511858984E-2</v>
      </c>
      <c r="P50" s="1397" t="s">
        <v>17</v>
      </c>
      <c r="Q50" s="1398" t="s">
        <v>17</v>
      </c>
      <c r="R50" s="1397" t="s">
        <v>17</v>
      </c>
      <c r="S50" s="1398" t="s">
        <v>17</v>
      </c>
    </row>
    <row r="51" spans="1:19" ht="16.5" customHeight="1">
      <c r="A51" s="1297" t="str">
        <f>'2-A All'!A117</f>
        <v>GEN3</v>
      </c>
      <c r="B51" s="2630">
        <f>'Summary-Co'!E55</f>
        <v>7.6014109347442673</v>
      </c>
      <c r="C51" s="2626">
        <f>'Summary-Co'!F55</f>
        <v>0.38007054673721336</v>
      </c>
      <c r="D51" s="2630">
        <f>'Summary-Co'!G55</f>
        <v>12.770370370370369</v>
      </c>
      <c r="E51" s="2626">
        <f>'Summary-Co'!H55</f>
        <v>0.63851851851851849</v>
      </c>
      <c r="F51" s="2630">
        <f>'Summary-Co'!I55</f>
        <v>4.887584801621446</v>
      </c>
      <c r="G51" s="2626">
        <f>'Summary-Co'!J55</f>
        <v>0.24437924008107231</v>
      </c>
      <c r="H51" s="2630">
        <f>'Summary-Co'!K55</f>
        <v>5.268486050420168E-2</v>
      </c>
      <c r="I51" s="2626">
        <f>'Summary-Co'!L55</f>
        <v>2.6342430252100841E-3</v>
      </c>
      <c r="J51" s="2630">
        <f>'Summary-Co'!M55</f>
        <v>0.21023717968</v>
      </c>
      <c r="K51" s="2626">
        <f>'Summary-Co'!N55</f>
        <v>1.0511858984E-2</v>
      </c>
      <c r="L51" s="2630">
        <f>'Summary-Co'!O55</f>
        <v>0.21023717968</v>
      </c>
      <c r="M51" s="2626">
        <f>'Summary-Co'!P55</f>
        <v>1.0511858984E-2</v>
      </c>
      <c r="N51" s="2630">
        <f t="shared" si="7"/>
        <v>0.21023717968</v>
      </c>
      <c r="O51" s="2626">
        <f t="shared" si="7"/>
        <v>1.0511858984E-2</v>
      </c>
      <c r="P51" s="1275" t="s">
        <v>17</v>
      </c>
      <c r="Q51" s="1276" t="s">
        <v>17</v>
      </c>
      <c r="R51" s="1275" t="s">
        <v>17</v>
      </c>
      <c r="S51" s="1276" t="s">
        <v>17</v>
      </c>
    </row>
    <row r="52" spans="1:19" ht="16.5" customHeight="1">
      <c r="A52" s="1553" t="str">
        <f>'2-A All'!A119</f>
        <v>GEN4</v>
      </c>
      <c r="B52" s="2637">
        <f>'Summary-Co'!E56</f>
        <v>7.6014109347442673</v>
      </c>
      <c r="C52" s="2635">
        <f>'Summary-Co'!F56</f>
        <v>0.38007054673721336</v>
      </c>
      <c r="D52" s="2637">
        <f>'Summary-Co'!G56</f>
        <v>12.770370370370369</v>
      </c>
      <c r="E52" s="2635">
        <f>'Summary-Co'!H56</f>
        <v>0.63851851851851849</v>
      </c>
      <c r="F52" s="2637">
        <f>'Summary-Co'!I56</f>
        <v>4.887584801621446</v>
      </c>
      <c r="G52" s="2635">
        <f>'Summary-Co'!J56</f>
        <v>0.24437924008107231</v>
      </c>
      <c r="H52" s="2637">
        <f>'Summary-Co'!K56</f>
        <v>5.268486050420168E-2</v>
      </c>
      <c r="I52" s="2635">
        <f>'Summary-Co'!L56</f>
        <v>2.6342430252100841E-3</v>
      </c>
      <c r="J52" s="2637">
        <f>'Summary-Co'!M56</f>
        <v>0.21023717968</v>
      </c>
      <c r="K52" s="2635">
        <f>'Summary-Co'!N56</f>
        <v>1.0511858984E-2</v>
      </c>
      <c r="L52" s="2637">
        <f>'Summary-Co'!O56</f>
        <v>0.21023717968</v>
      </c>
      <c r="M52" s="2635">
        <f>'Summary-Co'!P56</f>
        <v>1.0511858984E-2</v>
      </c>
      <c r="N52" s="2637">
        <f t="shared" si="7"/>
        <v>0.21023717968</v>
      </c>
      <c r="O52" s="2635">
        <f t="shared" si="7"/>
        <v>1.0511858984E-2</v>
      </c>
      <c r="P52" s="1397" t="s">
        <v>17</v>
      </c>
      <c r="Q52" s="1398" t="s">
        <v>17</v>
      </c>
      <c r="R52" s="1397" t="s">
        <v>17</v>
      </c>
      <c r="S52" s="1398" t="s">
        <v>17</v>
      </c>
    </row>
    <row r="53" spans="1:19" ht="16.5" customHeight="1">
      <c r="A53" s="3042" t="str">
        <f>'2-A All'!A121</f>
        <v>GEN5</v>
      </c>
      <c r="B53" s="3043">
        <f>'Summary-Co'!E57</f>
        <v>7.6014109347442673</v>
      </c>
      <c r="C53" s="3044">
        <f>'Summary-Co'!F57</f>
        <v>0.38007054673721336</v>
      </c>
      <c r="D53" s="3043">
        <f>'Summary-Co'!G57</f>
        <v>12.770370370370369</v>
      </c>
      <c r="E53" s="3044">
        <f>'Summary-Co'!H57</f>
        <v>0.63851851851851849</v>
      </c>
      <c r="F53" s="3043">
        <f>'Summary-Co'!I57</f>
        <v>4.887584801621446</v>
      </c>
      <c r="G53" s="3044">
        <f>'Summary-Co'!J57</f>
        <v>0.24437924008107231</v>
      </c>
      <c r="H53" s="3043">
        <f>'Summary-Co'!K57</f>
        <v>5.268486050420168E-2</v>
      </c>
      <c r="I53" s="3044">
        <f>'Summary-Co'!L57</f>
        <v>2.6342430252100841E-3</v>
      </c>
      <c r="J53" s="3043">
        <f>'Summary-Co'!M57</f>
        <v>0.21023717968</v>
      </c>
      <c r="K53" s="3044">
        <f>'Summary-Co'!N57</f>
        <v>1.0511858984E-2</v>
      </c>
      <c r="L53" s="3043">
        <f>'Summary-Co'!O57</f>
        <v>0.21023717968</v>
      </c>
      <c r="M53" s="3044">
        <f>'Summary-Co'!P57</f>
        <v>1.0511858984E-2</v>
      </c>
      <c r="N53" s="3043">
        <f t="shared" si="7"/>
        <v>0.21023717968</v>
      </c>
      <c r="O53" s="3044">
        <f t="shared" si="7"/>
        <v>1.0511858984E-2</v>
      </c>
      <c r="P53" s="3045" t="s">
        <v>17</v>
      </c>
      <c r="Q53" s="3046" t="s">
        <v>17</v>
      </c>
      <c r="R53" s="3045" t="s">
        <v>17</v>
      </c>
      <c r="S53" s="3046" t="s">
        <v>17</v>
      </c>
    </row>
    <row r="54" spans="1:19" ht="16.5" customHeight="1">
      <c r="A54" s="1553" t="str">
        <f>'2-A All'!A123</f>
        <v>GEN6</v>
      </c>
      <c r="B54" s="2637">
        <f>'Summary-Co'!E58</f>
        <v>7.6014109347442673</v>
      </c>
      <c r="C54" s="2635">
        <f>'Summary-Co'!F58</f>
        <v>0.38007054673721336</v>
      </c>
      <c r="D54" s="2637">
        <f>'Summary-Co'!G58</f>
        <v>12.770370370370369</v>
      </c>
      <c r="E54" s="2635">
        <f>'Summary-Co'!H58</f>
        <v>0.63851851851851849</v>
      </c>
      <c r="F54" s="2637">
        <f>'Summary-Co'!I58</f>
        <v>4.887584801621446</v>
      </c>
      <c r="G54" s="2635">
        <f>'Summary-Co'!J58</f>
        <v>0.24437924008107231</v>
      </c>
      <c r="H54" s="2637">
        <f>'Summary-Co'!K58</f>
        <v>5.268486050420168E-2</v>
      </c>
      <c r="I54" s="2635">
        <f>'Summary-Co'!L58</f>
        <v>2.6342430252100841E-3</v>
      </c>
      <c r="J54" s="2637">
        <f>'Summary-Co'!M58</f>
        <v>0.21023717968</v>
      </c>
      <c r="K54" s="2635">
        <f>'Summary-Co'!N58</f>
        <v>1.0511858984E-2</v>
      </c>
      <c r="L54" s="2637">
        <f>'Summary-Co'!O58</f>
        <v>0.21023717968</v>
      </c>
      <c r="M54" s="2635">
        <f>'Summary-Co'!P58</f>
        <v>1.0511858984E-2</v>
      </c>
      <c r="N54" s="2637">
        <f t="shared" si="7"/>
        <v>0.21023717968</v>
      </c>
      <c r="O54" s="2635">
        <f t="shared" si="7"/>
        <v>1.0511858984E-2</v>
      </c>
      <c r="P54" s="2637" t="s">
        <v>17</v>
      </c>
      <c r="Q54" s="2635" t="s">
        <v>17</v>
      </c>
      <c r="R54" s="2637" t="s">
        <v>17</v>
      </c>
      <c r="S54" s="2635" t="s">
        <v>17</v>
      </c>
    </row>
    <row r="55" spans="1:19" ht="16.5" customHeight="1">
      <c r="A55" s="1297" t="str">
        <f>'2-A All'!A125</f>
        <v>GEN7</v>
      </c>
      <c r="B55" s="2997">
        <f>'Summary-Co'!E59</f>
        <v>7.6014109347442673</v>
      </c>
      <c r="C55" s="2996">
        <f>'Summary-Co'!F59</f>
        <v>0.38007054673721336</v>
      </c>
      <c r="D55" s="2997">
        <f>'Summary-Co'!G59</f>
        <v>12.770370370370369</v>
      </c>
      <c r="E55" s="2996">
        <f>'Summary-Co'!H59</f>
        <v>0.63851851851851849</v>
      </c>
      <c r="F55" s="2997">
        <f>'Summary-Co'!I59</f>
        <v>4.887584801621446</v>
      </c>
      <c r="G55" s="2996">
        <f>'Summary-Co'!J59</f>
        <v>0.24437924008107231</v>
      </c>
      <c r="H55" s="2997">
        <f>'Summary-Co'!K59</f>
        <v>5.268486050420168E-2</v>
      </c>
      <c r="I55" s="2996">
        <f>'Summary-Co'!L59</f>
        <v>2.6342430252100841E-3</v>
      </c>
      <c r="J55" s="2997">
        <f>'Summary-Co'!M59</f>
        <v>0.21023717968</v>
      </c>
      <c r="K55" s="2996">
        <f>'Summary-Co'!N59</f>
        <v>1.0511858984E-2</v>
      </c>
      <c r="L55" s="2997">
        <f>'Summary-Co'!O59</f>
        <v>0.21023717968</v>
      </c>
      <c r="M55" s="2996">
        <f>'Summary-Co'!P59</f>
        <v>1.0511858984E-2</v>
      </c>
      <c r="N55" s="2997">
        <f t="shared" si="7"/>
        <v>0.21023717968</v>
      </c>
      <c r="O55" s="2996">
        <f t="shared" si="7"/>
        <v>1.0511858984E-2</v>
      </c>
      <c r="P55" s="1275" t="s">
        <v>17</v>
      </c>
      <c r="Q55" s="1276" t="s">
        <v>17</v>
      </c>
      <c r="R55" s="1275" t="s">
        <v>17</v>
      </c>
      <c r="S55" s="1276" t="s">
        <v>17</v>
      </c>
    </row>
    <row r="56" spans="1:19" ht="16.5" customHeight="1" thickBot="1">
      <c r="A56" s="3409" t="str">
        <f>'2-A All'!A127</f>
        <v>GEN8</v>
      </c>
      <c r="B56" s="3387">
        <f>'Summary-Co'!E60</f>
        <v>7.6014109347442673</v>
      </c>
      <c r="C56" s="3388">
        <f>'Summary-Co'!F60</f>
        <v>0.38007054673721336</v>
      </c>
      <c r="D56" s="3387">
        <f>'Summary-Co'!G60</f>
        <v>12.770370370370369</v>
      </c>
      <c r="E56" s="3388">
        <f>'Summary-Co'!H60</f>
        <v>0.63851851851851849</v>
      </c>
      <c r="F56" s="3387">
        <f>'Summary-Co'!I60</f>
        <v>4.887584801621446</v>
      </c>
      <c r="G56" s="3388">
        <f>'Summary-Co'!J60</f>
        <v>0.24437924008107231</v>
      </c>
      <c r="H56" s="3387">
        <f>'Summary-Co'!K60</f>
        <v>5.268486050420168E-2</v>
      </c>
      <c r="I56" s="3388">
        <f>'Summary-Co'!L60</f>
        <v>2.6342430252100841E-3</v>
      </c>
      <c r="J56" s="3387">
        <f>'Summary-Co'!M60</f>
        <v>0.21023717968</v>
      </c>
      <c r="K56" s="3388">
        <f>'Summary-Co'!N60</f>
        <v>1.0511858984E-2</v>
      </c>
      <c r="L56" s="3387">
        <f>'Summary-Co'!O60</f>
        <v>0.21023717968</v>
      </c>
      <c r="M56" s="3388">
        <f>'Summary-Co'!P60</f>
        <v>1.0511858984E-2</v>
      </c>
      <c r="N56" s="3387">
        <f t="shared" si="7"/>
        <v>0.21023717968</v>
      </c>
      <c r="O56" s="3388">
        <f t="shared" si="7"/>
        <v>1.0511858984E-2</v>
      </c>
      <c r="P56" s="3387" t="s">
        <v>17</v>
      </c>
      <c r="Q56" s="3388" t="s">
        <v>17</v>
      </c>
      <c r="R56" s="3387" t="s">
        <v>17</v>
      </c>
      <c r="S56" s="3388" t="s">
        <v>17</v>
      </c>
    </row>
    <row r="57" spans="1:19" ht="20.149999999999999" customHeight="1" thickBot="1">
      <c r="A57" s="105" t="s">
        <v>50</v>
      </c>
      <c r="B57" s="1542">
        <f>SUM(B3:B53)-B13-B49-B50-B51-B52-B53</f>
        <v>154.4515675074579</v>
      </c>
      <c r="C57" s="1543">
        <f>SUM(C5:C56)</f>
        <v>259.85892722120138</v>
      </c>
      <c r="D57" s="1542">
        <f>SUM(D3:D53)-D13-D49-D50-D51-D52-D53</f>
        <v>243.69939935736704</v>
      </c>
      <c r="E57" s="1543">
        <f>SUM(E5:E56)</f>
        <v>234.67308957151553</v>
      </c>
      <c r="F57" s="1542">
        <f>SUM(F5:F15)+F19+F20+F21+F22+F29+F30+F31+F32+F33+F38+F39+F45+F46+F47+F48</f>
        <v>489.04053591655395</v>
      </c>
      <c r="G57" s="1543">
        <f>SUM(G5:G56)</f>
        <v>489.19799293490405</v>
      </c>
      <c r="H57" s="1542">
        <f>SUM(H5:H12)+H16+H29+H30+H31+H32+H45+H46+H47+H48</f>
        <v>11.722999774892124</v>
      </c>
      <c r="I57" s="1543">
        <f>SUM(I5:I56)</f>
        <v>51.155210496976323</v>
      </c>
      <c r="J57" s="1542">
        <f>SUM(J5:J12)+J16+J29+J30+J31+J32+J35+J45+J46+J47+J48</f>
        <v>47.616904936951528</v>
      </c>
      <c r="K57" s="1543">
        <f>SUM(K5:K56)</f>
        <v>183.56861153810843</v>
      </c>
      <c r="L57" s="1542">
        <f>SUM(L3:L53)-L13-L49-L50-L51-L52-L53</f>
        <v>45.563538823324599</v>
      </c>
      <c r="M57" s="1543">
        <f>SUM(M5:M56)</f>
        <v>176.99247552551469</v>
      </c>
      <c r="N57" s="1542">
        <f>SUM(N3:N53)-N13-N49-N50-N51-N52-N53</f>
        <v>44.931447133585486</v>
      </c>
      <c r="O57" s="1543">
        <f>SUM(O5:O56)</f>
        <v>174.96813076957031</v>
      </c>
      <c r="P57" s="262" t="s">
        <v>17</v>
      </c>
      <c r="Q57" s="263" t="s">
        <v>17</v>
      </c>
      <c r="R57" s="262" t="s">
        <v>17</v>
      </c>
      <c r="S57" s="264" t="s">
        <v>17</v>
      </c>
    </row>
    <row r="58" spans="1:19" ht="26.75" customHeight="1">
      <c r="A58" s="4043" t="s">
        <v>1255</v>
      </c>
      <c r="B58" s="4044"/>
      <c r="C58" s="4044"/>
      <c r="D58" s="4044"/>
      <c r="E58" s="4044"/>
      <c r="F58" s="4044"/>
      <c r="G58" s="4044"/>
      <c r="H58" s="4044"/>
      <c r="I58" s="4044"/>
      <c r="J58" s="4044"/>
      <c r="K58" s="4044"/>
      <c r="L58" s="4044"/>
      <c r="M58" s="4044"/>
      <c r="N58" s="4044"/>
      <c r="O58" s="4044"/>
      <c r="P58" s="4044"/>
      <c r="Q58" s="4044"/>
      <c r="R58" s="4044"/>
      <c r="S58" s="4045"/>
    </row>
    <row r="59" spans="1:19" ht="25.25" customHeight="1">
      <c r="A59" s="4053" t="s">
        <v>1917</v>
      </c>
      <c r="B59" s="4053"/>
      <c r="C59" s="4053"/>
      <c r="D59" s="4053"/>
      <c r="E59" s="4053"/>
      <c r="F59" s="4053"/>
      <c r="G59" s="4053"/>
      <c r="H59" s="4053"/>
      <c r="I59" s="4053"/>
      <c r="J59" s="4053"/>
      <c r="K59" s="4053"/>
      <c r="L59" s="4053"/>
      <c r="M59" s="4053"/>
      <c r="N59" s="4053"/>
      <c r="O59" s="4053"/>
      <c r="P59" s="4053"/>
      <c r="Q59" s="4053"/>
      <c r="R59" s="4053"/>
      <c r="S59" s="4053"/>
    </row>
    <row r="60" spans="1:19">
      <c r="A60" s="106"/>
      <c r="B60" s="106"/>
      <c r="C60" s="106"/>
      <c r="D60" s="106"/>
      <c r="E60" s="106"/>
      <c r="F60" s="106"/>
      <c r="G60" s="106"/>
      <c r="H60" s="106"/>
      <c r="I60" s="106"/>
      <c r="J60" s="106"/>
      <c r="K60" s="106"/>
      <c r="L60" s="106"/>
      <c r="M60" s="106"/>
      <c r="N60" s="106"/>
      <c r="O60" s="106"/>
      <c r="P60" s="106"/>
      <c r="Q60" s="106"/>
      <c r="R60" s="106"/>
      <c r="S60" s="106"/>
    </row>
  </sheetData>
  <mergeCells count="84">
    <mergeCell ref="A58:S58"/>
    <mergeCell ref="A1:S1"/>
    <mergeCell ref="A2:S2"/>
    <mergeCell ref="A3:A4"/>
    <mergeCell ref="B3:C3"/>
    <mergeCell ref="D3:E3"/>
    <mergeCell ref="F3:G3"/>
    <mergeCell ref="H3:I3"/>
    <mergeCell ref="J3:K3"/>
    <mergeCell ref="L3:M3"/>
    <mergeCell ref="N3:O3"/>
    <mergeCell ref="P3:Q3"/>
    <mergeCell ref="R3:S3"/>
    <mergeCell ref="B44:S44"/>
    <mergeCell ref="B43:S43"/>
    <mergeCell ref="B23:S23"/>
    <mergeCell ref="B41:S41"/>
    <mergeCell ref="B42:S42"/>
    <mergeCell ref="B24:S24"/>
    <mergeCell ref="B25:S25"/>
    <mergeCell ref="B26:S26"/>
    <mergeCell ref="B27:S27"/>
    <mergeCell ref="B28:S28"/>
    <mergeCell ref="N10:N12"/>
    <mergeCell ref="O10:O12"/>
    <mergeCell ref="B36:S36"/>
    <mergeCell ref="B37:S37"/>
    <mergeCell ref="B40:S40"/>
    <mergeCell ref="Q10:Q12"/>
    <mergeCell ref="P10:P12"/>
    <mergeCell ref="R10:R12"/>
    <mergeCell ref="S10:S12"/>
    <mergeCell ref="B10:B12"/>
    <mergeCell ref="C10:C12"/>
    <mergeCell ref="D10:D12"/>
    <mergeCell ref="E10:E12"/>
    <mergeCell ref="F10:F12"/>
    <mergeCell ref="G10:G12"/>
    <mergeCell ref="H10:H12"/>
    <mergeCell ref="I10:I12"/>
    <mergeCell ref="J10:J12"/>
    <mergeCell ref="K10:K12"/>
    <mergeCell ref="L10:L12"/>
    <mergeCell ref="M10:M12"/>
    <mergeCell ref="A10:A12"/>
    <mergeCell ref="A13:A15"/>
    <mergeCell ref="B13:B15"/>
    <mergeCell ref="C13:C15"/>
    <mergeCell ref="D13:D15"/>
    <mergeCell ref="P13:P15"/>
    <mergeCell ref="Q13:Q15"/>
    <mergeCell ref="R13:R15"/>
    <mergeCell ref="S13:S15"/>
    <mergeCell ref="J13:J15"/>
    <mergeCell ref="K13:K15"/>
    <mergeCell ref="L13:L15"/>
    <mergeCell ref="M13:M15"/>
    <mergeCell ref="N13:N15"/>
    <mergeCell ref="B16:B18"/>
    <mergeCell ref="C16:C18"/>
    <mergeCell ref="D16:D18"/>
    <mergeCell ref="E16:E18"/>
    <mergeCell ref="O13:O15"/>
    <mergeCell ref="E13:E15"/>
    <mergeCell ref="F13:F15"/>
    <mergeCell ref="G13:G15"/>
    <mergeCell ref="H13:H15"/>
    <mergeCell ref="I13:I15"/>
    <mergeCell ref="A59:S59"/>
    <mergeCell ref="P16:P18"/>
    <mergeCell ref="Q16:Q18"/>
    <mergeCell ref="R16:R18"/>
    <mergeCell ref="S16:S18"/>
    <mergeCell ref="K16:K18"/>
    <mergeCell ref="L16:L18"/>
    <mergeCell ref="M16:M18"/>
    <mergeCell ref="N16:N18"/>
    <mergeCell ref="O16:O18"/>
    <mergeCell ref="F16:F18"/>
    <mergeCell ref="G16:G18"/>
    <mergeCell ref="H16:H18"/>
    <mergeCell ref="I16:I18"/>
    <mergeCell ref="J16:J18"/>
    <mergeCell ref="A16:A18"/>
  </mergeCells>
  <conditionalFormatting sqref="B57">
    <cfRule type="expression" dxfId="18" priority="8" stopIfTrue="1">
      <formula>"if B35 &gt; 10"</formula>
    </cfRule>
  </conditionalFormatting>
  <conditionalFormatting sqref="D57">
    <cfRule type="expression" dxfId="17" priority="6" stopIfTrue="1">
      <formula>"if B35 &gt; 10"</formula>
    </cfRule>
  </conditionalFormatting>
  <conditionalFormatting sqref="F57">
    <cfRule type="expression" dxfId="16" priority="5" stopIfTrue="1">
      <formula>"if B35 &gt; 10"</formula>
    </cfRule>
  </conditionalFormatting>
  <conditionalFormatting sqref="H57">
    <cfRule type="expression" dxfId="15" priority="4" stopIfTrue="1">
      <formula>"if B35 &gt; 10"</formula>
    </cfRule>
  </conditionalFormatting>
  <conditionalFormatting sqref="J57">
    <cfRule type="expression" dxfId="14" priority="3" stopIfTrue="1">
      <formula>"if B35 &gt; 10"</formula>
    </cfRule>
  </conditionalFormatting>
  <conditionalFormatting sqref="L57">
    <cfRule type="expression" dxfId="13" priority="2" stopIfTrue="1">
      <formula>"if B35 &gt; 10"</formula>
    </cfRule>
  </conditionalFormatting>
  <conditionalFormatting sqref="N57">
    <cfRule type="expression" dxfId="12" priority="1" stopIfTrue="1">
      <formula>"if B35 &gt; 10"</formula>
    </cfRule>
  </conditionalFormatting>
  <printOptions horizontalCentered="1" verticalCentered="1"/>
  <pageMargins left="0.5" right="0.5" top="0.5" bottom="0.5" header="0.35" footer="0.35"/>
  <pageSetup scale="91"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6/14/2019&amp;C&amp;8Table 2-E:  Page &amp;P&amp;R&amp;8Printed &amp;D &amp;T</oddFooter>
  </headerFooter>
  <rowBreaks count="1" manualBreakCount="1">
    <brk id="33"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0">
    <tabColor theme="1"/>
  </sheetPr>
  <dimension ref="A1:U62"/>
  <sheetViews>
    <sheetView showWhiteSpace="0" view="pageBreakPreview" topLeftCell="A31" zoomScale="85" zoomScaleNormal="85" zoomScaleSheetLayoutView="85" zoomScalePageLayoutView="70" workbookViewId="0">
      <selection activeCell="E19" sqref="E19:R20"/>
    </sheetView>
  </sheetViews>
  <sheetFormatPr defaultColWidth="8.6328125" defaultRowHeight="13"/>
  <cols>
    <col min="1" max="1" width="9.453125" style="78" customWidth="1"/>
    <col min="2" max="19" width="7.36328125" style="78" customWidth="1"/>
    <col min="20" max="29" width="7.453125" style="78" customWidth="1"/>
    <col min="30" max="16384" width="8.6328125" style="78"/>
  </cols>
  <sheetData>
    <row r="1" spans="1:21" ht="23.25" customHeight="1">
      <c r="A1" s="4046" t="s">
        <v>1487</v>
      </c>
      <c r="B1" s="4047"/>
      <c r="C1" s="4047"/>
      <c r="D1" s="4047"/>
      <c r="E1" s="4047"/>
      <c r="F1" s="4047"/>
      <c r="G1" s="4047"/>
      <c r="H1" s="4047"/>
      <c r="I1" s="4047"/>
      <c r="J1" s="4047"/>
      <c r="K1" s="4047"/>
      <c r="L1" s="4047"/>
      <c r="M1" s="4047"/>
      <c r="N1" s="4047"/>
      <c r="O1" s="4047"/>
      <c r="P1" s="4047"/>
      <c r="Q1" s="4047"/>
      <c r="R1" s="4047"/>
      <c r="S1" s="4047"/>
      <c r="T1" s="77"/>
      <c r="U1" s="77"/>
    </row>
    <row r="2" spans="1:21" ht="42" customHeight="1" thickBot="1">
      <c r="A2" s="4093" t="s">
        <v>1254</v>
      </c>
      <c r="B2" s="4094"/>
      <c r="C2" s="4094"/>
      <c r="D2" s="4094"/>
      <c r="E2" s="4094"/>
      <c r="F2" s="4094"/>
      <c r="G2" s="4094"/>
      <c r="H2" s="4094"/>
      <c r="I2" s="4094"/>
      <c r="J2" s="4094"/>
      <c r="K2" s="4094"/>
      <c r="L2" s="4094"/>
      <c r="M2" s="4094"/>
      <c r="N2" s="4094"/>
      <c r="O2" s="4094"/>
      <c r="P2" s="4094"/>
      <c r="Q2" s="4094"/>
      <c r="R2" s="4094"/>
      <c r="S2" s="4094"/>
    </row>
    <row r="3" spans="1:21" ht="14.25" customHeight="1">
      <c r="A3" s="4050" t="s">
        <v>148</v>
      </c>
      <c r="B3" s="4040" t="s">
        <v>21</v>
      </c>
      <c r="C3" s="4041"/>
      <c r="D3" s="4040" t="s">
        <v>0</v>
      </c>
      <c r="E3" s="4041"/>
      <c r="F3" s="4042" t="s">
        <v>149</v>
      </c>
      <c r="G3" s="4052"/>
      <c r="H3" s="4040" t="s">
        <v>150</v>
      </c>
      <c r="I3" s="4041"/>
      <c r="J3" s="4042" t="s">
        <v>1258</v>
      </c>
      <c r="K3" s="4052"/>
      <c r="L3" s="4040" t="s">
        <v>156</v>
      </c>
      <c r="M3" s="4041"/>
      <c r="N3" s="4040" t="s">
        <v>157</v>
      </c>
      <c r="O3" s="4041"/>
      <c r="P3" s="4040" t="s">
        <v>153</v>
      </c>
      <c r="Q3" s="4041"/>
      <c r="R3" s="4040" t="s">
        <v>154</v>
      </c>
      <c r="S3" s="4041"/>
    </row>
    <row r="4" spans="1:21" ht="13.5" customHeight="1">
      <c r="A4" s="4095"/>
      <c r="B4" s="83" t="s">
        <v>22</v>
      </c>
      <c r="C4" s="84" t="s">
        <v>155</v>
      </c>
      <c r="D4" s="83" t="s">
        <v>22</v>
      </c>
      <c r="E4" s="84" t="s">
        <v>155</v>
      </c>
      <c r="F4" s="102" t="s">
        <v>22</v>
      </c>
      <c r="G4" s="103" t="s">
        <v>155</v>
      </c>
      <c r="H4" s="83" t="s">
        <v>22</v>
      </c>
      <c r="I4" s="84" t="s">
        <v>155</v>
      </c>
      <c r="J4" s="102" t="s">
        <v>22</v>
      </c>
      <c r="K4" s="103" t="s">
        <v>155</v>
      </c>
      <c r="L4" s="83" t="s">
        <v>22</v>
      </c>
      <c r="M4" s="84" t="s">
        <v>155</v>
      </c>
      <c r="N4" s="83" t="s">
        <v>22</v>
      </c>
      <c r="O4" s="84" t="s">
        <v>155</v>
      </c>
      <c r="P4" s="83" t="s">
        <v>22</v>
      </c>
      <c r="Q4" s="84" t="s">
        <v>155</v>
      </c>
      <c r="R4" s="83" t="s">
        <v>22</v>
      </c>
      <c r="S4" s="84" t="s">
        <v>155</v>
      </c>
    </row>
    <row r="5" spans="1:21" ht="16.5" customHeight="1">
      <c r="A5" s="356" t="str">
        <f>'Summary-NoCo'!C13</f>
        <v>SHTR1</v>
      </c>
      <c r="B5" s="284">
        <f>'Burners No Cogen'!M13</f>
        <v>1.730961</v>
      </c>
      <c r="C5" s="285">
        <f>'Burners No Cogen'!R13</f>
        <v>7.5816091799999992</v>
      </c>
      <c r="D5" s="284">
        <f>'Burners No Cogen'!N13</f>
        <v>1.0567289999999998</v>
      </c>
      <c r="E5" s="285">
        <f>'Burners No Cogen'!S13</f>
        <v>4.6284730199999995</v>
      </c>
      <c r="F5" s="286">
        <f>'Burners No Cogen'!O13</f>
        <v>0.414912</v>
      </c>
      <c r="G5" s="287">
        <f>'Burners No Cogen'!T13</f>
        <v>1.81731456</v>
      </c>
      <c r="H5" s="284">
        <f>'Burners No Cogen'!P13</f>
        <v>0.14300735294117647</v>
      </c>
      <c r="I5" s="285">
        <f>'Burners No Cogen'!U13</f>
        <v>0.62637220588235298</v>
      </c>
      <c r="J5" s="413">
        <f>'Burners No Cogen'!Q13</f>
        <v>0.48304705882352933</v>
      </c>
      <c r="K5" s="414">
        <f>'Burners No Cogen'!V13</f>
        <v>2.1157461176470584</v>
      </c>
      <c r="L5" s="290">
        <f t="shared" ref="L5:L23" si="0">J5</f>
        <v>0.48304705882352933</v>
      </c>
      <c r="M5" s="291">
        <f t="shared" ref="M5:M23" si="1">K5</f>
        <v>2.1157461176470584</v>
      </c>
      <c r="N5" s="288">
        <f t="shared" ref="N5:N23" si="2">J5</f>
        <v>0.48304705882352933</v>
      </c>
      <c r="O5" s="289">
        <f t="shared" ref="O5:O23" si="3">K5</f>
        <v>2.1157461176470584</v>
      </c>
      <c r="P5" s="292" t="s">
        <v>17</v>
      </c>
      <c r="Q5" s="293" t="s">
        <v>17</v>
      </c>
      <c r="R5" s="294" t="s">
        <v>17</v>
      </c>
      <c r="S5" s="293" t="s">
        <v>17</v>
      </c>
    </row>
    <row r="6" spans="1:21" ht="16.5" customHeight="1">
      <c r="A6" s="256" t="str">
        <f>'Summary-NoCo'!C14</f>
        <v>SHTR2</v>
      </c>
      <c r="B6" s="1397">
        <f>'Burners No Cogen'!M14</f>
        <v>1.730961</v>
      </c>
      <c r="C6" s="1398">
        <f>'Burners No Cogen'!R14</f>
        <v>7.5816091799999992</v>
      </c>
      <c r="D6" s="1397">
        <f>'Burners No Cogen'!N14</f>
        <v>1.0567289999999998</v>
      </c>
      <c r="E6" s="1398">
        <f>'Burners No Cogen'!S14</f>
        <v>4.6284730199999995</v>
      </c>
      <c r="F6" s="1399">
        <f>'Burners No Cogen'!O14</f>
        <v>0.414912</v>
      </c>
      <c r="G6" s="1400">
        <f>'Burners No Cogen'!T14</f>
        <v>1.81731456</v>
      </c>
      <c r="H6" s="1397">
        <f>'Burners No Cogen'!P14</f>
        <v>0.14300735294117647</v>
      </c>
      <c r="I6" s="1398">
        <f>'Burners No Cogen'!U14</f>
        <v>0.62637220588235298</v>
      </c>
      <c r="J6" s="1401">
        <f>'Burners No Cogen'!Q14</f>
        <v>0.48304705882352933</v>
      </c>
      <c r="K6" s="1402">
        <f>'Burners No Cogen'!V14</f>
        <v>2.1157461176470584</v>
      </c>
      <c r="L6" s="1403">
        <f t="shared" si="0"/>
        <v>0.48304705882352933</v>
      </c>
      <c r="M6" s="1404">
        <f t="shared" si="1"/>
        <v>2.1157461176470584</v>
      </c>
      <c r="N6" s="1405">
        <f t="shared" si="2"/>
        <v>0.48304705882352933</v>
      </c>
      <c r="O6" s="1406">
        <f t="shared" si="3"/>
        <v>2.1157461176470584</v>
      </c>
      <c r="P6" s="91" t="s">
        <v>17</v>
      </c>
      <c r="Q6" s="92" t="s">
        <v>17</v>
      </c>
      <c r="R6" s="89" t="s">
        <v>17</v>
      </c>
      <c r="S6" s="92" t="s">
        <v>17</v>
      </c>
    </row>
    <row r="7" spans="1:21" ht="16.5" customHeight="1">
      <c r="A7" s="356" t="str">
        <f>'Summary-NoCo'!C15</f>
        <v>SHTR3</v>
      </c>
      <c r="B7" s="284">
        <f>'Burners No Cogen'!M15</f>
        <v>1.730961</v>
      </c>
      <c r="C7" s="285">
        <f>'Burners No Cogen'!R15</f>
        <v>7.5816091799999992</v>
      </c>
      <c r="D7" s="284">
        <f>'Burners No Cogen'!N15</f>
        <v>1.0567289999999998</v>
      </c>
      <c r="E7" s="285">
        <f>'Burners No Cogen'!S15</f>
        <v>4.6284730199999995</v>
      </c>
      <c r="F7" s="286">
        <f>'Burners No Cogen'!O15</f>
        <v>0.414912</v>
      </c>
      <c r="G7" s="287">
        <f>'Burners No Cogen'!T15</f>
        <v>1.81731456</v>
      </c>
      <c r="H7" s="284">
        <f>'Burners No Cogen'!P15</f>
        <v>0.14300735294117647</v>
      </c>
      <c r="I7" s="285">
        <f>'Burners No Cogen'!U15</f>
        <v>0.62637220588235298</v>
      </c>
      <c r="J7" s="413">
        <f>'Burners No Cogen'!Q15</f>
        <v>0.48304705882352933</v>
      </c>
      <c r="K7" s="414">
        <f>'Burners No Cogen'!V15</f>
        <v>2.1157461176470584</v>
      </c>
      <c r="L7" s="290">
        <f t="shared" si="0"/>
        <v>0.48304705882352933</v>
      </c>
      <c r="M7" s="291">
        <f t="shared" si="1"/>
        <v>2.1157461176470584</v>
      </c>
      <c r="N7" s="288">
        <f t="shared" si="2"/>
        <v>0.48304705882352933</v>
      </c>
      <c r="O7" s="289">
        <f t="shared" si="3"/>
        <v>2.1157461176470584</v>
      </c>
      <c r="P7" s="292" t="s">
        <v>17</v>
      </c>
      <c r="Q7" s="293" t="s">
        <v>17</v>
      </c>
      <c r="R7" s="294" t="s">
        <v>17</v>
      </c>
      <c r="S7" s="293" t="s">
        <v>17</v>
      </c>
    </row>
    <row r="8" spans="1:21" ht="16.5" customHeight="1">
      <c r="A8" s="256" t="str">
        <f>'Summary-NoCo'!C16</f>
        <v>SHTR4</v>
      </c>
      <c r="B8" s="1397">
        <f>'Burners No Cogen'!M16</f>
        <v>1.730961</v>
      </c>
      <c r="C8" s="1398">
        <f>'Burners No Cogen'!R16</f>
        <v>7.5816091799999992</v>
      </c>
      <c r="D8" s="1397">
        <f>'Burners No Cogen'!N16</f>
        <v>1.0567289999999998</v>
      </c>
      <c r="E8" s="1398">
        <f>'Burners No Cogen'!S16</f>
        <v>4.6284730199999995</v>
      </c>
      <c r="F8" s="1399">
        <f>'Burners No Cogen'!O16</f>
        <v>0.414912</v>
      </c>
      <c r="G8" s="1400">
        <f>'Burners No Cogen'!T16</f>
        <v>1.81731456</v>
      </c>
      <c r="H8" s="1397">
        <f>'Burners No Cogen'!P16</f>
        <v>0.14300735294117647</v>
      </c>
      <c r="I8" s="1398">
        <f>'Burners No Cogen'!U16</f>
        <v>0.62637220588235298</v>
      </c>
      <c r="J8" s="1401">
        <f>'Burners No Cogen'!Q16</f>
        <v>0.48304705882352933</v>
      </c>
      <c r="K8" s="1402">
        <f>'Burners No Cogen'!V16</f>
        <v>2.1157461176470584</v>
      </c>
      <c r="L8" s="1403">
        <f t="shared" si="0"/>
        <v>0.48304705882352933</v>
      </c>
      <c r="M8" s="1404">
        <f t="shared" si="1"/>
        <v>2.1157461176470584</v>
      </c>
      <c r="N8" s="1405">
        <f t="shared" si="2"/>
        <v>0.48304705882352933</v>
      </c>
      <c r="O8" s="1406">
        <f t="shared" si="3"/>
        <v>2.1157461176470584</v>
      </c>
      <c r="P8" s="91" t="s">
        <v>17</v>
      </c>
      <c r="Q8" s="92" t="s">
        <v>17</v>
      </c>
      <c r="R8" s="89" t="s">
        <v>17</v>
      </c>
      <c r="S8" s="92" t="s">
        <v>17</v>
      </c>
    </row>
    <row r="9" spans="1:21" ht="16.5" customHeight="1">
      <c r="A9" s="356" t="str">
        <f>'Summary-NoCo'!C17</f>
        <v>SHTR5</v>
      </c>
      <c r="B9" s="284">
        <f>'Burners No Cogen'!M17</f>
        <v>1.730961</v>
      </c>
      <c r="C9" s="285">
        <f>'Burners No Cogen'!R17</f>
        <v>7.5816091799999992</v>
      </c>
      <c r="D9" s="284">
        <f>'Burners No Cogen'!N17</f>
        <v>1.0567289999999998</v>
      </c>
      <c r="E9" s="285">
        <f>'Burners No Cogen'!S17</f>
        <v>4.6284730199999995</v>
      </c>
      <c r="F9" s="286">
        <f>'Burners No Cogen'!O17</f>
        <v>0.414912</v>
      </c>
      <c r="G9" s="287">
        <f>'Burners No Cogen'!T17</f>
        <v>1.81731456</v>
      </c>
      <c r="H9" s="284">
        <f>'Burners No Cogen'!P17</f>
        <v>0.14300735294117647</v>
      </c>
      <c r="I9" s="285">
        <f>'Burners No Cogen'!U17</f>
        <v>0.62637220588235298</v>
      </c>
      <c r="J9" s="413">
        <f>'Burners No Cogen'!Q17</f>
        <v>0.48304705882352933</v>
      </c>
      <c r="K9" s="414">
        <f>'Burners No Cogen'!V17</f>
        <v>2.1157461176470584</v>
      </c>
      <c r="L9" s="290">
        <f t="shared" si="0"/>
        <v>0.48304705882352933</v>
      </c>
      <c r="M9" s="291">
        <f t="shared" si="1"/>
        <v>2.1157461176470584</v>
      </c>
      <c r="N9" s="288">
        <f t="shared" si="2"/>
        <v>0.48304705882352933</v>
      </c>
      <c r="O9" s="289">
        <f t="shared" si="3"/>
        <v>2.1157461176470584</v>
      </c>
      <c r="P9" s="292" t="s">
        <v>17</v>
      </c>
      <c r="Q9" s="293" t="s">
        <v>17</v>
      </c>
      <c r="R9" s="294" t="s">
        <v>17</v>
      </c>
      <c r="S9" s="293" t="s">
        <v>17</v>
      </c>
    </row>
    <row r="10" spans="1:21" ht="16.5" customHeight="1">
      <c r="A10" s="256" t="str">
        <f>'Summary-NoCo'!C18</f>
        <v>SHTR6</v>
      </c>
      <c r="B10" s="1397">
        <f>'Burners No Cogen'!M18</f>
        <v>1.730961</v>
      </c>
      <c r="C10" s="1398">
        <f>'Burners No Cogen'!R18</f>
        <v>7.5816091799999992</v>
      </c>
      <c r="D10" s="1397">
        <f>'Burners No Cogen'!N18</f>
        <v>1.0567289999999998</v>
      </c>
      <c r="E10" s="1398">
        <f>'Burners No Cogen'!S18</f>
        <v>4.6284730199999995</v>
      </c>
      <c r="F10" s="1399">
        <f>'Burners No Cogen'!O18</f>
        <v>0.414912</v>
      </c>
      <c r="G10" s="1400">
        <f>'Burners No Cogen'!T18</f>
        <v>1.81731456</v>
      </c>
      <c r="H10" s="1397">
        <f>'Burners No Cogen'!P18</f>
        <v>0.14300735294117647</v>
      </c>
      <c r="I10" s="1398">
        <f>'Burners No Cogen'!U18</f>
        <v>0.62637220588235298</v>
      </c>
      <c r="J10" s="1401">
        <f>'Burners No Cogen'!Q18</f>
        <v>0.48304705882352933</v>
      </c>
      <c r="K10" s="1402">
        <f>'Burners No Cogen'!V18</f>
        <v>2.1157461176470584</v>
      </c>
      <c r="L10" s="1403">
        <f t="shared" si="0"/>
        <v>0.48304705882352933</v>
      </c>
      <c r="M10" s="1404">
        <f t="shared" si="1"/>
        <v>2.1157461176470584</v>
      </c>
      <c r="N10" s="1405">
        <f t="shared" si="2"/>
        <v>0.48304705882352933</v>
      </c>
      <c r="O10" s="1406">
        <f t="shared" si="3"/>
        <v>2.1157461176470584</v>
      </c>
      <c r="P10" s="91" t="s">
        <v>17</v>
      </c>
      <c r="Q10" s="92" t="s">
        <v>17</v>
      </c>
      <c r="R10" s="89" t="s">
        <v>17</v>
      </c>
      <c r="S10" s="92" t="s">
        <v>17</v>
      </c>
    </row>
    <row r="11" spans="1:21" ht="16.5" customHeight="1">
      <c r="A11" s="356" t="str">
        <f>'Summary-NoCo'!C19</f>
        <v>SHTR7</v>
      </c>
      <c r="B11" s="284">
        <f>'Burners No Cogen'!M19</f>
        <v>1.730961</v>
      </c>
      <c r="C11" s="285">
        <f>'Burners No Cogen'!R19</f>
        <v>7.5816091799999992</v>
      </c>
      <c r="D11" s="284">
        <f>'Burners No Cogen'!N19</f>
        <v>1.0567289999999998</v>
      </c>
      <c r="E11" s="285">
        <f>'Burners No Cogen'!S19</f>
        <v>4.6284730199999995</v>
      </c>
      <c r="F11" s="286">
        <f>'Burners No Cogen'!O19</f>
        <v>0.414912</v>
      </c>
      <c r="G11" s="287">
        <f>'Burners No Cogen'!T19</f>
        <v>1.81731456</v>
      </c>
      <c r="H11" s="284">
        <f>'Burners No Cogen'!P19</f>
        <v>0.14300735294117647</v>
      </c>
      <c r="I11" s="285">
        <f>'Burners No Cogen'!U19</f>
        <v>0.62637220588235298</v>
      </c>
      <c r="J11" s="413">
        <f>'Burners No Cogen'!Q19</f>
        <v>0.48304705882352933</v>
      </c>
      <c r="K11" s="414">
        <f>'Burners No Cogen'!V19</f>
        <v>2.1157461176470584</v>
      </c>
      <c r="L11" s="290">
        <f t="shared" si="0"/>
        <v>0.48304705882352933</v>
      </c>
      <c r="M11" s="291">
        <f t="shared" si="1"/>
        <v>2.1157461176470584</v>
      </c>
      <c r="N11" s="288">
        <f t="shared" si="2"/>
        <v>0.48304705882352933</v>
      </c>
      <c r="O11" s="289">
        <f t="shared" si="3"/>
        <v>2.1157461176470584</v>
      </c>
      <c r="P11" s="292" t="s">
        <v>17</v>
      </c>
      <c r="Q11" s="293" t="s">
        <v>17</v>
      </c>
      <c r="R11" s="294" t="s">
        <v>17</v>
      </c>
      <c r="S11" s="293" t="s">
        <v>17</v>
      </c>
    </row>
    <row r="12" spans="1:21" ht="16.5" customHeight="1">
      <c r="A12" s="256" t="str">
        <f>'Summary-NoCo'!C20</f>
        <v>SHTR8</v>
      </c>
      <c r="B12" s="1397">
        <f>'Burners No Cogen'!M20</f>
        <v>1.730961</v>
      </c>
      <c r="C12" s="1398">
        <f>'Burners No Cogen'!R20</f>
        <v>7.5816091799999992</v>
      </c>
      <c r="D12" s="1397">
        <f>'Burners No Cogen'!N20</f>
        <v>1.0567289999999998</v>
      </c>
      <c r="E12" s="1398">
        <f>'Burners No Cogen'!S20</f>
        <v>4.6284730199999995</v>
      </c>
      <c r="F12" s="1399">
        <f>'Burners No Cogen'!O20</f>
        <v>0.414912</v>
      </c>
      <c r="G12" s="1400">
        <f>'Burners No Cogen'!T20</f>
        <v>1.81731456</v>
      </c>
      <c r="H12" s="1397">
        <f>'Burners No Cogen'!P20</f>
        <v>0.14300735294117647</v>
      </c>
      <c r="I12" s="1398">
        <f>'Burners No Cogen'!U20</f>
        <v>0.62637220588235298</v>
      </c>
      <c r="J12" s="1401">
        <f>'Burners No Cogen'!Q20</f>
        <v>0.48304705882352933</v>
      </c>
      <c r="K12" s="1402">
        <f>'Burners No Cogen'!V20</f>
        <v>2.1157461176470584</v>
      </c>
      <c r="L12" s="1403">
        <f t="shared" si="0"/>
        <v>0.48304705882352933</v>
      </c>
      <c r="M12" s="1404">
        <f t="shared" si="1"/>
        <v>2.1157461176470584</v>
      </c>
      <c r="N12" s="1405">
        <f t="shared" si="2"/>
        <v>0.48304705882352933</v>
      </c>
      <c r="O12" s="1406">
        <f t="shared" si="3"/>
        <v>2.1157461176470584</v>
      </c>
      <c r="P12" s="91" t="s">
        <v>17</v>
      </c>
      <c r="Q12" s="92" t="s">
        <v>17</v>
      </c>
      <c r="R12" s="89" t="s">
        <v>17</v>
      </c>
      <c r="S12" s="92" t="s">
        <v>17</v>
      </c>
    </row>
    <row r="13" spans="1:21" ht="16.5" customHeight="1">
      <c r="A13" s="356" t="str">
        <f>'Summary-NoCo'!C21</f>
        <v>SHTR9</v>
      </c>
      <c r="B13" s="284">
        <f>'Burners No Cogen'!M21</f>
        <v>1.730961</v>
      </c>
      <c r="C13" s="285">
        <f>'Burners No Cogen'!R21</f>
        <v>7.5816091799999992</v>
      </c>
      <c r="D13" s="284">
        <f>'Burners No Cogen'!N21</f>
        <v>1.0567289999999998</v>
      </c>
      <c r="E13" s="285">
        <f>'Burners No Cogen'!S21</f>
        <v>4.6284730199999995</v>
      </c>
      <c r="F13" s="286">
        <f>'Burners No Cogen'!O21</f>
        <v>0.414912</v>
      </c>
      <c r="G13" s="287">
        <f>'Burners No Cogen'!T21</f>
        <v>1.81731456</v>
      </c>
      <c r="H13" s="284">
        <f>'Burners No Cogen'!P21</f>
        <v>0.14300735294117647</v>
      </c>
      <c r="I13" s="285">
        <f>'Burners No Cogen'!U21</f>
        <v>0.62637220588235298</v>
      </c>
      <c r="J13" s="413">
        <f>'Burners No Cogen'!Q21</f>
        <v>0.48304705882352933</v>
      </c>
      <c r="K13" s="414">
        <f>'Burners No Cogen'!V21</f>
        <v>2.1157461176470584</v>
      </c>
      <c r="L13" s="290">
        <f t="shared" si="0"/>
        <v>0.48304705882352933</v>
      </c>
      <c r="M13" s="291">
        <f t="shared" si="1"/>
        <v>2.1157461176470584</v>
      </c>
      <c r="N13" s="288">
        <f t="shared" si="2"/>
        <v>0.48304705882352933</v>
      </c>
      <c r="O13" s="289">
        <f t="shared" si="3"/>
        <v>2.1157461176470584</v>
      </c>
      <c r="P13" s="292" t="s">
        <v>17</v>
      </c>
      <c r="Q13" s="293" t="s">
        <v>17</v>
      </c>
      <c r="R13" s="294" t="s">
        <v>17</v>
      </c>
      <c r="S13" s="293" t="s">
        <v>17</v>
      </c>
    </row>
    <row r="14" spans="1:21" ht="16.5" customHeight="1">
      <c r="A14" s="256" t="str">
        <f>'Summary-NoCo'!C22</f>
        <v>SHTR10</v>
      </c>
      <c r="B14" s="1397">
        <f>'Burners No Cogen'!M22</f>
        <v>1.730961</v>
      </c>
      <c r="C14" s="1398">
        <f>'Burners No Cogen'!R22</f>
        <v>7.5816091799999992</v>
      </c>
      <c r="D14" s="1397">
        <f>'Burners No Cogen'!N22</f>
        <v>1.0567289999999998</v>
      </c>
      <c r="E14" s="1398">
        <f>'Burners No Cogen'!S22</f>
        <v>4.6284730199999995</v>
      </c>
      <c r="F14" s="1399">
        <f>'Burners No Cogen'!O22</f>
        <v>0.414912</v>
      </c>
      <c r="G14" s="1400">
        <f>'Burners No Cogen'!T22</f>
        <v>1.81731456</v>
      </c>
      <c r="H14" s="1397">
        <f>'Burners No Cogen'!P22</f>
        <v>0.14300735294117647</v>
      </c>
      <c r="I14" s="1398">
        <f>'Burners No Cogen'!U22</f>
        <v>0.62637220588235298</v>
      </c>
      <c r="J14" s="1401">
        <f>'Burners No Cogen'!Q22</f>
        <v>0.48304705882352933</v>
      </c>
      <c r="K14" s="1402">
        <f>'Burners No Cogen'!V22</f>
        <v>2.1157461176470584</v>
      </c>
      <c r="L14" s="1403">
        <f t="shared" si="0"/>
        <v>0.48304705882352933</v>
      </c>
      <c r="M14" s="1404">
        <f t="shared" si="1"/>
        <v>2.1157461176470584</v>
      </c>
      <c r="N14" s="1405">
        <f t="shared" si="2"/>
        <v>0.48304705882352933</v>
      </c>
      <c r="O14" s="1406">
        <f t="shared" si="3"/>
        <v>2.1157461176470584</v>
      </c>
      <c r="P14" s="91" t="s">
        <v>17</v>
      </c>
      <c r="Q14" s="92" t="s">
        <v>17</v>
      </c>
      <c r="R14" s="89" t="s">
        <v>17</v>
      </c>
      <c r="S14" s="92" t="s">
        <v>17</v>
      </c>
    </row>
    <row r="15" spans="1:21" ht="16.5" customHeight="1">
      <c r="A15" s="356" t="str">
        <f>'Summary-NoCo'!C23</f>
        <v>SHTR11</v>
      </c>
      <c r="B15" s="284">
        <f>'Burners No Cogen'!M23</f>
        <v>1.730961</v>
      </c>
      <c r="C15" s="285">
        <f>'Burners No Cogen'!R23</f>
        <v>7.5816091799999992</v>
      </c>
      <c r="D15" s="284">
        <f>'Burners No Cogen'!N23</f>
        <v>1.0567289999999998</v>
      </c>
      <c r="E15" s="285">
        <f>'Burners No Cogen'!S23</f>
        <v>4.6284730199999995</v>
      </c>
      <c r="F15" s="286">
        <f>'Burners No Cogen'!O23</f>
        <v>0.414912</v>
      </c>
      <c r="G15" s="287">
        <f>'Burners No Cogen'!T23</f>
        <v>1.81731456</v>
      </c>
      <c r="H15" s="284">
        <f>'Burners No Cogen'!P23</f>
        <v>0.14300735294117647</v>
      </c>
      <c r="I15" s="285">
        <f>'Burners No Cogen'!U23</f>
        <v>0.62637220588235298</v>
      </c>
      <c r="J15" s="413">
        <f>'Burners No Cogen'!Q23</f>
        <v>0.48304705882352933</v>
      </c>
      <c r="K15" s="414">
        <f>'Burners No Cogen'!V23</f>
        <v>2.1157461176470584</v>
      </c>
      <c r="L15" s="290">
        <f t="shared" si="0"/>
        <v>0.48304705882352933</v>
      </c>
      <c r="M15" s="291">
        <f t="shared" si="1"/>
        <v>2.1157461176470584</v>
      </c>
      <c r="N15" s="288">
        <f t="shared" si="2"/>
        <v>0.48304705882352933</v>
      </c>
      <c r="O15" s="289">
        <f t="shared" si="3"/>
        <v>2.1157461176470584</v>
      </c>
      <c r="P15" s="292" t="s">
        <v>17</v>
      </c>
      <c r="Q15" s="293" t="s">
        <v>17</v>
      </c>
      <c r="R15" s="294" t="s">
        <v>17</v>
      </c>
      <c r="S15" s="293" t="s">
        <v>17</v>
      </c>
    </row>
    <row r="16" spans="1:21" ht="16.5" customHeight="1">
      <c r="A16" s="256" t="str">
        <f>'Summary-NoCo'!C24</f>
        <v>SHTR12</v>
      </c>
      <c r="B16" s="1397">
        <f>'Burners No Cogen'!M24</f>
        <v>1.730961</v>
      </c>
      <c r="C16" s="1398">
        <f>'Burners No Cogen'!R24</f>
        <v>7.5816091799999992</v>
      </c>
      <c r="D16" s="1397">
        <f>'Burners No Cogen'!N24</f>
        <v>1.0567289999999998</v>
      </c>
      <c r="E16" s="1398">
        <f>'Burners No Cogen'!S24</f>
        <v>4.6284730199999995</v>
      </c>
      <c r="F16" s="1399">
        <f>'Burners No Cogen'!O24</f>
        <v>0.414912</v>
      </c>
      <c r="G16" s="1400">
        <f>'Burners No Cogen'!T24</f>
        <v>1.81731456</v>
      </c>
      <c r="H16" s="1397">
        <f>'Burners No Cogen'!P24</f>
        <v>0.14300735294117647</v>
      </c>
      <c r="I16" s="1398">
        <f>'Burners No Cogen'!U24</f>
        <v>0.62637220588235298</v>
      </c>
      <c r="J16" s="1401">
        <f>'Burners No Cogen'!Q24</f>
        <v>0.48304705882352933</v>
      </c>
      <c r="K16" s="1402">
        <f>'Burners No Cogen'!V24</f>
        <v>2.1157461176470584</v>
      </c>
      <c r="L16" s="1403">
        <f t="shared" si="0"/>
        <v>0.48304705882352933</v>
      </c>
      <c r="M16" s="1404">
        <f t="shared" si="1"/>
        <v>2.1157461176470584</v>
      </c>
      <c r="N16" s="1405">
        <f t="shared" si="2"/>
        <v>0.48304705882352933</v>
      </c>
      <c r="O16" s="1406">
        <f t="shared" si="3"/>
        <v>2.1157461176470584</v>
      </c>
      <c r="P16" s="91" t="s">
        <v>17</v>
      </c>
      <c r="Q16" s="92" t="s">
        <v>17</v>
      </c>
      <c r="R16" s="89" t="s">
        <v>17</v>
      </c>
      <c r="S16" s="92" t="s">
        <v>17</v>
      </c>
    </row>
    <row r="17" spans="1:19" ht="16.5" customHeight="1">
      <c r="A17" s="356" t="str">
        <f>'Summary-NoCo'!C25</f>
        <v>CHTR1</v>
      </c>
      <c r="B17" s="284">
        <f>'Burners No Cogen'!M25</f>
        <v>3.4732659999999997</v>
      </c>
      <c r="C17" s="285">
        <f>'Burners No Cogen'!R25</f>
        <v>15.212905079999999</v>
      </c>
      <c r="D17" s="284">
        <f>'Burners No Cogen'!N25</f>
        <v>1.6950369999999997</v>
      </c>
      <c r="E17" s="285">
        <f>'Burners No Cogen'!S25</f>
        <v>7.4242620599999984</v>
      </c>
      <c r="F17" s="286">
        <f>'Burners No Cogen'!O25</f>
        <v>0.66553600000000002</v>
      </c>
      <c r="G17" s="287">
        <f>'Burners No Cogen'!T25</f>
        <v>2.9150476800000003</v>
      </c>
      <c r="H17" s="284">
        <f>'Burners No Cogen'!P25</f>
        <v>0.22938970588235294</v>
      </c>
      <c r="I17" s="285">
        <f>'Burners No Cogen'!U25</f>
        <v>1.0047269117647057</v>
      </c>
      <c r="J17" s="413">
        <f>'Burners No Cogen'!Q25</f>
        <v>0.77482745098039207</v>
      </c>
      <c r="K17" s="414">
        <f>'Burners No Cogen'!V25</f>
        <v>3.393744235294117</v>
      </c>
      <c r="L17" s="290">
        <f t="shared" si="0"/>
        <v>0.77482745098039207</v>
      </c>
      <c r="M17" s="291">
        <f t="shared" si="1"/>
        <v>3.393744235294117</v>
      </c>
      <c r="N17" s="288">
        <f t="shared" si="2"/>
        <v>0.77482745098039207</v>
      </c>
      <c r="O17" s="289">
        <f t="shared" si="3"/>
        <v>3.393744235294117</v>
      </c>
      <c r="P17" s="292" t="s">
        <v>17</v>
      </c>
      <c r="Q17" s="293" t="s">
        <v>17</v>
      </c>
      <c r="R17" s="294" t="s">
        <v>17</v>
      </c>
      <c r="S17" s="293" t="s">
        <v>17</v>
      </c>
    </row>
    <row r="18" spans="1:19" ht="16.5" customHeight="1">
      <c r="A18" s="256" t="str">
        <f>'Summary-NoCo'!C26</f>
        <v>CHTR2</v>
      </c>
      <c r="B18" s="1397">
        <f>'Burners No Cogen'!M26</f>
        <v>3.4732659999999997</v>
      </c>
      <c r="C18" s="1398">
        <f>'Burners No Cogen'!R26</f>
        <v>15.212905079999999</v>
      </c>
      <c r="D18" s="1397">
        <f>'Burners No Cogen'!N26</f>
        <v>1.6950369999999997</v>
      </c>
      <c r="E18" s="1398">
        <f>'Burners No Cogen'!S26</f>
        <v>7.4242620599999984</v>
      </c>
      <c r="F18" s="1399">
        <f>'Burners No Cogen'!O26</f>
        <v>0.66553600000000002</v>
      </c>
      <c r="G18" s="1400">
        <f>'Burners No Cogen'!T26</f>
        <v>2.9150476800000003</v>
      </c>
      <c r="H18" s="1397">
        <f>'Burners No Cogen'!P26</f>
        <v>0.22938970588235294</v>
      </c>
      <c r="I18" s="1398">
        <f>'Burners No Cogen'!U26</f>
        <v>1.0047269117647057</v>
      </c>
      <c r="J18" s="1401">
        <f>'Burners No Cogen'!Q26</f>
        <v>0.77482745098039207</v>
      </c>
      <c r="K18" s="1402">
        <f>'Burners No Cogen'!V26</f>
        <v>3.393744235294117</v>
      </c>
      <c r="L18" s="1403">
        <f t="shared" si="0"/>
        <v>0.77482745098039207</v>
      </c>
      <c r="M18" s="1404">
        <f t="shared" si="1"/>
        <v>3.393744235294117</v>
      </c>
      <c r="N18" s="1405">
        <f t="shared" si="2"/>
        <v>0.77482745098039207</v>
      </c>
      <c r="O18" s="1406">
        <f t="shared" si="3"/>
        <v>3.393744235294117</v>
      </c>
      <c r="P18" s="91" t="s">
        <v>17</v>
      </c>
      <c r="Q18" s="92" t="s">
        <v>17</v>
      </c>
      <c r="R18" s="89" t="s">
        <v>17</v>
      </c>
      <c r="S18" s="92" t="s">
        <v>17</v>
      </c>
    </row>
    <row r="19" spans="1:19" ht="16.5" customHeight="1">
      <c r="A19" s="356" t="str">
        <f>'Summary-NoCo'!C27</f>
        <v>CHTR3</v>
      </c>
      <c r="B19" s="284">
        <f>'Burners No Cogen'!M27</f>
        <v>3.4732659999999997</v>
      </c>
      <c r="C19" s="285">
        <f>'Burners No Cogen'!R27</f>
        <v>15.212905079999999</v>
      </c>
      <c r="D19" s="284">
        <f>'Burners No Cogen'!N27</f>
        <v>1.6950369999999997</v>
      </c>
      <c r="E19" s="285">
        <f>'Burners No Cogen'!S27</f>
        <v>7.4242620599999984</v>
      </c>
      <c r="F19" s="286">
        <f>'Burners No Cogen'!O27</f>
        <v>0.66553600000000002</v>
      </c>
      <c r="G19" s="287">
        <f>'Burners No Cogen'!T27</f>
        <v>2.9150476800000003</v>
      </c>
      <c r="H19" s="284">
        <f>'Burners No Cogen'!P27</f>
        <v>0.22938970588235294</v>
      </c>
      <c r="I19" s="285">
        <f>'Burners No Cogen'!U27</f>
        <v>1.0047269117647057</v>
      </c>
      <c r="J19" s="413">
        <f>'Burners No Cogen'!Q27</f>
        <v>0.77482745098039207</v>
      </c>
      <c r="K19" s="414">
        <f>'Burners No Cogen'!V27</f>
        <v>3.393744235294117</v>
      </c>
      <c r="L19" s="290">
        <f t="shared" si="0"/>
        <v>0.77482745098039207</v>
      </c>
      <c r="M19" s="291">
        <f t="shared" si="1"/>
        <v>3.393744235294117</v>
      </c>
      <c r="N19" s="288">
        <f t="shared" si="2"/>
        <v>0.77482745098039207</v>
      </c>
      <c r="O19" s="289">
        <f t="shared" si="3"/>
        <v>3.393744235294117</v>
      </c>
      <c r="P19" s="292" t="s">
        <v>17</v>
      </c>
      <c r="Q19" s="293" t="s">
        <v>17</v>
      </c>
      <c r="R19" s="294" t="s">
        <v>17</v>
      </c>
      <c r="S19" s="293" t="s">
        <v>17</v>
      </c>
    </row>
    <row r="20" spans="1:19" ht="16.5" customHeight="1">
      <c r="A20" s="256" t="str">
        <f>'Summary-NoCo'!C28</f>
        <v>RHTR1</v>
      </c>
      <c r="B20" s="95">
        <f>'Burners No Cogen'!M28</f>
        <v>1.0450380000000001</v>
      </c>
      <c r="C20" s="96">
        <f>'Burners No Cogen'!R28</f>
        <v>4.5772664400000007</v>
      </c>
      <c r="D20" s="95">
        <f>'Burners No Cogen'!N28</f>
        <v>0.63798199999999994</v>
      </c>
      <c r="E20" s="96">
        <f>'Burners No Cogen'!S28</f>
        <v>2.7943611599999998</v>
      </c>
      <c r="F20" s="93">
        <f>'Burners No Cogen'!O28</f>
        <v>0.250496</v>
      </c>
      <c r="G20" s="94">
        <f>'Burners No Cogen'!T28</f>
        <v>1.09717248</v>
      </c>
      <c r="H20" s="95">
        <f>'Burners No Cogen'!P28</f>
        <v>8.633823529411766E-2</v>
      </c>
      <c r="I20" s="96">
        <f>'Burners No Cogen'!U28</f>
        <v>0.37816147058823535</v>
      </c>
      <c r="J20" s="572">
        <f>'Burners No Cogen'!Q28</f>
        <v>0.29163137254901961</v>
      </c>
      <c r="K20" s="573">
        <f>'Burners No Cogen'!V28</f>
        <v>1.2773454117647058</v>
      </c>
      <c r="L20" s="362">
        <f t="shared" si="0"/>
        <v>0.29163137254901961</v>
      </c>
      <c r="M20" s="104">
        <f t="shared" si="1"/>
        <v>1.2773454117647058</v>
      </c>
      <c r="N20" s="360">
        <f t="shared" si="2"/>
        <v>0.29163137254901961</v>
      </c>
      <c r="O20" s="361">
        <f t="shared" si="3"/>
        <v>1.2773454117647058</v>
      </c>
      <c r="P20" s="91" t="s">
        <v>17</v>
      </c>
      <c r="Q20" s="92" t="s">
        <v>17</v>
      </c>
      <c r="R20" s="89" t="s">
        <v>17</v>
      </c>
      <c r="S20" s="92" t="s">
        <v>17</v>
      </c>
    </row>
    <row r="21" spans="1:19" ht="16.5" customHeight="1">
      <c r="A21" s="356" t="str">
        <f>'Summary-NoCo'!C29</f>
        <v>RHTR2</v>
      </c>
      <c r="B21" s="284">
        <f>'Burners No Cogen'!M29</f>
        <v>1.0450380000000001</v>
      </c>
      <c r="C21" s="285">
        <f>'Burners No Cogen'!R29</f>
        <v>4.5772664400000007</v>
      </c>
      <c r="D21" s="284">
        <f>'Burners No Cogen'!N29</f>
        <v>0.63798199999999994</v>
      </c>
      <c r="E21" s="285">
        <f>'Burners No Cogen'!S29</f>
        <v>2.7943611599999998</v>
      </c>
      <c r="F21" s="286">
        <f>'Burners No Cogen'!O29</f>
        <v>0.250496</v>
      </c>
      <c r="G21" s="287">
        <f>'Burners No Cogen'!T29</f>
        <v>1.09717248</v>
      </c>
      <c r="H21" s="284">
        <f>'Burners No Cogen'!P29</f>
        <v>8.633823529411766E-2</v>
      </c>
      <c r="I21" s="285">
        <f>'Burners No Cogen'!U29</f>
        <v>0.37816147058823535</v>
      </c>
      <c r="J21" s="413">
        <f>'Burners No Cogen'!Q29</f>
        <v>0.29163137254901961</v>
      </c>
      <c r="K21" s="414">
        <f>'Burners No Cogen'!V29</f>
        <v>1.2773454117647058</v>
      </c>
      <c r="L21" s="290">
        <f t="shared" si="0"/>
        <v>0.29163137254901961</v>
      </c>
      <c r="M21" s="291">
        <f t="shared" si="1"/>
        <v>1.2773454117647058</v>
      </c>
      <c r="N21" s="288">
        <f t="shared" si="2"/>
        <v>0.29163137254901961</v>
      </c>
      <c r="O21" s="289">
        <f t="shared" si="3"/>
        <v>1.2773454117647058</v>
      </c>
      <c r="P21" s="292" t="s">
        <v>17</v>
      </c>
      <c r="Q21" s="293" t="s">
        <v>17</v>
      </c>
      <c r="R21" s="294" t="s">
        <v>17</v>
      </c>
      <c r="S21" s="293" t="s">
        <v>17</v>
      </c>
    </row>
    <row r="22" spans="1:19" ht="16.5" customHeight="1">
      <c r="A22" s="256" t="str">
        <f>'Summary-NoCo'!C30</f>
        <v>RHTR3</v>
      </c>
      <c r="B22" s="95">
        <f>'Burners No Cogen'!M30</f>
        <v>1.0450380000000001</v>
      </c>
      <c r="C22" s="96">
        <f>'Burners No Cogen'!R30</f>
        <v>4.5772664400000007</v>
      </c>
      <c r="D22" s="95">
        <f>'Burners No Cogen'!N30</f>
        <v>0.63798199999999994</v>
      </c>
      <c r="E22" s="96">
        <f>'Burners No Cogen'!S30</f>
        <v>2.7943611599999998</v>
      </c>
      <c r="F22" s="93">
        <f>'Burners No Cogen'!O30</f>
        <v>0.250496</v>
      </c>
      <c r="G22" s="94">
        <f>'Burners No Cogen'!T30</f>
        <v>1.09717248</v>
      </c>
      <c r="H22" s="95">
        <f>'Burners No Cogen'!P30</f>
        <v>8.633823529411766E-2</v>
      </c>
      <c r="I22" s="96">
        <f>'Burners No Cogen'!U30</f>
        <v>0.37816147058823535</v>
      </c>
      <c r="J22" s="572">
        <f>'Burners No Cogen'!Q30</f>
        <v>0.29163137254901961</v>
      </c>
      <c r="K22" s="573">
        <f>'Burners No Cogen'!V30</f>
        <v>1.2773454117647058</v>
      </c>
      <c r="L22" s="362">
        <f t="shared" si="0"/>
        <v>0.29163137254901961</v>
      </c>
      <c r="M22" s="104">
        <f t="shared" si="1"/>
        <v>1.2773454117647058</v>
      </c>
      <c r="N22" s="360">
        <f t="shared" si="2"/>
        <v>0.29163137254901961</v>
      </c>
      <c r="O22" s="361">
        <f t="shared" si="3"/>
        <v>1.2773454117647058</v>
      </c>
      <c r="P22" s="91" t="s">
        <v>17</v>
      </c>
      <c r="Q22" s="92" t="s">
        <v>17</v>
      </c>
      <c r="R22" s="89" t="s">
        <v>17</v>
      </c>
      <c r="S22" s="92" t="s">
        <v>17</v>
      </c>
    </row>
    <row r="23" spans="1:19" ht="32.75" customHeight="1">
      <c r="A23" s="2631" t="s">
        <v>1826</v>
      </c>
      <c r="B23" s="2629">
        <f>'Summary-NoCo'!E31</f>
        <v>2.6783137254439984</v>
      </c>
      <c r="C23" s="2625">
        <f>'Summary-NoCo'!F31</f>
        <v>11.73101411744471</v>
      </c>
      <c r="D23" s="2629">
        <f>'Summary-NoCo'!G31</f>
        <v>5.3469234156508803</v>
      </c>
      <c r="E23" s="2625">
        <f>'Summary-NoCo'!H31</f>
        <v>23.419524560550855</v>
      </c>
      <c r="F23" s="2629">
        <f>'Summary-NoCo'!I31</f>
        <v>0.80398014094115633</v>
      </c>
      <c r="G23" s="2625">
        <f>'Summary-NoCo'!J31</f>
        <v>3.5214330173222645</v>
      </c>
      <c r="H23" s="2629">
        <f>'Summary-NoCo'!K31</f>
        <v>0</v>
      </c>
      <c r="I23" s="2625">
        <f>'Summary-NoCo'!L31</f>
        <v>0</v>
      </c>
      <c r="J23" s="2629">
        <f>'Summary-NoCo'!M31</f>
        <v>0.14460915255310022</v>
      </c>
      <c r="K23" s="2625">
        <f>'Summary-NoCo'!N31</f>
        <v>0.63338808818257897</v>
      </c>
      <c r="L23" s="2627">
        <f t="shared" si="0"/>
        <v>0.14460915255310022</v>
      </c>
      <c r="M23" s="2628">
        <f t="shared" si="1"/>
        <v>0.63338808818257897</v>
      </c>
      <c r="N23" s="2627">
        <f t="shared" si="2"/>
        <v>0.14460915255310022</v>
      </c>
      <c r="O23" s="2628">
        <f t="shared" si="3"/>
        <v>0.63338808818257897</v>
      </c>
      <c r="P23" s="292" t="s">
        <v>17</v>
      </c>
      <c r="Q23" s="293" t="s">
        <v>17</v>
      </c>
      <c r="R23" s="294" t="s">
        <v>17</v>
      </c>
      <c r="S23" s="293" t="s">
        <v>17</v>
      </c>
    </row>
    <row r="24" spans="1:19" ht="32.75" customHeight="1">
      <c r="A24" s="2852" t="str">
        <f>'Summary-NoCo'!C34</f>
        <v>FL1-FL3OVHD-SSM</v>
      </c>
      <c r="B24" s="2636">
        <f>'Summary-NoCo'!E34</f>
        <v>61.513056157500003</v>
      </c>
      <c r="C24" s="2634">
        <f>'Summary-NoCo'!F34</f>
        <v>11.195376220665</v>
      </c>
      <c r="D24" s="2636">
        <f>'Summary-NoCo'!G34</f>
        <v>122.80323892312499</v>
      </c>
      <c r="E24" s="2634">
        <f>'Summary-NoCo'!H34</f>
        <v>22.350189484008748</v>
      </c>
      <c r="F24" s="2636">
        <f>'Summary-NoCo'!I34</f>
        <v>404.28661353006083</v>
      </c>
      <c r="G24" s="2634">
        <f>'Summary-NoCo'!J34</f>
        <v>73.580163662471065</v>
      </c>
      <c r="H24" s="2636">
        <f>'Summary-NoCo'!K34</f>
        <v>0</v>
      </c>
      <c r="I24" s="2634">
        <f>'Summary-NoCo'!L34</f>
        <v>0</v>
      </c>
      <c r="J24" s="2636">
        <f>'Summary-NoCo'!M34</f>
        <v>3.3212505455882351</v>
      </c>
      <c r="K24" s="2634">
        <f>'Summary-NoCo'!N34</f>
        <v>0.60446759929705873</v>
      </c>
      <c r="L24" s="2632">
        <f>J24</f>
        <v>3.3212505455882351</v>
      </c>
      <c r="M24" s="2633">
        <f>K24</f>
        <v>0.60446759929705873</v>
      </c>
      <c r="N24" s="2632">
        <f>J24</f>
        <v>3.3212505455882351</v>
      </c>
      <c r="O24" s="2633">
        <f>K24</f>
        <v>0.60446759929705873</v>
      </c>
      <c r="P24" s="1551" t="s">
        <v>17</v>
      </c>
      <c r="Q24" s="1552" t="s">
        <v>17</v>
      </c>
      <c r="R24" s="1549" t="s">
        <v>17</v>
      </c>
      <c r="S24" s="1552" t="s">
        <v>17</v>
      </c>
    </row>
    <row r="25" spans="1:19" ht="32.75" customHeight="1">
      <c r="A25" s="2853" t="str">
        <f>'Summary-NoCo'!C35</f>
        <v>FL1-FL3CRYO-SSM</v>
      </c>
      <c r="B25" s="2629">
        <f>'Summary-NoCo'!E35</f>
        <v>102.42580604979864</v>
      </c>
      <c r="C25" s="2625">
        <f>'Summary-NoCo'!F35</f>
        <v>18.641496701063353</v>
      </c>
      <c r="D25" s="2629">
        <f>'Summary-NoCo'!G35</f>
        <v>204.48050410666323</v>
      </c>
      <c r="E25" s="2625">
        <f>'Summary-NoCo'!H35</f>
        <v>37.215451747412708</v>
      </c>
      <c r="F25" s="2629">
        <f>'Summary-NoCo'!I35</f>
        <v>210.13055132600644</v>
      </c>
      <c r="G25" s="2625">
        <f>'Summary-NoCo'!J35</f>
        <v>38.243760341333171</v>
      </c>
      <c r="H25" s="2629">
        <f>'Summary-NoCo'!K35</f>
        <v>5.0643749702923742E-2</v>
      </c>
      <c r="I25" s="2625">
        <f>'Summary-NoCo'!L35</f>
        <v>9.2171624459321221E-3</v>
      </c>
      <c r="J25" s="2629">
        <f>'Summary-NoCo'!M35</f>
        <v>5.2857362398266847</v>
      </c>
      <c r="K25" s="2625">
        <f>'Summary-NoCo'!N35</f>
        <v>0.96200399564845651</v>
      </c>
      <c r="L25" s="2627">
        <f>J25</f>
        <v>5.2857362398266847</v>
      </c>
      <c r="M25" s="2628">
        <f>K25</f>
        <v>0.96200399564845651</v>
      </c>
      <c r="N25" s="2627">
        <f>J25</f>
        <v>5.2857362398266847</v>
      </c>
      <c r="O25" s="2628">
        <f>K25</f>
        <v>0.96200399564845651</v>
      </c>
      <c r="P25" s="292" t="s">
        <v>17</v>
      </c>
      <c r="Q25" s="293" t="s">
        <v>17</v>
      </c>
      <c r="R25" s="294" t="s">
        <v>17</v>
      </c>
      <c r="S25" s="293" t="s">
        <v>17</v>
      </c>
    </row>
    <row r="26" spans="1:19" ht="16.5" customHeight="1">
      <c r="A26" s="256" t="str">
        <f>'Summary-NoCo'!C36</f>
        <v>IFR1</v>
      </c>
      <c r="B26" s="577" t="s">
        <v>17</v>
      </c>
      <c r="C26" s="578" t="s">
        <v>17</v>
      </c>
      <c r="D26" s="577" t="s">
        <v>17</v>
      </c>
      <c r="E26" s="578" t="s">
        <v>17</v>
      </c>
      <c r="F26" s="577">
        <f>'IFR Tanks (IFR1-IFR4)'!C41</f>
        <v>1.1752020371542549</v>
      </c>
      <c r="G26" s="578">
        <f>'IFR Tanks (IFR1-IFR4)'!D41</f>
        <v>5.1473849227356343</v>
      </c>
      <c r="H26" s="577" t="s">
        <v>17</v>
      </c>
      <c r="I26" s="578" t="s">
        <v>17</v>
      </c>
      <c r="J26" s="577" t="s">
        <v>17</v>
      </c>
      <c r="K26" s="578" t="s">
        <v>17</v>
      </c>
      <c r="L26" s="577" t="s">
        <v>17</v>
      </c>
      <c r="M26" s="578" t="s">
        <v>17</v>
      </c>
      <c r="N26" s="577" t="s">
        <v>17</v>
      </c>
      <c r="O26" s="578" t="s">
        <v>17</v>
      </c>
      <c r="P26" s="91" t="s">
        <v>17</v>
      </c>
      <c r="Q26" s="92" t="s">
        <v>17</v>
      </c>
      <c r="R26" s="89" t="s">
        <v>17</v>
      </c>
      <c r="S26" s="92" t="s">
        <v>17</v>
      </c>
    </row>
    <row r="27" spans="1:19" ht="16.5" customHeight="1">
      <c r="A27" s="356" t="str">
        <f>'Summary-NoCo'!C37</f>
        <v>IFR2</v>
      </c>
      <c r="B27" s="579" t="s">
        <v>17</v>
      </c>
      <c r="C27" s="580" t="s">
        <v>17</v>
      </c>
      <c r="D27" s="579" t="s">
        <v>17</v>
      </c>
      <c r="E27" s="580" t="s">
        <v>17</v>
      </c>
      <c r="F27" s="579">
        <f>F26</f>
        <v>1.1752020371542549</v>
      </c>
      <c r="G27" s="580">
        <f>G26</f>
        <v>5.1473849227356343</v>
      </c>
      <c r="H27" s="579" t="s">
        <v>17</v>
      </c>
      <c r="I27" s="580" t="s">
        <v>17</v>
      </c>
      <c r="J27" s="579" t="s">
        <v>17</v>
      </c>
      <c r="K27" s="580" t="s">
        <v>17</v>
      </c>
      <c r="L27" s="579" t="s">
        <v>17</v>
      </c>
      <c r="M27" s="580" t="s">
        <v>17</v>
      </c>
      <c r="N27" s="579" t="s">
        <v>17</v>
      </c>
      <c r="O27" s="580" t="s">
        <v>17</v>
      </c>
      <c r="P27" s="292" t="s">
        <v>17</v>
      </c>
      <c r="Q27" s="293" t="s">
        <v>17</v>
      </c>
      <c r="R27" s="294" t="s">
        <v>17</v>
      </c>
      <c r="S27" s="293" t="s">
        <v>17</v>
      </c>
    </row>
    <row r="28" spans="1:19" ht="16.5" customHeight="1">
      <c r="A28" s="1626" t="str">
        <f>'Summary-NoCo'!C38</f>
        <v>IFR3</v>
      </c>
      <c r="B28" s="1627" t="s">
        <v>17</v>
      </c>
      <c r="C28" s="1628" t="s">
        <v>17</v>
      </c>
      <c r="D28" s="1627" t="s">
        <v>17</v>
      </c>
      <c r="E28" s="1628" t="s">
        <v>17</v>
      </c>
      <c r="F28" s="1619">
        <f>F26</f>
        <v>1.1752020371542549</v>
      </c>
      <c r="G28" s="1629">
        <f>G26</f>
        <v>5.1473849227356343</v>
      </c>
      <c r="H28" s="1627" t="s">
        <v>17</v>
      </c>
      <c r="I28" s="1628" t="s">
        <v>17</v>
      </c>
      <c r="J28" s="1630" t="s">
        <v>17</v>
      </c>
      <c r="K28" s="1631" t="s">
        <v>17</v>
      </c>
      <c r="L28" s="1627" t="s">
        <v>17</v>
      </c>
      <c r="M28" s="1628" t="s">
        <v>17</v>
      </c>
      <c r="N28" s="1627" t="s">
        <v>17</v>
      </c>
      <c r="O28" s="1628" t="s">
        <v>17</v>
      </c>
      <c r="P28" s="1632" t="s">
        <v>17</v>
      </c>
      <c r="Q28" s="1633" t="s">
        <v>17</v>
      </c>
      <c r="R28" s="1634" t="s">
        <v>17</v>
      </c>
      <c r="S28" s="1633" t="s">
        <v>17</v>
      </c>
    </row>
    <row r="29" spans="1:19" ht="16.5" customHeight="1">
      <c r="A29" s="1297" t="str">
        <f>'Summary-NoCo'!C39</f>
        <v>IFR4</v>
      </c>
      <c r="B29" s="1622" t="s">
        <v>17</v>
      </c>
      <c r="C29" s="1623" t="s">
        <v>17</v>
      </c>
      <c r="D29" s="1622" t="s">
        <v>17</v>
      </c>
      <c r="E29" s="1623" t="s">
        <v>17</v>
      </c>
      <c r="F29" s="1298">
        <f>F26</f>
        <v>1.1752020371542549</v>
      </c>
      <c r="G29" s="1299">
        <f>G26</f>
        <v>5.1473849227356343</v>
      </c>
      <c r="H29" s="1622" t="s">
        <v>17</v>
      </c>
      <c r="I29" s="1623" t="s">
        <v>17</v>
      </c>
      <c r="J29" s="1624" t="s">
        <v>17</v>
      </c>
      <c r="K29" s="1625" t="s">
        <v>17</v>
      </c>
      <c r="L29" s="1622" t="s">
        <v>17</v>
      </c>
      <c r="M29" s="1623" t="s">
        <v>17</v>
      </c>
      <c r="N29" s="1622" t="s">
        <v>17</v>
      </c>
      <c r="O29" s="1623" t="s">
        <v>17</v>
      </c>
      <c r="P29" s="1301" t="s">
        <v>17</v>
      </c>
      <c r="Q29" s="1302" t="s">
        <v>17</v>
      </c>
      <c r="R29" s="1300" t="s">
        <v>17</v>
      </c>
      <c r="S29" s="1302" t="s">
        <v>17</v>
      </c>
    </row>
    <row r="30" spans="1:19" ht="16.5" customHeight="1">
      <c r="A30" s="256" t="str">
        <f>'Summary-NoCo'!C40</f>
        <v>OTK1</v>
      </c>
      <c r="B30" s="4084" t="s">
        <v>1524</v>
      </c>
      <c r="C30" s="4085"/>
      <c r="D30" s="4085"/>
      <c r="E30" s="4085"/>
      <c r="F30" s="4085"/>
      <c r="G30" s="4085"/>
      <c r="H30" s="4085"/>
      <c r="I30" s="4085"/>
      <c r="J30" s="4085"/>
      <c r="K30" s="4085"/>
      <c r="L30" s="4085"/>
      <c r="M30" s="4085"/>
      <c r="N30" s="4085"/>
      <c r="O30" s="4085"/>
      <c r="P30" s="4085"/>
      <c r="Q30" s="4085"/>
      <c r="R30" s="4085"/>
      <c r="S30" s="4086"/>
    </row>
    <row r="31" spans="1:19" ht="16.5" customHeight="1">
      <c r="A31" s="356" t="str">
        <f>'Summary-NoCo'!C41</f>
        <v>OTK2</v>
      </c>
      <c r="B31" s="4087" t="str">
        <f>B30</f>
        <v>Emissions represented at ECD1.</v>
      </c>
      <c r="C31" s="4088"/>
      <c r="D31" s="4088"/>
      <c r="E31" s="4088"/>
      <c r="F31" s="4088"/>
      <c r="G31" s="4088"/>
      <c r="H31" s="4088"/>
      <c r="I31" s="4088"/>
      <c r="J31" s="4088"/>
      <c r="K31" s="4088"/>
      <c r="L31" s="4088"/>
      <c r="M31" s="4088"/>
      <c r="N31" s="4088"/>
      <c r="O31" s="4088"/>
      <c r="P31" s="4088"/>
      <c r="Q31" s="4088"/>
      <c r="R31" s="4088"/>
      <c r="S31" s="4089"/>
    </row>
    <row r="32" spans="1:19" ht="16.5" customHeight="1">
      <c r="A32" s="256" t="str">
        <f>'Summary-NoCo'!C42</f>
        <v>OTK3</v>
      </c>
      <c r="B32" s="4084" t="str">
        <f>B30</f>
        <v>Emissions represented at ECD1.</v>
      </c>
      <c r="C32" s="4085"/>
      <c r="D32" s="4085"/>
      <c r="E32" s="4085"/>
      <c r="F32" s="4085"/>
      <c r="G32" s="4085"/>
      <c r="H32" s="4085"/>
      <c r="I32" s="4085"/>
      <c r="J32" s="4085"/>
      <c r="K32" s="4085"/>
      <c r="L32" s="4085"/>
      <c r="M32" s="4085"/>
      <c r="N32" s="4085"/>
      <c r="O32" s="4085"/>
      <c r="P32" s="4085"/>
      <c r="Q32" s="4085"/>
      <c r="R32" s="4085"/>
      <c r="S32" s="4086"/>
    </row>
    <row r="33" spans="1:19" ht="16.5" customHeight="1">
      <c r="A33" s="356" t="str">
        <f>'Summary-NoCo'!C43</f>
        <v>OTK4</v>
      </c>
      <c r="B33" s="4087" t="str">
        <f>B30</f>
        <v>Emissions represented at ECD1.</v>
      </c>
      <c r="C33" s="4088"/>
      <c r="D33" s="4088"/>
      <c r="E33" s="4088"/>
      <c r="F33" s="4088"/>
      <c r="G33" s="4088"/>
      <c r="H33" s="4088"/>
      <c r="I33" s="4088"/>
      <c r="J33" s="4088"/>
      <c r="K33" s="4088"/>
      <c r="L33" s="4088"/>
      <c r="M33" s="4088"/>
      <c r="N33" s="4088"/>
      <c r="O33" s="4088"/>
      <c r="P33" s="4088"/>
      <c r="Q33" s="4088"/>
      <c r="R33" s="4088"/>
      <c r="S33" s="4089"/>
    </row>
    <row r="34" spans="1:19" ht="16.5" customHeight="1">
      <c r="A34" s="256" t="str">
        <f>'Summary-NoCo'!C44</f>
        <v>OTK5</v>
      </c>
      <c r="B34" s="4084" t="str">
        <f>B30</f>
        <v>Emissions represented at ECD1.</v>
      </c>
      <c r="C34" s="4085"/>
      <c r="D34" s="4085"/>
      <c r="E34" s="4085"/>
      <c r="F34" s="4085"/>
      <c r="G34" s="4085"/>
      <c r="H34" s="4085"/>
      <c r="I34" s="4085"/>
      <c r="J34" s="4085"/>
      <c r="K34" s="4085"/>
      <c r="L34" s="4085"/>
      <c r="M34" s="4085"/>
      <c r="N34" s="4085"/>
      <c r="O34" s="4085"/>
      <c r="P34" s="4085"/>
      <c r="Q34" s="4085"/>
      <c r="R34" s="4085"/>
      <c r="S34" s="4086"/>
    </row>
    <row r="35" spans="1:19" ht="16.5" customHeight="1">
      <c r="A35" s="356" t="str">
        <f>'Summary-NoCo'!C45</f>
        <v>OTK6</v>
      </c>
      <c r="B35" s="4087" t="str">
        <f>B30</f>
        <v>Emissions represented at ECD1.</v>
      </c>
      <c r="C35" s="4088"/>
      <c r="D35" s="4088"/>
      <c r="E35" s="4088"/>
      <c r="F35" s="4088"/>
      <c r="G35" s="4088"/>
      <c r="H35" s="4088"/>
      <c r="I35" s="4088"/>
      <c r="J35" s="4088"/>
      <c r="K35" s="4088"/>
      <c r="L35" s="4088"/>
      <c r="M35" s="4088"/>
      <c r="N35" s="4088"/>
      <c r="O35" s="4088"/>
      <c r="P35" s="4088"/>
      <c r="Q35" s="4088"/>
      <c r="R35" s="4088"/>
      <c r="S35" s="4089"/>
    </row>
    <row r="36" spans="1:19" ht="16.5" customHeight="1">
      <c r="A36" s="256" t="str">
        <f>'Summary-NoCo'!C46</f>
        <v>ECD1</v>
      </c>
      <c r="B36" s="95">
        <f>'Hrly (ECD1)'!R12</f>
        <v>1.5931460516780505</v>
      </c>
      <c r="C36" s="96">
        <f>' Ann (ECD1)'!R12</f>
        <v>6.0866344473776257</v>
      </c>
      <c r="D36" s="95">
        <f>'Hrly (ECD1)'!R13</f>
        <v>3.1805198350529196</v>
      </c>
      <c r="E36" s="96">
        <f>' Ann (ECD1)'!R13</f>
        <v>12.151215871395186</v>
      </c>
      <c r="F36" s="95">
        <f>'Hrly (ECD1)'!O41</f>
        <v>7.2766034925122449</v>
      </c>
      <c r="G36" s="96">
        <f>' Ann (ECD1)'!O41</f>
        <v>28.268593950427899</v>
      </c>
      <c r="H36" s="95">
        <f>'Hrly (ECD1)'!R14</f>
        <v>0</v>
      </c>
      <c r="I36" s="96">
        <f>' Ann (ECD1)'!R14</f>
        <v>0</v>
      </c>
      <c r="J36" s="572">
        <f t="shared" ref="J36:K38" si="4">L36</f>
        <v>8.6018115890545505E-2</v>
      </c>
      <c r="K36" s="573">
        <f t="shared" si="4"/>
        <v>0.12880069625799914</v>
      </c>
      <c r="L36" s="95">
        <f>'Hrly (ECD1)'!R15</f>
        <v>8.6018115890545505E-2</v>
      </c>
      <c r="M36" s="96">
        <f>' Ann (ECD1)'!R15</f>
        <v>0.12880069625799914</v>
      </c>
      <c r="N36" s="95">
        <f>L36</f>
        <v>8.6018115890545505E-2</v>
      </c>
      <c r="O36" s="96">
        <f>M36</f>
        <v>0.12880069625799914</v>
      </c>
      <c r="P36" s="95" t="s">
        <v>17</v>
      </c>
      <c r="Q36" s="96" t="s">
        <v>17</v>
      </c>
      <c r="R36" s="95" t="s">
        <v>17</v>
      </c>
      <c r="S36" s="96" t="s">
        <v>17</v>
      </c>
    </row>
    <row r="37" spans="1:19" ht="16.5" customHeight="1">
      <c r="A37" s="356" t="str">
        <f>'Summary-NoCo'!C47</f>
        <v>TO1</v>
      </c>
      <c r="B37" s="284">
        <f>'TO Hrly (TO1-TO3)'!K12</f>
        <v>2.5190885601790693</v>
      </c>
      <c r="C37" s="285">
        <f>'TO Ann (TO1-TO3)'!K12</f>
        <v>11.033607893584323</v>
      </c>
      <c r="D37" s="284">
        <f>'TO Hrly (TO1-TO3)'!K13</f>
        <v>2.0880159999999997</v>
      </c>
      <c r="E37" s="285">
        <f>'TO Ann (TO1-TO3)'!K13</f>
        <v>9.1455100799999975</v>
      </c>
      <c r="F37" s="284">
        <f>'TO Hrly (TO1-TO3)'!H32</f>
        <v>0.62455189452722593</v>
      </c>
      <c r="G37" s="285">
        <f>'TO Ann (TO1-TO3)'!H32</f>
        <v>2.7355372980292492</v>
      </c>
      <c r="H37" s="284">
        <f>'TO Hrly (TO1-TO3)'!K14</f>
        <v>0.86237125715223051</v>
      </c>
      <c r="I37" s="285">
        <f>'TO Ann (TO1-TO3)'!K14</f>
        <v>3.7771861063267695</v>
      </c>
      <c r="J37" s="413">
        <f t="shared" si="4"/>
        <v>0.23462099335001135</v>
      </c>
      <c r="K37" s="414">
        <f t="shared" si="4"/>
        <v>1.0276399508730496</v>
      </c>
      <c r="L37" s="284">
        <f>'TO Hrly (TO1-TO3)'!K15</f>
        <v>0.23462099335001135</v>
      </c>
      <c r="M37" s="285">
        <f>'TO Ann (TO1-TO3)'!K15</f>
        <v>1.0276399508730496</v>
      </c>
      <c r="N37" s="284">
        <f>L37</f>
        <v>0.23462099335001135</v>
      </c>
      <c r="O37" s="285">
        <f>M37</f>
        <v>1.0276399508730496</v>
      </c>
      <c r="P37" s="284" t="s">
        <v>17</v>
      </c>
      <c r="Q37" s="285" t="s">
        <v>17</v>
      </c>
      <c r="R37" s="284" t="s">
        <v>17</v>
      </c>
      <c r="S37" s="285" t="s">
        <v>17</v>
      </c>
    </row>
    <row r="38" spans="1:19" ht="16.5" customHeight="1">
      <c r="A38" s="256" t="str">
        <f>'Summary-NoCo'!C48</f>
        <v>TO2</v>
      </c>
      <c r="B38" s="95">
        <f>B37</f>
        <v>2.5190885601790693</v>
      </c>
      <c r="C38" s="96">
        <f>C37</f>
        <v>11.033607893584323</v>
      </c>
      <c r="D38" s="95">
        <f t="shared" ref="D38:O38" si="5">D37</f>
        <v>2.0880159999999997</v>
      </c>
      <c r="E38" s="96">
        <f t="shared" si="5"/>
        <v>9.1455100799999975</v>
      </c>
      <c r="F38" s="95">
        <f t="shared" si="5"/>
        <v>0.62455189452722593</v>
      </c>
      <c r="G38" s="96">
        <f t="shared" si="5"/>
        <v>2.7355372980292492</v>
      </c>
      <c r="H38" s="95">
        <f t="shared" si="5"/>
        <v>0.86237125715223051</v>
      </c>
      <c r="I38" s="96">
        <f t="shared" si="5"/>
        <v>3.7771861063267695</v>
      </c>
      <c r="J38" s="572">
        <f t="shared" si="4"/>
        <v>0.23462099335001135</v>
      </c>
      <c r="K38" s="573">
        <f t="shared" si="4"/>
        <v>1.0276399508730496</v>
      </c>
      <c r="L38" s="95">
        <f t="shared" si="5"/>
        <v>0.23462099335001135</v>
      </c>
      <c r="M38" s="96">
        <f t="shared" si="5"/>
        <v>1.0276399508730496</v>
      </c>
      <c r="N38" s="95">
        <f t="shared" si="5"/>
        <v>0.23462099335001135</v>
      </c>
      <c r="O38" s="96">
        <f t="shared" si="5"/>
        <v>1.0276399508730496</v>
      </c>
      <c r="P38" s="91" t="s">
        <v>17</v>
      </c>
      <c r="Q38" s="92" t="s">
        <v>17</v>
      </c>
      <c r="R38" s="89" t="s">
        <v>17</v>
      </c>
      <c r="S38" s="92" t="s">
        <v>17</v>
      </c>
    </row>
    <row r="39" spans="1:19" ht="16.5" customHeight="1">
      <c r="A39" s="356" t="str">
        <f>'Summary-NoCo'!C49</f>
        <v>TO3</v>
      </c>
      <c r="B39" s="284">
        <f>B37</f>
        <v>2.5190885601790693</v>
      </c>
      <c r="C39" s="285">
        <f>C37</f>
        <v>11.033607893584323</v>
      </c>
      <c r="D39" s="284">
        <f t="shared" ref="D39:O39" si="6">D37</f>
        <v>2.0880159999999997</v>
      </c>
      <c r="E39" s="285">
        <f t="shared" si="6"/>
        <v>9.1455100799999975</v>
      </c>
      <c r="F39" s="284">
        <f t="shared" si="6"/>
        <v>0.62455189452722593</v>
      </c>
      <c r="G39" s="285">
        <f t="shared" si="6"/>
        <v>2.7355372980292492</v>
      </c>
      <c r="H39" s="284">
        <f t="shared" si="6"/>
        <v>0.86237125715223051</v>
      </c>
      <c r="I39" s="285">
        <f t="shared" si="6"/>
        <v>3.7771861063267695</v>
      </c>
      <c r="J39" s="284">
        <f t="shared" si="6"/>
        <v>0.23462099335001135</v>
      </c>
      <c r="K39" s="285">
        <f t="shared" si="6"/>
        <v>1.0276399508730496</v>
      </c>
      <c r="L39" s="284">
        <f t="shared" si="6"/>
        <v>0.23462099335001135</v>
      </c>
      <c r="M39" s="285">
        <f t="shared" si="6"/>
        <v>1.0276399508730496</v>
      </c>
      <c r="N39" s="284">
        <f t="shared" si="6"/>
        <v>0.23462099335001135</v>
      </c>
      <c r="O39" s="285">
        <f t="shared" si="6"/>
        <v>1.0276399508730496</v>
      </c>
      <c r="P39" s="292" t="s">
        <v>17</v>
      </c>
      <c r="Q39" s="293" t="s">
        <v>17</v>
      </c>
      <c r="R39" s="294" t="s">
        <v>17</v>
      </c>
      <c r="S39" s="293" t="s">
        <v>17</v>
      </c>
    </row>
    <row r="40" spans="1:19" ht="16.5" customHeight="1">
      <c r="A40" s="256" t="str">
        <f>'Summary-NoCo'!C50</f>
        <v>FUG</v>
      </c>
      <c r="B40" s="577" t="s">
        <v>17</v>
      </c>
      <c r="C40" s="578" t="s">
        <v>17</v>
      </c>
      <c r="D40" s="577" t="s">
        <v>17</v>
      </c>
      <c r="E40" s="578" t="s">
        <v>17</v>
      </c>
      <c r="F40" s="95">
        <f>Fugitive!G72</f>
        <v>30.616050709592137</v>
      </c>
      <c r="G40" s="96">
        <f>Fugitive!I72</f>
        <v>134.09830210801351</v>
      </c>
      <c r="H40" s="577" t="s">
        <v>17</v>
      </c>
      <c r="I40" s="578" t="s">
        <v>17</v>
      </c>
      <c r="J40" s="577" t="s">
        <v>17</v>
      </c>
      <c r="K40" s="578" t="s">
        <v>17</v>
      </c>
      <c r="L40" s="577" t="s">
        <v>17</v>
      </c>
      <c r="M40" s="578" t="s">
        <v>17</v>
      </c>
      <c r="N40" s="577" t="s">
        <v>17</v>
      </c>
      <c r="O40" s="578" t="s">
        <v>17</v>
      </c>
      <c r="P40" s="95" t="s">
        <v>17</v>
      </c>
      <c r="Q40" s="96" t="s">
        <v>17</v>
      </c>
      <c r="R40" s="95" t="s">
        <v>17</v>
      </c>
      <c r="S40" s="96" t="s">
        <v>17</v>
      </c>
    </row>
    <row r="41" spans="1:19" ht="16.5" customHeight="1">
      <c r="A41" s="356" t="str">
        <f>'Summary-NoCo'!C51</f>
        <v>SSM</v>
      </c>
      <c r="B41" s="1270" t="s">
        <v>17</v>
      </c>
      <c r="C41" s="1271" t="s">
        <v>17</v>
      </c>
      <c r="D41" s="1270" t="s">
        <v>17</v>
      </c>
      <c r="E41" s="1271" t="s">
        <v>17</v>
      </c>
      <c r="F41" s="1270" t="s">
        <v>17</v>
      </c>
      <c r="G41" s="1272">
        <v>10</v>
      </c>
      <c r="H41" s="1270" t="s">
        <v>17</v>
      </c>
      <c r="I41" s="1271" t="s">
        <v>17</v>
      </c>
      <c r="J41" s="1273" t="s">
        <v>17</v>
      </c>
      <c r="K41" s="1274" t="s">
        <v>17</v>
      </c>
      <c r="L41" s="1275" t="s">
        <v>17</v>
      </c>
      <c r="M41" s="1276" t="s">
        <v>17</v>
      </c>
      <c r="N41" s="1275" t="s">
        <v>17</v>
      </c>
      <c r="O41" s="1276" t="s">
        <v>17</v>
      </c>
      <c r="P41" s="1275" t="s">
        <v>17</v>
      </c>
      <c r="Q41" s="1276" t="s">
        <v>17</v>
      </c>
      <c r="R41" s="1275" t="s">
        <v>17</v>
      </c>
      <c r="S41" s="1276" t="s">
        <v>17</v>
      </c>
    </row>
    <row r="42" spans="1:19" ht="16.5" customHeight="1">
      <c r="A42" s="256" t="str">
        <f>'Summary-NoCo'!C52</f>
        <v>ROAD</v>
      </c>
      <c r="B42" s="95" t="s">
        <v>17</v>
      </c>
      <c r="C42" s="96" t="s">
        <v>17</v>
      </c>
      <c r="D42" s="95" t="s">
        <v>17</v>
      </c>
      <c r="E42" s="96" t="s">
        <v>17</v>
      </c>
      <c r="F42" s="95" t="s">
        <v>17</v>
      </c>
      <c r="G42" s="96" t="s">
        <v>17</v>
      </c>
      <c r="H42" s="95" t="s">
        <v>17</v>
      </c>
      <c r="I42" s="96" t="s">
        <v>17</v>
      </c>
      <c r="J42" s="572">
        <f>'2-E-Co'!J35</f>
        <v>2.7556902133370476</v>
      </c>
      <c r="K42" s="573">
        <f>'2-E-Co'!K35</f>
        <v>8.8254079636430482</v>
      </c>
      <c r="L42" s="95">
        <f>Road!F24</f>
        <v>0.70232409971011567</v>
      </c>
      <c r="M42" s="96">
        <f>Road!F25</f>
        <v>2.2492719510493018</v>
      </c>
      <c r="N42" s="95">
        <f>Road!I24</f>
        <v>7.0232409971011545E-2</v>
      </c>
      <c r="O42" s="96">
        <f>Road!I25</f>
        <v>0.22492719510493014</v>
      </c>
      <c r="P42" s="95" t="s">
        <v>17</v>
      </c>
      <c r="Q42" s="96" t="s">
        <v>17</v>
      </c>
      <c r="R42" s="95" t="s">
        <v>17</v>
      </c>
      <c r="S42" s="96" t="s">
        <v>17</v>
      </c>
    </row>
    <row r="43" spans="1:19" ht="16.5" customHeight="1">
      <c r="A43" s="356" t="str">
        <f>'Summary-NoCo'!C53</f>
        <v>PWTK1</v>
      </c>
      <c r="B43" s="4087" t="str">
        <f>B30</f>
        <v>Emissions represented at ECD1.</v>
      </c>
      <c r="C43" s="4088"/>
      <c r="D43" s="4088"/>
      <c r="E43" s="4088"/>
      <c r="F43" s="4088"/>
      <c r="G43" s="4088"/>
      <c r="H43" s="4088"/>
      <c r="I43" s="4088"/>
      <c r="J43" s="4088"/>
      <c r="K43" s="4088"/>
      <c r="L43" s="4088"/>
      <c r="M43" s="4088"/>
      <c r="N43" s="4088"/>
      <c r="O43" s="4088"/>
      <c r="P43" s="4088"/>
      <c r="Q43" s="4088"/>
      <c r="R43" s="4088"/>
      <c r="S43" s="4089"/>
    </row>
    <row r="44" spans="1:19" ht="16.5" customHeight="1">
      <c r="A44" s="256" t="str">
        <f>'Summary-NoCo'!C54</f>
        <v>PWTK2</v>
      </c>
      <c r="B44" s="4084" t="str">
        <f>B30</f>
        <v>Emissions represented at ECD1.</v>
      </c>
      <c r="C44" s="4085"/>
      <c r="D44" s="4085"/>
      <c r="E44" s="4085"/>
      <c r="F44" s="4085"/>
      <c r="G44" s="4085"/>
      <c r="H44" s="4085"/>
      <c r="I44" s="4085"/>
      <c r="J44" s="4085"/>
      <c r="K44" s="4085"/>
      <c r="L44" s="4085"/>
      <c r="M44" s="4085"/>
      <c r="N44" s="4085"/>
      <c r="O44" s="4085"/>
      <c r="P44" s="4085"/>
      <c r="Q44" s="4085"/>
      <c r="R44" s="4085"/>
      <c r="S44" s="4086"/>
    </row>
    <row r="45" spans="1:19" ht="16.5" customHeight="1">
      <c r="A45" s="356" t="str">
        <f>'Summary-NoCo'!C55</f>
        <v>PWTL</v>
      </c>
      <c r="B45" s="296" t="s">
        <v>17</v>
      </c>
      <c r="C45" s="297" t="s">
        <v>17</v>
      </c>
      <c r="D45" s="296" t="s">
        <v>17</v>
      </c>
      <c r="E45" s="297" t="s">
        <v>17</v>
      </c>
      <c r="F45" s="286">
        <f>'Load-H2O'!F33</f>
        <v>0.39339345182963747</v>
      </c>
      <c r="G45" s="287">
        <f>'Load-H2O'!G33</f>
        <v>2.4902276270262185</v>
      </c>
      <c r="H45" s="296" t="s">
        <v>17</v>
      </c>
      <c r="I45" s="297" t="s">
        <v>17</v>
      </c>
      <c r="J45" s="294" t="s">
        <v>17</v>
      </c>
      <c r="K45" s="295" t="s">
        <v>17</v>
      </c>
      <c r="L45" s="292" t="s">
        <v>17</v>
      </c>
      <c r="M45" s="293" t="s">
        <v>17</v>
      </c>
      <c r="N45" s="292" t="s">
        <v>17</v>
      </c>
      <c r="O45" s="293" t="s">
        <v>17</v>
      </c>
      <c r="P45" s="292" t="s">
        <v>17</v>
      </c>
      <c r="Q45" s="293" t="s">
        <v>17</v>
      </c>
      <c r="R45" s="292" t="s">
        <v>17</v>
      </c>
      <c r="S45" s="293" t="s">
        <v>17</v>
      </c>
    </row>
    <row r="46" spans="1:19" ht="16.5" customHeight="1">
      <c r="A46" s="256" t="str">
        <f>'Summary-NoCo'!C56</f>
        <v>OTL</v>
      </c>
      <c r="B46" s="85" t="s">
        <v>17</v>
      </c>
      <c r="C46" s="86" t="s">
        <v>17</v>
      </c>
      <c r="D46" s="85" t="s">
        <v>17</v>
      </c>
      <c r="E46" s="86" t="s">
        <v>17</v>
      </c>
      <c r="F46" s="93">
        <f>'Load-Slop Oil'!F43</f>
        <v>0.70811875941945179</v>
      </c>
      <c r="G46" s="94">
        <f>'Load-Slop Oil'!G43</f>
        <v>0.13418016263117355</v>
      </c>
      <c r="H46" s="85" t="s">
        <v>17</v>
      </c>
      <c r="I46" s="86" t="s">
        <v>17</v>
      </c>
      <c r="J46" s="89" t="s">
        <v>17</v>
      </c>
      <c r="K46" s="90" t="s">
        <v>17</v>
      </c>
      <c r="L46" s="91" t="s">
        <v>17</v>
      </c>
      <c r="M46" s="92" t="s">
        <v>17</v>
      </c>
      <c r="N46" s="91" t="s">
        <v>17</v>
      </c>
      <c r="O46" s="92" t="s">
        <v>17</v>
      </c>
      <c r="P46" s="91" t="s">
        <v>17</v>
      </c>
      <c r="Q46" s="92" t="s">
        <v>17</v>
      </c>
      <c r="R46" s="91" t="s">
        <v>17</v>
      </c>
      <c r="S46" s="92" t="s">
        <v>17</v>
      </c>
    </row>
    <row r="47" spans="1:19" ht="16.5" customHeight="1">
      <c r="A47" s="356" t="str">
        <f>'Summary-NoCo'!C57</f>
        <v>AU1</v>
      </c>
      <c r="B47" s="4087" t="s">
        <v>1481</v>
      </c>
      <c r="C47" s="4088"/>
      <c r="D47" s="4088"/>
      <c r="E47" s="4088"/>
      <c r="F47" s="4088"/>
      <c r="G47" s="4088"/>
      <c r="H47" s="4088"/>
      <c r="I47" s="4088"/>
      <c r="J47" s="4088"/>
      <c r="K47" s="4088"/>
      <c r="L47" s="4088"/>
      <c r="M47" s="4088"/>
      <c r="N47" s="4088"/>
      <c r="O47" s="4088"/>
      <c r="P47" s="4088"/>
      <c r="Q47" s="4088"/>
      <c r="R47" s="4088"/>
      <c r="S47" s="4089"/>
    </row>
    <row r="48" spans="1:19" ht="16.5" customHeight="1">
      <c r="A48" s="1546" t="str">
        <f>'Summary-NoCo'!C58</f>
        <v>AU2</v>
      </c>
      <c r="B48" s="4090" t="s">
        <v>1482</v>
      </c>
      <c r="C48" s="4091"/>
      <c r="D48" s="4091"/>
      <c r="E48" s="4091"/>
      <c r="F48" s="4091"/>
      <c r="G48" s="4091"/>
      <c r="H48" s="4091"/>
      <c r="I48" s="4091"/>
      <c r="J48" s="4091"/>
      <c r="K48" s="4091"/>
      <c r="L48" s="4091"/>
      <c r="M48" s="4091"/>
      <c r="N48" s="4091"/>
      <c r="O48" s="4091"/>
      <c r="P48" s="4091"/>
      <c r="Q48" s="4091"/>
      <c r="R48" s="4091"/>
      <c r="S48" s="4092"/>
    </row>
    <row r="49" spans="1:19" ht="16.5" customHeight="1">
      <c r="A49" s="356" t="str">
        <f>'Summary-NoCo'!C59</f>
        <v>AU3</v>
      </c>
      <c r="B49" s="4087" t="s">
        <v>1486</v>
      </c>
      <c r="C49" s="4088"/>
      <c r="D49" s="4088"/>
      <c r="E49" s="4088"/>
      <c r="F49" s="4088"/>
      <c r="G49" s="4088"/>
      <c r="H49" s="4088"/>
      <c r="I49" s="4088"/>
      <c r="J49" s="4088"/>
      <c r="K49" s="4088"/>
      <c r="L49" s="4088"/>
      <c r="M49" s="4088"/>
      <c r="N49" s="4088"/>
      <c r="O49" s="4088"/>
      <c r="P49" s="4088"/>
      <c r="Q49" s="4088"/>
      <c r="R49" s="4088"/>
      <c r="S49" s="4089"/>
    </row>
    <row r="50" spans="1:19" ht="16.5" customHeight="1">
      <c r="A50" s="256" t="str">
        <f>'Summary-NoCo'!C60</f>
        <v>GBS1</v>
      </c>
      <c r="B50" s="4084" t="str">
        <f>B30</f>
        <v>Emissions represented at ECD1.</v>
      </c>
      <c r="C50" s="4085"/>
      <c r="D50" s="4085"/>
      <c r="E50" s="4085"/>
      <c r="F50" s="4085"/>
      <c r="G50" s="4085"/>
      <c r="H50" s="4085"/>
      <c r="I50" s="4085"/>
      <c r="J50" s="4085"/>
      <c r="K50" s="4085"/>
      <c r="L50" s="4085"/>
      <c r="M50" s="4085"/>
      <c r="N50" s="4085"/>
      <c r="O50" s="4085"/>
      <c r="P50" s="4085"/>
      <c r="Q50" s="4085"/>
      <c r="R50" s="4085"/>
      <c r="S50" s="4086"/>
    </row>
    <row r="51" spans="1:19" ht="16.5" customHeight="1">
      <c r="A51" s="356" t="str">
        <f>'Summary-NoCo'!C61</f>
        <v>OTK7</v>
      </c>
      <c r="B51" s="4087" t="str">
        <f>B30</f>
        <v>Emissions represented at ECD1.</v>
      </c>
      <c r="C51" s="4088"/>
      <c r="D51" s="4088"/>
      <c r="E51" s="4088"/>
      <c r="F51" s="4088"/>
      <c r="G51" s="4088"/>
      <c r="H51" s="4088"/>
      <c r="I51" s="4088"/>
      <c r="J51" s="4088"/>
      <c r="K51" s="4088"/>
      <c r="L51" s="4088"/>
      <c r="M51" s="4088"/>
      <c r="N51" s="4088"/>
      <c r="O51" s="4088"/>
      <c r="P51" s="4088"/>
      <c r="Q51" s="4088"/>
      <c r="R51" s="4088"/>
      <c r="S51" s="4089"/>
    </row>
    <row r="52" spans="1:19" ht="16.5" customHeight="1">
      <c r="A52" s="256" t="str">
        <f>'Summary-NoCo'!C62</f>
        <v>GEN1</v>
      </c>
      <c r="B52" s="95">
        <f>'Summary-NoCo'!E62</f>
        <v>7.6014109347442673</v>
      </c>
      <c r="C52" s="96">
        <f>'Summary-NoCo'!F62</f>
        <v>0.38007054673721336</v>
      </c>
      <c r="D52" s="95">
        <f>'Summary-NoCo'!G62</f>
        <v>12.770370370370369</v>
      </c>
      <c r="E52" s="96">
        <f>'Summary-NoCo'!H62</f>
        <v>0.63851851851851849</v>
      </c>
      <c r="F52" s="95">
        <f>'Summary-NoCo'!I62</f>
        <v>4.887584801621446</v>
      </c>
      <c r="G52" s="96">
        <f>'Summary-NoCo'!J62</f>
        <v>0.24437924008107231</v>
      </c>
      <c r="H52" s="95">
        <f>'Summary-NoCo'!K62</f>
        <v>5.268486050420168E-2</v>
      </c>
      <c r="I52" s="96">
        <f>'Summary-NoCo'!L62</f>
        <v>2.6342430252100841E-3</v>
      </c>
      <c r="J52" s="95">
        <f>'Summary-NoCo'!M62</f>
        <v>0.21023717968</v>
      </c>
      <c r="K52" s="96">
        <f>'Summary-NoCo'!N62</f>
        <v>1.0511858984E-2</v>
      </c>
      <c r="L52" s="95">
        <f>'Summary-NoCo'!O62</f>
        <v>0.21023717968</v>
      </c>
      <c r="M52" s="96">
        <f>'Summary-NoCo'!P62</f>
        <v>1.0511858984E-2</v>
      </c>
      <c r="N52" s="95">
        <f t="shared" ref="N52:O56" si="7">L52</f>
        <v>0.21023717968</v>
      </c>
      <c r="O52" s="96">
        <f t="shared" si="7"/>
        <v>1.0511858984E-2</v>
      </c>
      <c r="P52" s="91" t="s">
        <v>17</v>
      </c>
      <c r="Q52" s="92" t="s">
        <v>17</v>
      </c>
      <c r="R52" s="91" t="s">
        <v>17</v>
      </c>
      <c r="S52" s="92" t="s">
        <v>17</v>
      </c>
    </row>
    <row r="53" spans="1:19" ht="16.5" customHeight="1">
      <c r="A53" s="356" t="str">
        <f>'Summary-NoCo'!C63</f>
        <v>GEN2</v>
      </c>
      <c r="B53" s="284">
        <f>'Summary-NoCo'!E63</f>
        <v>7.6014109347442673</v>
      </c>
      <c r="C53" s="285">
        <f>'Summary-NoCo'!F63</f>
        <v>0.38007054673721336</v>
      </c>
      <c r="D53" s="284">
        <f>'Summary-NoCo'!G63</f>
        <v>12.770370370370369</v>
      </c>
      <c r="E53" s="285">
        <f>'Summary-NoCo'!H63</f>
        <v>0.63851851851851849</v>
      </c>
      <c r="F53" s="284">
        <f>'Summary-NoCo'!I63</f>
        <v>4.887584801621446</v>
      </c>
      <c r="G53" s="285">
        <f>'Summary-NoCo'!J63</f>
        <v>0.24437924008107231</v>
      </c>
      <c r="H53" s="284">
        <f>'Summary-NoCo'!K63</f>
        <v>5.268486050420168E-2</v>
      </c>
      <c r="I53" s="285">
        <f>'Summary-NoCo'!L63</f>
        <v>2.6342430252100841E-3</v>
      </c>
      <c r="J53" s="284">
        <f>'Summary-NoCo'!M63</f>
        <v>0.21023717968</v>
      </c>
      <c r="K53" s="285">
        <f>'Summary-NoCo'!N63</f>
        <v>1.0511858984E-2</v>
      </c>
      <c r="L53" s="284">
        <f>'Summary-NoCo'!O63</f>
        <v>0.21023717968</v>
      </c>
      <c r="M53" s="285">
        <f>'Summary-NoCo'!P63</f>
        <v>1.0511858984E-2</v>
      </c>
      <c r="N53" s="284">
        <f t="shared" si="7"/>
        <v>0.21023717968</v>
      </c>
      <c r="O53" s="285">
        <f t="shared" si="7"/>
        <v>1.0511858984E-2</v>
      </c>
      <c r="P53" s="292" t="s">
        <v>17</v>
      </c>
      <c r="Q53" s="293" t="s">
        <v>17</v>
      </c>
      <c r="R53" s="292" t="s">
        <v>17</v>
      </c>
      <c r="S53" s="293" t="s">
        <v>17</v>
      </c>
    </row>
    <row r="54" spans="1:19" ht="16.5" customHeight="1">
      <c r="A54" s="256" t="str">
        <f>'Summary-NoCo'!C64</f>
        <v>GEN3</v>
      </c>
      <c r="B54" s="95">
        <f>'Summary-NoCo'!E64</f>
        <v>7.6014109347442673</v>
      </c>
      <c r="C54" s="96">
        <f>'Summary-NoCo'!F64</f>
        <v>0.38007054673721336</v>
      </c>
      <c r="D54" s="95">
        <f>'Summary-NoCo'!G64</f>
        <v>12.770370370370369</v>
      </c>
      <c r="E54" s="96">
        <f>'Summary-NoCo'!H64</f>
        <v>0.63851851851851849</v>
      </c>
      <c r="F54" s="95">
        <f>'Summary-NoCo'!I64</f>
        <v>4.887584801621446</v>
      </c>
      <c r="G54" s="96">
        <f>'Summary-NoCo'!J64</f>
        <v>0.24437924008107231</v>
      </c>
      <c r="H54" s="95">
        <f>'Summary-NoCo'!K64</f>
        <v>5.268486050420168E-2</v>
      </c>
      <c r="I54" s="96">
        <f>'Summary-NoCo'!L64</f>
        <v>2.6342430252100841E-3</v>
      </c>
      <c r="J54" s="95">
        <f>'Summary-NoCo'!M64</f>
        <v>0.21023717968</v>
      </c>
      <c r="K54" s="96">
        <f>'Summary-NoCo'!N64</f>
        <v>1.0511858984E-2</v>
      </c>
      <c r="L54" s="95">
        <f>'Summary-NoCo'!O64</f>
        <v>0.21023717968</v>
      </c>
      <c r="M54" s="96">
        <f>'Summary-NoCo'!P64</f>
        <v>1.0511858984E-2</v>
      </c>
      <c r="N54" s="95">
        <f t="shared" si="7"/>
        <v>0.21023717968</v>
      </c>
      <c r="O54" s="96">
        <f t="shared" si="7"/>
        <v>1.0511858984E-2</v>
      </c>
      <c r="P54" s="91" t="s">
        <v>17</v>
      </c>
      <c r="Q54" s="92" t="s">
        <v>17</v>
      </c>
      <c r="R54" s="91" t="s">
        <v>17</v>
      </c>
      <c r="S54" s="92" t="s">
        <v>17</v>
      </c>
    </row>
    <row r="55" spans="1:19" ht="16.5" customHeight="1">
      <c r="A55" s="356" t="str">
        <f>'Summary-NoCo'!C65</f>
        <v>GEN4</v>
      </c>
      <c r="B55" s="284">
        <f>'Summary-NoCo'!E65</f>
        <v>7.6014109347442673</v>
      </c>
      <c r="C55" s="285">
        <f>'Summary-NoCo'!F65</f>
        <v>0.38007054673721336</v>
      </c>
      <c r="D55" s="284">
        <f>'Summary-NoCo'!G65</f>
        <v>12.770370370370369</v>
      </c>
      <c r="E55" s="285">
        <f>'Summary-NoCo'!H65</f>
        <v>0.63851851851851849</v>
      </c>
      <c r="F55" s="284">
        <f>'Summary-NoCo'!I65</f>
        <v>4.887584801621446</v>
      </c>
      <c r="G55" s="285">
        <f>'Summary-NoCo'!J65</f>
        <v>0.24437924008107231</v>
      </c>
      <c r="H55" s="284">
        <f>'Summary-NoCo'!K65</f>
        <v>5.268486050420168E-2</v>
      </c>
      <c r="I55" s="285">
        <f>'Summary-NoCo'!L65</f>
        <v>2.6342430252100841E-3</v>
      </c>
      <c r="J55" s="284">
        <f>'Summary-NoCo'!M65</f>
        <v>0.21023717968</v>
      </c>
      <c r="K55" s="285">
        <f>'Summary-NoCo'!N65</f>
        <v>1.0511858984E-2</v>
      </c>
      <c r="L55" s="284">
        <f>'Summary-NoCo'!O65</f>
        <v>0.21023717968</v>
      </c>
      <c r="M55" s="285">
        <f>'Summary-NoCo'!P65</f>
        <v>1.0511858984E-2</v>
      </c>
      <c r="N55" s="284">
        <f t="shared" si="7"/>
        <v>0.21023717968</v>
      </c>
      <c r="O55" s="285">
        <f t="shared" si="7"/>
        <v>1.0511858984E-2</v>
      </c>
      <c r="P55" s="292" t="s">
        <v>17</v>
      </c>
      <c r="Q55" s="293" t="s">
        <v>17</v>
      </c>
      <c r="R55" s="292" t="s">
        <v>17</v>
      </c>
      <c r="S55" s="293" t="s">
        <v>17</v>
      </c>
    </row>
    <row r="56" spans="1:19" ht="16.5" customHeight="1">
      <c r="A56" s="1626" t="str">
        <f>'Summary-NoCo'!C66</f>
        <v>GEN5</v>
      </c>
      <c r="B56" s="2936">
        <f>'Summary-NoCo'!E66</f>
        <v>7.6014109347442673</v>
      </c>
      <c r="C56" s="2937">
        <f>'Summary-NoCo'!F66</f>
        <v>0.38007054673721336</v>
      </c>
      <c r="D56" s="2936">
        <f>'Summary-NoCo'!G66</f>
        <v>12.770370370370369</v>
      </c>
      <c r="E56" s="2937">
        <f>'Summary-NoCo'!H66</f>
        <v>0.63851851851851849</v>
      </c>
      <c r="F56" s="2936">
        <f>'Summary-NoCo'!I66</f>
        <v>4.887584801621446</v>
      </c>
      <c r="G56" s="2937">
        <f>'Summary-NoCo'!J66</f>
        <v>0.24437924008107231</v>
      </c>
      <c r="H56" s="2936">
        <f>'Summary-NoCo'!K66</f>
        <v>5.268486050420168E-2</v>
      </c>
      <c r="I56" s="2937">
        <f>'Summary-NoCo'!L66</f>
        <v>2.6342430252100841E-3</v>
      </c>
      <c r="J56" s="2936">
        <f>'Summary-NoCo'!M66</f>
        <v>0.21023717968</v>
      </c>
      <c r="K56" s="2937">
        <f>'Summary-NoCo'!N66</f>
        <v>1.0511858984E-2</v>
      </c>
      <c r="L56" s="2936">
        <f>'Summary-NoCo'!O66</f>
        <v>0.21023717968</v>
      </c>
      <c r="M56" s="2937">
        <f>'Summary-NoCo'!P66</f>
        <v>1.0511858984E-2</v>
      </c>
      <c r="N56" s="2936">
        <f t="shared" si="7"/>
        <v>0.21023717968</v>
      </c>
      <c r="O56" s="2937">
        <f t="shared" si="7"/>
        <v>1.0511858984E-2</v>
      </c>
      <c r="P56" s="1632" t="s">
        <v>17</v>
      </c>
      <c r="Q56" s="1633" t="s">
        <v>17</v>
      </c>
      <c r="R56" s="1632" t="s">
        <v>17</v>
      </c>
      <c r="S56" s="1633" t="s">
        <v>17</v>
      </c>
    </row>
    <row r="57" spans="1:19" ht="16.5" customHeight="1">
      <c r="A57" s="3047" t="str">
        <f>'Summary-NoCo'!C67</f>
        <v>GEN6</v>
      </c>
      <c r="B57" s="2995">
        <f>'Summary-NoCo'!E67</f>
        <v>7.6014109347442673</v>
      </c>
      <c r="C57" s="2994">
        <f>'Summary-NoCo'!F67</f>
        <v>0.38007054673721336</v>
      </c>
      <c r="D57" s="2995">
        <f>'Summary-NoCo'!G67</f>
        <v>12.770370370370369</v>
      </c>
      <c r="E57" s="2994">
        <f>'Summary-NoCo'!H67</f>
        <v>0.63851851851851849</v>
      </c>
      <c r="F57" s="2995">
        <f>'Summary-NoCo'!I67</f>
        <v>4.887584801621446</v>
      </c>
      <c r="G57" s="2994">
        <f>'Summary-NoCo'!J67</f>
        <v>0.24437924008107231</v>
      </c>
      <c r="H57" s="2995">
        <f>'Summary-NoCo'!K67</f>
        <v>5.268486050420168E-2</v>
      </c>
      <c r="I57" s="2994">
        <f>'Summary-NoCo'!L67</f>
        <v>2.6342430252100841E-3</v>
      </c>
      <c r="J57" s="2995">
        <f>'Summary-NoCo'!M67</f>
        <v>0.21023717968</v>
      </c>
      <c r="K57" s="2994">
        <f>'Summary-NoCo'!N67</f>
        <v>1.0511858984E-2</v>
      </c>
      <c r="L57" s="2995">
        <f>'Summary-NoCo'!O67</f>
        <v>0.21023717968</v>
      </c>
      <c r="M57" s="2994">
        <f>'Summary-NoCo'!P67</f>
        <v>1.0511858984E-2</v>
      </c>
      <c r="N57" s="2995">
        <f t="shared" ref="N57:O59" si="8">L57</f>
        <v>0.21023717968</v>
      </c>
      <c r="O57" s="2994">
        <f t="shared" si="8"/>
        <v>1.0511858984E-2</v>
      </c>
      <c r="P57" s="2992" t="s">
        <v>17</v>
      </c>
      <c r="Q57" s="2993" t="s">
        <v>17</v>
      </c>
      <c r="R57" s="2992" t="s">
        <v>17</v>
      </c>
      <c r="S57" s="2993" t="s">
        <v>17</v>
      </c>
    </row>
    <row r="58" spans="1:19" ht="16.5" customHeight="1">
      <c r="A58" s="356" t="str">
        <f>'Summary-NoCo'!C68</f>
        <v>GEN7</v>
      </c>
      <c r="B58" s="284">
        <f>'Summary-NoCo'!E68</f>
        <v>7.6014109347442673</v>
      </c>
      <c r="C58" s="285">
        <f>'Summary-NoCo'!F68</f>
        <v>0.38007054673721336</v>
      </c>
      <c r="D58" s="284">
        <f>'Summary-NoCo'!G68</f>
        <v>12.770370370370369</v>
      </c>
      <c r="E58" s="285">
        <f>'Summary-NoCo'!H68</f>
        <v>0.63851851851851849</v>
      </c>
      <c r="F58" s="284">
        <f>'Summary-NoCo'!I68</f>
        <v>4.887584801621446</v>
      </c>
      <c r="G58" s="285">
        <f>'Summary-NoCo'!J68</f>
        <v>0.24437924008107231</v>
      </c>
      <c r="H58" s="284">
        <f>'Summary-NoCo'!K68</f>
        <v>5.268486050420168E-2</v>
      </c>
      <c r="I58" s="285">
        <f>'Summary-NoCo'!L68</f>
        <v>2.6342430252100841E-3</v>
      </c>
      <c r="J58" s="284">
        <f>'Summary-NoCo'!M68</f>
        <v>0.21023717968</v>
      </c>
      <c r="K58" s="285">
        <f>'Summary-NoCo'!N68</f>
        <v>1.0511858984E-2</v>
      </c>
      <c r="L58" s="284">
        <f>'Summary-NoCo'!O68</f>
        <v>0.21023717968</v>
      </c>
      <c r="M58" s="285">
        <f>'Summary-NoCo'!P68</f>
        <v>1.0511858984E-2</v>
      </c>
      <c r="N58" s="284">
        <f t="shared" si="8"/>
        <v>0.21023717968</v>
      </c>
      <c r="O58" s="285">
        <f t="shared" si="8"/>
        <v>1.0511858984E-2</v>
      </c>
      <c r="P58" s="292" t="s">
        <v>17</v>
      </c>
      <c r="Q58" s="293" t="s">
        <v>17</v>
      </c>
      <c r="R58" s="292" t="s">
        <v>17</v>
      </c>
      <c r="S58" s="293" t="s">
        <v>17</v>
      </c>
    </row>
    <row r="59" spans="1:19" ht="16.5" customHeight="1" thickBot="1">
      <c r="A59" s="2571" t="str">
        <f>'Summary-NoCo'!C69</f>
        <v>GEN8</v>
      </c>
      <c r="B59" s="2572">
        <f>'Summary-NoCo'!E69</f>
        <v>7.6014109347442673</v>
      </c>
      <c r="C59" s="2573">
        <f>'Summary-NoCo'!F69</f>
        <v>0.38007054673721336</v>
      </c>
      <c r="D59" s="2572">
        <f>'Summary-NoCo'!G69</f>
        <v>12.770370370370369</v>
      </c>
      <c r="E59" s="2573">
        <f>'Summary-NoCo'!H69</f>
        <v>0.63851851851851849</v>
      </c>
      <c r="F59" s="2572">
        <f>'Summary-NoCo'!I69</f>
        <v>4.887584801621446</v>
      </c>
      <c r="G59" s="2573">
        <f>'Summary-NoCo'!J69</f>
        <v>0.24437924008107231</v>
      </c>
      <c r="H59" s="2572">
        <f>'Summary-NoCo'!K69</f>
        <v>5.268486050420168E-2</v>
      </c>
      <c r="I59" s="2573">
        <f>'Summary-NoCo'!L69</f>
        <v>2.6342430252100841E-3</v>
      </c>
      <c r="J59" s="2572">
        <f>'Summary-NoCo'!M69</f>
        <v>0.21023717968</v>
      </c>
      <c r="K59" s="2573">
        <f>'Summary-NoCo'!N69</f>
        <v>1.0511858984E-2</v>
      </c>
      <c r="L59" s="2572">
        <f>'Summary-NoCo'!O69</f>
        <v>0.21023717968</v>
      </c>
      <c r="M59" s="2573">
        <f>'Summary-NoCo'!P69</f>
        <v>1.0511858984E-2</v>
      </c>
      <c r="N59" s="2572">
        <f t="shared" si="8"/>
        <v>0.21023717968</v>
      </c>
      <c r="O59" s="2573">
        <f t="shared" si="8"/>
        <v>1.0511858984E-2</v>
      </c>
      <c r="P59" s="1620" t="s">
        <v>17</v>
      </c>
      <c r="Q59" s="1621" t="s">
        <v>17</v>
      </c>
      <c r="R59" s="1620" t="s">
        <v>17</v>
      </c>
      <c r="S59" s="1621" t="s">
        <v>17</v>
      </c>
    </row>
    <row r="60" spans="1:19" ht="20.149999999999999" customHeight="1" thickBot="1">
      <c r="A60" s="105" t="s">
        <v>50</v>
      </c>
      <c r="B60" s="1542">
        <f>SUM(B5:B59)-B24-B52-B53-B54-B55-B56-B57-B58-B59</f>
        <v>148.58097550745782</v>
      </c>
      <c r="C60" s="1543">
        <f>SUM(C5:C59)</f>
        <v>234.14573426120137</v>
      </c>
      <c r="D60" s="1542">
        <f>SUM(D5:D59)-D24-D52-D53-D54-D55-D56-D57-D58-D59</f>
        <v>238.95180035736701</v>
      </c>
      <c r="E60" s="1543">
        <f>SUM(E5:E59)</f>
        <v>213.8786059515156</v>
      </c>
      <c r="F60" s="1542">
        <f>SUM(F5:F24)+F26+F27+F28+F29+F36+F37+F38+F39+F40+F45+F46</f>
        <v>458.38626391655401</v>
      </c>
      <c r="G60" s="1543">
        <f>SUM(G5:G59)</f>
        <v>354.9322815749041</v>
      </c>
      <c r="H60" s="1542">
        <f>SUM(H5:H56)-H24-H52-H53-H54-H55-H56</f>
        <v>5.3010295799831439</v>
      </c>
      <c r="I60" s="1543">
        <f>SUM(I5:I59)</f>
        <v>23.026981043274976</v>
      </c>
      <c r="J60" s="1542">
        <f>SUM(J5:J56)-J24-J52-J53-J54-J55-J56</f>
        <v>17.971857878127995</v>
      </c>
      <c r="K60" s="1543">
        <f>SUM(K5:K59)</f>
        <v>53.7233054204615</v>
      </c>
      <c r="L60" s="1542">
        <f>SUM(L5:L56)-L24-L52-L53-L54-L55-L56</f>
        <v>15.918491764501063</v>
      </c>
      <c r="M60" s="1543">
        <f>SUM(M5:M59)</f>
        <v>47.14716940786775</v>
      </c>
      <c r="N60" s="1542">
        <f>SUM(N5:N56)-N24-N52-N53-N54-N55-N56</f>
        <v>15.286400074761961</v>
      </c>
      <c r="O60" s="1543">
        <f>SUM(O5:O59)</f>
        <v>45.122824651923381</v>
      </c>
      <c r="P60" s="262" t="s">
        <v>17</v>
      </c>
      <c r="Q60" s="263" t="s">
        <v>17</v>
      </c>
      <c r="R60" s="262" t="s">
        <v>17</v>
      </c>
      <c r="S60" s="264" t="s">
        <v>17</v>
      </c>
    </row>
    <row r="61" spans="1:19" ht="26.75" customHeight="1">
      <c r="A61" s="4043" t="s">
        <v>1255</v>
      </c>
      <c r="B61" s="4044"/>
      <c r="C61" s="4044"/>
      <c r="D61" s="4044"/>
      <c r="E61" s="4044"/>
      <c r="F61" s="4044"/>
      <c r="G61" s="4044"/>
      <c r="H61" s="4044"/>
      <c r="I61" s="4044"/>
      <c r="J61" s="4044"/>
      <c r="K61" s="4044"/>
      <c r="L61" s="4044"/>
      <c r="M61" s="4044"/>
      <c r="N61" s="4044"/>
      <c r="O61" s="4044"/>
      <c r="P61" s="4044"/>
      <c r="Q61" s="4044"/>
      <c r="R61" s="4044"/>
      <c r="S61" s="4045"/>
    </row>
    <row r="62" spans="1:19" ht="25.25" customHeight="1">
      <c r="A62" s="4053" t="s">
        <v>1917</v>
      </c>
      <c r="B62" s="4053"/>
      <c r="C62" s="4053"/>
      <c r="D62" s="4053"/>
      <c r="E62" s="4053"/>
      <c r="F62" s="4053"/>
      <c r="G62" s="4053"/>
      <c r="H62" s="4053"/>
      <c r="I62" s="4053"/>
      <c r="J62" s="4053"/>
      <c r="K62" s="4053"/>
      <c r="L62" s="4053"/>
      <c r="M62" s="4053"/>
      <c r="N62" s="4053"/>
      <c r="O62" s="4053"/>
      <c r="P62" s="4053"/>
      <c r="Q62" s="4053"/>
      <c r="R62" s="4053"/>
      <c r="S62" s="4053"/>
    </row>
  </sheetData>
  <mergeCells count="27">
    <mergeCell ref="B32:S32"/>
    <mergeCell ref="B33:S33"/>
    <mergeCell ref="B34:S34"/>
    <mergeCell ref="B35:S35"/>
    <mergeCell ref="A61:S61"/>
    <mergeCell ref="B44:S44"/>
    <mergeCell ref="B47:S47"/>
    <mergeCell ref="B51:S51"/>
    <mergeCell ref="B48:S48"/>
    <mergeCell ref="B49:S49"/>
    <mergeCell ref="B50:S50"/>
    <mergeCell ref="A62:S62"/>
    <mergeCell ref="A1:S1"/>
    <mergeCell ref="A2:S2"/>
    <mergeCell ref="A3:A4"/>
    <mergeCell ref="B3:C3"/>
    <mergeCell ref="D3:E3"/>
    <mergeCell ref="F3:G3"/>
    <mergeCell ref="H3:I3"/>
    <mergeCell ref="J3:K3"/>
    <mergeCell ref="L3:M3"/>
    <mergeCell ref="N3:O3"/>
    <mergeCell ref="B43:S43"/>
    <mergeCell ref="P3:Q3"/>
    <mergeCell ref="R3:S3"/>
    <mergeCell ref="B30:S30"/>
    <mergeCell ref="B31:S31"/>
  </mergeCells>
  <conditionalFormatting sqref="B60">
    <cfRule type="expression" dxfId="11" priority="10" stopIfTrue="1">
      <formula>"if B35 &gt; 10"</formula>
    </cfRule>
  </conditionalFormatting>
  <conditionalFormatting sqref="F60">
    <cfRule type="expression" dxfId="10" priority="7" stopIfTrue="1">
      <formula>"if B35 &gt; 10"</formula>
    </cfRule>
  </conditionalFormatting>
  <conditionalFormatting sqref="H60">
    <cfRule type="expression" dxfId="9" priority="6" stopIfTrue="1">
      <formula>"if B35 &gt; 10"</formula>
    </cfRule>
  </conditionalFormatting>
  <conditionalFormatting sqref="L60">
    <cfRule type="expression" dxfId="8" priority="4" stopIfTrue="1">
      <formula>"if B35 &gt; 10"</formula>
    </cfRule>
  </conditionalFormatting>
  <conditionalFormatting sqref="N60">
    <cfRule type="expression" dxfId="7" priority="3" stopIfTrue="1">
      <formula>"if B35 &gt; 10"</formula>
    </cfRule>
  </conditionalFormatting>
  <conditionalFormatting sqref="D60">
    <cfRule type="expression" dxfId="6" priority="2" stopIfTrue="1">
      <formula>"if B35 &gt; 10"</formula>
    </cfRule>
  </conditionalFormatting>
  <conditionalFormatting sqref="J60">
    <cfRule type="expression" dxfId="5" priority="1" stopIfTrue="1">
      <formula>"if B35 &gt; 10"</formula>
    </cfRule>
  </conditionalFormatting>
  <printOptions horizontalCentered="1"/>
  <pageMargins left="0.5" right="0.5" top="0.5" bottom="0.5" header="0.35" footer="0.35"/>
  <pageSetup scale="90" fitToHeight="4"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6/14/2019&amp;C&amp;8Table 2-E:  Page &amp;P&amp;R&amp;8Printed &amp;D &amp;T</oddFooter>
  </headerFooter>
  <rowBreaks count="2" manualBreakCount="2">
    <brk id="27" max="18" man="1"/>
    <brk id="5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sheetPr>
  <dimension ref="A1:AG764"/>
  <sheetViews>
    <sheetView view="pageBreakPreview" topLeftCell="A697" zoomScale="55" zoomScaleNormal="100" zoomScaleSheetLayoutView="55" workbookViewId="0">
      <selection activeCell="A701" sqref="A701:H701"/>
    </sheetView>
  </sheetViews>
  <sheetFormatPr defaultColWidth="9.36328125" defaultRowHeight="30.75" customHeight="1"/>
  <cols>
    <col min="1" max="1" width="8.453125" style="11" customWidth="1"/>
    <col min="2" max="3" width="12" style="11" customWidth="1"/>
    <col min="4" max="4" width="5.54296875" style="11" customWidth="1"/>
    <col min="5" max="5" width="13.36328125" style="11" customWidth="1"/>
    <col min="6" max="6" width="15.6328125" style="11" customWidth="1"/>
    <col min="7" max="7" width="15.36328125" style="11" customWidth="1"/>
    <col min="8" max="8" width="13.36328125" style="11" customWidth="1"/>
    <col min="9" max="24" width="12.36328125" style="11" customWidth="1"/>
    <col min="25" max="16384" width="9.36328125" style="11"/>
  </cols>
  <sheetData>
    <row r="1" spans="1:33" ht="30.75" customHeight="1">
      <c r="A1" s="3792" t="str">
        <f>'Cover Page'!A4</f>
        <v>HUSKY CDP</v>
      </c>
      <c r="B1" s="3792"/>
      <c r="C1" s="3792"/>
      <c r="D1" s="3792"/>
      <c r="E1" s="3792"/>
      <c r="F1" s="3792"/>
      <c r="G1" s="3792"/>
      <c r="H1" s="3792"/>
      <c r="Q1" s="253"/>
      <c r="R1" s="253"/>
      <c r="S1" s="253"/>
      <c r="T1" s="253"/>
      <c r="U1" s="253"/>
      <c r="V1" s="253"/>
      <c r="W1" s="253"/>
      <c r="X1" s="253"/>
    </row>
    <row r="2" spans="1:33" ht="30.75" customHeight="1">
      <c r="A2" s="3792" t="str">
        <f>'Cover Page'!A6:J6</f>
        <v>NSR PERMIT APPLICATION</v>
      </c>
      <c r="B2" s="3792"/>
      <c r="C2" s="3792"/>
      <c r="D2" s="3792"/>
      <c r="E2" s="3792"/>
      <c r="F2" s="3792"/>
      <c r="G2" s="3792"/>
      <c r="H2" s="3792"/>
      <c r="Q2" s="253"/>
      <c r="R2" s="253"/>
      <c r="S2" s="253"/>
      <c r="T2" s="253"/>
      <c r="U2" s="253"/>
      <c r="V2" s="253"/>
      <c r="W2" s="253"/>
      <c r="X2" s="253"/>
    </row>
    <row r="3" spans="1:33" ht="30.75" customHeight="1">
      <c r="A3" s="3793" t="s">
        <v>1721</v>
      </c>
      <c r="B3" s="3793"/>
      <c r="C3" s="3793"/>
      <c r="D3" s="3793"/>
      <c r="E3" s="3793"/>
      <c r="F3" s="3793"/>
      <c r="G3" s="3793"/>
      <c r="H3" s="3793"/>
      <c r="Q3" s="253"/>
      <c r="R3" s="253"/>
      <c r="S3" s="253"/>
      <c r="T3" s="253"/>
      <c r="U3" s="253"/>
      <c r="V3" s="255"/>
      <c r="W3" s="253"/>
      <c r="X3" s="253"/>
    </row>
    <row r="4" spans="1:33" ht="30.75" customHeight="1">
      <c r="A4" s="3790" t="s">
        <v>1698</v>
      </c>
      <c r="B4" s="3790"/>
      <c r="C4" s="2370" t="s">
        <v>2015</v>
      </c>
      <c r="E4" s="2370"/>
      <c r="F4" s="2370"/>
      <c r="G4" s="2370"/>
      <c r="K4" s="255"/>
      <c r="Q4" s="253"/>
      <c r="R4" s="253"/>
      <c r="S4" s="253"/>
      <c r="T4" s="253"/>
      <c r="U4" s="253"/>
      <c r="V4" s="255"/>
      <c r="W4" s="253"/>
      <c r="X4" s="253"/>
    </row>
    <row r="5" spans="1:33" ht="30.75" customHeight="1">
      <c r="A5" s="3790" t="s">
        <v>1699</v>
      </c>
      <c r="B5" s="3790"/>
      <c r="C5" s="255" t="s">
        <v>1720</v>
      </c>
      <c r="F5" s="255"/>
      <c r="G5" s="255"/>
      <c r="H5" s="255"/>
      <c r="Q5" s="253"/>
      <c r="R5" s="253"/>
      <c r="S5" s="253"/>
      <c r="T5" s="253"/>
      <c r="U5" s="253"/>
      <c r="V5" s="253"/>
      <c r="W5" s="253"/>
      <c r="X5" s="253"/>
    </row>
    <row r="6" spans="1:33" ht="30.75" customHeight="1">
      <c r="A6" s="3790" t="s">
        <v>1700</v>
      </c>
      <c r="B6" s="3790"/>
      <c r="C6" s="255" t="s">
        <v>1722</v>
      </c>
      <c r="F6" s="255"/>
      <c r="G6" s="255"/>
      <c r="H6" s="255"/>
      <c r="Q6" s="253"/>
      <c r="R6" s="253"/>
      <c r="S6" s="253"/>
      <c r="T6" s="253"/>
      <c r="U6" s="253"/>
      <c r="V6" s="253"/>
      <c r="W6" s="253"/>
      <c r="X6" s="253"/>
    </row>
    <row r="7" spans="1:33" ht="30.75" customHeight="1">
      <c r="A7" s="3790" t="s">
        <v>1701</v>
      </c>
      <c r="B7" s="3790"/>
      <c r="C7" s="2370" t="s">
        <v>1723</v>
      </c>
      <c r="F7" s="255"/>
      <c r="G7" s="255"/>
      <c r="H7" s="255"/>
      <c r="Q7" s="253"/>
      <c r="R7" s="253"/>
      <c r="S7" s="253"/>
      <c r="T7" s="253"/>
      <c r="U7" s="253"/>
      <c r="V7" s="253"/>
      <c r="W7" s="253"/>
      <c r="X7" s="253"/>
      <c r="AD7" s="3791"/>
      <c r="AE7" s="3791"/>
      <c r="AF7" s="3791"/>
      <c r="AG7" s="3791"/>
    </row>
    <row r="8" spans="1:33" ht="30.75" customHeight="1">
      <c r="A8" s="3790" t="s">
        <v>1702</v>
      </c>
      <c r="B8" s="3790"/>
      <c r="C8" s="2370" t="s">
        <v>1724</v>
      </c>
      <c r="F8" s="255"/>
      <c r="G8" s="255"/>
      <c r="H8" s="255"/>
      <c r="O8" s="255"/>
      <c r="Q8" s="253"/>
      <c r="R8" s="253"/>
      <c r="S8" s="253"/>
      <c r="T8" s="253"/>
      <c r="U8" s="253"/>
      <c r="V8" s="253"/>
      <c r="W8" s="253"/>
      <c r="X8" s="253"/>
    </row>
    <row r="9" spans="1:33" ht="30.75" customHeight="1">
      <c r="A9" s="3790" t="s">
        <v>1703</v>
      </c>
      <c r="B9" s="3790"/>
      <c r="C9" s="2370" t="s">
        <v>1725</v>
      </c>
      <c r="F9" s="255"/>
      <c r="G9" s="255"/>
      <c r="H9" s="255"/>
      <c r="O9" s="255"/>
      <c r="Q9" s="253"/>
      <c r="R9" s="253"/>
      <c r="S9" s="253"/>
      <c r="T9" s="253"/>
      <c r="U9" s="253"/>
      <c r="V9" s="253"/>
      <c r="W9" s="253"/>
      <c r="X9" s="253"/>
    </row>
    <row r="10" spans="1:33" ht="30.75" customHeight="1">
      <c r="A10" s="3790" t="s">
        <v>1704</v>
      </c>
      <c r="B10" s="3790"/>
      <c r="C10" s="2370" t="s">
        <v>1726</v>
      </c>
      <c r="F10" s="255"/>
      <c r="G10" s="255"/>
      <c r="H10" s="255"/>
      <c r="O10" s="255"/>
      <c r="Q10" s="254"/>
      <c r="R10" s="254"/>
      <c r="S10" s="254"/>
      <c r="T10" s="254"/>
      <c r="U10" s="254"/>
      <c r="V10" s="254"/>
      <c r="W10" s="254"/>
      <c r="X10" s="254"/>
    </row>
    <row r="11" spans="1:33" ht="30.75" customHeight="1">
      <c r="A11" s="3790" t="s">
        <v>1705</v>
      </c>
      <c r="B11" s="3790"/>
      <c r="C11" s="2370" t="s">
        <v>1727</v>
      </c>
      <c r="F11" s="255"/>
      <c r="G11" s="255"/>
      <c r="H11" s="255"/>
      <c r="O11" s="255"/>
      <c r="Q11" s="3788"/>
      <c r="R11" s="3788"/>
      <c r="S11" s="3788"/>
      <c r="T11" s="3788"/>
      <c r="U11" s="3788"/>
      <c r="V11" s="3788"/>
      <c r="W11" s="3788"/>
      <c r="X11" s="3788"/>
    </row>
    <row r="12" spans="1:33" ht="30.75" customHeight="1">
      <c r="A12" s="3790" t="s">
        <v>1706</v>
      </c>
      <c r="B12" s="3790"/>
      <c r="C12" s="2370" t="s">
        <v>1728</v>
      </c>
      <c r="F12" s="255"/>
      <c r="G12" s="255"/>
      <c r="H12" s="255"/>
      <c r="O12" s="255"/>
      <c r="Q12" s="3788"/>
      <c r="R12" s="3788"/>
      <c r="S12" s="3788"/>
      <c r="T12" s="3788"/>
      <c r="U12" s="3788"/>
      <c r="V12" s="3788"/>
      <c r="W12" s="3788"/>
      <c r="X12" s="3788"/>
      <c r="AC12" s="255"/>
    </row>
    <row r="13" spans="1:33" ht="30.75" customHeight="1">
      <c r="A13" s="3790" t="s">
        <v>1707</v>
      </c>
      <c r="B13" s="3790"/>
      <c r="C13" s="2370" t="s">
        <v>1729</v>
      </c>
      <c r="F13" s="255"/>
      <c r="G13" s="255"/>
      <c r="H13" s="255"/>
      <c r="O13" s="255"/>
      <c r="Q13" s="253"/>
      <c r="R13" s="253"/>
      <c r="S13" s="253"/>
      <c r="T13" s="253"/>
      <c r="U13" s="253"/>
      <c r="V13" s="253"/>
      <c r="W13" s="253"/>
      <c r="X13" s="253"/>
    </row>
    <row r="14" spans="1:33" ht="30.75" customHeight="1">
      <c r="A14" s="3790" t="s">
        <v>1708</v>
      </c>
      <c r="B14" s="3790"/>
      <c r="C14" s="2370" t="s">
        <v>1730</v>
      </c>
      <c r="D14" s="2378"/>
      <c r="F14" s="255"/>
      <c r="G14" s="255"/>
      <c r="H14" s="255"/>
      <c r="O14" s="255"/>
      <c r="Q14" s="253"/>
      <c r="R14" s="253"/>
      <c r="S14" s="253"/>
      <c r="T14" s="253"/>
      <c r="U14" s="253"/>
      <c r="V14" s="253"/>
      <c r="W14" s="253"/>
      <c r="X14" s="253"/>
      <c r="AC14" s="255"/>
    </row>
    <row r="15" spans="1:33" ht="30.75" customHeight="1">
      <c r="A15" s="3790" t="s">
        <v>1709</v>
      </c>
      <c r="B15" s="3790"/>
      <c r="C15" s="2370" t="s">
        <v>1731</v>
      </c>
      <c r="D15" s="2378"/>
      <c r="F15" s="255"/>
      <c r="G15" s="255"/>
      <c r="H15" s="255"/>
      <c r="Q15" s="253"/>
      <c r="R15" s="253"/>
      <c r="S15" s="253"/>
      <c r="T15" s="253"/>
      <c r="U15" s="253"/>
      <c r="V15" s="253"/>
      <c r="W15" s="253"/>
      <c r="X15" s="253"/>
    </row>
    <row r="16" spans="1:33" ht="30.75" customHeight="1">
      <c r="A16" s="3790" t="s">
        <v>1710</v>
      </c>
      <c r="B16" s="3790"/>
      <c r="C16" s="2370" t="s">
        <v>1732</v>
      </c>
      <c r="D16" s="2378"/>
      <c r="F16" s="255"/>
      <c r="G16" s="255"/>
      <c r="H16" s="255"/>
      <c r="Q16" s="253"/>
      <c r="R16" s="253"/>
      <c r="S16" s="253"/>
      <c r="T16" s="253"/>
      <c r="U16" s="253"/>
      <c r="V16" s="253"/>
      <c r="W16" s="253"/>
      <c r="X16" s="253"/>
    </row>
    <row r="17" spans="1:24" ht="30.75" customHeight="1">
      <c r="A17" s="3790" t="s">
        <v>1711</v>
      </c>
      <c r="B17" s="3790"/>
      <c r="C17" s="2370" t="s">
        <v>1733</v>
      </c>
      <c r="D17" s="2378"/>
      <c r="F17" s="255"/>
      <c r="G17" s="255"/>
      <c r="H17" s="255"/>
      <c r="Q17" s="253"/>
      <c r="R17" s="253"/>
      <c r="S17" s="253"/>
      <c r="T17" s="253"/>
      <c r="U17" s="253"/>
      <c r="V17" s="253"/>
      <c r="W17" s="253"/>
      <c r="X17" s="253"/>
    </row>
    <row r="18" spans="1:24" ht="30.75" customHeight="1">
      <c r="A18" s="3790" t="s">
        <v>1712</v>
      </c>
      <c r="B18" s="3790"/>
      <c r="C18" s="2370" t="s">
        <v>1734</v>
      </c>
      <c r="D18" s="2378"/>
      <c r="F18" s="255"/>
      <c r="G18" s="255"/>
      <c r="H18" s="255"/>
      <c r="Q18" s="253"/>
      <c r="R18" s="253"/>
      <c r="S18" s="253"/>
      <c r="T18" s="253"/>
      <c r="U18" s="253"/>
      <c r="V18" s="253"/>
      <c r="W18" s="253"/>
      <c r="X18" s="253"/>
    </row>
    <row r="19" spans="1:24" ht="30.75" customHeight="1">
      <c r="A19" s="3790" t="s">
        <v>1713</v>
      </c>
      <c r="B19" s="3790"/>
      <c r="C19" s="2370" t="s">
        <v>1735</v>
      </c>
      <c r="D19" s="2378"/>
      <c r="F19" s="255"/>
      <c r="G19" s="255"/>
      <c r="H19" s="255"/>
      <c r="Q19" s="253"/>
      <c r="R19" s="253"/>
      <c r="S19" s="253"/>
      <c r="T19" s="253"/>
      <c r="U19" s="253"/>
      <c r="V19" s="253"/>
      <c r="W19" s="253"/>
      <c r="X19" s="253"/>
    </row>
    <row r="20" spans="1:24" ht="30.75" customHeight="1">
      <c r="A20" s="3790" t="s">
        <v>1714</v>
      </c>
      <c r="B20" s="3790"/>
      <c r="C20" s="2370" t="s">
        <v>1736</v>
      </c>
      <c r="D20" s="2378"/>
      <c r="F20" s="255"/>
      <c r="G20" s="255"/>
      <c r="H20" s="255"/>
      <c r="Q20" s="253"/>
      <c r="R20" s="253"/>
      <c r="S20" s="253"/>
      <c r="T20" s="253"/>
      <c r="U20" s="253"/>
      <c r="V20" s="253"/>
      <c r="W20" s="253"/>
      <c r="X20" s="253"/>
    </row>
    <row r="21" spans="1:24" ht="30.75" customHeight="1">
      <c r="A21" s="3790" t="s">
        <v>1715</v>
      </c>
      <c r="B21" s="3790"/>
      <c r="C21" s="2370" t="s">
        <v>1739</v>
      </c>
      <c r="D21" s="2378"/>
      <c r="F21" s="255"/>
      <c r="G21" s="255"/>
      <c r="H21" s="255"/>
      <c r="Q21" s="253"/>
      <c r="R21" s="253"/>
      <c r="S21" s="253"/>
      <c r="T21" s="253"/>
      <c r="U21" s="253"/>
      <c r="V21" s="253"/>
      <c r="W21" s="253"/>
      <c r="X21" s="253"/>
    </row>
    <row r="22" spans="1:24" ht="30.75" customHeight="1">
      <c r="A22" s="3790" t="s">
        <v>1716</v>
      </c>
      <c r="B22" s="3790"/>
      <c r="C22" s="2370" t="s">
        <v>1737</v>
      </c>
      <c r="D22" s="2378"/>
      <c r="F22" s="255"/>
      <c r="G22" s="255"/>
      <c r="H22" s="255"/>
      <c r="Q22" s="253"/>
      <c r="R22" s="253"/>
      <c r="S22" s="253"/>
      <c r="T22" s="253"/>
      <c r="U22" s="253"/>
      <c r="V22" s="253"/>
      <c r="W22" s="253"/>
      <c r="X22" s="253"/>
    </row>
    <row r="23" spans="1:24" ht="30.75" customHeight="1">
      <c r="A23" s="3790" t="s">
        <v>1717</v>
      </c>
      <c r="B23" s="3790"/>
      <c r="C23" s="2370" t="s">
        <v>1738</v>
      </c>
      <c r="D23" s="2378"/>
      <c r="F23" s="255"/>
      <c r="G23" s="255"/>
      <c r="H23" s="255"/>
      <c r="Q23" s="253"/>
      <c r="R23" s="253"/>
      <c r="S23" s="253"/>
      <c r="T23" s="253"/>
      <c r="U23" s="253"/>
      <c r="V23" s="253"/>
      <c r="W23" s="253"/>
      <c r="X23" s="253"/>
    </row>
    <row r="24" spans="1:24" s="10" customFormat="1" ht="30.75" customHeight="1">
      <c r="A24" s="3790" t="s">
        <v>1718</v>
      </c>
      <c r="B24" s="3790"/>
      <c r="C24" s="2370" t="s">
        <v>1740</v>
      </c>
      <c r="D24" s="2378"/>
      <c r="F24" s="253"/>
      <c r="G24" s="253"/>
      <c r="H24" s="253"/>
      <c r="Q24" s="253"/>
      <c r="R24" s="253"/>
      <c r="S24" s="253"/>
      <c r="T24" s="253"/>
      <c r="U24" s="253"/>
      <c r="V24" s="253"/>
      <c r="W24" s="253"/>
      <c r="X24" s="253"/>
    </row>
    <row r="25" spans="1:24" s="10" customFormat="1" ht="30.75" customHeight="1">
      <c r="A25" s="3790" t="s">
        <v>1719</v>
      </c>
      <c r="B25" s="3790"/>
      <c r="C25" s="2370" t="s">
        <v>1741</v>
      </c>
      <c r="D25" s="2378"/>
      <c r="F25" s="253"/>
      <c r="G25" s="253"/>
      <c r="H25" s="253"/>
      <c r="Q25" s="253"/>
      <c r="R25" s="253"/>
      <c r="S25" s="253"/>
      <c r="T25" s="253"/>
      <c r="U25" s="253"/>
      <c r="V25" s="253"/>
      <c r="W25" s="253"/>
      <c r="X25" s="253"/>
    </row>
    <row r="26" spans="1:24" ht="30.75" customHeight="1">
      <c r="A26" s="3790" t="s">
        <v>1742</v>
      </c>
      <c r="B26" s="3790"/>
      <c r="C26" s="3600" t="s">
        <v>1743</v>
      </c>
      <c r="D26" s="3601"/>
      <c r="E26" s="3602"/>
      <c r="F26" s="2370"/>
      <c r="G26" s="2370"/>
      <c r="H26" s="2370"/>
      <c r="Q26" s="2369"/>
      <c r="R26" s="2369"/>
      <c r="S26" s="2369"/>
      <c r="T26" s="2369"/>
      <c r="U26" s="2369"/>
      <c r="V26" s="2369"/>
      <c r="W26" s="2369"/>
      <c r="X26" s="2369"/>
    </row>
    <row r="27" spans="1:24" s="10" customFormat="1" ht="30.75" customHeight="1">
      <c r="A27" s="3790" t="s">
        <v>2039</v>
      </c>
      <c r="B27" s="3790"/>
      <c r="C27" s="3600" t="s">
        <v>2040</v>
      </c>
      <c r="D27" s="3601"/>
      <c r="E27" s="3603"/>
      <c r="F27" s="2369"/>
      <c r="G27" s="2369"/>
      <c r="H27" s="2369"/>
      <c r="Q27" s="2369"/>
      <c r="R27" s="2369"/>
      <c r="S27" s="2369"/>
      <c r="T27" s="2369"/>
      <c r="U27" s="2369"/>
      <c r="V27" s="2369"/>
      <c r="W27" s="2369"/>
      <c r="X27" s="2369"/>
    </row>
    <row r="28" spans="1:24" s="10" customFormat="1" ht="30.75" customHeight="1">
      <c r="A28" s="3790"/>
      <c r="B28" s="3790"/>
      <c r="C28" s="3600"/>
      <c r="D28" s="3601"/>
      <c r="E28" s="3603"/>
      <c r="F28" s="2369"/>
      <c r="G28" s="2369"/>
      <c r="H28" s="2369"/>
      <c r="Q28" s="2369"/>
      <c r="R28" s="2369"/>
      <c r="S28" s="2369"/>
      <c r="T28" s="2369"/>
      <c r="U28" s="2369"/>
      <c r="V28" s="2369"/>
      <c r="W28" s="2369"/>
      <c r="X28" s="2369"/>
    </row>
    <row r="29" spans="1:24" s="10" customFormat="1" ht="30.75" customHeight="1">
      <c r="A29" s="253"/>
      <c r="B29" s="253"/>
      <c r="C29" s="253"/>
      <c r="D29" s="253"/>
      <c r="E29" s="253"/>
      <c r="F29" s="253"/>
      <c r="G29" s="253"/>
      <c r="H29" s="253"/>
      <c r="Q29" s="253"/>
      <c r="R29" s="253"/>
      <c r="S29" s="253"/>
      <c r="T29" s="253"/>
      <c r="U29" s="253"/>
      <c r="V29" s="253"/>
      <c r="W29" s="253"/>
      <c r="X29" s="253"/>
    </row>
    <row r="30" spans="1:24" s="10" customFormat="1" ht="30.75" customHeight="1">
      <c r="A30" s="253"/>
      <c r="B30" s="253"/>
      <c r="C30" s="253"/>
      <c r="D30" s="253"/>
      <c r="E30" s="253"/>
      <c r="F30" s="253"/>
      <c r="G30" s="253"/>
      <c r="H30" s="253"/>
      <c r="Q30" s="253"/>
      <c r="R30" s="253"/>
      <c r="S30" s="253"/>
      <c r="T30" s="253"/>
      <c r="U30" s="253"/>
      <c r="V30" s="253"/>
      <c r="W30" s="253"/>
      <c r="X30" s="253"/>
    </row>
    <row r="31" spans="1:24" s="10" customFormat="1" ht="30.75" customHeight="1">
      <c r="A31" s="253"/>
      <c r="B31" s="253"/>
      <c r="C31" s="253"/>
      <c r="D31" s="253"/>
      <c r="E31" s="253"/>
      <c r="F31" s="253"/>
      <c r="G31" s="253"/>
      <c r="H31" s="253"/>
      <c r="Q31" s="253"/>
      <c r="R31" s="253"/>
      <c r="S31" s="253"/>
      <c r="T31" s="253"/>
      <c r="U31" s="253"/>
      <c r="V31" s="253"/>
      <c r="W31" s="253"/>
      <c r="X31" s="253"/>
    </row>
    <row r="32" spans="1:24" s="10" customFormat="1" ht="30.75" customHeight="1">
      <c r="A32" s="253"/>
      <c r="B32" s="253"/>
      <c r="C32" s="253"/>
      <c r="D32" s="253"/>
      <c r="E32" s="253"/>
      <c r="F32" s="253"/>
      <c r="G32" s="253"/>
      <c r="H32" s="253"/>
      <c r="Q32" s="253"/>
      <c r="R32" s="253"/>
      <c r="S32" s="253"/>
      <c r="T32" s="253"/>
      <c r="U32" s="253"/>
      <c r="V32" s="253"/>
      <c r="W32" s="253"/>
      <c r="X32" s="253"/>
    </row>
    <row r="33" spans="1:24" s="10" customFormat="1" ht="30.75" customHeight="1">
      <c r="A33" s="253"/>
      <c r="B33" s="253"/>
      <c r="C33" s="253"/>
      <c r="D33" s="253"/>
      <c r="E33" s="253"/>
      <c r="F33" s="253"/>
      <c r="G33" s="253"/>
      <c r="H33" s="253"/>
      <c r="Q33" s="253"/>
      <c r="R33" s="253"/>
      <c r="S33" s="253"/>
      <c r="T33" s="253"/>
      <c r="U33" s="253"/>
      <c r="V33" s="253"/>
      <c r="W33" s="253"/>
      <c r="X33" s="253"/>
    </row>
    <row r="34" spans="1:24" s="10" customFormat="1" ht="30.75" customHeight="1">
      <c r="A34" s="253"/>
      <c r="B34" s="253"/>
      <c r="C34" s="253"/>
      <c r="D34" s="253"/>
      <c r="E34" s="253"/>
      <c r="F34" s="253"/>
      <c r="G34" s="253"/>
      <c r="H34" s="253"/>
      <c r="Q34" s="253"/>
      <c r="R34" s="253"/>
      <c r="S34" s="253"/>
      <c r="T34" s="253"/>
      <c r="U34" s="253"/>
      <c r="V34" s="253"/>
      <c r="W34" s="253"/>
      <c r="X34" s="253"/>
    </row>
    <row r="35" spans="1:24" s="10" customFormat="1" ht="30.75" customHeight="1">
      <c r="A35" s="253"/>
      <c r="B35" s="253"/>
      <c r="C35" s="253"/>
      <c r="D35" s="253"/>
      <c r="E35" s="253"/>
      <c r="F35" s="253"/>
      <c r="G35" s="253"/>
      <c r="H35" s="253"/>
      <c r="Q35" s="253"/>
      <c r="R35" s="253"/>
      <c r="S35" s="253"/>
      <c r="T35" s="253"/>
      <c r="U35" s="253"/>
      <c r="V35" s="253"/>
      <c r="W35" s="253"/>
      <c r="X35" s="253"/>
    </row>
    <row r="36" spans="1:24" s="10" customFormat="1" ht="30.75" customHeight="1">
      <c r="A36" s="3788" t="str">
        <f>A4</f>
        <v>Tab 1</v>
      </c>
      <c r="B36" s="3788"/>
      <c r="C36" s="3788"/>
      <c r="D36" s="3788"/>
      <c r="E36" s="3788"/>
      <c r="F36" s="3788"/>
      <c r="G36" s="3788"/>
      <c r="H36" s="3788"/>
      <c r="Q36" s="3788"/>
      <c r="R36" s="3788"/>
      <c r="S36" s="3788"/>
      <c r="T36" s="3788"/>
      <c r="U36" s="3788"/>
      <c r="V36" s="3788"/>
      <c r="W36" s="3788"/>
      <c r="X36" s="3788"/>
    </row>
    <row r="37" spans="1:24" s="10" customFormat="1" ht="30.75" customHeight="1">
      <c r="A37" s="3789" t="str">
        <f>C4</f>
        <v>UA1 Form - Company and Facility Information</v>
      </c>
      <c r="B37" s="3789"/>
      <c r="C37" s="3789"/>
      <c r="D37" s="3789"/>
      <c r="E37" s="3789"/>
      <c r="F37" s="3789"/>
      <c r="G37" s="3789"/>
      <c r="H37" s="3789"/>
      <c r="Q37" s="3788"/>
      <c r="R37" s="3788"/>
      <c r="S37" s="3788"/>
      <c r="T37" s="3788"/>
      <c r="U37" s="3788"/>
      <c r="V37" s="3788"/>
      <c r="W37" s="3788"/>
      <c r="X37" s="3788"/>
    </row>
    <row r="38" spans="1:24" s="10" customFormat="1" ht="30.75" customHeight="1">
      <c r="A38" s="3789"/>
      <c r="B38" s="3789"/>
      <c r="C38" s="3789"/>
      <c r="D38" s="3789"/>
      <c r="E38" s="3789"/>
      <c r="F38" s="3789"/>
      <c r="G38" s="3789"/>
      <c r="H38" s="3789"/>
      <c r="Q38" s="253"/>
      <c r="R38" s="253"/>
      <c r="S38" s="253"/>
      <c r="T38" s="253"/>
      <c r="U38" s="253"/>
      <c r="V38" s="253"/>
      <c r="W38" s="253"/>
      <c r="X38" s="253"/>
    </row>
    <row r="39" spans="1:24" s="10" customFormat="1" ht="30.75" customHeight="1">
      <c r="A39" s="253"/>
      <c r="B39" s="253"/>
      <c r="C39" s="253"/>
      <c r="D39" s="253"/>
      <c r="E39" s="253"/>
      <c r="F39" s="253"/>
      <c r="G39" s="253"/>
      <c r="H39" s="253"/>
      <c r="Q39" s="253"/>
      <c r="R39" s="253"/>
      <c r="S39" s="253"/>
      <c r="T39" s="253"/>
      <c r="U39" s="253"/>
      <c r="V39" s="253"/>
      <c r="W39" s="253"/>
      <c r="X39" s="253"/>
    </row>
    <row r="40" spans="1:24" s="10" customFormat="1" ht="30.75" customHeight="1">
      <c r="A40" s="253"/>
      <c r="B40" s="253"/>
      <c r="C40" s="253"/>
      <c r="D40" s="253"/>
      <c r="E40" s="253"/>
      <c r="F40" s="253"/>
      <c r="G40" s="253"/>
      <c r="H40" s="253"/>
      <c r="Q40" s="253"/>
      <c r="R40" s="253"/>
      <c r="S40" s="253"/>
      <c r="T40" s="253"/>
      <c r="U40" s="253"/>
      <c r="V40" s="253"/>
      <c r="W40" s="253"/>
      <c r="X40" s="253"/>
    </row>
    <row r="41" spans="1:24" s="10" customFormat="1" ht="30.75" customHeight="1">
      <c r="A41" s="253"/>
      <c r="B41" s="253"/>
      <c r="C41" s="253"/>
      <c r="D41" s="253"/>
      <c r="E41" s="253"/>
      <c r="F41" s="253"/>
      <c r="G41" s="253"/>
      <c r="H41" s="253"/>
      <c r="Q41" s="253"/>
      <c r="R41" s="253"/>
      <c r="S41" s="253"/>
      <c r="T41" s="253"/>
      <c r="U41" s="253"/>
      <c r="V41" s="253"/>
      <c r="W41" s="253"/>
      <c r="X41" s="253"/>
    </row>
    <row r="42" spans="1:24" s="10" customFormat="1" ht="30.75" customHeight="1">
      <c r="A42" s="253"/>
      <c r="B42" s="253"/>
      <c r="C42" s="253"/>
      <c r="D42" s="253"/>
      <c r="E42" s="253"/>
      <c r="F42" s="253"/>
      <c r="G42" s="253"/>
      <c r="H42" s="253"/>
      <c r="Q42" s="253"/>
      <c r="R42" s="253"/>
      <c r="S42" s="253"/>
      <c r="T42" s="253"/>
      <c r="U42" s="253"/>
      <c r="V42" s="253"/>
      <c r="W42" s="253"/>
      <c r="X42" s="253"/>
    </row>
    <row r="43" spans="1:24" s="10" customFormat="1" ht="30.75" customHeight="1">
      <c r="A43" s="253"/>
      <c r="B43" s="253"/>
      <c r="C43" s="253"/>
      <c r="D43" s="253"/>
      <c r="E43" s="253"/>
      <c r="F43" s="253"/>
      <c r="G43" s="253"/>
      <c r="H43" s="253"/>
      <c r="Q43" s="253"/>
      <c r="R43" s="253"/>
      <c r="S43" s="253"/>
      <c r="T43" s="253"/>
      <c r="U43" s="253"/>
      <c r="V43" s="253"/>
      <c r="W43" s="253"/>
      <c r="X43" s="253"/>
    </row>
    <row r="44" spans="1:24" s="10" customFormat="1" ht="30.75" customHeight="1">
      <c r="A44" s="253"/>
      <c r="B44" s="253"/>
      <c r="C44" s="253"/>
      <c r="D44" s="253"/>
      <c r="E44" s="253"/>
      <c r="F44" s="253"/>
      <c r="G44" s="253"/>
      <c r="H44" s="253"/>
      <c r="Q44" s="253"/>
      <c r="R44" s="253"/>
      <c r="S44" s="253"/>
      <c r="T44" s="253"/>
      <c r="U44" s="253"/>
      <c r="V44" s="253"/>
      <c r="W44" s="253"/>
      <c r="X44" s="253"/>
    </row>
    <row r="45" spans="1:24" s="10" customFormat="1" ht="30.75" customHeight="1">
      <c r="A45" s="253"/>
      <c r="B45" s="253"/>
      <c r="C45" s="253"/>
      <c r="D45" s="253"/>
      <c r="E45" s="253"/>
      <c r="F45" s="253"/>
      <c r="G45" s="253"/>
      <c r="H45" s="253"/>
      <c r="Q45" s="253"/>
      <c r="R45" s="253"/>
      <c r="S45" s="253"/>
      <c r="T45" s="253"/>
      <c r="U45" s="253"/>
      <c r="V45" s="253"/>
      <c r="W45" s="253"/>
      <c r="X45" s="253"/>
    </row>
    <row r="46" spans="1:24" s="10" customFormat="1" ht="30.75" customHeight="1">
      <c r="A46" s="253"/>
      <c r="B46" s="253"/>
      <c r="C46" s="253"/>
      <c r="D46" s="253"/>
      <c r="E46" s="253"/>
      <c r="F46" s="253"/>
      <c r="G46" s="253"/>
      <c r="H46" s="253"/>
      <c r="Q46" s="253"/>
      <c r="R46" s="253"/>
      <c r="S46" s="253"/>
      <c r="T46" s="253"/>
      <c r="U46" s="253"/>
      <c r="V46" s="253"/>
      <c r="W46" s="253"/>
      <c r="X46" s="253"/>
    </row>
    <row r="47" spans="1:24" s="10" customFormat="1" ht="30.75" customHeight="1">
      <c r="A47" s="253"/>
      <c r="B47" s="253"/>
      <c r="C47" s="253"/>
      <c r="D47" s="253"/>
      <c r="E47" s="253"/>
      <c r="F47" s="253"/>
      <c r="G47" s="253"/>
      <c r="H47" s="253"/>
      <c r="Q47" s="253"/>
      <c r="R47" s="253"/>
      <c r="S47" s="253"/>
      <c r="T47" s="253"/>
      <c r="U47" s="253"/>
      <c r="V47" s="253"/>
      <c r="W47" s="253"/>
      <c r="X47" s="253"/>
    </row>
    <row r="48" spans="1:24" s="10" customFormat="1" ht="30.75" customHeight="1">
      <c r="A48" s="253"/>
      <c r="B48" s="253"/>
      <c r="C48" s="253"/>
      <c r="D48" s="253"/>
      <c r="E48" s="253"/>
      <c r="F48" s="253"/>
      <c r="G48" s="253"/>
      <c r="H48" s="253"/>
      <c r="Q48" s="253"/>
      <c r="R48" s="253"/>
      <c r="S48" s="253"/>
      <c r="T48" s="253"/>
      <c r="U48" s="253"/>
      <c r="V48" s="253"/>
      <c r="W48" s="253"/>
      <c r="X48" s="253"/>
    </row>
    <row r="49" spans="1:24" s="10" customFormat="1" ht="30.75" customHeight="1">
      <c r="A49" s="253"/>
      <c r="B49" s="253"/>
      <c r="C49" s="253"/>
      <c r="D49" s="253"/>
      <c r="E49" s="253"/>
      <c r="F49" s="253"/>
      <c r="G49" s="253"/>
      <c r="H49" s="253"/>
      <c r="Q49" s="253"/>
      <c r="R49" s="253"/>
      <c r="S49" s="253"/>
      <c r="T49" s="253"/>
      <c r="U49" s="253"/>
      <c r="V49" s="253"/>
      <c r="W49" s="253"/>
      <c r="X49" s="253"/>
    </row>
    <row r="50" spans="1:24" s="10" customFormat="1" ht="30.75" customHeight="1">
      <c r="A50" s="253"/>
      <c r="B50" s="253"/>
      <c r="C50" s="253"/>
      <c r="D50" s="253"/>
      <c r="E50" s="253"/>
      <c r="F50" s="253"/>
      <c r="G50" s="253"/>
      <c r="H50" s="253"/>
      <c r="Q50" s="253"/>
      <c r="R50" s="253"/>
      <c r="S50" s="253"/>
      <c r="T50" s="253"/>
      <c r="U50" s="253"/>
      <c r="V50" s="253"/>
      <c r="W50" s="253"/>
      <c r="X50" s="253"/>
    </row>
    <row r="51" spans="1:24" s="10" customFormat="1" ht="30.75" customHeight="1">
      <c r="A51" s="253"/>
      <c r="B51" s="253"/>
      <c r="C51" s="253"/>
      <c r="D51" s="253"/>
      <c r="E51" s="253"/>
      <c r="F51" s="253"/>
      <c r="G51" s="253"/>
      <c r="H51" s="253"/>
      <c r="Q51" s="253"/>
      <c r="R51" s="253"/>
      <c r="S51" s="253"/>
      <c r="T51" s="253"/>
      <c r="U51" s="253"/>
      <c r="V51" s="253"/>
      <c r="W51" s="253"/>
      <c r="X51" s="253"/>
    </row>
    <row r="52" spans="1:24" s="10" customFormat="1" ht="30.75" customHeight="1">
      <c r="A52" s="253"/>
      <c r="B52" s="253"/>
      <c r="C52" s="253"/>
      <c r="D52" s="253"/>
      <c r="E52" s="253"/>
      <c r="F52" s="253"/>
      <c r="G52" s="253"/>
      <c r="H52" s="253"/>
      <c r="Q52" s="253"/>
      <c r="R52" s="253"/>
      <c r="S52" s="253"/>
      <c r="T52" s="253"/>
      <c r="U52" s="253"/>
      <c r="V52" s="253"/>
      <c r="W52" s="253"/>
      <c r="X52" s="253"/>
    </row>
    <row r="53" spans="1:24" s="10" customFormat="1" ht="30.75" customHeight="1">
      <c r="A53" s="253"/>
      <c r="B53" s="253"/>
      <c r="C53" s="253"/>
      <c r="D53" s="253"/>
      <c r="E53" s="253"/>
      <c r="F53" s="253"/>
      <c r="G53" s="253"/>
      <c r="H53" s="253"/>
      <c r="Q53" s="253"/>
      <c r="R53" s="253"/>
      <c r="S53" s="253"/>
      <c r="T53" s="253"/>
      <c r="U53" s="253"/>
      <c r="V53" s="253"/>
      <c r="W53" s="253"/>
      <c r="X53" s="253"/>
    </row>
    <row r="54" spans="1:24" s="10" customFormat="1" ht="30.75" customHeight="1">
      <c r="A54" s="253"/>
      <c r="B54" s="253"/>
      <c r="C54" s="253"/>
      <c r="D54" s="253"/>
      <c r="E54" s="253"/>
      <c r="F54" s="253"/>
      <c r="G54" s="253"/>
      <c r="H54" s="253"/>
      <c r="Q54" s="253"/>
      <c r="R54" s="253"/>
      <c r="S54" s="253"/>
      <c r="T54" s="253"/>
      <c r="U54" s="253"/>
      <c r="V54" s="253"/>
      <c r="W54" s="253"/>
      <c r="X54" s="253"/>
    </row>
    <row r="55" spans="1:24" s="10" customFormat="1" ht="30.75" customHeight="1">
      <c r="A55" s="253"/>
      <c r="B55" s="253"/>
      <c r="C55" s="253"/>
      <c r="D55" s="253"/>
      <c r="E55" s="253"/>
      <c r="F55" s="253"/>
      <c r="G55" s="253"/>
      <c r="H55" s="253"/>
      <c r="Q55" s="253"/>
      <c r="R55" s="253"/>
      <c r="S55" s="253"/>
      <c r="T55" s="253"/>
      <c r="U55" s="253"/>
      <c r="V55" s="253"/>
      <c r="W55" s="253"/>
      <c r="X55" s="253"/>
    </row>
    <row r="56" spans="1:24" s="10" customFormat="1" ht="30.75" customHeight="1">
      <c r="A56" s="2369"/>
      <c r="B56" s="2369"/>
      <c r="C56" s="2369"/>
      <c r="D56" s="2369"/>
      <c r="E56" s="2369"/>
      <c r="F56" s="2369"/>
      <c r="G56" s="2369"/>
      <c r="H56" s="2369"/>
      <c r="Q56" s="2369"/>
      <c r="R56" s="2369"/>
      <c r="S56" s="2369"/>
      <c r="T56" s="2369"/>
      <c r="U56" s="2369"/>
      <c r="V56" s="2369"/>
      <c r="W56" s="2369"/>
      <c r="X56" s="2369"/>
    </row>
    <row r="57" spans="1:24" s="10" customFormat="1" ht="30.75" customHeight="1">
      <c r="A57" s="2369"/>
      <c r="B57" s="2369"/>
      <c r="C57" s="2369"/>
      <c r="D57" s="2369"/>
      <c r="E57" s="2369"/>
      <c r="F57" s="2369"/>
      <c r="G57" s="2369"/>
      <c r="H57" s="2369"/>
      <c r="Q57" s="2369"/>
      <c r="R57" s="2369"/>
      <c r="S57" s="2369"/>
      <c r="T57" s="2369"/>
      <c r="U57" s="2369"/>
      <c r="V57" s="2369"/>
      <c r="W57" s="2369"/>
      <c r="X57" s="2369"/>
    </row>
    <row r="58" spans="1:24" s="10" customFormat="1" ht="30.75" customHeight="1">
      <c r="A58" s="2369"/>
      <c r="B58" s="2369"/>
      <c r="C58" s="2369"/>
      <c r="D58" s="2369"/>
      <c r="E58" s="2369"/>
      <c r="F58" s="2369"/>
      <c r="G58" s="2369"/>
      <c r="H58" s="2369"/>
      <c r="Q58" s="2369"/>
      <c r="R58" s="2369"/>
      <c r="S58" s="2369"/>
      <c r="T58" s="2369"/>
      <c r="U58" s="2369"/>
      <c r="V58" s="2369"/>
      <c r="W58" s="2369"/>
      <c r="X58" s="2369"/>
    </row>
    <row r="59" spans="1:24" s="10" customFormat="1" ht="30.75" customHeight="1">
      <c r="A59" s="2369"/>
      <c r="B59" s="2369"/>
      <c r="C59" s="2369"/>
      <c r="D59" s="2369"/>
      <c r="E59" s="2369"/>
      <c r="F59" s="2369"/>
      <c r="G59" s="2369"/>
      <c r="H59" s="2369"/>
      <c r="Q59" s="2369"/>
      <c r="R59" s="2369"/>
      <c r="S59" s="2369"/>
      <c r="T59" s="2369"/>
      <c r="U59" s="2369"/>
      <c r="V59" s="2369"/>
      <c r="W59" s="2369"/>
      <c r="X59" s="2369"/>
    </row>
    <row r="60" spans="1:24" s="10" customFormat="1" ht="30.75" customHeight="1">
      <c r="A60" s="2369"/>
      <c r="B60" s="2369"/>
      <c r="C60" s="2369"/>
      <c r="D60" s="2369"/>
      <c r="E60" s="2369"/>
      <c r="F60" s="2369"/>
      <c r="G60" s="2369"/>
      <c r="H60" s="2369"/>
      <c r="Q60" s="2369"/>
      <c r="R60" s="2369"/>
      <c r="S60" s="2369"/>
      <c r="T60" s="2369"/>
      <c r="U60" s="2369"/>
      <c r="V60" s="2369"/>
      <c r="W60" s="2369"/>
      <c r="X60" s="2369"/>
    </row>
    <row r="61" spans="1:24" s="10" customFormat="1" ht="30.75" customHeight="1">
      <c r="A61" s="2369"/>
      <c r="B61" s="2369"/>
      <c r="C61" s="2369"/>
      <c r="D61" s="2369"/>
      <c r="E61" s="2369"/>
      <c r="F61" s="2369"/>
      <c r="G61" s="2369"/>
      <c r="H61" s="2369"/>
      <c r="Q61" s="2369"/>
      <c r="R61" s="2369"/>
      <c r="S61" s="2369"/>
      <c r="T61" s="2369"/>
      <c r="U61" s="2369"/>
      <c r="V61" s="2369"/>
      <c r="W61" s="2369"/>
      <c r="X61" s="2369"/>
    </row>
    <row r="62" spans="1:24" s="10" customFormat="1" ht="30.75" customHeight="1">
      <c r="A62" s="2369"/>
      <c r="B62" s="2369"/>
      <c r="C62" s="2369"/>
      <c r="D62" s="2369"/>
      <c r="E62" s="2369"/>
      <c r="F62" s="2369"/>
      <c r="G62" s="2369"/>
      <c r="H62" s="2369"/>
      <c r="Q62" s="2369"/>
      <c r="R62" s="2369"/>
      <c r="S62" s="2369"/>
      <c r="T62" s="2369"/>
      <c r="U62" s="2369"/>
      <c r="V62" s="2369"/>
      <c r="W62" s="2369"/>
      <c r="X62" s="2369"/>
    </row>
    <row r="63" spans="1:24" s="10" customFormat="1" ht="30.75" customHeight="1">
      <c r="A63" s="253"/>
      <c r="B63" s="253"/>
      <c r="C63" s="253"/>
      <c r="D63" s="253"/>
      <c r="E63" s="253"/>
      <c r="F63" s="253"/>
      <c r="G63" s="253"/>
      <c r="H63" s="253"/>
      <c r="Q63" s="253"/>
      <c r="R63" s="253"/>
      <c r="S63" s="253"/>
      <c r="T63" s="253"/>
      <c r="U63" s="253"/>
      <c r="V63" s="253"/>
      <c r="W63" s="253"/>
      <c r="X63" s="253"/>
    </row>
    <row r="64" spans="1:24" s="10" customFormat="1" ht="30.75" customHeight="1">
      <c r="A64" s="253"/>
      <c r="B64" s="253"/>
      <c r="C64" s="253"/>
      <c r="D64" s="253"/>
      <c r="E64" s="253"/>
      <c r="F64" s="253"/>
      <c r="G64" s="253"/>
      <c r="H64" s="253"/>
      <c r="Q64" s="253"/>
      <c r="R64" s="253"/>
      <c r="S64" s="253"/>
      <c r="T64" s="253"/>
      <c r="U64" s="253"/>
      <c r="V64" s="253"/>
      <c r="W64" s="253"/>
      <c r="X64" s="253"/>
    </row>
    <row r="65" spans="1:24" s="10" customFormat="1" ht="30.75" customHeight="1">
      <c r="A65" s="253"/>
      <c r="B65" s="253"/>
      <c r="C65" s="253"/>
      <c r="D65" s="253"/>
      <c r="E65" s="253"/>
      <c r="F65" s="253"/>
      <c r="G65" s="253"/>
      <c r="H65" s="253"/>
      <c r="Q65" s="253"/>
      <c r="R65" s="253"/>
      <c r="S65" s="253"/>
      <c r="T65" s="253"/>
      <c r="U65" s="253"/>
      <c r="V65" s="253"/>
      <c r="W65" s="253"/>
      <c r="X65" s="253"/>
    </row>
    <row r="66" spans="1:24" s="10" customFormat="1" ht="30.75" customHeight="1">
      <c r="A66" s="3788" t="str">
        <f>A5</f>
        <v>Tab 2</v>
      </c>
      <c r="B66" s="3788"/>
      <c r="C66" s="3788"/>
      <c r="D66" s="3788"/>
      <c r="E66" s="3788"/>
      <c r="F66" s="3788"/>
      <c r="G66" s="3788"/>
      <c r="H66" s="3788"/>
      <c r="Q66" s="3788"/>
      <c r="R66" s="3788"/>
      <c r="S66" s="3788"/>
      <c r="T66" s="3788"/>
      <c r="U66" s="3788"/>
      <c r="V66" s="3788"/>
      <c r="W66" s="3788"/>
      <c r="X66" s="3788"/>
    </row>
    <row r="67" spans="1:24" s="10" customFormat="1" ht="30.75" customHeight="1">
      <c r="A67" s="3788" t="str">
        <f>C5</f>
        <v>UA2 Form - Application Tables</v>
      </c>
      <c r="B67" s="3788"/>
      <c r="C67" s="3788"/>
      <c r="D67" s="3788"/>
      <c r="E67" s="3788"/>
      <c r="F67" s="3788"/>
      <c r="G67" s="3788"/>
      <c r="H67" s="3788"/>
      <c r="Q67" s="3788"/>
      <c r="R67" s="3788"/>
      <c r="S67" s="3788"/>
      <c r="T67" s="3788"/>
      <c r="U67" s="3788"/>
      <c r="V67" s="3788"/>
      <c r="W67" s="3788"/>
      <c r="X67" s="3788"/>
    </row>
    <row r="68" spans="1:24" s="10" customFormat="1" ht="30.75" customHeight="1">
      <c r="A68" s="253"/>
      <c r="B68" s="253"/>
      <c r="C68" s="253"/>
      <c r="D68" s="253"/>
      <c r="E68" s="253"/>
      <c r="F68" s="253"/>
      <c r="G68" s="253"/>
      <c r="H68" s="253"/>
      <c r="Q68" s="253"/>
      <c r="R68" s="253"/>
      <c r="S68" s="253"/>
      <c r="T68" s="253"/>
      <c r="U68" s="253"/>
      <c r="V68" s="253"/>
      <c r="W68" s="253"/>
      <c r="X68" s="253"/>
    </row>
    <row r="69" spans="1:24" s="10" customFormat="1" ht="30.75" customHeight="1">
      <c r="A69" s="253"/>
      <c r="B69" s="253"/>
      <c r="C69" s="253"/>
      <c r="D69" s="253"/>
      <c r="E69" s="253"/>
      <c r="F69" s="253"/>
      <c r="G69" s="253"/>
      <c r="H69" s="253"/>
      <c r="Q69" s="253"/>
      <c r="R69" s="253"/>
      <c r="S69" s="253"/>
      <c r="T69" s="253"/>
      <c r="U69" s="253"/>
      <c r="V69" s="253"/>
      <c r="W69" s="253"/>
      <c r="X69" s="253"/>
    </row>
    <row r="70" spans="1:24" s="10" customFormat="1" ht="30.75" customHeight="1">
      <c r="A70" s="253"/>
      <c r="B70" s="253"/>
      <c r="C70" s="253"/>
      <c r="D70" s="253"/>
      <c r="E70" s="253"/>
      <c r="F70" s="253"/>
      <c r="G70" s="253"/>
      <c r="H70" s="253"/>
      <c r="Q70" s="253"/>
      <c r="R70" s="253"/>
      <c r="S70" s="253"/>
      <c r="T70" s="253"/>
      <c r="U70" s="253"/>
      <c r="V70" s="253"/>
      <c r="W70" s="253"/>
      <c r="X70" s="253"/>
    </row>
    <row r="71" spans="1:24" s="10" customFormat="1" ht="30.75" customHeight="1">
      <c r="A71" s="253"/>
      <c r="B71" s="253"/>
      <c r="C71" s="253"/>
      <c r="D71" s="253"/>
      <c r="E71" s="253"/>
      <c r="F71" s="253"/>
      <c r="G71" s="253"/>
      <c r="H71" s="253"/>
      <c r="Q71" s="253"/>
      <c r="R71" s="253"/>
      <c r="S71" s="253"/>
      <c r="T71" s="253"/>
      <c r="U71" s="253"/>
      <c r="V71" s="253"/>
      <c r="W71" s="253"/>
      <c r="X71" s="253"/>
    </row>
    <row r="72" spans="1:24" s="10" customFormat="1" ht="30.75" customHeight="1">
      <c r="A72" s="253"/>
      <c r="B72" s="253"/>
      <c r="C72" s="253"/>
      <c r="D72" s="253"/>
      <c r="E72" s="253"/>
      <c r="F72" s="253"/>
      <c r="G72" s="253"/>
      <c r="H72" s="253"/>
      <c r="Q72" s="253"/>
      <c r="R72" s="253"/>
      <c r="S72" s="253"/>
      <c r="T72" s="253"/>
      <c r="U72" s="253"/>
      <c r="V72" s="253"/>
      <c r="W72" s="253"/>
      <c r="X72" s="253"/>
    </row>
    <row r="73" spans="1:24" s="10" customFormat="1" ht="30.75" customHeight="1">
      <c r="A73" s="253"/>
      <c r="B73" s="253"/>
      <c r="C73" s="253"/>
      <c r="D73" s="253"/>
      <c r="E73" s="253"/>
      <c r="F73" s="253"/>
      <c r="G73" s="253"/>
      <c r="H73" s="253"/>
      <c r="Q73" s="253"/>
      <c r="R73" s="253"/>
      <c r="S73" s="253"/>
      <c r="T73" s="253"/>
      <c r="U73" s="253"/>
      <c r="V73" s="253"/>
      <c r="W73" s="253"/>
      <c r="X73" s="253"/>
    </row>
    <row r="74" spans="1:24" s="10" customFormat="1" ht="30.75" customHeight="1">
      <c r="A74" s="253"/>
      <c r="B74" s="253"/>
      <c r="C74" s="253"/>
      <c r="D74" s="253"/>
      <c r="E74" s="253"/>
      <c r="F74" s="253"/>
      <c r="G74" s="253"/>
      <c r="H74" s="253"/>
      <c r="Q74" s="253"/>
      <c r="R74" s="253"/>
      <c r="S74" s="253"/>
      <c r="T74" s="253"/>
      <c r="U74" s="253"/>
      <c r="V74" s="253"/>
      <c r="W74" s="253"/>
      <c r="X74" s="253"/>
    </row>
    <row r="75" spans="1:24" s="10" customFormat="1" ht="30.75" customHeight="1">
      <c r="A75" s="253"/>
      <c r="B75" s="253"/>
      <c r="C75" s="253"/>
      <c r="D75" s="253"/>
      <c r="E75" s="253"/>
      <c r="F75" s="253"/>
      <c r="G75" s="253"/>
      <c r="H75" s="253"/>
      <c r="Q75" s="253"/>
      <c r="R75" s="253"/>
      <c r="S75" s="253"/>
      <c r="T75" s="253"/>
      <c r="U75" s="253"/>
      <c r="V75" s="253"/>
      <c r="W75" s="253"/>
      <c r="X75" s="253"/>
    </row>
    <row r="76" spans="1:24" s="10" customFormat="1" ht="30.75" customHeight="1">
      <c r="A76" s="253"/>
      <c r="B76" s="253"/>
      <c r="C76" s="253"/>
      <c r="D76" s="253"/>
      <c r="E76" s="253"/>
      <c r="F76" s="253"/>
      <c r="G76" s="253"/>
      <c r="H76" s="253"/>
      <c r="Q76" s="253"/>
      <c r="R76" s="253"/>
      <c r="S76" s="253"/>
      <c r="T76" s="253"/>
      <c r="U76" s="253"/>
      <c r="V76" s="253"/>
      <c r="W76" s="253"/>
      <c r="X76" s="253"/>
    </row>
    <row r="77" spans="1:24" s="10" customFormat="1" ht="30.75" customHeight="1">
      <c r="A77" s="253"/>
      <c r="B77" s="253"/>
      <c r="C77" s="253"/>
      <c r="D77" s="253"/>
      <c r="E77" s="253"/>
      <c r="F77" s="253"/>
      <c r="G77" s="253"/>
      <c r="H77" s="253"/>
      <c r="Q77" s="253"/>
      <c r="R77" s="253"/>
      <c r="S77" s="253"/>
      <c r="T77" s="253"/>
      <c r="U77" s="253"/>
      <c r="V77" s="253"/>
      <c r="W77" s="253"/>
      <c r="X77" s="253"/>
    </row>
    <row r="78" spans="1:24" s="10" customFormat="1" ht="30.75" customHeight="1">
      <c r="A78" s="253"/>
      <c r="B78" s="253"/>
      <c r="C78" s="253"/>
      <c r="D78" s="253"/>
      <c r="E78" s="253"/>
      <c r="F78" s="253"/>
      <c r="G78" s="253"/>
      <c r="H78" s="253"/>
      <c r="Q78" s="253"/>
      <c r="R78" s="253"/>
      <c r="S78" s="253"/>
      <c r="T78" s="253"/>
      <c r="U78" s="253"/>
      <c r="V78" s="253"/>
      <c r="W78" s="253"/>
      <c r="X78" s="253"/>
    </row>
    <row r="79" spans="1:24" s="10" customFormat="1" ht="30.75" customHeight="1">
      <c r="A79" s="253"/>
      <c r="B79" s="253"/>
      <c r="C79" s="253"/>
      <c r="D79" s="253"/>
      <c r="E79" s="253"/>
      <c r="F79" s="253"/>
      <c r="G79" s="253"/>
      <c r="H79" s="253"/>
      <c r="Q79" s="253"/>
      <c r="R79" s="253"/>
      <c r="S79" s="253"/>
      <c r="T79" s="253"/>
      <c r="U79" s="253"/>
      <c r="V79" s="253"/>
      <c r="W79" s="253"/>
      <c r="X79" s="253"/>
    </row>
    <row r="80" spans="1:24" s="10" customFormat="1" ht="30.75" customHeight="1">
      <c r="A80" s="2369"/>
      <c r="B80" s="2369"/>
      <c r="C80" s="2369"/>
      <c r="D80" s="2369"/>
      <c r="E80" s="2369"/>
      <c r="F80" s="2369"/>
      <c r="G80" s="2369"/>
      <c r="H80" s="2369"/>
      <c r="Q80" s="2369"/>
      <c r="R80" s="2369"/>
      <c r="S80" s="2369"/>
      <c r="T80" s="2369"/>
      <c r="U80" s="2369"/>
      <c r="V80" s="2369"/>
      <c r="W80" s="2369"/>
      <c r="X80" s="2369"/>
    </row>
    <row r="81" spans="1:24" s="10" customFormat="1" ht="30.75" customHeight="1">
      <c r="A81" s="2369"/>
      <c r="B81" s="2369"/>
      <c r="C81" s="2369"/>
      <c r="D81" s="2369"/>
      <c r="E81" s="2369"/>
      <c r="F81" s="2369"/>
      <c r="G81" s="2369"/>
      <c r="H81" s="2369"/>
      <c r="Q81" s="2369"/>
      <c r="R81" s="2369"/>
      <c r="S81" s="2369"/>
      <c r="T81" s="2369"/>
      <c r="U81" s="2369"/>
      <c r="V81" s="2369"/>
      <c r="W81" s="2369"/>
      <c r="X81" s="2369"/>
    </row>
    <row r="82" spans="1:24" s="10" customFormat="1" ht="30.75" customHeight="1">
      <c r="A82" s="2369"/>
      <c r="B82" s="2369"/>
      <c r="C82" s="2369"/>
      <c r="D82" s="2369"/>
      <c r="E82" s="2369"/>
      <c r="F82" s="2369"/>
      <c r="G82" s="2369"/>
      <c r="H82" s="2369"/>
      <c r="Q82" s="2369"/>
      <c r="R82" s="2369"/>
      <c r="S82" s="2369"/>
      <c r="T82" s="2369"/>
      <c r="U82" s="2369"/>
      <c r="V82" s="2369"/>
      <c r="W82" s="2369"/>
      <c r="X82" s="2369"/>
    </row>
    <row r="83" spans="1:24" s="10" customFormat="1" ht="30.75" customHeight="1">
      <c r="A83" s="2369"/>
      <c r="B83" s="2369"/>
      <c r="C83" s="2369"/>
      <c r="D83" s="2369"/>
      <c r="E83" s="2369"/>
      <c r="F83" s="2369"/>
      <c r="G83" s="2369"/>
      <c r="H83" s="2369"/>
      <c r="Q83" s="2369"/>
      <c r="R83" s="2369"/>
      <c r="S83" s="2369"/>
      <c r="T83" s="2369"/>
      <c r="U83" s="2369"/>
      <c r="V83" s="2369"/>
      <c r="W83" s="2369"/>
      <c r="X83" s="2369"/>
    </row>
    <row r="84" spans="1:24" s="10" customFormat="1" ht="30.75" customHeight="1">
      <c r="A84" s="253"/>
      <c r="B84" s="253"/>
      <c r="C84" s="253"/>
      <c r="D84" s="253"/>
      <c r="E84" s="253"/>
      <c r="F84" s="253"/>
      <c r="G84" s="253"/>
      <c r="H84" s="253"/>
      <c r="Q84" s="253"/>
      <c r="R84" s="253"/>
      <c r="S84" s="253"/>
      <c r="T84" s="253"/>
      <c r="U84" s="253"/>
      <c r="V84" s="253"/>
      <c r="W84" s="253"/>
      <c r="X84" s="253"/>
    </row>
    <row r="85" spans="1:24" s="10" customFormat="1" ht="30.75" customHeight="1">
      <c r="A85" s="253"/>
      <c r="B85" s="253"/>
      <c r="C85" s="253"/>
      <c r="D85" s="253"/>
      <c r="E85" s="253"/>
      <c r="F85" s="253"/>
      <c r="G85" s="253"/>
      <c r="H85" s="253"/>
      <c r="Q85" s="253"/>
      <c r="R85" s="253"/>
      <c r="S85" s="253"/>
      <c r="T85" s="253"/>
      <c r="U85" s="253"/>
      <c r="V85" s="253"/>
      <c r="W85" s="253"/>
      <c r="X85" s="253"/>
    </row>
    <row r="86" spans="1:24" s="10" customFormat="1" ht="30.75" customHeight="1">
      <c r="A86" s="253"/>
      <c r="B86" s="253"/>
      <c r="C86" s="253"/>
      <c r="D86" s="253"/>
      <c r="E86" s="253"/>
      <c r="F86" s="253"/>
      <c r="G86" s="253"/>
      <c r="H86" s="253"/>
      <c r="Q86" s="253"/>
      <c r="R86" s="253"/>
      <c r="S86" s="253"/>
      <c r="T86" s="253"/>
      <c r="U86" s="253"/>
      <c r="V86" s="253"/>
      <c r="W86" s="253"/>
      <c r="X86" s="253"/>
    </row>
    <row r="87" spans="1:24" s="10" customFormat="1" ht="30.75" customHeight="1">
      <c r="A87" s="253"/>
      <c r="B87" s="253"/>
      <c r="C87" s="253"/>
      <c r="D87" s="253"/>
      <c r="E87" s="253"/>
      <c r="F87" s="253"/>
      <c r="G87" s="253"/>
      <c r="H87" s="253"/>
      <c r="Q87" s="253"/>
      <c r="R87" s="253"/>
      <c r="S87" s="253"/>
      <c r="T87" s="253"/>
      <c r="U87" s="253"/>
      <c r="V87" s="253"/>
      <c r="W87" s="253"/>
      <c r="X87" s="253"/>
    </row>
    <row r="88" spans="1:24" s="10" customFormat="1" ht="30.75" customHeight="1">
      <c r="A88" s="253"/>
      <c r="B88" s="253"/>
      <c r="C88" s="253"/>
      <c r="D88" s="253"/>
      <c r="E88" s="253"/>
      <c r="F88" s="253"/>
      <c r="G88" s="253"/>
      <c r="H88" s="253"/>
      <c r="Q88" s="253"/>
      <c r="R88" s="253"/>
      <c r="S88" s="253"/>
      <c r="T88" s="253"/>
      <c r="U88" s="253"/>
      <c r="V88" s="253"/>
      <c r="W88" s="253"/>
      <c r="X88" s="253"/>
    </row>
    <row r="89" spans="1:24" s="10" customFormat="1" ht="30.75" customHeight="1">
      <c r="A89" s="253"/>
      <c r="B89" s="253"/>
      <c r="C89" s="253"/>
      <c r="D89" s="253"/>
      <c r="E89" s="253"/>
      <c r="F89" s="253"/>
      <c r="G89" s="253"/>
      <c r="H89" s="253"/>
      <c r="Q89" s="253"/>
      <c r="R89" s="253"/>
      <c r="S89" s="253"/>
      <c r="T89" s="253"/>
      <c r="U89" s="253"/>
      <c r="V89" s="253"/>
      <c r="W89" s="253"/>
      <c r="X89" s="253"/>
    </row>
    <row r="90" spans="1:24" s="10" customFormat="1" ht="30.75" customHeight="1">
      <c r="A90" s="253"/>
      <c r="B90" s="253"/>
      <c r="C90" s="253"/>
      <c r="D90" s="253"/>
      <c r="E90" s="253"/>
      <c r="F90" s="253"/>
      <c r="G90" s="253"/>
      <c r="H90" s="253"/>
      <c r="Q90" s="253"/>
      <c r="R90" s="253"/>
      <c r="S90" s="253"/>
      <c r="T90" s="253"/>
      <c r="U90" s="253"/>
      <c r="V90" s="253"/>
      <c r="W90" s="253"/>
      <c r="X90" s="253"/>
    </row>
    <row r="91" spans="1:24" s="10" customFormat="1" ht="30.75" customHeight="1">
      <c r="A91" s="2369"/>
      <c r="B91" s="2369"/>
      <c r="C91" s="2369"/>
      <c r="D91" s="2369"/>
      <c r="E91" s="2369"/>
      <c r="F91" s="2369"/>
      <c r="G91" s="2369"/>
      <c r="H91" s="2369"/>
      <c r="Q91" s="2369"/>
      <c r="R91" s="2369"/>
      <c r="S91" s="2369"/>
      <c r="T91" s="2369"/>
      <c r="U91" s="2369"/>
      <c r="V91" s="2369"/>
      <c r="W91" s="2369"/>
      <c r="X91" s="2369"/>
    </row>
    <row r="92" spans="1:24" s="10" customFormat="1" ht="30.75" customHeight="1">
      <c r="A92" s="2369"/>
      <c r="B92" s="2369"/>
      <c r="C92" s="2369"/>
      <c r="D92" s="2369"/>
      <c r="E92" s="2369"/>
      <c r="F92" s="2369"/>
      <c r="G92" s="2369"/>
      <c r="H92" s="2369"/>
      <c r="Q92" s="2369"/>
      <c r="R92" s="2369"/>
      <c r="S92" s="2369"/>
      <c r="T92" s="2369"/>
      <c r="U92" s="2369"/>
      <c r="V92" s="2369"/>
      <c r="W92" s="2369"/>
      <c r="X92" s="2369"/>
    </row>
    <row r="93" spans="1:24" s="10" customFormat="1" ht="30.75" customHeight="1">
      <c r="A93" s="253"/>
      <c r="B93" s="253"/>
      <c r="C93" s="253"/>
      <c r="D93" s="253"/>
      <c r="E93" s="253"/>
      <c r="F93" s="253"/>
      <c r="G93" s="253"/>
      <c r="H93" s="253"/>
      <c r="Q93" s="253"/>
      <c r="R93" s="253"/>
      <c r="S93" s="253"/>
      <c r="T93" s="253"/>
      <c r="U93" s="253"/>
      <c r="V93" s="253"/>
      <c r="W93" s="253"/>
      <c r="X93" s="253"/>
    </row>
    <row r="94" spans="1:24" s="10" customFormat="1" ht="30.75" customHeight="1">
      <c r="A94" s="253"/>
      <c r="B94" s="253"/>
      <c r="C94" s="253"/>
      <c r="D94" s="253"/>
      <c r="E94" s="253"/>
      <c r="F94" s="253"/>
      <c r="G94" s="253"/>
      <c r="H94" s="253"/>
      <c r="Q94" s="253"/>
      <c r="R94" s="253"/>
      <c r="S94" s="253"/>
      <c r="T94" s="253"/>
      <c r="U94" s="253"/>
      <c r="V94" s="253"/>
      <c r="W94" s="253"/>
      <c r="X94" s="253"/>
    </row>
    <row r="95" spans="1:24" s="10" customFormat="1" ht="30.75" customHeight="1">
      <c r="A95" s="3788" t="str">
        <f>A6</f>
        <v>Tab 3</v>
      </c>
      <c r="B95" s="3788"/>
      <c r="C95" s="3788"/>
      <c r="D95" s="3788"/>
      <c r="E95" s="3788"/>
      <c r="F95" s="3788"/>
      <c r="G95" s="3788"/>
      <c r="H95" s="3788"/>
      <c r="Q95" s="3788"/>
      <c r="R95" s="3788"/>
      <c r="S95" s="3788"/>
      <c r="T95" s="3788"/>
      <c r="U95" s="3788"/>
      <c r="V95" s="3788"/>
      <c r="W95" s="3788"/>
      <c r="X95" s="3788"/>
    </row>
    <row r="96" spans="1:24" s="10" customFormat="1" ht="30.75" customHeight="1">
      <c r="A96" s="3788" t="str">
        <f>C6</f>
        <v>Section 3 - Application Summary</v>
      </c>
      <c r="B96" s="3788"/>
      <c r="C96" s="3788"/>
      <c r="D96" s="3788"/>
      <c r="E96" s="3788"/>
      <c r="F96" s="3788"/>
      <c r="G96" s="3788"/>
      <c r="H96" s="3788"/>
      <c r="Q96" s="3788"/>
      <c r="R96" s="3788"/>
      <c r="S96" s="3788"/>
      <c r="T96" s="3788"/>
      <c r="U96" s="3788"/>
      <c r="V96" s="3788"/>
      <c r="W96" s="3788"/>
      <c r="X96" s="3788"/>
    </row>
    <row r="97" spans="1:24" s="10" customFormat="1" ht="30.75" customHeight="1">
      <c r="A97" s="253"/>
      <c r="B97" s="253"/>
      <c r="C97" s="253"/>
      <c r="D97" s="253"/>
      <c r="E97" s="253"/>
      <c r="F97" s="253"/>
      <c r="G97" s="253"/>
      <c r="H97" s="253"/>
      <c r="Q97" s="253"/>
      <c r="R97" s="253"/>
      <c r="S97" s="253"/>
      <c r="T97" s="253"/>
      <c r="U97" s="253"/>
      <c r="V97" s="253"/>
      <c r="W97" s="253"/>
      <c r="X97" s="253"/>
    </row>
    <row r="98" spans="1:24" s="10" customFormat="1" ht="30.75" customHeight="1">
      <c r="A98" s="253"/>
      <c r="B98" s="253"/>
      <c r="C98" s="253"/>
      <c r="D98" s="253"/>
      <c r="E98" s="253"/>
      <c r="F98" s="253"/>
      <c r="G98" s="253"/>
      <c r="H98" s="253"/>
      <c r="Q98" s="253"/>
      <c r="R98" s="253"/>
      <c r="S98" s="253"/>
      <c r="T98" s="253"/>
      <c r="U98" s="253"/>
      <c r="V98" s="253"/>
      <c r="W98" s="253"/>
      <c r="X98" s="253"/>
    </row>
    <row r="99" spans="1:24" s="10" customFormat="1" ht="30.75" customHeight="1">
      <c r="A99" s="253"/>
      <c r="B99" s="253"/>
      <c r="C99" s="253"/>
      <c r="D99" s="253"/>
      <c r="E99" s="253"/>
      <c r="F99" s="253"/>
      <c r="G99" s="253"/>
      <c r="H99" s="253"/>
      <c r="Q99" s="253"/>
      <c r="R99" s="253"/>
      <c r="S99" s="253"/>
      <c r="T99" s="253"/>
      <c r="U99" s="253"/>
      <c r="V99" s="253"/>
      <c r="W99" s="253"/>
      <c r="X99" s="253"/>
    </row>
    <row r="100" spans="1:24" s="10" customFormat="1" ht="30.75" customHeight="1">
      <c r="A100" s="253"/>
      <c r="B100" s="253"/>
      <c r="C100" s="253"/>
      <c r="D100" s="253"/>
      <c r="E100" s="253"/>
      <c r="F100" s="253"/>
      <c r="G100" s="253"/>
      <c r="H100" s="253"/>
      <c r="Q100" s="253"/>
      <c r="R100" s="253"/>
      <c r="S100" s="253"/>
      <c r="T100" s="253"/>
      <c r="U100" s="253"/>
      <c r="V100" s="253"/>
      <c r="W100" s="253"/>
      <c r="X100" s="253"/>
    </row>
    <row r="101" spans="1:24" s="10" customFormat="1" ht="30.75" customHeight="1">
      <c r="A101" s="253"/>
      <c r="B101" s="253"/>
      <c r="C101" s="253"/>
      <c r="D101" s="253"/>
      <c r="E101" s="253"/>
      <c r="F101" s="253"/>
      <c r="G101" s="253"/>
      <c r="H101" s="253"/>
      <c r="Q101" s="253"/>
      <c r="R101" s="253"/>
      <c r="S101" s="253"/>
      <c r="T101" s="253"/>
      <c r="U101" s="253"/>
      <c r="V101" s="253"/>
      <c r="W101" s="253"/>
      <c r="X101" s="253"/>
    </row>
    <row r="102" spans="1:24" s="10" customFormat="1" ht="30.75" customHeight="1">
      <c r="A102" s="253"/>
      <c r="B102" s="253"/>
      <c r="C102" s="253"/>
      <c r="D102" s="253"/>
      <c r="E102" s="253"/>
      <c r="F102" s="253"/>
      <c r="G102" s="253"/>
      <c r="H102" s="253"/>
      <c r="Q102" s="253"/>
      <c r="R102" s="253"/>
      <c r="S102" s="253"/>
      <c r="T102" s="253"/>
      <c r="U102" s="253"/>
      <c r="V102" s="253"/>
      <c r="W102" s="253"/>
      <c r="X102" s="253"/>
    </row>
    <row r="103" spans="1:24" s="10" customFormat="1" ht="30.75" customHeight="1">
      <c r="A103" s="253"/>
      <c r="B103" s="253"/>
      <c r="C103" s="253"/>
      <c r="D103" s="253"/>
      <c r="E103" s="253"/>
      <c r="F103" s="253"/>
      <c r="G103" s="253"/>
      <c r="H103" s="253"/>
      <c r="Q103" s="253"/>
      <c r="R103" s="253"/>
      <c r="S103" s="253"/>
      <c r="T103" s="253"/>
      <c r="U103" s="253"/>
      <c r="V103" s="253"/>
      <c r="W103" s="253"/>
      <c r="X103" s="253"/>
    </row>
    <row r="104" spans="1:24" s="10" customFormat="1" ht="30.75" customHeight="1">
      <c r="A104" s="253"/>
      <c r="B104" s="253"/>
      <c r="C104" s="253"/>
      <c r="D104" s="253"/>
      <c r="E104" s="253"/>
      <c r="F104" s="253"/>
      <c r="G104" s="253"/>
      <c r="H104" s="253"/>
      <c r="Q104" s="253"/>
      <c r="R104" s="253"/>
      <c r="S104" s="253"/>
      <c r="T104" s="253"/>
      <c r="U104" s="253"/>
      <c r="V104" s="253"/>
      <c r="W104" s="253"/>
      <c r="X104" s="253"/>
    </row>
    <row r="105" spans="1:24" s="10" customFormat="1" ht="30.75" customHeight="1">
      <c r="A105" s="253"/>
      <c r="B105" s="253"/>
      <c r="C105" s="253"/>
      <c r="D105" s="253"/>
      <c r="E105" s="253"/>
      <c r="F105" s="253"/>
      <c r="G105" s="253"/>
      <c r="H105" s="253"/>
      <c r="Q105" s="253"/>
      <c r="R105" s="253"/>
      <c r="S105" s="253"/>
      <c r="T105" s="253"/>
      <c r="U105" s="253"/>
      <c r="V105" s="253"/>
      <c r="W105" s="253"/>
      <c r="X105" s="253"/>
    </row>
    <row r="106" spans="1:24" s="10" customFormat="1" ht="30.75" customHeight="1">
      <c r="A106" s="253"/>
      <c r="B106" s="253"/>
      <c r="C106" s="253"/>
      <c r="D106" s="253"/>
      <c r="E106" s="253"/>
      <c r="F106" s="253"/>
      <c r="G106" s="253"/>
      <c r="H106" s="253"/>
      <c r="Q106" s="253"/>
      <c r="R106" s="253"/>
      <c r="S106" s="253"/>
      <c r="T106" s="253"/>
      <c r="U106" s="253"/>
      <c r="V106" s="253"/>
      <c r="W106" s="253"/>
      <c r="X106" s="253"/>
    </row>
    <row r="107" spans="1:24" s="10" customFormat="1" ht="30.75" customHeight="1">
      <c r="A107" s="253"/>
      <c r="B107" s="253"/>
      <c r="C107" s="253"/>
      <c r="D107" s="253"/>
      <c r="E107" s="253"/>
      <c r="F107" s="253"/>
      <c r="G107" s="253"/>
      <c r="H107" s="253"/>
      <c r="Q107" s="253"/>
      <c r="R107" s="253"/>
      <c r="S107" s="253"/>
      <c r="T107" s="253"/>
      <c r="U107" s="253"/>
      <c r="V107" s="253"/>
      <c r="W107" s="253"/>
      <c r="X107" s="253"/>
    </row>
    <row r="108" spans="1:24" s="10" customFormat="1" ht="30.75" customHeight="1">
      <c r="A108" s="253"/>
      <c r="B108" s="253"/>
      <c r="C108" s="253"/>
      <c r="D108" s="253"/>
      <c r="E108" s="253"/>
      <c r="F108" s="253"/>
      <c r="G108" s="253"/>
      <c r="H108" s="253"/>
      <c r="Q108" s="253"/>
      <c r="R108" s="253"/>
      <c r="S108" s="253"/>
      <c r="T108" s="253"/>
      <c r="U108" s="253"/>
      <c r="V108" s="253"/>
      <c r="W108" s="253"/>
      <c r="X108" s="253"/>
    </row>
    <row r="109" spans="1:24" s="10" customFormat="1" ht="30.75" customHeight="1">
      <c r="A109" s="2369"/>
      <c r="B109" s="2369"/>
      <c r="C109" s="2369"/>
      <c r="D109" s="2369"/>
      <c r="E109" s="2369"/>
      <c r="F109" s="2369"/>
      <c r="G109" s="2369"/>
      <c r="H109" s="2369"/>
      <c r="Q109" s="2369"/>
      <c r="R109" s="2369"/>
      <c r="S109" s="2369"/>
      <c r="T109" s="2369"/>
      <c r="U109" s="2369"/>
      <c r="V109" s="2369"/>
      <c r="W109" s="2369"/>
      <c r="X109" s="2369"/>
    </row>
    <row r="110" spans="1:24" s="10" customFormat="1" ht="30.75" customHeight="1">
      <c r="A110" s="2369"/>
      <c r="B110" s="2369"/>
      <c r="C110" s="2369"/>
      <c r="D110" s="2369"/>
      <c r="E110" s="2369"/>
      <c r="F110" s="2369"/>
      <c r="G110" s="2369"/>
      <c r="H110" s="2369"/>
      <c r="Q110" s="2369"/>
      <c r="R110" s="2369"/>
      <c r="S110" s="2369"/>
      <c r="T110" s="2369"/>
      <c r="U110" s="2369"/>
      <c r="V110" s="2369"/>
      <c r="W110" s="2369"/>
      <c r="X110" s="2369"/>
    </row>
    <row r="111" spans="1:24" s="10" customFormat="1" ht="30.75" customHeight="1">
      <c r="A111" s="2369"/>
      <c r="B111" s="2369"/>
      <c r="C111" s="2369"/>
      <c r="D111" s="2369"/>
      <c r="E111" s="2369"/>
      <c r="F111" s="2369"/>
      <c r="G111" s="2369"/>
      <c r="H111" s="2369"/>
      <c r="Q111" s="2369"/>
      <c r="R111" s="2369"/>
      <c r="S111" s="2369"/>
      <c r="T111" s="2369"/>
      <c r="U111" s="2369"/>
      <c r="V111" s="2369"/>
      <c r="W111" s="2369"/>
      <c r="X111" s="2369"/>
    </row>
    <row r="112" spans="1:24" s="10" customFormat="1" ht="30.75" customHeight="1">
      <c r="A112" s="2369"/>
      <c r="B112" s="2369"/>
      <c r="C112" s="2369"/>
      <c r="D112" s="2369"/>
      <c r="E112" s="2369"/>
      <c r="F112" s="2369"/>
      <c r="G112" s="2369"/>
      <c r="H112" s="2369"/>
      <c r="Q112" s="2369"/>
      <c r="R112" s="2369"/>
      <c r="S112" s="2369"/>
      <c r="T112" s="2369"/>
      <c r="U112" s="2369"/>
      <c r="V112" s="2369"/>
      <c r="W112" s="2369"/>
      <c r="X112" s="2369"/>
    </row>
    <row r="113" spans="1:24" s="10" customFormat="1" ht="30.75" customHeight="1">
      <c r="A113" s="2369"/>
      <c r="B113" s="2369"/>
      <c r="C113" s="2369"/>
      <c r="D113" s="2369"/>
      <c r="E113" s="2369"/>
      <c r="F113" s="2369"/>
      <c r="G113" s="2369"/>
      <c r="H113" s="2369"/>
      <c r="Q113" s="2369"/>
      <c r="R113" s="2369"/>
      <c r="S113" s="2369"/>
      <c r="T113" s="2369"/>
      <c r="U113" s="2369"/>
      <c r="V113" s="2369"/>
      <c r="W113" s="2369"/>
      <c r="X113" s="2369"/>
    </row>
    <row r="114" spans="1:24" s="10" customFormat="1" ht="30.75" customHeight="1">
      <c r="A114" s="253"/>
      <c r="B114" s="253"/>
      <c r="C114" s="253"/>
      <c r="D114" s="253"/>
      <c r="E114" s="253"/>
      <c r="F114" s="253"/>
      <c r="G114" s="253"/>
      <c r="H114" s="253"/>
      <c r="Q114" s="253"/>
      <c r="R114" s="253"/>
      <c r="S114" s="253"/>
      <c r="T114" s="253"/>
      <c r="U114" s="253"/>
      <c r="V114" s="253"/>
      <c r="W114" s="253"/>
      <c r="X114" s="253"/>
    </row>
    <row r="115" spans="1:24" s="10" customFormat="1" ht="30.75" customHeight="1">
      <c r="A115" s="253"/>
      <c r="B115" s="253"/>
      <c r="C115" s="253"/>
      <c r="D115" s="253"/>
      <c r="E115" s="253"/>
      <c r="F115" s="253"/>
      <c r="G115" s="253"/>
      <c r="H115" s="253"/>
      <c r="Q115" s="253"/>
      <c r="R115" s="253"/>
      <c r="S115" s="253"/>
      <c r="T115" s="253"/>
      <c r="U115" s="253"/>
      <c r="V115" s="253"/>
      <c r="W115" s="253"/>
      <c r="X115" s="253"/>
    </row>
    <row r="116" spans="1:24" s="10" customFormat="1" ht="30.75" customHeight="1">
      <c r="A116" s="253"/>
      <c r="B116" s="253"/>
      <c r="C116" s="253"/>
      <c r="D116" s="253"/>
      <c r="E116" s="253"/>
      <c r="F116" s="253"/>
      <c r="G116" s="253"/>
      <c r="H116" s="253"/>
      <c r="Q116" s="253"/>
      <c r="R116" s="253"/>
      <c r="S116" s="253"/>
      <c r="T116" s="253"/>
      <c r="U116" s="253"/>
      <c r="V116" s="253"/>
      <c r="W116" s="253"/>
      <c r="X116" s="253"/>
    </row>
    <row r="117" spans="1:24" s="10" customFormat="1" ht="30.75" customHeight="1">
      <c r="A117" s="253"/>
      <c r="B117" s="253"/>
      <c r="C117" s="253"/>
      <c r="D117" s="253"/>
      <c r="E117" s="253"/>
      <c r="F117" s="253"/>
      <c r="G117" s="253"/>
      <c r="H117" s="253"/>
      <c r="Q117" s="253"/>
      <c r="R117" s="253"/>
      <c r="S117" s="253"/>
      <c r="T117" s="253"/>
      <c r="U117" s="253"/>
      <c r="V117" s="253"/>
      <c r="W117" s="253"/>
      <c r="X117" s="253"/>
    </row>
    <row r="118" spans="1:24" s="10" customFormat="1" ht="30.75" customHeight="1">
      <c r="A118" s="2369"/>
      <c r="B118" s="2369"/>
      <c r="C118" s="2369"/>
      <c r="D118" s="2369"/>
      <c r="E118" s="2369"/>
      <c r="F118" s="2369"/>
      <c r="G118" s="2369"/>
      <c r="H118" s="2369"/>
      <c r="Q118" s="2369"/>
      <c r="R118" s="2369"/>
      <c r="S118" s="2369"/>
      <c r="T118" s="2369"/>
      <c r="U118" s="2369"/>
      <c r="V118" s="2369"/>
      <c r="W118" s="2369"/>
      <c r="X118" s="2369"/>
    </row>
    <row r="119" spans="1:24" s="10" customFormat="1" ht="30.75" customHeight="1">
      <c r="A119" s="2369"/>
      <c r="B119" s="2369"/>
      <c r="C119" s="2369"/>
      <c r="D119" s="2369"/>
      <c r="E119" s="2369"/>
      <c r="F119" s="2369"/>
      <c r="G119" s="2369"/>
      <c r="H119" s="2369"/>
      <c r="Q119" s="2369"/>
      <c r="R119" s="2369"/>
      <c r="S119" s="2369"/>
      <c r="T119" s="2369"/>
      <c r="U119" s="2369"/>
      <c r="V119" s="2369"/>
      <c r="W119" s="2369"/>
      <c r="X119" s="2369"/>
    </row>
    <row r="120" spans="1:24" s="10" customFormat="1" ht="30.75" customHeight="1">
      <c r="A120" s="2369"/>
      <c r="B120" s="2369"/>
      <c r="C120" s="2369"/>
      <c r="D120" s="2369"/>
      <c r="E120" s="2369"/>
      <c r="F120" s="2369"/>
      <c r="G120" s="2369"/>
      <c r="H120" s="2369"/>
      <c r="Q120" s="2369"/>
      <c r="R120" s="2369"/>
      <c r="S120" s="2369"/>
      <c r="T120" s="2369"/>
      <c r="U120" s="2369"/>
      <c r="V120" s="2369"/>
      <c r="W120" s="2369"/>
      <c r="X120" s="2369"/>
    </row>
    <row r="121" spans="1:24" s="10" customFormat="1" ht="30.75" customHeight="1">
      <c r="A121" s="253"/>
      <c r="B121" s="253"/>
      <c r="C121" s="253"/>
      <c r="D121" s="253"/>
      <c r="E121" s="253"/>
      <c r="F121" s="253"/>
      <c r="G121" s="253"/>
      <c r="H121" s="253"/>
      <c r="Q121" s="253"/>
      <c r="R121" s="253"/>
      <c r="S121" s="253"/>
      <c r="T121" s="253"/>
      <c r="U121" s="253"/>
      <c r="V121" s="253"/>
      <c r="W121" s="253"/>
      <c r="X121" s="253"/>
    </row>
    <row r="122" spans="1:24" s="10" customFormat="1" ht="30.75" customHeight="1">
      <c r="A122" s="253"/>
      <c r="B122" s="253"/>
      <c r="C122" s="253"/>
      <c r="D122" s="253"/>
      <c r="E122" s="253"/>
      <c r="F122" s="253"/>
      <c r="G122" s="253"/>
      <c r="H122" s="253"/>
      <c r="Q122" s="253"/>
      <c r="R122" s="253"/>
      <c r="S122" s="253"/>
      <c r="T122" s="253"/>
      <c r="U122" s="253"/>
      <c r="V122" s="253"/>
      <c r="W122" s="253"/>
      <c r="X122" s="253"/>
    </row>
    <row r="123" spans="1:24" s="10" customFormat="1" ht="30.75" customHeight="1">
      <c r="A123" s="3592"/>
      <c r="B123" s="3592"/>
      <c r="C123" s="3592"/>
      <c r="D123" s="3592"/>
      <c r="E123" s="3592"/>
      <c r="F123" s="3592"/>
      <c r="G123" s="3592"/>
      <c r="H123" s="3592"/>
      <c r="Q123" s="3592"/>
      <c r="R123" s="3592"/>
      <c r="S123" s="3592"/>
      <c r="T123" s="3592"/>
      <c r="U123" s="3592"/>
      <c r="V123" s="3592"/>
      <c r="W123" s="3592"/>
      <c r="X123" s="3592"/>
    </row>
    <row r="124" spans="1:24" s="10" customFormat="1" ht="30.75" customHeight="1">
      <c r="A124" s="253"/>
      <c r="B124" s="253"/>
      <c r="C124" s="253"/>
      <c r="D124" s="253"/>
      <c r="E124" s="253"/>
      <c r="F124" s="253"/>
      <c r="G124" s="253"/>
      <c r="H124" s="253"/>
      <c r="Q124" s="253"/>
      <c r="R124" s="253"/>
      <c r="S124" s="253"/>
      <c r="T124" s="253"/>
      <c r="U124" s="253"/>
      <c r="V124" s="253"/>
      <c r="W124" s="253"/>
      <c r="X124" s="253"/>
    </row>
    <row r="125" spans="1:24" s="10" customFormat="1" ht="30.75" customHeight="1">
      <c r="A125" s="3788" t="str">
        <f>A7</f>
        <v>Tab 4</v>
      </c>
      <c r="B125" s="3788"/>
      <c r="C125" s="3788"/>
      <c r="D125" s="3788"/>
      <c r="E125" s="3788"/>
      <c r="F125" s="3788"/>
      <c r="G125" s="3788"/>
      <c r="H125" s="3788"/>
      <c r="Q125" s="3788"/>
      <c r="R125" s="3788"/>
      <c r="S125" s="3788"/>
      <c r="T125" s="3788"/>
      <c r="U125" s="3788"/>
      <c r="V125" s="3788"/>
      <c r="W125" s="3788"/>
      <c r="X125" s="3788"/>
    </row>
    <row r="126" spans="1:24" s="10" customFormat="1" ht="30.75" customHeight="1">
      <c r="A126" s="3788" t="str">
        <f>C7</f>
        <v>Section 4 - Process Flow Sheet</v>
      </c>
      <c r="B126" s="3788"/>
      <c r="C126" s="3788"/>
      <c r="D126" s="3788"/>
      <c r="E126" s="3788"/>
      <c r="F126" s="3788"/>
      <c r="G126" s="3788"/>
      <c r="H126" s="3788"/>
      <c r="Q126" s="3788"/>
      <c r="R126" s="3788"/>
      <c r="S126" s="3788"/>
      <c r="T126" s="3788"/>
      <c r="U126" s="3788"/>
      <c r="V126" s="3788"/>
      <c r="W126" s="3788"/>
      <c r="X126" s="3788"/>
    </row>
    <row r="127" spans="1:24" s="10" customFormat="1" ht="30.75" customHeight="1">
      <c r="A127" s="253"/>
      <c r="B127" s="253"/>
      <c r="C127" s="253"/>
      <c r="D127" s="253"/>
      <c r="E127" s="253"/>
      <c r="F127" s="253"/>
      <c r="G127" s="253"/>
      <c r="H127" s="253"/>
      <c r="Q127" s="253"/>
      <c r="R127" s="253"/>
      <c r="S127" s="253"/>
      <c r="T127" s="253"/>
      <c r="U127" s="253"/>
      <c r="V127" s="253"/>
      <c r="W127" s="253"/>
      <c r="X127" s="253"/>
    </row>
    <row r="128" spans="1:24" s="10" customFormat="1" ht="30.75" customHeight="1">
      <c r="A128" s="253"/>
      <c r="B128" s="253"/>
      <c r="C128" s="253"/>
      <c r="D128" s="253"/>
      <c r="E128" s="253"/>
      <c r="F128" s="253"/>
      <c r="G128" s="253"/>
      <c r="H128" s="253"/>
      <c r="Q128" s="253"/>
      <c r="R128" s="253"/>
      <c r="S128" s="253"/>
      <c r="T128" s="253"/>
      <c r="U128" s="253"/>
      <c r="V128" s="253"/>
      <c r="W128" s="253"/>
      <c r="X128" s="253"/>
    </row>
    <row r="129" spans="1:24" s="10" customFormat="1" ht="30.75" customHeight="1">
      <c r="A129" s="253"/>
      <c r="B129" s="253"/>
      <c r="C129" s="253"/>
      <c r="D129" s="253"/>
      <c r="E129" s="253"/>
      <c r="F129" s="253"/>
      <c r="G129" s="253"/>
      <c r="H129" s="253"/>
      <c r="Q129" s="253"/>
      <c r="R129" s="253"/>
      <c r="S129" s="253"/>
      <c r="T129" s="253"/>
      <c r="U129" s="253"/>
      <c r="V129" s="253"/>
      <c r="W129" s="253"/>
      <c r="X129" s="253"/>
    </row>
    <row r="130" spans="1:24" s="10" customFormat="1" ht="30.75" customHeight="1">
      <c r="A130" s="253"/>
      <c r="B130" s="253"/>
      <c r="C130" s="253"/>
      <c r="D130" s="253"/>
      <c r="E130" s="253"/>
      <c r="F130" s="253"/>
      <c r="G130" s="253"/>
      <c r="H130" s="253"/>
      <c r="Q130" s="253"/>
      <c r="R130" s="253"/>
      <c r="S130" s="253"/>
      <c r="T130" s="253"/>
      <c r="U130" s="253"/>
      <c r="V130" s="253"/>
      <c r="W130" s="253"/>
      <c r="X130" s="253"/>
    </row>
    <row r="131" spans="1:24" s="10" customFormat="1" ht="30.75" customHeight="1">
      <c r="A131" s="253"/>
      <c r="B131" s="253"/>
      <c r="C131" s="253"/>
      <c r="D131" s="253"/>
      <c r="E131" s="253"/>
      <c r="F131" s="253"/>
      <c r="G131" s="253"/>
      <c r="H131" s="253"/>
      <c r="Q131" s="253"/>
      <c r="R131" s="253"/>
      <c r="S131" s="253"/>
      <c r="T131" s="253"/>
      <c r="U131" s="253"/>
      <c r="V131" s="253"/>
      <c r="W131" s="253"/>
      <c r="X131" s="253"/>
    </row>
    <row r="132" spans="1:24" s="10" customFormat="1" ht="30.75" customHeight="1">
      <c r="A132" s="253"/>
      <c r="B132" s="253"/>
      <c r="C132" s="253"/>
      <c r="D132" s="253"/>
      <c r="E132" s="253"/>
      <c r="F132" s="253"/>
      <c r="G132" s="253"/>
      <c r="H132" s="253"/>
      <c r="Q132" s="253"/>
      <c r="R132" s="253"/>
      <c r="S132" s="253"/>
      <c r="T132" s="253"/>
      <c r="U132" s="253"/>
      <c r="V132" s="253"/>
      <c r="W132" s="253"/>
      <c r="X132" s="253"/>
    </row>
    <row r="133" spans="1:24" s="10" customFormat="1" ht="30.75" customHeight="1">
      <c r="A133" s="253"/>
      <c r="B133" s="253"/>
      <c r="C133" s="253"/>
      <c r="D133" s="253"/>
      <c r="E133" s="253"/>
      <c r="F133" s="253"/>
      <c r="G133" s="253"/>
      <c r="H133" s="253"/>
      <c r="Q133" s="253"/>
      <c r="R133" s="253"/>
      <c r="S133" s="253"/>
      <c r="T133" s="253"/>
      <c r="U133" s="253"/>
      <c r="V133" s="253"/>
      <c r="W133" s="253"/>
      <c r="X133" s="253"/>
    </row>
    <row r="134" spans="1:24" s="10" customFormat="1" ht="30.75" customHeight="1">
      <c r="A134" s="253"/>
      <c r="B134" s="253"/>
      <c r="C134" s="253"/>
      <c r="D134" s="253"/>
      <c r="E134" s="253"/>
      <c r="F134" s="253"/>
      <c r="G134" s="253"/>
      <c r="H134" s="253"/>
      <c r="Q134" s="253"/>
      <c r="R134" s="253"/>
      <c r="S134" s="253"/>
      <c r="T134" s="253"/>
      <c r="U134" s="253"/>
      <c r="V134" s="253"/>
      <c r="W134" s="253"/>
      <c r="X134" s="253"/>
    </row>
    <row r="135" spans="1:24" s="10" customFormat="1" ht="30.75" customHeight="1">
      <c r="A135" s="253"/>
      <c r="B135" s="253"/>
      <c r="C135" s="253"/>
      <c r="D135" s="253"/>
      <c r="E135" s="253"/>
      <c r="F135" s="253"/>
      <c r="G135" s="253"/>
      <c r="H135" s="253"/>
      <c r="Q135" s="253"/>
      <c r="R135" s="253"/>
      <c r="S135" s="253"/>
      <c r="T135" s="253"/>
      <c r="U135" s="253"/>
      <c r="V135" s="253"/>
      <c r="W135" s="253"/>
      <c r="X135" s="253"/>
    </row>
    <row r="136" spans="1:24" s="10" customFormat="1" ht="30.75" customHeight="1">
      <c r="A136" s="253"/>
      <c r="B136" s="253"/>
      <c r="C136" s="253"/>
      <c r="D136" s="253"/>
      <c r="E136" s="253"/>
      <c r="F136" s="253"/>
      <c r="G136" s="253"/>
      <c r="H136" s="253"/>
      <c r="Q136" s="253"/>
      <c r="R136" s="253"/>
      <c r="S136" s="253"/>
      <c r="T136" s="253"/>
      <c r="U136" s="253"/>
      <c r="V136" s="253"/>
      <c r="W136" s="253"/>
      <c r="X136" s="253"/>
    </row>
    <row r="137" spans="1:24" s="10" customFormat="1" ht="30.75" customHeight="1">
      <c r="A137" s="253"/>
      <c r="B137" s="253"/>
      <c r="C137" s="253"/>
      <c r="D137" s="253"/>
      <c r="E137" s="253"/>
      <c r="F137" s="253"/>
      <c r="G137" s="253"/>
      <c r="H137" s="253"/>
      <c r="Q137" s="253"/>
      <c r="R137" s="253"/>
      <c r="S137" s="253"/>
      <c r="T137" s="253"/>
      <c r="U137" s="253"/>
      <c r="V137" s="253"/>
      <c r="W137" s="253"/>
      <c r="X137" s="253"/>
    </row>
    <row r="138" spans="1:24" s="10" customFormat="1" ht="30.75" customHeight="1">
      <c r="A138" s="253"/>
      <c r="B138" s="253"/>
      <c r="C138" s="253"/>
      <c r="D138" s="253"/>
      <c r="E138" s="253"/>
      <c r="F138" s="253"/>
      <c r="G138" s="253"/>
      <c r="H138" s="253"/>
      <c r="Q138" s="253"/>
      <c r="R138" s="253"/>
      <c r="S138" s="253"/>
      <c r="T138" s="253"/>
      <c r="U138" s="253"/>
      <c r="V138" s="253"/>
      <c r="W138" s="253"/>
      <c r="X138" s="253"/>
    </row>
    <row r="139" spans="1:24" s="10" customFormat="1" ht="30.75" customHeight="1">
      <c r="A139" s="253"/>
      <c r="B139" s="253"/>
      <c r="C139" s="253"/>
      <c r="D139" s="253"/>
      <c r="E139" s="253"/>
      <c r="F139" s="253"/>
      <c r="G139" s="253"/>
      <c r="H139" s="253"/>
      <c r="Q139" s="253"/>
      <c r="R139" s="253"/>
      <c r="S139" s="253"/>
      <c r="T139" s="253"/>
      <c r="U139" s="253"/>
      <c r="V139" s="253"/>
      <c r="W139" s="253"/>
      <c r="X139" s="253"/>
    </row>
    <row r="140" spans="1:24" s="10" customFormat="1" ht="30.75" customHeight="1">
      <c r="A140" s="253"/>
      <c r="B140" s="253"/>
      <c r="C140" s="253"/>
      <c r="D140" s="253"/>
      <c r="E140" s="253"/>
      <c r="F140" s="253"/>
      <c r="G140" s="253"/>
      <c r="H140" s="253"/>
      <c r="Q140" s="253"/>
      <c r="R140" s="253"/>
      <c r="S140" s="253"/>
      <c r="T140" s="253"/>
      <c r="U140" s="253"/>
      <c r="V140" s="253"/>
      <c r="W140" s="253"/>
      <c r="X140" s="253"/>
    </row>
    <row r="141" spans="1:24" s="10" customFormat="1" ht="30.75" customHeight="1">
      <c r="A141" s="253"/>
      <c r="B141" s="253"/>
      <c r="C141" s="253"/>
      <c r="D141" s="253"/>
      <c r="E141" s="253"/>
      <c r="F141" s="253"/>
      <c r="G141" s="253"/>
      <c r="H141" s="253"/>
      <c r="Q141" s="253"/>
      <c r="R141" s="253"/>
      <c r="S141" s="253"/>
      <c r="T141" s="253"/>
      <c r="U141" s="253"/>
      <c r="V141" s="253"/>
      <c r="W141" s="253"/>
      <c r="X141" s="253"/>
    </row>
    <row r="142" spans="1:24" s="10" customFormat="1" ht="30.75" customHeight="1">
      <c r="A142" s="253"/>
      <c r="B142" s="253"/>
      <c r="C142" s="253"/>
      <c r="D142" s="253"/>
      <c r="E142" s="253"/>
      <c r="F142" s="253"/>
      <c r="G142" s="253"/>
      <c r="H142" s="253"/>
      <c r="Q142" s="253"/>
      <c r="R142" s="253"/>
      <c r="S142" s="253"/>
      <c r="T142" s="253"/>
      <c r="U142" s="253"/>
      <c r="V142" s="253"/>
      <c r="W142" s="253"/>
      <c r="X142" s="253"/>
    </row>
    <row r="143" spans="1:24" s="10" customFormat="1" ht="30.75" customHeight="1">
      <c r="A143" s="253"/>
      <c r="B143" s="253"/>
      <c r="C143" s="253"/>
      <c r="D143" s="253"/>
      <c r="E143" s="253"/>
      <c r="F143" s="253"/>
      <c r="G143" s="253"/>
      <c r="H143" s="253"/>
      <c r="Q143" s="253"/>
      <c r="R143" s="253"/>
      <c r="S143" s="253"/>
      <c r="T143" s="253"/>
      <c r="U143" s="253"/>
      <c r="V143" s="253"/>
      <c r="W143" s="253"/>
      <c r="X143" s="253"/>
    </row>
    <row r="144" spans="1:24" s="10" customFormat="1" ht="30.75" customHeight="1">
      <c r="A144" s="253"/>
      <c r="B144" s="253"/>
      <c r="C144" s="253"/>
      <c r="D144" s="253"/>
      <c r="E144" s="253"/>
      <c r="F144" s="253"/>
      <c r="G144" s="253"/>
      <c r="H144" s="253"/>
      <c r="Q144" s="253"/>
      <c r="R144" s="253"/>
      <c r="S144" s="253"/>
      <c r="T144" s="253"/>
      <c r="U144" s="253"/>
      <c r="V144" s="253"/>
      <c r="W144" s="253"/>
      <c r="X144" s="253"/>
    </row>
    <row r="145" spans="1:24" s="10" customFormat="1" ht="30.75" customHeight="1">
      <c r="A145" s="2369"/>
      <c r="B145" s="2369"/>
      <c r="C145" s="2369"/>
      <c r="D145" s="2369"/>
      <c r="E145" s="2369"/>
      <c r="F145" s="2369"/>
      <c r="G145" s="2369"/>
      <c r="H145" s="2369"/>
      <c r="Q145" s="2369"/>
      <c r="R145" s="2369"/>
      <c r="S145" s="2369"/>
      <c r="T145" s="2369"/>
      <c r="U145" s="2369"/>
      <c r="V145" s="2369"/>
      <c r="W145" s="2369"/>
      <c r="X145" s="2369"/>
    </row>
    <row r="146" spans="1:24" s="10" customFormat="1" ht="30.75" customHeight="1">
      <c r="A146" s="2369"/>
      <c r="B146" s="2369"/>
      <c r="C146" s="2369"/>
      <c r="D146" s="2369"/>
      <c r="E146" s="2369"/>
      <c r="F146" s="2369"/>
      <c r="G146" s="2369"/>
      <c r="H146" s="2369"/>
      <c r="Q146" s="2369"/>
      <c r="R146" s="2369"/>
      <c r="S146" s="2369"/>
      <c r="T146" s="2369"/>
      <c r="U146" s="2369"/>
      <c r="V146" s="2369"/>
      <c r="W146" s="2369"/>
      <c r="X146" s="2369"/>
    </row>
    <row r="147" spans="1:24" s="10" customFormat="1" ht="30.75" customHeight="1">
      <c r="A147" s="2369"/>
      <c r="B147" s="2369"/>
      <c r="C147" s="2369"/>
      <c r="D147" s="2369"/>
      <c r="E147" s="2369"/>
      <c r="F147" s="2369"/>
      <c r="G147" s="2369"/>
      <c r="H147" s="2369"/>
      <c r="Q147" s="2369"/>
      <c r="R147" s="2369"/>
      <c r="S147" s="2369"/>
      <c r="T147" s="2369"/>
      <c r="U147" s="2369"/>
      <c r="V147" s="2369"/>
      <c r="W147" s="2369"/>
      <c r="X147" s="2369"/>
    </row>
    <row r="148" spans="1:24" s="10" customFormat="1" ht="30.75" customHeight="1">
      <c r="A148" s="2369"/>
      <c r="B148" s="2369"/>
      <c r="C148" s="2369"/>
      <c r="D148" s="2369"/>
      <c r="E148" s="2369"/>
      <c r="F148" s="2369"/>
      <c r="G148" s="2369"/>
      <c r="H148" s="2369"/>
      <c r="Q148" s="2369"/>
      <c r="R148" s="2369"/>
      <c r="S148" s="2369"/>
      <c r="T148" s="2369"/>
      <c r="U148" s="2369"/>
      <c r="V148" s="2369"/>
      <c r="W148" s="2369"/>
      <c r="X148" s="2369"/>
    </row>
    <row r="149" spans="1:24" s="10" customFormat="1" ht="30.75" customHeight="1">
      <c r="A149" s="2369"/>
      <c r="B149" s="2369"/>
      <c r="C149" s="2369"/>
      <c r="D149" s="2369"/>
      <c r="E149" s="2369"/>
      <c r="F149" s="2369"/>
      <c r="G149" s="2369"/>
      <c r="H149" s="2369"/>
      <c r="Q149" s="2369"/>
      <c r="R149" s="2369"/>
      <c r="S149" s="2369"/>
      <c r="T149" s="2369"/>
      <c r="U149" s="2369"/>
      <c r="V149" s="2369"/>
      <c r="W149" s="2369"/>
      <c r="X149" s="2369"/>
    </row>
    <row r="150" spans="1:24" s="10" customFormat="1" ht="30.75" customHeight="1">
      <c r="A150" s="2369"/>
      <c r="B150" s="2369"/>
      <c r="C150" s="2369"/>
      <c r="D150" s="2369"/>
      <c r="E150" s="2369"/>
      <c r="F150" s="2369"/>
      <c r="G150" s="2369"/>
      <c r="H150" s="2369"/>
      <c r="Q150" s="2369"/>
      <c r="R150" s="2369"/>
      <c r="S150" s="2369"/>
      <c r="T150" s="2369"/>
      <c r="U150" s="2369"/>
      <c r="V150" s="2369"/>
      <c r="W150" s="2369"/>
      <c r="X150" s="2369"/>
    </row>
    <row r="151" spans="1:24" s="10" customFormat="1" ht="30.75" customHeight="1">
      <c r="A151" s="2369"/>
      <c r="B151" s="2369"/>
      <c r="C151" s="2369"/>
      <c r="D151" s="2369"/>
      <c r="E151" s="2369"/>
      <c r="F151" s="2369"/>
      <c r="G151" s="2369"/>
      <c r="H151" s="2369"/>
      <c r="Q151" s="2369"/>
      <c r="R151" s="2369"/>
      <c r="S151" s="2369"/>
      <c r="T151" s="2369"/>
      <c r="U151" s="2369"/>
      <c r="V151" s="2369"/>
      <c r="W151" s="2369"/>
      <c r="X151" s="2369"/>
    </row>
    <row r="152" spans="1:24" s="10" customFormat="1" ht="30.75" customHeight="1">
      <c r="A152" s="253"/>
      <c r="B152" s="253"/>
      <c r="C152" s="253"/>
      <c r="D152" s="253"/>
      <c r="E152" s="253"/>
      <c r="F152" s="253"/>
      <c r="G152" s="253"/>
      <c r="H152" s="253"/>
      <c r="Q152" s="253"/>
      <c r="R152" s="253"/>
      <c r="S152" s="253"/>
      <c r="T152" s="253"/>
      <c r="U152" s="253"/>
      <c r="V152" s="253"/>
      <c r="W152" s="253"/>
      <c r="X152" s="253"/>
    </row>
    <row r="153" spans="1:24" s="10" customFormat="1" ht="30.75" customHeight="1">
      <c r="A153" s="3592"/>
      <c r="B153" s="3592"/>
      <c r="C153" s="3592"/>
      <c r="D153" s="3592"/>
      <c r="E153" s="3592"/>
      <c r="F153" s="3592"/>
      <c r="G153" s="3592"/>
      <c r="H153" s="3592"/>
      <c r="Q153" s="3592"/>
      <c r="R153" s="3592"/>
      <c r="S153" s="3592"/>
      <c r="T153" s="3592"/>
      <c r="U153" s="3592"/>
      <c r="V153" s="3592"/>
      <c r="W153" s="3592"/>
      <c r="X153" s="3592"/>
    </row>
    <row r="154" spans="1:24" s="10" customFormat="1" ht="30.75" customHeight="1">
      <c r="A154" s="253"/>
      <c r="B154" s="253"/>
      <c r="C154" s="253"/>
      <c r="D154" s="253"/>
      <c r="E154" s="253"/>
      <c r="F154" s="253"/>
      <c r="G154" s="253"/>
      <c r="H154" s="253"/>
      <c r="Q154" s="253"/>
      <c r="R154" s="253"/>
      <c r="S154" s="253"/>
      <c r="T154" s="253"/>
      <c r="U154" s="253"/>
      <c r="V154" s="253"/>
      <c r="W154" s="253"/>
      <c r="X154" s="253"/>
    </row>
    <row r="155" spans="1:24" s="10" customFormat="1" ht="30.75" customHeight="1">
      <c r="A155" s="3788" t="str">
        <f>A8</f>
        <v>Tab 5</v>
      </c>
      <c r="B155" s="3788"/>
      <c r="C155" s="3788"/>
      <c r="D155" s="3788"/>
      <c r="E155" s="3788"/>
      <c r="F155" s="3788"/>
      <c r="G155" s="3788"/>
      <c r="H155" s="3788"/>
      <c r="Q155" s="3788"/>
      <c r="R155" s="3788"/>
      <c r="S155" s="3788"/>
      <c r="T155" s="3788"/>
      <c r="U155" s="3788"/>
      <c r="V155" s="3788"/>
      <c r="W155" s="3788"/>
      <c r="X155" s="3788"/>
    </row>
    <row r="156" spans="1:24" s="10" customFormat="1" ht="30.75" customHeight="1">
      <c r="A156" s="3788" t="str">
        <f>C8</f>
        <v>Section 5 - Plot Plan Drawn To Scale</v>
      </c>
      <c r="B156" s="3788"/>
      <c r="C156" s="3788"/>
      <c r="D156" s="3788"/>
      <c r="E156" s="3788"/>
      <c r="F156" s="3788"/>
      <c r="G156" s="3788"/>
      <c r="H156" s="3788"/>
      <c r="Q156" s="3788"/>
      <c r="R156" s="3788"/>
      <c r="S156" s="3788"/>
      <c r="T156" s="3788"/>
      <c r="U156" s="3788"/>
      <c r="V156" s="3788"/>
      <c r="W156" s="3788"/>
      <c r="X156" s="3788"/>
    </row>
    <row r="157" spans="1:24" s="10" customFormat="1" ht="30.75" customHeight="1">
      <c r="A157" s="253"/>
      <c r="B157" s="253"/>
      <c r="C157" s="253"/>
      <c r="D157" s="253"/>
      <c r="E157" s="253"/>
      <c r="F157" s="253"/>
      <c r="G157" s="253"/>
      <c r="H157" s="253"/>
      <c r="Q157" s="253"/>
      <c r="R157" s="253"/>
      <c r="S157" s="253"/>
      <c r="T157" s="253"/>
      <c r="U157" s="253"/>
      <c r="V157" s="253"/>
      <c r="W157" s="253"/>
      <c r="X157" s="253"/>
    </row>
    <row r="158" spans="1:24" s="10" customFormat="1" ht="30.75" customHeight="1">
      <c r="A158" s="253"/>
      <c r="B158" s="253"/>
      <c r="C158" s="253"/>
      <c r="D158" s="253"/>
      <c r="E158" s="253"/>
      <c r="F158" s="253"/>
      <c r="G158" s="253"/>
      <c r="H158" s="253"/>
      <c r="Q158" s="253"/>
      <c r="R158" s="253"/>
      <c r="S158" s="253"/>
      <c r="T158" s="253"/>
      <c r="U158" s="253"/>
      <c r="V158" s="253"/>
      <c r="W158" s="253"/>
      <c r="X158" s="253"/>
    </row>
    <row r="159" spans="1:24" s="10" customFormat="1" ht="30.75" customHeight="1">
      <c r="A159" s="253"/>
      <c r="B159" s="253"/>
      <c r="C159" s="253"/>
      <c r="D159" s="253"/>
      <c r="E159" s="253"/>
      <c r="F159" s="253"/>
      <c r="G159" s="253"/>
      <c r="H159" s="253"/>
      <c r="Q159" s="253"/>
      <c r="R159" s="253"/>
      <c r="S159" s="253"/>
      <c r="T159" s="253"/>
      <c r="U159" s="253"/>
      <c r="V159" s="253"/>
      <c r="W159" s="253"/>
      <c r="X159" s="253"/>
    </row>
    <row r="160" spans="1:24" s="10" customFormat="1" ht="30.75" customHeight="1">
      <c r="A160" s="253"/>
      <c r="B160" s="253"/>
      <c r="C160" s="253"/>
      <c r="D160" s="253"/>
      <c r="E160" s="253"/>
      <c r="F160" s="253"/>
      <c r="G160" s="253"/>
      <c r="H160" s="253"/>
      <c r="Q160" s="253"/>
      <c r="R160" s="253"/>
      <c r="S160" s="253"/>
      <c r="T160" s="253"/>
      <c r="U160" s="253"/>
      <c r="V160" s="253"/>
      <c r="W160" s="253"/>
      <c r="X160" s="253"/>
    </row>
    <row r="161" spans="1:24" s="10" customFormat="1" ht="30.75" customHeight="1">
      <c r="A161" s="253"/>
      <c r="B161" s="253"/>
      <c r="C161" s="253"/>
      <c r="D161" s="253"/>
      <c r="E161" s="253"/>
      <c r="F161" s="253"/>
      <c r="G161" s="253"/>
      <c r="H161" s="253"/>
      <c r="Q161" s="253"/>
      <c r="R161" s="253"/>
      <c r="S161" s="253"/>
      <c r="T161" s="253"/>
      <c r="U161" s="253"/>
      <c r="V161" s="253"/>
      <c r="W161" s="253"/>
      <c r="X161" s="253"/>
    </row>
    <row r="162" spans="1:24" s="10" customFormat="1" ht="30.75" customHeight="1">
      <c r="A162" s="253"/>
      <c r="B162" s="253"/>
      <c r="C162" s="253"/>
      <c r="D162" s="253"/>
      <c r="E162" s="253"/>
      <c r="F162" s="253"/>
      <c r="G162" s="253"/>
      <c r="H162" s="253"/>
      <c r="Q162" s="253"/>
      <c r="R162" s="253"/>
      <c r="S162" s="253"/>
      <c r="T162" s="253"/>
      <c r="U162" s="253"/>
      <c r="V162" s="253"/>
      <c r="W162" s="253"/>
      <c r="X162" s="253"/>
    </row>
    <row r="163" spans="1:24" s="10" customFormat="1" ht="30.75" customHeight="1">
      <c r="A163" s="253"/>
      <c r="B163" s="253"/>
      <c r="C163" s="253"/>
      <c r="D163" s="253"/>
      <c r="E163" s="253"/>
      <c r="F163" s="253"/>
      <c r="G163" s="253"/>
      <c r="H163" s="253"/>
      <c r="Q163" s="253"/>
      <c r="R163" s="253"/>
      <c r="S163" s="253"/>
      <c r="T163" s="253"/>
      <c r="U163" s="253"/>
      <c r="V163" s="253"/>
      <c r="W163" s="253"/>
      <c r="X163" s="253"/>
    </row>
    <row r="164" spans="1:24" s="10" customFormat="1" ht="30.75" customHeight="1">
      <c r="A164" s="253"/>
      <c r="B164" s="253"/>
      <c r="C164" s="253"/>
      <c r="D164" s="253"/>
      <c r="E164" s="253"/>
      <c r="F164" s="253"/>
      <c r="G164" s="253"/>
      <c r="H164" s="253"/>
      <c r="Q164" s="253"/>
      <c r="R164" s="253"/>
      <c r="S164" s="253"/>
      <c r="T164" s="253"/>
      <c r="U164" s="253"/>
      <c r="V164" s="253"/>
      <c r="W164" s="253"/>
      <c r="X164" s="253"/>
    </row>
    <row r="165" spans="1:24" s="10" customFormat="1" ht="30.75" customHeight="1">
      <c r="A165" s="253"/>
      <c r="B165" s="253"/>
      <c r="C165" s="253"/>
      <c r="D165" s="253"/>
      <c r="E165" s="253"/>
      <c r="F165" s="253"/>
      <c r="G165" s="253"/>
      <c r="H165" s="253"/>
      <c r="Q165" s="253"/>
      <c r="R165" s="253"/>
      <c r="S165" s="253"/>
      <c r="T165" s="253"/>
      <c r="U165" s="253"/>
      <c r="V165" s="253"/>
      <c r="W165" s="253"/>
      <c r="X165" s="253"/>
    </row>
    <row r="166" spans="1:24" s="10" customFormat="1" ht="30.75" customHeight="1">
      <c r="A166" s="253"/>
      <c r="B166" s="253"/>
      <c r="C166" s="253"/>
      <c r="D166" s="253"/>
      <c r="E166" s="253"/>
      <c r="F166" s="253"/>
      <c r="G166" s="253"/>
      <c r="H166" s="253"/>
      <c r="Q166" s="253"/>
      <c r="R166" s="253"/>
      <c r="S166" s="253"/>
      <c r="T166" s="253"/>
      <c r="U166" s="253"/>
      <c r="V166" s="253"/>
      <c r="W166" s="253"/>
      <c r="X166" s="253"/>
    </row>
    <row r="167" spans="1:24" s="10" customFormat="1" ht="30.75" customHeight="1">
      <c r="A167" s="253"/>
      <c r="B167" s="253"/>
      <c r="C167" s="253"/>
      <c r="D167" s="253"/>
      <c r="E167" s="253"/>
      <c r="F167" s="253"/>
      <c r="G167" s="253"/>
      <c r="H167" s="253"/>
      <c r="Q167" s="253"/>
      <c r="R167" s="253"/>
      <c r="S167" s="253"/>
      <c r="T167" s="253"/>
      <c r="U167" s="253"/>
      <c r="V167" s="253"/>
      <c r="W167" s="253"/>
      <c r="X167" s="253"/>
    </row>
    <row r="168" spans="1:24" s="10" customFormat="1" ht="30.75" customHeight="1">
      <c r="A168" s="253"/>
      <c r="B168" s="253"/>
      <c r="C168" s="253"/>
      <c r="D168" s="253"/>
      <c r="E168" s="253"/>
      <c r="F168" s="253"/>
      <c r="G168" s="253"/>
      <c r="H168" s="253"/>
      <c r="Q168" s="253"/>
      <c r="R168" s="253"/>
      <c r="S168" s="253"/>
      <c r="T168" s="253"/>
      <c r="U168" s="253"/>
      <c r="V168" s="253"/>
      <c r="W168" s="253"/>
      <c r="X168" s="253"/>
    </row>
    <row r="169" spans="1:24" s="10" customFormat="1" ht="30.75" customHeight="1">
      <c r="A169" s="253"/>
      <c r="B169" s="253"/>
      <c r="C169" s="253"/>
      <c r="D169" s="253"/>
      <c r="E169" s="253"/>
      <c r="F169" s="253"/>
      <c r="G169" s="253"/>
      <c r="H169" s="253"/>
      <c r="Q169" s="253"/>
      <c r="R169" s="253"/>
      <c r="S169" s="253"/>
      <c r="T169" s="253"/>
      <c r="U169" s="253"/>
      <c r="V169" s="253"/>
      <c r="W169" s="253"/>
      <c r="X169" s="253"/>
    </row>
    <row r="170" spans="1:24" s="10" customFormat="1" ht="30.75" customHeight="1">
      <c r="A170" s="253"/>
      <c r="B170" s="253"/>
      <c r="C170" s="253"/>
      <c r="D170" s="253"/>
      <c r="E170" s="253"/>
      <c r="F170" s="253"/>
      <c r="G170" s="253"/>
      <c r="H170" s="253"/>
      <c r="Q170" s="253"/>
      <c r="R170" s="253"/>
      <c r="S170" s="253"/>
      <c r="T170" s="253"/>
      <c r="U170" s="253"/>
      <c r="V170" s="253"/>
      <c r="W170" s="253"/>
      <c r="X170" s="253"/>
    </row>
    <row r="171" spans="1:24" s="10" customFormat="1" ht="30.75" customHeight="1">
      <c r="A171" s="253"/>
      <c r="B171" s="253"/>
      <c r="C171" s="253"/>
      <c r="D171" s="253"/>
      <c r="E171" s="253"/>
      <c r="F171" s="253"/>
      <c r="G171" s="253"/>
      <c r="H171" s="253"/>
      <c r="Q171" s="253"/>
      <c r="R171" s="253"/>
      <c r="S171" s="253"/>
      <c r="T171" s="253"/>
      <c r="U171" s="253"/>
      <c r="V171" s="253"/>
      <c r="W171" s="253"/>
      <c r="X171" s="253"/>
    </row>
    <row r="172" spans="1:24" s="10" customFormat="1" ht="30.75" customHeight="1">
      <c r="A172" s="253"/>
      <c r="B172" s="253"/>
      <c r="C172" s="253"/>
      <c r="D172" s="253"/>
      <c r="E172" s="253"/>
      <c r="F172" s="253"/>
      <c r="G172" s="253"/>
      <c r="H172" s="253"/>
      <c r="Q172" s="253"/>
      <c r="R172" s="253"/>
      <c r="S172" s="253"/>
      <c r="T172" s="253"/>
      <c r="U172" s="253"/>
      <c r="V172" s="253"/>
      <c r="W172" s="253"/>
      <c r="X172" s="253"/>
    </row>
    <row r="173" spans="1:24" s="10" customFormat="1" ht="30.75" customHeight="1">
      <c r="A173" s="253"/>
      <c r="B173" s="253"/>
      <c r="C173" s="253"/>
      <c r="D173" s="253"/>
      <c r="E173" s="253"/>
      <c r="F173" s="253"/>
      <c r="G173" s="253"/>
      <c r="H173" s="253"/>
      <c r="Q173" s="253"/>
      <c r="R173" s="253"/>
      <c r="S173" s="253"/>
      <c r="T173" s="253"/>
      <c r="U173" s="253"/>
      <c r="V173" s="253"/>
      <c r="W173" s="253"/>
      <c r="X173" s="253"/>
    </row>
    <row r="174" spans="1:24" s="10" customFormat="1" ht="30.75" customHeight="1">
      <c r="A174" s="253"/>
      <c r="B174" s="253"/>
      <c r="C174" s="253"/>
      <c r="D174" s="253"/>
      <c r="E174" s="253"/>
      <c r="F174" s="253"/>
      <c r="G174" s="253"/>
      <c r="H174" s="253"/>
      <c r="Q174" s="253"/>
      <c r="R174" s="253"/>
      <c r="S174" s="253"/>
      <c r="T174" s="253"/>
      <c r="U174" s="253"/>
      <c r="V174" s="253"/>
      <c r="W174" s="253"/>
      <c r="X174" s="253"/>
    </row>
    <row r="175" spans="1:24" s="10" customFormat="1" ht="30.75" customHeight="1">
      <c r="A175" s="2369"/>
      <c r="B175" s="2369"/>
      <c r="C175" s="2369"/>
      <c r="D175" s="2369"/>
      <c r="E175" s="2369"/>
      <c r="F175" s="2369"/>
      <c r="G175" s="2369"/>
      <c r="H175" s="2369"/>
      <c r="Q175" s="2369"/>
      <c r="R175" s="2369"/>
      <c r="S175" s="2369"/>
      <c r="T175" s="2369"/>
      <c r="U175" s="2369"/>
      <c r="V175" s="2369"/>
      <c r="W175" s="2369"/>
      <c r="X175" s="2369"/>
    </row>
    <row r="176" spans="1:24" s="10" customFormat="1" ht="30.75" customHeight="1">
      <c r="A176" s="2369"/>
      <c r="B176" s="2369"/>
      <c r="C176" s="2369"/>
      <c r="D176" s="2369"/>
      <c r="E176" s="2369"/>
      <c r="F176" s="2369"/>
      <c r="G176" s="2369"/>
      <c r="H176" s="2369"/>
      <c r="Q176" s="2369"/>
      <c r="R176" s="2369"/>
      <c r="S176" s="2369"/>
      <c r="T176" s="2369"/>
      <c r="U176" s="2369"/>
      <c r="V176" s="2369"/>
      <c r="W176" s="2369"/>
      <c r="X176" s="2369"/>
    </row>
    <row r="177" spans="1:24" s="10" customFormat="1" ht="30.75" customHeight="1">
      <c r="A177" s="2369"/>
      <c r="B177" s="2369"/>
      <c r="C177" s="2369"/>
      <c r="D177" s="2369"/>
      <c r="E177" s="2369"/>
      <c r="F177" s="2369"/>
      <c r="G177" s="2369"/>
      <c r="H177" s="2369"/>
      <c r="Q177" s="2369"/>
      <c r="R177" s="2369"/>
      <c r="S177" s="2369"/>
      <c r="T177" s="2369"/>
      <c r="U177" s="2369"/>
      <c r="V177" s="2369"/>
      <c r="W177" s="2369"/>
      <c r="X177" s="2369"/>
    </row>
    <row r="178" spans="1:24" s="10" customFormat="1" ht="30.75" customHeight="1">
      <c r="A178" s="2369"/>
      <c r="B178" s="2369"/>
      <c r="C178" s="2369"/>
      <c r="D178" s="2369"/>
      <c r="E178" s="2369"/>
      <c r="F178" s="2369"/>
      <c r="G178" s="2369"/>
      <c r="H178" s="2369"/>
      <c r="Q178" s="2369"/>
      <c r="R178" s="2369"/>
      <c r="S178" s="2369"/>
      <c r="T178" s="2369"/>
      <c r="U178" s="2369"/>
      <c r="V178" s="2369"/>
      <c r="W178" s="2369"/>
      <c r="X178" s="2369"/>
    </row>
    <row r="179" spans="1:24" s="10" customFormat="1" ht="30.75" customHeight="1">
      <c r="A179" s="253"/>
      <c r="B179" s="253"/>
      <c r="C179" s="253"/>
      <c r="D179" s="253"/>
      <c r="E179" s="253"/>
      <c r="F179" s="253"/>
      <c r="G179" s="253"/>
      <c r="H179" s="253"/>
      <c r="Q179" s="253"/>
      <c r="R179" s="253"/>
      <c r="S179" s="253"/>
      <c r="T179" s="253"/>
      <c r="U179" s="253"/>
      <c r="V179" s="253"/>
      <c r="W179" s="253"/>
      <c r="X179" s="253"/>
    </row>
    <row r="180" spans="1:24" s="10" customFormat="1" ht="30.75" customHeight="1">
      <c r="A180" s="253"/>
      <c r="B180" s="253"/>
      <c r="C180" s="253"/>
      <c r="D180" s="253"/>
      <c r="E180" s="253"/>
      <c r="F180" s="253"/>
      <c r="G180" s="253"/>
      <c r="H180" s="253"/>
      <c r="Q180" s="253"/>
      <c r="R180" s="253"/>
      <c r="S180" s="253"/>
      <c r="T180" s="253"/>
      <c r="U180" s="253"/>
      <c r="V180" s="253"/>
      <c r="W180" s="253"/>
      <c r="X180" s="253"/>
    </row>
    <row r="181" spans="1:24" s="10" customFormat="1" ht="30.75" customHeight="1">
      <c r="A181" s="253"/>
      <c r="B181" s="253"/>
      <c r="C181" s="253"/>
      <c r="D181" s="253"/>
      <c r="E181" s="253"/>
      <c r="F181" s="253"/>
      <c r="G181" s="253"/>
      <c r="H181" s="253"/>
      <c r="Q181" s="253"/>
      <c r="R181" s="253"/>
      <c r="S181" s="253"/>
      <c r="T181" s="253"/>
      <c r="U181" s="253"/>
      <c r="V181" s="253"/>
      <c r="W181" s="253"/>
      <c r="X181" s="253"/>
    </row>
    <row r="182" spans="1:24" s="10" customFormat="1" ht="30.75" customHeight="1">
      <c r="A182" s="3592"/>
      <c r="B182" s="3592"/>
      <c r="C182" s="3592"/>
      <c r="D182" s="3592"/>
      <c r="E182" s="3592"/>
      <c r="F182" s="3592"/>
      <c r="G182" s="3592"/>
      <c r="H182" s="3592"/>
      <c r="Q182" s="3592"/>
      <c r="R182" s="3592"/>
      <c r="S182" s="3592"/>
      <c r="T182" s="3592"/>
      <c r="U182" s="3592"/>
      <c r="V182" s="3592"/>
      <c r="W182" s="3592"/>
      <c r="X182" s="3592"/>
    </row>
    <row r="183" spans="1:24" s="10" customFormat="1" ht="30.75" customHeight="1">
      <c r="A183" s="2369"/>
      <c r="B183" s="2369"/>
      <c r="C183" s="2369"/>
      <c r="D183" s="2369"/>
      <c r="E183" s="2369"/>
      <c r="F183" s="2369"/>
      <c r="G183" s="2369"/>
      <c r="H183" s="2369"/>
      <c r="Q183" s="2369"/>
      <c r="R183" s="2369"/>
      <c r="S183" s="2369"/>
      <c r="T183" s="2369"/>
      <c r="U183" s="2369"/>
      <c r="V183" s="2369"/>
      <c r="W183" s="2369"/>
      <c r="X183" s="2369"/>
    </row>
    <row r="184" spans="1:24" s="10" customFormat="1" ht="30.75" customHeight="1">
      <c r="A184" s="253"/>
      <c r="B184" s="253"/>
      <c r="C184" s="253"/>
      <c r="D184" s="253"/>
      <c r="E184" s="253"/>
      <c r="F184" s="253"/>
      <c r="G184" s="253"/>
      <c r="H184" s="253"/>
      <c r="Q184" s="253"/>
      <c r="R184" s="253"/>
      <c r="S184" s="253"/>
      <c r="T184" s="253"/>
      <c r="U184" s="253"/>
      <c r="V184" s="253"/>
      <c r="W184" s="253"/>
      <c r="X184" s="253"/>
    </row>
    <row r="185" spans="1:24" s="10" customFormat="1" ht="30.75" customHeight="1">
      <c r="A185" s="3788" t="str">
        <f>A9</f>
        <v>Tab 6</v>
      </c>
      <c r="B185" s="3788"/>
      <c r="C185" s="3788"/>
      <c r="D185" s="3788"/>
      <c r="E185" s="3788"/>
      <c r="F185" s="3788"/>
      <c r="G185" s="3788"/>
      <c r="H185" s="3788"/>
      <c r="Q185" s="3788"/>
      <c r="R185" s="3788"/>
      <c r="S185" s="3788"/>
      <c r="T185" s="3788"/>
      <c r="U185" s="3788"/>
      <c r="V185" s="3788"/>
      <c r="W185" s="3788"/>
      <c r="X185" s="3788"/>
    </row>
    <row r="186" spans="1:24" s="10" customFormat="1" ht="30.75" customHeight="1">
      <c r="A186" s="3788" t="str">
        <f>C9</f>
        <v xml:space="preserve">Section 6 - All Calculations </v>
      </c>
      <c r="B186" s="3788"/>
      <c r="C186" s="3788"/>
      <c r="D186" s="3788"/>
      <c r="E186" s="3788"/>
      <c r="F186" s="3788"/>
      <c r="G186" s="3788"/>
      <c r="H186" s="3788"/>
      <c r="Q186" s="3788"/>
      <c r="R186" s="3788"/>
      <c r="S186" s="3788"/>
      <c r="T186" s="3788"/>
      <c r="U186" s="3788"/>
      <c r="V186" s="3788"/>
      <c r="W186" s="3788"/>
      <c r="X186" s="3788"/>
    </row>
    <row r="187" spans="1:24" s="10" customFormat="1" ht="30.75" customHeight="1">
      <c r="A187" s="253"/>
      <c r="B187" s="253"/>
      <c r="C187" s="253"/>
      <c r="D187" s="253"/>
      <c r="E187" s="253"/>
      <c r="F187" s="253"/>
      <c r="G187" s="253"/>
      <c r="H187" s="253"/>
      <c r="Q187" s="253"/>
      <c r="R187" s="253"/>
      <c r="S187" s="253"/>
      <c r="T187" s="253"/>
      <c r="U187" s="253"/>
      <c r="V187" s="253"/>
      <c r="W187" s="253"/>
      <c r="X187" s="253"/>
    </row>
    <row r="188" spans="1:24" s="10" customFormat="1" ht="30.75" customHeight="1">
      <c r="A188" s="253"/>
      <c r="B188" s="253"/>
      <c r="C188" s="253"/>
      <c r="D188" s="253"/>
      <c r="E188" s="253"/>
      <c r="F188" s="253"/>
      <c r="G188" s="253"/>
      <c r="H188" s="253"/>
      <c r="Q188" s="253"/>
      <c r="R188" s="253"/>
      <c r="S188" s="253"/>
      <c r="T188" s="253"/>
      <c r="U188" s="253"/>
      <c r="V188" s="253"/>
      <c r="W188" s="253"/>
      <c r="X188" s="253"/>
    </row>
    <row r="189" spans="1:24" s="10" customFormat="1" ht="30.75" customHeight="1">
      <c r="A189" s="253"/>
      <c r="B189" s="253"/>
      <c r="C189" s="253"/>
      <c r="D189" s="253"/>
      <c r="E189" s="253"/>
      <c r="F189" s="253"/>
      <c r="G189" s="253"/>
      <c r="H189" s="253"/>
      <c r="Q189" s="253"/>
      <c r="R189" s="253"/>
      <c r="S189" s="253"/>
      <c r="T189" s="253"/>
      <c r="U189" s="253"/>
      <c r="V189" s="253"/>
      <c r="W189" s="253"/>
      <c r="X189" s="253"/>
    </row>
    <row r="190" spans="1:24" s="10" customFormat="1" ht="30.75" customHeight="1">
      <c r="A190" s="253"/>
      <c r="B190" s="253"/>
      <c r="C190" s="253"/>
      <c r="D190" s="253"/>
      <c r="E190" s="253"/>
      <c r="F190" s="253"/>
      <c r="G190" s="253"/>
      <c r="H190" s="253"/>
      <c r="Q190" s="253"/>
      <c r="R190" s="253"/>
      <c r="S190" s="253"/>
      <c r="T190" s="253"/>
      <c r="U190" s="253"/>
      <c r="V190" s="253"/>
      <c r="W190" s="253"/>
      <c r="X190" s="253"/>
    </row>
    <row r="191" spans="1:24" s="10" customFormat="1" ht="30.75" customHeight="1">
      <c r="A191" s="253"/>
      <c r="B191" s="253"/>
      <c r="C191" s="253"/>
      <c r="D191" s="253"/>
      <c r="E191" s="253"/>
      <c r="F191" s="253"/>
      <c r="G191" s="253"/>
      <c r="H191" s="253"/>
      <c r="Q191" s="253"/>
      <c r="R191" s="253"/>
      <c r="S191" s="253"/>
      <c r="T191" s="253"/>
      <c r="U191" s="253"/>
      <c r="V191" s="253"/>
      <c r="W191" s="253"/>
      <c r="X191" s="253"/>
    </row>
    <row r="192" spans="1:24" s="10" customFormat="1" ht="30.75" customHeight="1">
      <c r="A192" s="253"/>
      <c r="B192" s="253"/>
      <c r="C192" s="253"/>
      <c r="D192" s="253"/>
      <c r="E192" s="253"/>
      <c r="F192" s="253"/>
      <c r="G192" s="253"/>
      <c r="H192" s="253"/>
      <c r="Q192" s="253"/>
      <c r="R192" s="253"/>
      <c r="S192" s="253"/>
      <c r="T192" s="253"/>
      <c r="U192" s="253"/>
      <c r="V192" s="253"/>
      <c r="W192" s="253"/>
      <c r="X192" s="253"/>
    </row>
    <row r="193" spans="1:24" s="10" customFormat="1" ht="30.75" customHeight="1">
      <c r="A193" s="253"/>
      <c r="B193" s="253"/>
      <c r="C193" s="253"/>
      <c r="D193" s="253"/>
      <c r="E193" s="253"/>
      <c r="F193" s="253"/>
      <c r="G193" s="253"/>
      <c r="H193" s="253"/>
      <c r="Q193" s="253"/>
      <c r="R193" s="253"/>
      <c r="S193" s="253"/>
      <c r="T193" s="253"/>
      <c r="U193" s="253"/>
      <c r="V193" s="253"/>
      <c r="W193" s="253"/>
      <c r="X193" s="253"/>
    </row>
    <row r="194" spans="1:24" s="10" customFormat="1" ht="30.75" customHeight="1">
      <c r="A194" s="253"/>
      <c r="B194" s="253"/>
      <c r="C194" s="253"/>
      <c r="D194" s="253"/>
      <c r="E194" s="253"/>
      <c r="F194" s="253"/>
      <c r="G194" s="253"/>
      <c r="H194" s="253"/>
      <c r="Q194" s="253"/>
      <c r="R194" s="253"/>
      <c r="S194" s="253"/>
      <c r="T194" s="253"/>
      <c r="U194" s="253"/>
      <c r="V194" s="253"/>
      <c r="W194" s="253"/>
      <c r="X194" s="253"/>
    </row>
    <row r="195" spans="1:24" s="10" customFormat="1" ht="30.75" customHeight="1">
      <c r="A195" s="253"/>
      <c r="B195" s="253"/>
      <c r="C195" s="253"/>
      <c r="D195" s="253"/>
      <c r="E195" s="253"/>
      <c r="F195" s="253"/>
      <c r="G195" s="253"/>
      <c r="H195" s="253"/>
      <c r="Q195" s="253"/>
      <c r="R195" s="253"/>
      <c r="S195" s="253"/>
      <c r="T195" s="253"/>
      <c r="U195" s="253"/>
      <c r="V195" s="253"/>
      <c r="W195" s="253"/>
      <c r="X195" s="253"/>
    </row>
    <row r="196" spans="1:24" s="10" customFormat="1" ht="30.75" customHeight="1">
      <c r="A196" s="253"/>
      <c r="B196" s="253"/>
      <c r="C196" s="253"/>
      <c r="D196" s="253"/>
      <c r="E196" s="253"/>
      <c r="F196" s="253"/>
      <c r="G196" s="253"/>
      <c r="H196" s="253"/>
      <c r="Q196" s="253"/>
      <c r="R196" s="253"/>
      <c r="S196" s="253"/>
      <c r="T196" s="253"/>
      <c r="U196" s="253"/>
      <c r="V196" s="253"/>
      <c r="W196" s="253"/>
      <c r="X196" s="253"/>
    </row>
    <row r="197" spans="1:24" s="10" customFormat="1" ht="30.75" customHeight="1">
      <c r="A197" s="253"/>
      <c r="B197" s="253"/>
      <c r="C197" s="253"/>
      <c r="D197" s="253"/>
      <c r="E197" s="253"/>
      <c r="F197" s="253"/>
      <c r="G197" s="253"/>
      <c r="H197" s="253"/>
      <c r="Q197" s="253"/>
      <c r="R197" s="253"/>
      <c r="S197" s="253"/>
      <c r="T197" s="253"/>
      <c r="U197" s="253"/>
      <c r="V197" s="253"/>
      <c r="W197" s="253"/>
      <c r="X197" s="253"/>
    </row>
    <row r="198" spans="1:24" ht="30.75" customHeight="1">
      <c r="A198" s="253"/>
      <c r="B198" s="253"/>
      <c r="C198" s="253"/>
      <c r="D198" s="253"/>
      <c r="E198" s="253"/>
      <c r="F198" s="253"/>
      <c r="G198" s="253"/>
      <c r="H198" s="253"/>
    </row>
    <row r="199" spans="1:24" ht="30.75" customHeight="1">
      <c r="A199" s="253"/>
      <c r="B199" s="253"/>
      <c r="C199" s="253"/>
      <c r="D199" s="253"/>
      <c r="E199" s="253"/>
      <c r="F199" s="253"/>
      <c r="G199" s="253"/>
      <c r="H199" s="253"/>
    </row>
    <row r="200" spans="1:24" ht="30.75" customHeight="1">
      <c r="A200" s="253"/>
      <c r="B200" s="253"/>
      <c r="C200" s="253"/>
      <c r="D200" s="253"/>
      <c r="E200" s="253"/>
      <c r="F200" s="253"/>
      <c r="G200" s="253"/>
      <c r="H200" s="253"/>
    </row>
    <row r="201" spans="1:24" ht="30.75" customHeight="1">
      <c r="A201" s="253"/>
      <c r="B201" s="253"/>
      <c r="C201" s="253"/>
      <c r="D201" s="253"/>
      <c r="E201" s="253"/>
      <c r="F201" s="253"/>
      <c r="G201" s="253"/>
      <c r="H201" s="253"/>
    </row>
    <row r="202" spans="1:24" ht="30.75" customHeight="1">
      <c r="A202" s="253"/>
      <c r="B202" s="253"/>
      <c r="C202" s="253"/>
      <c r="D202" s="253"/>
      <c r="E202" s="253"/>
      <c r="F202" s="253"/>
      <c r="G202" s="253"/>
      <c r="H202" s="253"/>
    </row>
    <row r="203" spans="1:24" ht="30.75" customHeight="1">
      <c r="A203" s="253"/>
      <c r="B203" s="253"/>
      <c r="C203" s="253"/>
      <c r="D203" s="253"/>
      <c r="E203" s="253"/>
      <c r="F203" s="253"/>
      <c r="G203" s="253"/>
      <c r="H203" s="253"/>
    </row>
    <row r="204" spans="1:24" ht="30.75" customHeight="1">
      <c r="A204" s="2369"/>
      <c r="B204" s="2369"/>
      <c r="C204" s="2369"/>
      <c r="D204" s="2369"/>
      <c r="E204" s="2369"/>
      <c r="F204" s="2369"/>
      <c r="G204" s="2369"/>
      <c r="H204" s="2369"/>
    </row>
    <row r="205" spans="1:24" ht="30.75" customHeight="1">
      <c r="A205" s="2369"/>
      <c r="B205" s="2369"/>
      <c r="C205" s="2369"/>
      <c r="D205" s="2369"/>
      <c r="E205" s="2369"/>
      <c r="F205" s="2369"/>
      <c r="G205" s="2369"/>
      <c r="H205" s="2369"/>
    </row>
    <row r="206" spans="1:24" ht="30.75" customHeight="1">
      <c r="A206" s="2369"/>
      <c r="B206" s="2369"/>
      <c r="C206" s="2369"/>
      <c r="D206" s="2369"/>
      <c r="E206" s="2369"/>
      <c r="F206" s="2369"/>
      <c r="G206" s="2369"/>
      <c r="H206" s="2369"/>
    </row>
    <row r="207" spans="1:24" ht="30.75" customHeight="1">
      <c r="A207" s="2369"/>
      <c r="B207" s="2369"/>
      <c r="C207" s="2369"/>
      <c r="D207" s="2369"/>
      <c r="E207" s="2369"/>
      <c r="F207" s="2369"/>
      <c r="G207" s="2369"/>
      <c r="H207" s="2369"/>
    </row>
    <row r="208" spans="1:24" ht="30.75" customHeight="1">
      <c r="A208" s="2369"/>
      <c r="B208" s="2369"/>
      <c r="C208" s="2369"/>
      <c r="D208" s="2369"/>
      <c r="E208" s="2369"/>
      <c r="F208" s="2369"/>
      <c r="G208" s="2369"/>
      <c r="H208" s="2369"/>
    </row>
    <row r="209" spans="1:8" ht="30.75" customHeight="1">
      <c r="A209" s="253"/>
      <c r="B209" s="253"/>
      <c r="C209" s="253"/>
      <c r="D209" s="253"/>
      <c r="E209" s="253"/>
      <c r="F209" s="253"/>
      <c r="G209" s="253"/>
      <c r="H209" s="253"/>
    </row>
    <row r="210" spans="1:8" ht="30.75" customHeight="1">
      <c r="A210" s="253"/>
      <c r="B210" s="253"/>
      <c r="C210" s="253"/>
      <c r="D210" s="253"/>
      <c r="E210" s="253"/>
      <c r="F210" s="253"/>
      <c r="G210" s="253"/>
      <c r="H210" s="253"/>
    </row>
    <row r="211" spans="1:8" ht="30.75" customHeight="1">
      <c r="A211" s="253"/>
      <c r="B211" s="253"/>
      <c r="C211" s="253"/>
      <c r="D211" s="253"/>
      <c r="E211" s="253"/>
      <c r="F211" s="253"/>
      <c r="G211" s="253"/>
      <c r="H211" s="253"/>
    </row>
    <row r="212" spans="1:8" ht="30.75" customHeight="1">
      <c r="A212" s="26"/>
      <c r="B212" s="26"/>
      <c r="C212" s="26"/>
      <c r="D212" s="26"/>
      <c r="E212" s="26"/>
      <c r="F212" s="26"/>
      <c r="G212" s="26"/>
      <c r="H212" s="26"/>
    </row>
    <row r="213" spans="1:8" ht="30.75" customHeight="1">
      <c r="A213" s="254"/>
      <c r="B213" s="254"/>
      <c r="C213" s="254"/>
      <c r="D213" s="254"/>
      <c r="E213" s="254"/>
      <c r="F213" s="254"/>
      <c r="G213" s="254"/>
      <c r="H213" s="254"/>
    </row>
    <row r="214" spans="1:8" ht="30.75" customHeight="1">
      <c r="A214" s="3788" t="str">
        <f>A10</f>
        <v>Tab 7</v>
      </c>
      <c r="B214" s="3788"/>
      <c r="C214" s="3788"/>
      <c r="D214" s="3788"/>
      <c r="E214" s="3788"/>
      <c r="F214" s="3788"/>
      <c r="G214" s="3788"/>
      <c r="H214" s="3788"/>
    </row>
    <row r="215" spans="1:8" ht="30.75" customHeight="1">
      <c r="A215" s="3789" t="str">
        <f>C10</f>
        <v>Section 7 - Information Used To Determine Emissions</v>
      </c>
      <c r="B215" s="3789"/>
      <c r="C215" s="3789"/>
      <c r="D215" s="3789"/>
      <c r="E215" s="3789"/>
      <c r="F215" s="3789"/>
      <c r="G215" s="3789"/>
      <c r="H215" s="3789"/>
    </row>
    <row r="216" spans="1:8" ht="30.75" customHeight="1">
      <c r="A216" s="3789"/>
      <c r="B216" s="3789"/>
      <c r="C216" s="3789"/>
      <c r="D216" s="3789"/>
      <c r="E216" s="3789"/>
      <c r="F216" s="3789"/>
      <c r="G216" s="3789"/>
      <c r="H216" s="3789"/>
    </row>
    <row r="217" spans="1:8" ht="30.75" customHeight="1">
      <c r="A217" s="253"/>
      <c r="B217" s="253"/>
      <c r="C217" s="253"/>
      <c r="D217" s="253"/>
      <c r="E217" s="253"/>
      <c r="F217" s="253"/>
      <c r="G217" s="253"/>
      <c r="H217" s="253"/>
    </row>
    <row r="218" spans="1:8" ht="30.75" customHeight="1">
      <c r="A218" s="253"/>
      <c r="B218" s="253"/>
      <c r="C218" s="253"/>
      <c r="D218" s="253"/>
      <c r="E218" s="253"/>
      <c r="F218" s="253"/>
      <c r="G218" s="253"/>
      <c r="H218" s="253"/>
    </row>
    <row r="219" spans="1:8" ht="30.75" customHeight="1">
      <c r="A219" s="253"/>
      <c r="B219" s="253"/>
      <c r="C219" s="253"/>
      <c r="D219" s="253"/>
      <c r="E219" s="253"/>
      <c r="F219" s="253"/>
      <c r="G219" s="253"/>
      <c r="H219" s="253"/>
    </row>
    <row r="220" spans="1:8" ht="30.75" customHeight="1">
      <c r="A220" s="253"/>
      <c r="B220" s="253"/>
      <c r="C220" s="253"/>
      <c r="D220" s="253"/>
      <c r="E220" s="253"/>
      <c r="F220" s="253"/>
      <c r="G220" s="253"/>
      <c r="H220" s="253"/>
    </row>
    <row r="221" spans="1:8" ht="30.75" customHeight="1">
      <c r="A221" s="253"/>
      <c r="B221" s="253"/>
      <c r="C221" s="253"/>
      <c r="D221" s="253"/>
      <c r="E221" s="253"/>
      <c r="F221" s="253"/>
      <c r="G221" s="253"/>
      <c r="H221" s="253"/>
    </row>
    <row r="222" spans="1:8" ht="30.75" customHeight="1">
      <c r="A222" s="253"/>
      <c r="B222" s="253"/>
      <c r="C222" s="253"/>
      <c r="D222" s="253"/>
      <c r="E222" s="253"/>
      <c r="F222" s="253"/>
      <c r="G222" s="253"/>
      <c r="H222" s="253"/>
    </row>
    <row r="223" spans="1:8" ht="30.75" customHeight="1">
      <c r="A223" s="253"/>
      <c r="B223" s="253"/>
      <c r="C223" s="253"/>
      <c r="D223" s="253"/>
      <c r="E223" s="253"/>
      <c r="F223" s="253"/>
      <c r="G223" s="253"/>
      <c r="H223" s="253"/>
    </row>
    <row r="224" spans="1:8" ht="30.75" customHeight="1">
      <c r="A224" s="253"/>
      <c r="B224" s="253"/>
      <c r="C224" s="253"/>
      <c r="D224" s="253"/>
      <c r="E224" s="253"/>
      <c r="F224" s="253"/>
      <c r="G224" s="253"/>
      <c r="H224" s="253"/>
    </row>
    <row r="225" spans="1:8" ht="30.75" customHeight="1">
      <c r="A225" s="253"/>
      <c r="B225" s="253"/>
      <c r="C225" s="253"/>
      <c r="D225" s="253"/>
      <c r="E225" s="253"/>
      <c r="F225" s="253"/>
      <c r="G225" s="253"/>
      <c r="H225" s="253"/>
    </row>
    <row r="226" spans="1:8" ht="30.75" customHeight="1">
      <c r="A226" s="253"/>
      <c r="B226" s="253"/>
      <c r="C226" s="253"/>
      <c r="D226" s="253"/>
      <c r="E226" s="253"/>
      <c r="F226" s="253"/>
      <c r="G226" s="253"/>
      <c r="H226" s="253"/>
    </row>
    <row r="227" spans="1:8" ht="30.75" customHeight="1">
      <c r="A227" s="253"/>
      <c r="B227" s="253"/>
      <c r="C227" s="253"/>
      <c r="D227" s="253"/>
      <c r="E227" s="253"/>
      <c r="F227" s="253"/>
      <c r="G227" s="253"/>
      <c r="H227" s="253"/>
    </row>
    <row r="228" spans="1:8" ht="30.75" customHeight="1">
      <c r="A228" s="253"/>
      <c r="B228" s="253"/>
      <c r="C228" s="253"/>
      <c r="D228" s="253"/>
      <c r="E228" s="253"/>
      <c r="F228" s="253"/>
      <c r="G228" s="253"/>
      <c r="H228" s="253"/>
    </row>
    <row r="229" spans="1:8" ht="30.75" customHeight="1">
      <c r="A229" s="253"/>
      <c r="B229" s="253"/>
      <c r="C229" s="253"/>
      <c r="D229" s="253"/>
      <c r="E229" s="253"/>
      <c r="F229" s="253"/>
      <c r="G229" s="253"/>
      <c r="H229" s="253"/>
    </row>
    <row r="230" spans="1:8" ht="30.75" customHeight="1">
      <c r="A230" s="2369"/>
      <c r="B230" s="2369"/>
      <c r="C230" s="2369"/>
      <c r="D230" s="2369"/>
      <c r="E230" s="2369"/>
      <c r="F230" s="2369"/>
      <c r="G230" s="2369"/>
      <c r="H230" s="2369"/>
    </row>
    <row r="231" spans="1:8" ht="30.75" customHeight="1">
      <c r="A231" s="2369"/>
      <c r="B231" s="2369"/>
      <c r="C231" s="2369"/>
      <c r="D231" s="2369"/>
      <c r="E231" s="2369"/>
      <c r="F231" s="2369"/>
      <c r="G231" s="2369"/>
      <c r="H231" s="2369"/>
    </row>
    <row r="232" spans="1:8" ht="30.75" customHeight="1">
      <c r="A232" s="2369"/>
      <c r="B232" s="2369"/>
      <c r="C232" s="2369"/>
      <c r="D232" s="2369"/>
      <c r="E232" s="2369"/>
      <c r="F232" s="2369"/>
      <c r="G232" s="2369"/>
      <c r="H232" s="2369"/>
    </row>
    <row r="233" spans="1:8" ht="30.75" customHeight="1">
      <c r="A233" s="2369"/>
      <c r="B233" s="2369"/>
      <c r="C233" s="2369"/>
      <c r="D233" s="2369"/>
      <c r="E233" s="2369"/>
      <c r="F233" s="2369"/>
      <c r="G233" s="2369"/>
      <c r="H233" s="2369"/>
    </row>
    <row r="234" spans="1:8" ht="30.75" customHeight="1">
      <c r="A234" s="2369"/>
      <c r="B234" s="2369"/>
      <c r="C234" s="2369"/>
      <c r="D234" s="2369"/>
      <c r="E234" s="2369"/>
      <c r="F234" s="2369"/>
      <c r="G234" s="2369"/>
      <c r="H234" s="2369"/>
    </row>
    <row r="235" spans="1:8" ht="30.75" customHeight="1">
      <c r="A235" s="253"/>
      <c r="B235" s="253"/>
      <c r="C235" s="253"/>
      <c r="D235" s="253"/>
      <c r="E235" s="253"/>
      <c r="F235" s="253"/>
      <c r="G235" s="253"/>
      <c r="H235" s="253"/>
    </row>
    <row r="236" spans="1:8" ht="30.75" customHeight="1">
      <c r="A236" s="253"/>
      <c r="B236" s="253"/>
      <c r="C236" s="253"/>
      <c r="D236" s="253"/>
      <c r="E236" s="253"/>
      <c r="F236" s="253"/>
      <c r="G236" s="253"/>
      <c r="H236" s="253"/>
    </row>
    <row r="237" spans="1:8" ht="30.75" customHeight="1">
      <c r="A237" s="253"/>
      <c r="B237" s="253"/>
      <c r="C237" s="253"/>
      <c r="D237" s="253"/>
      <c r="E237" s="253"/>
      <c r="F237" s="253"/>
      <c r="G237" s="253"/>
      <c r="H237" s="253"/>
    </row>
    <row r="238" spans="1:8" ht="30.75" customHeight="1">
      <c r="A238" s="253"/>
      <c r="B238" s="253"/>
      <c r="C238" s="253"/>
      <c r="D238" s="253"/>
      <c r="E238" s="253"/>
      <c r="F238" s="253"/>
      <c r="G238" s="253"/>
      <c r="H238" s="253"/>
    </row>
    <row r="239" spans="1:8" ht="30.75" customHeight="1">
      <c r="A239" s="253"/>
      <c r="B239" s="253"/>
      <c r="C239" s="253"/>
      <c r="D239" s="253"/>
      <c r="E239" s="253"/>
      <c r="F239" s="253"/>
      <c r="G239" s="253"/>
      <c r="H239" s="253"/>
    </row>
    <row r="240" spans="1:8" ht="30.75" customHeight="1">
      <c r="A240" s="3592"/>
      <c r="B240" s="3592"/>
      <c r="C240" s="3592"/>
      <c r="D240" s="3592"/>
      <c r="E240" s="3592"/>
      <c r="F240" s="3592"/>
      <c r="G240" s="3592"/>
      <c r="H240" s="3592"/>
    </row>
    <row r="241" spans="1:8" ht="30.75" customHeight="1">
      <c r="A241" s="3592"/>
      <c r="B241" s="3592"/>
      <c r="C241" s="3592"/>
      <c r="D241" s="3592"/>
      <c r="E241" s="3592"/>
      <c r="F241" s="3592"/>
      <c r="G241" s="3592"/>
      <c r="H241" s="3592"/>
    </row>
    <row r="242" spans="1:8" ht="30.75" customHeight="1">
      <c r="A242" s="253"/>
      <c r="B242" s="253"/>
      <c r="C242" s="253"/>
      <c r="D242" s="253"/>
      <c r="E242" s="253"/>
      <c r="F242" s="253"/>
      <c r="G242" s="253"/>
      <c r="H242" s="253"/>
    </row>
    <row r="243" spans="1:8" ht="30.75" customHeight="1">
      <c r="A243" s="253"/>
      <c r="B243" s="253"/>
      <c r="C243" s="253"/>
      <c r="D243" s="253"/>
      <c r="E243" s="253"/>
      <c r="F243" s="253"/>
      <c r="G243" s="253"/>
      <c r="H243" s="253"/>
    </row>
    <row r="244" spans="1:8" ht="30.75" customHeight="1">
      <c r="A244" s="253"/>
      <c r="B244" s="253"/>
      <c r="C244" s="253"/>
      <c r="D244" s="253"/>
      <c r="E244" s="253"/>
      <c r="F244" s="253"/>
      <c r="G244" s="253"/>
      <c r="H244" s="253"/>
    </row>
    <row r="245" spans="1:8" ht="30.75" customHeight="1">
      <c r="A245" s="3788" t="str">
        <f>A11</f>
        <v>Tab 8</v>
      </c>
      <c r="B245" s="3788"/>
      <c r="C245" s="3788"/>
      <c r="D245" s="3788"/>
      <c r="E245" s="3788"/>
      <c r="F245" s="3788"/>
      <c r="G245" s="3788"/>
      <c r="H245" s="3788"/>
    </row>
    <row r="246" spans="1:8" ht="30.75" customHeight="1">
      <c r="A246" s="3788" t="str">
        <f>C11</f>
        <v>Section 8 - Map(s)</v>
      </c>
      <c r="B246" s="3788"/>
      <c r="C246" s="3788"/>
      <c r="D246" s="3788"/>
      <c r="E246" s="3788"/>
      <c r="F246" s="3788"/>
      <c r="G246" s="3788"/>
      <c r="H246" s="3788"/>
    </row>
    <row r="247" spans="1:8" ht="30.75" customHeight="1">
      <c r="A247" s="253"/>
      <c r="B247" s="253"/>
      <c r="C247" s="253"/>
      <c r="D247" s="253"/>
      <c r="E247" s="253"/>
      <c r="F247" s="253"/>
      <c r="G247" s="253"/>
      <c r="H247" s="253"/>
    </row>
    <row r="248" spans="1:8" ht="30.75" customHeight="1">
      <c r="A248" s="253"/>
      <c r="B248" s="253"/>
      <c r="C248" s="253"/>
      <c r="D248" s="253"/>
      <c r="E248" s="253"/>
      <c r="F248" s="253"/>
      <c r="G248" s="253"/>
      <c r="H248" s="253"/>
    </row>
    <row r="249" spans="1:8" ht="30.75" customHeight="1">
      <c r="A249" s="253"/>
      <c r="B249" s="253"/>
      <c r="C249" s="253"/>
      <c r="D249" s="253"/>
      <c r="E249" s="253"/>
      <c r="F249" s="253"/>
      <c r="G249" s="253"/>
      <c r="H249" s="253"/>
    </row>
    <row r="250" spans="1:8" ht="30.75" customHeight="1">
      <c r="A250" s="253"/>
      <c r="B250" s="253"/>
      <c r="C250" s="253"/>
      <c r="D250" s="253"/>
      <c r="E250" s="253"/>
      <c r="F250" s="253"/>
      <c r="G250" s="253"/>
      <c r="H250" s="253"/>
    </row>
    <row r="251" spans="1:8" ht="30.75" customHeight="1">
      <c r="A251" s="253"/>
      <c r="B251" s="253"/>
      <c r="C251" s="253"/>
      <c r="D251" s="253"/>
      <c r="E251" s="253"/>
      <c r="F251" s="253"/>
      <c r="G251" s="253"/>
      <c r="H251" s="253"/>
    </row>
    <row r="252" spans="1:8" ht="30.75" customHeight="1">
      <c r="A252" s="253"/>
      <c r="B252" s="253"/>
      <c r="C252" s="253"/>
      <c r="D252" s="253"/>
      <c r="E252" s="253"/>
      <c r="F252" s="253"/>
      <c r="G252" s="253"/>
      <c r="H252" s="253"/>
    </row>
    <row r="253" spans="1:8" ht="30.75" customHeight="1">
      <c r="A253" s="253"/>
      <c r="B253" s="253"/>
      <c r="C253" s="253"/>
      <c r="D253" s="253"/>
      <c r="E253" s="253"/>
      <c r="F253" s="253"/>
      <c r="G253" s="253"/>
      <c r="H253" s="253"/>
    </row>
    <row r="254" spans="1:8" ht="30.75" customHeight="1">
      <c r="A254" s="253"/>
      <c r="B254" s="253"/>
      <c r="C254" s="253"/>
      <c r="D254" s="253"/>
      <c r="E254" s="253"/>
      <c r="F254" s="253"/>
      <c r="G254" s="253"/>
      <c r="H254" s="253"/>
    </row>
    <row r="255" spans="1:8" ht="30.75" customHeight="1">
      <c r="A255" s="253"/>
      <c r="B255" s="253"/>
      <c r="C255" s="253"/>
      <c r="D255" s="253"/>
      <c r="E255" s="253"/>
      <c r="F255" s="253"/>
      <c r="G255" s="253"/>
      <c r="H255" s="253"/>
    </row>
    <row r="256" spans="1:8" ht="30.75" customHeight="1">
      <c r="A256" s="253"/>
      <c r="B256" s="253"/>
      <c r="C256" s="253"/>
      <c r="D256" s="253"/>
      <c r="E256" s="253"/>
      <c r="F256" s="253"/>
      <c r="G256" s="253"/>
      <c r="H256" s="253"/>
    </row>
    <row r="257" spans="1:8" ht="30.75" customHeight="1">
      <c r="A257" s="253"/>
      <c r="B257" s="253"/>
      <c r="C257" s="253"/>
      <c r="D257" s="253"/>
      <c r="E257" s="253"/>
      <c r="F257" s="253"/>
      <c r="G257" s="253"/>
      <c r="H257" s="253"/>
    </row>
    <row r="258" spans="1:8" ht="30.75" customHeight="1">
      <c r="A258" s="253"/>
      <c r="B258" s="253"/>
      <c r="C258" s="253"/>
      <c r="D258" s="253"/>
      <c r="E258" s="253"/>
      <c r="F258" s="253"/>
      <c r="G258" s="253"/>
      <c r="H258" s="253"/>
    </row>
    <row r="259" spans="1:8" ht="30.75" customHeight="1">
      <c r="A259" s="253"/>
      <c r="B259" s="253"/>
      <c r="C259" s="253"/>
      <c r="D259" s="253"/>
      <c r="E259" s="253"/>
      <c r="F259" s="253"/>
      <c r="G259" s="253"/>
      <c r="H259" s="253"/>
    </row>
    <row r="260" spans="1:8" ht="30.75" customHeight="1">
      <c r="A260" s="253"/>
      <c r="B260" s="253"/>
      <c r="C260" s="253"/>
      <c r="D260" s="253"/>
      <c r="E260" s="253"/>
      <c r="F260" s="253"/>
      <c r="G260" s="253"/>
      <c r="H260" s="253"/>
    </row>
    <row r="261" spans="1:8" ht="30.75" customHeight="1">
      <c r="A261" s="253"/>
      <c r="B261" s="253"/>
      <c r="C261" s="253"/>
      <c r="D261" s="253"/>
      <c r="E261" s="253"/>
      <c r="F261" s="253"/>
      <c r="G261" s="253"/>
      <c r="H261" s="253"/>
    </row>
    <row r="262" spans="1:8" ht="30.75" customHeight="1">
      <c r="A262" s="253"/>
      <c r="B262" s="253"/>
      <c r="C262" s="253"/>
      <c r="D262" s="253"/>
      <c r="E262" s="253"/>
      <c r="F262" s="253"/>
      <c r="G262" s="253"/>
      <c r="H262" s="253"/>
    </row>
    <row r="263" spans="1:8" ht="30.75" customHeight="1">
      <c r="A263" s="253"/>
      <c r="B263" s="253"/>
      <c r="C263" s="253"/>
      <c r="D263" s="253"/>
      <c r="E263" s="253"/>
      <c r="F263" s="253"/>
      <c r="G263" s="253"/>
      <c r="H263" s="253"/>
    </row>
    <row r="264" spans="1:8" ht="30.75" customHeight="1">
      <c r="A264" s="2369"/>
      <c r="B264" s="2369"/>
      <c r="C264" s="2369"/>
      <c r="D264" s="2369"/>
      <c r="E264" s="2369"/>
      <c r="F264" s="2369"/>
      <c r="G264" s="2369"/>
      <c r="H264" s="2369"/>
    </row>
    <row r="265" spans="1:8" ht="30.75" customHeight="1">
      <c r="A265" s="2369"/>
      <c r="B265" s="2369"/>
      <c r="C265" s="2369"/>
      <c r="D265" s="2369"/>
      <c r="E265" s="2369"/>
      <c r="F265" s="2369"/>
      <c r="G265" s="2369"/>
      <c r="H265" s="2369"/>
    </row>
    <row r="266" spans="1:8" ht="30.75" customHeight="1">
      <c r="A266" s="2369"/>
      <c r="B266" s="2369"/>
      <c r="C266" s="2369"/>
      <c r="D266" s="2369"/>
      <c r="E266" s="2369"/>
      <c r="F266" s="2369"/>
      <c r="G266" s="2369"/>
      <c r="H266" s="2369"/>
    </row>
    <row r="267" spans="1:8" ht="30.75" customHeight="1">
      <c r="A267" s="2369"/>
      <c r="B267" s="2369"/>
      <c r="C267" s="2369"/>
      <c r="D267" s="2369"/>
      <c r="E267" s="2369"/>
      <c r="F267" s="2369"/>
      <c r="G267" s="2369"/>
      <c r="H267" s="2369"/>
    </row>
    <row r="268" spans="1:8" ht="30.65" customHeight="1">
      <c r="A268" s="253"/>
      <c r="B268" s="253"/>
      <c r="C268" s="253"/>
      <c r="D268" s="253"/>
      <c r="E268" s="253"/>
      <c r="F268" s="253"/>
      <c r="G268" s="253"/>
      <c r="H268" s="253"/>
    </row>
    <row r="269" spans="1:8" ht="30.75" customHeight="1">
      <c r="A269" s="253"/>
      <c r="B269" s="253"/>
      <c r="C269" s="253"/>
      <c r="D269" s="253"/>
      <c r="E269" s="253"/>
      <c r="F269" s="253"/>
      <c r="G269" s="253"/>
      <c r="H269" s="253"/>
    </row>
    <row r="270" spans="1:8" ht="30.75" customHeight="1">
      <c r="A270" s="2369"/>
      <c r="B270" s="2369"/>
      <c r="C270" s="2369"/>
      <c r="D270" s="2369"/>
      <c r="E270" s="2369"/>
      <c r="F270" s="2369"/>
      <c r="G270" s="2369"/>
      <c r="H270" s="2369"/>
    </row>
    <row r="271" spans="1:8" ht="30.75" customHeight="1">
      <c r="A271" s="253"/>
      <c r="B271" s="253"/>
      <c r="C271" s="253"/>
      <c r="D271" s="253"/>
      <c r="E271" s="253"/>
      <c r="F271" s="253"/>
      <c r="G271" s="253"/>
      <c r="H271" s="253"/>
    </row>
    <row r="272" spans="1:8" ht="30.75" customHeight="1">
      <c r="A272" s="253"/>
      <c r="B272" s="253"/>
      <c r="C272" s="253"/>
      <c r="D272" s="253"/>
      <c r="E272" s="253"/>
      <c r="F272" s="253"/>
      <c r="G272" s="253"/>
      <c r="H272" s="253"/>
    </row>
    <row r="273" spans="1:8" ht="30.75" customHeight="1">
      <c r="A273" s="3592"/>
      <c r="B273" s="3592"/>
      <c r="C273" s="3592"/>
      <c r="D273" s="3592"/>
      <c r="E273" s="3592"/>
      <c r="F273" s="3592"/>
      <c r="G273" s="3592"/>
      <c r="H273" s="3592"/>
    </row>
    <row r="274" spans="1:8" ht="30.75" customHeight="1">
      <c r="A274" s="253"/>
      <c r="B274" s="253"/>
      <c r="C274" s="253"/>
      <c r="D274" s="253"/>
      <c r="E274" s="253"/>
      <c r="F274" s="253"/>
      <c r="G274" s="253"/>
      <c r="H274" s="253"/>
    </row>
    <row r="275" spans="1:8" ht="30.75" customHeight="1">
      <c r="A275" s="3788" t="str">
        <f>A12</f>
        <v>Tab 9</v>
      </c>
      <c r="B275" s="3788"/>
      <c r="C275" s="3788"/>
      <c r="D275" s="3788"/>
      <c r="E275" s="3788"/>
      <c r="F275" s="3788"/>
      <c r="G275" s="3788"/>
      <c r="H275" s="3788"/>
    </row>
    <row r="276" spans="1:8" ht="30.75" customHeight="1">
      <c r="A276" s="3788" t="str">
        <f>C12</f>
        <v>Section 9 - Proof of Public Notice</v>
      </c>
      <c r="B276" s="3788"/>
      <c r="C276" s="3788"/>
      <c r="D276" s="3788"/>
      <c r="E276" s="3788"/>
      <c r="F276" s="3788"/>
      <c r="G276" s="3788"/>
      <c r="H276" s="3788"/>
    </row>
    <row r="277" spans="1:8" ht="30.75" customHeight="1">
      <c r="A277" s="253"/>
      <c r="B277" s="253"/>
      <c r="C277" s="253"/>
      <c r="D277" s="253"/>
      <c r="E277" s="253"/>
      <c r="F277" s="253"/>
      <c r="G277" s="253"/>
      <c r="H277" s="253"/>
    </row>
    <row r="278" spans="1:8" ht="30.75" customHeight="1">
      <c r="A278" s="253"/>
      <c r="B278" s="253"/>
      <c r="C278" s="253"/>
      <c r="D278" s="253"/>
      <c r="E278" s="253"/>
      <c r="F278" s="253"/>
      <c r="G278" s="253"/>
      <c r="H278" s="253"/>
    </row>
    <row r="279" spans="1:8" ht="30.75" customHeight="1">
      <c r="A279" s="253"/>
      <c r="B279" s="253"/>
      <c r="C279" s="253"/>
      <c r="D279" s="253"/>
      <c r="E279" s="253"/>
      <c r="F279" s="253"/>
      <c r="G279" s="253"/>
      <c r="H279" s="253"/>
    </row>
    <row r="280" spans="1:8" ht="30.75" customHeight="1">
      <c r="A280" s="253"/>
      <c r="B280" s="253"/>
      <c r="C280" s="253"/>
      <c r="D280" s="253"/>
      <c r="E280" s="253"/>
      <c r="F280" s="253"/>
      <c r="G280" s="253"/>
      <c r="H280" s="253"/>
    </row>
    <row r="281" spans="1:8" ht="30.75" customHeight="1">
      <c r="A281" s="253"/>
      <c r="B281" s="253"/>
      <c r="C281" s="253"/>
      <c r="D281" s="253"/>
      <c r="E281" s="253"/>
      <c r="F281" s="253"/>
      <c r="G281" s="253"/>
      <c r="H281" s="253"/>
    </row>
    <row r="282" spans="1:8" ht="30.75" customHeight="1">
      <c r="A282" s="253"/>
      <c r="B282" s="253"/>
      <c r="C282" s="253"/>
      <c r="D282" s="253"/>
      <c r="E282" s="253"/>
      <c r="F282" s="253"/>
      <c r="G282" s="253"/>
      <c r="H282" s="253"/>
    </row>
    <row r="283" spans="1:8" ht="30.75" customHeight="1">
      <c r="A283" s="253"/>
      <c r="B283" s="253"/>
      <c r="C283" s="253"/>
      <c r="D283" s="253"/>
      <c r="E283" s="253"/>
      <c r="F283" s="253"/>
      <c r="G283" s="253"/>
      <c r="H283" s="253"/>
    </row>
    <row r="284" spans="1:8" ht="30.75" customHeight="1">
      <c r="A284" s="253"/>
      <c r="B284" s="253"/>
      <c r="C284" s="253"/>
      <c r="D284" s="253"/>
      <c r="E284" s="253"/>
      <c r="F284" s="253"/>
      <c r="G284" s="253"/>
      <c r="H284" s="253"/>
    </row>
    <row r="285" spans="1:8" ht="30.75" customHeight="1">
      <c r="A285" s="253"/>
      <c r="B285" s="253"/>
      <c r="C285" s="253"/>
      <c r="D285" s="253"/>
      <c r="E285" s="253"/>
      <c r="F285" s="253"/>
      <c r="G285" s="253"/>
      <c r="H285" s="253"/>
    </row>
    <row r="286" spans="1:8" ht="30.75" customHeight="1">
      <c r="A286" s="253"/>
      <c r="B286" s="253"/>
      <c r="C286" s="253"/>
      <c r="D286" s="253"/>
      <c r="E286" s="253"/>
      <c r="F286" s="253"/>
      <c r="G286" s="253"/>
      <c r="H286" s="253"/>
    </row>
    <row r="287" spans="1:8" ht="30.75" customHeight="1">
      <c r="A287" s="253"/>
      <c r="B287" s="253"/>
      <c r="C287" s="253"/>
      <c r="D287" s="253"/>
      <c r="E287" s="253"/>
      <c r="F287" s="253"/>
      <c r="G287" s="253"/>
      <c r="H287" s="253"/>
    </row>
    <row r="288" spans="1:8" ht="30.75" customHeight="1">
      <c r="A288" s="253"/>
      <c r="B288" s="253"/>
      <c r="C288" s="253"/>
      <c r="D288" s="253"/>
      <c r="E288" s="253"/>
      <c r="F288" s="253"/>
      <c r="G288" s="253"/>
      <c r="H288" s="253"/>
    </row>
    <row r="289" spans="1:8" ht="30.75" customHeight="1">
      <c r="A289" s="253"/>
      <c r="B289" s="253"/>
      <c r="C289" s="253"/>
      <c r="D289" s="253"/>
      <c r="E289" s="253"/>
      <c r="F289" s="253"/>
      <c r="G289" s="253"/>
      <c r="H289" s="253"/>
    </row>
    <row r="290" spans="1:8" ht="30.75" customHeight="1">
      <c r="A290" s="253"/>
      <c r="B290" s="253"/>
      <c r="C290" s="253"/>
      <c r="D290" s="253"/>
      <c r="E290" s="253"/>
      <c r="F290" s="253"/>
      <c r="G290" s="253"/>
      <c r="H290" s="253"/>
    </row>
    <row r="291" spans="1:8" ht="30.75" customHeight="1">
      <c r="A291" s="2369"/>
      <c r="B291" s="2369"/>
      <c r="C291" s="2369"/>
      <c r="D291" s="2369"/>
      <c r="E291" s="2369"/>
      <c r="F291" s="2369"/>
      <c r="G291" s="2369"/>
      <c r="H291" s="2369"/>
    </row>
    <row r="292" spans="1:8" ht="30.75" customHeight="1">
      <c r="A292" s="2369"/>
      <c r="B292" s="2369"/>
      <c r="C292" s="2369"/>
      <c r="D292" s="2369"/>
      <c r="E292" s="2369"/>
      <c r="F292" s="2369"/>
      <c r="G292" s="2369"/>
      <c r="H292" s="2369"/>
    </row>
    <row r="293" spans="1:8" ht="30.75" customHeight="1">
      <c r="A293" s="2369"/>
      <c r="B293" s="2369"/>
      <c r="C293" s="2369"/>
      <c r="D293" s="2369"/>
      <c r="E293" s="2369"/>
      <c r="F293" s="2369"/>
      <c r="G293" s="2369"/>
      <c r="H293" s="2369"/>
    </row>
    <row r="294" spans="1:8" ht="30.75" customHeight="1">
      <c r="A294" s="2369"/>
      <c r="B294" s="2369"/>
      <c r="C294" s="2369"/>
      <c r="D294" s="2369"/>
      <c r="E294" s="2369"/>
      <c r="F294" s="2369"/>
      <c r="G294" s="2369"/>
      <c r="H294" s="2369"/>
    </row>
    <row r="295" spans="1:8" ht="30.75" customHeight="1">
      <c r="A295" s="253"/>
      <c r="B295" s="253"/>
      <c r="C295" s="253"/>
      <c r="D295" s="253"/>
      <c r="E295" s="253"/>
      <c r="F295" s="253"/>
      <c r="G295" s="253"/>
      <c r="H295" s="253"/>
    </row>
    <row r="296" spans="1:8" ht="30.75" customHeight="1">
      <c r="A296" s="253"/>
      <c r="B296" s="253"/>
      <c r="C296" s="253"/>
      <c r="D296" s="253"/>
      <c r="E296" s="253"/>
      <c r="F296" s="253"/>
      <c r="G296" s="253"/>
      <c r="H296" s="253"/>
    </row>
    <row r="297" spans="1:8" ht="30.75" customHeight="1">
      <c r="A297" s="253"/>
      <c r="B297" s="253"/>
      <c r="C297" s="253"/>
      <c r="D297" s="253"/>
      <c r="E297" s="253"/>
      <c r="F297" s="253"/>
      <c r="G297" s="253"/>
      <c r="H297" s="253"/>
    </row>
    <row r="298" spans="1:8" ht="30.75" customHeight="1">
      <c r="A298" s="253"/>
      <c r="B298" s="253"/>
      <c r="C298" s="253"/>
      <c r="D298" s="253"/>
      <c r="E298" s="253"/>
      <c r="F298" s="253"/>
      <c r="G298" s="253"/>
      <c r="H298" s="253"/>
    </row>
    <row r="299" spans="1:8" ht="30.75" customHeight="1">
      <c r="A299" s="253"/>
      <c r="B299" s="253"/>
      <c r="C299" s="253"/>
      <c r="D299" s="253"/>
      <c r="E299" s="253"/>
      <c r="F299" s="253"/>
      <c r="G299" s="253"/>
      <c r="H299" s="253"/>
    </row>
    <row r="300" spans="1:8" ht="30.75" customHeight="1">
      <c r="A300" s="253"/>
      <c r="B300" s="253"/>
      <c r="C300" s="253"/>
      <c r="D300" s="253"/>
      <c r="E300" s="253"/>
      <c r="F300" s="253"/>
      <c r="G300" s="253"/>
      <c r="H300" s="253"/>
    </row>
    <row r="301" spans="1:8" ht="30.75" customHeight="1">
      <c r="A301" s="253"/>
      <c r="B301" s="253"/>
      <c r="C301" s="253"/>
      <c r="D301" s="253"/>
      <c r="E301" s="253"/>
      <c r="F301" s="253"/>
      <c r="G301" s="253"/>
      <c r="H301" s="253"/>
    </row>
    <row r="302" spans="1:8" ht="30.75" customHeight="1">
      <c r="A302" s="3592"/>
      <c r="B302" s="3592"/>
      <c r="C302" s="3592"/>
      <c r="D302" s="3592"/>
      <c r="E302" s="3592"/>
      <c r="F302" s="3592"/>
      <c r="G302" s="3592"/>
      <c r="H302" s="3592"/>
    </row>
    <row r="303" spans="1:8" ht="30.75" customHeight="1">
      <c r="A303" s="253"/>
      <c r="B303" s="253"/>
      <c r="C303" s="253"/>
      <c r="D303" s="253"/>
      <c r="E303" s="253"/>
      <c r="F303" s="253"/>
      <c r="G303" s="253"/>
      <c r="H303" s="253"/>
    </row>
    <row r="304" spans="1:8" ht="30.75" customHeight="1">
      <c r="A304" s="3788" t="str">
        <f>A13</f>
        <v>Tab 10</v>
      </c>
      <c r="B304" s="3788"/>
      <c r="C304" s="3788"/>
      <c r="D304" s="3788"/>
      <c r="E304" s="3788"/>
      <c r="F304" s="3788"/>
      <c r="G304" s="3788"/>
      <c r="H304" s="3788"/>
    </row>
    <row r="305" spans="1:8" ht="30.75" customHeight="1">
      <c r="A305" s="3789" t="str">
        <f>C13</f>
        <v>Section 10 - Written Description of the Routine Operations of the Facility</v>
      </c>
      <c r="B305" s="3789"/>
      <c r="C305" s="3789"/>
      <c r="D305" s="3789"/>
      <c r="E305" s="3789"/>
      <c r="F305" s="3789"/>
      <c r="G305" s="3789"/>
      <c r="H305" s="3789"/>
    </row>
    <row r="306" spans="1:8" ht="30.75" customHeight="1">
      <c r="A306" s="3789"/>
      <c r="B306" s="3789"/>
      <c r="C306" s="3789"/>
      <c r="D306" s="3789"/>
      <c r="E306" s="3789"/>
      <c r="F306" s="3789"/>
      <c r="G306" s="3789"/>
      <c r="H306" s="3789"/>
    </row>
    <row r="307" spans="1:8" ht="30.75" customHeight="1">
      <c r="A307" s="253"/>
      <c r="B307" s="253"/>
      <c r="C307" s="253"/>
      <c r="D307" s="253"/>
      <c r="E307" s="253"/>
      <c r="F307" s="253"/>
      <c r="G307" s="253"/>
      <c r="H307" s="253"/>
    </row>
    <row r="308" spans="1:8" ht="30.75" customHeight="1">
      <c r="A308" s="253"/>
      <c r="B308" s="253"/>
      <c r="C308" s="253"/>
      <c r="D308" s="253"/>
      <c r="E308" s="253"/>
      <c r="F308" s="253"/>
      <c r="G308" s="253"/>
      <c r="H308" s="253"/>
    </row>
    <row r="309" spans="1:8" ht="30.75" customHeight="1">
      <c r="A309" s="253"/>
      <c r="B309" s="253"/>
      <c r="C309" s="253"/>
      <c r="D309" s="253"/>
      <c r="E309" s="253"/>
      <c r="F309" s="253"/>
      <c r="G309" s="253"/>
      <c r="H309" s="253"/>
    </row>
    <row r="310" spans="1:8" ht="30.75" customHeight="1">
      <c r="A310" s="253"/>
      <c r="B310" s="253"/>
      <c r="C310" s="253"/>
      <c r="D310" s="253"/>
      <c r="E310" s="253"/>
      <c r="F310" s="253"/>
      <c r="G310" s="253"/>
      <c r="H310" s="253"/>
    </row>
    <row r="311" spans="1:8" ht="30.75" customHeight="1">
      <c r="A311" s="253"/>
      <c r="B311" s="253"/>
      <c r="C311" s="253"/>
      <c r="D311" s="253"/>
      <c r="E311" s="253"/>
      <c r="F311" s="253"/>
      <c r="G311" s="253"/>
      <c r="H311" s="253"/>
    </row>
    <row r="312" spans="1:8" ht="30.75" customHeight="1">
      <c r="A312" s="253"/>
      <c r="B312" s="253"/>
      <c r="C312" s="253"/>
      <c r="D312" s="253"/>
      <c r="E312" s="253"/>
      <c r="F312" s="253"/>
      <c r="G312" s="253"/>
      <c r="H312" s="253"/>
    </row>
    <row r="313" spans="1:8" ht="30.75" customHeight="1">
      <c r="A313" s="253"/>
      <c r="B313" s="253"/>
      <c r="C313" s="253"/>
      <c r="D313" s="253"/>
      <c r="E313" s="253"/>
      <c r="F313" s="253"/>
      <c r="G313" s="253"/>
      <c r="H313" s="253"/>
    </row>
    <row r="314" spans="1:8" ht="30.75" customHeight="1">
      <c r="A314" s="253"/>
      <c r="B314" s="253"/>
      <c r="C314" s="253"/>
      <c r="D314" s="253"/>
      <c r="E314" s="253"/>
      <c r="F314" s="253"/>
      <c r="G314" s="253"/>
      <c r="H314" s="253"/>
    </row>
    <row r="315" spans="1:8" ht="30.75" customHeight="1">
      <c r="A315" s="253"/>
      <c r="B315" s="253"/>
      <c r="C315" s="253"/>
      <c r="D315" s="253"/>
      <c r="E315" s="253"/>
      <c r="F315" s="253"/>
      <c r="G315" s="253"/>
      <c r="H315" s="253"/>
    </row>
    <row r="316" spans="1:8" ht="30.75" customHeight="1">
      <c r="A316" s="253"/>
      <c r="B316" s="253"/>
      <c r="C316" s="253"/>
      <c r="D316" s="253"/>
      <c r="E316" s="253"/>
      <c r="F316" s="253"/>
      <c r="G316" s="253"/>
      <c r="H316" s="253"/>
    </row>
    <row r="317" spans="1:8" ht="30.75" customHeight="1">
      <c r="A317" s="253"/>
      <c r="B317" s="253"/>
      <c r="C317" s="253"/>
      <c r="D317" s="253"/>
      <c r="E317" s="253"/>
      <c r="F317" s="253"/>
      <c r="G317" s="253"/>
      <c r="H317" s="253"/>
    </row>
    <row r="318" spans="1:8" ht="30.75" customHeight="1">
      <c r="A318" s="253"/>
      <c r="B318" s="253"/>
      <c r="C318" s="253"/>
      <c r="D318" s="253"/>
      <c r="E318" s="253"/>
      <c r="F318" s="253"/>
      <c r="G318" s="253"/>
      <c r="H318" s="253"/>
    </row>
    <row r="319" spans="1:8" ht="30.75" customHeight="1">
      <c r="A319" s="2369"/>
      <c r="B319" s="2369"/>
      <c r="C319" s="2369"/>
      <c r="D319" s="2369"/>
      <c r="E319" s="2369"/>
      <c r="F319" s="2369"/>
      <c r="G319" s="2369"/>
      <c r="H319" s="2369"/>
    </row>
    <row r="320" spans="1:8" ht="30.75" customHeight="1">
      <c r="A320" s="2369"/>
      <c r="B320" s="2369"/>
      <c r="C320" s="2369"/>
      <c r="D320" s="2369"/>
      <c r="E320" s="2369"/>
      <c r="F320" s="2369"/>
      <c r="G320" s="2369"/>
      <c r="H320" s="2369"/>
    </row>
    <row r="321" spans="1:8" ht="30.75" customHeight="1">
      <c r="A321" s="2369"/>
      <c r="B321" s="2369"/>
      <c r="C321" s="2369"/>
      <c r="D321" s="2369"/>
      <c r="E321" s="2369"/>
      <c r="F321" s="2369"/>
      <c r="G321" s="2369"/>
      <c r="H321" s="2369"/>
    </row>
    <row r="322" spans="1:8" ht="30.75" customHeight="1">
      <c r="A322" s="2369"/>
      <c r="B322" s="2369"/>
      <c r="C322" s="2369"/>
      <c r="D322" s="2369"/>
      <c r="E322" s="2369"/>
      <c r="F322" s="2369"/>
      <c r="G322" s="2369"/>
      <c r="H322" s="2369"/>
    </row>
    <row r="323" spans="1:8" ht="30.75" customHeight="1">
      <c r="A323" s="253"/>
      <c r="B323" s="253"/>
      <c r="C323" s="253"/>
      <c r="D323" s="253"/>
      <c r="E323" s="253"/>
      <c r="F323" s="253"/>
      <c r="G323" s="253"/>
      <c r="H323" s="253"/>
    </row>
    <row r="324" spans="1:8" ht="30.75" customHeight="1">
      <c r="A324" s="253"/>
      <c r="B324" s="253"/>
      <c r="C324" s="253"/>
      <c r="D324" s="253"/>
      <c r="E324" s="253"/>
      <c r="F324" s="253"/>
      <c r="G324" s="253"/>
      <c r="H324" s="253"/>
    </row>
    <row r="325" spans="1:8" ht="30.75" customHeight="1">
      <c r="A325" s="253"/>
      <c r="B325" s="253"/>
      <c r="C325" s="253"/>
      <c r="D325" s="253"/>
      <c r="E325" s="253"/>
      <c r="F325" s="253"/>
      <c r="G325" s="253"/>
      <c r="H325" s="253"/>
    </row>
    <row r="326" spans="1:8" ht="30.75" customHeight="1">
      <c r="A326" s="253"/>
      <c r="B326" s="253"/>
      <c r="C326" s="253"/>
      <c r="D326" s="253"/>
      <c r="E326" s="253"/>
      <c r="F326" s="253"/>
      <c r="G326" s="253"/>
      <c r="H326" s="253"/>
    </row>
    <row r="327" spans="1:8" ht="30.75" customHeight="1">
      <c r="A327" s="253"/>
      <c r="B327" s="253"/>
      <c r="C327" s="253"/>
      <c r="D327" s="253"/>
      <c r="E327" s="253"/>
      <c r="F327" s="253"/>
      <c r="G327" s="253"/>
      <c r="H327" s="253"/>
    </row>
    <row r="328" spans="1:8" ht="30.75" customHeight="1">
      <c r="A328" s="253"/>
      <c r="B328" s="253"/>
      <c r="C328" s="253"/>
      <c r="D328" s="253"/>
      <c r="E328" s="253"/>
      <c r="F328" s="253"/>
      <c r="G328" s="253"/>
      <c r="H328" s="253"/>
    </row>
    <row r="329" spans="1:8" ht="30.75" customHeight="1">
      <c r="A329" s="2369"/>
      <c r="B329" s="2369"/>
      <c r="C329" s="2369"/>
      <c r="D329" s="2369"/>
      <c r="E329" s="2369"/>
      <c r="F329" s="2369"/>
      <c r="G329" s="2369"/>
      <c r="H329" s="2369"/>
    </row>
    <row r="330" spans="1:8" ht="30.75" customHeight="1">
      <c r="A330" s="2369"/>
      <c r="B330" s="2369"/>
      <c r="C330" s="2369"/>
      <c r="D330" s="2369"/>
      <c r="E330" s="2369"/>
      <c r="F330" s="2369"/>
      <c r="G330" s="2369"/>
      <c r="H330" s="2369"/>
    </row>
    <row r="331" spans="1:8" ht="30.75" customHeight="1">
      <c r="A331" s="253"/>
      <c r="B331" s="253"/>
      <c r="C331" s="253"/>
      <c r="D331" s="253"/>
      <c r="E331" s="253"/>
      <c r="F331" s="253"/>
      <c r="G331" s="253"/>
      <c r="H331" s="253"/>
    </row>
    <row r="332" spans="1:8" ht="30.75" customHeight="1">
      <c r="A332" s="3592"/>
      <c r="B332" s="3592"/>
      <c r="C332" s="3592"/>
      <c r="D332" s="3592"/>
      <c r="E332" s="3592"/>
      <c r="F332" s="3592"/>
      <c r="G332" s="3592"/>
      <c r="H332" s="3592"/>
    </row>
    <row r="333" spans="1:8" ht="30.75" customHeight="1">
      <c r="A333" s="253"/>
      <c r="B333" s="253"/>
      <c r="C333" s="253"/>
      <c r="D333" s="253"/>
      <c r="E333" s="253"/>
      <c r="F333" s="253"/>
      <c r="G333" s="253"/>
      <c r="H333" s="253"/>
    </row>
    <row r="334" spans="1:8" ht="30.75" customHeight="1">
      <c r="A334" s="253"/>
      <c r="B334" s="253"/>
      <c r="C334" s="253"/>
      <c r="D334" s="253"/>
      <c r="E334" s="253"/>
      <c r="F334" s="253"/>
      <c r="G334" s="253"/>
      <c r="H334" s="253"/>
    </row>
    <row r="335" spans="1:8" ht="30.75" customHeight="1">
      <c r="A335" s="3788" t="str">
        <f>A14</f>
        <v>Tab 11</v>
      </c>
      <c r="B335" s="3788"/>
      <c r="C335" s="3788"/>
      <c r="D335" s="3788"/>
      <c r="E335" s="3788"/>
      <c r="F335" s="3788"/>
      <c r="G335" s="3788"/>
      <c r="H335" s="3788"/>
    </row>
    <row r="336" spans="1:8" ht="30.75" customHeight="1">
      <c r="A336" s="3788" t="str">
        <f>C14</f>
        <v>Section 11 -Source Determination</v>
      </c>
      <c r="B336" s="3788"/>
      <c r="C336" s="3788"/>
      <c r="D336" s="3788"/>
      <c r="E336" s="3788"/>
      <c r="F336" s="3788"/>
      <c r="G336" s="3788"/>
      <c r="H336" s="3788"/>
    </row>
    <row r="337" spans="1:8" ht="30.75" customHeight="1">
      <c r="A337" s="253"/>
      <c r="B337" s="253"/>
      <c r="C337" s="253"/>
      <c r="D337" s="253"/>
      <c r="E337" s="253"/>
      <c r="F337" s="253"/>
      <c r="G337" s="253"/>
      <c r="H337" s="253"/>
    </row>
    <row r="338" spans="1:8" ht="30.75" customHeight="1">
      <c r="A338" s="253"/>
      <c r="B338" s="253"/>
      <c r="C338" s="253"/>
      <c r="D338" s="253"/>
      <c r="E338" s="253"/>
      <c r="F338" s="253"/>
      <c r="G338" s="253"/>
      <c r="H338" s="253"/>
    </row>
    <row r="339" spans="1:8" ht="30.75" customHeight="1">
      <c r="A339" s="253"/>
      <c r="B339" s="253"/>
      <c r="C339" s="253"/>
      <c r="D339" s="253"/>
      <c r="E339" s="253"/>
      <c r="F339" s="253"/>
      <c r="G339" s="253"/>
      <c r="H339" s="253"/>
    </row>
    <row r="340" spans="1:8" ht="30.75" customHeight="1">
      <c r="A340" s="253"/>
      <c r="B340" s="253"/>
      <c r="C340" s="253"/>
      <c r="D340" s="253"/>
      <c r="E340" s="253"/>
      <c r="F340" s="253"/>
      <c r="G340" s="253"/>
      <c r="H340" s="253"/>
    </row>
    <row r="341" spans="1:8" ht="30.75" customHeight="1">
      <c r="A341" s="253"/>
      <c r="B341" s="253"/>
      <c r="C341" s="253"/>
      <c r="D341" s="253"/>
      <c r="E341" s="253"/>
      <c r="F341" s="253"/>
      <c r="G341" s="253"/>
      <c r="H341" s="253"/>
    </row>
    <row r="342" spans="1:8" ht="30.75" customHeight="1">
      <c r="A342" s="253"/>
      <c r="B342" s="253"/>
      <c r="C342" s="253"/>
      <c r="D342" s="253"/>
      <c r="E342" s="253"/>
      <c r="F342" s="253"/>
      <c r="G342" s="253"/>
      <c r="H342" s="253"/>
    </row>
    <row r="343" spans="1:8" ht="30.75" customHeight="1">
      <c r="A343" s="253"/>
      <c r="B343" s="253"/>
      <c r="C343" s="253"/>
      <c r="D343" s="253"/>
      <c r="E343" s="253"/>
      <c r="F343" s="253"/>
      <c r="G343" s="253"/>
      <c r="H343" s="253"/>
    </row>
    <row r="344" spans="1:8" ht="30.75" customHeight="1">
      <c r="A344" s="253"/>
      <c r="B344" s="253"/>
      <c r="C344" s="253"/>
      <c r="D344" s="253"/>
      <c r="E344" s="253"/>
      <c r="F344" s="253"/>
      <c r="G344" s="253"/>
      <c r="H344" s="253"/>
    </row>
    <row r="345" spans="1:8" ht="30.75" customHeight="1">
      <c r="A345" s="253"/>
      <c r="B345" s="253"/>
      <c r="C345" s="253"/>
      <c r="D345" s="253"/>
      <c r="E345" s="253"/>
      <c r="F345" s="253"/>
      <c r="G345" s="253"/>
      <c r="H345" s="253"/>
    </row>
    <row r="346" spans="1:8" ht="30.75" customHeight="1">
      <c r="A346" s="253"/>
      <c r="B346" s="253"/>
      <c r="C346" s="253"/>
      <c r="D346" s="253"/>
      <c r="E346" s="253"/>
      <c r="F346" s="253"/>
      <c r="G346" s="253"/>
      <c r="H346" s="253"/>
    </row>
    <row r="347" spans="1:8" ht="30.75" customHeight="1">
      <c r="A347" s="253"/>
      <c r="B347" s="253"/>
      <c r="C347" s="253"/>
      <c r="D347" s="253"/>
      <c r="E347" s="253"/>
      <c r="F347" s="253"/>
      <c r="G347" s="253"/>
      <c r="H347" s="253"/>
    </row>
    <row r="348" spans="1:8" ht="30.75" customHeight="1">
      <c r="A348" s="253"/>
      <c r="B348" s="253"/>
      <c r="C348" s="253"/>
      <c r="D348" s="253"/>
      <c r="E348" s="253"/>
      <c r="F348" s="253"/>
      <c r="G348" s="253"/>
      <c r="H348" s="253"/>
    </row>
    <row r="349" spans="1:8" ht="30.75" customHeight="1">
      <c r="A349" s="2369"/>
      <c r="B349" s="2369"/>
      <c r="C349" s="2369"/>
      <c r="D349" s="2369"/>
      <c r="E349" s="2369"/>
      <c r="F349" s="2369"/>
      <c r="G349" s="2369"/>
      <c r="H349" s="2369"/>
    </row>
    <row r="350" spans="1:8" ht="30.75" customHeight="1">
      <c r="A350" s="2369"/>
      <c r="B350" s="2369"/>
      <c r="C350" s="2369"/>
      <c r="D350" s="2369"/>
      <c r="E350" s="2369"/>
      <c r="F350" s="2369"/>
      <c r="G350" s="2369"/>
      <c r="H350" s="2369"/>
    </row>
    <row r="351" spans="1:8" ht="30.75" customHeight="1">
      <c r="A351" s="2369"/>
      <c r="B351" s="2369"/>
      <c r="C351" s="2369"/>
      <c r="D351" s="2369"/>
      <c r="E351" s="2369"/>
      <c r="F351" s="2369"/>
      <c r="G351" s="2369"/>
      <c r="H351" s="2369"/>
    </row>
    <row r="352" spans="1:8" ht="30.75" customHeight="1">
      <c r="A352" s="2369"/>
      <c r="B352" s="2369"/>
      <c r="C352" s="2369"/>
      <c r="D352" s="2369"/>
      <c r="E352" s="2369"/>
      <c r="F352" s="2369"/>
      <c r="G352" s="2369"/>
      <c r="H352" s="2369"/>
    </row>
    <row r="353" spans="1:8" ht="30.75" customHeight="1">
      <c r="A353" s="2369"/>
      <c r="B353" s="2369"/>
      <c r="C353" s="2369"/>
      <c r="D353" s="2369"/>
      <c r="E353" s="2369"/>
      <c r="F353" s="2369"/>
      <c r="G353" s="2369"/>
      <c r="H353" s="2369"/>
    </row>
    <row r="354" spans="1:8" ht="30.75" customHeight="1">
      <c r="A354" s="253"/>
      <c r="B354" s="253"/>
      <c r="C354" s="253"/>
      <c r="D354" s="253"/>
      <c r="E354" s="253"/>
      <c r="F354" s="253"/>
      <c r="G354" s="253"/>
      <c r="H354" s="253"/>
    </row>
    <row r="355" spans="1:8" ht="30.75" customHeight="1">
      <c r="A355" s="253"/>
      <c r="B355" s="253"/>
      <c r="C355" s="253"/>
      <c r="D355" s="253"/>
      <c r="E355" s="253"/>
      <c r="F355" s="253"/>
      <c r="G355" s="253"/>
      <c r="H355" s="253"/>
    </row>
    <row r="356" spans="1:8" ht="30.75" customHeight="1">
      <c r="A356" s="253"/>
      <c r="B356" s="253"/>
      <c r="C356" s="253"/>
      <c r="D356" s="253"/>
      <c r="E356" s="253"/>
      <c r="F356" s="253"/>
      <c r="G356" s="253"/>
      <c r="H356" s="253"/>
    </row>
    <row r="357" spans="1:8" ht="30.75" customHeight="1">
      <c r="A357" s="253"/>
      <c r="B357" s="253"/>
      <c r="C357" s="253"/>
      <c r="D357" s="253"/>
      <c r="E357" s="253"/>
      <c r="F357" s="253"/>
      <c r="G357" s="253"/>
      <c r="H357" s="253"/>
    </row>
    <row r="358" spans="1:8" ht="30.75" customHeight="1">
      <c r="A358" s="253"/>
      <c r="B358" s="253"/>
      <c r="C358" s="253"/>
      <c r="D358" s="253"/>
      <c r="E358" s="253"/>
      <c r="F358" s="253"/>
      <c r="G358" s="253"/>
      <c r="H358" s="253"/>
    </row>
    <row r="359" spans="1:8" ht="30.75" customHeight="1">
      <c r="A359" s="253"/>
      <c r="B359" s="253"/>
      <c r="C359" s="253"/>
      <c r="D359" s="253"/>
      <c r="E359" s="253"/>
      <c r="F359" s="253"/>
      <c r="G359" s="253"/>
      <c r="H359" s="253"/>
    </row>
    <row r="360" spans="1:8" ht="30.75" customHeight="1">
      <c r="A360" s="253"/>
      <c r="B360" s="253"/>
      <c r="C360" s="253"/>
      <c r="D360" s="253"/>
      <c r="E360" s="253"/>
      <c r="F360" s="253"/>
      <c r="G360" s="253"/>
      <c r="H360" s="253"/>
    </row>
    <row r="361" spans="1:8" ht="30.75" customHeight="1">
      <c r="A361" s="3592"/>
      <c r="B361" s="3592"/>
      <c r="C361" s="3592"/>
      <c r="D361" s="3592"/>
      <c r="E361" s="3592"/>
      <c r="F361" s="3592"/>
      <c r="G361" s="3592"/>
      <c r="H361" s="3592"/>
    </row>
    <row r="362" spans="1:8" ht="30.75" customHeight="1">
      <c r="A362" s="253"/>
      <c r="B362" s="253"/>
      <c r="C362" s="253"/>
      <c r="D362" s="253"/>
      <c r="E362" s="253"/>
      <c r="F362" s="253"/>
      <c r="G362" s="253"/>
      <c r="H362" s="253"/>
    </row>
    <row r="363" spans="1:8" ht="30.75" customHeight="1">
      <c r="A363" s="253"/>
      <c r="B363" s="253"/>
      <c r="C363" s="253"/>
      <c r="D363" s="253"/>
      <c r="E363" s="253"/>
      <c r="F363" s="253"/>
      <c r="G363" s="253"/>
      <c r="H363" s="253"/>
    </row>
    <row r="364" spans="1:8" ht="30.75" customHeight="1">
      <c r="A364" s="3788" t="str">
        <f>A15</f>
        <v>Tab 12</v>
      </c>
      <c r="B364" s="3788"/>
      <c r="C364" s="3788"/>
      <c r="D364" s="3788"/>
      <c r="E364" s="3788"/>
      <c r="F364" s="3788"/>
      <c r="G364" s="3788"/>
      <c r="H364" s="3788"/>
    </row>
    <row r="365" spans="1:8" ht="30.75" customHeight="1">
      <c r="A365" s="3789" t="str">
        <f>C15</f>
        <v>Section 12 - PSD Applicability Determination for All Sources</v>
      </c>
      <c r="B365" s="3789"/>
      <c r="C365" s="3789"/>
      <c r="D365" s="3789"/>
      <c r="E365" s="3789"/>
      <c r="F365" s="3789"/>
      <c r="G365" s="3789"/>
      <c r="H365" s="3789"/>
    </row>
    <row r="366" spans="1:8" ht="30.75" customHeight="1">
      <c r="A366" s="3789"/>
      <c r="B366" s="3789"/>
      <c r="C366" s="3789"/>
      <c r="D366" s="3789"/>
      <c r="E366" s="3789"/>
      <c r="F366" s="3789"/>
      <c r="G366" s="3789"/>
      <c r="H366" s="3789"/>
    </row>
    <row r="367" spans="1:8" ht="30.75" customHeight="1">
      <c r="A367" s="253"/>
      <c r="B367" s="253"/>
      <c r="C367" s="253"/>
      <c r="D367" s="253"/>
      <c r="E367" s="253"/>
      <c r="F367" s="253"/>
      <c r="G367" s="253"/>
      <c r="H367" s="253"/>
    </row>
    <row r="368" spans="1:8" ht="30.75" customHeight="1">
      <c r="A368" s="253"/>
      <c r="B368" s="253"/>
      <c r="C368" s="253"/>
      <c r="D368" s="253"/>
      <c r="E368" s="253"/>
      <c r="F368" s="253"/>
      <c r="G368" s="253"/>
      <c r="H368" s="253"/>
    </row>
    <row r="369" spans="1:8" ht="30.75" customHeight="1">
      <c r="A369" s="253"/>
      <c r="B369" s="253"/>
      <c r="C369" s="253"/>
      <c r="D369" s="253"/>
      <c r="E369" s="253"/>
      <c r="F369" s="253"/>
      <c r="G369" s="253"/>
      <c r="H369" s="253"/>
    </row>
    <row r="370" spans="1:8" ht="30.75" customHeight="1">
      <c r="A370" s="253"/>
      <c r="B370" s="253"/>
      <c r="C370" s="253"/>
      <c r="D370" s="253"/>
      <c r="E370" s="253"/>
      <c r="F370" s="253"/>
      <c r="G370" s="253"/>
      <c r="H370" s="253"/>
    </row>
    <row r="371" spans="1:8" ht="30.75" customHeight="1">
      <c r="A371" s="253"/>
      <c r="B371" s="253"/>
      <c r="C371" s="253"/>
      <c r="D371" s="253"/>
      <c r="E371" s="253"/>
      <c r="F371" s="253"/>
      <c r="G371" s="253"/>
      <c r="H371" s="253"/>
    </row>
    <row r="372" spans="1:8" ht="30.75" customHeight="1">
      <c r="A372" s="253"/>
      <c r="B372" s="253"/>
      <c r="C372" s="253"/>
      <c r="D372" s="253"/>
      <c r="E372" s="253"/>
      <c r="F372" s="253"/>
      <c r="G372" s="253"/>
      <c r="H372" s="253"/>
    </row>
    <row r="373" spans="1:8" ht="30.75" customHeight="1">
      <c r="A373" s="253"/>
      <c r="B373" s="253"/>
      <c r="C373" s="253"/>
      <c r="D373" s="253"/>
      <c r="E373" s="253"/>
      <c r="F373" s="253"/>
      <c r="G373" s="253"/>
      <c r="H373" s="253"/>
    </row>
    <row r="374" spans="1:8" ht="30.75" customHeight="1">
      <c r="A374" s="253"/>
      <c r="B374" s="253"/>
      <c r="C374" s="253"/>
      <c r="D374" s="253"/>
      <c r="E374" s="253"/>
      <c r="F374" s="253"/>
      <c r="G374" s="253"/>
      <c r="H374" s="253"/>
    </row>
    <row r="375" spans="1:8" ht="30.75" customHeight="1">
      <c r="A375" s="253"/>
      <c r="B375" s="253"/>
      <c r="C375" s="253"/>
      <c r="D375" s="253"/>
      <c r="E375" s="253"/>
      <c r="F375" s="253"/>
      <c r="G375" s="253"/>
      <c r="H375" s="253"/>
    </row>
    <row r="376" spans="1:8" ht="30.75" customHeight="1">
      <c r="A376" s="253"/>
      <c r="B376" s="253"/>
      <c r="C376" s="253"/>
      <c r="D376" s="253"/>
      <c r="E376" s="253"/>
      <c r="F376" s="253"/>
      <c r="G376" s="253"/>
      <c r="H376" s="253"/>
    </row>
    <row r="377" spans="1:8" ht="30.75" customHeight="1">
      <c r="A377" s="253"/>
      <c r="B377" s="253"/>
      <c r="C377" s="253"/>
      <c r="D377" s="253"/>
      <c r="E377" s="253"/>
      <c r="F377" s="253"/>
      <c r="G377" s="253"/>
      <c r="H377" s="253"/>
    </row>
    <row r="378" spans="1:8" ht="30.75" customHeight="1">
      <c r="A378" s="2369"/>
      <c r="B378" s="2369"/>
      <c r="C378" s="2369"/>
      <c r="D378" s="2369"/>
      <c r="E378" s="2369"/>
      <c r="F378" s="2369"/>
      <c r="G378" s="2369"/>
      <c r="H378" s="2369"/>
    </row>
    <row r="379" spans="1:8" ht="30.75" customHeight="1">
      <c r="A379" s="2369"/>
      <c r="B379" s="2369"/>
      <c r="C379" s="2369"/>
      <c r="D379" s="2369"/>
      <c r="E379" s="2369"/>
      <c r="F379" s="2369"/>
      <c r="G379" s="2369"/>
      <c r="H379" s="2369"/>
    </row>
    <row r="380" spans="1:8" ht="30.75" customHeight="1">
      <c r="A380" s="2369"/>
      <c r="B380" s="2369"/>
      <c r="C380" s="2369"/>
      <c r="D380" s="2369"/>
      <c r="E380" s="2369"/>
      <c r="F380" s="2369"/>
      <c r="G380" s="2369"/>
      <c r="H380" s="2369"/>
    </row>
    <row r="381" spans="1:8" ht="30.75" customHeight="1">
      <c r="A381" s="2369"/>
      <c r="B381" s="2369"/>
      <c r="C381" s="2369"/>
      <c r="D381" s="2369"/>
      <c r="E381" s="2369"/>
      <c r="F381" s="2369"/>
      <c r="G381" s="2369"/>
      <c r="H381" s="2369"/>
    </row>
    <row r="382" spans="1:8" ht="30.75" customHeight="1">
      <c r="A382" s="2369"/>
      <c r="B382" s="2369"/>
      <c r="C382" s="2369"/>
      <c r="D382" s="2369"/>
      <c r="E382" s="2369"/>
      <c r="F382" s="2369"/>
      <c r="G382" s="2369"/>
      <c r="H382" s="2369"/>
    </row>
    <row r="383" spans="1:8" ht="30.75" customHeight="1">
      <c r="A383" s="253"/>
      <c r="B383" s="253"/>
      <c r="C383" s="253"/>
      <c r="D383" s="253"/>
      <c r="E383" s="253"/>
      <c r="F383" s="253"/>
      <c r="G383" s="253"/>
      <c r="H383" s="253"/>
    </row>
    <row r="384" spans="1:8" ht="30.65" customHeight="1">
      <c r="A384" s="253"/>
      <c r="B384" s="253"/>
      <c r="C384" s="253"/>
      <c r="D384" s="253"/>
      <c r="E384" s="253"/>
      <c r="F384" s="253"/>
      <c r="G384" s="253"/>
      <c r="H384" s="253"/>
    </row>
    <row r="385" spans="1:8" ht="30.75" customHeight="1">
      <c r="A385" s="253"/>
      <c r="B385" s="253"/>
      <c r="C385" s="253"/>
      <c r="D385" s="253"/>
      <c r="E385" s="253"/>
      <c r="F385" s="253"/>
      <c r="G385" s="253"/>
      <c r="H385" s="253"/>
    </row>
    <row r="386" spans="1:8" ht="30.75" customHeight="1">
      <c r="A386" s="253"/>
      <c r="B386" s="253"/>
      <c r="C386" s="253"/>
      <c r="D386" s="253"/>
      <c r="E386" s="253"/>
      <c r="F386" s="253"/>
      <c r="G386" s="253"/>
      <c r="H386" s="253"/>
    </row>
    <row r="387" spans="1:8" ht="30.75" customHeight="1">
      <c r="A387" s="253"/>
      <c r="B387" s="253"/>
      <c r="C387" s="253"/>
      <c r="D387" s="253"/>
      <c r="E387" s="253"/>
      <c r="F387" s="253"/>
      <c r="G387" s="253"/>
      <c r="H387" s="253"/>
    </row>
    <row r="388" spans="1:8" ht="30.75" customHeight="1">
      <c r="A388" s="253"/>
      <c r="B388" s="253"/>
      <c r="C388" s="253"/>
      <c r="D388" s="253"/>
      <c r="E388" s="253"/>
      <c r="F388" s="253"/>
      <c r="G388" s="253"/>
      <c r="H388" s="253"/>
    </row>
    <row r="389" spans="1:8" ht="30.75" customHeight="1">
      <c r="A389" s="253"/>
      <c r="B389" s="253"/>
      <c r="C389" s="253"/>
      <c r="D389" s="253"/>
      <c r="E389" s="253"/>
      <c r="F389" s="253"/>
      <c r="G389" s="253"/>
      <c r="H389" s="253"/>
    </row>
    <row r="390" spans="1:8" ht="30.75" customHeight="1">
      <c r="A390" s="253"/>
      <c r="B390" s="253"/>
      <c r="C390" s="253"/>
      <c r="D390" s="253"/>
      <c r="E390" s="253"/>
      <c r="F390" s="253"/>
      <c r="G390" s="253"/>
      <c r="H390" s="253"/>
    </row>
    <row r="391" spans="1:8" ht="30.75" customHeight="1">
      <c r="A391" s="253"/>
      <c r="B391" s="253"/>
      <c r="C391" s="253"/>
      <c r="D391" s="253"/>
      <c r="E391" s="253"/>
      <c r="F391" s="253"/>
      <c r="G391" s="253"/>
      <c r="H391" s="253"/>
    </row>
    <row r="392" spans="1:8" ht="30.75" customHeight="1">
      <c r="A392" s="3592"/>
      <c r="B392" s="3592"/>
      <c r="C392" s="3592"/>
      <c r="D392" s="3592"/>
      <c r="E392" s="3592"/>
      <c r="F392" s="3592"/>
      <c r="G392" s="3592"/>
      <c r="H392" s="3592"/>
    </row>
    <row r="393" spans="1:8" ht="30.75" customHeight="1">
      <c r="A393" s="253"/>
      <c r="B393" s="253"/>
      <c r="C393" s="253"/>
      <c r="D393" s="253"/>
      <c r="E393" s="253"/>
      <c r="F393" s="253"/>
      <c r="G393" s="253"/>
      <c r="H393" s="253"/>
    </row>
    <row r="394" spans="1:8" ht="30.75" customHeight="1">
      <c r="A394" s="3788" t="str">
        <f>A16</f>
        <v>Tab 13</v>
      </c>
      <c r="B394" s="3788"/>
      <c r="C394" s="3788"/>
      <c r="D394" s="3788"/>
      <c r="E394" s="3788"/>
      <c r="F394" s="3788"/>
      <c r="G394" s="3788"/>
      <c r="H394" s="3788"/>
    </row>
    <row r="395" spans="1:8" ht="30.75" customHeight="1">
      <c r="A395" s="3789" t="str">
        <f>C16</f>
        <v>Section 13 - Determination of State &amp; Federal Air Quality Regulations</v>
      </c>
      <c r="B395" s="3789"/>
      <c r="C395" s="3789"/>
      <c r="D395" s="3789"/>
      <c r="E395" s="3789"/>
      <c r="F395" s="3789"/>
      <c r="G395" s="3789"/>
      <c r="H395" s="3789"/>
    </row>
    <row r="396" spans="1:8" ht="30.75" customHeight="1">
      <c r="A396" s="3789"/>
      <c r="B396" s="3789"/>
      <c r="C396" s="3789"/>
      <c r="D396" s="3789"/>
      <c r="E396" s="3789"/>
      <c r="F396" s="3789"/>
      <c r="G396" s="3789"/>
      <c r="H396" s="3789"/>
    </row>
    <row r="397" spans="1:8" ht="30.75" customHeight="1">
      <c r="A397" s="253"/>
      <c r="B397" s="253"/>
      <c r="C397" s="253"/>
      <c r="D397" s="253"/>
      <c r="E397" s="253"/>
      <c r="F397" s="253"/>
      <c r="G397" s="253"/>
      <c r="H397" s="253"/>
    </row>
    <row r="398" spans="1:8" ht="30.75" customHeight="1">
      <c r="A398" s="253"/>
      <c r="B398" s="253"/>
      <c r="C398" s="253"/>
      <c r="D398" s="253"/>
      <c r="E398" s="253"/>
      <c r="F398" s="253"/>
      <c r="G398" s="253"/>
      <c r="H398" s="253"/>
    </row>
    <row r="399" spans="1:8" ht="30.75" customHeight="1">
      <c r="A399" s="253"/>
      <c r="B399" s="253"/>
      <c r="C399" s="253"/>
      <c r="D399" s="253"/>
      <c r="E399" s="253"/>
      <c r="F399" s="253"/>
      <c r="G399" s="253"/>
      <c r="H399" s="253"/>
    </row>
    <row r="400" spans="1:8" ht="30.75" customHeight="1">
      <c r="A400" s="253"/>
      <c r="B400" s="253"/>
      <c r="C400" s="253"/>
      <c r="D400" s="253"/>
      <c r="E400" s="253"/>
      <c r="F400" s="253"/>
      <c r="G400" s="253"/>
      <c r="H400" s="253"/>
    </row>
    <row r="401" spans="1:8" ht="30.75" customHeight="1">
      <c r="A401" s="253"/>
      <c r="B401" s="253"/>
      <c r="C401" s="253"/>
      <c r="D401" s="253"/>
      <c r="E401" s="253"/>
      <c r="F401" s="253"/>
      <c r="G401" s="253"/>
      <c r="H401" s="253"/>
    </row>
    <row r="402" spans="1:8" ht="30.75" customHeight="1">
      <c r="A402" s="253"/>
      <c r="B402" s="253"/>
      <c r="C402" s="253"/>
      <c r="D402" s="253"/>
      <c r="E402" s="253"/>
      <c r="F402" s="253"/>
      <c r="G402" s="253"/>
      <c r="H402" s="253"/>
    </row>
    <row r="403" spans="1:8" ht="30.75" customHeight="1">
      <c r="A403" s="253"/>
      <c r="B403" s="253"/>
      <c r="C403" s="253"/>
      <c r="D403" s="253"/>
      <c r="E403" s="253"/>
      <c r="F403" s="253"/>
      <c r="G403" s="253"/>
      <c r="H403" s="253"/>
    </row>
    <row r="404" spans="1:8" ht="30.75" customHeight="1">
      <c r="A404" s="253"/>
      <c r="B404" s="253"/>
      <c r="C404" s="253"/>
      <c r="D404" s="253"/>
      <c r="E404" s="253"/>
      <c r="F404" s="253"/>
      <c r="G404" s="253"/>
      <c r="H404" s="253"/>
    </row>
    <row r="405" spans="1:8" ht="30.75" customHeight="1">
      <c r="A405" s="253"/>
      <c r="B405" s="253"/>
      <c r="C405" s="253"/>
      <c r="D405" s="253"/>
      <c r="E405" s="253"/>
      <c r="F405" s="253"/>
      <c r="G405" s="253"/>
      <c r="H405" s="253"/>
    </row>
    <row r="406" spans="1:8" ht="30.75" customHeight="1">
      <c r="A406" s="253"/>
      <c r="B406" s="253"/>
      <c r="C406" s="253"/>
      <c r="D406" s="253"/>
      <c r="E406" s="253"/>
      <c r="F406" s="253"/>
      <c r="G406" s="253"/>
      <c r="H406" s="253"/>
    </row>
    <row r="407" spans="1:8" ht="30.75" customHeight="1">
      <c r="A407" s="253"/>
      <c r="B407" s="253"/>
      <c r="C407" s="253"/>
      <c r="D407" s="253"/>
      <c r="E407" s="253"/>
      <c r="F407" s="253"/>
      <c r="G407" s="253"/>
      <c r="H407" s="253"/>
    </row>
    <row r="408" spans="1:8" ht="30.75" customHeight="1">
      <c r="A408" s="253"/>
      <c r="B408" s="253"/>
      <c r="C408" s="253"/>
      <c r="D408" s="253"/>
      <c r="E408" s="253"/>
      <c r="F408" s="253"/>
      <c r="G408" s="253"/>
      <c r="H408" s="253"/>
    </row>
    <row r="409" spans="1:8" ht="30.75" customHeight="1">
      <c r="A409" s="2369"/>
      <c r="B409" s="2369"/>
      <c r="C409" s="2369"/>
      <c r="D409" s="2369"/>
      <c r="E409" s="2369"/>
      <c r="F409" s="2369"/>
      <c r="G409" s="2369"/>
      <c r="H409" s="2369"/>
    </row>
    <row r="410" spans="1:8" ht="30.75" customHeight="1">
      <c r="A410" s="2369"/>
      <c r="B410" s="2369"/>
      <c r="C410" s="2369"/>
      <c r="D410" s="2369"/>
      <c r="E410" s="2369"/>
      <c r="F410" s="2369"/>
      <c r="G410" s="2369"/>
      <c r="H410" s="2369"/>
    </row>
    <row r="411" spans="1:8" ht="30.75" customHeight="1">
      <c r="A411" s="2369"/>
      <c r="B411" s="2369"/>
      <c r="C411" s="2369"/>
      <c r="D411" s="2369"/>
      <c r="E411" s="2369"/>
      <c r="F411" s="2369"/>
      <c r="G411" s="2369"/>
      <c r="H411" s="2369"/>
    </row>
    <row r="412" spans="1:8" ht="30.75" customHeight="1">
      <c r="A412" s="2369"/>
      <c r="B412" s="2369"/>
      <c r="C412" s="2369"/>
      <c r="D412" s="2369"/>
      <c r="E412" s="2369"/>
      <c r="F412" s="2369"/>
      <c r="G412" s="2369"/>
      <c r="H412" s="2369"/>
    </row>
    <row r="413" spans="1:8" ht="30.75" customHeight="1">
      <c r="A413" s="2369"/>
      <c r="B413" s="2369"/>
      <c r="C413" s="2369"/>
      <c r="D413" s="2369"/>
      <c r="E413" s="2369"/>
      <c r="F413" s="2369"/>
      <c r="G413" s="2369"/>
      <c r="H413" s="2369"/>
    </row>
    <row r="414" spans="1:8" ht="30.75" customHeight="1">
      <c r="A414" s="253"/>
      <c r="B414" s="253"/>
      <c r="C414" s="253"/>
      <c r="D414" s="253"/>
      <c r="E414" s="253"/>
      <c r="F414" s="253"/>
      <c r="G414" s="253"/>
      <c r="H414" s="253"/>
    </row>
    <row r="415" spans="1:8" ht="30.75" customHeight="1">
      <c r="A415" s="253"/>
      <c r="B415" s="253"/>
      <c r="C415" s="253"/>
      <c r="D415" s="253"/>
      <c r="E415" s="253"/>
      <c r="F415" s="253"/>
      <c r="G415" s="253"/>
      <c r="H415" s="253"/>
    </row>
    <row r="416" spans="1:8" ht="30.75" customHeight="1">
      <c r="A416" s="253"/>
      <c r="B416" s="253"/>
      <c r="C416" s="253"/>
      <c r="D416" s="253"/>
      <c r="E416" s="253"/>
      <c r="F416" s="253"/>
      <c r="G416" s="253"/>
      <c r="H416" s="253"/>
    </row>
    <row r="417" spans="1:8" ht="30.75" customHeight="1">
      <c r="A417" s="253"/>
      <c r="B417" s="253"/>
      <c r="C417" s="253"/>
      <c r="D417" s="253"/>
      <c r="E417" s="253"/>
      <c r="F417" s="253"/>
      <c r="G417" s="253"/>
      <c r="H417" s="253"/>
    </row>
    <row r="418" spans="1:8" ht="30.75" customHeight="1">
      <c r="A418" s="253"/>
      <c r="B418" s="253"/>
      <c r="C418" s="253"/>
      <c r="D418" s="253"/>
      <c r="E418" s="253"/>
      <c r="F418" s="253"/>
      <c r="G418" s="253"/>
      <c r="H418" s="253"/>
    </row>
    <row r="419" spans="1:8" ht="30.75" customHeight="1">
      <c r="A419" s="253"/>
      <c r="B419" s="253"/>
      <c r="C419" s="253"/>
      <c r="D419" s="253"/>
      <c r="E419" s="253"/>
      <c r="F419" s="253"/>
      <c r="G419" s="253"/>
      <c r="H419" s="253"/>
    </row>
    <row r="420" spans="1:8" ht="30.75" customHeight="1">
      <c r="A420" s="253"/>
      <c r="B420" s="253"/>
      <c r="C420" s="253"/>
      <c r="D420" s="253"/>
      <c r="E420" s="253"/>
      <c r="F420" s="253"/>
      <c r="G420" s="253"/>
      <c r="H420" s="253"/>
    </row>
    <row r="421" spans="1:8" ht="30.75" customHeight="1">
      <c r="A421" s="2369"/>
      <c r="B421" s="2369"/>
      <c r="C421" s="2369"/>
      <c r="D421" s="2369"/>
      <c r="E421" s="2369"/>
      <c r="F421" s="2369"/>
      <c r="G421" s="2369"/>
      <c r="H421" s="2369"/>
    </row>
    <row r="422" spans="1:8" ht="30.75" customHeight="1">
      <c r="A422" s="3592"/>
      <c r="B422" s="3592"/>
      <c r="C422" s="3592"/>
      <c r="D422" s="3592"/>
      <c r="E422" s="3592"/>
      <c r="F422" s="3592"/>
      <c r="G422" s="3592"/>
      <c r="H422" s="3592"/>
    </row>
    <row r="423" spans="1:8" ht="30.75" customHeight="1">
      <c r="A423" s="253"/>
      <c r="B423" s="253"/>
      <c r="C423" s="253"/>
      <c r="D423" s="253"/>
      <c r="E423" s="253"/>
      <c r="F423" s="253"/>
      <c r="G423" s="253"/>
      <c r="H423" s="253"/>
    </row>
    <row r="424" spans="1:8" ht="30.75" customHeight="1">
      <c r="A424" s="253"/>
      <c r="B424" s="253"/>
      <c r="C424" s="253"/>
      <c r="D424" s="253"/>
      <c r="E424" s="253"/>
      <c r="F424" s="253"/>
      <c r="G424" s="253"/>
      <c r="H424" s="253"/>
    </row>
    <row r="425" spans="1:8" ht="30.75" customHeight="1">
      <c r="A425" s="3788" t="str">
        <f>A17</f>
        <v>Tab 14</v>
      </c>
      <c r="B425" s="3788"/>
      <c r="C425" s="3788"/>
      <c r="D425" s="3788"/>
      <c r="E425" s="3788"/>
      <c r="F425" s="3788"/>
      <c r="G425" s="3788"/>
      <c r="H425" s="3788"/>
    </row>
    <row r="426" spans="1:8" ht="30.75" customHeight="1">
      <c r="A426" s="3788" t="str">
        <f>C17</f>
        <v>Section 14 - Operational Plan to Mitigate Emissions</v>
      </c>
      <c r="B426" s="3788"/>
      <c r="C426" s="3788"/>
      <c r="D426" s="3788"/>
      <c r="E426" s="3788"/>
      <c r="F426" s="3788"/>
      <c r="G426" s="3788"/>
      <c r="H426" s="3788"/>
    </row>
    <row r="427" spans="1:8" ht="30.75" customHeight="1">
      <c r="A427" s="253"/>
      <c r="B427" s="253"/>
      <c r="C427" s="253"/>
      <c r="D427" s="253"/>
      <c r="E427" s="253"/>
      <c r="F427" s="253"/>
      <c r="G427" s="253"/>
      <c r="H427" s="253"/>
    </row>
    <row r="428" spans="1:8" ht="30.75" customHeight="1">
      <c r="A428" s="253"/>
      <c r="B428" s="253"/>
      <c r="C428" s="253"/>
      <c r="D428" s="253"/>
      <c r="E428" s="253"/>
      <c r="F428" s="253"/>
      <c r="G428" s="253"/>
      <c r="H428" s="253"/>
    </row>
    <row r="429" spans="1:8" ht="30.75" customHeight="1">
      <c r="A429" s="253"/>
      <c r="B429" s="253"/>
      <c r="C429" s="253"/>
      <c r="D429" s="253"/>
      <c r="E429" s="253"/>
      <c r="F429" s="253"/>
      <c r="G429" s="253"/>
      <c r="H429" s="253"/>
    </row>
    <row r="430" spans="1:8" ht="30.75" customHeight="1">
      <c r="A430" s="253"/>
      <c r="B430" s="253"/>
      <c r="C430" s="253"/>
      <c r="D430" s="253"/>
      <c r="E430" s="253"/>
      <c r="F430" s="253"/>
      <c r="G430" s="253"/>
      <c r="H430" s="253"/>
    </row>
    <row r="431" spans="1:8" ht="30.75" customHeight="1">
      <c r="A431" s="253"/>
      <c r="B431" s="253"/>
      <c r="C431" s="253"/>
      <c r="D431" s="253"/>
      <c r="E431" s="253"/>
      <c r="F431" s="253"/>
      <c r="G431" s="253"/>
      <c r="H431" s="253"/>
    </row>
    <row r="432" spans="1:8" ht="30.75" customHeight="1">
      <c r="A432" s="253"/>
      <c r="B432" s="253"/>
      <c r="C432" s="253"/>
      <c r="D432" s="253"/>
      <c r="E432" s="253"/>
      <c r="F432" s="253"/>
      <c r="G432" s="253"/>
      <c r="H432" s="253"/>
    </row>
    <row r="433" spans="1:8" ht="30.75" customHeight="1">
      <c r="A433" s="253"/>
      <c r="B433" s="253"/>
      <c r="C433" s="253"/>
      <c r="D433" s="253"/>
      <c r="E433" s="253"/>
      <c r="F433" s="253"/>
      <c r="G433" s="253"/>
      <c r="H433" s="253"/>
    </row>
    <row r="434" spans="1:8" ht="30.75" customHeight="1">
      <c r="A434" s="253"/>
      <c r="B434" s="253"/>
      <c r="C434" s="253"/>
      <c r="D434" s="253"/>
      <c r="E434" s="253"/>
      <c r="F434" s="253"/>
      <c r="G434" s="253"/>
      <c r="H434" s="253"/>
    </row>
    <row r="435" spans="1:8" ht="30.75" customHeight="1">
      <c r="A435" s="253"/>
      <c r="B435" s="253"/>
      <c r="C435" s="253"/>
      <c r="D435" s="253"/>
      <c r="E435" s="253"/>
      <c r="F435" s="253"/>
      <c r="G435" s="253"/>
      <c r="H435" s="253"/>
    </row>
    <row r="436" spans="1:8" ht="30.75" customHeight="1">
      <c r="A436" s="253"/>
      <c r="B436" s="253"/>
      <c r="C436" s="253"/>
      <c r="D436" s="253"/>
      <c r="E436" s="253"/>
      <c r="F436" s="253"/>
      <c r="G436" s="253"/>
      <c r="H436" s="253"/>
    </row>
    <row r="437" spans="1:8" ht="30.75" customHeight="1">
      <c r="A437" s="253"/>
      <c r="B437" s="253"/>
      <c r="C437" s="253"/>
      <c r="D437" s="253"/>
      <c r="E437" s="253"/>
      <c r="F437" s="253"/>
      <c r="G437" s="253"/>
      <c r="H437" s="253"/>
    </row>
    <row r="438" spans="1:8" ht="30.75" customHeight="1">
      <c r="A438" s="253"/>
      <c r="B438" s="253"/>
      <c r="C438" s="253"/>
      <c r="D438" s="253"/>
      <c r="E438" s="253"/>
      <c r="F438" s="253"/>
      <c r="G438" s="253"/>
      <c r="H438" s="253"/>
    </row>
    <row r="439" spans="1:8" ht="30.75" customHeight="1">
      <c r="A439" s="2369"/>
      <c r="B439" s="2369"/>
      <c r="C439" s="2369"/>
      <c r="D439" s="2369"/>
      <c r="E439" s="2369"/>
      <c r="F439" s="2369"/>
      <c r="G439" s="2369"/>
      <c r="H439" s="2369"/>
    </row>
    <row r="440" spans="1:8" ht="30.75" customHeight="1">
      <c r="A440" s="2369"/>
      <c r="B440" s="2369"/>
      <c r="C440" s="2369"/>
      <c r="D440" s="2369"/>
      <c r="E440" s="2369"/>
      <c r="F440" s="2369"/>
      <c r="G440" s="2369"/>
      <c r="H440" s="2369"/>
    </row>
    <row r="441" spans="1:8" ht="30.75" customHeight="1">
      <c r="A441" s="2369"/>
      <c r="B441" s="2369"/>
      <c r="C441" s="2369"/>
      <c r="D441" s="2369"/>
      <c r="E441" s="2369"/>
      <c r="F441" s="2369"/>
      <c r="G441" s="2369"/>
      <c r="H441" s="2369"/>
    </row>
    <row r="442" spans="1:8" ht="30.75" customHeight="1">
      <c r="A442" s="2369"/>
      <c r="B442" s="2369"/>
      <c r="C442" s="2369"/>
      <c r="D442" s="2369"/>
      <c r="E442" s="2369"/>
      <c r="F442" s="2369"/>
      <c r="G442" s="2369"/>
      <c r="H442" s="2369"/>
    </row>
    <row r="443" spans="1:8" ht="30.75" customHeight="1">
      <c r="A443" s="253"/>
      <c r="B443" s="253"/>
      <c r="C443" s="253"/>
      <c r="D443" s="253"/>
      <c r="E443" s="253"/>
      <c r="F443" s="253"/>
      <c r="G443" s="253"/>
      <c r="H443" s="253"/>
    </row>
    <row r="444" spans="1:8" ht="30.75" customHeight="1">
      <c r="A444" s="253"/>
      <c r="B444" s="253"/>
      <c r="C444" s="253"/>
      <c r="D444" s="253"/>
      <c r="E444" s="253"/>
      <c r="F444" s="253"/>
      <c r="G444" s="253"/>
      <c r="H444" s="253"/>
    </row>
    <row r="445" spans="1:8" ht="30.75" customHeight="1">
      <c r="A445" s="253"/>
      <c r="B445" s="253"/>
      <c r="C445" s="253"/>
      <c r="D445" s="253"/>
      <c r="E445" s="253"/>
      <c r="F445" s="253"/>
      <c r="G445" s="253"/>
      <c r="H445" s="253"/>
    </row>
    <row r="446" spans="1:8" ht="30.75" customHeight="1">
      <c r="A446" s="253"/>
      <c r="B446" s="253"/>
      <c r="C446" s="253"/>
      <c r="D446" s="253"/>
      <c r="E446" s="253"/>
      <c r="F446" s="253"/>
      <c r="G446" s="253"/>
      <c r="H446" s="253"/>
    </row>
    <row r="447" spans="1:8" ht="30.75" customHeight="1">
      <c r="A447" s="253"/>
      <c r="B447" s="253"/>
      <c r="C447" s="253"/>
      <c r="D447" s="253"/>
      <c r="E447" s="253"/>
      <c r="F447" s="253"/>
      <c r="G447" s="253"/>
      <c r="H447" s="253"/>
    </row>
    <row r="448" spans="1:8" ht="30.75" customHeight="1">
      <c r="A448" s="253"/>
      <c r="B448" s="253"/>
      <c r="C448" s="253"/>
      <c r="D448" s="253"/>
      <c r="E448" s="253"/>
      <c r="F448" s="253"/>
      <c r="G448" s="253"/>
      <c r="H448" s="253"/>
    </row>
    <row r="449" spans="1:8" ht="30.75" customHeight="1">
      <c r="A449" s="2369"/>
      <c r="B449" s="2369"/>
      <c r="C449" s="2369"/>
      <c r="D449" s="2369"/>
      <c r="E449" s="2369"/>
      <c r="F449" s="2369"/>
      <c r="G449" s="2369"/>
      <c r="H449" s="2369"/>
    </row>
    <row r="450" spans="1:8" ht="30.75" customHeight="1">
      <c r="A450" s="253"/>
      <c r="B450" s="253"/>
      <c r="C450" s="253"/>
      <c r="D450" s="253"/>
      <c r="E450" s="253"/>
      <c r="F450" s="253"/>
      <c r="G450" s="253"/>
      <c r="H450" s="253"/>
    </row>
    <row r="451" spans="1:8" ht="30.75" customHeight="1">
      <c r="A451" s="253"/>
      <c r="B451" s="253"/>
      <c r="C451" s="253"/>
      <c r="D451" s="253"/>
      <c r="E451" s="253"/>
      <c r="F451" s="253"/>
      <c r="G451" s="253"/>
      <c r="H451" s="253"/>
    </row>
    <row r="452" spans="1:8" ht="30.75" customHeight="1">
      <c r="A452" s="3592"/>
      <c r="B452" s="3592"/>
      <c r="C452" s="3592"/>
      <c r="D452" s="3592"/>
      <c r="E452" s="3592"/>
      <c r="F452" s="3592"/>
      <c r="G452" s="3592"/>
      <c r="H452" s="3592"/>
    </row>
    <row r="453" spans="1:8" ht="30.75" customHeight="1">
      <c r="A453" s="253"/>
      <c r="B453" s="253"/>
      <c r="C453" s="253"/>
      <c r="D453" s="253"/>
      <c r="E453" s="253"/>
      <c r="F453" s="253"/>
      <c r="G453" s="253"/>
      <c r="H453" s="253"/>
    </row>
    <row r="454" spans="1:8" ht="30.75" customHeight="1">
      <c r="A454" s="253"/>
      <c r="B454" s="253"/>
      <c r="C454" s="253"/>
      <c r="D454" s="253"/>
      <c r="E454" s="253"/>
      <c r="F454" s="253"/>
      <c r="G454" s="253"/>
      <c r="H454" s="253"/>
    </row>
    <row r="455" spans="1:8" ht="30.75" customHeight="1">
      <c r="A455" s="3788" t="str">
        <f>A18</f>
        <v>Tab 15</v>
      </c>
      <c r="B455" s="3788"/>
      <c r="C455" s="3788"/>
      <c r="D455" s="3788"/>
      <c r="E455" s="3788"/>
      <c r="F455" s="3788"/>
      <c r="G455" s="3788"/>
      <c r="H455" s="3788"/>
    </row>
    <row r="456" spans="1:8" ht="30.75" customHeight="1">
      <c r="A456" s="3788" t="str">
        <f>C18</f>
        <v>Section 15 - Alternative Operating Scenarios</v>
      </c>
      <c r="B456" s="3788"/>
      <c r="C456" s="3788"/>
      <c r="D456" s="3788"/>
      <c r="E456" s="3788"/>
      <c r="F456" s="3788"/>
      <c r="G456" s="3788"/>
      <c r="H456" s="3788"/>
    </row>
    <row r="457" spans="1:8" ht="30.75" customHeight="1">
      <c r="A457" s="253"/>
      <c r="B457" s="253"/>
      <c r="C457" s="253"/>
      <c r="D457" s="253"/>
      <c r="E457" s="253"/>
      <c r="F457" s="253"/>
      <c r="G457" s="253"/>
      <c r="H457" s="253"/>
    </row>
    <row r="458" spans="1:8" ht="30.75" customHeight="1">
      <c r="A458" s="253"/>
      <c r="B458" s="253"/>
      <c r="C458" s="253"/>
      <c r="D458" s="253"/>
      <c r="E458" s="253"/>
      <c r="F458" s="253"/>
      <c r="G458" s="253"/>
      <c r="H458" s="253"/>
    </row>
    <row r="459" spans="1:8" ht="30.75" customHeight="1">
      <c r="A459" s="253"/>
      <c r="B459" s="253"/>
      <c r="C459" s="253"/>
      <c r="D459" s="253"/>
      <c r="E459" s="253"/>
      <c r="F459" s="253"/>
      <c r="G459" s="253"/>
      <c r="H459" s="253"/>
    </row>
    <row r="460" spans="1:8" ht="30.75" customHeight="1">
      <c r="A460" s="253"/>
      <c r="B460" s="253"/>
      <c r="C460" s="253"/>
      <c r="D460" s="253"/>
      <c r="E460" s="253"/>
      <c r="F460" s="253"/>
      <c r="G460" s="253"/>
      <c r="H460" s="253"/>
    </row>
    <row r="461" spans="1:8" ht="30.75" customHeight="1">
      <c r="A461" s="253"/>
      <c r="B461" s="253"/>
      <c r="C461" s="253"/>
      <c r="D461" s="253"/>
      <c r="E461" s="253"/>
      <c r="F461" s="253"/>
      <c r="G461" s="253"/>
      <c r="H461" s="253"/>
    </row>
    <row r="462" spans="1:8" ht="30.75" customHeight="1">
      <c r="A462" s="253"/>
      <c r="B462" s="253"/>
      <c r="C462" s="253"/>
      <c r="D462" s="253"/>
      <c r="E462" s="253"/>
      <c r="F462" s="253"/>
      <c r="G462" s="253"/>
      <c r="H462" s="253"/>
    </row>
    <row r="463" spans="1:8" ht="30.75" customHeight="1">
      <c r="A463" s="253"/>
      <c r="B463" s="253"/>
      <c r="C463" s="253"/>
      <c r="D463" s="253"/>
      <c r="E463" s="253"/>
      <c r="F463" s="253"/>
      <c r="G463" s="253"/>
      <c r="H463" s="253"/>
    </row>
    <row r="464" spans="1:8" ht="30.75" customHeight="1">
      <c r="A464" s="253"/>
      <c r="B464" s="253"/>
      <c r="C464" s="253"/>
      <c r="D464" s="253"/>
      <c r="E464" s="253"/>
      <c r="F464" s="253"/>
      <c r="G464" s="253"/>
      <c r="H464" s="253"/>
    </row>
    <row r="465" spans="1:8" ht="30.75" customHeight="1">
      <c r="A465" s="253"/>
      <c r="B465" s="253"/>
      <c r="C465" s="253"/>
      <c r="D465" s="253"/>
      <c r="E465" s="253"/>
      <c r="F465" s="253"/>
      <c r="G465" s="253"/>
      <c r="H465" s="253"/>
    </row>
    <row r="466" spans="1:8" ht="30.75" customHeight="1">
      <c r="A466" s="253"/>
      <c r="B466" s="253"/>
      <c r="C466" s="253"/>
      <c r="D466" s="253"/>
      <c r="E466" s="253"/>
      <c r="F466" s="253"/>
      <c r="G466" s="253"/>
      <c r="H466" s="253"/>
    </row>
    <row r="467" spans="1:8" ht="30.75" customHeight="1">
      <c r="A467" s="253"/>
      <c r="B467" s="253"/>
      <c r="C467" s="253"/>
      <c r="D467" s="253"/>
      <c r="E467" s="253"/>
      <c r="F467" s="253"/>
      <c r="G467" s="253"/>
      <c r="H467" s="253"/>
    </row>
    <row r="468" spans="1:8" ht="30.75" customHeight="1">
      <c r="A468" s="2369"/>
      <c r="B468" s="2369"/>
      <c r="C468" s="2369"/>
      <c r="D468" s="2369"/>
      <c r="E468" s="2369"/>
      <c r="F468" s="2369"/>
      <c r="G468" s="2369"/>
      <c r="H468" s="2369"/>
    </row>
    <row r="469" spans="1:8" ht="30.75" customHeight="1">
      <c r="A469" s="2369"/>
      <c r="B469" s="2369"/>
      <c r="C469" s="2369"/>
      <c r="D469" s="2369"/>
      <c r="E469" s="2369"/>
      <c r="F469" s="2369"/>
      <c r="G469" s="2369"/>
      <c r="H469" s="2369"/>
    </row>
    <row r="470" spans="1:8" ht="30.75" customHeight="1">
      <c r="A470" s="2369"/>
      <c r="B470" s="2369"/>
      <c r="C470" s="2369"/>
      <c r="D470" s="2369"/>
      <c r="E470" s="2369"/>
      <c r="F470" s="2369"/>
      <c r="G470" s="2369"/>
      <c r="H470" s="2369"/>
    </row>
    <row r="471" spans="1:8" ht="30.75" customHeight="1">
      <c r="A471" s="2369"/>
      <c r="B471" s="2369"/>
      <c r="C471" s="2369"/>
      <c r="D471" s="2369"/>
      <c r="E471" s="2369"/>
      <c r="F471" s="2369"/>
      <c r="G471" s="2369"/>
      <c r="H471" s="2369"/>
    </row>
    <row r="472" spans="1:8" ht="30.75" customHeight="1">
      <c r="A472" s="2369"/>
      <c r="B472" s="2369"/>
      <c r="C472" s="2369"/>
      <c r="D472" s="2369"/>
      <c r="E472" s="2369"/>
      <c r="F472" s="2369"/>
      <c r="G472" s="2369"/>
      <c r="H472" s="2369"/>
    </row>
    <row r="473" spans="1:8" ht="30.75" customHeight="1">
      <c r="A473" s="253"/>
      <c r="B473" s="253"/>
      <c r="C473" s="253"/>
      <c r="D473" s="253"/>
      <c r="E473" s="253"/>
      <c r="F473" s="253"/>
      <c r="G473" s="253"/>
      <c r="H473" s="253"/>
    </row>
    <row r="474" spans="1:8" ht="30.75" customHeight="1">
      <c r="A474" s="253"/>
      <c r="B474" s="253"/>
      <c r="C474" s="253"/>
      <c r="D474" s="253"/>
      <c r="E474" s="253"/>
      <c r="F474" s="253"/>
      <c r="G474" s="253"/>
      <c r="H474" s="253"/>
    </row>
    <row r="475" spans="1:8" ht="30.75" customHeight="1">
      <c r="A475" s="253"/>
      <c r="B475" s="253"/>
      <c r="C475" s="253"/>
      <c r="D475" s="253"/>
      <c r="E475" s="253"/>
      <c r="F475" s="253"/>
      <c r="G475" s="253"/>
      <c r="H475" s="253"/>
    </row>
    <row r="476" spans="1:8" ht="30.75" customHeight="1">
      <c r="A476" s="253"/>
      <c r="B476" s="253"/>
      <c r="C476" s="253"/>
      <c r="D476" s="253"/>
      <c r="E476" s="253"/>
      <c r="F476" s="253"/>
      <c r="G476" s="253"/>
      <c r="H476" s="253"/>
    </row>
    <row r="477" spans="1:8" ht="30.75" customHeight="1">
      <c r="A477" s="253"/>
      <c r="B477" s="253"/>
      <c r="C477" s="253"/>
      <c r="D477" s="253"/>
      <c r="E477" s="253"/>
      <c r="F477" s="253"/>
      <c r="G477" s="253"/>
      <c r="H477" s="253"/>
    </row>
    <row r="478" spans="1:8" ht="30.75" customHeight="1">
      <c r="A478" s="253"/>
      <c r="B478" s="253"/>
      <c r="C478" s="253"/>
      <c r="D478" s="253"/>
      <c r="E478" s="253"/>
      <c r="F478" s="253"/>
      <c r="G478" s="253"/>
      <c r="H478" s="253"/>
    </row>
    <row r="479" spans="1:8" ht="30.75" customHeight="1">
      <c r="A479" s="253"/>
      <c r="B479" s="253"/>
      <c r="C479" s="253"/>
      <c r="D479" s="253"/>
      <c r="E479" s="253"/>
      <c r="F479" s="253"/>
      <c r="G479" s="253"/>
      <c r="H479" s="253"/>
    </row>
    <row r="480" spans="1:8" ht="30.75" customHeight="1">
      <c r="A480" s="253"/>
      <c r="B480" s="253"/>
      <c r="C480" s="253"/>
      <c r="D480" s="253"/>
      <c r="E480" s="253"/>
      <c r="F480" s="253"/>
      <c r="G480" s="253"/>
      <c r="H480" s="253"/>
    </row>
    <row r="481" spans="1:8" ht="30.75" customHeight="1">
      <c r="A481" s="253"/>
      <c r="B481" s="253"/>
      <c r="C481" s="253"/>
      <c r="D481" s="253"/>
      <c r="E481" s="253"/>
      <c r="F481" s="253"/>
      <c r="G481" s="253"/>
      <c r="H481" s="253"/>
    </row>
    <row r="482" spans="1:8" ht="30.75" customHeight="1">
      <c r="A482" s="3592"/>
      <c r="B482" s="3592"/>
      <c r="C482" s="3592"/>
      <c r="D482" s="3592"/>
      <c r="E482" s="3592"/>
      <c r="F482" s="3592"/>
      <c r="G482" s="3592"/>
      <c r="H482" s="3592"/>
    </row>
    <row r="483" spans="1:8" ht="30.75" customHeight="1">
      <c r="A483" s="253"/>
      <c r="B483" s="253"/>
      <c r="C483" s="253"/>
      <c r="D483" s="253"/>
      <c r="E483" s="253"/>
      <c r="F483" s="253"/>
      <c r="G483" s="253"/>
      <c r="H483" s="253"/>
    </row>
    <row r="484" spans="1:8" ht="30.75" customHeight="1">
      <c r="A484" s="253"/>
      <c r="B484" s="253"/>
      <c r="C484" s="253"/>
      <c r="D484" s="253"/>
      <c r="E484" s="253"/>
      <c r="F484" s="253"/>
      <c r="G484" s="253"/>
      <c r="H484" s="253"/>
    </row>
    <row r="485" spans="1:8" ht="30.75" customHeight="1">
      <c r="A485" s="3788" t="str">
        <f>A19</f>
        <v>Tab 16</v>
      </c>
      <c r="B485" s="3788"/>
      <c r="C485" s="3788"/>
      <c r="D485" s="3788"/>
      <c r="E485" s="3788"/>
      <c r="F485" s="3788"/>
      <c r="G485" s="3788"/>
      <c r="H485" s="3788"/>
    </row>
    <row r="486" spans="1:8" ht="30.75" customHeight="1">
      <c r="A486" s="3788" t="str">
        <f>C19</f>
        <v>Section 16 - Air Dispersion Modeling</v>
      </c>
      <c r="B486" s="3788"/>
      <c r="C486" s="3788"/>
      <c r="D486" s="3788"/>
      <c r="E486" s="3788"/>
      <c r="F486" s="3788"/>
      <c r="G486" s="3788"/>
      <c r="H486" s="3788"/>
    </row>
    <row r="487" spans="1:8" ht="30.75" customHeight="1">
      <c r="A487" s="253"/>
      <c r="B487" s="253"/>
      <c r="C487" s="253"/>
      <c r="D487" s="253"/>
      <c r="E487" s="253"/>
      <c r="F487" s="253"/>
      <c r="G487" s="253"/>
      <c r="H487" s="253"/>
    </row>
    <row r="488" spans="1:8" ht="30.75" customHeight="1">
      <c r="A488" s="253"/>
      <c r="B488" s="253"/>
      <c r="C488" s="253"/>
      <c r="D488" s="253"/>
      <c r="E488" s="253"/>
      <c r="F488" s="253"/>
      <c r="G488" s="253"/>
      <c r="H488" s="253"/>
    </row>
    <row r="489" spans="1:8" ht="30.75" customHeight="1">
      <c r="A489" s="253"/>
      <c r="B489" s="253"/>
      <c r="C489" s="253"/>
      <c r="D489" s="253"/>
      <c r="E489" s="253"/>
      <c r="F489" s="253"/>
      <c r="G489" s="253"/>
      <c r="H489" s="253"/>
    </row>
    <row r="490" spans="1:8" ht="30.75" customHeight="1">
      <c r="A490" s="253"/>
      <c r="B490" s="253"/>
      <c r="C490" s="253"/>
      <c r="D490" s="253"/>
      <c r="E490" s="253"/>
      <c r="F490" s="253"/>
      <c r="G490" s="253"/>
      <c r="H490" s="253"/>
    </row>
    <row r="491" spans="1:8" ht="30.75" customHeight="1">
      <c r="A491" s="253"/>
      <c r="B491" s="253"/>
      <c r="C491" s="253"/>
      <c r="D491" s="253"/>
      <c r="E491" s="253"/>
      <c r="F491" s="253"/>
      <c r="G491" s="253"/>
      <c r="H491" s="253"/>
    </row>
    <row r="492" spans="1:8" ht="30.75" customHeight="1">
      <c r="A492" s="253"/>
      <c r="B492" s="253"/>
      <c r="C492" s="253"/>
      <c r="D492" s="253"/>
      <c r="E492" s="253"/>
      <c r="F492" s="253"/>
      <c r="G492" s="253"/>
      <c r="H492" s="253"/>
    </row>
    <row r="493" spans="1:8" ht="30.75" customHeight="1">
      <c r="A493" s="253"/>
      <c r="B493" s="253"/>
      <c r="C493" s="253"/>
      <c r="D493" s="253"/>
      <c r="E493" s="253"/>
      <c r="F493" s="253"/>
      <c r="G493" s="253"/>
      <c r="H493" s="253"/>
    </row>
    <row r="494" spans="1:8" ht="30.75" customHeight="1">
      <c r="A494" s="253"/>
      <c r="B494" s="253"/>
      <c r="C494" s="253"/>
      <c r="D494" s="253"/>
      <c r="E494" s="253"/>
      <c r="F494" s="253"/>
      <c r="G494" s="253"/>
      <c r="H494" s="253"/>
    </row>
    <row r="495" spans="1:8" ht="30.75" customHeight="1">
      <c r="A495" s="253"/>
      <c r="B495" s="253"/>
      <c r="C495" s="253"/>
      <c r="D495" s="253"/>
      <c r="E495" s="253"/>
      <c r="F495" s="253"/>
      <c r="G495" s="253"/>
      <c r="H495" s="253"/>
    </row>
    <row r="496" spans="1:8" ht="30.75" customHeight="1">
      <c r="A496" s="253"/>
      <c r="B496" s="253"/>
      <c r="C496" s="253"/>
      <c r="D496" s="253"/>
      <c r="E496" s="253"/>
      <c r="F496" s="253"/>
      <c r="G496" s="253"/>
      <c r="H496" s="253"/>
    </row>
    <row r="497" spans="1:8" ht="30.75" customHeight="1">
      <c r="A497" s="253"/>
      <c r="B497" s="253"/>
      <c r="C497" s="253"/>
      <c r="D497" s="253"/>
      <c r="E497" s="253"/>
      <c r="F497" s="253"/>
      <c r="G497" s="253"/>
      <c r="H497" s="253"/>
    </row>
    <row r="498" spans="1:8" ht="30.75" customHeight="1">
      <c r="A498" s="2369"/>
      <c r="B498" s="2369"/>
      <c r="C498" s="2369"/>
      <c r="D498" s="2369"/>
      <c r="E498" s="2369"/>
      <c r="F498" s="2369"/>
      <c r="G498" s="2369"/>
      <c r="H498" s="2369"/>
    </row>
    <row r="499" spans="1:8" ht="30.75" customHeight="1">
      <c r="A499" s="2369"/>
      <c r="B499" s="2369"/>
      <c r="C499" s="2369"/>
      <c r="D499" s="2369"/>
      <c r="E499" s="2369"/>
      <c r="F499" s="2369"/>
      <c r="G499" s="2369"/>
      <c r="H499" s="2369"/>
    </row>
    <row r="500" spans="1:8" ht="30.75" customHeight="1">
      <c r="A500" s="2369"/>
      <c r="B500" s="2369"/>
      <c r="C500" s="2369"/>
      <c r="D500" s="2369"/>
      <c r="E500" s="2369"/>
      <c r="F500" s="2369"/>
      <c r="G500" s="2369"/>
      <c r="H500" s="2369"/>
    </row>
    <row r="501" spans="1:8" ht="30.75" customHeight="1">
      <c r="A501" s="2369"/>
      <c r="B501" s="2369"/>
      <c r="C501" s="2369"/>
      <c r="D501" s="2369"/>
      <c r="E501" s="2369"/>
      <c r="F501" s="2369"/>
      <c r="G501" s="2369"/>
      <c r="H501" s="2369"/>
    </row>
    <row r="502" spans="1:8" ht="30.75" customHeight="1">
      <c r="A502" s="2369"/>
      <c r="B502" s="2369"/>
      <c r="C502" s="2369"/>
      <c r="D502" s="2369"/>
      <c r="E502" s="2369"/>
      <c r="F502" s="2369"/>
      <c r="G502" s="2369"/>
      <c r="H502" s="2369"/>
    </row>
    <row r="503" spans="1:8" ht="30.75" customHeight="1">
      <c r="A503" s="253"/>
      <c r="B503" s="253"/>
      <c r="C503" s="253"/>
      <c r="D503" s="253"/>
      <c r="E503" s="253"/>
      <c r="F503" s="253"/>
      <c r="G503" s="253"/>
      <c r="H503" s="253"/>
    </row>
    <row r="504" spans="1:8" ht="30.75" customHeight="1">
      <c r="A504" s="253"/>
      <c r="B504" s="253"/>
      <c r="C504" s="253"/>
      <c r="D504" s="253"/>
      <c r="E504" s="253"/>
      <c r="F504" s="253"/>
      <c r="G504" s="253"/>
      <c r="H504" s="253"/>
    </row>
    <row r="505" spans="1:8" ht="30.75" customHeight="1">
      <c r="A505" s="253"/>
      <c r="B505" s="253"/>
      <c r="C505" s="253"/>
      <c r="D505" s="253"/>
      <c r="E505" s="253"/>
      <c r="F505" s="253"/>
      <c r="G505" s="253"/>
      <c r="H505" s="253"/>
    </row>
    <row r="506" spans="1:8" ht="30.75" customHeight="1">
      <c r="A506" s="253"/>
      <c r="B506" s="253"/>
      <c r="C506" s="253"/>
      <c r="D506" s="253"/>
      <c r="E506" s="253"/>
      <c r="F506" s="253"/>
      <c r="G506" s="253"/>
      <c r="H506" s="253"/>
    </row>
    <row r="507" spans="1:8" ht="30.75" customHeight="1">
      <c r="A507" s="253"/>
      <c r="B507" s="253"/>
      <c r="C507" s="253"/>
      <c r="D507" s="253"/>
      <c r="E507" s="253"/>
      <c r="F507" s="253"/>
      <c r="G507" s="253"/>
      <c r="H507" s="253"/>
    </row>
    <row r="508" spans="1:8" ht="30.75" customHeight="1">
      <c r="A508" s="253"/>
      <c r="B508" s="253"/>
      <c r="C508" s="253"/>
      <c r="D508" s="253"/>
      <c r="E508" s="253"/>
      <c r="F508" s="253"/>
      <c r="G508" s="253"/>
      <c r="H508" s="253"/>
    </row>
    <row r="509" spans="1:8" ht="30.75" customHeight="1">
      <c r="A509" s="253"/>
      <c r="B509" s="253"/>
      <c r="C509" s="253"/>
      <c r="D509" s="253"/>
      <c r="E509" s="253"/>
      <c r="F509" s="253"/>
      <c r="G509" s="253"/>
      <c r="H509" s="253"/>
    </row>
    <row r="510" spans="1:8" ht="30.75" customHeight="1">
      <c r="A510" s="253"/>
      <c r="B510" s="253"/>
      <c r="C510" s="253"/>
      <c r="D510" s="253"/>
      <c r="E510" s="253"/>
      <c r="F510" s="253"/>
      <c r="G510" s="253"/>
      <c r="H510" s="253"/>
    </row>
    <row r="511" spans="1:8" ht="30.75" customHeight="1">
      <c r="A511" s="253"/>
      <c r="B511" s="253"/>
      <c r="C511" s="253"/>
      <c r="D511" s="253"/>
      <c r="E511" s="253"/>
      <c r="F511" s="253"/>
      <c r="G511" s="253"/>
      <c r="H511" s="253"/>
    </row>
    <row r="512" spans="1:8" ht="30.75" customHeight="1">
      <c r="A512" s="3592"/>
      <c r="B512" s="3592"/>
      <c r="C512" s="3592"/>
      <c r="D512" s="3592"/>
      <c r="E512" s="3592"/>
      <c r="F512" s="3592"/>
      <c r="G512" s="3592"/>
      <c r="H512" s="3592"/>
    </row>
    <row r="513" spans="1:8" ht="30.75" customHeight="1">
      <c r="A513" s="253"/>
      <c r="B513" s="253"/>
      <c r="C513" s="253"/>
      <c r="D513" s="253"/>
      <c r="E513" s="253"/>
      <c r="F513" s="253"/>
      <c r="G513" s="253"/>
      <c r="H513" s="253"/>
    </row>
    <row r="514" spans="1:8" ht="30.75" customHeight="1">
      <c r="A514" s="253"/>
      <c r="B514" s="253"/>
      <c r="C514" s="253"/>
      <c r="D514" s="253"/>
      <c r="E514" s="253"/>
      <c r="F514" s="253"/>
      <c r="G514" s="253"/>
      <c r="H514" s="253"/>
    </row>
    <row r="515" spans="1:8" ht="30.75" customHeight="1">
      <c r="A515" s="3788" t="str">
        <f>A20</f>
        <v>Tab 17</v>
      </c>
      <c r="B515" s="3788"/>
      <c r="C515" s="3788"/>
      <c r="D515" s="3788"/>
      <c r="E515" s="3788"/>
      <c r="F515" s="3788"/>
      <c r="G515" s="3788"/>
      <c r="H515" s="3788"/>
    </row>
    <row r="516" spans="1:8" ht="30.75" customHeight="1">
      <c r="A516" s="3788" t="str">
        <f>C20</f>
        <v>Section 17 - Compliance Test History</v>
      </c>
      <c r="B516" s="3788"/>
      <c r="C516" s="3788"/>
      <c r="D516" s="3788"/>
      <c r="E516" s="3788"/>
      <c r="F516" s="3788"/>
      <c r="G516" s="3788"/>
      <c r="H516" s="3788"/>
    </row>
    <row r="517" spans="1:8" ht="30.75" customHeight="1">
      <c r="A517" s="253"/>
      <c r="B517" s="253"/>
      <c r="C517" s="253"/>
      <c r="D517" s="253"/>
      <c r="E517" s="253"/>
      <c r="F517" s="253"/>
      <c r="G517" s="253"/>
      <c r="H517" s="253"/>
    </row>
    <row r="518" spans="1:8" ht="30.75" customHeight="1">
      <c r="A518" s="253"/>
      <c r="B518" s="253"/>
      <c r="C518" s="253"/>
      <c r="D518" s="253"/>
      <c r="E518" s="253"/>
      <c r="F518" s="253"/>
      <c r="G518" s="253"/>
      <c r="H518" s="253"/>
    </row>
    <row r="519" spans="1:8" ht="30.75" customHeight="1">
      <c r="A519" s="253"/>
      <c r="B519" s="253"/>
      <c r="C519" s="253"/>
      <c r="D519" s="253"/>
      <c r="E519" s="253"/>
      <c r="F519" s="253"/>
      <c r="G519" s="253"/>
      <c r="H519" s="253"/>
    </row>
    <row r="520" spans="1:8" ht="30.75" customHeight="1">
      <c r="A520" s="253"/>
      <c r="B520" s="253"/>
      <c r="C520" s="253"/>
      <c r="D520" s="253"/>
      <c r="E520" s="253"/>
      <c r="F520" s="253"/>
      <c r="G520" s="253"/>
      <c r="H520" s="253"/>
    </row>
    <row r="521" spans="1:8" ht="30.75" customHeight="1">
      <c r="A521" s="253"/>
      <c r="B521" s="253"/>
      <c r="C521" s="253"/>
      <c r="D521" s="253"/>
      <c r="E521" s="253"/>
      <c r="F521" s="253"/>
      <c r="G521" s="253"/>
      <c r="H521" s="253"/>
    </row>
    <row r="522" spans="1:8" ht="30.75" customHeight="1">
      <c r="A522" s="253"/>
      <c r="B522" s="253"/>
      <c r="C522" s="253"/>
      <c r="D522" s="253"/>
      <c r="E522" s="253"/>
      <c r="F522" s="253"/>
      <c r="G522" s="253"/>
      <c r="H522" s="253"/>
    </row>
    <row r="523" spans="1:8" ht="30.75" customHeight="1">
      <c r="A523" s="253"/>
      <c r="B523" s="253"/>
      <c r="C523" s="253"/>
      <c r="D523" s="253"/>
      <c r="E523" s="253"/>
      <c r="F523" s="253"/>
      <c r="G523" s="253"/>
      <c r="H523" s="253"/>
    </row>
    <row r="524" spans="1:8" ht="30.75" customHeight="1">
      <c r="A524" s="253"/>
      <c r="B524" s="253"/>
      <c r="C524" s="253"/>
      <c r="D524" s="253"/>
      <c r="E524" s="253"/>
      <c r="F524" s="253"/>
      <c r="G524" s="253"/>
      <c r="H524" s="253"/>
    </row>
    <row r="525" spans="1:8" ht="30.75" customHeight="1">
      <c r="A525" s="253"/>
      <c r="B525" s="253"/>
      <c r="C525" s="253"/>
      <c r="D525" s="253"/>
      <c r="E525" s="253"/>
      <c r="F525" s="253"/>
      <c r="G525" s="253"/>
      <c r="H525" s="253"/>
    </row>
    <row r="526" spans="1:8" ht="30.75" customHeight="1">
      <c r="A526" s="253"/>
      <c r="B526" s="253"/>
      <c r="C526" s="253"/>
      <c r="D526" s="253"/>
      <c r="E526" s="253"/>
      <c r="F526" s="253"/>
      <c r="G526" s="253"/>
      <c r="H526" s="253"/>
    </row>
    <row r="527" spans="1:8" ht="30.75" customHeight="1">
      <c r="A527" s="253"/>
      <c r="B527" s="253"/>
      <c r="C527" s="253"/>
      <c r="D527" s="253"/>
      <c r="E527" s="253"/>
      <c r="F527" s="253"/>
      <c r="G527" s="253"/>
      <c r="H527" s="253"/>
    </row>
    <row r="528" spans="1:8" ht="30.75" customHeight="1">
      <c r="A528" s="253"/>
      <c r="B528" s="253"/>
      <c r="C528" s="253"/>
      <c r="D528" s="253"/>
      <c r="E528" s="253"/>
      <c r="F528" s="253"/>
      <c r="G528" s="253"/>
      <c r="H528" s="253"/>
    </row>
    <row r="529" spans="1:8" ht="30.75" customHeight="1">
      <c r="A529" s="2369"/>
      <c r="B529" s="2369"/>
      <c r="C529" s="2369"/>
      <c r="D529" s="2369"/>
      <c r="E529" s="2369"/>
      <c r="F529" s="2369"/>
      <c r="G529" s="2369"/>
      <c r="H529" s="2369"/>
    </row>
    <row r="530" spans="1:8" ht="30.75" customHeight="1">
      <c r="A530" s="2369"/>
      <c r="B530" s="2369"/>
      <c r="C530" s="2369"/>
      <c r="D530" s="2369"/>
      <c r="E530" s="2369"/>
      <c r="F530" s="2369"/>
      <c r="G530" s="2369"/>
      <c r="H530" s="2369"/>
    </row>
    <row r="531" spans="1:8" ht="30.75" customHeight="1">
      <c r="A531" s="2369"/>
      <c r="B531" s="2369"/>
      <c r="C531" s="2369"/>
      <c r="D531" s="2369"/>
      <c r="E531" s="2369"/>
      <c r="F531" s="2369"/>
      <c r="G531" s="2369"/>
      <c r="H531" s="2369"/>
    </row>
    <row r="532" spans="1:8" ht="30.75" customHeight="1">
      <c r="A532" s="2369"/>
      <c r="B532" s="2369"/>
      <c r="C532" s="2369"/>
      <c r="D532" s="2369"/>
      <c r="E532" s="2369"/>
      <c r="F532" s="2369"/>
      <c r="G532" s="2369"/>
      <c r="H532" s="2369"/>
    </row>
    <row r="533" spans="1:8" ht="30.75" customHeight="1">
      <c r="A533" s="2369"/>
      <c r="B533" s="2369"/>
      <c r="C533" s="2369"/>
      <c r="D533" s="2369"/>
      <c r="E533" s="2369"/>
      <c r="F533" s="2369"/>
      <c r="G533" s="2369"/>
      <c r="H533" s="2369"/>
    </row>
    <row r="534" spans="1:8" ht="30.75" customHeight="1">
      <c r="A534" s="253"/>
      <c r="B534" s="253"/>
      <c r="C534" s="253"/>
      <c r="D534" s="253"/>
      <c r="E534" s="253"/>
      <c r="F534" s="253"/>
      <c r="G534" s="253"/>
      <c r="H534" s="253"/>
    </row>
    <row r="535" spans="1:8" ht="30.75" customHeight="1">
      <c r="A535" s="253"/>
      <c r="B535" s="253"/>
      <c r="C535" s="253"/>
      <c r="D535" s="253"/>
      <c r="E535" s="253"/>
      <c r="F535" s="253"/>
      <c r="G535" s="253"/>
      <c r="H535" s="253"/>
    </row>
    <row r="536" spans="1:8" ht="30.75" customHeight="1">
      <c r="A536" s="253"/>
      <c r="B536" s="253"/>
      <c r="C536" s="253"/>
      <c r="D536" s="253"/>
      <c r="E536" s="253"/>
      <c r="F536" s="253"/>
      <c r="G536" s="253"/>
      <c r="H536" s="253"/>
    </row>
    <row r="537" spans="1:8" ht="30.75" customHeight="1">
      <c r="A537" s="253"/>
      <c r="B537" s="253"/>
      <c r="C537" s="253"/>
      <c r="D537" s="253"/>
      <c r="E537" s="253"/>
      <c r="F537" s="253"/>
      <c r="G537" s="253"/>
      <c r="H537" s="253"/>
    </row>
    <row r="538" spans="1:8" ht="30.75" customHeight="1">
      <c r="A538" s="253"/>
      <c r="B538" s="253"/>
      <c r="C538" s="253"/>
      <c r="D538" s="253"/>
      <c r="E538" s="253"/>
      <c r="F538" s="253"/>
      <c r="G538" s="253"/>
      <c r="H538" s="253"/>
    </row>
    <row r="539" spans="1:8" ht="30.75" customHeight="1">
      <c r="A539" s="253"/>
      <c r="B539" s="253"/>
      <c r="C539" s="253"/>
      <c r="D539" s="253"/>
      <c r="E539" s="253"/>
      <c r="F539" s="253"/>
      <c r="G539" s="253"/>
      <c r="H539" s="253"/>
    </row>
    <row r="540" spans="1:8" ht="30.75" customHeight="1">
      <c r="A540" s="253"/>
      <c r="B540" s="253"/>
      <c r="C540" s="253"/>
      <c r="D540" s="253"/>
      <c r="E540" s="253"/>
      <c r="F540" s="253"/>
      <c r="G540" s="253"/>
      <c r="H540" s="253"/>
    </row>
    <row r="541" spans="1:8" ht="30.75" customHeight="1">
      <c r="A541" s="3592"/>
      <c r="B541" s="3592"/>
      <c r="C541" s="3592"/>
      <c r="D541" s="3592"/>
      <c r="E541" s="3592"/>
      <c r="F541" s="3592"/>
      <c r="G541" s="3592"/>
      <c r="H541" s="3592"/>
    </row>
    <row r="542" spans="1:8" ht="30.75" customHeight="1">
      <c r="A542" s="253"/>
      <c r="B542" s="253"/>
      <c r="C542" s="253"/>
      <c r="D542" s="253"/>
      <c r="E542" s="253"/>
      <c r="F542" s="253"/>
      <c r="G542" s="253"/>
      <c r="H542" s="253"/>
    </row>
    <row r="543" spans="1:8" ht="30.75" customHeight="1">
      <c r="A543" s="253"/>
      <c r="B543" s="253"/>
      <c r="C543" s="253"/>
      <c r="D543" s="253"/>
      <c r="E543" s="253"/>
      <c r="F543" s="253"/>
      <c r="G543" s="253"/>
      <c r="H543" s="253"/>
    </row>
    <row r="544" spans="1:8" ht="30.75" customHeight="1">
      <c r="A544" s="3788" t="str">
        <f>A21</f>
        <v>Tab 18</v>
      </c>
      <c r="B544" s="3788"/>
      <c r="C544" s="3788"/>
      <c r="D544" s="3788"/>
      <c r="E544" s="3788"/>
      <c r="F544" s="3788"/>
      <c r="G544" s="3788"/>
      <c r="H544" s="3788"/>
    </row>
    <row r="545" spans="1:8" ht="30.75" customHeight="1">
      <c r="A545" s="3789" t="str">
        <f>C21</f>
        <v>Section 18 - Addendum for Streamline Applications (Not Applicable)</v>
      </c>
      <c r="B545" s="3789"/>
      <c r="C545" s="3789"/>
      <c r="D545" s="3789"/>
      <c r="E545" s="3789"/>
      <c r="F545" s="3789"/>
      <c r="G545" s="3789"/>
      <c r="H545" s="3789"/>
    </row>
    <row r="546" spans="1:8" ht="30.75" customHeight="1">
      <c r="A546" s="3789"/>
      <c r="B546" s="3789"/>
      <c r="C546" s="3789"/>
      <c r="D546" s="3789"/>
      <c r="E546" s="3789"/>
      <c r="F546" s="3789"/>
      <c r="G546" s="3789"/>
      <c r="H546" s="3789"/>
    </row>
    <row r="547" spans="1:8" ht="30.75" customHeight="1">
      <c r="A547" s="253"/>
      <c r="B547" s="253"/>
      <c r="C547" s="253"/>
      <c r="D547" s="253"/>
      <c r="E547" s="253"/>
      <c r="F547" s="253"/>
      <c r="G547" s="253"/>
      <c r="H547" s="253"/>
    </row>
    <row r="548" spans="1:8" ht="30.75" customHeight="1">
      <c r="A548" s="253"/>
      <c r="B548" s="253"/>
      <c r="C548" s="253"/>
      <c r="D548" s="253"/>
      <c r="E548" s="253"/>
      <c r="F548" s="253"/>
      <c r="G548" s="253"/>
      <c r="H548" s="253"/>
    </row>
    <row r="549" spans="1:8" ht="30.75" customHeight="1">
      <c r="A549" s="253"/>
      <c r="B549" s="253"/>
      <c r="C549" s="253"/>
      <c r="D549" s="253"/>
      <c r="E549" s="253"/>
      <c r="F549" s="253"/>
      <c r="G549" s="253"/>
      <c r="H549" s="253"/>
    </row>
    <row r="550" spans="1:8" ht="30.75" customHeight="1">
      <c r="A550" s="253"/>
      <c r="B550" s="253"/>
      <c r="C550" s="253"/>
      <c r="D550" s="253"/>
      <c r="E550" s="253"/>
      <c r="F550" s="253"/>
      <c r="G550" s="253"/>
      <c r="H550" s="253"/>
    </row>
    <row r="551" spans="1:8" ht="30.75" customHeight="1">
      <c r="A551" s="253"/>
      <c r="B551" s="253"/>
      <c r="C551" s="253"/>
      <c r="D551" s="253"/>
      <c r="E551" s="253"/>
      <c r="F551" s="253"/>
      <c r="G551" s="253"/>
      <c r="H551" s="253"/>
    </row>
    <row r="552" spans="1:8" ht="30.75" customHeight="1">
      <c r="A552" s="253"/>
      <c r="B552" s="253"/>
      <c r="C552" s="253"/>
      <c r="D552" s="253"/>
      <c r="E552" s="253"/>
      <c r="F552" s="253"/>
      <c r="G552" s="253"/>
      <c r="H552" s="253"/>
    </row>
    <row r="553" spans="1:8" ht="30.75" customHeight="1">
      <c r="A553" s="253"/>
      <c r="B553" s="253"/>
      <c r="C553" s="253"/>
      <c r="D553" s="253"/>
      <c r="E553" s="253"/>
      <c r="F553" s="253"/>
      <c r="G553" s="253"/>
      <c r="H553" s="253"/>
    </row>
    <row r="554" spans="1:8" ht="30.75" customHeight="1">
      <c r="A554" s="253"/>
      <c r="B554" s="253"/>
      <c r="C554" s="253"/>
      <c r="D554" s="253"/>
      <c r="E554" s="253"/>
      <c r="F554" s="253"/>
      <c r="G554" s="253"/>
      <c r="H554" s="253"/>
    </row>
    <row r="555" spans="1:8" ht="30.75" customHeight="1">
      <c r="A555" s="253"/>
      <c r="B555" s="253"/>
      <c r="C555" s="253"/>
      <c r="D555" s="253"/>
      <c r="E555" s="253"/>
      <c r="F555" s="253"/>
      <c r="G555" s="253"/>
      <c r="H555" s="253"/>
    </row>
    <row r="556" spans="1:8" ht="30.75" customHeight="1">
      <c r="A556" s="253"/>
      <c r="B556" s="253"/>
      <c r="C556" s="253"/>
      <c r="D556" s="253"/>
      <c r="E556" s="253"/>
      <c r="F556" s="253"/>
      <c r="G556" s="253"/>
      <c r="H556" s="253"/>
    </row>
    <row r="557" spans="1:8" ht="30.75" customHeight="1">
      <c r="A557" s="253"/>
      <c r="B557" s="253"/>
      <c r="C557" s="253"/>
      <c r="D557" s="253"/>
      <c r="E557" s="253"/>
      <c r="F557" s="253"/>
      <c r="G557" s="253"/>
      <c r="H557" s="253"/>
    </row>
    <row r="558" spans="1:8" ht="30.75" customHeight="1">
      <c r="A558" s="253"/>
      <c r="B558" s="253"/>
      <c r="C558" s="253"/>
      <c r="D558" s="253"/>
      <c r="E558" s="253"/>
      <c r="F558" s="253"/>
      <c r="G558" s="253"/>
      <c r="H558" s="253"/>
    </row>
    <row r="559" spans="1:8" ht="30.75" customHeight="1">
      <c r="A559" s="2369"/>
      <c r="B559" s="2369"/>
      <c r="C559" s="2369"/>
      <c r="D559" s="2369"/>
      <c r="E559" s="2369"/>
      <c r="F559" s="2369"/>
      <c r="G559" s="2369"/>
      <c r="H559" s="2369"/>
    </row>
    <row r="560" spans="1:8" ht="30.75" customHeight="1">
      <c r="A560" s="2369"/>
      <c r="B560" s="2369"/>
      <c r="C560" s="2369"/>
      <c r="D560" s="2369"/>
      <c r="E560" s="2369"/>
      <c r="F560" s="2369"/>
      <c r="G560" s="2369"/>
      <c r="H560" s="2369"/>
    </row>
    <row r="561" spans="1:8" ht="30.75" customHeight="1">
      <c r="A561" s="2369"/>
      <c r="B561" s="2369"/>
      <c r="C561" s="2369"/>
      <c r="D561" s="2369"/>
      <c r="E561" s="2369"/>
      <c r="F561" s="2369"/>
      <c r="G561" s="2369"/>
      <c r="H561" s="2369"/>
    </row>
    <row r="562" spans="1:8" ht="30.75" customHeight="1">
      <c r="A562" s="2369"/>
      <c r="B562" s="2369"/>
      <c r="C562" s="2369"/>
      <c r="D562" s="2369"/>
      <c r="E562" s="2369"/>
      <c r="F562" s="2369"/>
      <c r="G562" s="2369"/>
      <c r="H562" s="2369"/>
    </row>
    <row r="563" spans="1:8" ht="30.75" customHeight="1">
      <c r="A563" s="2369"/>
      <c r="B563" s="2369"/>
      <c r="C563" s="2369"/>
      <c r="D563" s="2369"/>
      <c r="E563" s="2369"/>
      <c r="F563" s="2369"/>
      <c r="G563" s="2369"/>
      <c r="H563" s="2369"/>
    </row>
    <row r="564" spans="1:8" ht="30.75" customHeight="1">
      <c r="A564" s="253"/>
      <c r="B564" s="253"/>
      <c r="C564" s="253"/>
      <c r="D564" s="253"/>
      <c r="E564" s="253"/>
      <c r="F564" s="253"/>
      <c r="G564" s="253"/>
      <c r="H564" s="253"/>
    </row>
    <row r="565" spans="1:8" ht="30.75" customHeight="1">
      <c r="A565" s="253"/>
      <c r="B565" s="253"/>
      <c r="C565" s="253"/>
      <c r="D565" s="253"/>
      <c r="E565" s="253"/>
      <c r="F565" s="253"/>
      <c r="G565" s="253"/>
      <c r="H565" s="253"/>
    </row>
    <row r="566" spans="1:8" ht="30.75" customHeight="1">
      <c r="A566" s="253"/>
      <c r="B566" s="253"/>
      <c r="C566" s="253"/>
      <c r="D566" s="253"/>
      <c r="E566" s="253"/>
      <c r="F566" s="253"/>
      <c r="G566" s="253"/>
      <c r="H566" s="253"/>
    </row>
    <row r="567" spans="1:8" ht="30.75" customHeight="1">
      <c r="A567" s="253"/>
      <c r="B567" s="253"/>
      <c r="C567" s="253"/>
      <c r="D567" s="253"/>
      <c r="E567" s="253"/>
      <c r="F567" s="253"/>
      <c r="G567" s="253"/>
      <c r="H567" s="253"/>
    </row>
    <row r="568" spans="1:8" ht="30.75" customHeight="1">
      <c r="A568" s="253"/>
      <c r="B568" s="253"/>
      <c r="C568" s="253"/>
      <c r="D568" s="253"/>
      <c r="E568" s="253"/>
      <c r="F568" s="253"/>
      <c r="G568" s="253"/>
      <c r="H568" s="253"/>
    </row>
    <row r="569" spans="1:8" ht="30.75" customHeight="1">
      <c r="A569" s="253"/>
      <c r="B569" s="253"/>
      <c r="C569" s="253"/>
      <c r="D569" s="253"/>
      <c r="E569" s="253"/>
      <c r="F569" s="253"/>
      <c r="G569" s="253"/>
      <c r="H569" s="253"/>
    </row>
    <row r="570" spans="1:8" ht="30.75" customHeight="1">
      <c r="A570" s="2369"/>
      <c r="B570" s="2369"/>
      <c r="C570" s="2369"/>
      <c r="D570" s="2369"/>
      <c r="E570" s="2369"/>
      <c r="F570" s="2369"/>
      <c r="G570" s="2369"/>
      <c r="H570" s="2369"/>
    </row>
    <row r="571" spans="1:8" ht="30.75" customHeight="1">
      <c r="A571" s="253"/>
      <c r="B571" s="253"/>
      <c r="C571" s="253"/>
      <c r="D571" s="253"/>
      <c r="E571" s="253"/>
      <c r="F571" s="253"/>
      <c r="G571" s="253"/>
      <c r="H571" s="253"/>
    </row>
    <row r="572" spans="1:8" ht="30.75" customHeight="1">
      <c r="A572" s="3592"/>
      <c r="B572" s="3592"/>
      <c r="C572" s="3592"/>
      <c r="D572" s="3592"/>
      <c r="E572" s="3592"/>
      <c r="F572" s="3592"/>
      <c r="G572" s="3592"/>
      <c r="H572" s="3592"/>
    </row>
    <row r="573" spans="1:8" ht="30.75" customHeight="1">
      <c r="A573" s="253"/>
      <c r="B573" s="253"/>
      <c r="C573" s="253"/>
      <c r="D573" s="253"/>
      <c r="E573" s="253"/>
      <c r="F573" s="253"/>
      <c r="G573" s="253"/>
      <c r="H573" s="253"/>
    </row>
    <row r="574" spans="1:8" ht="30.75" customHeight="1">
      <c r="A574" s="253"/>
      <c r="B574" s="253"/>
      <c r="C574" s="253"/>
      <c r="D574" s="253"/>
      <c r="E574" s="253"/>
      <c r="F574" s="253"/>
      <c r="G574" s="253"/>
      <c r="H574" s="253"/>
    </row>
    <row r="575" spans="1:8" ht="30.75" customHeight="1">
      <c r="A575" s="3788" t="str">
        <f>A22</f>
        <v>Tab 19</v>
      </c>
      <c r="B575" s="3788"/>
      <c r="C575" s="3788"/>
      <c r="D575" s="3788"/>
      <c r="E575" s="3788"/>
      <c r="F575" s="3788"/>
      <c r="G575" s="3788"/>
      <c r="H575" s="3788"/>
    </row>
    <row r="576" spans="1:8" ht="30.75" customHeight="1">
      <c r="A576" s="3788" t="str">
        <f>C22</f>
        <v>Section 19 - Requirements for Title V Program</v>
      </c>
      <c r="B576" s="3788"/>
      <c r="C576" s="3788"/>
      <c r="D576" s="3788"/>
      <c r="E576" s="3788"/>
      <c r="F576" s="3788"/>
      <c r="G576" s="3788"/>
      <c r="H576" s="3788"/>
    </row>
    <row r="577" spans="1:8" ht="30.75" customHeight="1">
      <c r="A577" s="253"/>
      <c r="B577" s="253"/>
      <c r="C577" s="253"/>
      <c r="D577" s="253"/>
      <c r="E577" s="253"/>
      <c r="F577" s="253"/>
      <c r="G577" s="253"/>
      <c r="H577" s="253"/>
    </row>
    <row r="578" spans="1:8" ht="30.75" customHeight="1">
      <c r="A578" s="253"/>
      <c r="B578" s="253"/>
      <c r="C578" s="253"/>
      <c r="D578" s="253"/>
      <c r="E578" s="253"/>
      <c r="F578" s="253"/>
      <c r="G578" s="253"/>
      <c r="H578" s="253"/>
    </row>
    <row r="579" spans="1:8" ht="30.75" customHeight="1">
      <c r="A579" s="253"/>
      <c r="B579" s="253"/>
      <c r="C579" s="253"/>
      <c r="D579" s="253"/>
      <c r="E579" s="253"/>
      <c r="F579" s="253"/>
      <c r="G579" s="253"/>
      <c r="H579" s="253"/>
    </row>
    <row r="580" spans="1:8" ht="30.75" customHeight="1">
      <c r="A580" s="253"/>
      <c r="B580" s="253"/>
      <c r="C580" s="253"/>
      <c r="D580" s="253"/>
      <c r="E580" s="253"/>
      <c r="F580" s="253"/>
      <c r="G580" s="253"/>
      <c r="H580" s="253"/>
    </row>
    <row r="581" spans="1:8" ht="30.75" customHeight="1">
      <c r="A581" s="253"/>
      <c r="B581" s="253"/>
      <c r="C581" s="253"/>
      <c r="D581" s="253"/>
      <c r="E581" s="253"/>
      <c r="F581" s="253"/>
      <c r="G581" s="253"/>
      <c r="H581" s="253"/>
    </row>
    <row r="582" spans="1:8" ht="30.75" customHeight="1">
      <c r="A582" s="253"/>
      <c r="B582" s="253"/>
      <c r="C582" s="253"/>
      <c r="D582" s="253"/>
      <c r="E582" s="253"/>
      <c r="F582" s="253"/>
      <c r="G582" s="253"/>
      <c r="H582" s="253"/>
    </row>
    <row r="583" spans="1:8" ht="30.75" customHeight="1">
      <c r="A583" s="253"/>
      <c r="B583" s="253"/>
      <c r="C583" s="253"/>
      <c r="D583" s="253"/>
      <c r="E583" s="253"/>
      <c r="F583" s="253"/>
      <c r="G583" s="253"/>
      <c r="H583" s="253"/>
    </row>
    <row r="584" spans="1:8" ht="30.75" customHeight="1">
      <c r="A584" s="2369"/>
      <c r="B584" s="2369"/>
      <c r="C584" s="2369"/>
      <c r="D584" s="2369"/>
      <c r="E584" s="2369"/>
      <c r="F584" s="2369"/>
      <c r="G584" s="2369"/>
      <c r="H584" s="2369"/>
    </row>
    <row r="585" spans="1:8" ht="30.75" customHeight="1">
      <c r="A585" s="2369"/>
      <c r="B585" s="2369"/>
      <c r="C585" s="2369"/>
      <c r="D585" s="2369"/>
      <c r="E585" s="2369"/>
      <c r="F585" s="2369"/>
      <c r="G585" s="2369"/>
      <c r="H585" s="2369"/>
    </row>
    <row r="586" spans="1:8" ht="30.75" customHeight="1">
      <c r="A586" s="2369"/>
      <c r="B586" s="2369"/>
      <c r="C586" s="2369"/>
      <c r="D586" s="2369"/>
      <c r="E586" s="2369"/>
      <c r="F586" s="2369"/>
      <c r="G586" s="2369"/>
      <c r="H586" s="2369"/>
    </row>
    <row r="587" spans="1:8" ht="30.75" customHeight="1">
      <c r="A587" s="2369"/>
      <c r="B587" s="2369"/>
      <c r="C587" s="2369"/>
      <c r="D587" s="2369"/>
      <c r="E587" s="2369"/>
      <c r="F587" s="2369"/>
      <c r="G587" s="2369"/>
      <c r="H587" s="2369"/>
    </row>
    <row r="588" spans="1:8" ht="30.75" customHeight="1">
      <c r="A588" s="2369"/>
      <c r="B588" s="2369"/>
      <c r="C588" s="2369"/>
      <c r="D588" s="2369"/>
      <c r="E588" s="2369"/>
      <c r="F588" s="2369"/>
      <c r="G588" s="2369"/>
      <c r="H588" s="2369"/>
    </row>
    <row r="589" spans="1:8" ht="30.75" customHeight="1">
      <c r="A589" s="2369"/>
      <c r="B589" s="2369"/>
      <c r="C589" s="2369"/>
      <c r="D589" s="2369"/>
      <c r="E589" s="2369"/>
      <c r="F589" s="2369"/>
      <c r="G589" s="2369"/>
      <c r="H589" s="2369"/>
    </row>
    <row r="590" spans="1:8" ht="30.75" customHeight="1">
      <c r="A590" s="2369"/>
      <c r="B590" s="2369"/>
      <c r="C590" s="2369"/>
      <c r="D590" s="2369"/>
      <c r="E590" s="2369"/>
      <c r="F590" s="2369"/>
      <c r="G590" s="2369"/>
      <c r="H590" s="2369"/>
    </row>
    <row r="591" spans="1:8" ht="30.75" customHeight="1">
      <c r="A591" s="2369"/>
      <c r="B591" s="2369"/>
      <c r="C591" s="2369"/>
      <c r="D591" s="2369"/>
      <c r="E591" s="2369"/>
      <c r="F591" s="2369"/>
      <c r="G591" s="2369"/>
      <c r="H591" s="2369"/>
    </row>
    <row r="592" spans="1:8" ht="30.75" customHeight="1">
      <c r="A592" s="253"/>
      <c r="B592" s="253"/>
      <c r="C592" s="253"/>
      <c r="D592" s="253"/>
      <c r="E592" s="253"/>
      <c r="F592" s="253"/>
      <c r="G592" s="253"/>
      <c r="H592" s="253"/>
    </row>
    <row r="593" spans="1:8" ht="30.75" customHeight="1">
      <c r="A593" s="2369"/>
      <c r="B593" s="2369"/>
      <c r="C593" s="2369"/>
      <c r="D593" s="2369"/>
      <c r="E593" s="2369"/>
      <c r="F593" s="2369"/>
      <c r="G593" s="2369"/>
      <c r="H593" s="2369"/>
    </row>
    <row r="594" spans="1:8" ht="30.75" customHeight="1">
      <c r="A594" s="2369"/>
      <c r="B594" s="2369"/>
      <c r="C594" s="2369"/>
      <c r="D594" s="2369"/>
      <c r="E594" s="2369"/>
      <c r="F594" s="2369"/>
      <c r="G594" s="2369"/>
      <c r="H594" s="2369"/>
    </row>
    <row r="595" spans="1:8" ht="30.75" customHeight="1">
      <c r="A595" s="2369"/>
      <c r="B595" s="2369"/>
      <c r="C595" s="2369"/>
      <c r="D595" s="2369"/>
      <c r="E595" s="2369"/>
      <c r="F595" s="2369"/>
      <c r="G595" s="2369"/>
      <c r="H595" s="2369"/>
    </row>
    <row r="596" spans="1:8" ht="30.75" customHeight="1">
      <c r="A596" s="253"/>
      <c r="B596" s="253"/>
      <c r="C596" s="253"/>
      <c r="D596" s="253"/>
      <c r="E596" s="253"/>
      <c r="F596" s="253"/>
      <c r="G596" s="253"/>
      <c r="H596" s="253"/>
    </row>
    <row r="597" spans="1:8" ht="30.75" customHeight="1">
      <c r="A597" s="253"/>
      <c r="B597" s="253"/>
      <c r="C597" s="253"/>
      <c r="D597" s="253"/>
      <c r="E597" s="253"/>
      <c r="F597" s="253"/>
      <c r="G597" s="253"/>
      <c r="H597" s="253"/>
    </row>
    <row r="598" spans="1:8" ht="30.75" customHeight="1">
      <c r="A598" s="253"/>
      <c r="B598" s="253"/>
      <c r="C598" s="253"/>
      <c r="D598" s="253"/>
      <c r="E598" s="253"/>
      <c r="F598" s="253"/>
      <c r="G598" s="253"/>
      <c r="H598" s="253"/>
    </row>
    <row r="599" spans="1:8" ht="30.75" customHeight="1">
      <c r="A599" s="253"/>
      <c r="B599" s="253"/>
      <c r="C599" s="253"/>
      <c r="D599" s="253"/>
      <c r="E599" s="253"/>
      <c r="F599" s="253"/>
      <c r="G599" s="253"/>
      <c r="H599" s="253"/>
    </row>
    <row r="600" spans="1:8" ht="30.75" customHeight="1">
      <c r="A600" s="253"/>
      <c r="B600" s="253"/>
      <c r="C600" s="253"/>
      <c r="D600" s="253"/>
      <c r="E600" s="253"/>
      <c r="F600" s="253"/>
      <c r="G600" s="253"/>
      <c r="H600" s="253"/>
    </row>
    <row r="601" spans="1:8" ht="30.75" customHeight="1">
      <c r="A601" s="3592"/>
      <c r="B601" s="3592"/>
      <c r="C601" s="3592"/>
      <c r="D601" s="3592"/>
      <c r="E601" s="3592"/>
      <c r="F601" s="3592"/>
      <c r="G601" s="3592"/>
      <c r="H601" s="3592"/>
    </row>
    <row r="602" spans="1:8" ht="30.75" customHeight="1">
      <c r="A602" s="3592"/>
      <c r="B602" s="3592"/>
      <c r="C602" s="3592"/>
      <c r="D602" s="3592"/>
      <c r="E602" s="3592"/>
      <c r="F602" s="3592"/>
      <c r="G602" s="3592"/>
      <c r="H602" s="3592"/>
    </row>
    <row r="603" spans="1:8" ht="30.75" customHeight="1">
      <c r="A603" s="253"/>
      <c r="B603" s="253"/>
      <c r="C603" s="253"/>
      <c r="D603" s="253"/>
      <c r="E603" s="253"/>
      <c r="F603" s="253"/>
      <c r="G603" s="253"/>
      <c r="H603" s="253"/>
    </row>
    <row r="604" spans="1:8" ht="30.75" customHeight="1">
      <c r="A604" s="253"/>
      <c r="B604" s="253"/>
      <c r="C604" s="253"/>
      <c r="D604" s="253"/>
      <c r="E604" s="253"/>
      <c r="F604" s="253"/>
      <c r="G604" s="253"/>
      <c r="H604" s="253"/>
    </row>
    <row r="605" spans="1:8" ht="30.75" customHeight="1">
      <c r="A605" s="3788" t="str">
        <f>A23</f>
        <v>Tab 20</v>
      </c>
      <c r="B605" s="3788"/>
      <c r="C605" s="3788"/>
      <c r="D605" s="3788"/>
      <c r="E605" s="3788"/>
      <c r="F605" s="3788"/>
      <c r="G605" s="3788"/>
      <c r="H605" s="3788"/>
    </row>
    <row r="606" spans="1:8" ht="30.75" customHeight="1">
      <c r="A606" s="3788" t="str">
        <f>C23</f>
        <v>Section 20 - Other Relevant Information</v>
      </c>
      <c r="B606" s="3788"/>
      <c r="C606" s="3788"/>
      <c r="D606" s="3788"/>
      <c r="E606" s="3788"/>
      <c r="F606" s="3788"/>
      <c r="G606" s="3788"/>
      <c r="H606" s="3788"/>
    </row>
    <row r="608" spans="1:8" ht="30.75" customHeight="1">
      <c r="A608" s="253"/>
      <c r="B608" s="253"/>
      <c r="C608" s="253"/>
      <c r="D608" s="253"/>
      <c r="E608" s="253"/>
      <c r="F608" s="253"/>
      <c r="G608" s="253"/>
      <c r="H608" s="253"/>
    </row>
    <row r="609" spans="1:8" ht="30.75" customHeight="1">
      <c r="A609" s="253"/>
      <c r="B609" s="253"/>
      <c r="C609" s="253"/>
      <c r="D609" s="253"/>
      <c r="E609" s="253"/>
      <c r="F609" s="253"/>
      <c r="G609" s="253"/>
      <c r="H609" s="253"/>
    </row>
    <row r="612" spans="1:8" ht="30.75" customHeight="1">
      <c r="A612" s="253"/>
      <c r="B612" s="253"/>
      <c r="C612" s="253"/>
      <c r="D612" s="253"/>
      <c r="E612" s="253"/>
      <c r="F612" s="253"/>
      <c r="G612" s="253"/>
      <c r="H612" s="253"/>
    </row>
    <row r="613" spans="1:8" ht="30.75" customHeight="1">
      <c r="A613" s="253"/>
      <c r="B613" s="253"/>
      <c r="C613" s="253"/>
      <c r="D613" s="253"/>
      <c r="E613" s="253"/>
      <c r="F613" s="253"/>
      <c r="G613" s="253"/>
      <c r="H613" s="253"/>
    </row>
    <row r="614" spans="1:8" ht="30.75" customHeight="1">
      <c r="A614" s="253"/>
      <c r="B614" s="253"/>
      <c r="C614" s="253"/>
      <c r="D614" s="253"/>
      <c r="E614" s="253"/>
      <c r="F614" s="253"/>
      <c r="G614" s="253"/>
      <c r="H614" s="253"/>
    </row>
    <row r="615" spans="1:8" ht="30.75" customHeight="1">
      <c r="A615" s="253"/>
      <c r="B615" s="253"/>
      <c r="C615" s="253"/>
      <c r="D615" s="253"/>
      <c r="E615" s="253"/>
      <c r="F615" s="253"/>
      <c r="G615" s="253"/>
      <c r="H615" s="253"/>
    </row>
    <row r="616" spans="1:8" ht="30.75" customHeight="1">
      <c r="A616" s="253"/>
      <c r="B616" s="253"/>
      <c r="C616" s="253"/>
      <c r="D616" s="253"/>
      <c r="E616" s="253"/>
      <c r="F616" s="253"/>
      <c r="G616" s="253"/>
      <c r="H616" s="253"/>
    </row>
    <row r="617" spans="1:8" ht="30.75" customHeight="1">
      <c r="A617" s="253"/>
      <c r="B617" s="253"/>
      <c r="C617" s="253"/>
      <c r="D617" s="253"/>
      <c r="E617" s="253"/>
      <c r="F617" s="253"/>
      <c r="G617" s="253"/>
      <c r="H617" s="253"/>
    </row>
    <row r="618" spans="1:8" ht="30.75" customHeight="1">
      <c r="A618" s="253"/>
      <c r="B618" s="253"/>
      <c r="C618" s="253"/>
      <c r="D618" s="253"/>
      <c r="E618" s="253"/>
      <c r="F618" s="253"/>
      <c r="G618" s="253"/>
      <c r="H618" s="253"/>
    </row>
    <row r="619" spans="1:8" ht="30.75" customHeight="1">
      <c r="A619" s="253"/>
      <c r="B619" s="253"/>
      <c r="C619" s="253"/>
      <c r="D619" s="253"/>
      <c r="E619" s="253"/>
      <c r="F619" s="253"/>
      <c r="G619" s="253"/>
      <c r="H619" s="253"/>
    </row>
    <row r="620" spans="1:8" ht="30.75" customHeight="1">
      <c r="A620" s="253"/>
      <c r="B620" s="253"/>
      <c r="C620" s="253"/>
      <c r="D620" s="253"/>
      <c r="E620" s="253"/>
      <c r="F620" s="253"/>
      <c r="G620" s="253"/>
      <c r="H620" s="253"/>
    </row>
    <row r="621" spans="1:8" ht="30.75" customHeight="1">
      <c r="A621" s="2369"/>
      <c r="B621" s="2369"/>
      <c r="C621" s="2369"/>
      <c r="D621" s="2369"/>
      <c r="E621" s="2369"/>
      <c r="F621" s="2369"/>
      <c r="G621" s="2369"/>
      <c r="H621" s="2369"/>
    </row>
    <row r="622" spans="1:8" ht="30.75" customHeight="1">
      <c r="A622" s="2369"/>
      <c r="B622" s="2369"/>
      <c r="C622" s="2369"/>
      <c r="D622" s="2369"/>
      <c r="E622" s="2369"/>
      <c r="F622" s="2369"/>
      <c r="G622" s="2369"/>
      <c r="H622" s="2369"/>
    </row>
    <row r="623" spans="1:8" ht="30.75" customHeight="1">
      <c r="A623" s="2369"/>
      <c r="B623" s="2369"/>
      <c r="C623" s="2369"/>
      <c r="D623" s="2369"/>
      <c r="E623" s="2369"/>
      <c r="F623" s="2369"/>
      <c r="G623" s="2369"/>
      <c r="H623" s="2369"/>
    </row>
    <row r="624" spans="1:8" ht="30.75" customHeight="1">
      <c r="A624" s="253"/>
      <c r="B624" s="253"/>
      <c r="C624" s="253"/>
      <c r="D624" s="253"/>
      <c r="E624" s="253"/>
      <c r="F624" s="253"/>
      <c r="G624" s="253"/>
      <c r="H624" s="253"/>
    </row>
    <row r="625" spans="1:8" ht="30.75" customHeight="1">
      <c r="A625" s="253"/>
      <c r="B625" s="253"/>
      <c r="C625" s="253"/>
      <c r="D625" s="253"/>
      <c r="E625" s="253"/>
      <c r="F625" s="253"/>
      <c r="G625" s="253"/>
      <c r="H625" s="253"/>
    </row>
    <row r="626" spans="1:8" ht="30.75" customHeight="1">
      <c r="A626" s="2369"/>
      <c r="B626" s="2369"/>
      <c r="C626" s="2369"/>
      <c r="D626" s="2369"/>
      <c r="E626" s="2369"/>
      <c r="F626" s="2369"/>
      <c r="G626" s="2369"/>
      <c r="H626" s="2369"/>
    </row>
    <row r="627" spans="1:8" ht="30.75" customHeight="1">
      <c r="A627" s="2369"/>
      <c r="B627" s="2369"/>
      <c r="C627" s="2369"/>
      <c r="D627" s="2369"/>
      <c r="E627" s="2369"/>
      <c r="F627" s="2369"/>
      <c r="G627" s="2369"/>
      <c r="H627" s="2369"/>
    </row>
    <row r="628" spans="1:8" ht="30.75" customHeight="1">
      <c r="A628" s="2369"/>
      <c r="B628" s="2369"/>
      <c r="C628" s="2369"/>
      <c r="D628" s="2369"/>
      <c r="E628" s="2369"/>
      <c r="F628" s="2369"/>
      <c r="G628" s="2369"/>
      <c r="H628" s="2369"/>
    </row>
    <row r="629" spans="1:8" ht="30.75" customHeight="1">
      <c r="A629" s="2369"/>
      <c r="B629" s="2369"/>
      <c r="C629" s="2369"/>
      <c r="D629" s="2369"/>
      <c r="E629" s="2369"/>
      <c r="F629" s="2369"/>
      <c r="G629" s="2369"/>
      <c r="H629" s="2369"/>
    </row>
    <row r="630" spans="1:8" ht="30.75" customHeight="1">
      <c r="A630" s="2369"/>
      <c r="B630" s="2369"/>
      <c r="C630" s="2369"/>
      <c r="D630" s="2369"/>
      <c r="E630" s="2369"/>
      <c r="F630" s="2369"/>
      <c r="G630" s="2369"/>
      <c r="H630" s="2369"/>
    </row>
    <row r="631" spans="1:8" ht="30.75" customHeight="1">
      <c r="A631" s="2369"/>
      <c r="B631" s="2369"/>
      <c r="C631" s="2369"/>
      <c r="D631" s="2369"/>
      <c r="E631" s="2369"/>
      <c r="F631" s="2369"/>
      <c r="G631" s="2369"/>
      <c r="H631" s="2369"/>
    </row>
    <row r="632" spans="1:8" ht="30.75" customHeight="1">
      <c r="A632" s="2369"/>
      <c r="B632" s="2369"/>
      <c r="C632" s="2369"/>
      <c r="D632" s="2369"/>
      <c r="E632" s="2369"/>
      <c r="F632" s="2369"/>
      <c r="G632" s="2369"/>
      <c r="H632" s="2369"/>
    </row>
    <row r="633" spans="1:8" ht="30.75" customHeight="1">
      <c r="A633" s="2369"/>
      <c r="B633" s="2369"/>
      <c r="C633" s="2369"/>
      <c r="D633" s="2369"/>
      <c r="E633" s="2369"/>
      <c r="F633" s="2369"/>
      <c r="G633" s="2369"/>
      <c r="H633" s="2369"/>
    </row>
    <row r="634" spans="1:8" ht="30.75" customHeight="1">
      <c r="A634" s="3788" t="str">
        <f>A24</f>
        <v>Tab 21</v>
      </c>
      <c r="B634" s="3788"/>
      <c r="C634" s="3788"/>
      <c r="D634" s="3788"/>
      <c r="E634" s="3788"/>
      <c r="F634" s="3788"/>
      <c r="G634" s="3788"/>
      <c r="H634" s="3788"/>
    </row>
    <row r="635" spans="1:8" ht="30.75" customHeight="1">
      <c r="A635" s="3789" t="str">
        <f>C24</f>
        <v>Section 21 - Addendum for Landfill Applications (Not Applicable)</v>
      </c>
      <c r="B635" s="3789"/>
      <c r="C635" s="3789"/>
      <c r="D635" s="3789"/>
      <c r="E635" s="3789"/>
      <c r="F635" s="3789"/>
      <c r="G635" s="3789"/>
      <c r="H635" s="3789"/>
    </row>
    <row r="636" spans="1:8" ht="30.75" customHeight="1">
      <c r="A636" s="3789"/>
      <c r="B636" s="3789"/>
      <c r="C636" s="3789"/>
      <c r="D636" s="3789"/>
      <c r="E636" s="3789"/>
      <c r="F636" s="3789"/>
      <c r="G636" s="3789"/>
      <c r="H636" s="3789"/>
    </row>
    <row r="637" spans="1:8" ht="30.75" customHeight="1">
      <c r="A637" s="3788"/>
      <c r="B637" s="3788"/>
      <c r="C637" s="3788"/>
      <c r="D637" s="3788"/>
      <c r="E637" s="3788"/>
      <c r="F637" s="3788"/>
      <c r="G637" s="3788"/>
      <c r="H637" s="3788"/>
    </row>
    <row r="638" spans="1:8" ht="30.75" customHeight="1">
      <c r="A638" s="2369"/>
      <c r="B638" s="2369"/>
      <c r="C638" s="2369"/>
      <c r="D638" s="2369"/>
      <c r="E638" s="2369"/>
      <c r="F638" s="2369"/>
      <c r="G638" s="2369"/>
      <c r="H638" s="2369"/>
    </row>
    <row r="639" spans="1:8" ht="30.75" customHeight="1">
      <c r="A639" s="2369"/>
      <c r="B639" s="2369"/>
      <c r="C639" s="2369"/>
      <c r="D639" s="2369"/>
      <c r="E639" s="2369"/>
      <c r="F639" s="2369"/>
      <c r="G639" s="2369"/>
      <c r="H639" s="2369"/>
    </row>
    <row r="640" spans="1:8" ht="30.75" customHeight="1">
      <c r="A640" s="2369"/>
      <c r="B640" s="2369"/>
      <c r="C640" s="2369"/>
      <c r="D640" s="2369"/>
      <c r="E640" s="2369"/>
      <c r="F640" s="2369"/>
      <c r="G640" s="2369"/>
      <c r="H640" s="2369"/>
    </row>
    <row r="641" spans="1:8" ht="30.75" customHeight="1">
      <c r="A641" s="2369"/>
      <c r="B641" s="2369"/>
      <c r="C641" s="2369"/>
      <c r="D641" s="2369"/>
      <c r="E641" s="2369"/>
      <c r="F641" s="2369"/>
      <c r="G641" s="2369"/>
      <c r="H641" s="2369"/>
    </row>
    <row r="642" spans="1:8" ht="30.75" customHeight="1">
      <c r="A642" s="2369"/>
      <c r="B642" s="2369"/>
      <c r="C642" s="2369"/>
      <c r="D642" s="2369"/>
      <c r="E642" s="2369"/>
      <c r="F642" s="2369"/>
      <c r="G642" s="2369"/>
      <c r="H642" s="2369"/>
    </row>
    <row r="643" spans="1:8" ht="30.75" customHeight="1">
      <c r="A643" s="2369"/>
      <c r="B643" s="2369"/>
      <c r="C643" s="2369"/>
      <c r="D643" s="2369"/>
      <c r="E643" s="2369"/>
      <c r="F643" s="2369"/>
      <c r="G643" s="2369"/>
      <c r="H643" s="2369"/>
    </row>
    <row r="644" spans="1:8" ht="30.75" customHeight="1">
      <c r="A644" s="2369"/>
      <c r="B644" s="2369"/>
      <c r="C644" s="2369"/>
      <c r="D644" s="2369"/>
      <c r="E644" s="2369"/>
      <c r="F644" s="2369"/>
      <c r="G644" s="2369"/>
      <c r="H644" s="2369"/>
    </row>
    <row r="645" spans="1:8" ht="30.75" customHeight="1">
      <c r="A645" s="2369"/>
      <c r="B645" s="2369"/>
      <c r="C645" s="2369"/>
      <c r="D645" s="2369"/>
      <c r="E645" s="2369"/>
      <c r="F645" s="2369"/>
      <c r="G645" s="2369"/>
      <c r="H645" s="2369"/>
    </row>
    <row r="646" spans="1:8" ht="30.75" customHeight="1">
      <c r="A646" s="2369"/>
      <c r="B646" s="2369"/>
      <c r="C646" s="2369"/>
      <c r="D646" s="2369"/>
      <c r="E646" s="2369"/>
      <c r="F646" s="2369"/>
      <c r="G646" s="2369"/>
      <c r="H646" s="2369"/>
    </row>
    <row r="647" spans="1:8" ht="30.75" customHeight="1">
      <c r="A647" s="2369"/>
      <c r="B647" s="2369"/>
      <c r="C647" s="2369"/>
      <c r="D647" s="2369"/>
      <c r="E647" s="2369"/>
      <c r="F647" s="2369"/>
      <c r="G647" s="2369"/>
      <c r="H647" s="2369"/>
    </row>
    <row r="648" spans="1:8" ht="30.75" customHeight="1">
      <c r="A648" s="2369"/>
      <c r="B648" s="2369"/>
      <c r="C648" s="2369"/>
      <c r="D648" s="2369"/>
      <c r="E648" s="2369"/>
      <c r="F648" s="2369"/>
      <c r="G648" s="2369"/>
      <c r="H648" s="2369"/>
    </row>
    <row r="649" spans="1:8" ht="30.75" customHeight="1">
      <c r="A649" s="2369"/>
      <c r="B649" s="2369"/>
      <c r="C649" s="2369"/>
      <c r="D649" s="2369"/>
      <c r="E649" s="2369"/>
      <c r="F649" s="2369"/>
      <c r="G649" s="2369"/>
      <c r="H649" s="2369"/>
    </row>
    <row r="650" spans="1:8" ht="30.75" customHeight="1">
      <c r="A650" s="2369"/>
      <c r="B650" s="2369"/>
      <c r="C650" s="2369"/>
      <c r="D650" s="2369"/>
      <c r="E650" s="2369"/>
      <c r="F650" s="2369"/>
      <c r="G650" s="2369"/>
      <c r="H650" s="2369"/>
    </row>
    <row r="651" spans="1:8" ht="30.75" customHeight="1">
      <c r="A651" s="2369"/>
      <c r="B651" s="2369"/>
      <c r="C651" s="2369"/>
      <c r="D651" s="2369"/>
      <c r="E651" s="2369"/>
      <c r="F651" s="2369"/>
      <c r="G651" s="2369"/>
      <c r="H651" s="2369"/>
    </row>
    <row r="652" spans="1:8" ht="30.75" customHeight="1">
      <c r="A652" s="2369"/>
      <c r="B652" s="2369"/>
      <c r="C652" s="2369"/>
      <c r="D652" s="2369"/>
      <c r="E652" s="2369"/>
      <c r="F652" s="2369"/>
      <c r="G652" s="2369"/>
      <c r="H652" s="2369"/>
    </row>
    <row r="653" spans="1:8" ht="30.75" customHeight="1">
      <c r="A653" s="2369"/>
      <c r="B653" s="2369"/>
      <c r="C653" s="2369"/>
      <c r="D653" s="2369"/>
      <c r="E653" s="2369"/>
      <c r="F653" s="2369"/>
      <c r="G653" s="2369"/>
      <c r="H653" s="2369"/>
    </row>
    <row r="654" spans="1:8" ht="30.75" customHeight="1">
      <c r="A654" s="2369"/>
      <c r="B654" s="2369"/>
      <c r="C654" s="2369"/>
      <c r="D654" s="2369"/>
      <c r="E654" s="2369"/>
      <c r="F654" s="2369"/>
      <c r="G654" s="2369"/>
      <c r="H654" s="2369"/>
    </row>
    <row r="655" spans="1:8" ht="30.75" customHeight="1">
      <c r="A655" s="2369"/>
      <c r="B655" s="2369"/>
      <c r="C655" s="2369"/>
      <c r="D655" s="2369"/>
      <c r="E655" s="2369"/>
      <c r="F655" s="2369"/>
      <c r="G655" s="2369"/>
      <c r="H655" s="2369"/>
    </row>
    <row r="656" spans="1:8" ht="30.75" customHeight="1">
      <c r="A656" s="2369"/>
      <c r="B656" s="2369"/>
      <c r="C656" s="2369"/>
      <c r="D656" s="2369"/>
      <c r="E656" s="2369"/>
      <c r="F656" s="2369"/>
      <c r="G656" s="2369"/>
      <c r="H656" s="2369"/>
    </row>
    <row r="657" spans="1:8" ht="30.75" customHeight="1">
      <c r="A657" s="2369"/>
      <c r="B657" s="2369"/>
      <c r="C657" s="2369"/>
      <c r="D657" s="2369"/>
      <c r="E657" s="2369"/>
      <c r="F657" s="2369"/>
      <c r="G657" s="2369"/>
      <c r="H657" s="2369"/>
    </row>
    <row r="658" spans="1:8" ht="30.75" customHeight="1">
      <c r="A658" s="2369"/>
      <c r="B658" s="2369"/>
      <c r="C658" s="2369"/>
      <c r="D658" s="2369"/>
      <c r="E658" s="2369"/>
      <c r="F658" s="2369"/>
      <c r="G658" s="2369"/>
      <c r="H658" s="2369"/>
    </row>
    <row r="659" spans="1:8" ht="30.65" customHeight="1">
      <c r="A659" s="2369"/>
      <c r="B659" s="2369"/>
      <c r="C659" s="2369"/>
      <c r="D659" s="2369"/>
      <c r="E659" s="2369"/>
      <c r="F659" s="2369"/>
      <c r="G659" s="2369"/>
      <c r="H659" s="2369"/>
    </row>
    <row r="660" spans="1:8" ht="30.75" customHeight="1">
      <c r="A660" s="2369"/>
      <c r="B660" s="2369"/>
      <c r="C660" s="2369"/>
      <c r="D660" s="2369"/>
      <c r="E660" s="2369"/>
      <c r="F660" s="2369"/>
      <c r="G660" s="2369"/>
      <c r="H660" s="2369"/>
    </row>
    <row r="661" spans="1:8" ht="30.75" customHeight="1">
      <c r="A661" s="2369"/>
      <c r="B661" s="2369"/>
      <c r="C661" s="2369"/>
      <c r="D661" s="2369"/>
      <c r="E661" s="2369"/>
      <c r="F661" s="2369"/>
      <c r="G661" s="2369"/>
      <c r="H661" s="2369"/>
    </row>
    <row r="662" spans="1:8" ht="30.75" customHeight="1">
      <c r="A662" s="2369"/>
      <c r="B662" s="2369"/>
      <c r="C662" s="2369"/>
      <c r="D662" s="2369"/>
      <c r="E662" s="2369"/>
      <c r="F662" s="2369"/>
      <c r="G662" s="2369"/>
      <c r="H662" s="2369"/>
    </row>
    <row r="663" spans="1:8" ht="30.75" customHeight="1">
      <c r="A663" s="3592"/>
      <c r="B663" s="3592"/>
      <c r="C663" s="3592"/>
      <c r="D663" s="3592"/>
      <c r="E663" s="3592"/>
      <c r="F663" s="3592"/>
      <c r="G663" s="3592"/>
      <c r="H663" s="3592"/>
    </row>
    <row r="664" spans="1:8" ht="30.75" customHeight="1">
      <c r="A664" s="2369"/>
      <c r="B664" s="2369"/>
      <c r="C664" s="2369"/>
      <c r="D664" s="2369"/>
      <c r="E664" s="2369"/>
      <c r="F664" s="2369"/>
      <c r="G664" s="2369"/>
      <c r="H664" s="2369"/>
    </row>
    <row r="665" spans="1:8" ht="30.75" customHeight="1">
      <c r="A665" s="3788" t="str">
        <f>A25</f>
        <v>Tab 22</v>
      </c>
      <c r="B665" s="3788"/>
      <c r="C665" s="3788"/>
      <c r="D665" s="3788"/>
      <c r="E665" s="3788"/>
      <c r="F665" s="3788"/>
      <c r="G665" s="3788"/>
      <c r="H665" s="3788"/>
    </row>
    <row r="666" spans="1:8" ht="30.75" customHeight="1">
      <c r="A666" s="3789" t="str">
        <f>C25</f>
        <v>Section 22 - Certification</v>
      </c>
      <c r="B666" s="3789"/>
      <c r="C666" s="3789"/>
      <c r="D666" s="3789"/>
      <c r="E666" s="3789"/>
      <c r="F666" s="3789"/>
      <c r="G666" s="3789"/>
      <c r="H666" s="3789"/>
    </row>
    <row r="667" spans="1:8" ht="30.75" customHeight="1">
      <c r="A667" s="2379"/>
      <c r="B667" s="2379"/>
      <c r="C667" s="2379"/>
      <c r="D667" s="2379"/>
      <c r="E667" s="2379"/>
      <c r="F667" s="2379"/>
      <c r="G667" s="2379"/>
      <c r="H667" s="2379"/>
    </row>
    <row r="668" spans="1:8" ht="30.75" customHeight="1">
      <c r="A668" s="26"/>
      <c r="B668" s="26"/>
      <c r="C668" s="26"/>
      <c r="D668" s="26"/>
      <c r="E668" s="26"/>
      <c r="F668" s="26"/>
      <c r="G668" s="26"/>
      <c r="H668" s="26"/>
    </row>
    <row r="669" spans="1:8" ht="30.75" customHeight="1">
      <c r="A669" s="2369"/>
      <c r="B669" s="2369"/>
      <c r="C669" s="2369"/>
      <c r="D669" s="2369"/>
      <c r="E669" s="2369"/>
      <c r="F669" s="2369"/>
      <c r="G669" s="2369"/>
      <c r="H669" s="2369"/>
    </row>
    <row r="670" spans="1:8" ht="30.75" customHeight="1">
      <c r="A670" s="2369"/>
      <c r="B670" s="2369"/>
      <c r="C670" s="2369"/>
      <c r="D670" s="2369"/>
      <c r="E670" s="2369"/>
      <c r="F670" s="2369"/>
      <c r="G670" s="2369"/>
      <c r="H670" s="2369"/>
    </row>
    <row r="671" spans="1:8" ht="30.75" customHeight="1">
      <c r="A671" s="2369"/>
      <c r="B671" s="2369"/>
      <c r="C671" s="2369"/>
      <c r="D671" s="2369"/>
      <c r="E671" s="2369"/>
      <c r="F671" s="2369"/>
      <c r="G671" s="2369"/>
      <c r="H671" s="2369"/>
    </row>
    <row r="672" spans="1:8" ht="30.75" customHeight="1">
      <c r="A672" s="2369"/>
      <c r="B672" s="2369"/>
      <c r="C672" s="2369"/>
      <c r="D672" s="2369"/>
      <c r="E672" s="2369"/>
      <c r="F672" s="2369"/>
      <c r="G672" s="2369"/>
      <c r="H672" s="2369"/>
    </row>
    <row r="673" spans="1:8" ht="30.75" customHeight="1">
      <c r="A673" s="2369"/>
      <c r="B673" s="2369"/>
      <c r="C673" s="2369"/>
      <c r="D673" s="2369"/>
      <c r="E673" s="2369"/>
      <c r="F673" s="2369"/>
      <c r="G673" s="2369"/>
      <c r="H673" s="2369"/>
    </row>
    <row r="674" spans="1:8" ht="30.75" customHeight="1">
      <c r="A674" s="2369"/>
      <c r="B674" s="2369"/>
      <c r="C674" s="2369"/>
      <c r="D674" s="2369"/>
      <c r="E674" s="2369"/>
      <c r="F674" s="2369"/>
      <c r="G674" s="2369"/>
      <c r="H674" s="2369"/>
    </row>
    <row r="675" spans="1:8" ht="30.75" customHeight="1">
      <c r="A675" s="2369"/>
      <c r="B675" s="2369"/>
      <c r="C675" s="2369"/>
      <c r="D675" s="2369"/>
      <c r="E675" s="2369"/>
      <c r="F675" s="2369"/>
      <c r="G675" s="2369"/>
      <c r="H675" s="2369"/>
    </row>
    <row r="676" spans="1:8" ht="30.75" customHeight="1">
      <c r="A676" s="2369"/>
      <c r="B676" s="2369"/>
      <c r="C676" s="2369"/>
      <c r="D676" s="2369"/>
      <c r="E676" s="2369"/>
      <c r="F676" s="2369"/>
      <c r="G676" s="2369"/>
      <c r="H676" s="2369"/>
    </row>
    <row r="677" spans="1:8" ht="30.75" customHeight="1">
      <c r="A677" s="2369"/>
      <c r="B677" s="2369"/>
      <c r="C677" s="2369"/>
      <c r="D677" s="2369"/>
      <c r="E677" s="2369"/>
      <c r="F677" s="2369"/>
      <c r="G677" s="2369"/>
      <c r="H677" s="2369"/>
    </row>
    <row r="678" spans="1:8" ht="30.75" customHeight="1">
      <c r="A678" s="2369"/>
      <c r="B678" s="2369"/>
      <c r="C678" s="2369"/>
      <c r="D678" s="2369"/>
      <c r="E678" s="2369"/>
      <c r="F678" s="2369"/>
      <c r="G678" s="2369"/>
      <c r="H678" s="2369"/>
    </row>
    <row r="679" spans="1:8" ht="30.75" customHeight="1">
      <c r="A679" s="2369"/>
      <c r="B679" s="2369"/>
      <c r="C679" s="2369"/>
      <c r="D679" s="2369"/>
      <c r="E679" s="2369"/>
      <c r="F679" s="2369"/>
      <c r="G679" s="2369"/>
      <c r="H679" s="2369"/>
    </row>
    <row r="680" spans="1:8" ht="30.75" customHeight="1">
      <c r="A680" s="2369"/>
      <c r="B680" s="2369"/>
      <c r="C680" s="2369"/>
      <c r="D680" s="2369"/>
      <c r="E680" s="2369"/>
      <c r="F680" s="2369"/>
      <c r="G680" s="2369"/>
      <c r="H680" s="2369"/>
    </row>
    <row r="681" spans="1:8" ht="30.75" customHeight="1">
      <c r="A681" s="2369"/>
      <c r="B681" s="2369"/>
      <c r="C681" s="2369"/>
      <c r="D681" s="2369"/>
      <c r="E681" s="2369"/>
      <c r="F681" s="2369"/>
      <c r="G681" s="2369"/>
      <c r="H681" s="2369"/>
    </row>
    <row r="682" spans="1:8" ht="30.75" customHeight="1">
      <c r="A682" s="2369"/>
      <c r="B682" s="2369"/>
      <c r="C682" s="2369"/>
      <c r="D682" s="2369"/>
      <c r="E682" s="2369"/>
      <c r="F682" s="2369"/>
      <c r="G682" s="2369"/>
      <c r="H682" s="2369"/>
    </row>
    <row r="683" spans="1:8" ht="30.75" customHeight="1">
      <c r="A683" s="2369"/>
      <c r="B683" s="2369"/>
      <c r="C683" s="2369"/>
      <c r="D683" s="2369"/>
      <c r="E683" s="2369"/>
      <c r="F683" s="2369"/>
      <c r="G683" s="2369"/>
      <c r="H683" s="2369"/>
    </row>
    <row r="684" spans="1:8" ht="30.75" customHeight="1">
      <c r="A684" s="2369"/>
      <c r="B684" s="2369"/>
      <c r="C684" s="2369"/>
      <c r="D684" s="2369"/>
      <c r="E684" s="2369"/>
      <c r="F684" s="2369"/>
      <c r="G684" s="2369"/>
      <c r="H684" s="2369"/>
    </row>
    <row r="685" spans="1:8" ht="30.75" customHeight="1">
      <c r="A685" s="2369"/>
      <c r="B685" s="2369"/>
      <c r="C685" s="2369"/>
      <c r="D685" s="2369"/>
      <c r="E685" s="2369"/>
      <c r="F685" s="2369"/>
      <c r="G685" s="2369"/>
      <c r="H685" s="2369"/>
    </row>
    <row r="686" spans="1:8" ht="30.75" customHeight="1">
      <c r="A686" s="2369"/>
      <c r="B686" s="2369"/>
      <c r="C686" s="2369"/>
      <c r="D686" s="2369"/>
      <c r="E686" s="2369"/>
      <c r="F686" s="2369"/>
      <c r="G686" s="2369"/>
      <c r="H686" s="2369"/>
    </row>
    <row r="687" spans="1:8" ht="30.75" customHeight="1">
      <c r="A687" s="2369"/>
      <c r="B687" s="2369"/>
      <c r="C687" s="2369"/>
      <c r="D687" s="2369"/>
      <c r="E687" s="2369"/>
      <c r="F687" s="2369"/>
      <c r="G687" s="2369"/>
      <c r="H687" s="2369"/>
    </row>
    <row r="688" spans="1:8" ht="30.75" customHeight="1">
      <c r="A688" s="2369"/>
      <c r="B688" s="2369"/>
      <c r="C688" s="2369"/>
      <c r="D688" s="2369"/>
      <c r="E688" s="2369"/>
      <c r="F688" s="2369"/>
      <c r="G688" s="2369"/>
      <c r="H688" s="2369"/>
    </row>
    <row r="689" spans="1:8" ht="30.75" customHeight="1">
      <c r="A689" s="2369"/>
      <c r="B689" s="2369"/>
      <c r="C689" s="2369"/>
      <c r="D689" s="2369"/>
      <c r="E689" s="2369"/>
      <c r="F689" s="2369"/>
      <c r="G689" s="2369"/>
      <c r="H689" s="2369"/>
    </row>
    <row r="690" spans="1:8" ht="30.75" customHeight="1">
      <c r="A690" s="2369"/>
      <c r="B690" s="2369"/>
      <c r="C690" s="2369"/>
      <c r="D690" s="2369"/>
      <c r="E690" s="2369"/>
      <c r="F690" s="2369"/>
      <c r="G690" s="2369"/>
      <c r="H690" s="2369"/>
    </row>
    <row r="691" spans="1:8" ht="30.75" customHeight="1">
      <c r="A691" s="2369"/>
      <c r="B691" s="2369"/>
      <c r="C691" s="2369"/>
      <c r="D691" s="2369"/>
      <c r="E691" s="2369"/>
      <c r="F691" s="2369"/>
      <c r="G691" s="2369"/>
      <c r="H691" s="2369"/>
    </row>
    <row r="692" spans="1:8" ht="30.75" customHeight="1">
      <c r="A692" s="3592"/>
      <c r="B692" s="3592"/>
      <c r="C692" s="3592"/>
      <c r="D692" s="3592"/>
      <c r="E692" s="3592"/>
      <c r="F692" s="3592"/>
      <c r="G692" s="3592"/>
      <c r="H692" s="3592"/>
    </row>
    <row r="693" spans="1:8" ht="30.75" customHeight="1">
      <c r="A693" s="2369"/>
      <c r="B693" s="2369"/>
      <c r="C693" s="2369"/>
      <c r="D693" s="2369"/>
      <c r="E693" s="2369"/>
      <c r="F693" s="2369"/>
      <c r="G693" s="2369"/>
      <c r="H693" s="2369"/>
    </row>
    <row r="694" spans="1:8" ht="30.75" customHeight="1">
      <c r="A694" s="2369"/>
      <c r="B694" s="2369"/>
      <c r="C694" s="2369"/>
      <c r="D694" s="2369"/>
      <c r="E694" s="2369"/>
      <c r="F694" s="2369"/>
      <c r="G694" s="2369"/>
      <c r="H694" s="2369"/>
    </row>
    <row r="695" spans="1:8" ht="30.75" customHeight="1">
      <c r="A695" s="3788" t="str">
        <f>A26</f>
        <v>Tab 23</v>
      </c>
      <c r="B695" s="3788"/>
      <c r="C695" s="3788"/>
      <c r="D695" s="3788"/>
      <c r="E695" s="3788"/>
      <c r="F695" s="3788"/>
      <c r="G695" s="3788"/>
      <c r="H695" s="3788"/>
    </row>
    <row r="696" spans="1:8" ht="30.75" customHeight="1">
      <c r="A696" s="3788" t="str">
        <f>C26</f>
        <v>Section 23 - UA4</v>
      </c>
      <c r="B696" s="3788"/>
      <c r="C696" s="3788"/>
      <c r="D696" s="3788"/>
      <c r="E696" s="3788"/>
      <c r="F696" s="3788"/>
      <c r="G696" s="3788"/>
      <c r="H696" s="3788"/>
    </row>
    <row r="697" spans="1:8" ht="30.75" customHeight="1">
      <c r="A697" s="2369"/>
      <c r="B697" s="2369"/>
      <c r="C697" s="2369"/>
      <c r="D697" s="2369"/>
      <c r="E697" s="2369"/>
      <c r="F697" s="2369"/>
      <c r="G697" s="2369"/>
      <c r="H697" s="2369"/>
    </row>
    <row r="698" spans="1:8" ht="30.75" customHeight="1">
      <c r="A698" s="2369"/>
      <c r="B698" s="2369"/>
      <c r="C698" s="2369"/>
      <c r="D698" s="2369"/>
      <c r="E698" s="2369"/>
      <c r="F698" s="2369"/>
      <c r="G698" s="2369"/>
      <c r="H698" s="2369"/>
    </row>
    <row r="699" spans="1:8" ht="30.75" customHeight="1">
      <c r="A699" s="2369"/>
      <c r="B699" s="2369"/>
      <c r="C699" s="2369"/>
      <c r="D699" s="2369"/>
      <c r="E699" s="2369"/>
      <c r="F699" s="2369"/>
      <c r="G699" s="2369"/>
      <c r="H699" s="2369"/>
    </row>
    <row r="700" spans="1:8" ht="30.75" customHeight="1">
      <c r="A700" s="2369"/>
      <c r="B700" s="2369"/>
      <c r="C700" s="2369"/>
      <c r="D700" s="2369"/>
      <c r="E700" s="2369"/>
      <c r="F700" s="2369"/>
      <c r="G700" s="2369"/>
      <c r="H700" s="2369"/>
    </row>
    <row r="701" spans="1:8" ht="30.75" customHeight="1">
      <c r="A701" s="3788" t="str">
        <f>A27</f>
        <v>Tab 24</v>
      </c>
      <c r="B701" s="3788"/>
      <c r="C701" s="3788"/>
      <c r="D701" s="3788"/>
      <c r="E701" s="3788"/>
      <c r="F701" s="3788"/>
      <c r="G701" s="3788"/>
      <c r="H701" s="3788"/>
    </row>
    <row r="702" spans="1:8" ht="30.75" customHeight="1">
      <c r="A702" s="3789" t="str">
        <f>C27</f>
        <v>Confidential Black Oil PVT Study</v>
      </c>
      <c r="B702" s="3789"/>
      <c r="C702" s="3789"/>
      <c r="D702" s="3789"/>
      <c r="E702" s="3789"/>
      <c r="F702" s="3789"/>
      <c r="G702" s="3789"/>
      <c r="H702" s="3789"/>
    </row>
    <row r="703" spans="1:8" ht="30.75" customHeight="1">
      <c r="A703" s="3789"/>
      <c r="B703" s="3789"/>
      <c r="C703" s="3789"/>
      <c r="D703" s="3789"/>
      <c r="E703" s="3789"/>
      <c r="F703" s="3789"/>
      <c r="G703" s="3789"/>
      <c r="H703" s="3789"/>
    </row>
    <row r="704" spans="1:8" ht="30.75" customHeight="1">
      <c r="A704" s="3788"/>
      <c r="B704" s="3788"/>
      <c r="C704" s="3788"/>
      <c r="D704" s="3788"/>
      <c r="E704" s="3788"/>
      <c r="F704" s="3788"/>
      <c r="G704" s="3788"/>
      <c r="H704" s="3788"/>
    </row>
    <row r="705" spans="1:8" ht="30.75" customHeight="1">
      <c r="A705" s="3789"/>
      <c r="B705" s="3789"/>
      <c r="C705" s="3789"/>
      <c r="D705" s="3789"/>
      <c r="E705" s="3789"/>
      <c r="F705" s="3789"/>
      <c r="G705" s="3789"/>
      <c r="H705" s="3789"/>
    </row>
    <row r="706" spans="1:8" ht="30.75" customHeight="1">
      <c r="A706" s="3789"/>
      <c r="B706" s="3789"/>
      <c r="C706" s="3789"/>
      <c r="D706" s="3789"/>
      <c r="E706" s="3789"/>
      <c r="F706" s="3789"/>
      <c r="G706" s="3789"/>
      <c r="H706" s="3789"/>
    </row>
    <row r="707" spans="1:8" ht="30.75" customHeight="1">
      <c r="A707" s="2369"/>
      <c r="B707" s="2369"/>
      <c r="C707" s="2369"/>
      <c r="D707" s="2369"/>
      <c r="E707" s="2369"/>
      <c r="F707" s="2369"/>
      <c r="G707" s="2369"/>
      <c r="H707" s="2369"/>
    </row>
    <row r="708" spans="1:8" ht="30.75" customHeight="1">
      <c r="A708" s="2369"/>
      <c r="B708" s="2369"/>
      <c r="C708" s="2369"/>
      <c r="D708" s="2369"/>
      <c r="E708" s="2369"/>
      <c r="F708" s="2369"/>
      <c r="G708" s="2369"/>
      <c r="H708" s="2369"/>
    </row>
    <row r="709" spans="1:8" ht="30.75" customHeight="1">
      <c r="A709" s="2369"/>
      <c r="B709" s="2369"/>
      <c r="C709" s="2369"/>
      <c r="D709" s="2369"/>
      <c r="E709" s="2369"/>
      <c r="F709" s="2369"/>
      <c r="G709" s="2369"/>
      <c r="H709" s="2369"/>
    </row>
    <row r="710" spans="1:8" ht="30.75" customHeight="1">
      <c r="A710" s="2369"/>
      <c r="B710" s="2369"/>
      <c r="C710" s="2369"/>
      <c r="D710" s="2369"/>
      <c r="E710" s="2369"/>
      <c r="F710" s="2369"/>
      <c r="G710" s="2369"/>
      <c r="H710" s="2369"/>
    </row>
    <row r="711" spans="1:8" ht="30.75" customHeight="1">
      <c r="A711" s="2369"/>
      <c r="B711" s="2369"/>
      <c r="C711" s="2369"/>
      <c r="D711" s="2369"/>
      <c r="E711" s="2369"/>
      <c r="F711" s="2369"/>
      <c r="G711" s="2369"/>
      <c r="H711" s="2369"/>
    </row>
    <row r="712" spans="1:8" ht="30.75" customHeight="1">
      <c r="A712" s="2369"/>
      <c r="B712" s="2369"/>
      <c r="C712" s="2369"/>
      <c r="D712" s="2369"/>
      <c r="E712" s="2369"/>
      <c r="F712" s="2369"/>
      <c r="G712" s="2369"/>
      <c r="H712" s="2369"/>
    </row>
    <row r="713" spans="1:8" ht="30.75" customHeight="1">
      <c r="A713" s="2369"/>
      <c r="B713" s="2369"/>
      <c r="C713" s="2369"/>
      <c r="D713" s="2369"/>
      <c r="E713" s="2369"/>
      <c r="F713" s="2369"/>
      <c r="G713" s="2369"/>
      <c r="H713" s="2369"/>
    </row>
    <row r="714" spans="1:8" ht="30.75" customHeight="1">
      <c r="A714" s="2369"/>
      <c r="B714" s="2369"/>
      <c r="C714" s="2369"/>
      <c r="D714" s="2369"/>
      <c r="E714" s="2369"/>
      <c r="F714" s="2369"/>
      <c r="G714" s="2369"/>
      <c r="H714" s="2369"/>
    </row>
    <row r="718" spans="1:8" ht="30.75" customHeight="1">
      <c r="A718" s="2369"/>
      <c r="B718" s="2369"/>
      <c r="C718" s="2369"/>
      <c r="D718" s="2369"/>
      <c r="E718" s="2369"/>
      <c r="F718" s="2369"/>
      <c r="G718" s="2369"/>
      <c r="H718" s="2369"/>
    </row>
    <row r="719" spans="1:8" ht="30.75" customHeight="1">
      <c r="A719" s="2369"/>
      <c r="B719" s="2369"/>
      <c r="C719" s="2369"/>
      <c r="D719" s="2369"/>
      <c r="E719" s="2369"/>
      <c r="F719" s="2369"/>
      <c r="G719" s="2369"/>
      <c r="H719" s="2369"/>
    </row>
    <row r="720" spans="1:8" ht="30.75" customHeight="1">
      <c r="A720" s="2369"/>
      <c r="B720" s="2369"/>
      <c r="C720" s="2369"/>
      <c r="D720" s="2369"/>
      <c r="E720" s="2369"/>
      <c r="F720" s="2369"/>
      <c r="G720" s="2369"/>
      <c r="H720" s="2369"/>
    </row>
    <row r="721" spans="1:8" ht="30.75" customHeight="1">
      <c r="A721" s="2369"/>
      <c r="B721" s="2369"/>
      <c r="C721" s="2369"/>
      <c r="D721" s="2369"/>
      <c r="E721" s="2369"/>
      <c r="F721" s="2369"/>
      <c r="G721" s="2369"/>
      <c r="H721" s="2369"/>
    </row>
    <row r="722" spans="1:8" ht="30.75" customHeight="1">
      <c r="A722" s="2369"/>
      <c r="B722" s="2369"/>
      <c r="C722" s="2369"/>
      <c r="D722" s="2369"/>
      <c r="E722" s="2369"/>
      <c r="F722" s="2369"/>
      <c r="G722" s="2369"/>
      <c r="H722" s="2369"/>
    </row>
    <row r="726" spans="1:8" ht="30.75" customHeight="1">
      <c r="A726" s="2369"/>
      <c r="B726" s="2369"/>
      <c r="C726" s="2369"/>
      <c r="D726" s="2369"/>
      <c r="E726" s="2369"/>
      <c r="F726" s="2369"/>
      <c r="G726" s="2369"/>
      <c r="H726" s="2369"/>
    </row>
    <row r="727" spans="1:8" ht="30.75" customHeight="1">
      <c r="A727" s="2369"/>
      <c r="B727" s="2369"/>
      <c r="C727" s="2369"/>
      <c r="D727" s="2369"/>
      <c r="E727" s="2369"/>
      <c r="F727" s="2369"/>
      <c r="G727" s="2369"/>
      <c r="H727" s="2369"/>
    </row>
    <row r="728" spans="1:8" ht="30.75" customHeight="1">
      <c r="A728" s="2369"/>
      <c r="B728" s="2369"/>
      <c r="C728" s="2369"/>
      <c r="D728" s="2369"/>
      <c r="E728" s="2369"/>
      <c r="F728" s="2369"/>
      <c r="G728" s="2369"/>
      <c r="H728" s="2369"/>
    </row>
    <row r="729" spans="1:8" ht="30.75" customHeight="1">
      <c r="A729" s="2369"/>
      <c r="B729" s="2369"/>
      <c r="C729" s="2369"/>
      <c r="D729" s="2369"/>
      <c r="E729" s="2369"/>
      <c r="F729" s="2369"/>
      <c r="G729" s="2369"/>
      <c r="H729" s="2369"/>
    </row>
    <row r="730" spans="1:8" ht="30.75" customHeight="1">
      <c r="A730" s="2369"/>
      <c r="B730" s="2369"/>
      <c r="C730" s="2369"/>
      <c r="D730" s="2369"/>
      <c r="E730" s="2369"/>
      <c r="F730" s="2369"/>
      <c r="G730" s="2369"/>
      <c r="H730" s="2369"/>
    </row>
    <row r="731" spans="1:8" ht="30.75" customHeight="1">
      <c r="A731" s="2369"/>
      <c r="B731" s="2369"/>
      <c r="C731" s="2369"/>
      <c r="D731" s="2369"/>
      <c r="E731" s="2369"/>
      <c r="F731" s="2369"/>
      <c r="G731" s="2369"/>
      <c r="H731" s="2369"/>
    </row>
    <row r="732" spans="1:8" ht="30.75" customHeight="1">
      <c r="A732" s="2369"/>
      <c r="B732" s="2369"/>
      <c r="C732" s="2369"/>
      <c r="D732" s="2369"/>
      <c r="E732" s="2369"/>
      <c r="F732" s="2369"/>
      <c r="G732" s="2369"/>
      <c r="H732" s="2369"/>
    </row>
    <row r="733" spans="1:8" ht="30.75" customHeight="1">
      <c r="A733" s="2369"/>
      <c r="B733" s="2369"/>
      <c r="C733" s="2369"/>
      <c r="D733" s="2369"/>
      <c r="E733" s="2369"/>
      <c r="F733" s="2369"/>
      <c r="G733" s="2369"/>
      <c r="H733" s="2369"/>
    </row>
    <row r="734" spans="1:8" ht="30.75" customHeight="1">
      <c r="A734" s="2369"/>
      <c r="B734" s="2369"/>
      <c r="C734" s="2369"/>
      <c r="D734" s="2369"/>
      <c r="E734" s="2369"/>
      <c r="F734" s="2369"/>
      <c r="G734" s="2369"/>
      <c r="H734" s="2369"/>
    </row>
    <row r="735" spans="1:8" ht="30.75" customHeight="1">
      <c r="A735" s="2369"/>
      <c r="B735" s="2369"/>
      <c r="C735" s="2369"/>
      <c r="D735" s="2369"/>
      <c r="E735" s="2369"/>
      <c r="F735" s="2369"/>
      <c r="G735" s="2369"/>
      <c r="H735" s="2369"/>
    </row>
    <row r="736" spans="1:8" ht="30.75" customHeight="1">
      <c r="A736" s="2369"/>
      <c r="B736" s="2369"/>
      <c r="C736" s="2369"/>
      <c r="D736" s="2369"/>
      <c r="E736" s="2369"/>
      <c r="F736" s="2369"/>
      <c r="G736" s="2369"/>
      <c r="H736" s="2369"/>
    </row>
    <row r="737" spans="1:8" ht="30.75" customHeight="1">
      <c r="A737" s="2369"/>
      <c r="B737" s="2369"/>
      <c r="C737" s="2369"/>
      <c r="D737" s="2369"/>
      <c r="E737" s="2369"/>
      <c r="F737" s="2369"/>
      <c r="G737" s="2369"/>
      <c r="H737" s="2369"/>
    </row>
    <row r="738" spans="1:8" ht="30.75" customHeight="1">
      <c r="A738" s="2369"/>
      <c r="B738" s="2369"/>
      <c r="C738" s="2369"/>
      <c r="D738" s="2369"/>
      <c r="E738" s="2369"/>
      <c r="F738" s="2369"/>
      <c r="G738" s="2369"/>
      <c r="H738" s="2369"/>
    </row>
    <row r="739" spans="1:8" ht="30.75" customHeight="1">
      <c r="A739" s="2369"/>
      <c r="B739" s="2369"/>
      <c r="C739" s="2369"/>
      <c r="D739" s="2369"/>
      <c r="E739" s="2369"/>
      <c r="F739" s="2369"/>
      <c r="G739" s="2369"/>
      <c r="H739" s="2369"/>
    </row>
    <row r="740" spans="1:8" ht="30.75" customHeight="1">
      <c r="A740" s="2369"/>
      <c r="B740" s="2369"/>
      <c r="C740" s="2369"/>
      <c r="D740" s="2369"/>
      <c r="E740" s="2369"/>
      <c r="F740" s="2369"/>
      <c r="G740" s="2369"/>
      <c r="H740" s="2369"/>
    </row>
    <row r="741" spans="1:8" ht="30.75" customHeight="1">
      <c r="A741" s="2369"/>
      <c r="B741" s="2369"/>
      <c r="C741" s="2369"/>
      <c r="D741" s="2369"/>
      <c r="E741" s="2369"/>
      <c r="F741" s="2369"/>
      <c r="G741" s="2369"/>
      <c r="H741" s="2369"/>
    </row>
    <row r="742" spans="1:8" ht="30.75" customHeight="1">
      <c r="A742" s="2369"/>
      <c r="B742" s="2369"/>
      <c r="C742" s="2369"/>
      <c r="D742" s="2369"/>
      <c r="E742" s="2369"/>
      <c r="F742" s="2369"/>
      <c r="G742" s="2369"/>
      <c r="H742" s="2369"/>
    </row>
    <row r="743" spans="1:8" ht="30.75" customHeight="1">
      <c r="A743" s="2369"/>
      <c r="B743" s="2369"/>
      <c r="C743" s="2369"/>
      <c r="D743" s="2369"/>
      <c r="E743" s="2369"/>
      <c r="F743" s="2369"/>
      <c r="G743" s="2369"/>
      <c r="H743" s="2369"/>
    </row>
    <row r="744" spans="1:8" ht="30.75" customHeight="1">
      <c r="A744" s="2369"/>
      <c r="B744" s="2369"/>
      <c r="C744" s="2369"/>
      <c r="D744" s="2369"/>
      <c r="E744" s="2369"/>
      <c r="F744" s="2369"/>
      <c r="G744" s="2369"/>
      <c r="H744" s="2369"/>
    </row>
    <row r="745" spans="1:8" ht="30.75" customHeight="1">
      <c r="A745" s="2369"/>
      <c r="B745" s="2369"/>
      <c r="C745" s="2369"/>
      <c r="D745" s="2369"/>
      <c r="E745" s="2369"/>
      <c r="F745" s="2369"/>
      <c r="G745" s="2369"/>
      <c r="H745" s="2369"/>
    </row>
    <row r="746" spans="1:8" ht="30.75" customHeight="1">
      <c r="A746" s="2369"/>
      <c r="B746" s="2369"/>
      <c r="C746" s="2369"/>
      <c r="D746" s="2369"/>
      <c r="E746" s="2369"/>
      <c r="F746" s="2369"/>
      <c r="G746" s="2369"/>
      <c r="H746" s="2369"/>
    </row>
    <row r="747" spans="1:8" ht="30.75" customHeight="1">
      <c r="A747" s="2369"/>
      <c r="B747" s="2369"/>
      <c r="C747" s="2369"/>
      <c r="D747" s="2369"/>
      <c r="E747" s="2369"/>
      <c r="F747" s="2369"/>
      <c r="G747" s="2369"/>
      <c r="H747" s="2369"/>
    </row>
    <row r="748" spans="1:8" ht="30.75" customHeight="1">
      <c r="A748" s="2369"/>
      <c r="B748" s="2369"/>
      <c r="C748" s="2369"/>
      <c r="D748" s="2369"/>
      <c r="E748" s="2369"/>
      <c r="F748" s="2369"/>
      <c r="G748" s="2369"/>
      <c r="H748" s="2369"/>
    </row>
    <row r="749" spans="1:8" ht="30.75" customHeight="1">
      <c r="A749" s="2369"/>
      <c r="B749" s="2369"/>
      <c r="C749" s="2369"/>
      <c r="D749" s="2369"/>
      <c r="E749" s="2369"/>
      <c r="F749" s="2369"/>
      <c r="G749" s="2369"/>
      <c r="H749" s="2369"/>
    </row>
    <row r="750" spans="1:8" ht="30.75" customHeight="1">
      <c r="A750" s="2369"/>
      <c r="B750" s="2369"/>
      <c r="C750" s="2369"/>
      <c r="D750" s="2369"/>
      <c r="E750" s="2369"/>
      <c r="F750" s="2369"/>
      <c r="G750" s="2369"/>
      <c r="H750" s="2369"/>
    </row>
    <row r="751" spans="1:8" ht="30.75" customHeight="1">
      <c r="A751" s="3788">
        <f>A28</f>
        <v>0</v>
      </c>
      <c r="B751" s="3788"/>
      <c r="C751" s="3788"/>
      <c r="D751" s="3788"/>
      <c r="E751" s="3788"/>
      <c r="F751" s="3788"/>
      <c r="G751" s="3788"/>
      <c r="H751" s="3788"/>
    </row>
    <row r="752" spans="1:8" ht="30.75" customHeight="1">
      <c r="A752" s="3789">
        <f>C28</f>
        <v>0</v>
      </c>
      <c r="B752" s="3789"/>
      <c r="C752" s="3789"/>
      <c r="D752" s="3789"/>
      <c r="E752" s="3789"/>
      <c r="F752" s="3789"/>
      <c r="G752" s="3789"/>
      <c r="H752" s="3789"/>
    </row>
    <row r="753" spans="1:8" ht="30.75" customHeight="1">
      <c r="A753" s="2379"/>
      <c r="B753" s="2379"/>
      <c r="C753" s="2379"/>
      <c r="D753" s="2379"/>
      <c r="E753" s="2379"/>
      <c r="F753" s="2379"/>
      <c r="G753" s="2379"/>
      <c r="H753" s="2379"/>
    </row>
    <row r="754" spans="1:8" ht="30.75" customHeight="1">
      <c r="A754" s="2369"/>
      <c r="B754" s="2369"/>
      <c r="C754" s="2369"/>
      <c r="D754" s="2369"/>
      <c r="E754" s="2369"/>
      <c r="F754" s="2369"/>
      <c r="G754" s="2369"/>
      <c r="H754" s="2369"/>
    </row>
    <row r="755" spans="1:8" ht="30.75" customHeight="1">
      <c r="A755" s="2369"/>
      <c r="B755" s="2369"/>
      <c r="C755" s="2369"/>
      <c r="D755" s="2369"/>
      <c r="E755" s="2369"/>
      <c r="F755" s="2369"/>
      <c r="G755" s="2369"/>
      <c r="H755" s="2369"/>
    </row>
    <row r="756" spans="1:8" ht="30.75" customHeight="1">
      <c r="A756" s="2369"/>
      <c r="B756" s="2369"/>
      <c r="C756" s="2369"/>
      <c r="D756" s="2369"/>
      <c r="E756" s="2369"/>
      <c r="F756" s="2369"/>
      <c r="G756" s="2369"/>
      <c r="H756" s="2369"/>
    </row>
    <row r="757" spans="1:8" ht="30.75" customHeight="1">
      <c r="A757" s="2369"/>
      <c r="B757" s="2369"/>
      <c r="C757" s="2369"/>
      <c r="D757" s="2369"/>
      <c r="E757" s="2369"/>
      <c r="F757" s="2369"/>
      <c r="G757" s="2369"/>
      <c r="H757" s="2369"/>
    </row>
    <row r="758" spans="1:8" ht="30.75" customHeight="1">
      <c r="A758" s="2369"/>
      <c r="B758" s="2369"/>
      <c r="C758" s="2369"/>
      <c r="D758" s="2369"/>
      <c r="E758" s="2369"/>
      <c r="F758" s="2369"/>
      <c r="G758" s="2369"/>
      <c r="H758" s="2369"/>
    </row>
    <row r="759" spans="1:8" ht="30.75" customHeight="1">
      <c r="A759" s="2369"/>
      <c r="B759" s="2369"/>
      <c r="C759" s="2369"/>
      <c r="D759" s="2369"/>
      <c r="E759" s="2369"/>
      <c r="F759" s="2369"/>
      <c r="G759" s="2369"/>
      <c r="H759" s="2369"/>
    </row>
    <row r="760" spans="1:8" ht="30.75" customHeight="1">
      <c r="A760" s="2369"/>
      <c r="B760" s="2369"/>
      <c r="C760" s="2369"/>
      <c r="D760" s="2369"/>
      <c r="E760" s="2369"/>
      <c r="F760" s="2369"/>
      <c r="G760" s="2369"/>
      <c r="H760" s="2369"/>
    </row>
    <row r="761" spans="1:8" ht="30.75" customHeight="1">
      <c r="A761" s="2369"/>
      <c r="B761" s="2369"/>
      <c r="C761" s="2369"/>
      <c r="D761" s="2369"/>
      <c r="E761" s="2369"/>
      <c r="F761" s="2369"/>
      <c r="G761" s="2369"/>
      <c r="H761" s="2369"/>
    </row>
    <row r="762" spans="1:8" ht="30.75" customHeight="1">
      <c r="A762" s="2369"/>
      <c r="B762" s="2369"/>
      <c r="C762" s="2369"/>
      <c r="D762" s="2369"/>
      <c r="E762" s="2369"/>
      <c r="F762" s="2369"/>
      <c r="G762" s="2369"/>
      <c r="H762" s="2369"/>
    </row>
    <row r="763" spans="1:8" ht="30.75" customHeight="1">
      <c r="A763" s="2369"/>
      <c r="B763" s="2369"/>
      <c r="C763" s="2369"/>
      <c r="D763" s="2369"/>
      <c r="E763" s="2369"/>
      <c r="F763" s="2369"/>
      <c r="G763" s="2369"/>
      <c r="H763" s="2369"/>
    </row>
    <row r="764" spans="1:8" ht="30.75" customHeight="1">
      <c r="A764" s="2369"/>
      <c r="B764" s="2369"/>
      <c r="C764" s="2369"/>
      <c r="D764" s="2369"/>
      <c r="E764" s="2369"/>
      <c r="F764" s="2369"/>
      <c r="G764" s="2369"/>
      <c r="H764" s="2369"/>
    </row>
  </sheetData>
  <mergeCells count="96">
    <mergeCell ref="A575:H575"/>
    <mergeCell ref="AD7:AG7"/>
    <mergeCell ref="A1:H1"/>
    <mergeCell ref="A2:H2"/>
    <mergeCell ref="A3:H3"/>
    <mergeCell ref="A95:H95"/>
    <mergeCell ref="Q12:X12"/>
    <mergeCell ref="Q11:X11"/>
    <mergeCell ref="Q36:X36"/>
    <mergeCell ref="Q37:X37"/>
    <mergeCell ref="A14:B14"/>
    <mergeCell ref="A66:H66"/>
    <mergeCell ref="A36:H36"/>
    <mergeCell ref="Q66:X66"/>
    <mergeCell ref="A186:H186"/>
    <mergeCell ref="Q67:X67"/>
    <mergeCell ref="Q186:X186"/>
    <mergeCell ref="A185:H185"/>
    <mergeCell ref="Q185:X185"/>
    <mergeCell ref="A214:H214"/>
    <mergeCell ref="A67:H67"/>
    <mergeCell ref="Q95:X95"/>
    <mergeCell ref="Q96:X96"/>
    <mergeCell ref="Q155:X155"/>
    <mergeCell ref="A156:H156"/>
    <mergeCell ref="Q156:X156"/>
    <mergeCell ref="A96:H96"/>
    <mergeCell ref="A125:H125"/>
    <mergeCell ref="Q125:X125"/>
    <mergeCell ref="A126:H126"/>
    <mergeCell ref="Q126:X126"/>
    <mergeCell ref="A304:H304"/>
    <mergeCell ref="A335:H335"/>
    <mergeCell ref="A336:H336"/>
    <mergeCell ref="A364:H364"/>
    <mergeCell ref="A155:H155"/>
    <mergeCell ref="A276:H276"/>
    <mergeCell ref="A246:H246"/>
    <mergeCell ref="A275:H275"/>
    <mergeCell ref="A245:H245"/>
    <mergeCell ref="A485:H485"/>
    <mergeCell ref="A486:H486"/>
    <mergeCell ref="A515:H515"/>
    <mergeCell ref="A516:H516"/>
    <mergeCell ref="A544:H544"/>
    <mergeCell ref="A394:H394"/>
    <mergeCell ref="A425:H425"/>
    <mergeCell ref="A426:H426"/>
    <mergeCell ref="A455:H455"/>
    <mergeCell ref="A456:H456"/>
    <mergeCell ref="A4:B4"/>
    <mergeCell ref="A5:B5"/>
    <mergeCell ref="A6:B6"/>
    <mergeCell ref="A7:B7"/>
    <mergeCell ref="A8:B8"/>
    <mergeCell ref="A9:B9"/>
    <mergeCell ref="A10:B10"/>
    <mergeCell ref="A11:B11"/>
    <mergeCell ref="A12:B12"/>
    <mergeCell ref="A13:B13"/>
    <mergeCell ref="A15:B15"/>
    <mergeCell ref="A16:B16"/>
    <mergeCell ref="A17:B17"/>
    <mergeCell ref="A18:B18"/>
    <mergeCell ref="A19:B19"/>
    <mergeCell ref="A20:B20"/>
    <mergeCell ref="A21:B21"/>
    <mergeCell ref="A22:B22"/>
    <mergeCell ref="A23:B23"/>
    <mergeCell ref="A24:B24"/>
    <mergeCell ref="A637:H637"/>
    <mergeCell ref="A635:H636"/>
    <mergeCell ref="A634:H634"/>
    <mergeCell ref="A25:B25"/>
    <mergeCell ref="A37:H38"/>
    <mergeCell ref="A605:H605"/>
    <mergeCell ref="A215:H216"/>
    <mergeCell ref="A305:H306"/>
    <mergeCell ref="A365:H366"/>
    <mergeCell ref="A395:H396"/>
    <mergeCell ref="A545:H546"/>
    <mergeCell ref="A26:B26"/>
    <mergeCell ref="A27:B27"/>
    <mergeCell ref="A28:B28"/>
    <mergeCell ref="A576:H576"/>
    <mergeCell ref="A606:H606"/>
    <mergeCell ref="A704:H704"/>
    <mergeCell ref="A705:H706"/>
    <mergeCell ref="A751:H751"/>
    <mergeCell ref="A752:H752"/>
    <mergeCell ref="A665:H665"/>
    <mergeCell ref="A695:H695"/>
    <mergeCell ref="A696:H696"/>
    <mergeCell ref="A666:H666"/>
    <mergeCell ref="A701:H701"/>
    <mergeCell ref="A702:H703"/>
  </mergeCells>
  <printOptions horizontalCentered="1"/>
  <pageMargins left="0.7" right="0.7" top="0.5" bottom="0.5" header="0.3" footer="0.3"/>
  <pageSetup scale="82" fitToHeight="22" orientation="portrait" r:id="rId1"/>
  <rowBreaks count="1" manualBreakCount="1">
    <brk id="28"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3">
    <tabColor theme="1"/>
  </sheetPr>
  <dimension ref="A1:V35"/>
  <sheetViews>
    <sheetView view="pageLayout" topLeftCell="A4" zoomScale="70" zoomScaleNormal="100" zoomScalePageLayoutView="70" workbookViewId="0">
      <selection activeCell="E19" sqref="E19:R20"/>
    </sheetView>
  </sheetViews>
  <sheetFormatPr defaultColWidth="8.6328125" defaultRowHeight="13"/>
  <cols>
    <col min="1" max="1" width="10" style="78" customWidth="1"/>
    <col min="2" max="29" width="7.453125" style="78" customWidth="1"/>
    <col min="30" max="16384" width="8.6328125" style="78"/>
  </cols>
  <sheetData>
    <row r="1" spans="1:22" ht="23.25" customHeight="1">
      <c r="A1" s="4046" t="s">
        <v>158</v>
      </c>
      <c r="B1" s="4047"/>
      <c r="C1" s="4047"/>
      <c r="D1" s="4047"/>
      <c r="E1" s="4047"/>
      <c r="F1" s="4047"/>
      <c r="G1" s="4047"/>
      <c r="H1" s="4047"/>
      <c r="I1" s="4047"/>
      <c r="J1" s="4047"/>
      <c r="K1" s="4047"/>
      <c r="L1" s="4047"/>
      <c r="M1" s="4047"/>
      <c r="N1" s="4047"/>
      <c r="O1" s="4047"/>
      <c r="P1" s="4047"/>
      <c r="Q1" s="4047"/>
      <c r="R1" s="4047"/>
      <c r="S1" s="4047"/>
      <c r="T1" s="77"/>
      <c r="U1" s="77"/>
    </row>
    <row r="2" spans="1:22" ht="38.25" customHeight="1">
      <c r="A2" s="4097" t="s">
        <v>1257</v>
      </c>
      <c r="B2" s="4098"/>
      <c r="C2" s="4098"/>
      <c r="D2" s="4098"/>
      <c r="E2" s="4098"/>
      <c r="F2" s="4098"/>
      <c r="G2" s="4098"/>
      <c r="H2" s="4098"/>
      <c r="I2" s="4098"/>
      <c r="J2" s="4098"/>
      <c r="K2" s="4098"/>
      <c r="L2" s="4098"/>
      <c r="M2" s="4098"/>
      <c r="N2" s="4098"/>
      <c r="O2" s="4098"/>
      <c r="P2" s="4098"/>
      <c r="Q2" s="4098"/>
      <c r="R2" s="4098"/>
      <c r="S2" s="4098"/>
    </row>
    <row r="3" spans="1:22" ht="52.5" customHeight="1" thickBot="1">
      <c r="A3" s="4093" t="s">
        <v>159</v>
      </c>
      <c r="B3" s="4094"/>
      <c r="C3" s="4094"/>
      <c r="D3" s="4094"/>
      <c r="E3" s="4094"/>
      <c r="F3" s="4094"/>
      <c r="G3" s="4094"/>
      <c r="H3" s="4094"/>
      <c r="I3" s="4094"/>
      <c r="J3" s="4094"/>
      <c r="K3" s="4094"/>
      <c r="L3" s="4094"/>
      <c r="M3" s="4094"/>
      <c r="N3" s="4094"/>
      <c r="O3" s="4094"/>
      <c r="P3" s="4094"/>
      <c r="Q3" s="4094"/>
      <c r="R3" s="4094"/>
      <c r="S3" s="4094"/>
    </row>
    <row r="4" spans="1:22" ht="15" customHeight="1">
      <c r="A4" s="4050" t="s">
        <v>148</v>
      </c>
      <c r="B4" s="4040" t="s">
        <v>21</v>
      </c>
      <c r="C4" s="4041"/>
      <c r="D4" s="4042" t="s">
        <v>0</v>
      </c>
      <c r="E4" s="4052"/>
      <c r="F4" s="4040" t="s">
        <v>149</v>
      </c>
      <c r="G4" s="4041"/>
      <c r="H4" s="4042" t="s">
        <v>150</v>
      </c>
      <c r="I4" s="4052"/>
      <c r="J4" s="4040" t="s">
        <v>1259</v>
      </c>
      <c r="K4" s="4041"/>
      <c r="L4" s="4042" t="s">
        <v>151</v>
      </c>
      <c r="M4" s="4052"/>
      <c r="N4" s="4040" t="s">
        <v>152</v>
      </c>
      <c r="O4" s="4041"/>
      <c r="P4" s="4042" t="s">
        <v>153</v>
      </c>
      <c r="Q4" s="4052"/>
      <c r="R4" s="4040" t="s">
        <v>154</v>
      </c>
      <c r="S4" s="4041"/>
    </row>
    <row r="5" spans="1:22" ht="15" customHeight="1">
      <c r="A5" s="4051"/>
      <c r="B5" s="79" t="s">
        <v>22</v>
      </c>
      <c r="C5" s="80" t="s">
        <v>155</v>
      </c>
      <c r="D5" s="81" t="s">
        <v>22</v>
      </c>
      <c r="E5" s="82" t="s">
        <v>155</v>
      </c>
      <c r="F5" s="79" t="s">
        <v>22</v>
      </c>
      <c r="G5" s="80" t="s">
        <v>155</v>
      </c>
      <c r="H5" s="81" t="s">
        <v>22</v>
      </c>
      <c r="I5" s="82" t="s">
        <v>155</v>
      </c>
      <c r="J5" s="79" t="s">
        <v>22</v>
      </c>
      <c r="K5" s="80" t="s">
        <v>155</v>
      </c>
      <c r="L5" s="81" t="s">
        <v>22</v>
      </c>
      <c r="M5" s="82" t="s">
        <v>155</v>
      </c>
      <c r="N5" s="79" t="s">
        <v>22</v>
      </c>
      <c r="O5" s="80" t="s">
        <v>155</v>
      </c>
      <c r="P5" s="81" t="s">
        <v>22</v>
      </c>
      <c r="Q5" s="82" t="s">
        <v>155</v>
      </c>
      <c r="R5" s="79" t="s">
        <v>22</v>
      </c>
      <c r="S5" s="80" t="s">
        <v>155</v>
      </c>
    </row>
    <row r="6" spans="1:22" ht="15.75" customHeight="1">
      <c r="A6" s="608"/>
      <c r="B6" s="609"/>
      <c r="C6" s="610"/>
      <c r="D6" s="609"/>
      <c r="E6" s="610"/>
      <c r="F6" s="1197"/>
      <c r="G6" s="1198"/>
      <c r="H6" s="609"/>
      <c r="I6" s="610"/>
      <c r="J6" s="609"/>
      <c r="K6" s="610"/>
      <c r="L6" s="609"/>
      <c r="M6" s="610"/>
      <c r="N6" s="609"/>
      <c r="O6" s="610"/>
      <c r="P6" s="609"/>
      <c r="Q6" s="610"/>
      <c r="R6" s="609"/>
      <c r="S6" s="610"/>
    </row>
    <row r="7" spans="1:22" ht="15.75" customHeight="1">
      <c r="A7" s="606"/>
      <c r="B7" s="605"/>
      <c r="C7" s="607"/>
      <c r="D7" s="605"/>
      <c r="E7" s="607"/>
      <c r="F7" s="1199"/>
      <c r="G7" s="1200"/>
      <c r="H7" s="605"/>
      <c r="I7" s="607"/>
      <c r="J7" s="605"/>
      <c r="K7" s="607"/>
      <c r="L7" s="605"/>
      <c r="M7" s="607"/>
      <c r="N7" s="605"/>
      <c r="O7" s="607"/>
      <c r="P7" s="605"/>
      <c r="Q7" s="607"/>
      <c r="R7" s="605"/>
      <c r="S7" s="607"/>
    </row>
    <row r="8" spans="1:22" ht="15.75" customHeight="1">
      <c r="A8" s="608" t="str">
        <f>'2-E-Co'!A34</f>
        <v>SSM</v>
      </c>
      <c r="B8" s="609" t="s">
        <v>17</v>
      </c>
      <c r="C8" s="610" t="s">
        <v>17</v>
      </c>
      <c r="D8" s="609" t="s">
        <v>17</v>
      </c>
      <c r="E8" s="610" t="s">
        <v>17</v>
      </c>
      <c r="F8" s="1197" t="s">
        <v>17</v>
      </c>
      <c r="G8" s="3604">
        <v>10</v>
      </c>
      <c r="H8" s="609" t="s">
        <v>17</v>
      </c>
      <c r="I8" s="610" t="s">
        <v>17</v>
      </c>
      <c r="J8" s="609" t="s">
        <v>17</v>
      </c>
      <c r="K8" s="610" t="s">
        <v>17</v>
      </c>
      <c r="L8" s="609" t="s">
        <v>17</v>
      </c>
      <c r="M8" s="610" t="s">
        <v>17</v>
      </c>
      <c r="N8" s="609" t="s">
        <v>17</v>
      </c>
      <c r="O8" s="610" t="s">
        <v>17</v>
      </c>
      <c r="P8" s="609" t="s">
        <v>17</v>
      </c>
      <c r="Q8" s="610" t="s">
        <v>17</v>
      </c>
      <c r="R8" s="609" t="s">
        <v>17</v>
      </c>
      <c r="S8" s="610" t="s">
        <v>17</v>
      </c>
    </row>
    <row r="9" spans="1:22" ht="15.75" customHeight="1">
      <c r="A9" s="4081" t="str">
        <f>'2-E-NoCo'!A24</f>
        <v>FL1-FL3OVHD-SSM</v>
      </c>
      <c r="B9" s="4072">
        <f>'2-E-NoCo'!B24</f>
        <v>61.513056157500003</v>
      </c>
      <c r="C9" s="4069">
        <f>'2-E-NoCo'!C24</f>
        <v>11.195376220665</v>
      </c>
      <c r="D9" s="4072">
        <f>'2-E-NoCo'!D24</f>
        <v>122.80323892312499</v>
      </c>
      <c r="E9" s="4069">
        <f>'2-E-NoCo'!E24</f>
        <v>22.350189484008748</v>
      </c>
      <c r="F9" s="4072">
        <f>'2-E-NoCo'!F24</f>
        <v>404.28661353006083</v>
      </c>
      <c r="G9" s="4069">
        <f>'2-E-NoCo'!G24</f>
        <v>73.580163662471065</v>
      </c>
      <c r="H9" s="4072">
        <f>'2-E-NoCo'!H24</f>
        <v>0</v>
      </c>
      <c r="I9" s="4069">
        <f>'2-E-NoCo'!I24</f>
        <v>0</v>
      </c>
      <c r="J9" s="4072">
        <f>'2-E-NoCo'!J24</f>
        <v>3.3212505455882351</v>
      </c>
      <c r="K9" s="4069">
        <f>'2-E-NoCo'!K24</f>
        <v>0.60446759929705873</v>
      </c>
      <c r="L9" s="4072">
        <f>'2-E-NoCo'!L24</f>
        <v>3.3212505455882351</v>
      </c>
      <c r="M9" s="4069">
        <f>'2-E-NoCo'!M24</f>
        <v>0.60446759929705873</v>
      </c>
      <c r="N9" s="4072">
        <f>'2-E-NoCo'!N24</f>
        <v>3.3212505455882351</v>
      </c>
      <c r="O9" s="4069">
        <f>'2-E-NoCo'!O24</f>
        <v>0.60446759929705873</v>
      </c>
      <c r="P9" s="294"/>
      <c r="Q9" s="295"/>
      <c r="R9" s="292"/>
      <c r="S9" s="293"/>
    </row>
    <row r="10" spans="1:22" ht="15.75" customHeight="1">
      <c r="A10" s="4082"/>
      <c r="B10" s="4073"/>
      <c r="C10" s="4070"/>
      <c r="D10" s="4073"/>
      <c r="E10" s="4070"/>
      <c r="F10" s="4073"/>
      <c r="G10" s="4070"/>
      <c r="H10" s="4073"/>
      <c r="I10" s="4070"/>
      <c r="J10" s="4073"/>
      <c r="K10" s="4070"/>
      <c r="L10" s="4073"/>
      <c r="M10" s="4070"/>
      <c r="N10" s="4073"/>
      <c r="O10" s="4070"/>
      <c r="P10" s="294"/>
      <c r="Q10" s="295"/>
      <c r="R10" s="292"/>
      <c r="S10" s="293"/>
      <c r="V10" s="107"/>
    </row>
    <row r="11" spans="1:22" ht="15.75" customHeight="1">
      <c r="A11" s="4083"/>
      <c r="B11" s="4074"/>
      <c r="C11" s="4071"/>
      <c r="D11" s="4074"/>
      <c r="E11" s="4071"/>
      <c r="F11" s="4074"/>
      <c r="G11" s="4071"/>
      <c r="H11" s="4074"/>
      <c r="I11" s="4071"/>
      <c r="J11" s="4074"/>
      <c r="K11" s="4071"/>
      <c r="L11" s="4074"/>
      <c r="M11" s="4071"/>
      <c r="N11" s="4074"/>
      <c r="O11" s="4071"/>
      <c r="P11" s="294"/>
      <c r="Q11" s="295"/>
      <c r="R11" s="292"/>
      <c r="S11" s="293"/>
    </row>
    <row r="12" spans="1:22" ht="15.75" customHeight="1">
      <c r="A12" s="4066" t="str">
        <f>'2-E-Co'!A16</f>
        <v>FL1-FL3CRYO-SSM</v>
      </c>
      <c r="B12" s="4063">
        <f>'2-E-NoCo'!B25</f>
        <v>102.42580604979864</v>
      </c>
      <c r="C12" s="4060">
        <f>'2-E-NoCo'!C25</f>
        <v>18.641496701063353</v>
      </c>
      <c r="D12" s="4063">
        <f>'2-E-NoCo'!D25</f>
        <v>204.48050410666323</v>
      </c>
      <c r="E12" s="4060">
        <f>'2-E-NoCo'!E25</f>
        <v>37.215451747412708</v>
      </c>
      <c r="F12" s="4063">
        <f>'2-E-NoCo'!F25</f>
        <v>210.13055132600644</v>
      </c>
      <c r="G12" s="4060">
        <f>'2-E-NoCo'!G25</f>
        <v>38.243760341333171</v>
      </c>
      <c r="H12" s="4063">
        <f>'2-E-NoCo'!H25</f>
        <v>5.0643749702923742E-2</v>
      </c>
      <c r="I12" s="4060">
        <f>'2-E-NoCo'!I25</f>
        <v>9.2171624459321221E-3</v>
      </c>
      <c r="J12" s="4063">
        <f>'2-E-NoCo'!J25</f>
        <v>5.2857362398266847</v>
      </c>
      <c r="K12" s="4060">
        <f>'2-E-NoCo'!K25</f>
        <v>0.96200399564845651</v>
      </c>
      <c r="L12" s="4063">
        <f>'2-E-NoCo'!L25</f>
        <v>5.2857362398266847</v>
      </c>
      <c r="M12" s="4060">
        <f>'2-E-NoCo'!M25</f>
        <v>0.96200399564845651</v>
      </c>
      <c r="N12" s="4063">
        <f>'2-E-NoCo'!N25</f>
        <v>5.2857362398266847</v>
      </c>
      <c r="O12" s="4060">
        <f>'2-E-NoCo'!O25</f>
        <v>0.96200399564845651</v>
      </c>
      <c r="P12" s="89"/>
      <c r="Q12" s="90"/>
      <c r="R12" s="91"/>
      <c r="S12" s="92"/>
    </row>
    <row r="13" spans="1:22" ht="15.75" customHeight="1">
      <c r="A13" s="4067"/>
      <c r="B13" s="4064"/>
      <c r="C13" s="4061"/>
      <c r="D13" s="4064"/>
      <c r="E13" s="4061"/>
      <c r="F13" s="4064"/>
      <c r="G13" s="4061"/>
      <c r="H13" s="4064"/>
      <c r="I13" s="4061"/>
      <c r="J13" s="4064"/>
      <c r="K13" s="4061"/>
      <c r="L13" s="4064"/>
      <c r="M13" s="4061"/>
      <c r="N13" s="4064"/>
      <c r="O13" s="4061"/>
      <c r="P13" s="1549"/>
      <c r="Q13" s="1550"/>
      <c r="R13" s="1551"/>
      <c r="S13" s="1552"/>
    </row>
    <row r="14" spans="1:22" ht="15.75" customHeight="1">
      <c r="A14" s="4068"/>
      <c r="B14" s="4065"/>
      <c r="C14" s="4062"/>
      <c r="D14" s="4065"/>
      <c r="E14" s="4062"/>
      <c r="F14" s="4065"/>
      <c r="G14" s="4062"/>
      <c r="H14" s="4065"/>
      <c r="I14" s="4062"/>
      <c r="J14" s="4065"/>
      <c r="K14" s="4062"/>
      <c r="L14" s="4065"/>
      <c r="M14" s="4062"/>
      <c r="N14" s="4065"/>
      <c r="O14" s="4062"/>
      <c r="P14" s="89"/>
      <c r="Q14" s="90"/>
      <c r="R14" s="91"/>
      <c r="S14" s="92"/>
    </row>
    <row r="15" spans="1:22" ht="15.75" customHeight="1">
      <c r="A15" s="356"/>
      <c r="B15" s="296"/>
      <c r="C15" s="297"/>
      <c r="D15" s="298"/>
      <c r="E15" s="299"/>
      <c r="F15" s="296"/>
      <c r="G15" s="297"/>
      <c r="H15" s="298"/>
      <c r="I15" s="299"/>
      <c r="J15" s="292"/>
      <c r="K15" s="293"/>
      <c r="L15" s="294"/>
      <c r="M15" s="295"/>
      <c r="N15" s="292"/>
      <c r="O15" s="293"/>
      <c r="P15" s="294"/>
      <c r="Q15" s="295"/>
      <c r="R15" s="292"/>
      <c r="S15" s="293"/>
    </row>
    <row r="16" spans="1:22" ht="15.75" customHeight="1">
      <c r="A16" s="256"/>
      <c r="B16" s="85"/>
      <c r="C16" s="86"/>
      <c r="D16" s="87"/>
      <c r="E16" s="88"/>
      <c r="F16" s="85"/>
      <c r="G16" s="86"/>
      <c r="H16" s="87"/>
      <c r="I16" s="88"/>
      <c r="J16" s="91"/>
      <c r="K16" s="92"/>
      <c r="L16" s="89"/>
      <c r="M16" s="90"/>
      <c r="N16" s="91"/>
      <c r="O16" s="92"/>
      <c r="P16" s="89"/>
      <c r="Q16" s="90"/>
      <c r="R16" s="91"/>
      <c r="S16" s="92"/>
    </row>
    <row r="17" spans="1:19" ht="15.75" customHeight="1">
      <c r="A17" s="356"/>
      <c r="B17" s="296"/>
      <c r="C17" s="297"/>
      <c r="D17" s="298"/>
      <c r="E17" s="299"/>
      <c r="F17" s="296"/>
      <c r="G17" s="297"/>
      <c r="H17" s="298"/>
      <c r="I17" s="299"/>
      <c r="J17" s="292"/>
      <c r="K17" s="293"/>
      <c r="L17" s="294"/>
      <c r="M17" s="295"/>
      <c r="N17" s="292"/>
      <c r="O17" s="293"/>
      <c r="P17" s="294"/>
      <c r="Q17" s="295"/>
      <c r="R17" s="292"/>
      <c r="S17" s="293"/>
    </row>
    <row r="18" spans="1:19" ht="15.75" customHeight="1">
      <c r="A18" s="256"/>
      <c r="B18" s="85"/>
      <c r="C18" s="86"/>
      <c r="D18" s="87"/>
      <c r="E18" s="88"/>
      <c r="F18" s="85"/>
      <c r="G18" s="86"/>
      <c r="H18" s="87"/>
      <c r="I18" s="88"/>
      <c r="J18" s="91"/>
      <c r="K18" s="92"/>
      <c r="L18" s="89"/>
      <c r="M18" s="90"/>
      <c r="N18" s="91"/>
      <c r="O18" s="92"/>
      <c r="P18" s="89"/>
      <c r="Q18" s="90"/>
      <c r="R18" s="91"/>
      <c r="S18" s="92"/>
    </row>
    <row r="19" spans="1:19" ht="15.75" customHeight="1">
      <c r="A19" s="356"/>
      <c r="B19" s="296"/>
      <c r="C19" s="297"/>
      <c r="D19" s="298"/>
      <c r="E19" s="299"/>
      <c r="F19" s="296"/>
      <c r="G19" s="297"/>
      <c r="H19" s="298"/>
      <c r="I19" s="299"/>
      <c r="J19" s="292"/>
      <c r="K19" s="293"/>
      <c r="L19" s="294"/>
      <c r="M19" s="295"/>
      <c r="N19" s="292"/>
      <c r="O19" s="293"/>
      <c r="P19" s="294"/>
      <c r="Q19" s="295"/>
      <c r="R19" s="292"/>
      <c r="S19" s="293"/>
    </row>
    <row r="20" spans="1:19" ht="15.75" customHeight="1">
      <c r="A20" s="256"/>
      <c r="B20" s="85"/>
      <c r="C20" s="86"/>
      <c r="D20" s="87"/>
      <c r="E20" s="88"/>
      <c r="F20" s="85"/>
      <c r="G20" s="86"/>
      <c r="H20" s="87"/>
      <c r="I20" s="88"/>
      <c r="J20" s="91"/>
      <c r="K20" s="92"/>
      <c r="L20" s="89"/>
      <c r="M20" s="90"/>
      <c r="N20" s="91"/>
      <c r="O20" s="92"/>
      <c r="P20" s="89"/>
      <c r="Q20" s="90"/>
      <c r="R20" s="91"/>
      <c r="S20" s="92"/>
    </row>
    <row r="21" spans="1:19" ht="15.75" customHeight="1">
      <c r="A21" s="356"/>
      <c r="B21" s="296"/>
      <c r="C21" s="297"/>
      <c r="D21" s="298"/>
      <c r="E21" s="299"/>
      <c r="F21" s="296"/>
      <c r="G21" s="297"/>
      <c r="H21" s="298"/>
      <c r="I21" s="299"/>
      <c r="J21" s="292"/>
      <c r="K21" s="293"/>
      <c r="L21" s="294"/>
      <c r="M21" s="295"/>
      <c r="N21" s="292"/>
      <c r="O21" s="293"/>
      <c r="P21" s="294"/>
      <c r="Q21" s="295"/>
      <c r="R21" s="292"/>
      <c r="S21" s="293"/>
    </row>
    <row r="22" spans="1:19" ht="15.75" customHeight="1">
      <c r="A22" s="256"/>
      <c r="B22" s="85"/>
      <c r="C22" s="86"/>
      <c r="D22" s="87"/>
      <c r="E22" s="88"/>
      <c r="F22" s="85"/>
      <c r="G22" s="86"/>
      <c r="H22" s="87"/>
      <c r="I22" s="88"/>
      <c r="J22" s="91"/>
      <c r="K22" s="92"/>
      <c r="L22" s="89"/>
      <c r="M22" s="90"/>
      <c r="N22" s="91"/>
      <c r="O22" s="92"/>
      <c r="P22" s="89"/>
      <c r="Q22" s="90"/>
      <c r="R22" s="91"/>
      <c r="S22" s="92"/>
    </row>
    <row r="23" spans="1:19" ht="15.75" customHeight="1">
      <c r="A23" s="356"/>
      <c r="B23" s="296"/>
      <c r="C23" s="297"/>
      <c r="D23" s="298"/>
      <c r="E23" s="299"/>
      <c r="F23" s="296"/>
      <c r="G23" s="297"/>
      <c r="H23" s="298"/>
      <c r="I23" s="299"/>
      <c r="J23" s="292"/>
      <c r="K23" s="293"/>
      <c r="L23" s="294"/>
      <c r="M23" s="295"/>
      <c r="N23" s="292"/>
      <c r="O23" s="293"/>
      <c r="P23" s="294"/>
      <c r="Q23" s="295"/>
      <c r="R23" s="292"/>
      <c r="S23" s="293"/>
    </row>
    <row r="24" spans="1:19" ht="15.75" customHeight="1">
      <c r="A24" s="256"/>
      <c r="B24" s="85"/>
      <c r="C24" s="86"/>
      <c r="D24" s="87"/>
      <c r="E24" s="88"/>
      <c r="F24" s="85"/>
      <c r="G24" s="86"/>
      <c r="H24" s="87"/>
      <c r="I24" s="88"/>
      <c r="J24" s="91"/>
      <c r="K24" s="92"/>
      <c r="L24" s="89"/>
      <c r="M24" s="90"/>
      <c r="N24" s="91"/>
      <c r="O24" s="92"/>
      <c r="P24" s="89"/>
      <c r="Q24" s="90"/>
      <c r="R24" s="91"/>
      <c r="S24" s="92"/>
    </row>
    <row r="25" spans="1:19" ht="15.75" customHeight="1">
      <c r="A25" s="356"/>
      <c r="B25" s="296"/>
      <c r="C25" s="297"/>
      <c r="D25" s="298"/>
      <c r="E25" s="299"/>
      <c r="F25" s="296"/>
      <c r="G25" s="297"/>
      <c r="H25" s="298"/>
      <c r="I25" s="299"/>
      <c r="J25" s="292"/>
      <c r="K25" s="293"/>
      <c r="L25" s="294"/>
      <c r="M25" s="295"/>
      <c r="N25" s="292"/>
      <c r="O25" s="293"/>
      <c r="P25" s="294"/>
      <c r="Q25" s="295"/>
      <c r="R25" s="292"/>
      <c r="S25" s="293"/>
    </row>
    <row r="26" spans="1:19" ht="15.75" customHeight="1">
      <c r="A26" s="256"/>
      <c r="B26" s="85"/>
      <c r="C26" s="86"/>
      <c r="D26" s="87"/>
      <c r="E26" s="88"/>
      <c r="F26" s="85"/>
      <c r="G26" s="86"/>
      <c r="H26" s="87"/>
      <c r="I26" s="88"/>
      <c r="J26" s="91"/>
      <c r="K26" s="92"/>
      <c r="L26" s="89"/>
      <c r="M26" s="90"/>
      <c r="N26" s="91"/>
      <c r="O26" s="92"/>
      <c r="P26" s="89"/>
      <c r="Q26" s="90"/>
      <c r="R26" s="91"/>
      <c r="S26" s="92"/>
    </row>
    <row r="27" spans="1:19" ht="15.75" customHeight="1">
      <c r="A27" s="356"/>
      <c r="B27" s="296"/>
      <c r="C27" s="297"/>
      <c r="D27" s="298"/>
      <c r="E27" s="299"/>
      <c r="F27" s="296"/>
      <c r="G27" s="297"/>
      <c r="H27" s="298"/>
      <c r="I27" s="299"/>
      <c r="J27" s="292"/>
      <c r="K27" s="293"/>
      <c r="L27" s="294"/>
      <c r="M27" s="295"/>
      <c r="N27" s="292"/>
      <c r="O27" s="293"/>
      <c r="P27" s="294"/>
      <c r="Q27" s="295"/>
      <c r="R27" s="292"/>
      <c r="S27" s="293"/>
    </row>
    <row r="28" spans="1:19" ht="15.75" customHeight="1">
      <c r="A28" s="256"/>
      <c r="B28" s="85"/>
      <c r="C28" s="86"/>
      <c r="D28" s="87"/>
      <c r="E28" s="88"/>
      <c r="F28" s="85"/>
      <c r="G28" s="86"/>
      <c r="H28" s="87"/>
      <c r="I28" s="88"/>
      <c r="J28" s="91"/>
      <c r="K28" s="92"/>
      <c r="L28" s="89"/>
      <c r="M28" s="90"/>
      <c r="N28" s="91"/>
      <c r="O28" s="92"/>
      <c r="P28" s="89"/>
      <c r="Q28" s="90"/>
      <c r="R28" s="91"/>
      <c r="S28" s="92"/>
    </row>
    <row r="29" spans="1:19" ht="15.75" customHeight="1">
      <c r="A29" s="356"/>
      <c r="B29" s="296"/>
      <c r="C29" s="297"/>
      <c r="D29" s="298"/>
      <c r="E29" s="299"/>
      <c r="F29" s="296"/>
      <c r="G29" s="297"/>
      <c r="H29" s="298"/>
      <c r="I29" s="299"/>
      <c r="J29" s="292"/>
      <c r="K29" s="293"/>
      <c r="L29" s="294"/>
      <c r="M29" s="295"/>
      <c r="N29" s="292"/>
      <c r="O29" s="293"/>
      <c r="P29" s="294"/>
      <c r="Q29" s="295"/>
      <c r="R29" s="292"/>
      <c r="S29" s="293"/>
    </row>
    <row r="30" spans="1:19" ht="15.75" customHeight="1">
      <c r="A30" s="256"/>
      <c r="B30" s="85"/>
      <c r="C30" s="86"/>
      <c r="D30" s="87"/>
      <c r="E30" s="88"/>
      <c r="F30" s="85"/>
      <c r="G30" s="86"/>
      <c r="H30" s="87"/>
      <c r="I30" s="88"/>
      <c r="J30" s="91"/>
      <c r="K30" s="92"/>
      <c r="L30" s="89"/>
      <c r="M30" s="90"/>
      <c r="N30" s="91"/>
      <c r="O30" s="92"/>
      <c r="P30" s="89"/>
      <c r="Q30" s="90"/>
      <c r="R30" s="91"/>
      <c r="S30" s="92"/>
    </row>
    <row r="31" spans="1:19" ht="15" customHeight="1">
      <c r="A31" s="356"/>
      <c r="B31" s="296"/>
      <c r="C31" s="297"/>
      <c r="D31" s="298"/>
      <c r="E31" s="299"/>
      <c r="F31" s="296"/>
      <c r="G31" s="297"/>
      <c r="H31" s="298"/>
      <c r="I31" s="299"/>
      <c r="J31" s="292"/>
      <c r="K31" s="293"/>
      <c r="L31" s="294"/>
      <c r="M31" s="295"/>
      <c r="N31" s="292"/>
      <c r="O31" s="293"/>
      <c r="P31" s="294"/>
      <c r="Q31" s="295"/>
      <c r="R31" s="292"/>
      <c r="S31" s="293"/>
    </row>
    <row r="32" spans="1:19" ht="16.5" customHeight="1" thickBot="1">
      <c r="A32" s="108" t="s">
        <v>50</v>
      </c>
      <c r="B32" s="3726">
        <f>SUM(B8:B14)</f>
        <v>163.93886220729865</v>
      </c>
      <c r="C32" s="3725">
        <f>SUM(C8:C14)</f>
        <v>29.836872921728354</v>
      </c>
      <c r="D32" s="3726">
        <f t="shared" ref="D32:M32" si="0">SUM(D8:D14)</f>
        <v>327.28374302978824</v>
      </c>
      <c r="E32" s="3725">
        <f t="shared" si="0"/>
        <v>59.565641231421452</v>
      </c>
      <c r="F32" s="3726">
        <f t="shared" si="0"/>
        <v>614.4171648560673</v>
      </c>
      <c r="G32" s="3725">
        <f t="shared" si="0"/>
        <v>121.82392400380424</v>
      </c>
      <c r="H32" s="3726">
        <f t="shared" si="0"/>
        <v>5.0643749702923742E-2</v>
      </c>
      <c r="I32" s="3725">
        <f t="shared" si="0"/>
        <v>9.2171624459321221E-3</v>
      </c>
      <c r="J32" s="3726">
        <f t="shared" si="0"/>
        <v>8.6069867854149198</v>
      </c>
      <c r="K32" s="3725">
        <f t="shared" si="0"/>
        <v>1.5664715949455152</v>
      </c>
      <c r="L32" s="3726">
        <f t="shared" si="0"/>
        <v>8.6069867854149198</v>
      </c>
      <c r="M32" s="3725">
        <f t="shared" si="0"/>
        <v>1.5664715949455152</v>
      </c>
      <c r="N32" s="3726">
        <f>SUM(N8:N14)</f>
        <v>8.6069867854149198</v>
      </c>
      <c r="O32" s="3725">
        <f>SUM(O8:O14)</f>
        <v>1.5664715949455152</v>
      </c>
      <c r="P32" s="100" t="s">
        <v>17</v>
      </c>
      <c r="Q32" s="99" t="s">
        <v>17</v>
      </c>
      <c r="R32" s="97" t="s">
        <v>17</v>
      </c>
      <c r="S32" s="98" t="s">
        <v>17</v>
      </c>
    </row>
    <row r="33" spans="1:19" ht="23.25" customHeight="1">
      <c r="A33" s="4096" t="s">
        <v>160</v>
      </c>
      <c r="B33" s="4096"/>
      <c r="C33" s="4096"/>
      <c r="D33" s="4096"/>
      <c r="E33" s="4096"/>
      <c r="F33" s="4096"/>
      <c r="G33" s="4096"/>
      <c r="H33" s="4096"/>
      <c r="I33" s="4096"/>
      <c r="J33" s="4096"/>
      <c r="K33" s="4096"/>
      <c r="L33" s="4096"/>
      <c r="M33" s="4096"/>
      <c r="N33" s="4096"/>
      <c r="O33" s="4096"/>
      <c r="P33" s="4096"/>
      <c r="Q33" s="4096"/>
      <c r="R33" s="4096"/>
      <c r="S33" s="4096"/>
    </row>
    <row r="34" spans="1:19" ht="22.4" customHeight="1">
      <c r="A34" s="4043" t="s">
        <v>1256</v>
      </c>
      <c r="B34" s="4044"/>
      <c r="C34" s="4044"/>
      <c r="D34" s="4044"/>
      <c r="E34" s="4044"/>
      <c r="F34" s="4044"/>
      <c r="G34" s="4044"/>
      <c r="H34" s="4044"/>
      <c r="I34" s="4044"/>
      <c r="J34" s="4044"/>
      <c r="K34" s="4044"/>
      <c r="L34" s="4044"/>
      <c r="M34" s="4044"/>
      <c r="N34" s="4044"/>
      <c r="O34" s="4044"/>
      <c r="P34" s="4044"/>
      <c r="Q34" s="4044"/>
      <c r="R34" s="4044"/>
      <c r="S34" s="4045"/>
    </row>
    <row r="35" spans="1:19" ht="13.25" customHeight="1">
      <c r="A35" s="109"/>
    </row>
  </sheetData>
  <mergeCells count="45">
    <mergeCell ref="A33:S33"/>
    <mergeCell ref="A34:S34"/>
    <mergeCell ref="A1:S1"/>
    <mergeCell ref="A2:S2"/>
    <mergeCell ref="A3:S3"/>
    <mergeCell ref="A4:A5"/>
    <mergeCell ref="B4:C4"/>
    <mergeCell ref="D4:E4"/>
    <mergeCell ref="F4:G4"/>
    <mergeCell ref="H4:I4"/>
    <mergeCell ref="J4:K4"/>
    <mergeCell ref="L4:M4"/>
    <mergeCell ref="N4:O4"/>
    <mergeCell ref="P4:Q4"/>
    <mergeCell ref="R4:S4"/>
    <mergeCell ref="A9:A11"/>
    <mergeCell ref="A12:A14"/>
    <mergeCell ref="B9:B11"/>
    <mergeCell ref="C9:C11"/>
    <mergeCell ref="D9:D11"/>
    <mergeCell ref="E9:E11"/>
    <mergeCell ref="B12:B14"/>
    <mergeCell ref="C12:C14"/>
    <mergeCell ref="D12:D14"/>
    <mergeCell ref="E12:E14"/>
    <mergeCell ref="F9:F11"/>
    <mergeCell ref="G9:G11"/>
    <mergeCell ref="H9:H11"/>
    <mergeCell ref="I9:I11"/>
    <mergeCell ref="J9:J11"/>
    <mergeCell ref="K9:K11"/>
    <mergeCell ref="L9:L11"/>
    <mergeCell ref="M9:M11"/>
    <mergeCell ref="N9:N11"/>
    <mergeCell ref="O9:O11"/>
    <mergeCell ref="F12:F14"/>
    <mergeCell ref="G12:G14"/>
    <mergeCell ref="H12:H14"/>
    <mergeCell ref="I12:I14"/>
    <mergeCell ref="J12:J14"/>
    <mergeCell ref="K12:K14"/>
    <mergeCell ref="L12:L14"/>
    <mergeCell ref="M12:M14"/>
    <mergeCell ref="N12:N14"/>
    <mergeCell ref="O12:O14"/>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6/14/2019&amp;C&amp;8Table 2-F:  Page &amp;P&amp;R&amp;8Printed &amp;D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4">
    <tabColor theme="1"/>
  </sheetPr>
  <dimension ref="A1:T36"/>
  <sheetViews>
    <sheetView view="pageLayout" zoomScale="85" zoomScaleNormal="100" zoomScalePageLayoutView="85" workbookViewId="0">
      <selection activeCell="E19" sqref="E19:R20"/>
    </sheetView>
  </sheetViews>
  <sheetFormatPr defaultColWidth="8.6328125" defaultRowHeight="13"/>
  <cols>
    <col min="1" max="1" width="10.54296875" style="218" customWidth="1"/>
    <col min="2" max="2" width="16.36328125" style="218" customWidth="1"/>
    <col min="3" max="18" width="7.6328125" style="218" customWidth="1"/>
    <col min="19" max="256" width="8.6328125" style="218"/>
    <col min="257" max="257" width="10.54296875" style="218" customWidth="1"/>
    <col min="258" max="258" width="16.36328125" style="218" customWidth="1"/>
    <col min="259" max="274" width="7.6328125" style="218" customWidth="1"/>
    <col min="275" max="512" width="8.6328125" style="218"/>
    <col min="513" max="513" width="10.54296875" style="218" customWidth="1"/>
    <col min="514" max="514" width="16.36328125" style="218" customWidth="1"/>
    <col min="515" max="530" width="7.6328125" style="218" customWidth="1"/>
    <col min="531" max="768" width="8.6328125" style="218"/>
    <col min="769" max="769" width="10.54296875" style="218" customWidth="1"/>
    <col min="770" max="770" width="16.36328125" style="218" customWidth="1"/>
    <col min="771" max="786" width="7.6328125" style="218" customWidth="1"/>
    <col min="787" max="1024" width="8.6328125" style="218"/>
    <col min="1025" max="1025" width="10.54296875" style="218" customWidth="1"/>
    <col min="1026" max="1026" width="16.36328125" style="218" customWidth="1"/>
    <col min="1027" max="1042" width="7.6328125" style="218" customWidth="1"/>
    <col min="1043" max="1280" width="8.6328125" style="218"/>
    <col min="1281" max="1281" width="10.54296875" style="218" customWidth="1"/>
    <col min="1282" max="1282" width="16.36328125" style="218" customWidth="1"/>
    <col min="1283" max="1298" width="7.6328125" style="218" customWidth="1"/>
    <col min="1299" max="1536" width="8.6328125" style="218"/>
    <col min="1537" max="1537" width="10.54296875" style="218" customWidth="1"/>
    <col min="1538" max="1538" width="16.36328125" style="218" customWidth="1"/>
    <col min="1539" max="1554" width="7.6328125" style="218" customWidth="1"/>
    <col min="1555" max="1792" width="8.6328125" style="218"/>
    <col min="1793" max="1793" width="10.54296875" style="218" customWidth="1"/>
    <col min="1794" max="1794" width="16.36328125" style="218" customWidth="1"/>
    <col min="1795" max="1810" width="7.6328125" style="218" customWidth="1"/>
    <col min="1811" max="2048" width="8.6328125" style="218"/>
    <col min="2049" max="2049" width="10.54296875" style="218" customWidth="1"/>
    <col min="2050" max="2050" width="16.36328125" style="218" customWidth="1"/>
    <col min="2051" max="2066" width="7.6328125" style="218" customWidth="1"/>
    <col min="2067" max="2304" width="8.6328125" style="218"/>
    <col min="2305" max="2305" width="10.54296875" style="218" customWidth="1"/>
    <col min="2306" max="2306" width="16.36328125" style="218" customWidth="1"/>
    <col min="2307" max="2322" width="7.6328125" style="218" customWidth="1"/>
    <col min="2323" max="2560" width="8.6328125" style="218"/>
    <col min="2561" max="2561" width="10.54296875" style="218" customWidth="1"/>
    <col min="2562" max="2562" width="16.36328125" style="218" customWidth="1"/>
    <col min="2563" max="2578" width="7.6328125" style="218" customWidth="1"/>
    <col min="2579" max="2816" width="8.6328125" style="218"/>
    <col min="2817" max="2817" width="10.54296875" style="218" customWidth="1"/>
    <col min="2818" max="2818" width="16.36328125" style="218" customWidth="1"/>
    <col min="2819" max="2834" width="7.6328125" style="218" customWidth="1"/>
    <col min="2835" max="3072" width="8.6328125" style="218"/>
    <col min="3073" max="3073" width="10.54296875" style="218" customWidth="1"/>
    <col min="3074" max="3074" width="16.36328125" style="218" customWidth="1"/>
    <col min="3075" max="3090" width="7.6328125" style="218" customWidth="1"/>
    <col min="3091" max="3328" width="8.6328125" style="218"/>
    <col min="3329" max="3329" width="10.54296875" style="218" customWidth="1"/>
    <col min="3330" max="3330" width="16.36328125" style="218" customWidth="1"/>
    <col min="3331" max="3346" width="7.6328125" style="218" customWidth="1"/>
    <col min="3347" max="3584" width="8.6328125" style="218"/>
    <col min="3585" max="3585" width="10.54296875" style="218" customWidth="1"/>
    <col min="3586" max="3586" width="16.36328125" style="218" customWidth="1"/>
    <col min="3587" max="3602" width="7.6328125" style="218" customWidth="1"/>
    <col min="3603" max="3840" width="8.6328125" style="218"/>
    <col min="3841" max="3841" width="10.54296875" style="218" customWidth="1"/>
    <col min="3842" max="3842" width="16.36328125" style="218" customWidth="1"/>
    <col min="3843" max="3858" width="7.6328125" style="218" customWidth="1"/>
    <col min="3859" max="4096" width="8.6328125" style="218"/>
    <col min="4097" max="4097" width="10.54296875" style="218" customWidth="1"/>
    <col min="4098" max="4098" width="16.36328125" style="218" customWidth="1"/>
    <col min="4099" max="4114" width="7.6328125" style="218" customWidth="1"/>
    <col min="4115" max="4352" width="8.6328125" style="218"/>
    <col min="4353" max="4353" width="10.54296875" style="218" customWidth="1"/>
    <col min="4354" max="4354" width="16.36328125" style="218" customWidth="1"/>
    <col min="4355" max="4370" width="7.6328125" style="218" customWidth="1"/>
    <col min="4371" max="4608" width="8.6328125" style="218"/>
    <col min="4609" max="4609" width="10.54296875" style="218" customWidth="1"/>
    <col min="4610" max="4610" width="16.36328125" style="218" customWidth="1"/>
    <col min="4611" max="4626" width="7.6328125" style="218" customWidth="1"/>
    <col min="4627" max="4864" width="8.6328125" style="218"/>
    <col min="4865" max="4865" width="10.54296875" style="218" customWidth="1"/>
    <col min="4866" max="4866" width="16.36328125" style="218" customWidth="1"/>
    <col min="4867" max="4882" width="7.6328125" style="218" customWidth="1"/>
    <col min="4883" max="5120" width="8.6328125" style="218"/>
    <col min="5121" max="5121" width="10.54296875" style="218" customWidth="1"/>
    <col min="5122" max="5122" width="16.36328125" style="218" customWidth="1"/>
    <col min="5123" max="5138" width="7.6328125" style="218" customWidth="1"/>
    <col min="5139" max="5376" width="8.6328125" style="218"/>
    <col min="5377" max="5377" width="10.54296875" style="218" customWidth="1"/>
    <col min="5378" max="5378" width="16.36328125" style="218" customWidth="1"/>
    <col min="5379" max="5394" width="7.6328125" style="218" customWidth="1"/>
    <col min="5395" max="5632" width="8.6328125" style="218"/>
    <col min="5633" max="5633" width="10.54296875" style="218" customWidth="1"/>
    <col min="5634" max="5634" width="16.36328125" style="218" customWidth="1"/>
    <col min="5635" max="5650" width="7.6328125" style="218" customWidth="1"/>
    <col min="5651" max="5888" width="8.6328125" style="218"/>
    <col min="5889" max="5889" width="10.54296875" style="218" customWidth="1"/>
    <col min="5890" max="5890" width="16.36328125" style="218" customWidth="1"/>
    <col min="5891" max="5906" width="7.6328125" style="218" customWidth="1"/>
    <col min="5907" max="6144" width="8.6328125" style="218"/>
    <col min="6145" max="6145" width="10.54296875" style="218" customWidth="1"/>
    <col min="6146" max="6146" width="16.36328125" style="218" customWidth="1"/>
    <col min="6147" max="6162" width="7.6328125" style="218" customWidth="1"/>
    <col min="6163" max="6400" width="8.6328125" style="218"/>
    <col min="6401" max="6401" width="10.54296875" style="218" customWidth="1"/>
    <col min="6402" max="6402" width="16.36328125" style="218" customWidth="1"/>
    <col min="6403" max="6418" width="7.6328125" style="218" customWidth="1"/>
    <col min="6419" max="6656" width="8.6328125" style="218"/>
    <col min="6657" max="6657" width="10.54296875" style="218" customWidth="1"/>
    <col min="6658" max="6658" width="16.36328125" style="218" customWidth="1"/>
    <col min="6659" max="6674" width="7.6328125" style="218" customWidth="1"/>
    <col min="6675" max="6912" width="8.6328125" style="218"/>
    <col min="6913" max="6913" width="10.54296875" style="218" customWidth="1"/>
    <col min="6914" max="6914" width="16.36328125" style="218" customWidth="1"/>
    <col min="6915" max="6930" width="7.6328125" style="218" customWidth="1"/>
    <col min="6931" max="7168" width="8.6328125" style="218"/>
    <col min="7169" max="7169" width="10.54296875" style="218" customWidth="1"/>
    <col min="7170" max="7170" width="16.36328125" style="218" customWidth="1"/>
    <col min="7171" max="7186" width="7.6328125" style="218" customWidth="1"/>
    <col min="7187" max="7424" width="8.6328125" style="218"/>
    <col min="7425" max="7425" width="10.54296875" style="218" customWidth="1"/>
    <col min="7426" max="7426" width="16.36328125" style="218" customWidth="1"/>
    <col min="7427" max="7442" width="7.6328125" style="218" customWidth="1"/>
    <col min="7443" max="7680" width="8.6328125" style="218"/>
    <col min="7681" max="7681" width="10.54296875" style="218" customWidth="1"/>
    <col min="7682" max="7682" width="16.36328125" style="218" customWidth="1"/>
    <col min="7683" max="7698" width="7.6328125" style="218" customWidth="1"/>
    <col min="7699" max="7936" width="8.6328125" style="218"/>
    <col min="7937" max="7937" width="10.54296875" style="218" customWidth="1"/>
    <col min="7938" max="7938" width="16.36328125" style="218" customWidth="1"/>
    <col min="7939" max="7954" width="7.6328125" style="218" customWidth="1"/>
    <col min="7955" max="8192" width="8.6328125" style="218"/>
    <col min="8193" max="8193" width="10.54296875" style="218" customWidth="1"/>
    <col min="8194" max="8194" width="16.36328125" style="218" customWidth="1"/>
    <col min="8195" max="8210" width="7.6328125" style="218" customWidth="1"/>
    <col min="8211" max="8448" width="8.6328125" style="218"/>
    <col min="8449" max="8449" width="10.54296875" style="218" customWidth="1"/>
    <col min="8450" max="8450" width="16.36328125" style="218" customWidth="1"/>
    <col min="8451" max="8466" width="7.6328125" style="218" customWidth="1"/>
    <col min="8467" max="8704" width="8.6328125" style="218"/>
    <col min="8705" max="8705" width="10.54296875" style="218" customWidth="1"/>
    <col min="8706" max="8706" width="16.36328125" style="218" customWidth="1"/>
    <col min="8707" max="8722" width="7.6328125" style="218" customWidth="1"/>
    <col min="8723" max="8960" width="8.6328125" style="218"/>
    <col min="8961" max="8961" width="10.54296875" style="218" customWidth="1"/>
    <col min="8962" max="8962" width="16.36328125" style="218" customWidth="1"/>
    <col min="8963" max="8978" width="7.6328125" style="218" customWidth="1"/>
    <col min="8979" max="9216" width="8.6328125" style="218"/>
    <col min="9217" max="9217" width="10.54296875" style="218" customWidth="1"/>
    <col min="9218" max="9218" width="16.36328125" style="218" customWidth="1"/>
    <col min="9219" max="9234" width="7.6328125" style="218" customWidth="1"/>
    <col min="9235" max="9472" width="8.6328125" style="218"/>
    <col min="9473" max="9473" width="10.54296875" style="218" customWidth="1"/>
    <col min="9474" max="9474" width="16.36328125" style="218" customWidth="1"/>
    <col min="9475" max="9490" width="7.6328125" style="218" customWidth="1"/>
    <col min="9491" max="9728" width="8.6328125" style="218"/>
    <col min="9729" max="9729" width="10.54296875" style="218" customWidth="1"/>
    <col min="9730" max="9730" width="16.36328125" style="218" customWidth="1"/>
    <col min="9731" max="9746" width="7.6328125" style="218" customWidth="1"/>
    <col min="9747" max="9984" width="8.6328125" style="218"/>
    <col min="9985" max="9985" width="10.54296875" style="218" customWidth="1"/>
    <col min="9986" max="9986" width="16.36328125" style="218" customWidth="1"/>
    <col min="9987" max="10002" width="7.6328125" style="218" customWidth="1"/>
    <col min="10003" max="10240" width="8.6328125" style="218"/>
    <col min="10241" max="10241" width="10.54296875" style="218" customWidth="1"/>
    <col min="10242" max="10242" width="16.36328125" style="218" customWidth="1"/>
    <col min="10243" max="10258" width="7.6328125" style="218" customWidth="1"/>
    <col min="10259" max="10496" width="8.6328125" style="218"/>
    <col min="10497" max="10497" width="10.54296875" style="218" customWidth="1"/>
    <col min="10498" max="10498" width="16.36328125" style="218" customWidth="1"/>
    <col min="10499" max="10514" width="7.6328125" style="218" customWidth="1"/>
    <col min="10515" max="10752" width="8.6328125" style="218"/>
    <col min="10753" max="10753" width="10.54296875" style="218" customWidth="1"/>
    <col min="10754" max="10754" width="16.36328125" style="218" customWidth="1"/>
    <col min="10755" max="10770" width="7.6328125" style="218" customWidth="1"/>
    <col min="10771" max="11008" width="8.6328125" style="218"/>
    <col min="11009" max="11009" width="10.54296875" style="218" customWidth="1"/>
    <col min="11010" max="11010" width="16.36328125" style="218" customWidth="1"/>
    <col min="11011" max="11026" width="7.6328125" style="218" customWidth="1"/>
    <col min="11027" max="11264" width="8.6328125" style="218"/>
    <col min="11265" max="11265" width="10.54296875" style="218" customWidth="1"/>
    <col min="11266" max="11266" width="16.36328125" style="218" customWidth="1"/>
    <col min="11267" max="11282" width="7.6328125" style="218" customWidth="1"/>
    <col min="11283" max="11520" width="8.6328125" style="218"/>
    <col min="11521" max="11521" width="10.54296875" style="218" customWidth="1"/>
    <col min="11522" max="11522" width="16.36328125" style="218" customWidth="1"/>
    <col min="11523" max="11538" width="7.6328125" style="218" customWidth="1"/>
    <col min="11539" max="11776" width="8.6328125" style="218"/>
    <col min="11777" max="11777" width="10.54296875" style="218" customWidth="1"/>
    <col min="11778" max="11778" width="16.36328125" style="218" customWidth="1"/>
    <col min="11779" max="11794" width="7.6328125" style="218" customWidth="1"/>
    <col min="11795" max="12032" width="8.6328125" style="218"/>
    <col min="12033" max="12033" width="10.54296875" style="218" customWidth="1"/>
    <col min="12034" max="12034" width="16.36328125" style="218" customWidth="1"/>
    <col min="12035" max="12050" width="7.6328125" style="218" customWidth="1"/>
    <col min="12051" max="12288" width="8.6328125" style="218"/>
    <col min="12289" max="12289" width="10.54296875" style="218" customWidth="1"/>
    <col min="12290" max="12290" width="16.36328125" style="218" customWidth="1"/>
    <col min="12291" max="12306" width="7.6328125" style="218" customWidth="1"/>
    <col min="12307" max="12544" width="8.6328125" style="218"/>
    <col min="12545" max="12545" width="10.54296875" style="218" customWidth="1"/>
    <col min="12546" max="12546" width="16.36328125" style="218" customWidth="1"/>
    <col min="12547" max="12562" width="7.6328125" style="218" customWidth="1"/>
    <col min="12563" max="12800" width="8.6328125" style="218"/>
    <col min="12801" max="12801" width="10.54296875" style="218" customWidth="1"/>
    <col min="12802" max="12802" width="16.36328125" style="218" customWidth="1"/>
    <col min="12803" max="12818" width="7.6328125" style="218" customWidth="1"/>
    <col min="12819" max="13056" width="8.6328125" style="218"/>
    <col min="13057" max="13057" width="10.54296875" style="218" customWidth="1"/>
    <col min="13058" max="13058" width="16.36328125" style="218" customWidth="1"/>
    <col min="13059" max="13074" width="7.6328125" style="218" customWidth="1"/>
    <col min="13075" max="13312" width="8.6328125" style="218"/>
    <col min="13313" max="13313" width="10.54296875" style="218" customWidth="1"/>
    <col min="13314" max="13314" width="16.36328125" style="218" customWidth="1"/>
    <col min="13315" max="13330" width="7.6328125" style="218" customWidth="1"/>
    <col min="13331" max="13568" width="8.6328125" style="218"/>
    <col min="13569" max="13569" width="10.54296875" style="218" customWidth="1"/>
    <col min="13570" max="13570" width="16.36328125" style="218" customWidth="1"/>
    <col min="13571" max="13586" width="7.6328125" style="218" customWidth="1"/>
    <col min="13587" max="13824" width="8.6328125" style="218"/>
    <col min="13825" max="13825" width="10.54296875" style="218" customWidth="1"/>
    <col min="13826" max="13826" width="16.36328125" style="218" customWidth="1"/>
    <col min="13827" max="13842" width="7.6328125" style="218" customWidth="1"/>
    <col min="13843" max="14080" width="8.6328125" style="218"/>
    <col min="14081" max="14081" width="10.54296875" style="218" customWidth="1"/>
    <col min="14082" max="14082" width="16.36328125" style="218" customWidth="1"/>
    <col min="14083" max="14098" width="7.6328125" style="218" customWidth="1"/>
    <col min="14099" max="14336" width="8.6328125" style="218"/>
    <col min="14337" max="14337" width="10.54296875" style="218" customWidth="1"/>
    <col min="14338" max="14338" width="16.36328125" style="218" customWidth="1"/>
    <col min="14339" max="14354" width="7.6328125" style="218" customWidth="1"/>
    <col min="14355" max="14592" width="8.6328125" style="218"/>
    <col min="14593" max="14593" width="10.54296875" style="218" customWidth="1"/>
    <col min="14594" max="14594" width="16.36328125" style="218" customWidth="1"/>
    <col min="14595" max="14610" width="7.6328125" style="218" customWidth="1"/>
    <col min="14611" max="14848" width="8.6328125" style="218"/>
    <col min="14849" max="14849" width="10.54296875" style="218" customWidth="1"/>
    <col min="14850" max="14850" width="16.36328125" style="218" customWidth="1"/>
    <col min="14851" max="14866" width="7.6328125" style="218" customWidth="1"/>
    <col min="14867" max="15104" width="8.6328125" style="218"/>
    <col min="15105" max="15105" width="10.54296875" style="218" customWidth="1"/>
    <col min="15106" max="15106" width="16.36328125" style="218" customWidth="1"/>
    <col min="15107" max="15122" width="7.6328125" style="218" customWidth="1"/>
    <col min="15123" max="15360" width="8.6328125" style="218"/>
    <col min="15361" max="15361" width="10.54296875" style="218" customWidth="1"/>
    <col min="15362" max="15362" width="16.36328125" style="218" customWidth="1"/>
    <col min="15363" max="15378" width="7.6328125" style="218" customWidth="1"/>
    <col min="15379" max="15616" width="8.6328125" style="218"/>
    <col min="15617" max="15617" width="10.54296875" style="218" customWidth="1"/>
    <col min="15618" max="15618" width="16.36328125" style="218" customWidth="1"/>
    <col min="15619" max="15634" width="7.6328125" style="218" customWidth="1"/>
    <col min="15635" max="15872" width="8.6328125" style="218"/>
    <col min="15873" max="15873" width="10.54296875" style="218" customWidth="1"/>
    <col min="15874" max="15874" width="16.36328125" style="218" customWidth="1"/>
    <col min="15875" max="15890" width="7.6328125" style="218" customWidth="1"/>
    <col min="15891" max="16128" width="8.6328125" style="218"/>
    <col min="16129" max="16129" width="10.54296875" style="218" customWidth="1"/>
    <col min="16130" max="16130" width="16.36328125" style="218" customWidth="1"/>
    <col min="16131" max="16146" width="7.6328125" style="218" customWidth="1"/>
    <col min="16147" max="16384" width="8.6328125" style="218"/>
  </cols>
  <sheetData>
    <row r="1" spans="1:20" ht="28.5" customHeight="1">
      <c r="A1" s="4104" t="s">
        <v>325</v>
      </c>
      <c r="B1" s="4105"/>
      <c r="C1" s="4105"/>
      <c r="D1" s="4105"/>
      <c r="E1" s="4105"/>
      <c r="F1" s="4105"/>
      <c r="G1" s="4105"/>
      <c r="H1" s="4105"/>
      <c r="I1" s="4105"/>
      <c r="J1" s="4105"/>
      <c r="K1" s="4105"/>
      <c r="L1" s="4105"/>
      <c r="M1" s="4105"/>
      <c r="N1" s="4105"/>
      <c r="O1" s="4105"/>
      <c r="P1" s="4105"/>
      <c r="Q1" s="4105"/>
      <c r="R1" s="4106"/>
    </row>
    <row r="2" spans="1:20" ht="31.5" customHeight="1">
      <c r="A2" s="4107" t="s">
        <v>660</v>
      </c>
      <c r="B2" s="4108"/>
      <c r="C2" s="4108"/>
      <c r="D2" s="4108"/>
      <c r="E2" s="4108"/>
      <c r="F2" s="4108"/>
      <c r="G2" s="4108"/>
      <c r="H2" s="4108"/>
      <c r="I2" s="4108"/>
      <c r="J2" s="4108"/>
      <c r="K2" s="4108"/>
      <c r="L2" s="4108"/>
      <c r="M2" s="4108"/>
      <c r="N2" s="4108"/>
      <c r="O2" s="4108"/>
      <c r="P2" s="4108"/>
      <c r="Q2" s="4108"/>
      <c r="R2" s="4108"/>
      <c r="T2" s="219"/>
    </row>
    <row r="3" spans="1:20" ht="45" customHeight="1" thickBot="1">
      <c r="A3" s="4107" t="s">
        <v>326</v>
      </c>
      <c r="B3" s="4108"/>
      <c r="C3" s="4108"/>
      <c r="D3" s="4108"/>
      <c r="E3" s="4108"/>
      <c r="F3" s="4108"/>
      <c r="G3" s="4108"/>
      <c r="H3" s="4108"/>
      <c r="I3" s="4108"/>
      <c r="J3" s="4108"/>
      <c r="K3" s="4108"/>
      <c r="L3" s="4108"/>
      <c r="M3" s="4108"/>
      <c r="N3" s="4108"/>
      <c r="O3" s="4108"/>
      <c r="P3" s="4108"/>
      <c r="Q3" s="4108"/>
      <c r="R3" s="4108"/>
    </row>
    <row r="4" spans="1:20" ht="20.25" customHeight="1">
      <c r="A4" s="4109" t="s">
        <v>182</v>
      </c>
      <c r="B4" s="4111" t="s">
        <v>164</v>
      </c>
      <c r="C4" s="4113" t="s">
        <v>21</v>
      </c>
      <c r="D4" s="4114"/>
      <c r="E4" s="4113" t="s">
        <v>0</v>
      </c>
      <c r="F4" s="4115"/>
      <c r="G4" s="4116" t="s">
        <v>1</v>
      </c>
      <c r="H4" s="4116"/>
      <c r="I4" s="4113" t="s">
        <v>150</v>
      </c>
      <c r="J4" s="4115"/>
      <c r="K4" s="4116" t="s">
        <v>523</v>
      </c>
      <c r="L4" s="4116"/>
      <c r="M4" s="4113" t="s">
        <v>327</v>
      </c>
      <c r="N4" s="4115"/>
      <c r="O4" s="4116" t="s">
        <v>328</v>
      </c>
      <c r="P4" s="4116"/>
      <c r="Q4" s="4113" t="s">
        <v>329</v>
      </c>
      <c r="R4" s="4115"/>
    </row>
    <row r="5" spans="1:20" ht="26.25" customHeight="1">
      <c r="A5" s="4110"/>
      <c r="B5" s="4112"/>
      <c r="C5" s="300" t="s">
        <v>22</v>
      </c>
      <c r="D5" s="301" t="s">
        <v>155</v>
      </c>
      <c r="E5" s="300" t="s">
        <v>22</v>
      </c>
      <c r="F5" s="301" t="s">
        <v>155</v>
      </c>
      <c r="G5" s="302" t="s">
        <v>22</v>
      </c>
      <c r="H5" s="303" t="s">
        <v>155</v>
      </c>
      <c r="I5" s="300" t="s">
        <v>22</v>
      </c>
      <c r="J5" s="301" t="s">
        <v>155</v>
      </c>
      <c r="K5" s="302" t="s">
        <v>22</v>
      </c>
      <c r="L5" s="303" t="s">
        <v>155</v>
      </c>
      <c r="M5" s="300" t="s">
        <v>22</v>
      </c>
      <c r="N5" s="301" t="s">
        <v>155</v>
      </c>
      <c r="O5" s="302" t="s">
        <v>22</v>
      </c>
      <c r="P5" s="303" t="s">
        <v>155</v>
      </c>
      <c r="Q5" s="300" t="s">
        <v>22</v>
      </c>
      <c r="R5" s="301" t="s">
        <v>155</v>
      </c>
    </row>
    <row r="6" spans="1:20" ht="16.5" customHeight="1">
      <c r="A6" s="4099" t="s">
        <v>659</v>
      </c>
      <c r="B6" s="4100"/>
      <c r="C6" s="4100"/>
      <c r="D6" s="4100"/>
      <c r="E6" s="4100"/>
      <c r="F6" s="4100"/>
      <c r="G6" s="4100"/>
      <c r="H6" s="4100"/>
      <c r="I6" s="4100"/>
      <c r="J6" s="4100"/>
      <c r="K6" s="4100"/>
      <c r="L6" s="4100"/>
      <c r="M6" s="4100"/>
      <c r="N6" s="4100"/>
      <c r="O6" s="4100"/>
      <c r="P6" s="4100"/>
      <c r="Q6" s="4100"/>
      <c r="R6" s="4101"/>
    </row>
    <row r="7" spans="1:20" ht="16.5" customHeight="1">
      <c r="A7" s="304"/>
      <c r="B7" s="305"/>
      <c r="C7" s="306"/>
      <c r="D7" s="307"/>
      <c r="E7" s="306"/>
      <c r="F7" s="307"/>
      <c r="G7" s="308"/>
      <c r="H7" s="305"/>
      <c r="I7" s="306"/>
      <c r="J7" s="307"/>
      <c r="K7" s="308"/>
      <c r="L7" s="305"/>
      <c r="M7" s="306"/>
      <c r="N7" s="307"/>
      <c r="O7" s="308"/>
      <c r="P7" s="305"/>
      <c r="Q7" s="306"/>
      <c r="R7" s="307"/>
    </row>
    <row r="8" spans="1:20" ht="16.5" customHeight="1">
      <c r="A8" s="224"/>
      <c r="B8" s="220"/>
      <c r="C8" s="221"/>
      <c r="D8" s="222"/>
      <c r="E8" s="221"/>
      <c r="F8" s="222"/>
      <c r="G8" s="223"/>
      <c r="H8" s="220"/>
      <c r="I8" s="221"/>
      <c r="J8" s="222"/>
      <c r="K8" s="223"/>
      <c r="L8" s="220"/>
      <c r="M8" s="221"/>
      <c r="N8" s="222"/>
      <c r="O8" s="223"/>
      <c r="P8" s="220"/>
      <c r="Q8" s="221"/>
      <c r="R8" s="222"/>
    </row>
    <row r="9" spans="1:20" ht="16.5" customHeight="1">
      <c r="A9" s="304"/>
      <c r="B9" s="305"/>
      <c r="C9" s="306"/>
      <c r="D9" s="307"/>
      <c r="E9" s="306"/>
      <c r="F9" s="307"/>
      <c r="G9" s="308"/>
      <c r="H9" s="305"/>
      <c r="I9" s="306"/>
      <c r="J9" s="307"/>
      <c r="K9" s="308"/>
      <c r="L9" s="305"/>
      <c r="M9" s="306"/>
      <c r="N9" s="307"/>
      <c r="O9" s="308"/>
      <c r="P9" s="305"/>
      <c r="Q9" s="306"/>
      <c r="R9" s="307"/>
    </row>
    <row r="10" spans="1:20" ht="16.5" customHeight="1">
      <c r="A10" s="224"/>
      <c r="B10" s="220"/>
      <c r="C10" s="221"/>
      <c r="D10" s="222"/>
      <c r="E10" s="221"/>
      <c r="F10" s="222"/>
      <c r="G10" s="223"/>
      <c r="H10" s="220"/>
      <c r="I10" s="221"/>
      <c r="J10" s="222"/>
      <c r="K10" s="223"/>
      <c r="L10" s="220"/>
      <c r="M10" s="221"/>
      <c r="N10" s="222"/>
      <c r="O10" s="223"/>
      <c r="P10" s="220"/>
      <c r="Q10" s="221"/>
      <c r="R10" s="222"/>
    </row>
    <row r="11" spans="1:20" ht="16.5" customHeight="1">
      <c r="A11" s="304"/>
      <c r="B11" s="305"/>
      <c r="C11" s="306"/>
      <c r="D11" s="307"/>
      <c r="E11" s="306"/>
      <c r="F11" s="307"/>
      <c r="G11" s="308"/>
      <c r="H11" s="305"/>
      <c r="I11" s="306"/>
      <c r="J11" s="307"/>
      <c r="K11" s="308"/>
      <c r="L11" s="305"/>
      <c r="M11" s="306"/>
      <c r="N11" s="307"/>
      <c r="O11" s="308"/>
      <c r="P11" s="305"/>
      <c r="Q11" s="306"/>
      <c r="R11" s="307"/>
    </row>
    <row r="12" spans="1:20" ht="16.5" customHeight="1">
      <c r="A12" s="224"/>
      <c r="B12" s="220"/>
      <c r="C12" s="221"/>
      <c r="D12" s="222"/>
      <c r="E12" s="221"/>
      <c r="F12" s="222"/>
      <c r="G12" s="223"/>
      <c r="H12" s="220"/>
      <c r="I12" s="221"/>
      <c r="J12" s="222"/>
      <c r="K12" s="223"/>
      <c r="L12" s="220"/>
      <c r="M12" s="221"/>
      <c r="N12" s="222"/>
      <c r="O12" s="223"/>
      <c r="P12" s="220"/>
      <c r="Q12" s="221"/>
      <c r="R12" s="222"/>
    </row>
    <row r="13" spans="1:20" ht="16.5" customHeight="1">
      <c r="A13" s="304"/>
      <c r="B13" s="305"/>
      <c r="C13" s="306"/>
      <c r="D13" s="307"/>
      <c r="E13" s="306"/>
      <c r="F13" s="307"/>
      <c r="G13" s="308"/>
      <c r="H13" s="305"/>
      <c r="I13" s="306"/>
      <c r="J13" s="307"/>
      <c r="K13" s="308"/>
      <c r="L13" s="305"/>
      <c r="M13" s="306"/>
      <c r="N13" s="307"/>
      <c r="O13" s="308"/>
      <c r="P13" s="305"/>
      <c r="Q13" s="306"/>
      <c r="R13" s="307"/>
    </row>
    <row r="14" spans="1:20" ht="16.5" customHeight="1">
      <c r="A14" s="224"/>
      <c r="B14" s="220"/>
      <c r="C14" s="221"/>
      <c r="D14" s="222"/>
      <c r="E14" s="221"/>
      <c r="F14" s="222"/>
      <c r="G14" s="223"/>
      <c r="H14" s="220"/>
      <c r="I14" s="221"/>
      <c r="J14" s="222"/>
      <c r="K14" s="223"/>
      <c r="L14" s="220"/>
      <c r="M14" s="221"/>
      <c r="N14" s="222"/>
      <c r="O14" s="223"/>
      <c r="P14" s="220"/>
      <c r="Q14" s="221"/>
      <c r="R14" s="222"/>
    </row>
    <row r="15" spans="1:20" ht="16.5" customHeight="1">
      <c r="A15" s="304"/>
      <c r="B15" s="305"/>
      <c r="C15" s="306"/>
      <c r="D15" s="307"/>
      <c r="E15" s="306"/>
      <c r="F15" s="307"/>
      <c r="G15" s="308"/>
      <c r="H15" s="305"/>
      <c r="I15" s="306"/>
      <c r="J15" s="307"/>
      <c r="K15" s="308"/>
      <c r="L15" s="305"/>
      <c r="M15" s="306"/>
      <c r="N15" s="307"/>
      <c r="O15" s="308"/>
      <c r="P15" s="305"/>
      <c r="Q15" s="306"/>
      <c r="R15" s="307"/>
    </row>
    <row r="16" spans="1:20" ht="16.5" customHeight="1">
      <c r="A16" s="224"/>
      <c r="B16" s="220"/>
      <c r="C16" s="221"/>
      <c r="D16" s="222"/>
      <c r="E16" s="221"/>
      <c r="F16" s="222"/>
      <c r="G16" s="223"/>
      <c r="H16" s="220"/>
      <c r="I16" s="221"/>
      <c r="J16" s="222"/>
      <c r="K16" s="223"/>
      <c r="L16" s="220"/>
      <c r="M16" s="221"/>
      <c r="N16" s="222"/>
      <c r="O16" s="223"/>
      <c r="P16" s="220"/>
      <c r="Q16" s="221"/>
      <c r="R16" s="222"/>
    </row>
    <row r="17" spans="1:18" ht="16.5" customHeight="1">
      <c r="A17" s="304"/>
      <c r="B17" s="305"/>
      <c r="C17" s="306"/>
      <c r="D17" s="307"/>
      <c r="E17" s="306"/>
      <c r="F17" s="307"/>
      <c r="G17" s="308"/>
      <c r="H17" s="305"/>
      <c r="I17" s="306"/>
      <c r="J17" s="307"/>
      <c r="K17" s="308"/>
      <c r="L17" s="305"/>
      <c r="M17" s="306"/>
      <c r="N17" s="307"/>
      <c r="O17" s="308"/>
      <c r="P17" s="305"/>
      <c r="Q17" s="306"/>
      <c r="R17" s="307"/>
    </row>
    <row r="18" spans="1:18" ht="16.5" customHeight="1">
      <c r="A18" s="225"/>
      <c r="B18" s="220"/>
      <c r="C18" s="221"/>
      <c r="D18" s="222"/>
      <c r="E18" s="221"/>
      <c r="F18" s="222"/>
      <c r="G18" s="223"/>
      <c r="H18" s="220"/>
      <c r="I18" s="221"/>
      <c r="J18" s="222"/>
      <c r="K18" s="223"/>
      <c r="L18" s="220"/>
      <c r="M18" s="221"/>
      <c r="N18" s="222"/>
      <c r="O18" s="223"/>
      <c r="P18" s="220"/>
      <c r="Q18" s="221"/>
      <c r="R18" s="222"/>
    </row>
    <row r="19" spans="1:18" ht="16.5" customHeight="1">
      <c r="A19" s="304"/>
      <c r="B19" s="305"/>
      <c r="C19" s="306"/>
      <c r="D19" s="307"/>
      <c r="E19" s="306"/>
      <c r="F19" s="307"/>
      <c r="G19" s="308"/>
      <c r="H19" s="305"/>
      <c r="I19" s="306"/>
      <c r="J19" s="307"/>
      <c r="K19" s="308"/>
      <c r="L19" s="305"/>
      <c r="M19" s="306"/>
      <c r="N19" s="307"/>
      <c r="O19" s="308"/>
      <c r="P19" s="305"/>
      <c r="Q19" s="306"/>
      <c r="R19" s="307"/>
    </row>
    <row r="20" spans="1:18" ht="16.5" customHeight="1">
      <c r="A20" s="224"/>
      <c r="B20" s="220"/>
      <c r="C20" s="221"/>
      <c r="D20" s="222"/>
      <c r="E20" s="221"/>
      <c r="F20" s="222"/>
      <c r="G20" s="223"/>
      <c r="H20" s="220"/>
      <c r="I20" s="221"/>
      <c r="J20" s="222"/>
      <c r="K20" s="223"/>
      <c r="L20" s="220"/>
      <c r="M20" s="221"/>
      <c r="N20" s="222"/>
      <c r="O20" s="223"/>
      <c r="P20" s="220"/>
      <c r="Q20" s="221"/>
      <c r="R20" s="222"/>
    </row>
    <row r="21" spans="1:18" ht="16.5" customHeight="1">
      <c r="A21" s="304"/>
      <c r="B21" s="305"/>
      <c r="C21" s="306"/>
      <c r="D21" s="307"/>
      <c r="E21" s="306"/>
      <c r="F21" s="307"/>
      <c r="G21" s="308"/>
      <c r="H21" s="305"/>
      <c r="I21" s="306"/>
      <c r="J21" s="307"/>
      <c r="K21" s="308"/>
      <c r="L21" s="305"/>
      <c r="M21" s="306"/>
      <c r="N21" s="307"/>
      <c r="O21" s="308"/>
      <c r="P21" s="305"/>
      <c r="Q21" s="306"/>
      <c r="R21" s="307"/>
    </row>
    <row r="22" spans="1:18" ht="16.5" customHeight="1">
      <c r="A22" s="224"/>
      <c r="B22" s="220"/>
      <c r="C22" s="221"/>
      <c r="D22" s="222"/>
      <c r="E22" s="221"/>
      <c r="F22" s="222"/>
      <c r="G22" s="223"/>
      <c r="H22" s="220"/>
      <c r="I22" s="221"/>
      <c r="J22" s="222"/>
      <c r="K22" s="223"/>
      <c r="L22" s="220"/>
      <c r="M22" s="221"/>
      <c r="N22" s="222"/>
      <c r="O22" s="223"/>
      <c r="P22" s="220"/>
      <c r="Q22" s="221"/>
      <c r="R22" s="222"/>
    </row>
    <row r="23" spans="1:18" ht="16.5" customHeight="1">
      <c r="A23" s="304"/>
      <c r="B23" s="305"/>
      <c r="C23" s="306"/>
      <c r="D23" s="307"/>
      <c r="E23" s="306"/>
      <c r="F23" s="307"/>
      <c r="G23" s="308"/>
      <c r="H23" s="305"/>
      <c r="I23" s="306"/>
      <c r="J23" s="307"/>
      <c r="K23" s="308"/>
      <c r="L23" s="305"/>
      <c r="M23" s="306"/>
      <c r="N23" s="307"/>
      <c r="O23" s="308"/>
      <c r="P23" s="305"/>
      <c r="Q23" s="306"/>
      <c r="R23" s="307"/>
    </row>
    <row r="24" spans="1:18" ht="16.5" customHeight="1">
      <c r="A24" s="224"/>
      <c r="B24" s="220"/>
      <c r="C24" s="221"/>
      <c r="D24" s="222"/>
      <c r="E24" s="221"/>
      <c r="F24" s="222"/>
      <c r="G24" s="223"/>
      <c r="H24" s="220"/>
      <c r="I24" s="221"/>
      <c r="J24" s="222"/>
      <c r="K24" s="223"/>
      <c r="L24" s="220"/>
      <c r="M24" s="221"/>
      <c r="N24" s="222"/>
      <c r="O24" s="223"/>
      <c r="P24" s="220"/>
      <c r="Q24" s="221"/>
      <c r="R24" s="222"/>
    </row>
    <row r="25" spans="1:18" ht="16.5" customHeight="1">
      <c r="A25" s="304"/>
      <c r="B25" s="305"/>
      <c r="C25" s="306"/>
      <c r="D25" s="307"/>
      <c r="E25" s="306"/>
      <c r="F25" s="307"/>
      <c r="G25" s="308"/>
      <c r="H25" s="305"/>
      <c r="I25" s="306"/>
      <c r="J25" s="307"/>
      <c r="K25" s="308"/>
      <c r="L25" s="305"/>
      <c r="M25" s="306"/>
      <c r="N25" s="307"/>
      <c r="O25" s="308"/>
      <c r="P25" s="305"/>
      <c r="Q25" s="306"/>
      <c r="R25" s="307"/>
    </row>
    <row r="26" spans="1:18" ht="16.5" customHeight="1">
      <c r="A26" s="224"/>
      <c r="B26" s="220"/>
      <c r="C26" s="221"/>
      <c r="D26" s="222"/>
      <c r="E26" s="221"/>
      <c r="F26" s="222"/>
      <c r="G26" s="223"/>
      <c r="H26" s="220"/>
      <c r="I26" s="221"/>
      <c r="J26" s="222"/>
      <c r="K26" s="223"/>
      <c r="L26" s="220"/>
      <c r="M26" s="221"/>
      <c r="N26" s="222"/>
      <c r="O26" s="223"/>
      <c r="P26" s="220"/>
      <c r="Q26" s="221"/>
      <c r="R26" s="222"/>
    </row>
    <row r="27" spans="1:18" ht="16.5" customHeight="1">
      <c r="A27" s="304"/>
      <c r="B27" s="305"/>
      <c r="C27" s="306"/>
      <c r="D27" s="307"/>
      <c r="E27" s="306"/>
      <c r="F27" s="307"/>
      <c r="G27" s="308"/>
      <c r="H27" s="305"/>
      <c r="I27" s="306"/>
      <c r="J27" s="307"/>
      <c r="K27" s="308"/>
      <c r="L27" s="305"/>
      <c r="M27" s="306"/>
      <c r="N27" s="307"/>
      <c r="O27" s="308"/>
      <c r="P27" s="305"/>
      <c r="Q27" s="306"/>
      <c r="R27" s="307"/>
    </row>
    <row r="28" spans="1:18" ht="16.5" customHeight="1">
      <c r="A28" s="224"/>
      <c r="B28" s="220"/>
      <c r="C28" s="221"/>
      <c r="D28" s="222"/>
      <c r="E28" s="221"/>
      <c r="F28" s="222"/>
      <c r="G28" s="223"/>
      <c r="H28" s="220"/>
      <c r="I28" s="221"/>
      <c r="J28" s="222"/>
      <c r="K28" s="223"/>
      <c r="L28" s="220"/>
      <c r="M28" s="221"/>
      <c r="N28" s="222"/>
      <c r="O28" s="223"/>
      <c r="P28" s="220"/>
      <c r="Q28" s="221"/>
      <c r="R28" s="222"/>
    </row>
    <row r="29" spans="1:18" ht="16.5" customHeight="1">
      <c r="A29" s="304"/>
      <c r="B29" s="305"/>
      <c r="C29" s="306"/>
      <c r="D29" s="307"/>
      <c r="E29" s="306"/>
      <c r="F29" s="307"/>
      <c r="G29" s="308"/>
      <c r="H29" s="305"/>
      <c r="I29" s="306"/>
      <c r="J29" s="307"/>
      <c r="K29" s="308"/>
      <c r="L29" s="305"/>
      <c r="M29" s="306"/>
      <c r="N29" s="307"/>
      <c r="O29" s="308"/>
      <c r="P29" s="305"/>
      <c r="Q29" s="306"/>
      <c r="R29" s="307"/>
    </row>
    <row r="30" spans="1:18" ht="16.5" customHeight="1">
      <c r="A30" s="224"/>
      <c r="B30" s="220"/>
      <c r="C30" s="221"/>
      <c r="D30" s="222"/>
      <c r="E30" s="221"/>
      <c r="F30" s="222"/>
      <c r="G30" s="223"/>
      <c r="H30" s="220"/>
      <c r="I30" s="221"/>
      <c r="J30" s="222"/>
      <c r="K30" s="223"/>
      <c r="L30" s="220"/>
      <c r="M30" s="221"/>
      <c r="N30" s="222"/>
      <c r="O30" s="223"/>
      <c r="P30" s="220"/>
      <c r="Q30" s="221"/>
      <c r="R30" s="222"/>
    </row>
    <row r="31" spans="1:18" ht="16.5" customHeight="1">
      <c r="A31" s="304"/>
      <c r="B31" s="305"/>
      <c r="C31" s="306"/>
      <c r="D31" s="307"/>
      <c r="E31" s="306"/>
      <c r="F31" s="307"/>
      <c r="G31" s="308"/>
      <c r="H31" s="305"/>
      <c r="I31" s="306"/>
      <c r="J31" s="307"/>
      <c r="K31" s="308"/>
      <c r="L31" s="305"/>
      <c r="M31" s="306"/>
      <c r="N31" s="307"/>
      <c r="O31" s="308"/>
      <c r="P31" s="305"/>
      <c r="Q31" s="306"/>
      <c r="R31" s="307"/>
    </row>
    <row r="32" spans="1:18" ht="16.5" customHeight="1">
      <c r="A32" s="224"/>
      <c r="B32" s="220"/>
      <c r="C32" s="221"/>
      <c r="D32" s="222"/>
      <c r="E32" s="221"/>
      <c r="F32" s="222"/>
      <c r="G32" s="223"/>
      <c r="H32" s="220"/>
      <c r="I32" s="221"/>
      <c r="J32" s="222"/>
      <c r="K32" s="223"/>
      <c r="L32" s="220"/>
      <c r="M32" s="221"/>
      <c r="N32" s="222"/>
      <c r="O32" s="223"/>
      <c r="P32" s="220"/>
      <c r="Q32" s="221"/>
      <c r="R32" s="222"/>
    </row>
    <row r="33" spans="1:18" ht="16.5" customHeight="1">
      <c r="A33" s="304"/>
      <c r="B33" s="305"/>
      <c r="C33" s="306"/>
      <c r="D33" s="307"/>
      <c r="E33" s="306"/>
      <c r="F33" s="307"/>
      <c r="G33" s="308"/>
      <c r="H33" s="305"/>
      <c r="I33" s="306"/>
      <c r="J33" s="307"/>
      <c r="K33" s="308"/>
      <c r="L33" s="305"/>
      <c r="M33" s="306"/>
      <c r="N33" s="307"/>
      <c r="O33" s="308"/>
      <c r="P33" s="305"/>
      <c r="Q33" s="306"/>
      <c r="R33" s="307"/>
    </row>
    <row r="34" spans="1:18" ht="21" customHeight="1" thickBot="1">
      <c r="A34" s="4102" t="s">
        <v>330</v>
      </c>
      <c r="B34" s="4103"/>
      <c r="C34" s="226"/>
      <c r="D34" s="227"/>
      <c r="E34" s="226"/>
      <c r="F34" s="227"/>
      <c r="G34" s="228"/>
      <c r="H34" s="229"/>
      <c r="I34" s="226"/>
      <c r="J34" s="227"/>
      <c r="K34" s="228"/>
      <c r="L34" s="229"/>
      <c r="M34" s="226"/>
      <c r="N34" s="227"/>
      <c r="O34" s="228"/>
      <c r="P34" s="229"/>
      <c r="Q34" s="226"/>
      <c r="R34" s="227"/>
    </row>
    <row r="35" spans="1:18">
      <c r="A35" s="230"/>
    </row>
    <row r="36" spans="1:18" ht="16.5">
      <c r="A36" s="231"/>
    </row>
  </sheetData>
  <mergeCells count="15">
    <mergeCell ref="A6:R6"/>
    <mergeCell ref="A34:B34"/>
    <mergeCell ref="A1:R1"/>
    <mergeCell ref="A2:R2"/>
    <mergeCell ref="A3:R3"/>
    <mergeCell ref="A4:A5"/>
    <mergeCell ref="B4:B5"/>
    <mergeCell ref="C4:D4"/>
    <mergeCell ref="E4:F4"/>
    <mergeCell ref="G4:H4"/>
    <mergeCell ref="I4:J4"/>
    <mergeCell ref="K4:L4"/>
    <mergeCell ref="M4:N4"/>
    <mergeCell ref="O4:P4"/>
    <mergeCell ref="Q4:R4"/>
  </mergeCells>
  <printOptions horizontalCentered="1" verticalCentered="1"/>
  <pageMargins left="0.5" right="0.5" top="0.5" bottom="0.5" header="0.35" footer="0.35"/>
  <pageSetup scale="79"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5/29/2019&amp;C&amp;8Table 2-G:  Page &amp;P&amp;R&amp;8Printed &amp;D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T36"/>
  <sheetViews>
    <sheetView view="pageLayout" topLeftCell="A7" zoomScale="85" zoomScaleNormal="100" zoomScalePageLayoutView="85" workbookViewId="0">
      <selection activeCell="B69" sqref="B69:B70"/>
    </sheetView>
  </sheetViews>
  <sheetFormatPr defaultColWidth="8.6328125" defaultRowHeight="13"/>
  <cols>
    <col min="1" max="1" width="10.54296875" style="218" customWidth="1"/>
    <col min="2" max="2" width="16.36328125" style="218" customWidth="1"/>
    <col min="3" max="18" width="7.6328125" style="218" customWidth="1"/>
    <col min="19" max="256" width="8.6328125" style="218"/>
    <col min="257" max="257" width="10.54296875" style="218" customWidth="1"/>
    <col min="258" max="258" width="16.36328125" style="218" customWidth="1"/>
    <col min="259" max="274" width="7.6328125" style="218" customWidth="1"/>
    <col min="275" max="512" width="8.6328125" style="218"/>
    <col min="513" max="513" width="10.54296875" style="218" customWidth="1"/>
    <col min="514" max="514" width="16.36328125" style="218" customWidth="1"/>
    <col min="515" max="530" width="7.6328125" style="218" customWidth="1"/>
    <col min="531" max="768" width="8.6328125" style="218"/>
    <col min="769" max="769" width="10.54296875" style="218" customWidth="1"/>
    <col min="770" max="770" width="16.36328125" style="218" customWidth="1"/>
    <col min="771" max="786" width="7.6328125" style="218" customWidth="1"/>
    <col min="787" max="1024" width="8.6328125" style="218"/>
    <col min="1025" max="1025" width="10.54296875" style="218" customWidth="1"/>
    <col min="1026" max="1026" width="16.36328125" style="218" customWidth="1"/>
    <col min="1027" max="1042" width="7.6328125" style="218" customWidth="1"/>
    <col min="1043" max="1280" width="8.6328125" style="218"/>
    <col min="1281" max="1281" width="10.54296875" style="218" customWidth="1"/>
    <col min="1282" max="1282" width="16.36328125" style="218" customWidth="1"/>
    <col min="1283" max="1298" width="7.6328125" style="218" customWidth="1"/>
    <col min="1299" max="1536" width="8.6328125" style="218"/>
    <col min="1537" max="1537" width="10.54296875" style="218" customWidth="1"/>
    <col min="1538" max="1538" width="16.36328125" style="218" customWidth="1"/>
    <col min="1539" max="1554" width="7.6328125" style="218" customWidth="1"/>
    <col min="1555" max="1792" width="8.6328125" style="218"/>
    <col min="1793" max="1793" width="10.54296875" style="218" customWidth="1"/>
    <col min="1794" max="1794" width="16.36328125" style="218" customWidth="1"/>
    <col min="1795" max="1810" width="7.6328125" style="218" customWidth="1"/>
    <col min="1811" max="2048" width="8.6328125" style="218"/>
    <col min="2049" max="2049" width="10.54296875" style="218" customWidth="1"/>
    <col min="2050" max="2050" width="16.36328125" style="218" customWidth="1"/>
    <col min="2051" max="2066" width="7.6328125" style="218" customWidth="1"/>
    <col min="2067" max="2304" width="8.6328125" style="218"/>
    <col min="2305" max="2305" width="10.54296875" style="218" customWidth="1"/>
    <col min="2306" max="2306" width="16.36328125" style="218" customWidth="1"/>
    <col min="2307" max="2322" width="7.6328125" style="218" customWidth="1"/>
    <col min="2323" max="2560" width="8.6328125" style="218"/>
    <col min="2561" max="2561" width="10.54296875" style="218" customWidth="1"/>
    <col min="2562" max="2562" width="16.36328125" style="218" customWidth="1"/>
    <col min="2563" max="2578" width="7.6328125" style="218" customWidth="1"/>
    <col min="2579" max="2816" width="8.6328125" style="218"/>
    <col min="2817" max="2817" width="10.54296875" style="218" customWidth="1"/>
    <col min="2818" max="2818" width="16.36328125" style="218" customWidth="1"/>
    <col min="2819" max="2834" width="7.6328125" style="218" customWidth="1"/>
    <col min="2835" max="3072" width="8.6328125" style="218"/>
    <col min="3073" max="3073" width="10.54296875" style="218" customWidth="1"/>
    <col min="3074" max="3074" width="16.36328125" style="218" customWidth="1"/>
    <col min="3075" max="3090" width="7.6328125" style="218" customWidth="1"/>
    <col min="3091" max="3328" width="8.6328125" style="218"/>
    <col min="3329" max="3329" width="10.54296875" style="218" customWidth="1"/>
    <col min="3330" max="3330" width="16.36328125" style="218" customWidth="1"/>
    <col min="3331" max="3346" width="7.6328125" style="218" customWidth="1"/>
    <col min="3347" max="3584" width="8.6328125" style="218"/>
    <col min="3585" max="3585" width="10.54296875" style="218" customWidth="1"/>
    <col min="3586" max="3586" width="16.36328125" style="218" customWidth="1"/>
    <col min="3587" max="3602" width="7.6328125" style="218" customWidth="1"/>
    <col min="3603" max="3840" width="8.6328125" style="218"/>
    <col min="3841" max="3841" width="10.54296875" style="218" customWidth="1"/>
    <col min="3842" max="3842" width="16.36328125" style="218" customWidth="1"/>
    <col min="3843" max="3858" width="7.6328125" style="218" customWidth="1"/>
    <col min="3859" max="4096" width="8.6328125" style="218"/>
    <col min="4097" max="4097" width="10.54296875" style="218" customWidth="1"/>
    <col min="4098" max="4098" width="16.36328125" style="218" customWidth="1"/>
    <col min="4099" max="4114" width="7.6328125" style="218" customWidth="1"/>
    <col min="4115" max="4352" width="8.6328125" style="218"/>
    <col min="4353" max="4353" width="10.54296875" style="218" customWidth="1"/>
    <col min="4354" max="4354" width="16.36328125" style="218" customWidth="1"/>
    <col min="4355" max="4370" width="7.6328125" style="218" customWidth="1"/>
    <col min="4371" max="4608" width="8.6328125" style="218"/>
    <col min="4609" max="4609" width="10.54296875" style="218" customWidth="1"/>
    <col min="4610" max="4610" width="16.36328125" style="218" customWidth="1"/>
    <col min="4611" max="4626" width="7.6328125" style="218" customWidth="1"/>
    <col min="4627" max="4864" width="8.6328125" style="218"/>
    <col min="4865" max="4865" width="10.54296875" style="218" customWidth="1"/>
    <col min="4866" max="4866" width="16.36328125" style="218" customWidth="1"/>
    <col min="4867" max="4882" width="7.6328125" style="218" customWidth="1"/>
    <col min="4883" max="5120" width="8.6328125" style="218"/>
    <col min="5121" max="5121" width="10.54296875" style="218" customWidth="1"/>
    <col min="5122" max="5122" width="16.36328125" style="218" customWidth="1"/>
    <col min="5123" max="5138" width="7.6328125" style="218" customWidth="1"/>
    <col min="5139" max="5376" width="8.6328125" style="218"/>
    <col min="5377" max="5377" width="10.54296875" style="218" customWidth="1"/>
    <col min="5378" max="5378" width="16.36328125" style="218" customWidth="1"/>
    <col min="5379" max="5394" width="7.6328125" style="218" customWidth="1"/>
    <col min="5395" max="5632" width="8.6328125" style="218"/>
    <col min="5633" max="5633" width="10.54296875" style="218" customWidth="1"/>
    <col min="5634" max="5634" width="16.36328125" style="218" customWidth="1"/>
    <col min="5635" max="5650" width="7.6328125" style="218" customWidth="1"/>
    <col min="5651" max="5888" width="8.6328125" style="218"/>
    <col min="5889" max="5889" width="10.54296875" style="218" customWidth="1"/>
    <col min="5890" max="5890" width="16.36328125" style="218" customWidth="1"/>
    <col min="5891" max="5906" width="7.6328125" style="218" customWidth="1"/>
    <col min="5907" max="6144" width="8.6328125" style="218"/>
    <col min="6145" max="6145" width="10.54296875" style="218" customWidth="1"/>
    <col min="6146" max="6146" width="16.36328125" style="218" customWidth="1"/>
    <col min="6147" max="6162" width="7.6328125" style="218" customWidth="1"/>
    <col min="6163" max="6400" width="8.6328125" style="218"/>
    <col min="6401" max="6401" width="10.54296875" style="218" customWidth="1"/>
    <col min="6402" max="6402" width="16.36328125" style="218" customWidth="1"/>
    <col min="6403" max="6418" width="7.6328125" style="218" customWidth="1"/>
    <col min="6419" max="6656" width="8.6328125" style="218"/>
    <col min="6657" max="6657" width="10.54296875" style="218" customWidth="1"/>
    <col min="6658" max="6658" width="16.36328125" style="218" customWidth="1"/>
    <col min="6659" max="6674" width="7.6328125" style="218" customWidth="1"/>
    <col min="6675" max="6912" width="8.6328125" style="218"/>
    <col min="6913" max="6913" width="10.54296875" style="218" customWidth="1"/>
    <col min="6914" max="6914" width="16.36328125" style="218" customWidth="1"/>
    <col min="6915" max="6930" width="7.6328125" style="218" customWidth="1"/>
    <col min="6931" max="7168" width="8.6328125" style="218"/>
    <col min="7169" max="7169" width="10.54296875" style="218" customWidth="1"/>
    <col min="7170" max="7170" width="16.36328125" style="218" customWidth="1"/>
    <col min="7171" max="7186" width="7.6328125" style="218" customWidth="1"/>
    <col min="7187" max="7424" width="8.6328125" style="218"/>
    <col min="7425" max="7425" width="10.54296875" style="218" customWidth="1"/>
    <col min="7426" max="7426" width="16.36328125" style="218" customWidth="1"/>
    <col min="7427" max="7442" width="7.6328125" style="218" customWidth="1"/>
    <col min="7443" max="7680" width="8.6328125" style="218"/>
    <col min="7681" max="7681" width="10.54296875" style="218" customWidth="1"/>
    <col min="7682" max="7682" width="16.36328125" style="218" customWidth="1"/>
    <col min="7683" max="7698" width="7.6328125" style="218" customWidth="1"/>
    <col min="7699" max="7936" width="8.6328125" style="218"/>
    <col min="7937" max="7937" width="10.54296875" style="218" customWidth="1"/>
    <col min="7938" max="7938" width="16.36328125" style="218" customWidth="1"/>
    <col min="7939" max="7954" width="7.6328125" style="218" customWidth="1"/>
    <col min="7955" max="8192" width="8.6328125" style="218"/>
    <col min="8193" max="8193" width="10.54296875" style="218" customWidth="1"/>
    <col min="8194" max="8194" width="16.36328125" style="218" customWidth="1"/>
    <col min="8195" max="8210" width="7.6328125" style="218" customWidth="1"/>
    <col min="8211" max="8448" width="8.6328125" style="218"/>
    <col min="8449" max="8449" width="10.54296875" style="218" customWidth="1"/>
    <col min="8450" max="8450" width="16.36328125" style="218" customWidth="1"/>
    <col min="8451" max="8466" width="7.6328125" style="218" customWidth="1"/>
    <col min="8467" max="8704" width="8.6328125" style="218"/>
    <col min="8705" max="8705" width="10.54296875" style="218" customWidth="1"/>
    <col min="8706" max="8706" width="16.36328125" style="218" customWidth="1"/>
    <col min="8707" max="8722" width="7.6328125" style="218" customWidth="1"/>
    <col min="8723" max="8960" width="8.6328125" style="218"/>
    <col min="8961" max="8961" width="10.54296875" style="218" customWidth="1"/>
    <col min="8962" max="8962" width="16.36328125" style="218" customWidth="1"/>
    <col min="8963" max="8978" width="7.6328125" style="218" customWidth="1"/>
    <col min="8979" max="9216" width="8.6328125" style="218"/>
    <col min="9217" max="9217" width="10.54296875" style="218" customWidth="1"/>
    <col min="9218" max="9218" width="16.36328125" style="218" customWidth="1"/>
    <col min="9219" max="9234" width="7.6328125" style="218" customWidth="1"/>
    <col min="9235" max="9472" width="8.6328125" style="218"/>
    <col min="9473" max="9473" width="10.54296875" style="218" customWidth="1"/>
    <col min="9474" max="9474" width="16.36328125" style="218" customWidth="1"/>
    <col min="9475" max="9490" width="7.6328125" style="218" customWidth="1"/>
    <col min="9491" max="9728" width="8.6328125" style="218"/>
    <col min="9729" max="9729" width="10.54296875" style="218" customWidth="1"/>
    <col min="9730" max="9730" width="16.36328125" style="218" customWidth="1"/>
    <col min="9731" max="9746" width="7.6328125" style="218" customWidth="1"/>
    <col min="9747" max="9984" width="8.6328125" style="218"/>
    <col min="9985" max="9985" width="10.54296875" style="218" customWidth="1"/>
    <col min="9986" max="9986" width="16.36328125" style="218" customWidth="1"/>
    <col min="9987" max="10002" width="7.6328125" style="218" customWidth="1"/>
    <col min="10003" max="10240" width="8.6328125" style="218"/>
    <col min="10241" max="10241" width="10.54296875" style="218" customWidth="1"/>
    <col min="10242" max="10242" width="16.36328125" style="218" customWidth="1"/>
    <col min="10243" max="10258" width="7.6328125" style="218" customWidth="1"/>
    <col min="10259" max="10496" width="8.6328125" style="218"/>
    <col min="10497" max="10497" width="10.54296875" style="218" customWidth="1"/>
    <col min="10498" max="10498" width="16.36328125" style="218" customWidth="1"/>
    <col min="10499" max="10514" width="7.6328125" style="218" customWidth="1"/>
    <col min="10515" max="10752" width="8.6328125" style="218"/>
    <col min="10753" max="10753" width="10.54296875" style="218" customWidth="1"/>
    <col min="10754" max="10754" width="16.36328125" style="218" customWidth="1"/>
    <col min="10755" max="10770" width="7.6328125" style="218" customWidth="1"/>
    <col min="10771" max="11008" width="8.6328125" style="218"/>
    <col min="11009" max="11009" width="10.54296875" style="218" customWidth="1"/>
    <col min="11010" max="11010" width="16.36328125" style="218" customWidth="1"/>
    <col min="11011" max="11026" width="7.6328125" style="218" customWidth="1"/>
    <col min="11027" max="11264" width="8.6328125" style="218"/>
    <col min="11265" max="11265" width="10.54296875" style="218" customWidth="1"/>
    <col min="11266" max="11266" width="16.36328125" style="218" customWidth="1"/>
    <col min="11267" max="11282" width="7.6328125" style="218" customWidth="1"/>
    <col min="11283" max="11520" width="8.6328125" style="218"/>
    <col min="11521" max="11521" width="10.54296875" style="218" customWidth="1"/>
    <col min="11522" max="11522" width="16.36328125" style="218" customWidth="1"/>
    <col min="11523" max="11538" width="7.6328125" style="218" customWidth="1"/>
    <col min="11539" max="11776" width="8.6328125" style="218"/>
    <col min="11777" max="11777" width="10.54296875" style="218" customWidth="1"/>
    <col min="11778" max="11778" width="16.36328125" style="218" customWidth="1"/>
    <col min="11779" max="11794" width="7.6328125" style="218" customWidth="1"/>
    <col min="11795" max="12032" width="8.6328125" style="218"/>
    <col min="12033" max="12033" width="10.54296875" style="218" customWidth="1"/>
    <col min="12034" max="12034" width="16.36328125" style="218" customWidth="1"/>
    <col min="12035" max="12050" width="7.6328125" style="218" customWidth="1"/>
    <col min="12051" max="12288" width="8.6328125" style="218"/>
    <col min="12289" max="12289" width="10.54296875" style="218" customWidth="1"/>
    <col min="12290" max="12290" width="16.36328125" style="218" customWidth="1"/>
    <col min="12291" max="12306" width="7.6328125" style="218" customWidth="1"/>
    <col min="12307" max="12544" width="8.6328125" style="218"/>
    <col min="12545" max="12545" width="10.54296875" style="218" customWidth="1"/>
    <col min="12546" max="12546" width="16.36328125" style="218" customWidth="1"/>
    <col min="12547" max="12562" width="7.6328125" style="218" customWidth="1"/>
    <col min="12563" max="12800" width="8.6328125" style="218"/>
    <col min="12801" max="12801" width="10.54296875" style="218" customWidth="1"/>
    <col min="12802" max="12802" width="16.36328125" style="218" customWidth="1"/>
    <col min="12803" max="12818" width="7.6328125" style="218" customWidth="1"/>
    <col min="12819" max="13056" width="8.6328125" style="218"/>
    <col min="13057" max="13057" width="10.54296875" style="218" customWidth="1"/>
    <col min="13058" max="13058" width="16.36328125" style="218" customWidth="1"/>
    <col min="13059" max="13074" width="7.6328125" style="218" customWidth="1"/>
    <col min="13075" max="13312" width="8.6328125" style="218"/>
    <col min="13313" max="13313" width="10.54296875" style="218" customWidth="1"/>
    <col min="13314" max="13314" width="16.36328125" style="218" customWidth="1"/>
    <col min="13315" max="13330" width="7.6328125" style="218" customWidth="1"/>
    <col min="13331" max="13568" width="8.6328125" style="218"/>
    <col min="13569" max="13569" width="10.54296875" style="218" customWidth="1"/>
    <col min="13570" max="13570" width="16.36328125" style="218" customWidth="1"/>
    <col min="13571" max="13586" width="7.6328125" style="218" customWidth="1"/>
    <col min="13587" max="13824" width="8.6328125" style="218"/>
    <col min="13825" max="13825" width="10.54296875" style="218" customWidth="1"/>
    <col min="13826" max="13826" width="16.36328125" style="218" customWidth="1"/>
    <col min="13827" max="13842" width="7.6328125" style="218" customWidth="1"/>
    <col min="13843" max="14080" width="8.6328125" style="218"/>
    <col min="14081" max="14081" width="10.54296875" style="218" customWidth="1"/>
    <col min="14082" max="14082" width="16.36328125" style="218" customWidth="1"/>
    <col min="14083" max="14098" width="7.6328125" style="218" customWidth="1"/>
    <col min="14099" max="14336" width="8.6328125" style="218"/>
    <col min="14337" max="14337" width="10.54296875" style="218" customWidth="1"/>
    <col min="14338" max="14338" width="16.36328125" style="218" customWidth="1"/>
    <col min="14339" max="14354" width="7.6328125" style="218" customWidth="1"/>
    <col min="14355" max="14592" width="8.6328125" style="218"/>
    <col min="14593" max="14593" width="10.54296875" style="218" customWidth="1"/>
    <col min="14594" max="14594" width="16.36328125" style="218" customWidth="1"/>
    <col min="14595" max="14610" width="7.6328125" style="218" customWidth="1"/>
    <col min="14611" max="14848" width="8.6328125" style="218"/>
    <col min="14849" max="14849" width="10.54296875" style="218" customWidth="1"/>
    <col min="14850" max="14850" width="16.36328125" style="218" customWidth="1"/>
    <col min="14851" max="14866" width="7.6328125" style="218" customWidth="1"/>
    <col min="14867" max="15104" width="8.6328125" style="218"/>
    <col min="15105" max="15105" width="10.54296875" style="218" customWidth="1"/>
    <col min="15106" max="15106" width="16.36328125" style="218" customWidth="1"/>
    <col min="15107" max="15122" width="7.6328125" style="218" customWidth="1"/>
    <col min="15123" max="15360" width="8.6328125" style="218"/>
    <col min="15361" max="15361" width="10.54296875" style="218" customWidth="1"/>
    <col min="15362" max="15362" width="16.36328125" style="218" customWidth="1"/>
    <col min="15363" max="15378" width="7.6328125" style="218" customWidth="1"/>
    <col min="15379" max="15616" width="8.6328125" style="218"/>
    <col min="15617" max="15617" width="10.54296875" style="218" customWidth="1"/>
    <col min="15618" max="15618" width="16.36328125" style="218" customWidth="1"/>
    <col min="15619" max="15634" width="7.6328125" style="218" customWidth="1"/>
    <col min="15635" max="15872" width="8.6328125" style="218"/>
    <col min="15873" max="15873" width="10.54296875" style="218" customWidth="1"/>
    <col min="15874" max="15874" width="16.36328125" style="218" customWidth="1"/>
    <col min="15875" max="15890" width="7.6328125" style="218" customWidth="1"/>
    <col min="15891" max="16128" width="8.6328125" style="218"/>
    <col min="16129" max="16129" width="10.54296875" style="218" customWidth="1"/>
    <col min="16130" max="16130" width="16.36328125" style="218" customWidth="1"/>
    <col min="16131" max="16146" width="7.6328125" style="218" customWidth="1"/>
    <col min="16147" max="16384" width="8.6328125" style="218"/>
  </cols>
  <sheetData>
    <row r="1" spans="1:20" ht="28.5" customHeight="1">
      <c r="A1" s="4104" t="s">
        <v>325</v>
      </c>
      <c r="B1" s="4105"/>
      <c r="C1" s="4105"/>
      <c r="D1" s="4105"/>
      <c r="E1" s="4105"/>
      <c r="F1" s="4105"/>
      <c r="G1" s="4105"/>
      <c r="H1" s="4105"/>
      <c r="I1" s="4105"/>
      <c r="J1" s="4105"/>
      <c r="K1" s="4105"/>
      <c r="L1" s="4105"/>
      <c r="M1" s="4105"/>
      <c r="N1" s="4105"/>
      <c r="O1" s="4105"/>
      <c r="P1" s="4105"/>
      <c r="Q1" s="4105"/>
      <c r="R1" s="4106"/>
    </row>
    <row r="2" spans="1:20" ht="31.5" customHeight="1">
      <c r="A2" s="4107" t="s">
        <v>660</v>
      </c>
      <c r="B2" s="4108"/>
      <c r="C2" s="4108"/>
      <c r="D2" s="4108"/>
      <c r="E2" s="4108"/>
      <c r="F2" s="4108"/>
      <c r="G2" s="4108"/>
      <c r="H2" s="4108"/>
      <c r="I2" s="4108"/>
      <c r="J2" s="4108"/>
      <c r="K2" s="4108"/>
      <c r="L2" s="4108"/>
      <c r="M2" s="4108"/>
      <c r="N2" s="4108"/>
      <c r="O2" s="4108"/>
      <c r="P2" s="4108"/>
      <c r="Q2" s="4108"/>
      <c r="R2" s="4108"/>
      <c r="T2" s="219"/>
    </row>
    <row r="3" spans="1:20" ht="45" customHeight="1" thickBot="1">
      <c r="A3" s="4107" t="s">
        <v>326</v>
      </c>
      <c r="B3" s="4108"/>
      <c r="C3" s="4108"/>
      <c r="D3" s="4108"/>
      <c r="E3" s="4108"/>
      <c r="F3" s="4108"/>
      <c r="G3" s="4108"/>
      <c r="H3" s="4108"/>
      <c r="I3" s="4108"/>
      <c r="J3" s="4108"/>
      <c r="K3" s="4108"/>
      <c r="L3" s="4108"/>
      <c r="M3" s="4108"/>
      <c r="N3" s="4108"/>
      <c r="O3" s="4108"/>
      <c r="P3" s="4108"/>
      <c r="Q3" s="4108"/>
      <c r="R3" s="4108"/>
    </row>
    <row r="4" spans="1:20" ht="20.25" customHeight="1">
      <c r="A4" s="4109" t="s">
        <v>182</v>
      </c>
      <c r="B4" s="4111" t="s">
        <v>164</v>
      </c>
      <c r="C4" s="4113" t="s">
        <v>21</v>
      </c>
      <c r="D4" s="4114"/>
      <c r="E4" s="4113" t="s">
        <v>0</v>
      </c>
      <c r="F4" s="4115"/>
      <c r="G4" s="4116" t="s">
        <v>1</v>
      </c>
      <c r="H4" s="4116"/>
      <c r="I4" s="4113" t="s">
        <v>150</v>
      </c>
      <c r="J4" s="4115"/>
      <c r="K4" s="4116" t="s">
        <v>523</v>
      </c>
      <c r="L4" s="4116"/>
      <c r="M4" s="4113" t="s">
        <v>327</v>
      </c>
      <c r="N4" s="4115"/>
      <c r="O4" s="4116" t="s">
        <v>328</v>
      </c>
      <c r="P4" s="4116"/>
      <c r="Q4" s="4113" t="s">
        <v>329</v>
      </c>
      <c r="R4" s="4115"/>
    </row>
    <row r="5" spans="1:20" ht="26.25" customHeight="1">
      <c r="A5" s="4110"/>
      <c r="B5" s="4112"/>
      <c r="C5" s="300" t="s">
        <v>22</v>
      </c>
      <c r="D5" s="301" t="s">
        <v>155</v>
      </c>
      <c r="E5" s="300" t="s">
        <v>22</v>
      </c>
      <c r="F5" s="301" t="s">
        <v>155</v>
      </c>
      <c r="G5" s="302" t="s">
        <v>22</v>
      </c>
      <c r="H5" s="303" t="s">
        <v>155</v>
      </c>
      <c r="I5" s="300" t="s">
        <v>22</v>
      </c>
      <c r="J5" s="301" t="s">
        <v>155</v>
      </c>
      <c r="K5" s="302" t="s">
        <v>22</v>
      </c>
      <c r="L5" s="303" t="s">
        <v>155</v>
      </c>
      <c r="M5" s="300" t="s">
        <v>22</v>
      </c>
      <c r="N5" s="301" t="s">
        <v>155</v>
      </c>
      <c r="O5" s="302" t="s">
        <v>22</v>
      </c>
      <c r="P5" s="303" t="s">
        <v>155</v>
      </c>
      <c r="Q5" s="300" t="s">
        <v>22</v>
      </c>
      <c r="R5" s="301" t="s">
        <v>155</v>
      </c>
    </row>
    <row r="6" spans="1:20" ht="16.5" customHeight="1">
      <c r="A6" s="4099" t="s">
        <v>659</v>
      </c>
      <c r="B6" s="4100"/>
      <c r="C6" s="4100"/>
      <c r="D6" s="4100"/>
      <c r="E6" s="4100"/>
      <c r="F6" s="4100"/>
      <c r="G6" s="4100"/>
      <c r="H6" s="4100"/>
      <c r="I6" s="4100"/>
      <c r="J6" s="4100"/>
      <c r="K6" s="4100"/>
      <c r="L6" s="4100"/>
      <c r="M6" s="4100"/>
      <c r="N6" s="4100"/>
      <c r="O6" s="4100"/>
      <c r="P6" s="4100"/>
      <c r="Q6" s="4100"/>
      <c r="R6" s="4101"/>
    </row>
    <row r="7" spans="1:20" ht="16.5" customHeight="1">
      <c r="A7" s="304"/>
      <c r="B7" s="305"/>
      <c r="C7" s="306"/>
      <c r="D7" s="307"/>
      <c r="E7" s="306"/>
      <c r="F7" s="307"/>
      <c r="G7" s="308"/>
      <c r="H7" s="305"/>
      <c r="I7" s="306"/>
      <c r="J7" s="307"/>
      <c r="K7" s="308"/>
      <c r="L7" s="305"/>
      <c r="M7" s="306"/>
      <c r="N7" s="307"/>
      <c r="O7" s="308"/>
      <c r="P7" s="305"/>
      <c r="Q7" s="306"/>
      <c r="R7" s="307"/>
    </row>
    <row r="8" spans="1:20" ht="16.5" customHeight="1">
      <c r="A8" s="224"/>
      <c r="B8" s="220"/>
      <c r="C8" s="221"/>
      <c r="D8" s="222"/>
      <c r="E8" s="221"/>
      <c r="F8" s="222"/>
      <c r="G8" s="223"/>
      <c r="H8" s="220"/>
      <c r="I8" s="221"/>
      <c r="J8" s="222"/>
      <c r="K8" s="223"/>
      <c r="L8" s="220"/>
      <c r="M8" s="221"/>
      <c r="N8" s="222"/>
      <c r="O8" s="223"/>
      <c r="P8" s="220"/>
      <c r="Q8" s="221"/>
      <c r="R8" s="222"/>
    </row>
    <row r="9" spans="1:20" ht="16.5" customHeight="1">
      <c r="A9" s="304"/>
      <c r="B9" s="305"/>
      <c r="C9" s="306"/>
      <c r="D9" s="307"/>
      <c r="E9" s="306"/>
      <c r="F9" s="307"/>
      <c r="G9" s="308"/>
      <c r="H9" s="305"/>
      <c r="I9" s="306"/>
      <c r="J9" s="307"/>
      <c r="K9" s="308"/>
      <c r="L9" s="305"/>
      <c r="M9" s="306"/>
      <c r="N9" s="307"/>
      <c r="O9" s="308"/>
      <c r="P9" s="305"/>
      <c r="Q9" s="306"/>
      <c r="R9" s="307"/>
    </row>
    <row r="10" spans="1:20" ht="16.5" customHeight="1">
      <c r="A10" s="224"/>
      <c r="B10" s="220"/>
      <c r="C10" s="221"/>
      <c r="D10" s="222"/>
      <c r="E10" s="221"/>
      <c r="F10" s="222"/>
      <c r="G10" s="223"/>
      <c r="H10" s="220"/>
      <c r="I10" s="221"/>
      <c r="J10" s="222"/>
      <c r="K10" s="223"/>
      <c r="L10" s="220"/>
      <c r="M10" s="221"/>
      <c r="N10" s="222"/>
      <c r="O10" s="223"/>
      <c r="P10" s="220"/>
      <c r="Q10" s="221"/>
      <c r="R10" s="222"/>
    </row>
    <row r="11" spans="1:20" ht="16.5" customHeight="1">
      <c r="A11" s="304"/>
      <c r="B11" s="305"/>
      <c r="C11" s="306"/>
      <c r="D11" s="307"/>
      <c r="E11" s="306"/>
      <c r="F11" s="307"/>
      <c r="G11" s="308"/>
      <c r="H11" s="305"/>
      <c r="I11" s="306"/>
      <c r="J11" s="307"/>
      <c r="K11" s="308"/>
      <c r="L11" s="305"/>
      <c r="M11" s="306"/>
      <c r="N11" s="307"/>
      <c r="O11" s="308"/>
      <c r="P11" s="305"/>
      <c r="Q11" s="306"/>
      <c r="R11" s="307"/>
    </row>
    <row r="12" spans="1:20" ht="16.5" customHeight="1">
      <c r="A12" s="224"/>
      <c r="B12" s="220"/>
      <c r="C12" s="221"/>
      <c r="D12" s="222"/>
      <c r="E12" s="221"/>
      <c r="F12" s="222"/>
      <c r="G12" s="223"/>
      <c r="H12" s="220"/>
      <c r="I12" s="221"/>
      <c r="J12" s="222"/>
      <c r="K12" s="223"/>
      <c r="L12" s="220"/>
      <c r="M12" s="221"/>
      <c r="N12" s="222"/>
      <c r="O12" s="223"/>
      <c r="P12" s="220"/>
      <c r="Q12" s="221"/>
      <c r="R12" s="222"/>
    </row>
    <row r="13" spans="1:20" ht="16.5" customHeight="1">
      <c r="A13" s="304"/>
      <c r="B13" s="305"/>
      <c r="C13" s="306"/>
      <c r="D13" s="307"/>
      <c r="E13" s="306"/>
      <c r="F13" s="307"/>
      <c r="G13" s="308"/>
      <c r="H13" s="305"/>
      <c r="I13" s="306"/>
      <c r="J13" s="307"/>
      <c r="K13" s="308"/>
      <c r="L13" s="305"/>
      <c r="M13" s="306"/>
      <c r="N13" s="307"/>
      <c r="O13" s="308"/>
      <c r="P13" s="305"/>
      <c r="Q13" s="306"/>
      <c r="R13" s="307"/>
    </row>
    <row r="14" spans="1:20" ht="16.5" customHeight="1">
      <c r="A14" s="224"/>
      <c r="B14" s="220"/>
      <c r="C14" s="221"/>
      <c r="D14" s="222"/>
      <c r="E14" s="221"/>
      <c r="F14" s="222"/>
      <c r="G14" s="223"/>
      <c r="H14" s="220"/>
      <c r="I14" s="221"/>
      <c r="J14" s="222"/>
      <c r="K14" s="223"/>
      <c r="L14" s="220"/>
      <c r="M14" s="221"/>
      <c r="N14" s="222"/>
      <c r="O14" s="223"/>
      <c r="P14" s="220"/>
      <c r="Q14" s="221"/>
      <c r="R14" s="222"/>
    </row>
    <row r="15" spans="1:20" ht="16.5" customHeight="1">
      <c r="A15" s="304"/>
      <c r="B15" s="305"/>
      <c r="C15" s="306"/>
      <c r="D15" s="307"/>
      <c r="E15" s="306"/>
      <c r="F15" s="307"/>
      <c r="G15" s="308"/>
      <c r="H15" s="305"/>
      <c r="I15" s="306"/>
      <c r="J15" s="307"/>
      <c r="K15" s="308"/>
      <c r="L15" s="305"/>
      <c r="M15" s="306"/>
      <c r="N15" s="307"/>
      <c r="O15" s="308"/>
      <c r="P15" s="305"/>
      <c r="Q15" s="306"/>
      <c r="R15" s="307"/>
    </row>
    <row r="16" spans="1:20" ht="16.5" customHeight="1">
      <c r="A16" s="224"/>
      <c r="B16" s="220"/>
      <c r="C16" s="221"/>
      <c r="D16" s="222"/>
      <c r="E16" s="221"/>
      <c r="F16" s="222"/>
      <c r="G16" s="223"/>
      <c r="H16" s="220"/>
      <c r="I16" s="221"/>
      <c r="J16" s="222"/>
      <c r="K16" s="223"/>
      <c r="L16" s="220"/>
      <c r="M16" s="221"/>
      <c r="N16" s="222"/>
      <c r="O16" s="223"/>
      <c r="P16" s="220"/>
      <c r="Q16" s="221"/>
      <c r="R16" s="222"/>
    </row>
    <row r="17" spans="1:18" ht="16.5" customHeight="1">
      <c r="A17" s="304"/>
      <c r="B17" s="305"/>
      <c r="C17" s="306"/>
      <c r="D17" s="307"/>
      <c r="E17" s="306"/>
      <c r="F17" s="307"/>
      <c r="G17" s="308"/>
      <c r="H17" s="305"/>
      <c r="I17" s="306"/>
      <c r="J17" s="307"/>
      <c r="K17" s="308"/>
      <c r="L17" s="305"/>
      <c r="M17" s="306"/>
      <c r="N17" s="307"/>
      <c r="O17" s="308"/>
      <c r="P17" s="305"/>
      <c r="Q17" s="306"/>
      <c r="R17" s="307"/>
    </row>
    <row r="18" spans="1:18" ht="16.5" customHeight="1">
      <c r="A18" s="225"/>
      <c r="B18" s="220"/>
      <c r="C18" s="221"/>
      <c r="D18" s="222"/>
      <c r="E18" s="221"/>
      <c r="F18" s="222"/>
      <c r="G18" s="223"/>
      <c r="H18" s="220"/>
      <c r="I18" s="221"/>
      <c r="J18" s="222"/>
      <c r="K18" s="223"/>
      <c r="L18" s="220"/>
      <c r="M18" s="221"/>
      <c r="N18" s="222"/>
      <c r="O18" s="223"/>
      <c r="P18" s="220"/>
      <c r="Q18" s="221"/>
      <c r="R18" s="222"/>
    </row>
    <row r="19" spans="1:18" ht="16.5" customHeight="1">
      <c r="A19" s="304"/>
      <c r="B19" s="305"/>
      <c r="C19" s="306"/>
      <c r="D19" s="307"/>
      <c r="E19" s="306"/>
      <c r="F19" s="307"/>
      <c r="G19" s="308"/>
      <c r="H19" s="305"/>
      <c r="I19" s="306"/>
      <c r="J19" s="307"/>
      <c r="K19" s="308"/>
      <c r="L19" s="305"/>
      <c r="M19" s="306"/>
      <c r="N19" s="307"/>
      <c r="O19" s="308"/>
      <c r="P19" s="305"/>
      <c r="Q19" s="306"/>
      <c r="R19" s="307"/>
    </row>
    <row r="20" spans="1:18" ht="16.5" customHeight="1">
      <c r="A20" s="224"/>
      <c r="B20" s="220"/>
      <c r="C20" s="221"/>
      <c r="D20" s="222"/>
      <c r="E20" s="221"/>
      <c r="F20" s="222"/>
      <c r="G20" s="223"/>
      <c r="H20" s="220"/>
      <c r="I20" s="221"/>
      <c r="J20" s="222"/>
      <c r="K20" s="223"/>
      <c r="L20" s="220"/>
      <c r="M20" s="221"/>
      <c r="N20" s="222"/>
      <c r="O20" s="223"/>
      <c r="P20" s="220"/>
      <c r="Q20" s="221"/>
      <c r="R20" s="222"/>
    </row>
    <row r="21" spans="1:18" ht="16.5" customHeight="1">
      <c r="A21" s="304"/>
      <c r="B21" s="305"/>
      <c r="C21" s="306"/>
      <c r="D21" s="307"/>
      <c r="E21" s="306"/>
      <c r="F21" s="307"/>
      <c r="G21" s="308"/>
      <c r="H21" s="305"/>
      <c r="I21" s="306"/>
      <c r="J21" s="307"/>
      <c r="K21" s="308"/>
      <c r="L21" s="305"/>
      <c r="M21" s="306"/>
      <c r="N21" s="307"/>
      <c r="O21" s="308"/>
      <c r="P21" s="305"/>
      <c r="Q21" s="306"/>
      <c r="R21" s="307"/>
    </row>
    <row r="22" spans="1:18" ht="16.5" customHeight="1">
      <c r="A22" s="224"/>
      <c r="B22" s="220"/>
      <c r="C22" s="221"/>
      <c r="D22" s="222"/>
      <c r="E22" s="221"/>
      <c r="F22" s="222"/>
      <c r="G22" s="223"/>
      <c r="H22" s="220"/>
      <c r="I22" s="221"/>
      <c r="J22" s="222"/>
      <c r="K22" s="223"/>
      <c r="L22" s="220"/>
      <c r="M22" s="221"/>
      <c r="N22" s="222"/>
      <c r="O22" s="223"/>
      <c r="P22" s="220"/>
      <c r="Q22" s="221"/>
      <c r="R22" s="222"/>
    </row>
    <row r="23" spans="1:18" ht="16.5" customHeight="1">
      <c r="A23" s="304"/>
      <c r="B23" s="305"/>
      <c r="C23" s="306"/>
      <c r="D23" s="307"/>
      <c r="E23" s="306"/>
      <c r="F23" s="307"/>
      <c r="G23" s="308"/>
      <c r="H23" s="305"/>
      <c r="I23" s="306"/>
      <c r="J23" s="307"/>
      <c r="K23" s="308"/>
      <c r="L23" s="305"/>
      <c r="M23" s="306"/>
      <c r="N23" s="307"/>
      <c r="O23" s="308"/>
      <c r="P23" s="305"/>
      <c r="Q23" s="306"/>
      <c r="R23" s="307"/>
    </row>
    <row r="24" spans="1:18" ht="16.5" customHeight="1">
      <c r="A24" s="224"/>
      <c r="B24" s="220"/>
      <c r="C24" s="221"/>
      <c r="D24" s="222"/>
      <c r="E24" s="221"/>
      <c r="F24" s="222"/>
      <c r="G24" s="223"/>
      <c r="H24" s="220"/>
      <c r="I24" s="221"/>
      <c r="J24" s="222"/>
      <c r="K24" s="223"/>
      <c r="L24" s="220"/>
      <c r="M24" s="221"/>
      <c r="N24" s="222"/>
      <c r="O24" s="223"/>
      <c r="P24" s="220"/>
      <c r="Q24" s="221"/>
      <c r="R24" s="222"/>
    </row>
    <row r="25" spans="1:18" ht="16.5" customHeight="1">
      <c r="A25" s="304"/>
      <c r="B25" s="305"/>
      <c r="C25" s="306"/>
      <c r="D25" s="307"/>
      <c r="E25" s="306"/>
      <c r="F25" s="307"/>
      <c r="G25" s="308"/>
      <c r="H25" s="305"/>
      <c r="I25" s="306"/>
      <c r="J25" s="307"/>
      <c r="K25" s="308"/>
      <c r="L25" s="305"/>
      <c r="M25" s="306"/>
      <c r="N25" s="307"/>
      <c r="O25" s="308"/>
      <c r="P25" s="305"/>
      <c r="Q25" s="306"/>
      <c r="R25" s="307"/>
    </row>
    <row r="26" spans="1:18" ht="16.5" customHeight="1">
      <c r="A26" s="224"/>
      <c r="B26" s="220"/>
      <c r="C26" s="221"/>
      <c r="D26" s="222"/>
      <c r="E26" s="221"/>
      <c r="F26" s="222"/>
      <c r="G26" s="223"/>
      <c r="H26" s="220"/>
      <c r="I26" s="221"/>
      <c r="J26" s="222"/>
      <c r="K26" s="223"/>
      <c r="L26" s="220"/>
      <c r="M26" s="221"/>
      <c r="N26" s="222"/>
      <c r="O26" s="223"/>
      <c r="P26" s="220"/>
      <c r="Q26" s="221"/>
      <c r="R26" s="222"/>
    </row>
    <row r="27" spans="1:18" ht="16.5" customHeight="1">
      <c r="A27" s="304"/>
      <c r="B27" s="305"/>
      <c r="C27" s="306"/>
      <c r="D27" s="307"/>
      <c r="E27" s="306"/>
      <c r="F27" s="307"/>
      <c r="G27" s="308"/>
      <c r="H27" s="305"/>
      <c r="I27" s="306"/>
      <c r="J27" s="307"/>
      <c r="K27" s="308"/>
      <c r="L27" s="305"/>
      <c r="M27" s="306"/>
      <c r="N27" s="307"/>
      <c r="O27" s="308"/>
      <c r="P27" s="305"/>
      <c r="Q27" s="306"/>
      <c r="R27" s="307"/>
    </row>
    <row r="28" spans="1:18" ht="16.5" customHeight="1">
      <c r="A28" s="224"/>
      <c r="B28" s="220"/>
      <c r="C28" s="221"/>
      <c r="D28" s="222"/>
      <c r="E28" s="221"/>
      <c r="F28" s="222"/>
      <c r="G28" s="223"/>
      <c r="H28" s="220"/>
      <c r="I28" s="221"/>
      <c r="J28" s="222"/>
      <c r="K28" s="223"/>
      <c r="L28" s="220"/>
      <c r="M28" s="221"/>
      <c r="N28" s="222"/>
      <c r="O28" s="223"/>
      <c r="P28" s="220"/>
      <c r="Q28" s="221"/>
      <c r="R28" s="222"/>
    </row>
    <row r="29" spans="1:18" ht="16.5" customHeight="1">
      <c r="A29" s="304"/>
      <c r="B29" s="305"/>
      <c r="C29" s="306"/>
      <c r="D29" s="307"/>
      <c r="E29" s="306"/>
      <c r="F29" s="307"/>
      <c r="G29" s="308"/>
      <c r="H29" s="305"/>
      <c r="I29" s="306"/>
      <c r="J29" s="307"/>
      <c r="K29" s="308"/>
      <c r="L29" s="305"/>
      <c r="M29" s="306"/>
      <c r="N29" s="307"/>
      <c r="O29" s="308"/>
      <c r="P29" s="305"/>
      <c r="Q29" s="306"/>
      <c r="R29" s="307"/>
    </row>
    <row r="30" spans="1:18" ht="16.5" customHeight="1">
      <c r="A30" s="224"/>
      <c r="B30" s="220"/>
      <c r="C30" s="221"/>
      <c r="D30" s="222"/>
      <c r="E30" s="221"/>
      <c r="F30" s="222"/>
      <c r="G30" s="223"/>
      <c r="H30" s="220"/>
      <c r="I30" s="221"/>
      <c r="J30" s="222"/>
      <c r="K30" s="223"/>
      <c r="L30" s="220"/>
      <c r="M30" s="221"/>
      <c r="N30" s="222"/>
      <c r="O30" s="223"/>
      <c r="P30" s="220"/>
      <c r="Q30" s="221"/>
      <c r="R30" s="222"/>
    </row>
    <row r="31" spans="1:18" ht="16.5" customHeight="1">
      <c r="A31" s="304"/>
      <c r="B31" s="305"/>
      <c r="C31" s="306"/>
      <c r="D31" s="307"/>
      <c r="E31" s="306"/>
      <c r="F31" s="307"/>
      <c r="G31" s="308"/>
      <c r="H31" s="305"/>
      <c r="I31" s="306"/>
      <c r="J31" s="307"/>
      <c r="K31" s="308"/>
      <c r="L31" s="305"/>
      <c r="M31" s="306"/>
      <c r="N31" s="307"/>
      <c r="O31" s="308"/>
      <c r="P31" s="305"/>
      <c r="Q31" s="306"/>
      <c r="R31" s="307"/>
    </row>
    <row r="32" spans="1:18" ht="16.5" customHeight="1">
      <c r="A32" s="224"/>
      <c r="B32" s="220"/>
      <c r="C32" s="221"/>
      <c r="D32" s="222"/>
      <c r="E32" s="221"/>
      <c r="F32" s="222"/>
      <c r="G32" s="223"/>
      <c r="H32" s="220"/>
      <c r="I32" s="221"/>
      <c r="J32" s="222"/>
      <c r="K32" s="223"/>
      <c r="L32" s="220"/>
      <c r="M32" s="221"/>
      <c r="N32" s="222"/>
      <c r="O32" s="223"/>
      <c r="P32" s="220"/>
      <c r="Q32" s="221"/>
      <c r="R32" s="222"/>
    </row>
    <row r="33" spans="1:18" ht="16.5" customHeight="1">
      <c r="A33" s="304"/>
      <c r="B33" s="305"/>
      <c r="C33" s="306"/>
      <c r="D33" s="307"/>
      <c r="E33" s="306"/>
      <c r="F33" s="307"/>
      <c r="G33" s="308"/>
      <c r="H33" s="305"/>
      <c r="I33" s="306"/>
      <c r="J33" s="307"/>
      <c r="K33" s="308"/>
      <c r="L33" s="305"/>
      <c r="M33" s="306"/>
      <c r="N33" s="307"/>
      <c r="O33" s="308"/>
      <c r="P33" s="305"/>
      <c r="Q33" s="306"/>
      <c r="R33" s="307"/>
    </row>
    <row r="34" spans="1:18" ht="21" customHeight="1" thickBot="1">
      <c r="A34" s="4102" t="s">
        <v>330</v>
      </c>
      <c r="B34" s="4103"/>
      <c r="C34" s="226"/>
      <c r="D34" s="227"/>
      <c r="E34" s="226"/>
      <c r="F34" s="227"/>
      <c r="G34" s="228"/>
      <c r="H34" s="229"/>
      <c r="I34" s="226"/>
      <c r="J34" s="227"/>
      <c r="K34" s="228"/>
      <c r="L34" s="229"/>
      <c r="M34" s="226"/>
      <c r="N34" s="227"/>
      <c r="O34" s="228"/>
      <c r="P34" s="229"/>
      <c r="Q34" s="226"/>
      <c r="R34" s="227"/>
    </row>
    <row r="35" spans="1:18">
      <c r="A35" s="230"/>
    </row>
    <row r="36" spans="1:18" ht="16.5">
      <c r="A36" s="231"/>
    </row>
  </sheetData>
  <mergeCells count="15">
    <mergeCell ref="M4:N4"/>
    <mergeCell ref="O4:P4"/>
    <mergeCell ref="Q4:R4"/>
    <mergeCell ref="A34:B34"/>
    <mergeCell ref="A1:R1"/>
    <mergeCell ref="A2:R2"/>
    <mergeCell ref="A3:R3"/>
    <mergeCell ref="A4:A5"/>
    <mergeCell ref="B4:B5"/>
    <mergeCell ref="C4:D4"/>
    <mergeCell ref="E4:F4"/>
    <mergeCell ref="G4:H4"/>
    <mergeCell ref="I4:J4"/>
    <mergeCell ref="K4:L4"/>
    <mergeCell ref="A6:R6"/>
  </mergeCells>
  <printOptions horizontalCentered="1" verticalCentered="1"/>
  <pageMargins left="0.5" right="0.5" top="0.5" bottom="0.5" header="0.35" footer="0.35"/>
  <pageSetup scale="79" orientation="landscape" useFirstPageNumber="1" r:id="rId1"/>
  <headerFooter alignWithMargins="0">
    <oddHeader>&amp;L&amp;"Times New Roman,Regular"&amp;8XTO Energy Inc.&amp;C&amp;"Times New Roman,Regular"&amp;8Husky CDP&amp;R&amp;"Times New Roman,Regular"&amp;8June 2019: Revision 0</oddHeader>
    <oddFooter>&amp;L&amp;"Arial,Bold"&amp;8Form Revision: 5/29/2019&amp;C&amp;8Table 2-G:  Page &amp;P&amp;R&amp;8Printed &amp;D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R30"/>
  <sheetViews>
    <sheetView view="pageLayout" topLeftCell="A4" zoomScale="55" zoomScaleNormal="85" zoomScaleSheetLayoutView="55" zoomScalePageLayoutView="55" workbookViewId="0">
      <selection activeCell="A17" sqref="A17"/>
    </sheetView>
  </sheetViews>
  <sheetFormatPr defaultColWidth="8.6328125" defaultRowHeight="13"/>
  <cols>
    <col min="1" max="1" width="10.453125" style="78" customWidth="1"/>
    <col min="2" max="2" width="23.36328125" style="78" customWidth="1"/>
    <col min="3" max="3" width="14" style="78" bestFit="1" customWidth="1"/>
    <col min="4" max="13" width="12.453125" style="78" customWidth="1"/>
    <col min="14" max="16384" width="8.6328125" style="78"/>
  </cols>
  <sheetData>
    <row r="1" spans="1:18" ht="18" customHeight="1">
      <c r="A1" s="4046" t="s">
        <v>161</v>
      </c>
      <c r="B1" s="4046"/>
      <c r="C1" s="4046"/>
      <c r="D1" s="4046"/>
      <c r="E1" s="4046"/>
      <c r="F1" s="4046"/>
      <c r="G1" s="4046"/>
      <c r="H1" s="4046"/>
      <c r="I1" s="4046"/>
      <c r="J1" s="4046"/>
      <c r="K1" s="4046"/>
      <c r="L1" s="619"/>
      <c r="M1" s="619"/>
      <c r="N1" s="619"/>
      <c r="O1" s="619"/>
      <c r="P1" s="619"/>
      <c r="Q1" s="619"/>
      <c r="R1" s="619"/>
    </row>
    <row r="2" spans="1:18" ht="41.15" customHeight="1" thickBot="1">
      <c r="A2" s="4107" t="s">
        <v>1494</v>
      </c>
      <c r="B2" s="4094"/>
      <c r="C2" s="4094"/>
      <c r="D2" s="4094"/>
      <c r="E2" s="4094"/>
      <c r="F2" s="4094"/>
      <c r="G2" s="4094"/>
      <c r="H2" s="4094"/>
      <c r="I2" s="4094"/>
      <c r="J2" s="4094"/>
      <c r="K2" s="4094"/>
      <c r="L2" s="619"/>
      <c r="M2" s="619"/>
      <c r="N2" s="611" t="s">
        <v>1260</v>
      </c>
      <c r="O2" s="619"/>
      <c r="Q2" s="1277"/>
      <c r="R2" s="619"/>
    </row>
    <row r="3" spans="1:18" ht="30" customHeight="1">
      <c r="A3" s="4125" t="s">
        <v>163</v>
      </c>
      <c r="B3" s="4127" t="s">
        <v>164</v>
      </c>
      <c r="C3" s="4127" t="s">
        <v>165</v>
      </c>
      <c r="D3" s="205" t="s">
        <v>166</v>
      </c>
      <c r="E3" s="205" t="s">
        <v>167</v>
      </c>
      <c r="F3" s="205" t="s">
        <v>168</v>
      </c>
      <c r="G3" s="4128" t="s">
        <v>169</v>
      </c>
      <c r="H3" s="4128"/>
      <c r="I3" s="205" t="s">
        <v>170</v>
      </c>
      <c r="J3" s="205" t="s">
        <v>171</v>
      </c>
      <c r="K3" s="4129" t="s">
        <v>172</v>
      </c>
      <c r="L3" s="619"/>
      <c r="M3" s="619"/>
      <c r="N3" s="619"/>
      <c r="O3" s="619"/>
      <c r="P3" s="619"/>
      <c r="Q3" s="619"/>
      <c r="R3" s="619"/>
    </row>
    <row r="4" spans="1:18" ht="30" customHeight="1" thickBot="1">
      <c r="A4" s="4126"/>
      <c r="B4" s="3850"/>
      <c r="C4" s="3850"/>
      <c r="D4" s="110" t="s">
        <v>173</v>
      </c>
      <c r="E4" s="110" t="s">
        <v>174</v>
      </c>
      <c r="F4" s="110" t="s">
        <v>175</v>
      </c>
      <c r="G4" s="111" t="s">
        <v>176</v>
      </c>
      <c r="H4" s="111" t="s">
        <v>177</v>
      </c>
      <c r="I4" s="110" t="s">
        <v>178</v>
      </c>
      <c r="J4" s="110" t="s">
        <v>179</v>
      </c>
      <c r="K4" s="4130"/>
      <c r="L4" s="621"/>
      <c r="M4" s="621"/>
      <c r="N4" s="621"/>
      <c r="O4" s="621"/>
      <c r="P4" s="621"/>
      <c r="Q4" s="621"/>
      <c r="R4" s="621"/>
    </row>
    <row r="5" spans="1:18" ht="21" customHeight="1">
      <c r="A5" s="1459" t="str">
        <f>'2-E-Co'!A5</f>
        <v>SHTR1</v>
      </c>
      <c r="B5" s="612" t="str">
        <f>A5</f>
        <v>SHTR1</v>
      </c>
      <c r="C5" s="614" t="s">
        <v>180</v>
      </c>
      <c r="D5" s="614" t="s">
        <v>43</v>
      </c>
      <c r="E5" s="615"/>
      <c r="F5" s="615"/>
      <c r="G5" s="615"/>
      <c r="H5" s="615" t="s">
        <v>604</v>
      </c>
      <c r="I5" s="615">
        <f>'2-H'!I5</f>
        <v>0</v>
      </c>
      <c r="J5" s="615"/>
      <c r="K5" s="617"/>
      <c r="L5" s="4117" t="s">
        <v>1261</v>
      </c>
      <c r="M5" s="622"/>
      <c r="N5" s="611" t="s">
        <v>662</v>
      </c>
      <c r="O5" s="622"/>
      <c r="P5" s="622"/>
      <c r="Q5" s="621"/>
      <c r="R5" s="621"/>
    </row>
    <row r="6" spans="1:18" ht="21" customHeight="1" thickBot="1">
      <c r="A6" s="1459" t="str">
        <f>'2-E-Co'!A6</f>
        <v>SHTR2</v>
      </c>
      <c r="B6" s="612" t="str">
        <f t="shared" ref="B6:B20" si="0">A6</f>
        <v>SHTR2</v>
      </c>
      <c r="C6" s="614" t="s">
        <v>180</v>
      </c>
      <c r="D6" s="614" t="s">
        <v>43</v>
      </c>
      <c r="E6" s="615"/>
      <c r="F6" s="615"/>
      <c r="G6" s="615"/>
      <c r="H6" s="615" t="s">
        <v>604</v>
      </c>
      <c r="I6" s="615">
        <f>'2-H'!I6</f>
        <v>0</v>
      </c>
      <c r="J6" s="615"/>
      <c r="K6" s="617"/>
      <c r="L6" s="4118"/>
      <c r="M6" s="622"/>
      <c r="O6" s="622"/>
      <c r="P6" s="622"/>
      <c r="Q6" s="621"/>
      <c r="R6" s="621"/>
    </row>
    <row r="7" spans="1:18" ht="21" customHeight="1">
      <c r="A7" s="1459" t="str">
        <f>'2-E-Co'!A7</f>
        <v>RHTR1</v>
      </c>
      <c r="B7" s="612" t="str">
        <f t="shared" si="0"/>
        <v>RHTR1</v>
      </c>
      <c r="C7" s="614" t="s">
        <v>180</v>
      </c>
      <c r="D7" s="614" t="s">
        <v>43</v>
      </c>
      <c r="E7" s="615"/>
      <c r="F7" s="615"/>
      <c r="G7" s="615"/>
      <c r="H7" s="615" t="s">
        <v>604</v>
      </c>
      <c r="I7" s="615">
        <f>'2-H'!I23</f>
        <v>0</v>
      </c>
      <c r="J7" s="615"/>
      <c r="K7" s="617"/>
      <c r="L7" s="4119" t="s">
        <v>662</v>
      </c>
      <c r="M7" s="619"/>
      <c r="N7" s="619"/>
      <c r="O7" s="619"/>
      <c r="P7" s="619"/>
      <c r="Q7" s="619"/>
      <c r="R7" s="619"/>
    </row>
    <row r="8" spans="1:18" ht="21" customHeight="1">
      <c r="A8" s="1459" t="str">
        <f>'2-E-Co'!A8</f>
        <v>RHTR2</v>
      </c>
      <c r="B8" s="612" t="str">
        <f t="shared" si="0"/>
        <v>RHTR2</v>
      </c>
      <c r="C8" s="614" t="s">
        <v>180</v>
      </c>
      <c r="D8" s="614" t="s">
        <v>43</v>
      </c>
      <c r="E8" s="615"/>
      <c r="F8" s="615"/>
      <c r="G8" s="615"/>
      <c r="H8" s="615" t="s">
        <v>604</v>
      </c>
      <c r="I8" s="615">
        <f>'2-H'!I24</f>
        <v>0</v>
      </c>
      <c r="J8" s="615"/>
      <c r="K8" s="617"/>
      <c r="L8" s="4119"/>
      <c r="M8" s="619"/>
      <c r="N8" s="619"/>
      <c r="O8" s="619"/>
      <c r="P8" s="619"/>
      <c r="Q8" s="619"/>
      <c r="R8" s="619"/>
    </row>
    <row r="9" spans="1:18" ht="21" customHeight="1" thickBot="1">
      <c r="A9" s="1459" t="str">
        <f>'2-E-Co'!A9</f>
        <v>RHTR3</v>
      </c>
      <c r="B9" s="612" t="str">
        <f t="shared" si="0"/>
        <v>RHTR3</v>
      </c>
      <c r="C9" s="614" t="s">
        <v>180</v>
      </c>
      <c r="D9" s="614" t="s">
        <v>43</v>
      </c>
      <c r="E9" s="615"/>
      <c r="F9" s="615"/>
      <c r="G9" s="615"/>
      <c r="H9" s="615" t="s">
        <v>604</v>
      </c>
      <c r="I9" s="615">
        <f>'2-H'!I25</f>
        <v>0</v>
      </c>
      <c r="J9" s="615"/>
      <c r="K9" s="617"/>
      <c r="L9" s="4120"/>
      <c r="M9" s="619"/>
      <c r="N9" s="619"/>
      <c r="O9" s="619"/>
      <c r="P9" s="619"/>
      <c r="Q9" s="619"/>
      <c r="R9" s="619"/>
    </row>
    <row r="10" spans="1:18" ht="21" customHeight="1">
      <c r="A10" s="1459" t="str">
        <f>'2-E-Co'!A10</f>
        <v>FL1-FL3 - 
Pilot/Purge</v>
      </c>
      <c r="B10" s="612" t="str">
        <f t="shared" si="0"/>
        <v>FL1-FL3 - 
Pilot/Purge</v>
      </c>
      <c r="C10" s="614" t="s">
        <v>180</v>
      </c>
      <c r="D10" s="614" t="s">
        <v>43</v>
      </c>
      <c r="E10" s="616"/>
      <c r="F10" s="616"/>
      <c r="G10" s="616"/>
      <c r="H10" s="615" t="s">
        <v>604</v>
      </c>
      <c r="I10" s="615">
        <f>'2-H'!I10</f>
        <v>0</v>
      </c>
      <c r="J10" s="615"/>
      <c r="K10" s="613"/>
      <c r="L10" s="4124" t="s">
        <v>663</v>
      </c>
      <c r="M10" s="619"/>
      <c r="N10" s="619"/>
      <c r="O10" s="619"/>
      <c r="P10" s="619"/>
      <c r="Q10" s="619"/>
      <c r="R10" s="619"/>
    </row>
    <row r="11" spans="1:18" ht="21" customHeight="1">
      <c r="A11" s="1459">
        <f>'2-E-Co'!A11</f>
        <v>0</v>
      </c>
      <c r="B11" s="612">
        <f t="shared" si="0"/>
        <v>0</v>
      </c>
      <c r="C11" s="614" t="s">
        <v>180</v>
      </c>
      <c r="D11" s="614" t="s">
        <v>43</v>
      </c>
      <c r="E11" s="616"/>
      <c r="F11" s="616"/>
      <c r="G11" s="616"/>
      <c r="H11" s="615" t="s">
        <v>604</v>
      </c>
      <c r="I11" s="615">
        <f>'2-H'!I11</f>
        <v>0</v>
      </c>
      <c r="J11" s="615"/>
      <c r="K11" s="613"/>
      <c r="L11" s="4119"/>
      <c r="M11" s="619"/>
      <c r="N11" s="619"/>
      <c r="O11" s="619"/>
      <c r="P11" s="619"/>
      <c r="Q11" s="619"/>
      <c r="R11" s="619"/>
    </row>
    <row r="12" spans="1:18" ht="21" customHeight="1" thickBot="1">
      <c r="A12" s="1459">
        <f>'2-E-Co'!A12</f>
        <v>0</v>
      </c>
      <c r="B12" s="612">
        <f t="shared" si="0"/>
        <v>0</v>
      </c>
      <c r="C12" s="614" t="s">
        <v>180</v>
      </c>
      <c r="D12" s="614" t="s">
        <v>43</v>
      </c>
      <c r="E12" s="616"/>
      <c r="F12" s="616"/>
      <c r="G12" s="616"/>
      <c r="H12" s="615" t="s">
        <v>604</v>
      </c>
      <c r="I12" s="615">
        <f>'2-H'!I12</f>
        <v>0</v>
      </c>
      <c r="J12" s="615"/>
      <c r="K12" s="613"/>
      <c r="L12" s="4120"/>
      <c r="M12" s="619"/>
      <c r="N12" s="619"/>
      <c r="O12" s="619"/>
      <c r="P12" s="619"/>
      <c r="Q12" s="619"/>
      <c r="R12" s="619"/>
    </row>
    <row r="13" spans="1:18" ht="21" customHeight="1" thickBot="1">
      <c r="A13" s="1459" t="str">
        <f>'2-E-Co'!A29</f>
        <v>ECD1</v>
      </c>
      <c r="B13" s="612" t="str">
        <f t="shared" si="0"/>
        <v>ECD1</v>
      </c>
      <c r="C13" s="614" t="s">
        <v>180</v>
      </c>
      <c r="D13" s="614" t="s">
        <v>43</v>
      </c>
      <c r="E13" s="616"/>
      <c r="F13" s="616"/>
      <c r="G13" s="616"/>
      <c r="H13" s="615" t="s">
        <v>604</v>
      </c>
      <c r="I13" s="615">
        <f>'2-H'!I12</f>
        <v>0</v>
      </c>
      <c r="J13" s="615"/>
      <c r="K13" s="613"/>
      <c r="L13" s="623" t="s">
        <v>618</v>
      </c>
      <c r="M13" s="619"/>
      <c r="N13" s="619"/>
      <c r="O13" s="619"/>
      <c r="P13" s="619"/>
      <c r="Q13" s="619"/>
      <c r="R13" s="619"/>
    </row>
    <row r="14" spans="1:18" ht="21" customHeight="1">
      <c r="A14" s="1459" t="str">
        <f>'2-E-Co'!A30</f>
        <v>TO1</v>
      </c>
      <c r="B14" s="612" t="str">
        <f t="shared" si="0"/>
        <v>TO1</v>
      </c>
      <c r="C14" s="614" t="s">
        <v>180</v>
      </c>
      <c r="D14" s="614" t="s">
        <v>43</v>
      </c>
      <c r="E14" s="616"/>
      <c r="F14" s="616"/>
      <c r="G14" s="616"/>
      <c r="H14" s="615" t="s">
        <v>604</v>
      </c>
      <c r="I14" s="615">
        <f>'2-H'!I13</f>
        <v>0</v>
      </c>
      <c r="J14" s="615"/>
      <c r="K14" s="613"/>
      <c r="L14" s="4121" t="s">
        <v>664</v>
      </c>
      <c r="M14" s="619"/>
      <c r="N14" s="619"/>
      <c r="O14" s="619"/>
      <c r="P14" s="619"/>
      <c r="Q14" s="619"/>
      <c r="R14" s="619"/>
    </row>
    <row r="15" spans="1:18" ht="21" customHeight="1">
      <c r="A15" s="1459" t="str">
        <f>'2-E-Co'!A31</f>
        <v>TO2</v>
      </c>
      <c r="B15" s="612" t="str">
        <f t="shared" si="0"/>
        <v>TO2</v>
      </c>
      <c r="C15" s="614" t="s">
        <v>180</v>
      </c>
      <c r="D15" s="614" t="s">
        <v>43</v>
      </c>
      <c r="E15" s="616"/>
      <c r="F15" s="616"/>
      <c r="G15" s="616"/>
      <c r="H15" s="615" t="s">
        <v>604</v>
      </c>
      <c r="I15" s="615">
        <f>'2-H'!I14</f>
        <v>0</v>
      </c>
      <c r="J15" s="615"/>
      <c r="K15" s="613"/>
      <c r="L15" s="4122"/>
      <c r="M15" s="619"/>
      <c r="N15" s="619"/>
      <c r="O15" s="619"/>
      <c r="P15" s="619"/>
      <c r="Q15" s="619"/>
      <c r="R15" s="619"/>
    </row>
    <row r="16" spans="1:18" ht="21" customHeight="1" thickBot="1">
      <c r="A16" s="1459" t="str">
        <f>'2-E-Co'!A32</f>
        <v>TO3</v>
      </c>
      <c r="B16" s="612" t="str">
        <f t="shared" si="0"/>
        <v>TO3</v>
      </c>
      <c r="C16" s="614" t="s">
        <v>180</v>
      </c>
      <c r="D16" s="614" t="s">
        <v>43</v>
      </c>
      <c r="E16" s="616"/>
      <c r="F16" s="616"/>
      <c r="G16" s="616"/>
      <c r="H16" s="615" t="s">
        <v>604</v>
      </c>
      <c r="I16" s="615">
        <f>'2-H'!I15</f>
        <v>0</v>
      </c>
      <c r="J16" s="615"/>
      <c r="K16" s="613"/>
      <c r="L16" s="4123"/>
      <c r="M16" s="621"/>
      <c r="N16" s="621"/>
      <c r="O16" s="621"/>
      <c r="P16" s="621"/>
      <c r="Q16" s="621"/>
      <c r="R16" s="621"/>
    </row>
    <row r="17" spans="1:18" ht="21" customHeight="1">
      <c r="A17" s="1465" t="str">
        <f>'2-E-Co'!A45</f>
        <v>TUR1</v>
      </c>
      <c r="B17" s="612" t="str">
        <f t="shared" si="0"/>
        <v>TUR1</v>
      </c>
      <c r="C17" s="614" t="s">
        <v>180</v>
      </c>
      <c r="D17" s="614" t="s">
        <v>43</v>
      </c>
      <c r="E17" s="616"/>
      <c r="F17" s="614"/>
      <c r="G17" s="616"/>
      <c r="H17" s="615" t="s">
        <v>604</v>
      </c>
      <c r="I17" s="615">
        <f>'2-H'!I16</f>
        <v>0</v>
      </c>
      <c r="J17" s="618"/>
      <c r="K17" s="613"/>
      <c r="L17" s="1458" t="s">
        <v>1262</v>
      </c>
      <c r="M17" s="621"/>
      <c r="N17" s="621"/>
      <c r="O17" s="621"/>
      <c r="P17" s="621"/>
      <c r="Q17" s="621"/>
      <c r="R17" s="621"/>
    </row>
    <row r="18" spans="1:18" ht="21" customHeight="1">
      <c r="A18" s="1465" t="str">
        <f>'2-E-Co'!A46</f>
        <v>TUR2</v>
      </c>
      <c r="B18" s="612" t="str">
        <f t="shared" si="0"/>
        <v>TUR2</v>
      </c>
      <c r="C18" s="614" t="s">
        <v>180</v>
      </c>
      <c r="D18" s="614" t="s">
        <v>43</v>
      </c>
      <c r="E18" s="616"/>
      <c r="F18" s="614"/>
      <c r="G18" s="616"/>
      <c r="H18" s="615" t="s">
        <v>604</v>
      </c>
      <c r="I18" s="615">
        <f>'2-H'!I17</f>
        <v>0</v>
      </c>
      <c r="J18" s="618"/>
      <c r="K18" s="613"/>
      <c r="L18" s="1278"/>
      <c r="M18" s="621"/>
      <c r="N18" s="621"/>
      <c r="O18" s="621"/>
      <c r="P18" s="621"/>
      <c r="Q18" s="621"/>
      <c r="R18" s="621"/>
    </row>
    <row r="19" spans="1:18" ht="21" customHeight="1">
      <c r="A19" s="1465" t="str">
        <f>'2-E-Co'!A47</f>
        <v>TUR3</v>
      </c>
      <c r="B19" s="612" t="str">
        <f t="shared" si="0"/>
        <v>TUR3</v>
      </c>
      <c r="C19" s="614" t="s">
        <v>180</v>
      </c>
      <c r="D19" s="614" t="s">
        <v>43</v>
      </c>
      <c r="E19" s="616"/>
      <c r="F19" s="614"/>
      <c r="G19" s="616"/>
      <c r="H19" s="615" t="s">
        <v>604</v>
      </c>
      <c r="I19" s="615">
        <f>'2-H'!I18</f>
        <v>0</v>
      </c>
      <c r="J19" s="618"/>
      <c r="K19" s="613"/>
      <c r="L19" s="1278"/>
      <c r="M19" s="619"/>
      <c r="N19" s="619"/>
      <c r="O19" s="619"/>
      <c r="P19" s="619"/>
      <c r="Q19" s="619"/>
      <c r="R19" s="619"/>
    </row>
    <row r="20" spans="1:18" ht="21" customHeight="1" thickBot="1">
      <c r="A20" s="1465" t="str">
        <f>'2-E-Co'!A48</f>
        <v>TUR4</v>
      </c>
      <c r="B20" s="612" t="str">
        <f t="shared" si="0"/>
        <v>TUR4</v>
      </c>
      <c r="C20" s="614" t="s">
        <v>180</v>
      </c>
      <c r="D20" s="614" t="s">
        <v>43</v>
      </c>
      <c r="E20" s="616"/>
      <c r="F20" s="614"/>
      <c r="G20" s="616"/>
      <c r="H20" s="615" t="s">
        <v>604</v>
      </c>
      <c r="I20" s="615">
        <f>'2-H'!I19</f>
        <v>0</v>
      </c>
      <c r="J20" s="618"/>
      <c r="K20" s="613"/>
      <c r="L20" s="1279"/>
      <c r="M20" s="619"/>
      <c r="N20" s="619"/>
      <c r="O20" s="619"/>
      <c r="P20" s="619"/>
      <c r="Q20" s="619"/>
      <c r="R20" s="619"/>
    </row>
    <row r="21" spans="1:18" ht="21" customHeight="1">
      <c r="M21" s="621"/>
      <c r="N21" s="621"/>
      <c r="O21" s="621"/>
      <c r="P21" s="621"/>
      <c r="Q21" s="621"/>
      <c r="R21" s="621"/>
    </row>
    <row r="22" spans="1:18" ht="21" customHeight="1">
      <c r="L22" s="619"/>
      <c r="M22" s="619"/>
      <c r="N22" s="619"/>
      <c r="O22" s="619"/>
      <c r="P22" s="619"/>
      <c r="Q22" s="619"/>
      <c r="R22" s="619"/>
    </row>
    <row r="23" spans="1:18" ht="21.75" customHeight="1">
      <c r="K23" s="1468"/>
      <c r="L23" s="619"/>
      <c r="M23" s="619"/>
      <c r="N23" s="619"/>
      <c r="O23" s="619"/>
      <c r="P23" s="619"/>
      <c r="Q23" s="619"/>
      <c r="R23" s="619"/>
    </row>
    <row r="24" spans="1:18" ht="21.75" customHeight="1">
      <c r="L24" s="619"/>
      <c r="M24" s="619"/>
      <c r="N24" s="619"/>
      <c r="O24" s="619"/>
      <c r="P24" s="619"/>
      <c r="Q24" s="619"/>
      <c r="R24" s="619"/>
    </row>
    <row r="25" spans="1:18" ht="21.75" customHeight="1">
      <c r="L25" s="619"/>
      <c r="M25" s="619"/>
      <c r="N25" s="619"/>
      <c r="O25" s="619"/>
      <c r="P25" s="619"/>
      <c r="Q25" s="619"/>
      <c r="R25" s="619"/>
    </row>
    <row r="26" spans="1:18" ht="21.75" customHeight="1">
      <c r="L26" s="619"/>
      <c r="M26" s="619"/>
      <c r="N26" s="619"/>
      <c r="O26" s="619"/>
      <c r="P26" s="619"/>
      <c r="Q26" s="619"/>
      <c r="R26" s="619"/>
    </row>
    <row r="27" spans="1:18" ht="21.75" customHeight="1">
      <c r="L27" s="619"/>
      <c r="M27" s="619"/>
      <c r="N27" s="619"/>
      <c r="O27" s="619"/>
      <c r="P27" s="619"/>
      <c r="Q27" s="619"/>
      <c r="R27" s="619"/>
    </row>
    <row r="28" spans="1:18" ht="21.75" customHeight="1">
      <c r="L28" s="619"/>
      <c r="M28" s="619"/>
      <c r="N28" s="619"/>
      <c r="O28" s="619"/>
      <c r="P28" s="619"/>
      <c r="Q28" s="619"/>
      <c r="R28" s="619"/>
    </row>
    <row r="29" spans="1:18" ht="21.75" customHeight="1"/>
    <row r="30" spans="1:18" ht="21.75" customHeight="1"/>
  </sheetData>
  <mergeCells count="11">
    <mergeCell ref="L5:L6"/>
    <mergeCell ref="L7:L9"/>
    <mergeCell ref="L14:L16"/>
    <mergeCell ref="L10:L12"/>
    <mergeCell ref="A1:K1"/>
    <mergeCell ref="A2:K2"/>
    <mergeCell ref="A3:A4"/>
    <mergeCell ref="B3:B4"/>
    <mergeCell ref="C3:C4"/>
    <mergeCell ref="G3:H3"/>
    <mergeCell ref="K3:K4"/>
  </mergeCells>
  <printOptions horizontalCentered="1" verticalCentered="1"/>
  <pageMargins left="0.5" right="0.5" top="0.5" bottom="0.5" header="0.35" footer="0.35"/>
  <pageSetup scale="51" orientation="landscape" useFirstPageNumber="1" r:id="rId1"/>
  <headerFooter alignWithMargins="0">
    <oddHeader>&amp;L&amp;"Times New Roman,Regular"&amp;8XTO Energy Inc.&amp;C&amp;"Times New Roman,Regular"&amp;8Husky CDP&amp;R&amp;"Times New Roman,Regular"&amp;8June 2019: Revision 0</oddHeader>
    <oddFooter>&amp;L&amp;"Arial,Bold"&amp;8Form Revision: 11/18/2016&amp;C&amp;8Table 2-H:  Page &amp;P&amp;R&amp;8Printed &amp;D &amp;T</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2">
    <tabColor theme="1"/>
  </sheetPr>
  <dimension ref="A1:R50"/>
  <sheetViews>
    <sheetView view="pageBreakPreview" topLeftCell="A28" zoomScale="85" zoomScaleNormal="85" zoomScaleSheetLayoutView="85" zoomScalePageLayoutView="55" workbookViewId="0">
      <selection activeCell="E19" sqref="E19:R20"/>
    </sheetView>
  </sheetViews>
  <sheetFormatPr defaultColWidth="8.6328125" defaultRowHeight="13"/>
  <cols>
    <col min="1" max="1" width="10.453125" style="78" customWidth="1"/>
    <col min="2" max="2" width="23.36328125" style="78" customWidth="1"/>
    <col min="3" max="3" width="14" style="78" bestFit="1" customWidth="1"/>
    <col min="4" max="11" width="12.453125" style="78" customWidth="1"/>
    <col min="12" max="12" width="10.36328125" style="78" customWidth="1"/>
    <col min="13" max="14" width="17.6328125" style="78" bestFit="1" customWidth="1"/>
    <col min="15" max="16384" width="8.6328125" style="78"/>
  </cols>
  <sheetData>
    <row r="1" spans="1:18" ht="18" customHeight="1">
      <c r="A1" s="4046" t="s">
        <v>161</v>
      </c>
      <c r="B1" s="4046"/>
      <c r="C1" s="4046"/>
      <c r="D1" s="4046"/>
      <c r="E1" s="4046"/>
      <c r="F1" s="4046"/>
      <c r="G1" s="4046"/>
      <c r="H1" s="4046"/>
      <c r="I1" s="4046"/>
      <c r="J1" s="4046"/>
      <c r="K1" s="4046"/>
      <c r="L1" s="619"/>
      <c r="M1" s="619"/>
      <c r="N1" s="619"/>
      <c r="O1" s="619"/>
      <c r="P1" s="619"/>
      <c r="Q1" s="619"/>
      <c r="R1" s="619"/>
    </row>
    <row r="2" spans="1:18" ht="27.75" customHeight="1" thickBot="1">
      <c r="A2" s="4135" t="s">
        <v>162</v>
      </c>
      <c r="B2" s="4136"/>
      <c r="C2" s="4136"/>
      <c r="D2" s="4136"/>
      <c r="E2" s="4136"/>
      <c r="F2" s="4136"/>
      <c r="G2" s="4136"/>
      <c r="H2" s="4136"/>
      <c r="I2" s="4136"/>
      <c r="J2" s="4136"/>
      <c r="K2" s="4136"/>
      <c r="L2" s="619"/>
      <c r="M2" s="619"/>
      <c r="N2" s="611"/>
      <c r="O2" s="619"/>
      <c r="Q2" s="619"/>
      <c r="R2" s="619"/>
    </row>
    <row r="3" spans="1:18" ht="30" customHeight="1">
      <c r="A3" s="4125" t="s">
        <v>163</v>
      </c>
      <c r="B3" s="4127" t="s">
        <v>164</v>
      </c>
      <c r="C3" s="4127" t="s">
        <v>165</v>
      </c>
      <c r="D3" s="1321" t="s">
        <v>166</v>
      </c>
      <c r="E3" s="1321" t="s">
        <v>167</v>
      </c>
      <c r="F3" s="1321" t="s">
        <v>168</v>
      </c>
      <c r="G3" s="4128" t="s">
        <v>169</v>
      </c>
      <c r="H3" s="4128"/>
      <c r="I3" s="1321" t="s">
        <v>170</v>
      </c>
      <c r="J3" s="1321" t="s">
        <v>171</v>
      </c>
      <c r="K3" s="4129" t="s">
        <v>172</v>
      </c>
      <c r="L3" s="619"/>
      <c r="M3" s="619"/>
      <c r="N3" s="619"/>
      <c r="O3" s="619"/>
      <c r="P3" s="619"/>
      <c r="Q3" s="619"/>
      <c r="R3" s="619"/>
    </row>
    <row r="4" spans="1:18" ht="30" customHeight="1" thickBot="1">
      <c r="A4" s="4126"/>
      <c r="B4" s="3850"/>
      <c r="C4" s="3850"/>
      <c r="D4" s="110" t="s">
        <v>173</v>
      </c>
      <c r="E4" s="110" t="s">
        <v>174</v>
      </c>
      <c r="F4" s="110" t="s">
        <v>175</v>
      </c>
      <c r="G4" s="111" t="s">
        <v>176</v>
      </c>
      <c r="H4" s="111" t="s">
        <v>177</v>
      </c>
      <c r="I4" s="110" t="s">
        <v>178</v>
      </c>
      <c r="J4" s="110" t="s">
        <v>179</v>
      </c>
      <c r="K4" s="4130"/>
      <c r="L4" s="621"/>
      <c r="M4" s="621"/>
      <c r="N4" s="621"/>
      <c r="O4" s="621"/>
      <c r="P4" s="621"/>
      <c r="Q4" s="621"/>
      <c r="R4" s="621"/>
    </row>
    <row r="5" spans="1:18" ht="21" customHeight="1">
      <c r="A5" s="1459" t="str">
        <f>'2-E-NoCo'!A5</f>
        <v>SHTR1</v>
      </c>
      <c r="B5" s="612" t="str">
        <f>A5</f>
        <v>SHTR1</v>
      </c>
      <c r="C5" s="614" t="s">
        <v>180</v>
      </c>
      <c r="D5" s="614" t="s">
        <v>43</v>
      </c>
      <c r="E5" s="1390">
        <f>'HT Flow &amp; Fuel '!C15</f>
        <v>33</v>
      </c>
      <c r="F5" s="1391">
        <f>'HT Flow &amp; Fuel '!C13</f>
        <v>488</v>
      </c>
      <c r="G5" s="1392">
        <f>'HT Flow &amp; Fuel '!C23</f>
        <v>484.73381221719455</v>
      </c>
      <c r="H5" s="1392" t="s">
        <v>604</v>
      </c>
      <c r="I5" s="1392">
        <v>0</v>
      </c>
      <c r="J5" s="1393">
        <f>'HT Flow &amp; Fuel '!C25</f>
        <v>38.573891149072537</v>
      </c>
      <c r="K5" s="1394">
        <f>'HT Flow &amp; Fuel '!C14</f>
        <v>4</v>
      </c>
      <c r="L5" s="4117" t="s">
        <v>1940</v>
      </c>
      <c r="M5" s="622"/>
      <c r="N5" s="622"/>
      <c r="O5" s="622"/>
      <c r="P5" s="622"/>
      <c r="Q5" s="621"/>
      <c r="R5" s="621"/>
    </row>
    <row r="6" spans="1:18" ht="21" customHeight="1">
      <c r="A6" s="1459" t="str">
        <f>'2-E-NoCo'!A6</f>
        <v>SHTR2</v>
      </c>
      <c r="B6" s="612" t="str">
        <f t="shared" ref="B6:B33" si="0">A6</f>
        <v>SHTR2</v>
      </c>
      <c r="C6" s="614" t="s">
        <v>180</v>
      </c>
      <c r="D6" s="614" t="s">
        <v>43</v>
      </c>
      <c r="E6" s="1390">
        <v>32.6</v>
      </c>
      <c r="F6" s="1391">
        <f>F5</f>
        <v>488</v>
      </c>
      <c r="G6" s="1392">
        <f>G5</f>
        <v>484.73381221719455</v>
      </c>
      <c r="H6" s="1392" t="str">
        <f>H5</f>
        <v>NA</v>
      </c>
      <c r="I6" s="1392">
        <v>0</v>
      </c>
      <c r="J6" s="1393">
        <f>J5</f>
        <v>38.573891149072537</v>
      </c>
      <c r="K6" s="1394">
        <f>K5</f>
        <v>4</v>
      </c>
      <c r="L6" s="4137"/>
      <c r="M6" s="622"/>
      <c r="N6" s="622"/>
      <c r="O6" s="622"/>
      <c r="P6" s="622"/>
      <c r="Q6" s="621"/>
      <c r="R6" s="621"/>
    </row>
    <row r="7" spans="1:18" ht="21" customHeight="1">
      <c r="A7" s="1459" t="str">
        <f>'2-E-NoCo'!A7</f>
        <v>SHTR3</v>
      </c>
      <c r="B7" s="612" t="str">
        <f t="shared" si="0"/>
        <v>SHTR3</v>
      </c>
      <c r="C7" s="614" t="s">
        <v>180</v>
      </c>
      <c r="D7" s="614" t="s">
        <v>43</v>
      </c>
      <c r="E7" s="1390">
        <v>32.6</v>
      </c>
      <c r="F7" s="1391">
        <f t="shared" ref="F7:F16" si="1">F6</f>
        <v>488</v>
      </c>
      <c r="G7" s="1392">
        <f>G5</f>
        <v>484.73381221719455</v>
      </c>
      <c r="H7" s="1392" t="str">
        <f>H5</f>
        <v>NA</v>
      </c>
      <c r="I7" s="1392">
        <v>0</v>
      </c>
      <c r="J7" s="1393">
        <f>J5</f>
        <v>38.573891149072537</v>
      </c>
      <c r="K7" s="1394">
        <f>K5</f>
        <v>4</v>
      </c>
      <c r="L7" s="4137"/>
      <c r="M7" s="621"/>
      <c r="N7" s="611"/>
      <c r="O7" s="621"/>
      <c r="P7" s="621"/>
      <c r="Q7" s="621"/>
      <c r="R7" s="621"/>
    </row>
    <row r="8" spans="1:18" ht="21" customHeight="1">
      <c r="A8" s="1459" t="str">
        <f>'2-E-NoCo'!A8</f>
        <v>SHTR4</v>
      </c>
      <c r="B8" s="612" t="str">
        <f t="shared" si="0"/>
        <v>SHTR4</v>
      </c>
      <c r="C8" s="614" t="s">
        <v>180</v>
      </c>
      <c r="D8" s="614" t="s">
        <v>43</v>
      </c>
      <c r="E8" s="1390">
        <v>32.6</v>
      </c>
      <c r="F8" s="1391">
        <f t="shared" si="1"/>
        <v>488</v>
      </c>
      <c r="G8" s="1392">
        <f>G5</f>
        <v>484.73381221719455</v>
      </c>
      <c r="H8" s="1392" t="str">
        <f>H5</f>
        <v>NA</v>
      </c>
      <c r="I8" s="1392">
        <v>0</v>
      </c>
      <c r="J8" s="1393">
        <f>J5</f>
        <v>38.573891149072537</v>
      </c>
      <c r="K8" s="1394">
        <f>K5</f>
        <v>4</v>
      </c>
      <c r="L8" s="4137"/>
      <c r="M8" s="621"/>
      <c r="N8" s="621"/>
      <c r="O8" s="621"/>
      <c r="P8" s="621"/>
      <c r="Q8" s="621"/>
      <c r="R8" s="621"/>
    </row>
    <row r="9" spans="1:18" ht="21" customHeight="1">
      <c r="A9" s="1459" t="str">
        <f>'2-E-NoCo'!A9</f>
        <v>SHTR5</v>
      </c>
      <c r="B9" s="612" t="str">
        <f t="shared" si="0"/>
        <v>SHTR5</v>
      </c>
      <c r="C9" s="614" t="s">
        <v>180</v>
      </c>
      <c r="D9" s="614" t="s">
        <v>43</v>
      </c>
      <c r="E9" s="1390">
        <v>32.6</v>
      </c>
      <c r="F9" s="1391">
        <f t="shared" si="1"/>
        <v>488</v>
      </c>
      <c r="G9" s="1392">
        <f>G5</f>
        <v>484.73381221719455</v>
      </c>
      <c r="H9" s="1392" t="str">
        <f t="shared" ref="H9:H16" si="2">H6</f>
        <v>NA</v>
      </c>
      <c r="I9" s="1392">
        <v>0</v>
      </c>
      <c r="J9" s="1393">
        <f t="shared" ref="J9:J16" si="3">J8</f>
        <v>38.573891149072537</v>
      </c>
      <c r="K9" s="1394">
        <v>4</v>
      </c>
      <c r="L9" s="4137"/>
      <c r="M9" s="619"/>
      <c r="N9" s="621"/>
      <c r="O9" s="604" t="s">
        <v>661</v>
      </c>
      <c r="P9" s="621"/>
      <c r="Q9" s="621"/>
      <c r="R9" s="621"/>
    </row>
    <row r="10" spans="1:18" ht="21" customHeight="1">
      <c r="A10" s="1459" t="str">
        <f>'2-E-NoCo'!A10</f>
        <v>SHTR6</v>
      </c>
      <c r="B10" s="612" t="str">
        <f t="shared" si="0"/>
        <v>SHTR6</v>
      </c>
      <c r="C10" s="614" t="s">
        <v>180</v>
      </c>
      <c r="D10" s="614" t="s">
        <v>43</v>
      </c>
      <c r="E10" s="1390">
        <v>32.6</v>
      </c>
      <c r="F10" s="1391">
        <f t="shared" si="1"/>
        <v>488</v>
      </c>
      <c r="G10" s="1392">
        <f>G5</f>
        <v>484.73381221719455</v>
      </c>
      <c r="H10" s="1392" t="str">
        <f t="shared" si="2"/>
        <v>NA</v>
      </c>
      <c r="I10" s="1392">
        <v>0</v>
      </c>
      <c r="J10" s="1393">
        <f t="shared" si="3"/>
        <v>38.573891149072537</v>
      </c>
      <c r="K10" s="1394">
        <v>4</v>
      </c>
      <c r="L10" s="4137"/>
      <c r="M10" s="621"/>
      <c r="N10" s="621"/>
      <c r="O10" s="621"/>
      <c r="P10" s="621"/>
      <c r="Q10" s="621"/>
      <c r="R10" s="621"/>
    </row>
    <row r="11" spans="1:18" ht="21" customHeight="1">
      <c r="A11" s="1459" t="str">
        <f>'2-E-NoCo'!A11</f>
        <v>SHTR7</v>
      </c>
      <c r="B11" s="612" t="str">
        <f t="shared" si="0"/>
        <v>SHTR7</v>
      </c>
      <c r="C11" s="614" t="s">
        <v>180</v>
      </c>
      <c r="D11" s="614" t="s">
        <v>43</v>
      </c>
      <c r="E11" s="1390">
        <v>32.6</v>
      </c>
      <c r="F11" s="1391">
        <f t="shared" si="1"/>
        <v>488</v>
      </c>
      <c r="G11" s="1392">
        <f>G5</f>
        <v>484.73381221719455</v>
      </c>
      <c r="H11" s="1392" t="str">
        <f t="shared" si="2"/>
        <v>NA</v>
      </c>
      <c r="I11" s="1392">
        <v>0</v>
      </c>
      <c r="J11" s="1393">
        <f t="shared" si="3"/>
        <v>38.573891149072537</v>
      </c>
      <c r="K11" s="1394">
        <v>4</v>
      </c>
      <c r="L11" s="4137"/>
      <c r="M11" s="621"/>
      <c r="N11" s="621"/>
      <c r="O11" s="621"/>
      <c r="P11" s="621"/>
      <c r="Q11" s="621"/>
      <c r="R11" s="621"/>
    </row>
    <row r="12" spans="1:18" ht="21" customHeight="1">
      <c r="A12" s="1459" t="str">
        <f>'2-E-NoCo'!A12</f>
        <v>SHTR8</v>
      </c>
      <c r="B12" s="612" t="str">
        <f t="shared" si="0"/>
        <v>SHTR8</v>
      </c>
      <c r="C12" s="614" t="s">
        <v>180</v>
      </c>
      <c r="D12" s="614" t="s">
        <v>43</v>
      </c>
      <c r="E12" s="1390">
        <v>32.6</v>
      </c>
      <c r="F12" s="1391">
        <f t="shared" si="1"/>
        <v>488</v>
      </c>
      <c r="G12" s="1392">
        <f>G5</f>
        <v>484.73381221719455</v>
      </c>
      <c r="H12" s="1392" t="str">
        <f t="shared" si="2"/>
        <v>NA</v>
      </c>
      <c r="I12" s="1392">
        <v>0</v>
      </c>
      <c r="J12" s="1393">
        <f t="shared" si="3"/>
        <v>38.573891149072537</v>
      </c>
      <c r="K12" s="1394">
        <v>4</v>
      </c>
      <c r="L12" s="4137"/>
      <c r="M12" s="621"/>
      <c r="N12" s="621"/>
      <c r="O12" s="621"/>
      <c r="P12" s="621"/>
      <c r="Q12" s="621"/>
      <c r="R12" s="621"/>
    </row>
    <row r="13" spans="1:18" ht="21" customHeight="1">
      <c r="A13" s="1459" t="str">
        <f>'2-E-NoCo'!A13</f>
        <v>SHTR9</v>
      </c>
      <c r="B13" s="612" t="str">
        <f t="shared" si="0"/>
        <v>SHTR9</v>
      </c>
      <c r="C13" s="614" t="s">
        <v>180</v>
      </c>
      <c r="D13" s="614" t="s">
        <v>43</v>
      </c>
      <c r="E13" s="1390">
        <v>32.6</v>
      </c>
      <c r="F13" s="1391">
        <f t="shared" si="1"/>
        <v>488</v>
      </c>
      <c r="G13" s="1392">
        <f>G5</f>
        <v>484.73381221719455</v>
      </c>
      <c r="H13" s="1392" t="str">
        <f t="shared" si="2"/>
        <v>NA</v>
      </c>
      <c r="I13" s="1392">
        <v>0</v>
      </c>
      <c r="J13" s="1393">
        <f t="shared" si="3"/>
        <v>38.573891149072537</v>
      </c>
      <c r="K13" s="1394">
        <v>4</v>
      </c>
      <c r="L13" s="4137"/>
      <c r="M13" s="621"/>
      <c r="N13" s="621"/>
      <c r="O13" s="621"/>
      <c r="P13" s="621"/>
      <c r="Q13" s="621"/>
      <c r="R13" s="621"/>
    </row>
    <row r="14" spans="1:18" ht="21" customHeight="1">
      <c r="A14" s="1459" t="str">
        <f>'2-E-NoCo'!A14</f>
        <v>SHTR10</v>
      </c>
      <c r="B14" s="612" t="str">
        <f t="shared" si="0"/>
        <v>SHTR10</v>
      </c>
      <c r="C14" s="614" t="s">
        <v>180</v>
      </c>
      <c r="D14" s="614" t="s">
        <v>43</v>
      </c>
      <c r="E14" s="1390">
        <v>32.6</v>
      </c>
      <c r="F14" s="1391">
        <f t="shared" si="1"/>
        <v>488</v>
      </c>
      <c r="G14" s="1392">
        <f>G5</f>
        <v>484.73381221719455</v>
      </c>
      <c r="H14" s="1392" t="str">
        <f t="shared" si="2"/>
        <v>NA</v>
      </c>
      <c r="I14" s="1392">
        <v>0</v>
      </c>
      <c r="J14" s="1393">
        <f t="shared" si="3"/>
        <v>38.573891149072537</v>
      </c>
      <c r="K14" s="1394">
        <v>4</v>
      </c>
      <c r="L14" s="4137"/>
      <c r="M14" s="621"/>
      <c r="N14" s="621"/>
      <c r="O14" s="621"/>
      <c r="P14" s="621"/>
      <c r="Q14" s="621"/>
      <c r="R14" s="621"/>
    </row>
    <row r="15" spans="1:18" ht="21" customHeight="1">
      <c r="A15" s="1459" t="str">
        <f>'2-E-NoCo'!A15</f>
        <v>SHTR11</v>
      </c>
      <c r="B15" s="612" t="str">
        <f t="shared" si="0"/>
        <v>SHTR11</v>
      </c>
      <c r="C15" s="614" t="s">
        <v>180</v>
      </c>
      <c r="D15" s="614" t="s">
        <v>43</v>
      </c>
      <c r="E15" s="1390">
        <v>32.6</v>
      </c>
      <c r="F15" s="1391">
        <f t="shared" si="1"/>
        <v>488</v>
      </c>
      <c r="G15" s="1392">
        <f>G5</f>
        <v>484.73381221719455</v>
      </c>
      <c r="H15" s="1392" t="str">
        <f t="shared" si="2"/>
        <v>NA</v>
      </c>
      <c r="I15" s="1392">
        <v>0</v>
      </c>
      <c r="J15" s="1393">
        <f t="shared" si="3"/>
        <v>38.573891149072537</v>
      </c>
      <c r="K15" s="1394">
        <v>4</v>
      </c>
      <c r="L15" s="4137"/>
      <c r="M15" s="621"/>
      <c r="N15" s="621"/>
      <c r="O15" s="611"/>
      <c r="P15" s="1038"/>
      <c r="Q15" s="621"/>
      <c r="R15" s="621"/>
    </row>
    <row r="16" spans="1:18" ht="21" customHeight="1" thickBot="1">
      <c r="A16" s="1459" t="str">
        <f>'2-E-NoCo'!A16</f>
        <v>SHTR12</v>
      </c>
      <c r="B16" s="612" t="str">
        <f t="shared" si="0"/>
        <v>SHTR12</v>
      </c>
      <c r="C16" s="614" t="s">
        <v>180</v>
      </c>
      <c r="D16" s="614" t="s">
        <v>43</v>
      </c>
      <c r="E16" s="1390">
        <v>32.6</v>
      </c>
      <c r="F16" s="1391">
        <f t="shared" si="1"/>
        <v>488</v>
      </c>
      <c r="G16" s="1392">
        <f>G5</f>
        <v>484.73381221719455</v>
      </c>
      <c r="H16" s="1392" t="str">
        <f t="shared" si="2"/>
        <v>NA</v>
      </c>
      <c r="I16" s="1392">
        <v>0</v>
      </c>
      <c r="J16" s="1393">
        <f t="shared" si="3"/>
        <v>38.573891149072537</v>
      </c>
      <c r="K16" s="1394">
        <v>4</v>
      </c>
      <c r="L16" s="4118"/>
      <c r="M16" s="621"/>
      <c r="N16" s="621"/>
      <c r="O16" s="621"/>
      <c r="P16" s="621"/>
      <c r="Q16" s="621"/>
      <c r="R16" s="621"/>
    </row>
    <row r="17" spans="1:18" ht="21" customHeight="1">
      <c r="A17" s="1459" t="str">
        <f>'2-E-NoCo'!A17</f>
        <v>CHTR1</v>
      </c>
      <c r="B17" s="612" t="str">
        <f t="shared" si="0"/>
        <v>CHTR1</v>
      </c>
      <c r="C17" s="614" t="s">
        <v>180</v>
      </c>
      <c r="D17" s="614" t="s">
        <v>43</v>
      </c>
      <c r="E17" s="1390">
        <f>'HT Flow &amp; Fuel '!C31</f>
        <v>76.875</v>
      </c>
      <c r="F17" s="1391">
        <f>'HT Flow &amp; Fuel '!C29</f>
        <v>599</v>
      </c>
      <c r="G17" s="1392">
        <f>'HT Flow &amp; Fuel '!C39</f>
        <v>901.79367288838603</v>
      </c>
      <c r="H17" s="1392" t="s">
        <v>604</v>
      </c>
      <c r="I17" s="1392">
        <v>0</v>
      </c>
      <c r="J17" s="1393">
        <f>'HT Flow &amp; Fuel '!C41</f>
        <v>71.76246034459119</v>
      </c>
      <c r="K17" s="1394">
        <f>'HT Flow &amp; Fuel '!C30</f>
        <v>4</v>
      </c>
      <c r="L17" s="4121" t="s">
        <v>1942</v>
      </c>
      <c r="M17" s="619"/>
      <c r="N17" s="619"/>
      <c r="O17" s="619"/>
      <c r="P17" s="619"/>
      <c r="Q17" s="619"/>
      <c r="R17" s="619"/>
    </row>
    <row r="18" spans="1:18" ht="21" customHeight="1">
      <c r="A18" s="1459" t="str">
        <f>'2-E-NoCo'!A18</f>
        <v>CHTR2</v>
      </c>
      <c r="B18" s="612" t="str">
        <f t="shared" si="0"/>
        <v>CHTR2</v>
      </c>
      <c r="C18" s="614" t="s">
        <v>180</v>
      </c>
      <c r="D18" s="614" t="s">
        <v>43</v>
      </c>
      <c r="E18" s="1390">
        <f t="shared" ref="E18:G22" si="4">E17</f>
        <v>76.875</v>
      </c>
      <c r="F18" s="1391">
        <f t="shared" si="4"/>
        <v>599</v>
      </c>
      <c r="G18" s="1392">
        <f t="shared" si="4"/>
        <v>901.79367288838603</v>
      </c>
      <c r="H18" s="1392" t="s">
        <v>604</v>
      </c>
      <c r="I18" s="1392">
        <v>0</v>
      </c>
      <c r="J18" s="1393">
        <f t="shared" ref="J18:K22" si="5">J17</f>
        <v>71.76246034459119</v>
      </c>
      <c r="K18" s="1394">
        <f t="shared" si="5"/>
        <v>4</v>
      </c>
      <c r="L18" s="4122"/>
      <c r="M18" s="619"/>
      <c r="N18" s="619"/>
      <c r="O18" s="619"/>
      <c r="P18" s="619"/>
      <c r="Q18" s="619"/>
      <c r="R18" s="619"/>
    </row>
    <row r="19" spans="1:18" ht="21" customHeight="1" thickBot="1">
      <c r="A19" s="1459" t="str">
        <f>'2-E-NoCo'!A19</f>
        <v>CHTR3</v>
      </c>
      <c r="B19" s="612" t="str">
        <f t="shared" si="0"/>
        <v>CHTR3</v>
      </c>
      <c r="C19" s="614" t="s">
        <v>180</v>
      </c>
      <c r="D19" s="614" t="s">
        <v>43</v>
      </c>
      <c r="E19" s="1390">
        <f t="shared" si="4"/>
        <v>76.875</v>
      </c>
      <c r="F19" s="1391">
        <f t="shared" si="4"/>
        <v>599</v>
      </c>
      <c r="G19" s="1392">
        <f t="shared" si="4"/>
        <v>901.79367288838603</v>
      </c>
      <c r="H19" s="1392" t="s">
        <v>604</v>
      </c>
      <c r="I19" s="1392">
        <v>0</v>
      </c>
      <c r="J19" s="1393">
        <f t="shared" si="5"/>
        <v>71.76246034459119</v>
      </c>
      <c r="K19" s="1394">
        <f>K18</f>
        <v>4</v>
      </c>
      <c r="L19" s="1279"/>
      <c r="M19" s="620" t="s">
        <v>618</v>
      </c>
      <c r="N19" s="619"/>
      <c r="O19" s="619"/>
      <c r="P19" s="619"/>
      <c r="Q19" s="619"/>
      <c r="R19" s="619"/>
    </row>
    <row r="20" spans="1:18" ht="21" customHeight="1">
      <c r="A20" s="1459" t="str">
        <f>'2-E-NoCo'!A20</f>
        <v>RHTR1</v>
      </c>
      <c r="B20" s="612" t="str">
        <f t="shared" si="0"/>
        <v>RHTR1</v>
      </c>
      <c r="C20" s="614" t="s">
        <v>180</v>
      </c>
      <c r="D20" s="614" t="s">
        <v>43</v>
      </c>
      <c r="E20" s="1390">
        <f>'HT Flow &amp; Fuel '!C47</f>
        <v>28.5</v>
      </c>
      <c r="F20" s="1391">
        <f>'HT Flow &amp; Fuel '!C45</f>
        <v>470</v>
      </c>
      <c r="G20" s="1392">
        <f>'HT Flow &amp; Fuel '!C55</f>
        <v>321.40699472096537</v>
      </c>
      <c r="H20" s="1392" t="s">
        <v>604</v>
      </c>
      <c r="I20" s="1392">
        <v>0</v>
      </c>
      <c r="J20" s="1393">
        <f>'HT Flow &amp; Fuel '!C57</f>
        <v>57.547700948421394</v>
      </c>
      <c r="K20" s="1394">
        <f>'HT Flow &amp; Fuel '!C46</f>
        <v>2.6666666666666665</v>
      </c>
      <c r="L20" s="4124" t="s">
        <v>1941</v>
      </c>
      <c r="M20" s="619"/>
      <c r="N20" s="619"/>
      <c r="O20" s="619"/>
      <c r="P20" s="619"/>
      <c r="Q20" s="619"/>
      <c r="R20" s="619"/>
    </row>
    <row r="21" spans="1:18" ht="21" customHeight="1">
      <c r="A21" s="1459" t="str">
        <f>'2-E-NoCo'!A21</f>
        <v>RHTR2</v>
      </c>
      <c r="B21" s="612" t="str">
        <f t="shared" si="0"/>
        <v>RHTR2</v>
      </c>
      <c r="C21" s="614" t="s">
        <v>180</v>
      </c>
      <c r="D21" s="614" t="s">
        <v>43</v>
      </c>
      <c r="E21" s="1390">
        <f t="shared" si="4"/>
        <v>28.5</v>
      </c>
      <c r="F21" s="1391">
        <f t="shared" si="4"/>
        <v>470</v>
      </c>
      <c r="G21" s="1392">
        <f t="shared" si="4"/>
        <v>321.40699472096537</v>
      </c>
      <c r="H21" s="1392" t="s">
        <v>604</v>
      </c>
      <c r="I21" s="1392">
        <v>0</v>
      </c>
      <c r="J21" s="1393">
        <f t="shared" si="5"/>
        <v>57.547700948421394</v>
      </c>
      <c r="K21" s="1394">
        <f t="shared" si="5"/>
        <v>2.6666666666666665</v>
      </c>
      <c r="L21" s="4119"/>
      <c r="M21" s="619"/>
      <c r="N21" s="619"/>
      <c r="O21" s="619"/>
      <c r="P21" s="619"/>
      <c r="Q21" s="619"/>
      <c r="R21" s="619"/>
    </row>
    <row r="22" spans="1:18" ht="21" customHeight="1" thickBot="1">
      <c r="A22" s="1459" t="str">
        <f>'2-E-NoCo'!A22</f>
        <v>RHTR3</v>
      </c>
      <c r="B22" s="612" t="str">
        <f t="shared" si="0"/>
        <v>RHTR3</v>
      </c>
      <c r="C22" s="614" t="s">
        <v>180</v>
      </c>
      <c r="D22" s="614" t="s">
        <v>43</v>
      </c>
      <c r="E22" s="1390">
        <f t="shared" si="4"/>
        <v>28.5</v>
      </c>
      <c r="F22" s="1391">
        <f t="shared" si="4"/>
        <v>470</v>
      </c>
      <c r="G22" s="1392">
        <f t="shared" si="4"/>
        <v>321.40699472096537</v>
      </c>
      <c r="H22" s="1392" t="s">
        <v>604</v>
      </c>
      <c r="I22" s="1392">
        <v>0</v>
      </c>
      <c r="J22" s="1393">
        <f t="shared" si="5"/>
        <v>57.547700948421394</v>
      </c>
      <c r="K22" s="1394">
        <f t="shared" si="5"/>
        <v>2.6666666666666665</v>
      </c>
      <c r="L22" s="4120"/>
      <c r="M22" s="619"/>
      <c r="N22" s="619"/>
      <c r="O22" s="619"/>
      <c r="P22" s="619"/>
      <c r="Q22" s="619"/>
      <c r="R22" s="619"/>
    </row>
    <row r="23" spans="1:18" ht="21" customHeight="1">
      <c r="A23" s="1459" t="str">
        <f>'2-A All'!A43</f>
        <v>FL1</v>
      </c>
      <c r="B23" s="612" t="str">
        <f t="shared" si="0"/>
        <v>FL1</v>
      </c>
      <c r="C23" s="614" t="s">
        <v>180</v>
      </c>
      <c r="D23" s="614" t="s">
        <v>43</v>
      </c>
      <c r="E23" s="1390">
        <v>170</v>
      </c>
      <c r="F23" s="1391">
        <v>1832</v>
      </c>
      <c r="G23" s="1392">
        <f>'Hrly (FL1-FL3OVHD-SSM)'!D46/60/60</f>
        <v>52.083333333333336</v>
      </c>
      <c r="H23" s="1392" t="s">
        <v>604</v>
      </c>
      <c r="I23" s="1392">
        <v>0</v>
      </c>
      <c r="J23" s="1393">
        <v>65.62</v>
      </c>
      <c r="K23" s="1394">
        <v>0.23169999999999999</v>
      </c>
      <c r="L23" s="4138" t="s">
        <v>663</v>
      </c>
      <c r="M23" s="619"/>
      <c r="N23" s="619"/>
      <c r="O23" s="619"/>
      <c r="P23" s="619"/>
      <c r="Q23" s="619"/>
      <c r="R23" s="619"/>
    </row>
    <row r="24" spans="1:18" ht="21" customHeight="1">
      <c r="A24" s="1459" t="str">
        <f>'2-A All'!A45</f>
        <v>FL2</v>
      </c>
      <c r="B24" s="612" t="str">
        <f t="shared" si="0"/>
        <v>FL2</v>
      </c>
      <c r="C24" s="614" t="s">
        <v>180</v>
      </c>
      <c r="D24" s="614" t="s">
        <v>43</v>
      </c>
      <c r="E24" s="1390">
        <f>E23</f>
        <v>170</v>
      </c>
      <c r="F24" s="1392">
        <f t="shared" ref="F24:K24" si="6">F23</f>
        <v>1832</v>
      </c>
      <c r="G24" s="1392">
        <f t="shared" si="6"/>
        <v>52.083333333333336</v>
      </c>
      <c r="H24" s="1390" t="str">
        <f t="shared" si="6"/>
        <v>NA</v>
      </c>
      <c r="I24" s="1392">
        <f t="shared" si="6"/>
        <v>0</v>
      </c>
      <c r="J24" s="1390">
        <f t="shared" si="6"/>
        <v>65.62</v>
      </c>
      <c r="K24" s="1390">
        <f t="shared" si="6"/>
        <v>0.23169999999999999</v>
      </c>
      <c r="L24" s="4139"/>
      <c r="M24" s="620"/>
      <c r="N24" s="619"/>
      <c r="O24" s="619"/>
      <c r="P24" s="619"/>
      <c r="Q24" s="619"/>
      <c r="R24" s="619"/>
    </row>
    <row r="25" spans="1:18" ht="21" customHeight="1" thickBot="1">
      <c r="A25" s="1459" t="str">
        <f>'2-A All'!A47</f>
        <v>FL3</v>
      </c>
      <c r="B25" s="612" t="str">
        <f t="shared" si="0"/>
        <v>FL3</v>
      </c>
      <c r="C25" s="614" t="s">
        <v>180</v>
      </c>
      <c r="D25" s="614" t="s">
        <v>43</v>
      </c>
      <c r="E25" s="1390">
        <f>E23</f>
        <v>170</v>
      </c>
      <c r="F25" s="1392">
        <f t="shared" ref="F25:K25" si="7">F23</f>
        <v>1832</v>
      </c>
      <c r="G25" s="1392">
        <f t="shared" si="7"/>
        <v>52.083333333333336</v>
      </c>
      <c r="H25" s="1390" t="str">
        <f t="shared" si="7"/>
        <v>NA</v>
      </c>
      <c r="I25" s="1392">
        <f t="shared" si="7"/>
        <v>0</v>
      </c>
      <c r="J25" s="1390">
        <f t="shared" si="7"/>
        <v>65.62</v>
      </c>
      <c r="K25" s="1390">
        <f t="shared" si="7"/>
        <v>0.23169999999999999</v>
      </c>
      <c r="L25" s="4140"/>
      <c r="M25" s="619"/>
      <c r="N25" s="619"/>
      <c r="O25" s="619"/>
      <c r="P25" s="619"/>
      <c r="Q25" s="619"/>
      <c r="R25" s="619"/>
    </row>
    <row r="26" spans="1:18" ht="21" customHeight="1" thickBot="1">
      <c r="A26" s="1459" t="str">
        <f>'2-E-NoCo'!A36</f>
        <v>ECD1</v>
      </c>
      <c r="B26" s="612" t="str">
        <f t="shared" si="0"/>
        <v>ECD1</v>
      </c>
      <c r="C26" s="614" t="s">
        <v>180</v>
      </c>
      <c r="D26" s="614" t="s">
        <v>43</v>
      </c>
      <c r="E26" s="1390">
        <v>40</v>
      </c>
      <c r="F26" s="1391">
        <v>1450</v>
      </c>
      <c r="G26" s="1392">
        <f>1905036/60/60</f>
        <v>529.17666666666662</v>
      </c>
      <c r="H26" s="1392" t="str">
        <f>H21</f>
        <v>NA</v>
      </c>
      <c r="I26" s="616">
        <v>0</v>
      </c>
      <c r="J26" s="1469">
        <v>39.5</v>
      </c>
      <c r="K26" s="617">
        <f>101/12</f>
        <v>8.4166666666666661</v>
      </c>
      <c r="L26" s="623" t="s">
        <v>618</v>
      </c>
      <c r="M26" s="619"/>
      <c r="N26" s="619"/>
      <c r="O26" s="619"/>
      <c r="P26" s="619"/>
      <c r="Q26" s="619"/>
      <c r="R26" s="619"/>
    </row>
    <row r="27" spans="1:18" ht="21" customHeight="1">
      <c r="A27" s="1459" t="str">
        <f>'2-E-NoCo'!A37</f>
        <v>TO1</v>
      </c>
      <c r="B27" s="612" t="str">
        <f t="shared" si="0"/>
        <v>TO1</v>
      </c>
      <c r="C27" s="614" t="s">
        <v>180</v>
      </c>
      <c r="D27" s="614" t="s">
        <v>43</v>
      </c>
      <c r="E27" s="1390">
        <v>57</v>
      </c>
      <c r="F27" s="1391">
        <v>1600</v>
      </c>
      <c r="G27" s="1390">
        <f>'TO Hrly (TO1-TO3)'!C47</f>
        <v>693.73929865319872</v>
      </c>
      <c r="H27" s="1392" t="str">
        <f>H22</f>
        <v>NA</v>
      </c>
      <c r="I27" s="1392">
        <v>0</v>
      </c>
      <c r="J27" s="1390">
        <f>'TO Hrly (TO1-TO3)'!C53</f>
        <v>51.910938027324548</v>
      </c>
      <c r="K27" s="1394">
        <f>49.5/12</f>
        <v>4.125</v>
      </c>
      <c r="L27" s="4121" t="s">
        <v>664</v>
      </c>
      <c r="M27" s="619"/>
      <c r="N27" s="619"/>
      <c r="O27" s="619"/>
      <c r="P27" s="619"/>
      <c r="Q27" s="619"/>
      <c r="R27" s="619"/>
    </row>
    <row r="28" spans="1:18" ht="21" customHeight="1">
      <c r="A28" s="1459" t="str">
        <f>'2-E-NoCo'!A38</f>
        <v>TO2</v>
      </c>
      <c r="B28" s="612" t="str">
        <f t="shared" si="0"/>
        <v>TO2</v>
      </c>
      <c r="C28" s="614" t="s">
        <v>180</v>
      </c>
      <c r="D28" s="614" t="s">
        <v>43</v>
      </c>
      <c r="E28" s="1390">
        <f>E27</f>
        <v>57</v>
      </c>
      <c r="F28" s="1392">
        <f t="shared" ref="F28:K29" si="8">F27</f>
        <v>1600</v>
      </c>
      <c r="G28" s="1390">
        <f t="shared" si="8"/>
        <v>693.73929865319872</v>
      </c>
      <c r="H28" s="1390" t="str">
        <f t="shared" si="8"/>
        <v>NA</v>
      </c>
      <c r="I28" s="1392">
        <f t="shared" si="8"/>
        <v>0</v>
      </c>
      <c r="J28" s="1390">
        <f t="shared" si="8"/>
        <v>51.910938027324548</v>
      </c>
      <c r="K28" s="1390">
        <f t="shared" si="8"/>
        <v>4.125</v>
      </c>
      <c r="L28" s="4122"/>
      <c r="M28" s="619"/>
      <c r="N28" s="619"/>
      <c r="O28" s="619"/>
      <c r="P28" s="619"/>
      <c r="Q28" s="619"/>
      <c r="R28" s="619"/>
    </row>
    <row r="29" spans="1:18" ht="21" customHeight="1" thickBot="1">
      <c r="A29" s="1459" t="str">
        <f>'2-E-NoCo'!A39</f>
        <v>TO3</v>
      </c>
      <c r="B29" s="612" t="str">
        <f t="shared" si="0"/>
        <v>TO3</v>
      </c>
      <c r="C29" s="614" t="s">
        <v>180</v>
      </c>
      <c r="D29" s="614" t="s">
        <v>43</v>
      </c>
      <c r="E29" s="1390">
        <f>E28</f>
        <v>57</v>
      </c>
      <c r="F29" s="1392">
        <f t="shared" si="8"/>
        <v>1600</v>
      </c>
      <c r="G29" s="1390">
        <f t="shared" si="8"/>
        <v>693.73929865319872</v>
      </c>
      <c r="H29" s="1390" t="str">
        <f t="shared" si="8"/>
        <v>NA</v>
      </c>
      <c r="I29" s="1392">
        <f t="shared" si="8"/>
        <v>0</v>
      </c>
      <c r="J29" s="1390">
        <f t="shared" si="8"/>
        <v>51.910938027324548</v>
      </c>
      <c r="K29" s="1390">
        <f t="shared" si="8"/>
        <v>4.125</v>
      </c>
      <c r="L29" s="4123"/>
      <c r="M29" s="619"/>
      <c r="N29" s="619"/>
      <c r="O29" s="619"/>
      <c r="P29" s="619"/>
      <c r="Q29" s="619"/>
      <c r="R29" s="619"/>
    </row>
    <row r="30" spans="1:18" ht="21" customHeight="1">
      <c r="A30" s="1465" t="str">
        <f>'2-E-Co'!A45</f>
        <v>TUR1</v>
      </c>
      <c r="B30" s="612" t="str">
        <f t="shared" si="0"/>
        <v>TUR1</v>
      </c>
      <c r="C30" s="614" t="s">
        <v>180</v>
      </c>
      <c r="D30" s="614" t="s">
        <v>43</v>
      </c>
      <c r="E30" s="615">
        <v>150</v>
      </c>
      <c r="F30" s="614">
        <f>'Cogen VOC, HAPs'!K19</f>
        <v>185</v>
      </c>
      <c r="G30" s="615">
        <f>(PI()/4*K30^2)*J30</f>
        <v>7700.6719124792999</v>
      </c>
      <c r="H30" s="615" t="s">
        <v>604</v>
      </c>
      <c r="I30" s="616">
        <f>'2-H'!I29</f>
        <v>0</v>
      </c>
      <c r="J30" s="1469">
        <f>'Cogen VOC, HAPs'!K20</f>
        <v>38.299999999999997</v>
      </c>
      <c r="K30" s="617">
        <v>16</v>
      </c>
      <c r="L30" s="1458" t="s">
        <v>1262</v>
      </c>
      <c r="M30" s="621"/>
      <c r="N30" s="621"/>
      <c r="O30" s="621"/>
      <c r="P30" s="621"/>
      <c r="Q30" s="621"/>
      <c r="R30" s="621"/>
    </row>
    <row r="31" spans="1:18" ht="21" customHeight="1">
      <c r="A31" s="1465" t="str">
        <f>'2-E-Co'!A46</f>
        <v>TUR2</v>
      </c>
      <c r="B31" s="612" t="str">
        <f t="shared" si="0"/>
        <v>TUR2</v>
      </c>
      <c r="C31" s="614" t="s">
        <v>180</v>
      </c>
      <c r="D31" s="614" t="s">
        <v>43</v>
      </c>
      <c r="E31" s="615">
        <v>150</v>
      </c>
      <c r="F31" s="614">
        <f>F30</f>
        <v>185</v>
      </c>
      <c r="G31" s="615">
        <f>G30</f>
        <v>7700.6719124792999</v>
      </c>
      <c r="H31" s="615" t="s">
        <v>604</v>
      </c>
      <c r="I31" s="616">
        <f>'2-H'!I30</f>
        <v>0</v>
      </c>
      <c r="J31" s="1469">
        <f>J30</f>
        <v>38.299999999999997</v>
      </c>
      <c r="K31" s="617">
        <v>16</v>
      </c>
      <c r="L31" s="1278"/>
      <c r="M31" s="621"/>
      <c r="N31" s="621"/>
      <c r="O31" s="621"/>
      <c r="P31" s="621"/>
      <c r="Q31" s="621"/>
      <c r="R31" s="621"/>
    </row>
    <row r="32" spans="1:18" ht="21" customHeight="1">
      <c r="A32" s="1465" t="str">
        <f>'2-E-Co'!A47</f>
        <v>TUR3</v>
      </c>
      <c r="B32" s="612" t="str">
        <f t="shared" si="0"/>
        <v>TUR3</v>
      </c>
      <c r="C32" s="614" t="s">
        <v>180</v>
      </c>
      <c r="D32" s="614" t="s">
        <v>43</v>
      </c>
      <c r="E32" s="615">
        <v>150</v>
      </c>
      <c r="F32" s="614">
        <f>F30</f>
        <v>185</v>
      </c>
      <c r="G32" s="615">
        <f>G30</f>
        <v>7700.6719124792999</v>
      </c>
      <c r="H32" s="615" t="s">
        <v>604</v>
      </c>
      <c r="I32" s="616">
        <f>'2-H'!I31</f>
        <v>0</v>
      </c>
      <c r="J32" s="1469">
        <f>J30</f>
        <v>38.299999999999997</v>
      </c>
      <c r="K32" s="617">
        <v>16</v>
      </c>
      <c r="L32" s="1278"/>
      <c r="M32" s="619"/>
      <c r="N32" s="619"/>
      <c r="O32" s="619"/>
      <c r="P32" s="619"/>
      <c r="Q32" s="619"/>
      <c r="R32" s="619"/>
    </row>
    <row r="33" spans="1:18" ht="21" customHeight="1" thickBot="1">
      <c r="A33" s="1465" t="str">
        <f>'2-E-Co'!A48</f>
        <v>TUR4</v>
      </c>
      <c r="B33" s="612" t="str">
        <f t="shared" si="0"/>
        <v>TUR4</v>
      </c>
      <c r="C33" s="614" t="s">
        <v>180</v>
      </c>
      <c r="D33" s="614" t="s">
        <v>43</v>
      </c>
      <c r="E33" s="615">
        <v>150</v>
      </c>
      <c r="F33" s="614">
        <f>F30</f>
        <v>185</v>
      </c>
      <c r="G33" s="615">
        <f>G30</f>
        <v>7700.6719124792999</v>
      </c>
      <c r="H33" s="615" t="s">
        <v>604</v>
      </c>
      <c r="I33" s="616">
        <f>'2-H'!I32</f>
        <v>0</v>
      </c>
      <c r="J33" s="1469">
        <f>J30</f>
        <v>38.299999999999997</v>
      </c>
      <c r="K33" s="617">
        <v>16</v>
      </c>
      <c r="L33" s="1279"/>
      <c r="M33" s="619"/>
      <c r="N33" s="619"/>
      <c r="O33" s="619"/>
      <c r="P33" s="619"/>
      <c r="Q33" s="619"/>
      <c r="R33" s="619"/>
    </row>
    <row r="34" spans="1:18" ht="21" customHeight="1">
      <c r="A34" s="1465" t="str">
        <f>'2-E-Co'!A49</f>
        <v>GEN1</v>
      </c>
      <c r="B34" s="612" t="str">
        <f t="shared" ref="B34:B41" si="9">A34</f>
        <v>GEN1</v>
      </c>
      <c r="C34" s="614" t="s">
        <v>180</v>
      </c>
      <c r="D34" s="614" t="s">
        <v>43</v>
      </c>
      <c r="E34" s="615">
        <v>14</v>
      </c>
      <c r="F34" s="615">
        <v>815</v>
      </c>
      <c r="G34" s="615">
        <f>13455/60</f>
        <v>224.25</v>
      </c>
      <c r="H34" s="615" t="s">
        <v>604</v>
      </c>
      <c r="I34" s="616">
        <f>'2-H'!I33</f>
        <v>0</v>
      </c>
      <c r="J34" s="1469">
        <f>(G34)/((PI()*(K34/2)^2))</f>
        <v>285.52396790686026</v>
      </c>
      <c r="K34" s="617">
        <v>1</v>
      </c>
      <c r="L34" s="4124" t="s">
        <v>1937</v>
      </c>
      <c r="M34" s="3055"/>
      <c r="N34" s="3054"/>
      <c r="O34" s="621"/>
      <c r="P34" s="621"/>
      <c r="Q34" s="621"/>
      <c r="R34" s="621"/>
    </row>
    <row r="35" spans="1:18" ht="21" customHeight="1">
      <c r="A35" s="1465" t="str">
        <f>'2-E-Co'!A50</f>
        <v>GEN2</v>
      </c>
      <c r="B35" s="612" t="str">
        <f t="shared" si="9"/>
        <v>GEN2</v>
      </c>
      <c r="C35" s="614" t="s">
        <v>180</v>
      </c>
      <c r="D35" s="614" t="s">
        <v>43</v>
      </c>
      <c r="E35" s="615">
        <f>E34</f>
        <v>14</v>
      </c>
      <c r="F35" s="615">
        <f t="shared" ref="F35:K35" si="10">F34</f>
        <v>815</v>
      </c>
      <c r="G35" s="615">
        <f t="shared" si="10"/>
        <v>224.25</v>
      </c>
      <c r="H35" s="615" t="str">
        <f t="shared" si="10"/>
        <v>NA</v>
      </c>
      <c r="I35" s="616">
        <f t="shared" si="10"/>
        <v>0</v>
      </c>
      <c r="J35" s="615">
        <f t="shared" si="10"/>
        <v>285.52396790686026</v>
      </c>
      <c r="K35" s="615">
        <f t="shared" si="10"/>
        <v>1</v>
      </c>
      <c r="L35" s="4119"/>
      <c r="M35" s="3055"/>
      <c r="N35" s="621"/>
      <c r="O35" s="621"/>
      <c r="P35" s="621"/>
      <c r="Q35" s="621"/>
      <c r="R35" s="621"/>
    </row>
    <row r="36" spans="1:18" ht="21" customHeight="1">
      <c r="A36" s="1465" t="str">
        <f>'2-E-Co'!A51</f>
        <v>GEN3</v>
      </c>
      <c r="B36" s="612" t="str">
        <f t="shared" si="9"/>
        <v>GEN3</v>
      </c>
      <c r="C36" s="614" t="s">
        <v>180</v>
      </c>
      <c r="D36" s="614" t="s">
        <v>43</v>
      </c>
      <c r="E36" s="615">
        <f>E34</f>
        <v>14</v>
      </c>
      <c r="F36" s="615">
        <f t="shared" ref="F36:K36" si="11">F34</f>
        <v>815</v>
      </c>
      <c r="G36" s="615">
        <f t="shared" si="11"/>
        <v>224.25</v>
      </c>
      <c r="H36" s="615" t="str">
        <f t="shared" si="11"/>
        <v>NA</v>
      </c>
      <c r="I36" s="616">
        <f t="shared" si="11"/>
        <v>0</v>
      </c>
      <c r="J36" s="615">
        <f t="shared" si="11"/>
        <v>285.52396790686026</v>
      </c>
      <c r="K36" s="615">
        <f t="shared" si="11"/>
        <v>1</v>
      </c>
      <c r="L36" s="4119"/>
      <c r="M36" s="619"/>
      <c r="N36" s="619"/>
      <c r="O36" s="619"/>
      <c r="P36" s="619"/>
      <c r="Q36" s="619"/>
      <c r="R36" s="619"/>
    </row>
    <row r="37" spans="1:18" ht="21" customHeight="1">
      <c r="A37" s="1465" t="str">
        <f>'2-E-Co'!A52</f>
        <v>GEN4</v>
      </c>
      <c r="B37" s="612" t="str">
        <f t="shared" si="9"/>
        <v>GEN4</v>
      </c>
      <c r="C37" s="614" t="s">
        <v>180</v>
      </c>
      <c r="D37" s="614" t="s">
        <v>43</v>
      </c>
      <c r="E37" s="615">
        <f>E34</f>
        <v>14</v>
      </c>
      <c r="F37" s="615">
        <f t="shared" ref="F37:K37" si="12">F34</f>
        <v>815</v>
      </c>
      <c r="G37" s="615">
        <f t="shared" si="12"/>
        <v>224.25</v>
      </c>
      <c r="H37" s="615" t="str">
        <f t="shared" si="12"/>
        <v>NA</v>
      </c>
      <c r="I37" s="616">
        <f t="shared" si="12"/>
        <v>0</v>
      </c>
      <c r="J37" s="615">
        <f t="shared" si="12"/>
        <v>285.52396790686026</v>
      </c>
      <c r="K37" s="615">
        <f t="shared" si="12"/>
        <v>1</v>
      </c>
      <c r="L37" s="4119"/>
      <c r="M37" s="619"/>
      <c r="N37" s="619"/>
      <c r="O37" s="619"/>
      <c r="P37" s="619"/>
      <c r="Q37" s="619"/>
      <c r="R37" s="619"/>
    </row>
    <row r="38" spans="1:18" ht="21" customHeight="1">
      <c r="A38" s="1465" t="str">
        <f>'2-E-Co'!A53</f>
        <v>GEN5</v>
      </c>
      <c r="B38" s="612" t="str">
        <f t="shared" si="9"/>
        <v>GEN5</v>
      </c>
      <c r="C38" s="614" t="s">
        <v>180</v>
      </c>
      <c r="D38" s="614" t="s">
        <v>43</v>
      </c>
      <c r="E38" s="615">
        <f>E34</f>
        <v>14</v>
      </c>
      <c r="F38" s="615">
        <f t="shared" ref="F38:K38" si="13">F34</f>
        <v>815</v>
      </c>
      <c r="G38" s="615">
        <f t="shared" si="13"/>
        <v>224.25</v>
      </c>
      <c r="H38" s="615" t="str">
        <f t="shared" si="13"/>
        <v>NA</v>
      </c>
      <c r="I38" s="616">
        <f t="shared" si="13"/>
        <v>0</v>
      </c>
      <c r="J38" s="615">
        <f t="shared" si="13"/>
        <v>285.52396790686026</v>
      </c>
      <c r="K38" s="615">
        <f t="shared" si="13"/>
        <v>1</v>
      </c>
      <c r="L38" s="4119"/>
      <c r="M38" s="621"/>
      <c r="N38" s="621"/>
      <c r="O38" s="621"/>
      <c r="P38" s="621"/>
      <c r="Q38" s="621"/>
      <c r="R38" s="621"/>
    </row>
    <row r="39" spans="1:18" ht="21" customHeight="1">
      <c r="A39" s="1465" t="str">
        <f>'2-E-Co'!A54</f>
        <v>GEN6</v>
      </c>
      <c r="B39" s="612" t="str">
        <f t="shared" si="9"/>
        <v>GEN6</v>
      </c>
      <c r="C39" s="614" t="s">
        <v>180</v>
      </c>
      <c r="D39" s="614" t="s">
        <v>43</v>
      </c>
      <c r="E39" s="615">
        <f>E34</f>
        <v>14</v>
      </c>
      <c r="F39" s="615">
        <f t="shared" ref="F39:K39" si="14">F34</f>
        <v>815</v>
      </c>
      <c r="G39" s="615">
        <f t="shared" si="14"/>
        <v>224.25</v>
      </c>
      <c r="H39" s="615" t="str">
        <f t="shared" si="14"/>
        <v>NA</v>
      </c>
      <c r="I39" s="616">
        <f t="shared" si="14"/>
        <v>0</v>
      </c>
      <c r="J39" s="615">
        <f t="shared" si="14"/>
        <v>285.52396790686026</v>
      </c>
      <c r="K39" s="615">
        <f t="shared" si="14"/>
        <v>1</v>
      </c>
      <c r="L39" s="4119"/>
      <c r="M39" s="621"/>
      <c r="N39" s="621"/>
      <c r="O39" s="621"/>
      <c r="P39" s="621"/>
      <c r="Q39" s="621"/>
      <c r="R39" s="621"/>
    </row>
    <row r="40" spans="1:18" ht="21" customHeight="1">
      <c r="A40" s="1465" t="str">
        <f>'2-E-Co'!A55</f>
        <v>GEN7</v>
      </c>
      <c r="B40" s="612" t="str">
        <f t="shared" si="9"/>
        <v>GEN7</v>
      </c>
      <c r="C40" s="614" t="s">
        <v>180</v>
      </c>
      <c r="D40" s="614" t="s">
        <v>43</v>
      </c>
      <c r="E40" s="615">
        <f>E34</f>
        <v>14</v>
      </c>
      <c r="F40" s="615">
        <f t="shared" ref="F40:K40" si="15">F34</f>
        <v>815</v>
      </c>
      <c r="G40" s="615">
        <f t="shared" si="15"/>
        <v>224.25</v>
      </c>
      <c r="H40" s="615" t="str">
        <f t="shared" si="15"/>
        <v>NA</v>
      </c>
      <c r="I40" s="616">
        <f t="shared" si="15"/>
        <v>0</v>
      </c>
      <c r="J40" s="615">
        <f t="shared" si="15"/>
        <v>285.52396790686026</v>
      </c>
      <c r="K40" s="615">
        <f t="shared" si="15"/>
        <v>1</v>
      </c>
      <c r="L40" s="4119"/>
      <c r="M40" s="619"/>
      <c r="N40" s="619"/>
      <c r="O40" s="619"/>
      <c r="P40" s="619"/>
      <c r="Q40" s="619"/>
      <c r="R40" s="619"/>
    </row>
    <row r="41" spans="1:18" ht="21" customHeight="1" thickBot="1">
      <c r="A41" s="1465" t="str">
        <f>'2-E-Co'!A56</f>
        <v>GEN8</v>
      </c>
      <c r="B41" s="612" t="str">
        <f t="shared" si="9"/>
        <v>GEN8</v>
      </c>
      <c r="C41" s="614" t="s">
        <v>180</v>
      </c>
      <c r="D41" s="614" t="s">
        <v>43</v>
      </c>
      <c r="E41" s="615">
        <f>E34</f>
        <v>14</v>
      </c>
      <c r="F41" s="615">
        <f t="shared" ref="F41:K41" si="16">F34</f>
        <v>815</v>
      </c>
      <c r="G41" s="615">
        <f t="shared" si="16"/>
        <v>224.25</v>
      </c>
      <c r="H41" s="615" t="str">
        <f t="shared" si="16"/>
        <v>NA</v>
      </c>
      <c r="I41" s="616">
        <f t="shared" si="16"/>
        <v>0</v>
      </c>
      <c r="J41" s="615">
        <f t="shared" si="16"/>
        <v>285.52396790686026</v>
      </c>
      <c r="K41" s="615">
        <f t="shared" si="16"/>
        <v>1</v>
      </c>
      <c r="L41" s="4131"/>
      <c r="M41" s="619"/>
      <c r="N41" s="619"/>
      <c r="O41" s="619"/>
      <c r="P41" s="619"/>
      <c r="Q41" s="619"/>
      <c r="R41" s="619"/>
    </row>
    <row r="42" spans="1:18" ht="21" customHeight="1">
      <c r="A42" s="4132"/>
      <c r="B42" s="4133"/>
      <c r="C42" s="4133"/>
      <c r="D42" s="4133"/>
      <c r="E42" s="4133"/>
      <c r="F42" s="4133"/>
      <c r="G42" s="4133"/>
      <c r="H42" s="4133"/>
      <c r="I42" s="4133"/>
      <c r="J42" s="4133"/>
      <c r="K42" s="4134"/>
      <c r="L42" s="619"/>
      <c r="M42" s="619"/>
      <c r="N42" s="619"/>
      <c r="O42" s="619"/>
      <c r="P42" s="619"/>
      <c r="Q42" s="619"/>
      <c r="R42" s="619"/>
    </row>
    <row r="43" spans="1:18" ht="21.75" customHeight="1">
      <c r="L43" s="619"/>
      <c r="M43" s="619"/>
      <c r="N43" s="619"/>
      <c r="O43" s="619"/>
      <c r="P43" s="619"/>
      <c r="Q43" s="619"/>
      <c r="R43" s="619"/>
    </row>
    <row r="44" spans="1:18" ht="21.75" customHeight="1">
      <c r="L44" s="619"/>
      <c r="M44" s="619"/>
      <c r="N44" s="619"/>
      <c r="O44" s="619"/>
      <c r="P44" s="619"/>
      <c r="Q44" s="619"/>
      <c r="R44" s="619"/>
    </row>
    <row r="45" spans="1:18" ht="21.75" customHeight="1">
      <c r="L45" s="619"/>
      <c r="M45" s="619"/>
      <c r="N45" s="619"/>
      <c r="O45" s="619"/>
      <c r="P45" s="619"/>
      <c r="Q45" s="619"/>
      <c r="R45" s="619"/>
    </row>
    <row r="46" spans="1:18" ht="21.75" customHeight="1">
      <c r="L46" s="619"/>
      <c r="M46" s="619"/>
      <c r="N46" s="619"/>
      <c r="O46" s="619"/>
      <c r="P46" s="619"/>
      <c r="Q46" s="619"/>
      <c r="R46" s="619"/>
    </row>
    <row r="47" spans="1:18" ht="21.75" customHeight="1">
      <c r="L47" s="619"/>
      <c r="M47" s="619"/>
      <c r="N47" s="619"/>
      <c r="O47" s="619"/>
      <c r="P47" s="619"/>
      <c r="Q47" s="619"/>
      <c r="R47" s="619"/>
    </row>
    <row r="48" spans="1:18" ht="21.75" customHeight="1">
      <c r="L48" s="619"/>
      <c r="M48" s="619"/>
      <c r="N48" s="619"/>
      <c r="O48" s="619"/>
      <c r="P48" s="619"/>
      <c r="Q48" s="619"/>
      <c r="R48" s="619"/>
    </row>
    <row r="49" ht="21.75" customHeight="1"/>
    <row r="50" ht="21.75" customHeight="1"/>
  </sheetData>
  <mergeCells count="14">
    <mergeCell ref="L34:L41"/>
    <mergeCell ref="A42:K42"/>
    <mergeCell ref="A1:K1"/>
    <mergeCell ref="A2:K2"/>
    <mergeCell ref="A3:A4"/>
    <mergeCell ref="B3:B4"/>
    <mergeCell ref="C3:C4"/>
    <mergeCell ref="G3:H3"/>
    <mergeCell ref="K3:K4"/>
    <mergeCell ref="L5:L16"/>
    <mergeCell ref="L17:L18"/>
    <mergeCell ref="L20:L22"/>
    <mergeCell ref="L23:L25"/>
    <mergeCell ref="L27:L29"/>
  </mergeCells>
  <printOptions horizontalCentered="1"/>
  <pageMargins left="0.5" right="0.5" top="0.5" bottom="0.5" header="0.35" footer="0.35"/>
  <pageSetup scale="86"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&amp;"Arial,Regular"1/25/2017&amp;C&amp;8Table 2-H:  Page &amp;P&amp;R&amp;8Printed &amp;D &amp;T</oddFooter>
  </headerFooter>
  <rowBreaks count="1" manualBreakCount="1">
    <brk id="28" max="1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1"/>
  </sheetPr>
  <dimension ref="A1:Z73"/>
  <sheetViews>
    <sheetView view="pageBreakPreview" zoomScale="85" zoomScaleNormal="100" zoomScaleSheetLayoutView="85" zoomScalePageLayoutView="63" workbookViewId="0">
      <selection activeCell="E19" sqref="E19:R20"/>
    </sheetView>
  </sheetViews>
  <sheetFormatPr defaultColWidth="8.6328125" defaultRowHeight="13"/>
  <cols>
    <col min="1" max="2" width="9.453125" style="66" customWidth="1"/>
    <col min="3" max="12" width="7.453125" style="66" customWidth="1"/>
    <col min="13" max="13" width="7.36328125" style="66" customWidth="1"/>
    <col min="14" max="22" width="7.453125" style="66" customWidth="1"/>
    <col min="23" max="16384" width="8.6328125" style="66"/>
  </cols>
  <sheetData>
    <row r="1" spans="1:26" ht="21.75" customHeight="1">
      <c r="A1" s="4141" t="s">
        <v>1777</v>
      </c>
      <c r="B1" s="4141"/>
      <c r="C1" s="4141"/>
      <c r="D1" s="4141"/>
      <c r="E1" s="4141"/>
      <c r="F1" s="4141"/>
      <c r="G1" s="4141"/>
      <c r="H1" s="4141"/>
      <c r="I1" s="4141"/>
      <c r="J1" s="4141"/>
      <c r="K1" s="4141"/>
      <c r="L1" s="4141"/>
      <c r="M1" s="4141"/>
      <c r="N1" s="4141"/>
      <c r="O1" s="4141"/>
      <c r="P1" s="4141"/>
      <c r="Q1" s="4141"/>
      <c r="R1" s="4141"/>
      <c r="S1" s="4141"/>
      <c r="T1" s="4141"/>
      <c r="U1" s="4141"/>
      <c r="V1" s="4141"/>
    </row>
    <row r="2" spans="1:26" ht="80" customHeight="1" thickBot="1">
      <c r="A2" s="4142" t="s">
        <v>181</v>
      </c>
      <c r="B2" s="4142"/>
      <c r="C2" s="4142"/>
      <c r="D2" s="4142"/>
      <c r="E2" s="4142"/>
      <c r="F2" s="4142"/>
      <c r="G2" s="4142"/>
      <c r="H2" s="4142"/>
      <c r="I2" s="4142"/>
      <c r="J2" s="4142"/>
      <c r="K2" s="4142"/>
      <c r="L2" s="4142"/>
      <c r="M2" s="4142"/>
      <c r="N2" s="4142"/>
      <c r="O2" s="4142"/>
      <c r="P2" s="4142"/>
      <c r="Q2" s="4142"/>
      <c r="R2" s="4142"/>
      <c r="S2" s="4142"/>
      <c r="T2" s="4142"/>
      <c r="U2" s="4142"/>
      <c r="V2" s="4142"/>
    </row>
    <row r="3" spans="1:26" ht="19.5" customHeight="1">
      <c r="A3" s="4143" t="s">
        <v>182</v>
      </c>
      <c r="B3" s="4145" t="s">
        <v>183</v>
      </c>
      <c r="C3" s="4148" t="s">
        <v>45</v>
      </c>
      <c r="D3" s="4149"/>
      <c r="E3" s="4152" t="s">
        <v>1465</v>
      </c>
      <c r="F3" s="4153"/>
      <c r="G3" s="4152" t="s">
        <v>665</v>
      </c>
      <c r="H3" s="4153"/>
      <c r="I3" s="4152" t="s">
        <v>1758</v>
      </c>
      <c r="J3" s="4153"/>
      <c r="K3" s="4152" t="s">
        <v>1759</v>
      </c>
      <c r="L3" s="4153"/>
      <c r="M3" s="4152" t="s">
        <v>1466</v>
      </c>
      <c r="N3" s="4153"/>
      <c r="O3" s="4152" t="s">
        <v>1467</v>
      </c>
      <c r="P3" s="4153"/>
      <c r="Q3" s="4152" t="s">
        <v>1491</v>
      </c>
      <c r="R3" s="4153"/>
      <c r="S3" s="4152" t="s">
        <v>1499</v>
      </c>
      <c r="T3" s="4153"/>
      <c r="U3" s="4156" t="s">
        <v>184</v>
      </c>
      <c r="V3" s="4157"/>
    </row>
    <row r="4" spans="1:26" ht="19.5" customHeight="1">
      <c r="A4" s="4144"/>
      <c r="B4" s="4146"/>
      <c r="C4" s="4150"/>
      <c r="D4" s="4151"/>
      <c r="E4" s="4154"/>
      <c r="F4" s="4155"/>
      <c r="G4" s="4154"/>
      <c r="H4" s="4155"/>
      <c r="I4" s="4154"/>
      <c r="J4" s="4155"/>
      <c r="K4" s="4154"/>
      <c r="L4" s="4155"/>
      <c r="M4" s="4154"/>
      <c r="N4" s="4155"/>
      <c r="O4" s="4154"/>
      <c r="P4" s="4155"/>
      <c r="Q4" s="4154"/>
      <c r="R4" s="4155"/>
      <c r="S4" s="4154"/>
      <c r="T4" s="4155"/>
      <c r="U4" s="4158"/>
      <c r="V4" s="4159"/>
    </row>
    <row r="5" spans="1:26" ht="19.5" customHeight="1">
      <c r="A5" s="4126"/>
      <c r="B5" s="4147"/>
      <c r="C5" s="79" t="s">
        <v>22</v>
      </c>
      <c r="D5" s="80" t="s">
        <v>155</v>
      </c>
      <c r="E5" s="625" t="s">
        <v>22</v>
      </c>
      <c r="F5" s="624" t="s">
        <v>155</v>
      </c>
      <c r="G5" s="625" t="s">
        <v>22</v>
      </c>
      <c r="H5" s="624" t="s">
        <v>155</v>
      </c>
      <c r="I5" s="79" t="s">
        <v>22</v>
      </c>
      <c r="J5" s="80" t="s">
        <v>155</v>
      </c>
      <c r="K5" s="79" t="s">
        <v>22</v>
      </c>
      <c r="L5" s="80" t="s">
        <v>155</v>
      </c>
      <c r="M5" s="546" t="s">
        <v>22</v>
      </c>
      <c r="N5" s="547" t="s">
        <v>155</v>
      </c>
      <c r="O5" s="79" t="s">
        <v>22</v>
      </c>
      <c r="P5" s="80" t="s">
        <v>155</v>
      </c>
      <c r="Q5" s="79" t="s">
        <v>22</v>
      </c>
      <c r="R5" s="80" t="s">
        <v>155</v>
      </c>
      <c r="S5" s="79" t="s">
        <v>22</v>
      </c>
      <c r="T5" s="80" t="s">
        <v>155</v>
      </c>
      <c r="U5" s="79" t="s">
        <v>22</v>
      </c>
      <c r="V5" s="80" t="s">
        <v>155</v>
      </c>
    </row>
    <row r="6" spans="1:26" ht="18" customHeight="1">
      <c r="A6" s="112" t="str">
        <f t="shared" ref="A6:A17" si="0">B6</f>
        <v>SHTR1</v>
      </c>
      <c r="B6" s="113" t="str">
        <f>'2-E-NoCo'!A5</f>
        <v>SHTR1</v>
      </c>
      <c r="C6" s="626">
        <f>SUM('Burners No Cogen'!M48:Q48)</f>
        <v>0.1196558411764706</v>
      </c>
      <c r="D6" s="627">
        <f>SUM('Burners No Cogen'!R48:V48)</f>
        <v>0.52409258435294115</v>
      </c>
      <c r="E6" s="626">
        <f>'Burners No Cogen'!O48</f>
        <v>0.11440588235294119</v>
      </c>
      <c r="F6" s="627">
        <f>'Burners No Cogen'!T48</f>
        <v>0.50109776470588241</v>
      </c>
      <c r="G6" s="628">
        <f>'Burners No Cogen'!H48</f>
        <v>2.0999999999999999E-3</v>
      </c>
      <c r="H6" s="629">
        <f>'Burners No Cogen'!R48</f>
        <v>5.8461405882352939E-4</v>
      </c>
      <c r="I6" s="626">
        <f>Burners!N31</f>
        <v>2.1609999999999999E-4</v>
      </c>
      <c r="J6" s="627">
        <f>Burners!S31</f>
        <v>9.4651799999999993E-4</v>
      </c>
      <c r="K6" s="626">
        <v>0</v>
      </c>
      <c r="L6" s="627">
        <v>0</v>
      </c>
      <c r="M6" s="628">
        <v>0</v>
      </c>
      <c r="N6" s="629">
        <v>0</v>
      </c>
      <c r="O6" s="628">
        <f>'Burners No Cogen'!P48</f>
        <v>4.7669117647058815E-3</v>
      </c>
      <c r="P6" s="629">
        <f>'Burners No Cogen'!U48</f>
        <v>2.0879073529411762E-2</v>
      </c>
      <c r="Q6" s="1688" t="s">
        <v>445</v>
      </c>
      <c r="R6" s="1689" t="s">
        <v>445</v>
      </c>
      <c r="S6" s="1688" t="s">
        <v>445</v>
      </c>
      <c r="T6" s="1689" t="s">
        <v>445</v>
      </c>
      <c r="U6" s="551"/>
      <c r="V6" s="552"/>
      <c r="Y6" s="627">
        <v>0.52409258435294115</v>
      </c>
      <c r="Z6" s="66">
        <v>0.52384203547058827</v>
      </c>
    </row>
    <row r="7" spans="1:26" ht="18" customHeight="1">
      <c r="A7" s="310" t="str">
        <f t="shared" si="0"/>
        <v>SHTR2</v>
      </c>
      <c r="B7" s="311" t="str">
        <f>'2-E-NoCo'!A6</f>
        <v>SHTR2</v>
      </c>
      <c r="C7" s="290">
        <f>SUM('Burners No Cogen'!M49:Q49)</f>
        <v>0.11959863823529414</v>
      </c>
      <c r="D7" s="291">
        <f>SUM('Burners No Cogen'!R49:V49)</f>
        <v>0.52384203547058827</v>
      </c>
      <c r="E7" s="290">
        <f>'Burners No Cogen'!O49</f>
        <v>0.11440588235294119</v>
      </c>
      <c r="F7" s="291">
        <f>'Burners No Cogen'!T49</f>
        <v>0.50109776470588241</v>
      </c>
      <c r="G7" s="1679">
        <f>'Burners No Cogen'!H49</f>
        <v>2.0999999999999999E-3</v>
      </c>
      <c r="H7" s="1680">
        <f>'Burners No Cogen'!R49</f>
        <v>5.8461405882352939E-4</v>
      </c>
      <c r="I7" s="630">
        <f>I6</f>
        <v>2.1609999999999999E-4</v>
      </c>
      <c r="J7" s="631">
        <f>J6</f>
        <v>9.4651799999999993E-4</v>
      </c>
      <c r="K7" s="630">
        <f>K6</f>
        <v>0</v>
      </c>
      <c r="L7" s="631">
        <f>L6</f>
        <v>0</v>
      </c>
      <c r="M7" s="1679">
        <v>0</v>
      </c>
      <c r="N7" s="1680">
        <v>0</v>
      </c>
      <c r="O7" s="1679">
        <f>'Burners No Cogen'!P49</f>
        <v>4.7669117647058815E-3</v>
      </c>
      <c r="P7" s="1680">
        <f>'Burners No Cogen'!U49</f>
        <v>2.0879073529411762E-2</v>
      </c>
      <c r="Q7" s="1690" t="s">
        <v>445</v>
      </c>
      <c r="R7" s="1691" t="s">
        <v>445</v>
      </c>
      <c r="S7" s="1690" t="s">
        <v>445</v>
      </c>
      <c r="T7" s="1691" t="s">
        <v>445</v>
      </c>
      <c r="U7" s="553"/>
      <c r="V7" s="554"/>
      <c r="Y7" s="291">
        <v>0.52384203547058827</v>
      </c>
      <c r="Z7" s="66">
        <v>0.52384203547058827</v>
      </c>
    </row>
    <row r="8" spans="1:26" s="78" customFormat="1" ht="18" customHeight="1">
      <c r="A8" s="2381" t="str">
        <f t="shared" si="0"/>
        <v>RHTR1</v>
      </c>
      <c r="B8" s="2382" t="str">
        <f>'2-E-NoCo'!A20</f>
        <v>RHTR1</v>
      </c>
      <c r="C8" s="362">
        <f>SUM('Burners No Cogen'!M63:Q63)</f>
        <v>7.2205625490196074E-2</v>
      </c>
      <c r="D8" s="104">
        <f>SUM('Burners No Cogen'!R63:V63)</f>
        <v>0.31626063964705881</v>
      </c>
      <c r="E8" s="362">
        <f>'Burners No Cogen'!O63</f>
        <v>6.907058823529412E-2</v>
      </c>
      <c r="F8" s="104">
        <f>'Burners No Cogen'!T63</f>
        <v>0.30252917647058825</v>
      </c>
      <c r="G8" s="2383">
        <f>'Burners No Cogen'!H63</f>
        <v>2.0999999999999999E-3</v>
      </c>
      <c r="H8" s="2384">
        <f>'Burners No Cogen'!R63</f>
        <v>3.5295070588235294E-4</v>
      </c>
      <c r="I8" s="362">
        <f>Burners!N33</f>
        <v>1.3046666666666668E-4</v>
      </c>
      <c r="J8" s="104">
        <f>Burners!S33</f>
        <v>5.7144400000000005E-4</v>
      </c>
      <c r="K8" s="362">
        <f>K6</f>
        <v>0</v>
      </c>
      <c r="L8" s="104">
        <f>L6</f>
        <v>0</v>
      </c>
      <c r="M8" s="2383">
        <v>0</v>
      </c>
      <c r="N8" s="2384">
        <v>0</v>
      </c>
      <c r="O8" s="2383">
        <f>'Burners No Cogen'!P63</f>
        <v>2.8779411764705883E-3</v>
      </c>
      <c r="P8" s="2384">
        <f>'Burners No Cogen'!U63</f>
        <v>1.2605382352941178E-2</v>
      </c>
      <c r="Q8" s="2385" t="s">
        <v>445</v>
      </c>
      <c r="R8" s="2386" t="s">
        <v>445</v>
      </c>
      <c r="S8" s="2385" t="s">
        <v>445</v>
      </c>
      <c r="T8" s="2386" t="s">
        <v>445</v>
      </c>
      <c r="U8" s="555"/>
      <c r="V8" s="556"/>
      <c r="Y8" s="104">
        <v>0.31626063964705881</v>
      </c>
      <c r="Z8" s="78">
        <v>0.31626063964705881</v>
      </c>
    </row>
    <row r="9" spans="1:26" s="78" customFormat="1" ht="18" customHeight="1">
      <c r="A9" s="2392" t="str">
        <f t="shared" si="0"/>
        <v>RHTR2</v>
      </c>
      <c r="B9" s="2393" t="str">
        <f>'2-E-NoCo'!A21</f>
        <v>RHTR2</v>
      </c>
      <c r="C9" s="290">
        <f>SUM('Burners No Cogen'!M64:Q64)</f>
        <v>7.2205625490196074E-2</v>
      </c>
      <c r="D9" s="291">
        <f>SUM('Burners No Cogen'!R64:V64)</f>
        <v>0.31626063964705881</v>
      </c>
      <c r="E9" s="290">
        <f>'Burners No Cogen'!O64</f>
        <v>6.907058823529412E-2</v>
      </c>
      <c r="F9" s="291">
        <f>'Burners No Cogen'!T64</f>
        <v>0.30252917647058825</v>
      </c>
      <c r="G9" s="1679">
        <f>'Burners No Cogen'!H64</f>
        <v>2.0999999999999999E-3</v>
      </c>
      <c r="H9" s="1680">
        <f>'Burners No Cogen'!R64</f>
        <v>3.5295070588235294E-4</v>
      </c>
      <c r="I9" s="290">
        <f>I8</f>
        <v>1.3046666666666668E-4</v>
      </c>
      <c r="J9" s="291">
        <f>J8</f>
        <v>5.7144400000000005E-4</v>
      </c>
      <c r="K9" s="290">
        <f>K6</f>
        <v>0</v>
      </c>
      <c r="L9" s="291">
        <f>L6</f>
        <v>0</v>
      </c>
      <c r="M9" s="1679">
        <v>0</v>
      </c>
      <c r="N9" s="1680">
        <v>0</v>
      </c>
      <c r="O9" s="1679">
        <f>'Burners No Cogen'!P64</f>
        <v>2.8779411764705883E-3</v>
      </c>
      <c r="P9" s="1680">
        <f>'Burners No Cogen'!U64</f>
        <v>1.2605382352941178E-2</v>
      </c>
      <c r="Q9" s="1692" t="s">
        <v>445</v>
      </c>
      <c r="R9" s="1693" t="s">
        <v>445</v>
      </c>
      <c r="S9" s="1692" t="s">
        <v>445</v>
      </c>
      <c r="T9" s="1693" t="s">
        <v>445</v>
      </c>
      <c r="U9" s="553"/>
      <c r="V9" s="554"/>
      <c r="Y9" s="291">
        <v>0.31626063964705881</v>
      </c>
      <c r="Z9" s="78">
        <v>0.31626063964705881</v>
      </c>
    </row>
    <row r="10" spans="1:26" s="78" customFormat="1" ht="18" customHeight="1">
      <c r="A10" s="2381" t="str">
        <f t="shared" si="0"/>
        <v>RHTR3</v>
      </c>
      <c r="B10" s="2382" t="str">
        <f>'2-E-NoCo'!A22</f>
        <v>RHTR3</v>
      </c>
      <c r="C10" s="362">
        <f>SUM('Burners No Cogen'!M65:Q65)</f>
        <v>7.2205625490196074E-2</v>
      </c>
      <c r="D10" s="104">
        <f>SUM('Burners No Cogen'!R65:V65)</f>
        <v>0.31626063964705881</v>
      </c>
      <c r="E10" s="362">
        <f>'Burners No Cogen'!O65</f>
        <v>6.907058823529412E-2</v>
      </c>
      <c r="F10" s="104">
        <f>'Burners No Cogen'!T65</f>
        <v>0.30252917647058825</v>
      </c>
      <c r="G10" s="2383">
        <f>'Burners No Cogen'!H65</f>
        <v>2.0999999999999999E-3</v>
      </c>
      <c r="H10" s="2384">
        <f>'Burners No Cogen'!R65</f>
        <v>3.5295070588235294E-4</v>
      </c>
      <c r="I10" s="362">
        <f>I8</f>
        <v>1.3046666666666668E-4</v>
      </c>
      <c r="J10" s="104">
        <f>J8</f>
        <v>5.7144400000000005E-4</v>
      </c>
      <c r="K10" s="362">
        <f>K6</f>
        <v>0</v>
      </c>
      <c r="L10" s="104">
        <f>L6</f>
        <v>0</v>
      </c>
      <c r="M10" s="2383">
        <v>0</v>
      </c>
      <c r="N10" s="2384">
        <v>0</v>
      </c>
      <c r="O10" s="2383">
        <f>'Burners No Cogen'!P65</f>
        <v>2.8779411764705883E-3</v>
      </c>
      <c r="P10" s="2384">
        <f>'Burners No Cogen'!U65</f>
        <v>1.2605382352941178E-2</v>
      </c>
      <c r="Q10" s="2385" t="s">
        <v>445</v>
      </c>
      <c r="R10" s="2386" t="s">
        <v>445</v>
      </c>
      <c r="S10" s="2385" t="s">
        <v>445</v>
      </c>
      <c r="T10" s="2386" t="s">
        <v>445</v>
      </c>
      <c r="U10" s="555"/>
      <c r="V10" s="556"/>
      <c r="Y10" s="104">
        <v>0.31626063964705881</v>
      </c>
      <c r="Z10" s="78">
        <v>0.31626063964705881</v>
      </c>
    </row>
    <row r="11" spans="1:26" s="78" customFormat="1" ht="21.65" customHeight="1">
      <c r="A11" s="2964" t="str">
        <f t="shared" si="0"/>
        <v>FL1-FL3 - 
Pilot/Purge</v>
      </c>
      <c r="B11" s="2849" t="str">
        <f>'2-E-NoCo'!A23</f>
        <v>FL1-FL3 - 
Pilot/Purge</v>
      </c>
      <c r="C11" s="2627">
        <f>'2-I_NoCo'!C24</f>
        <v>0</v>
      </c>
      <c r="D11" s="2628">
        <f>'2-I_NoCo'!D24</f>
        <v>0</v>
      </c>
      <c r="E11" s="2627">
        <f>'2-I_NoCo'!E24</f>
        <v>0</v>
      </c>
      <c r="F11" s="2628">
        <f>'2-I_NoCo'!F24</f>
        <v>0</v>
      </c>
      <c r="G11" s="2627">
        <f>'2-I_NoCo'!G24</f>
        <v>0</v>
      </c>
      <c r="H11" s="2628">
        <f>'2-I_NoCo'!H24</f>
        <v>0</v>
      </c>
      <c r="I11" s="2627">
        <f>'2-I_NoCo'!I24</f>
        <v>0</v>
      </c>
      <c r="J11" s="2628">
        <f>'2-I_NoCo'!J24</f>
        <v>0</v>
      </c>
      <c r="K11" s="2627">
        <f>'2-I_NoCo'!K24</f>
        <v>0</v>
      </c>
      <c r="L11" s="2628">
        <f>'2-I_NoCo'!L24</f>
        <v>0</v>
      </c>
      <c r="M11" s="2627">
        <f>'2-I_NoCo'!M24</f>
        <v>0</v>
      </c>
      <c r="N11" s="2628">
        <f>'2-I_NoCo'!N24</f>
        <v>0</v>
      </c>
      <c r="O11" s="2627">
        <f>'2-I_NoCo'!O24</f>
        <v>0</v>
      </c>
      <c r="P11" s="2628">
        <f>'2-I_NoCo'!P24</f>
        <v>0</v>
      </c>
      <c r="Q11" s="1692" t="s">
        <v>445</v>
      </c>
      <c r="R11" s="1693" t="s">
        <v>445</v>
      </c>
      <c r="S11" s="1692" t="s">
        <v>445</v>
      </c>
      <c r="T11" s="1693" t="s">
        <v>445</v>
      </c>
      <c r="U11" s="2394"/>
      <c r="V11" s="2395"/>
      <c r="Y11" s="2628">
        <v>0</v>
      </c>
      <c r="Z11" s="78">
        <v>0</v>
      </c>
    </row>
    <row r="12" spans="1:26" s="78" customFormat="1" ht="32.75" customHeight="1">
      <c r="A12" s="2387" t="str">
        <f>'2-I_NoCo'!A25</f>
        <v>FL1-FL3OVHD-SSM</v>
      </c>
      <c r="B12" s="2851" t="str">
        <f>A12</f>
        <v>FL1-FL3OVHD-SSM</v>
      </c>
      <c r="C12" s="2638">
        <f>'2-I_NoCo'!C25</f>
        <v>4.4544709510301175</v>
      </c>
      <c r="D12" s="2639">
        <f>'2-I_NoCo'!D25</f>
        <v>0.81071371308748152</v>
      </c>
      <c r="E12" s="2638">
        <f>'2-I_NoCo'!E25</f>
        <v>1.9586137138000317</v>
      </c>
      <c r="F12" s="2639">
        <f>'2-I_NoCo'!F25</f>
        <v>0.35646769591160582</v>
      </c>
      <c r="G12" s="2638">
        <f>'2-I_NoCo'!G25</f>
        <v>1.4665886435816673</v>
      </c>
      <c r="H12" s="2639">
        <f>'2-I_NoCo'!H25</f>
        <v>0.26691913313186344</v>
      </c>
      <c r="I12" s="2638">
        <f>'2-I_NoCo'!I25</f>
        <v>0.81944747003380469</v>
      </c>
      <c r="J12" s="2639">
        <f>'2-I_NoCo'!J25</f>
        <v>0.14913943954615247</v>
      </c>
      <c r="K12" s="2638">
        <f>'2-I_NoCo'!K25</f>
        <v>0</v>
      </c>
      <c r="L12" s="2639">
        <f>'2-I_NoCo'!L25</f>
        <v>0</v>
      </c>
      <c r="M12" s="2638">
        <f>'2-I_NoCo'!M25</f>
        <v>0.20982112361461419</v>
      </c>
      <c r="N12" s="2639">
        <f>'2-I_NoCo'!N25</f>
        <v>3.8187444497859782E-2</v>
      </c>
      <c r="O12" s="2638">
        <f>'2-I_NoCo'!O25</f>
        <v>0</v>
      </c>
      <c r="P12" s="2639">
        <f>'2-I_NoCo'!P25</f>
        <v>0</v>
      </c>
      <c r="Q12" s="2953" t="str">
        <f>'2-I_NoCo'!Q25</f>
        <v>--</v>
      </c>
      <c r="R12" s="2966" t="s">
        <v>445</v>
      </c>
      <c r="S12" s="2385" t="s">
        <v>445</v>
      </c>
      <c r="T12" s="2386" t="s">
        <v>445</v>
      </c>
      <c r="U12" s="2388"/>
      <c r="V12" s="2389"/>
      <c r="Y12" s="2639">
        <v>1.0809516174499771</v>
      </c>
      <c r="Z12" s="66">
        <v>1.0809516174499767</v>
      </c>
    </row>
    <row r="13" spans="1:26" ht="32.75" customHeight="1">
      <c r="A13" s="2965" t="str">
        <f>'2-I_NoCo'!A26</f>
        <v>FL1-FL3CRYO-SSM</v>
      </c>
      <c r="B13" s="2849" t="str">
        <f>A13</f>
        <v>FL1-FL3CRYO-SSM</v>
      </c>
      <c r="C13" s="2627">
        <f>'2-I_NoCo'!C26</f>
        <v>1.3117788389852012</v>
      </c>
      <c r="D13" s="2628">
        <f>'2-I_NoCo'!D26</f>
        <v>0.23874374869530662</v>
      </c>
      <c r="E13" s="2627">
        <f>'2-I_NoCo'!E26</f>
        <v>0.81767145825420073</v>
      </c>
      <c r="F13" s="2628">
        <f>'2-I_NoCo'!F26</f>
        <v>0.14881620540226453</v>
      </c>
      <c r="G13" s="2627">
        <f>'2-I_NoCo'!G26</f>
        <v>0.49410738073100041</v>
      </c>
      <c r="H13" s="2628">
        <f>'2-I_NoCo'!H26</f>
        <v>8.9927543293042075E-2</v>
      </c>
      <c r="I13" s="2627">
        <f>'2-I_NoCo'!I26</f>
        <v>0</v>
      </c>
      <c r="J13" s="2628">
        <f>'2-I_NoCo'!J26</f>
        <v>0</v>
      </c>
      <c r="K13" s="2627">
        <f>'2-I_NoCo'!K26</f>
        <v>0</v>
      </c>
      <c r="L13" s="2628">
        <f>'2-I_NoCo'!L26</f>
        <v>0</v>
      </c>
      <c r="M13" s="2627">
        <f>'2-I_NoCo'!M26</f>
        <v>0</v>
      </c>
      <c r="N13" s="2628">
        <f>'2-I_NoCo'!N26</f>
        <v>0</v>
      </c>
      <c r="O13" s="2627">
        <f>'2-I_NoCo'!O26</f>
        <v>0</v>
      </c>
      <c r="P13" s="2628">
        <f>'2-I_NoCo'!P26</f>
        <v>0</v>
      </c>
      <c r="Q13" s="1692" t="s">
        <v>445</v>
      </c>
      <c r="R13" s="1693" t="s">
        <v>445</v>
      </c>
      <c r="S13" s="1692" t="s">
        <v>445</v>
      </c>
      <c r="T13" s="1693" t="s">
        <v>445</v>
      </c>
      <c r="U13" s="553"/>
      <c r="V13" s="554"/>
      <c r="Y13" s="2628">
        <v>0.34219954422962007</v>
      </c>
      <c r="Z13" s="66">
        <v>0.34219954422962007</v>
      </c>
    </row>
    <row r="14" spans="1:26" ht="18" customHeight="1">
      <c r="A14" s="2381" t="str">
        <f t="shared" si="0"/>
        <v>IFR1</v>
      </c>
      <c r="B14" s="2382" t="str">
        <f>'2-E-NoCo'!A26</f>
        <v>IFR1</v>
      </c>
      <c r="C14" s="362">
        <f>'IFR Tanks (IFR1-IFR4)'!C42</f>
        <v>6.7739254805280091E-2</v>
      </c>
      <c r="D14" s="104">
        <f>'IFR Tanks (IFR1-IFR4)'!D42</f>
        <v>0.2966979360471268</v>
      </c>
      <c r="E14" s="362">
        <f>'IFR Tanks (IFR1-IFR4)'!C25</f>
        <v>2.3910069667928999E-2</v>
      </c>
      <c r="F14" s="104">
        <f>'IFR Tanks (IFR1-IFR4)'!D25</f>
        <v>0.10472610514552902</v>
      </c>
      <c r="G14" s="2383">
        <f>'IFR Tanks (IFR1-IFR4)'!C27</f>
        <v>1.41043714559578E-2</v>
      </c>
      <c r="H14" s="2384">
        <f>'IFR Tanks (IFR1-IFR4)'!D27</f>
        <v>6.1777146977095167E-2</v>
      </c>
      <c r="I14" s="362">
        <f>'IFR Tanks (IFR1-IFR4)'!C33</f>
        <v>1.7641730730531598E-2</v>
      </c>
      <c r="J14" s="104">
        <f>'IFR Tanks (IFR1-IFR4)'!D33</f>
        <v>7.7270780599728403E-2</v>
      </c>
      <c r="K14" s="362">
        <f>'IFR Tanks (IFR1-IFR4)'!C35</f>
        <v>1.03974487369039E-3</v>
      </c>
      <c r="L14" s="104">
        <f>'IFR Tanks (IFR1-IFR4)'!D35</f>
        <v>4.5540825467639077E-3</v>
      </c>
      <c r="M14" s="2383">
        <f>'IFR Tanks (IFR1-IFR4)'!C36</f>
        <v>1.10433380771713E-2</v>
      </c>
      <c r="N14" s="2384">
        <f>'IFR Tanks (IFR1-IFR4)'!D36</f>
        <v>4.8369820778010296E-2</v>
      </c>
      <c r="O14" s="362">
        <v>0</v>
      </c>
      <c r="P14" s="104">
        <v>0</v>
      </c>
      <c r="Q14" s="2385" t="s">
        <v>445</v>
      </c>
      <c r="R14" s="2386" t="s">
        <v>445</v>
      </c>
      <c r="S14" s="2385" t="s">
        <v>445</v>
      </c>
      <c r="T14" s="2386" t="s">
        <v>445</v>
      </c>
      <c r="U14" s="555"/>
      <c r="V14" s="556"/>
      <c r="Y14" s="104">
        <v>0.27568608517933368</v>
      </c>
      <c r="Z14" s="66">
        <v>0.27568608517933368</v>
      </c>
    </row>
    <row r="15" spans="1:26" ht="18" customHeight="1">
      <c r="A15" s="2396" t="str">
        <f t="shared" si="0"/>
        <v>IFR2</v>
      </c>
      <c r="B15" s="2393" t="str">
        <f>'2-E-NoCo'!A27</f>
        <v>IFR2</v>
      </c>
      <c r="C15" s="290">
        <f>C14</f>
        <v>6.7739254805280091E-2</v>
      </c>
      <c r="D15" s="291">
        <f>D14</f>
        <v>0.2966979360471268</v>
      </c>
      <c r="E15" s="290">
        <f t="shared" ref="E15:P15" si="1">E14</f>
        <v>2.3910069667928999E-2</v>
      </c>
      <c r="F15" s="291">
        <f t="shared" si="1"/>
        <v>0.10472610514552902</v>
      </c>
      <c r="G15" s="290">
        <f t="shared" si="1"/>
        <v>1.41043714559578E-2</v>
      </c>
      <c r="H15" s="291">
        <f t="shared" si="1"/>
        <v>6.1777146977095167E-2</v>
      </c>
      <c r="I15" s="290">
        <f>I14</f>
        <v>1.7641730730531598E-2</v>
      </c>
      <c r="J15" s="291">
        <f>J14</f>
        <v>7.7270780599728403E-2</v>
      </c>
      <c r="K15" s="290">
        <f>K14</f>
        <v>1.03974487369039E-3</v>
      </c>
      <c r="L15" s="291">
        <f>L14</f>
        <v>4.5540825467639077E-3</v>
      </c>
      <c r="M15" s="290">
        <f t="shared" si="1"/>
        <v>1.10433380771713E-2</v>
      </c>
      <c r="N15" s="291">
        <f t="shared" si="1"/>
        <v>4.8369820778010296E-2</v>
      </c>
      <c r="O15" s="290">
        <f t="shared" si="1"/>
        <v>0</v>
      </c>
      <c r="P15" s="291">
        <f t="shared" si="1"/>
        <v>0</v>
      </c>
      <c r="Q15" s="1692" t="s">
        <v>445</v>
      </c>
      <c r="R15" s="1693" t="s">
        <v>445</v>
      </c>
      <c r="S15" s="1692" t="s">
        <v>445</v>
      </c>
      <c r="T15" s="1693" t="s">
        <v>445</v>
      </c>
      <c r="U15" s="553"/>
      <c r="V15" s="554"/>
      <c r="Y15" s="291">
        <v>0.27568608517933368</v>
      </c>
      <c r="Z15" s="66">
        <v>0.27568608517933368</v>
      </c>
    </row>
    <row r="16" spans="1:26" ht="18" customHeight="1">
      <c r="A16" s="2387" t="str">
        <f t="shared" si="0"/>
        <v>IFR3</v>
      </c>
      <c r="B16" s="2382" t="str">
        <f>'2-E-NoCo'!A28</f>
        <v>IFR3</v>
      </c>
      <c r="C16" s="362">
        <f>C14</f>
        <v>6.7739254805280091E-2</v>
      </c>
      <c r="D16" s="104">
        <f>D14</f>
        <v>0.2966979360471268</v>
      </c>
      <c r="E16" s="362">
        <f t="shared" ref="E16:P16" si="2">E14</f>
        <v>2.3910069667928999E-2</v>
      </c>
      <c r="F16" s="104">
        <f t="shared" si="2"/>
        <v>0.10472610514552902</v>
      </c>
      <c r="G16" s="362">
        <f t="shared" si="2"/>
        <v>1.41043714559578E-2</v>
      </c>
      <c r="H16" s="104">
        <f t="shared" si="2"/>
        <v>6.1777146977095167E-2</v>
      </c>
      <c r="I16" s="362">
        <f>I14</f>
        <v>1.7641730730531598E-2</v>
      </c>
      <c r="J16" s="104">
        <f>J14</f>
        <v>7.7270780599728403E-2</v>
      </c>
      <c r="K16" s="362">
        <f>K14</f>
        <v>1.03974487369039E-3</v>
      </c>
      <c r="L16" s="104">
        <f>L14</f>
        <v>4.5540825467639077E-3</v>
      </c>
      <c r="M16" s="362">
        <f t="shared" si="2"/>
        <v>1.10433380771713E-2</v>
      </c>
      <c r="N16" s="104">
        <f t="shared" si="2"/>
        <v>4.8369820778010296E-2</v>
      </c>
      <c r="O16" s="362">
        <f t="shared" si="2"/>
        <v>0</v>
      </c>
      <c r="P16" s="104">
        <f t="shared" si="2"/>
        <v>0</v>
      </c>
      <c r="Q16" s="2385" t="s">
        <v>445</v>
      </c>
      <c r="R16" s="2386" t="s">
        <v>445</v>
      </c>
      <c r="S16" s="2385" t="s">
        <v>445</v>
      </c>
      <c r="T16" s="2386" t="s">
        <v>445</v>
      </c>
      <c r="U16" s="555"/>
      <c r="V16" s="556"/>
      <c r="Y16" s="104">
        <v>0.27568608517933368</v>
      </c>
      <c r="Z16" s="66">
        <v>0.27568608517933368</v>
      </c>
    </row>
    <row r="17" spans="1:26" ht="18" customHeight="1">
      <c r="A17" s="2396" t="str">
        <f t="shared" si="0"/>
        <v>IFR4</v>
      </c>
      <c r="B17" s="2393" t="str">
        <f>'2-E-NoCo'!A29</f>
        <v>IFR4</v>
      </c>
      <c r="C17" s="290">
        <f>C16</f>
        <v>6.7739254805280091E-2</v>
      </c>
      <c r="D17" s="291">
        <f>D16</f>
        <v>0.2966979360471268</v>
      </c>
      <c r="E17" s="290">
        <f t="shared" ref="E17:P17" si="3">E16</f>
        <v>2.3910069667928999E-2</v>
      </c>
      <c r="F17" s="291">
        <f t="shared" si="3"/>
        <v>0.10472610514552902</v>
      </c>
      <c r="G17" s="290">
        <f t="shared" si="3"/>
        <v>1.41043714559578E-2</v>
      </c>
      <c r="H17" s="291">
        <f t="shared" si="3"/>
        <v>6.1777146977095167E-2</v>
      </c>
      <c r="I17" s="290">
        <f>I14</f>
        <v>1.7641730730531598E-2</v>
      </c>
      <c r="J17" s="291">
        <f>J14</f>
        <v>7.7270780599728403E-2</v>
      </c>
      <c r="K17" s="290">
        <f>K14</f>
        <v>1.03974487369039E-3</v>
      </c>
      <c r="L17" s="291">
        <f>L14</f>
        <v>4.5540825467639077E-3</v>
      </c>
      <c r="M17" s="290">
        <f t="shared" si="3"/>
        <v>1.10433380771713E-2</v>
      </c>
      <c r="N17" s="291">
        <f t="shared" si="3"/>
        <v>4.8369820778010296E-2</v>
      </c>
      <c r="O17" s="290">
        <f t="shared" si="3"/>
        <v>0</v>
      </c>
      <c r="P17" s="291">
        <f t="shared" si="3"/>
        <v>0</v>
      </c>
      <c r="Q17" s="1692" t="s">
        <v>445</v>
      </c>
      <c r="R17" s="1693" t="s">
        <v>445</v>
      </c>
      <c r="S17" s="1692" t="s">
        <v>445</v>
      </c>
      <c r="T17" s="1693" t="s">
        <v>445</v>
      </c>
      <c r="U17" s="553"/>
      <c r="V17" s="554"/>
      <c r="Y17" s="291">
        <v>0.27568608517933368</v>
      </c>
      <c r="Z17" s="66">
        <v>0.27568608517933368</v>
      </c>
    </row>
    <row r="18" spans="1:26" ht="18" customHeight="1">
      <c r="A18" s="2397" t="s">
        <v>909</v>
      </c>
      <c r="B18" s="2382" t="str">
        <f>'2-E-NoCo'!A30</f>
        <v>OTK1</v>
      </c>
      <c r="C18" s="4160" t="s">
        <v>1472</v>
      </c>
      <c r="D18" s="4161"/>
      <c r="E18" s="4161"/>
      <c r="F18" s="4161"/>
      <c r="G18" s="4161"/>
      <c r="H18" s="4161"/>
      <c r="I18" s="4161"/>
      <c r="J18" s="4161"/>
      <c r="K18" s="4161"/>
      <c r="L18" s="4161"/>
      <c r="M18" s="4161"/>
      <c r="N18" s="4161"/>
      <c r="O18" s="4161"/>
      <c r="P18" s="4161"/>
      <c r="Q18" s="4161"/>
      <c r="R18" s="4161"/>
      <c r="S18" s="4161"/>
      <c r="T18" s="4161"/>
      <c r="U18" s="4161"/>
      <c r="V18" s="4162"/>
      <c r="Y18" s="66">
        <v>0.5334166129790564</v>
      </c>
      <c r="Z18" s="66">
        <v>0.5334166129790564</v>
      </c>
    </row>
    <row r="19" spans="1:26" ht="18" customHeight="1">
      <c r="A19" s="2396" t="str">
        <f>A18</f>
        <v>ECD1</v>
      </c>
      <c r="B19" s="2393" t="str">
        <f>'2-E-NoCo'!A31</f>
        <v>OTK2</v>
      </c>
      <c r="C19" s="4163" t="str">
        <f>C18</f>
        <v>Emissions are represented at ECD1.</v>
      </c>
      <c r="D19" s="4164"/>
      <c r="E19" s="4164"/>
      <c r="F19" s="4164"/>
      <c r="G19" s="4164"/>
      <c r="H19" s="4164"/>
      <c r="I19" s="4164"/>
      <c r="J19" s="4164"/>
      <c r="K19" s="4164"/>
      <c r="L19" s="4164"/>
      <c r="M19" s="4164"/>
      <c r="N19" s="4164"/>
      <c r="O19" s="4164"/>
      <c r="P19" s="4164"/>
      <c r="Q19" s="4164"/>
      <c r="R19" s="4164"/>
      <c r="S19" s="4164"/>
      <c r="T19" s="4164"/>
      <c r="U19" s="4164"/>
      <c r="V19" s="4165"/>
      <c r="Y19" s="66">
        <v>0.43819734700148433</v>
      </c>
      <c r="Z19" s="66">
        <v>0.43819734700148433</v>
      </c>
    </row>
    <row r="20" spans="1:26" ht="18" customHeight="1">
      <c r="A20" s="2397" t="str">
        <f>A18</f>
        <v>ECD1</v>
      </c>
      <c r="B20" s="2382" t="str">
        <f>'2-E-NoCo'!A32</f>
        <v>OTK3</v>
      </c>
      <c r="C20" s="4160" t="s">
        <v>1472</v>
      </c>
      <c r="D20" s="4161"/>
      <c r="E20" s="4161"/>
      <c r="F20" s="4161"/>
      <c r="G20" s="4161"/>
      <c r="H20" s="4161"/>
      <c r="I20" s="4161"/>
      <c r="J20" s="4161"/>
      <c r="K20" s="4161"/>
      <c r="L20" s="4161"/>
      <c r="M20" s="4161"/>
      <c r="N20" s="4161"/>
      <c r="O20" s="4161"/>
      <c r="P20" s="4161"/>
      <c r="Q20" s="4161"/>
      <c r="R20" s="4161"/>
      <c r="S20" s="4161"/>
      <c r="T20" s="4161"/>
      <c r="U20" s="4161"/>
      <c r="V20" s="4162"/>
      <c r="Y20" s="66">
        <v>0.43819734700148433</v>
      </c>
      <c r="Z20" s="66">
        <v>0.43819734700148433</v>
      </c>
    </row>
    <row r="21" spans="1:26" ht="18.649999999999999" customHeight="1">
      <c r="A21" s="2396" t="str">
        <f>A18</f>
        <v>ECD1</v>
      </c>
      <c r="B21" s="2393" t="str">
        <f>'2-E-NoCo'!A33</f>
        <v>OTK4</v>
      </c>
      <c r="C21" s="4163" t="str">
        <f>C20</f>
        <v>Emissions are represented at ECD1.</v>
      </c>
      <c r="D21" s="4164"/>
      <c r="E21" s="4164"/>
      <c r="F21" s="4164"/>
      <c r="G21" s="4164"/>
      <c r="H21" s="4164"/>
      <c r="I21" s="4164"/>
      <c r="J21" s="4164"/>
      <c r="K21" s="4164"/>
      <c r="L21" s="4164"/>
      <c r="M21" s="4164"/>
      <c r="N21" s="4164"/>
      <c r="O21" s="4164"/>
      <c r="P21" s="4164"/>
      <c r="Q21" s="4164"/>
      <c r="R21" s="4164"/>
      <c r="S21" s="4164"/>
      <c r="T21" s="4164"/>
      <c r="U21" s="4164"/>
      <c r="V21" s="4165"/>
      <c r="Y21" s="66">
        <v>0.43819734700148433</v>
      </c>
      <c r="Z21" s="66">
        <v>0.43819734700148433</v>
      </c>
    </row>
    <row r="22" spans="1:26" ht="18" customHeight="1">
      <c r="A22" s="2397" t="str">
        <f>A18</f>
        <v>ECD1</v>
      </c>
      <c r="B22" s="2382" t="str">
        <f>'2-E-NoCo'!A34</f>
        <v>OTK5</v>
      </c>
      <c r="C22" s="4160" t="s">
        <v>1472</v>
      </c>
      <c r="D22" s="4161"/>
      <c r="E22" s="4161"/>
      <c r="F22" s="4161"/>
      <c r="G22" s="4161"/>
      <c r="H22" s="4161"/>
      <c r="I22" s="4161"/>
      <c r="J22" s="4161"/>
      <c r="K22" s="4161"/>
      <c r="L22" s="4161"/>
      <c r="M22" s="4161"/>
      <c r="N22" s="4161"/>
      <c r="O22" s="4161"/>
      <c r="P22" s="4161"/>
      <c r="Q22" s="4161"/>
      <c r="R22" s="4161"/>
      <c r="S22" s="4161"/>
      <c r="T22" s="4161"/>
      <c r="U22" s="4161"/>
      <c r="V22" s="4162"/>
      <c r="Y22" s="66">
        <v>2.7546885857339283</v>
      </c>
      <c r="Z22" s="66">
        <v>2.7546885857339283</v>
      </c>
    </row>
    <row r="23" spans="1:26" s="78" customFormat="1" ht="18" customHeight="1">
      <c r="A23" s="2396" t="str">
        <f>A18</f>
        <v>ECD1</v>
      </c>
      <c r="B23" s="2393" t="str">
        <f>'2-E-NoCo'!A35</f>
        <v>OTK6</v>
      </c>
      <c r="C23" s="4163" t="str">
        <f>C22</f>
        <v>Emissions are represented at ECD1.</v>
      </c>
      <c r="D23" s="4164"/>
      <c r="E23" s="4164"/>
      <c r="F23" s="4164"/>
      <c r="G23" s="4164"/>
      <c r="H23" s="4164"/>
      <c r="I23" s="4164"/>
      <c r="J23" s="4164"/>
      <c r="K23" s="4164"/>
      <c r="L23" s="4164"/>
      <c r="M23" s="4164"/>
      <c r="N23" s="4164"/>
      <c r="O23" s="4164"/>
      <c r="P23" s="4164"/>
      <c r="Q23" s="4164"/>
      <c r="R23" s="4164"/>
      <c r="S23" s="4164"/>
      <c r="T23" s="4164"/>
      <c r="U23" s="4164"/>
      <c r="V23" s="4165"/>
      <c r="Y23" s="78" t="s">
        <v>445</v>
      </c>
      <c r="Z23" s="78" t="s">
        <v>445</v>
      </c>
    </row>
    <row r="24" spans="1:26" ht="18" customHeight="1">
      <c r="A24" s="2381" t="str">
        <f t="shared" ref="A24:A30" si="4">B24</f>
        <v>ECD1</v>
      </c>
      <c r="B24" s="2382" t="str">
        <f>'2-E-NoCo'!A36</f>
        <v>ECD1</v>
      </c>
      <c r="C24" s="362">
        <f>'Hrly (ECD1)'!O42</f>
        <v>0.27504072721807626</v>
      </c>
      <c r="D24" s="104">
        <f>' Ann (ECD1)'!O42</f>
        <v>1.0668332259581128</v>
      </c>
      <c r="E24" s="362">
        <f>'Hrly (ECD1)'!O25</f>
        <v>0.1387159251800095</v>
      </c>
      <c r="F24" s="104">
        <f>' Ann (ECD1)'!O25</f>
        <v>0.53169927835390784</v>
      </c>
      <c r="G24" s="2383">
        <f>'Hrly (ECD1)'!O27</f>
        <v>7.7390352684987576E-2</v>
      </c>
      <c r="H24" s="2384">
        <f>' Ann (ECD1)'!O27</f>
        <v>0.30495758190784128</v>
      </c>
      <c r="I24" s="362">
        <f>'Hrly (ECD1)'!O33</f>
        <v>4.7965690742278078E-2</v>
      </c>
      <c r="J24" s="104">
        <f>' Ann (ECD1)'!O33</f>
        <v>0.18820877599859756</v>
      </c>
      <c r="K24" s="362">
        <f>'Hrly (ECD1)'!O35</f>
        <v>2.555502143070097E-4</v>
      </c>
      <c r="L24" s="104">
        <f>' Ann (ECD1)'!O35</f>
        <v>1.1091067982770379E-3</v>
      </c>
      <c r="M24" s="2383">
        <f>'Hrly (ECD1)'!O36</f>
        <v>1.0713208396494096E-2</v>
      </c>
      <c r="N24" s="2384">
        <f>' Ann (ECD1)'!O36</f>
        <v>4.0858482899488908E-2</v>
      </c>
      <c r="O24" s="362">
        <v>0</v>
      </c>
      <c r="P24" s="104">
        <v>0</v>
      </c>
      <c r="Q24" s="2385" t="s">
        <v>445</v>
      </c>
      <c r="R24" s="2386" t="s">
        <v>445</v>
      </c>
      <c r="S24" s="2385" t="s">
        <v>445</v>
      </c>
      <c r="T24" s="2386" t="s">
        <v>445</v>
      </c>
      <c r="U24" s="555"/>
      <c r="V24" s="556"/>
      <c r="Y24" s="66" t="s">
        <v>445</v>
      </c>
      <c r="Z24" s="66" t="s">
        <v>445</v>
      </c>
    </row>
    <row r="25" spans="1:26" ht="18.649999999999999" customHeight="1">
      <c r="A25" s="2392" t="str">
        <f t="shared" si="4"/>
        <v>TO1</v>
      </c>
      <c r="B25" s="2393" t="str">
        <f>'2-E-NoCo'!A37</f>
        <v>TO1</v>
      </c>
      <c r="C25" s="290">
        <f>'TO Hrly (TO1-TO3)'!H33</f>
        <v>8.0737606029044826E-2</v>
      </c>
      <c r="D25" s="291">
        <f>'TO Ann (TO1-TO3)'!H33</f>
        <v>0.35363071440721638</v>
      </c>
      <c r="E25" s="290">
        <f>'TO Hrly (TO1-TO3)'!H22</f>
        <v>1.6147521205808965E-2</v>
      </c>
      <c r="F25" s="291">
        <f>'TO Ann (TO1-TO3)'!H22</f>
        <v>7.0726142881443271E-2</v>
      </c>
      <c r="G25" s="1679">
        <f>E25</f>
        <v>1.6147521205808965E-2</v>
      </c>
      <c r="H25" s="1680">
        <f>F25</f>
        <v>7.0726142881443271E-2</v>
      </c>
      <c r="I25" s="290">
        <f>E25</f>
        <v>1.6147521205808965E-2</v>
      </c>
      <c r="J25" s="291">
        <f>F25</f>
        <v>7.0726142881443271E-2</v>
      </c>
      <c r="K25" s="290">
        <f>G25</f>
        <v>1.6147521205808965E-2</v>
      </c>
      <c r="L25" s="291">
        <f>H25</f>
        <v>7.0726142881443271E-2</v>
      </c>
      <c r="M25" s="1679">
        <v>0</v>
      </c>
      <c r="N25" s="1680">
        <v>0</v>
      </c>
      <c r="O25" s="290">
        <v>0</v>
      </c>
      <c r="P25" s="291">
        <v>0</v>
      </c>
      <c r="Q25" s="1692" t="s">
        <v>445</v>
      </c>
      <c r="R25" s="1693" t="s">
        <v>445</v>
      </c>
      <c r="S25" s="1692" t="s">
        <v>445</v>
      </c>
      <c r="T25" s="1693" t="s">
        <v>445</v>
      </c>
      <c r="U25" s="553"/>
      <c r="V25" s="554"/>
      <c r="Y25" s="66">
        <v>6.9900689490625953E-3</v>
      </c>
      <c r="Z25" s="66">
        <v>6.9900689490625953E-3</v>
      </c>
    </row>
    <row r="26" spans="1:26" ht="18" customHeight="1">
      <c r="A26" s="2381" t="str">
        <f t="shared" si="4"/>
        <v>TO2</v>
      </c>
      <c r="B26" s="2382" t="str">
        <f>'2-E-NoCo'!A38</f>
        <v>TO2</v>
      </c>
      <c r="C26" s="362">
        <f>C25</f>
        <v>8.0737606029044826E-2</v>
      </c>
      <c r="D26" s="104">
        <f>D25</f>
        <v>0.35363071440721638</v>
      </c>
      <c r="E26" s="362">
        <f t="shared" ref="E26:P26" si="5">E25</f>
        <v>1.6147521205808965E-2</v>
      </c>
      <c r="F26" s="104">
        <f t="shared" si="5"/>
        <v>7.0726142881443271E-2</v>
      </c>
      <c r="G26" s="362">
        <f t="shared" si="5"/>
        <v>1.6147521205808965E-2</v>
      </c>
      <c r="H26" s="104">
        <f t="shared" si="5"/>
        <v>7.0726142881443271E-2</v>
      </c>
      <c r="I26" s="362">
        <f>I25</f>
        <v>1.6147521205808965E-2</v>
      </c>
      <c r="J26" s="104">
        <f>J25</f>
        <v>7.0726142881443271E-2</v>
      </c>
      <c r="K26" s="362">
        <f>K25</f>
        <v>1.6147521205808965E-2</v>
      </c>
      <c r="L26" s="104">
        <f>L25</f>
        <v>7.0726142881443271E-2</v>
      </c>
      <c r="M26" s="362">
        <f t="shared" si="5"/>
        <v>0</v>
      </c>
      <c r="N26" s="104">
        <f t="shared" si="5"/>
        <v>0</v>
      </c>
      <c r="O26" s="362">
        <f t="shared" si="5"/>
        <v>0</v>
      </c>
      <c r="P26" s="104">
        <f t="shared" si="5"/>
        <v>0</v>
      </c>
      <c r="Q26" s="2385" t="s">
        <v>445</v>
      </c>
      <c r="R26" s="2386" t="s">
        <v>445</v>
      </c>
      <c r="S26" s="2385" t="s">
        <v>445</v>
      </c>
      <c r="T26" s="2386" t="s">
        <v>445</v>
      </c>
      <c r="U26" s="555"/>
      <c r="V26" s="556"/>
      <c r="Y26" s="66">
        <v>3.6359840831410471E-3</v>
      </c>
      <c r="Z26" s="66">
        <v>3.6359840831410471E-3</v>
      </c>
    </row>
    <row r="27" spans="1:26" s="78" customFormat="1" ht="18" customHeight="1">
      <c r="A27" s="2396" t="str">
        <f t="shared" si="4"/>
        <v>TO3</v>
      </c>
      <c r="B27" s="2393" t="str">
        <f>'2-E-NoCo'!A39</f>
        <v>TO3</v>
      </c>
      <c r="C27" s="2398">
        <f>C25</f>
        <v>8.0737606029044826E-2</v>
      </c>
      <c r="D27" s="2399">
        <f>D25</f>
        <v>0.35363071440721638</v>
      </c>
      <c r="E27" s="2398">
        <f t="shared" ref="E27:P27" si="6">E25</f>
        <v>1.6147521205808965E-2</v>
      </c>
      <c r="F27" s="2399">
        <f t="shared" si="6"/>
        <v>7.0726142881443271E-2</v>
      </c>
      <c r="G27" s="2398">
        <f t="shared" si="6"/>
        <v>1.6147521205808965E-2</v>
      </c>
      <c r="H27" s="2399">
        <f t="shared" si="6"/>
        <v>7.0726142881443271E-2</v>
      </c>
      <c r="I27" s="2398">
        <f>I25</f>
        <v>1.6147521205808965E-2</v>
      </c>
      <c r="J27" s="2399">
        <f>J25</f>
        <v>7.0726142881443271E-2</v>
      </c>
      <c r="K27" s="2398">
        <f>K25</f>
        <v>1.6147521205808965E-2</v>
      </c>
      <c r="L27" s="2399">
        <f>L25</f>
        <v>7.0726142881443271E-2</v>
      </c>
      <c r="M27" s="2398">
        <f t="shared" si="6"/>
        <v>0</v>
      </c>
      <c r="N27" s="2399">
        <f t="shared" si="6"/>
        <v>0</v>
      </c>
      <c r="O27" s="2398">
        <f t="shared" si="6"/>
        <v>0</v>
      </c>
      <c r="P27" s="2399">
        <f t="shared" si="6"/>
        <v>0</v>
      </c>
      <c r="Q27" s="1692" t="s">
        <v>445</v>
      </c>
      <c r="R27" s="1693" t="s">
        <v>445</v>
      </c>
      <c r="S27" s="1692" t="s">
        <v>445</v>
      </c>
      <c r="T27" s="1693" t="s">
        <v>445</v>
      </c>
      <c r="U27" s="2394"/>
      <c r="V27" s="2395"/>
      <c r="Y27" s="78">
        <v>2.5191644146939818</v>
      </c>
      <c r="Z27" s="78">
        <v>2.5191644146939818</v>
      </c>
    </row>
    <row r="28" spans="1:26" ht="18" customHeight="1">
      <c r="A28" s="2381" t="str">
        <f t="shared" si="4"/>
        <v>FUG</v>
      </c>
      <c r="B28" s="2382" t="str">
        <f>'2-E-NoCo'!A40</f>
        <v>FUG</v>
      </c>
      <c r="C28" s="362">
        <f>'Fugitives HAPs'!G39</f>
        <v>1.8349882519246774</v>
      </c>
      <c r="D28" s="104">
        <f>'Fugitives HAPs'!I39</f>
        <v>8.0372485434300867</v>
      </c>
      <c r="E28" s="362">
        <f>C28*'Fugitives HAPs'!Q18/'Fugitives HAPs'!G13</f>
        <v>0</v>
      </c>
      <c r="F28" s="104">
        <f>D28*'Fugitives HAPs'!Q18/'Fugitives HAPs'!G13</f>
        <v>0</v>
      </c>
      <c r="G28" s="2383">
        <f>C28*'Fugitives HAPs'!Q19/'Fugitives HAPs'!G13</f>
        <v>0</v>
      </c>
      <c r="H28" s="2384">
        <f>D28*'Fugitives HAPs'!Q19/'Fugitives HAPs'!G13</f>
        <v>0</v>
      </c>
      <c r="I28" s="362">
        <f>C28*'Fugitives HAPs'!Q20/'Fugitives HAPs'!G13</f>
        <v>0</v>
      </c>
      <c r="J28" s="104">
        <f>D28*'Fugitives HAPs'!Q20/'Fugitives HAPs'!G13</f>
        <v>0</v>
      </c>
      <c r="K28" s="362">
        <f>C28*'Fugitives HAPs'!Q21/'Fugitives HAPs'!G13</f>
        <v>0</v>
      </c>
      <c r="L28" s="104">
        <f>D28*'Fugitives HAPs'!Q21/'Fugitives HAPs'!G13</f>
        <v>0</v>
      </c>
      <c r="M28" s="2383">
        <f>C28*'Fugitives HAPs'!Q22/'Fugitives HAPs'!G13</f>
        <v>0</v>
      </c>
      <c r="N28" s="2384">
        <f>D28*'Fugitives HAPs'!Q22/'Fugitives HAPs'!G13</f>
        <v>0</v>
      </c>
      <c r="O28" s="2390" t="s">
        <v>445</v>
      </c>
      <c r="P28" s="2391" t="s">
        <v>445</v>
      </c>
      <c r="Q28" s="2385" t="s">
        <v>445</v>
      </c>
      <c r="R28" s="2386" t="s">
        <v>445</v>
      </c>
      <c r="S28" s="2385" t="s">
        <v>445</v>
      </c>
      <c r="T28" s="2386" t="s">
        <v>445</v>
      </c>
      <c r="U28" s="555"/>
      <c r="V28" s="556"/>
      <c r="W28" s="634"/>
      <c r="Y28" s="66">
        <v>2.5191644146939818</v>
      </c>
      <c r="Z28" s="66">
        <v>2.5191644146939818</v>
      </c>
    </row>
    <row r="29" spans="1:26" ht="18" customHeight="1">
      <c r="A29" s="2392" t="str">
        <f t="shared" si="4"/>
        <v>SSM</v>
      </c>
      <c r="B29" s="2393" t="str">
        <f>'2-E-NoCo'!A41</f>
        <v>SSM</v>
      </c>
      <c r="C29" s="2400" t="s">
        <v>445</v>
      </c>
      <c r="D29" s="2401" t="s">
        <v>445</v>
      </c>
      <c r="E29" s="2400" t="s">
        <v>445</v>
      </c>
      <c r="F29" s="2401" t="s">
        <v>445</v>
      </c>
      <c r="G29" s="2400" t="s">
        <v>445</v>
      </c>
      <c r="H29" s="2401" t="s">
        <v>445</v>
      </c>
      <c r="I29" s="2400" t="s">
        <v>445</v>
      </c>
      <c r="J29" s="2401" t="s">
        <v>445</v>
      </c>
      <c r="K29" s="2400" t="s">
        <v>445</v>
      </c>
      <c r="L29" s="2401" t="s">
        <v>445</v>
      </c>
      <c r="M29" s="2400" t="s">
        <v>445</v>
      </c>
      <c r="N29" s="2401" t="s">
        <v>445</v>
      </c>
      <c r="O29" s="2400" t="s">
        <v>445</v>
      </c>
      <c r="P29" s="2401" t="s">
        <v>445</v>
      </c>
      <c r="Q29" s="1692" t="s">
        <v>445</v>
      </c>
      <c r="R29" s="1693" t="s">
        <v>445</v>
      </c>
      <c r="S29" s="1692" t="s">
        <v>445</v>
      </c>
      <c r="T29" s="1693" t="s">
        <v>445</v>
      </c>
      <c r="U29" s="553"/>
      <c r="V29" s="554"/>
      <c r="Y29" s="66">
        <v>2.5191644146939818</v>
      </c>
      <c r="Z29" s="66">
        <v>2.5191644146939818</v>
      </c>
    </row>
    <row r="30" spans="1:26" ht="18" customHeight="1">
      <c r="A30" s="2381" t="str">
        <f t="shared" si="4"/>
        <v>ROAD</v>
      </c>
      <c r="B30" s="2382" t="str">
        <f>'2-E-NoCo'!A42</f>
        <v>ROAD</v>
      </c>
      <c r="C30" s="2390" t="s">
        <v>445</v>
      </c>
      <c r="D30" s="2391" t="s">
        <v>445</v>
      </c>
      <c r="E30" s="2390" t="s">
        <v>445</v>
      </c>
      <c r="F30" s="2391" t="s">
        <v>445</v>
      </c>
      <c r="G30" s="2390" t="s">
        <v>445</v>
      </c>
      <c r="H30" s="2391" t="s">
        <v>445</v>
      </c>
      <c r="I30" s="2390" t="s">
        <v>445</v>
      </c>
      <c r="J30" s="2391" t="s">
        <v>445</v>
      </c>
      <c r="K30" s="2390" t="s">
        <v>445</v>
      </c>
      <c r="L30" s="2391" t="s">
        <v>445</v>
      </c>
      <c r="M30" s="2390" t="s">
        <v>445</v>
      </c>
      <c r="N30" s="2391" t="s">
        <v>445</v>
      </c>
      <c r="O30" s="2390" t="s">
        <v>445</v>
      </c>
      <c r="P30" s="2391" t="s">
        <v>445</v>
      </c>
      <c r="Q30" s="2385" t="s">
        <v>445</v>
      </c>
      <c r="R30" s="2386" t="s">
        <v>445</v>
      </c>
      <c r="S30" s="2385" t="s">
        <v>445</v>
      </c>
      <c r="T30" s="2386" t="s">
        <v>445</v>
      </c>
      <c r="U30" s="555"/>
      <c r="V30" s="556"/>
      <c r="Y30" s="66">
        <v>2.5191644146939818</v>
      </c>
      <c r="Z30" s="66">
        <v>2.5191644146939818</v>
      </c>
    </row>
    <row r="31" spans="1:26" ht="18" customHeight="1">
      <c r="A31" s="2392" t="str">
        <f>A24</f>
        <v>ECD1</v>
      </c>
      <c r="B31" s="2393" t="str">
        <f>'2-E-NoCo'!A43</f>
        <v>PWTK1</v>
      </c>
      <c r="C31" s="4163" t="str">
        <f>C30</f>
        <v>--</v>
      </c>
      <c r="D31" s="4164"/>
      <c r="E31" s="4164"/>
      <c r="F31" s="4164"/>
      <c r="G31" s="4164"/>
      <c r="H31" s="4164"/>
      <c r="I31" s="4164"/>
      <c r="J31" s="4164"/>
      <c r="K31" s="4164"/>
      <c r="L31" s="4164"/>
      <c r="M31" s="4164"/>
      <c r="N31" s="4164"/>
      <c r="O31" s="4164"/>
      <c r="P31" s="4164"/>
      <c r="Q31" s="4164"/>
      <c r="R31" s="4164"/>
      <c r="S31" s="4164"/>
      <c r="T31" s="4164"/>
      <c r="U31" s="4164"/>
      <c r="V31" s="4165"/>
      <c r="Y31" s="66">
        <v>0.11993082227399202</v>
      </c>
      <c r="Z31" s="66">
        <v>0.11993082227399202</v>
      </c>
    </row>
    <row r="32" spans="1:26" ht="18" customHeight="1">
      <c r="A32" s="2381" t="str">
        <f>A24</f>
        <v>ECD1</v>
      </c>
      <c r="B32" s="2382" t="str">
        <f>'2-E-NoCo'!A44</f>
        <v>PWTK2</v>
      </c>
      <c r="C32" s="4160" t="s">
        <v>1472</v>
      </c>
      <c r="D32" s="4161"/>
      <c r="E32" s="4161"/>
      <c r="F32" s="4161"/>
      <c r="G32" s="4161"/>
      <c r="H32" s="4161"/>
      <c r="I32" s="4161"/>
      <c r="J32" s="4161"/>
      <c r="K32" s="4161"/>
      <c r="L32" s="4161"/>
      <c r="M32" s="4161"/>
      <c r="N32" s="4161"/>
      <c r="O32" s="4161"/>
      <c r="P32" s="4161"/>
      <c r="Q32" s="4161"/>
      <c r="R32" s="4161"/>
      <c r="S32" s="4161"/>
      <c r="T32" s="4161"/>
      <c r="U32" s="4161"/>
      <c r="V32" s="4162"/>
      <c r="Y32" s="66">
        <v>0.11993082227399202</v>
      </c>
      <c r="Z32" s="66">
        <v>0.11993082227399202</v>
      </c>
    </row>
    <row r="33" spans="1:26" ht="18.649999999999999" customHeight="1">
      <c r="A33" s="2392" t="str">
        <f>B33</f>
        <v>PWTL</v>
      </c>
      <c r="B33" s="2393" t="str">
        <f>'2-E-NoCo'!A45</f>
        <v>PWTL</v>
      </c>
      <c r="C33" s="290">
        <f>'Load-H2O'!F37</f>
        <v>1.1042554192857925E-3</v>
      </c>
      <c r="D33" s="291">
        <f>'Load-H2O'!G37</f>
        <v>6.9900689490625953E-3</v>
      </c>
      <c r="E33" s="290">
        <v>0</v>
      </c>
      <c r="F33" s="291">
        <v>0</v>
      </c>
      <c r="G33" s="1679">
        <v>0</v>
      </c>
      <c r="H33" s="1680">
        <v>0</v>
      </c>
      <c r="I33" s="2400" t="s">
        <v>445</v>
      </c>
      <c r="J33" s="2401" t="s">
        <v>445</v>
      </c>
      <c r="K33" s="2400" t="s">
        <v>445</v>
      </c>
      <c r="L33" s="2401" t="s">
        <v>445</v>
      </c>
      <c r="M33" s="1679">
        <v>0</v>
      </c>
      <c r="N33" s="1680">
        <v>0</v>
      </c>
      <c r="O33" s="290">
        <v>0</v>
      </c>
      <c r="P33" s="291">
        <v>0</v>
      </c>
      <c r="Q33" s="1692" t="s">
        <v>445</v>
      </c>
      <c r="R33" s="1693" t="s">
        <v>445</v>
      </c>
      <c r="S33" s="1692" t="s">
        <v>445</v>
      </c>
      <c r="T33" s="1693" t="s">
        <v>445</v>
      </c>
      <c r="U33" s="553"/>
      <c r="V33" s="554"/>
      <c r="Y33" s="66">
        <v>0.11993082227399202</v>
      </c>
      <c r="Z33" s="66">
        <v>0.11993082227399202</v>
      </c>
    </row>
    <row r="34" spans="1:26" ht="18" customHeight="1">
      <c r="A34" s="2381" t="str">
        <f>B34</f>
        <v>OTL</v>
      </c>
      <c r="B34" s="2382" t="str">
        <f>'2-E-NoCo'!A46</f>
        <v>OTL</v>
      </c>
      <c r="C34" s="362">
        <f>'Load-Slop Oil'!F47</f>
        <v>1.9188444012397846E-2</v>
      </c>
      <c r="D34" s="104">
        <f>'Load-Slop Oil'!G47</f>
        <v>3.6359840831410471E-3</v>
      </c>
      <c r="E34" s="362">
        <v>0</v>
      </c>
      <c r="F34" s="104">
        <v>0</v>
      </c>
      <c r="G34" s="362">
        <v>0</v>
      </c>
      <c r="H34" s="104">
        <v>0</v>
      </c>
      <c r="I34" s="2390" t="s">
        <v>445</v>
      </c>
      <c r="J34" s="2391" t="s">
        <v>445</v>
      </c>
      <c r="K34" s="2390" t="s">
        <v>445</v>
      </c>
      <c r="L34" s="2391" t="s">
        <v>445</v>
      </c>
      <c r="M34" s="362">
        <v>0</v>
      </c>
      <c r="N34" s="104">
        <v>0</v>
      </c>
      <c r="O34" s="362">
        <v>0</v>
      </c>
      <c r="P34" s="104">
        <v>0</v>
      </c>
      <c r="Q34" s="2385" t="s">
        <v>445</v>
      </c>
      <c r="R34" s="2386" t="s">
        <v>445</v>
      </c>
      <c r="S34" s="2385" t="s">
        <v>445</v>
      </c>
      <c r="T34" s="2386" t="s">
        <v>445</v>
      </c>
      <c r="U34" s="555"/>
      <c r="V34" s="556"/>
      <c r="Y34" s="66">
        <v>0.11993082227399202</v>
      </c>
      <c r="Z34" s="66">
        <v>0.11993082227399202</v>
      </c>
    </row>
    <row r="35" spans="1:26" s="78" customFormat="1" ht="18" customHeight="1">
      <c r="A35" s="2396" t="str">
        <f>A25</f>
        <v>TO1</v>
      </c>
      <c r="B35" s="2393" t="str">
        <f>'2-E-NoCo'!A47</f>
        <v>AU1</v>
      </c>
      <c r="C35" s="4163" t="s">
        <v>1481</v>
      </c>
      <c r="D35" s="4164"/>
      <c r="E35" s="4164"/>
      <c r="F35" s="4164"/>
      <c r="G35" s="4164"/>
      <c r="H35" s="4164"/>
      <c r="I35" s="4164"/>
      <c r="J35" s="4164"/>
      <c r="K35" s="4164"/>
      <c r="L35" s="4164"/>
      <c r="M35" s="4164"/>
      <c r="N35" s="4164"/>
      <c r="O35" s="4164"/>
      <c r="P35" s="4164"/>
      <c r="Q35" s="4164"/>
      <c r="R35" s="4164"/>
      <c r="S35" s="4164"/>
      <c r="T35" s="4164"/>
      <c r="U35" s="4164"/>
      <c r="V35" s="4165"/>
      <c r="Y35" s="78">
        <v>0.11993082227399202</v>
      </c>
      <c r="Z35" s="78">
        <v>0.11993082227399202</v>
      </c>
    </row>
    <row r="36" spans="1:26" ht="18" customHeight="1">
      <c r="A36" s="2381" t="str">
        <f>A25</f>
        <v>TO1</v>
      </c>
      <c r="B36" s="2382" t="str">
        <f>'2-E-NoCo'!A48</f>
        <v>AU2</v>
      </c>
      <c r="C36" s="4160" t="s">
        <v>1482</v>
      </c>
      <c r="D36" s="4161"/>
      <c r="E36" s="4161"/>
      <c r="F36" s="4161"/>
      <c r="G36" s="4161"/>
      <c r="H36" s="4161"/>
      <c r="I36" s="4161"/>
      <c r="J36" s="4161"/>
      <c r="K36" s="4161"/>
      <c r="L36" s="4161"/>
      <c r="M36" s="4161"/>
      <c r="N36" s="4161"/>
      <c r="O36" s="4161"/>
      <c r="P36" s="4161"/>
      <c r="Q36" s="4161"/>
      <c r="R36" s="4161"/>
      <c r="S36" s="4161"/>
      <c r="T36" s="4161"/>
      <c r="U36" s="4161"/>
      <c r="V36" s="4162"/>
      <c r="Y36" s="634">
        <f>SUM(Y6:Y35)</f>
        <v>19.812247104057175</v>
      </c>
      <c r="Z36" s="66">
        <f>SUM(Z6:Z35)</f>
        <v>19.811996555174819</v>
      </c>
    </row>
    <row r="37" spans="1:26" ht="18.649999999999999" customHeight="1">
      <c r="A37" s="2392" t="str">
        <f>A25</f>
        <v>TO1</v>
      </c>
      <c r="B37" s="2393" t="str">
        <f>'2-E-NoCo'!A49</f>
        <v>AU3</v>
      </c>
      <c r="C37" s="4163" t="s">
        <v>1483</v>
      </c>
      <c r="D37" s="4164"/>
      <c r="E37" s="4164"/>
      <c r="F37" s="4164"/>
      <c r="G37" s="4164"/>
      <c r="H37" s="4164"/>
      <c r="I37" s="4164"/>
      <c r="J37" s="4164"/>
      <c r="K37" s="4164"/>
      <c r="L37" s="4164"/>
      <c r="M37" s="4164"/>
      <c r="N37" s="4164"/>
      <c r="O37" s="4164"/>
      <c r="P37" s="4164"/>
      <c r="Q37" s="4164"/>
      <c r="R37" s="4164"/>
      <c r="S37" s="4164"/>
      <c r="T37" s="4164"/>
      <c r="U37" s="4164"/>
      <c r="V37" s="4165"/>
      <c r="W37" s="2380"/>
    </row>
    <row r="38" spans="1:26" ht="18" customHeight="1">
      <c r="A38" s="2381" t="str">
        <f>A24</f>
        <v>ECD1</v>
      </c>
      <c r="B38" s="2382" t="str">
        <f>'2-E-NoCo'!A50</f>
        <v>GBS1</v>
      </c>
      <c r="C38" s="4160" t="s">
        <v>1482</v>
      </c>
      <c r="D38" s="4161"/>
      <c r="E38" s="4161"/>
      <c r="F38" s="4161"/>
      <c r="G38" s="4161"/>
      <c r="H38" s="4161"/>
      <c r="I38" s="4161"/>
      <c r="J38" s="4161"/>
      <c r="K38" s="4161"/>
      <c r="L38" s="4161"/>
      <c r="M38" s="4161"/>
      <c r="N38" s="4161"/>
      <c r="O38" s="4161"/>
      <c r="P38" s="4161"/>
      <c r="Q38" s="4161"/>
      <c r="R38" s="4161"/>
      <c r="S38" s="4161"/>
      <c r="T38" s="4161"/>
      <c r="U38" s="4161"/>
      <c r="V38" s="4162"/>
    </row>
    <row r="39" spans="1:26" s="78" customFormat="1" ht="18" customHeight="1">
      <c r="A39" s="2396" t="str">
        <f>A24</f>
        <v>ECD1</v>
      </c>
      <c r="B39" s="2402" t="str">
        <f>'2-E-NoCo'!A51</f>
        <v>OTK7</v>
      </c>
      <c r="C39" s="4163" t="s">
        <v>1481</v>
      </c>
      <c r="D39" s="4164"/>
      <c r="E39" s="4164"/>
      <c r="F39" s="4164"/>
      <c r="G39" s="4164"/>
      <c r="H39" s="4164"/>
      <c r="I39" s="4164"/>
      <c r="J39" s="4164"/>
      <c r="K39" s="4164"/>
      <c r="L39" s="4164"/>
      <c r="M39" s="4164"/>
      <c r="N39" s="4164"/>
      <c r="O39" s="4164"/>
      <c r="P39" s="4164"/>
      <c r="Q39" s="4164"/>
      <c r="R39" s="4164"/>
      <c r="S39" s="4164"/>
      <c r="T39" s="4164"/>
      <c r="U39" s="4164"/>
      <c r="V39" s="4165"/>
    </row>
    <row r="40" spans="1:26" ht="18" customHeight="1">
      <c r="A40" s="2381" t="str">
        <f>B40</f>
        <v>TUR1</v>
      </c>
      <c r="B40" s="2382" t="str">
        <f>'2-E-Co'!A45</f>
        <v>TUR1</v>
      </c>
      <c r="C40" s="362">
        <f>'Cogen VOC, HAPs'!I14</f>
        <v>0.57515169285250722</v>
      </c>
      <c r="D40" s="104">
        <f>'Cogen VOC, HAPs'!J14</f>
        <v>2.5191644146939818</v>
      </c>
      <c r="E40" s="362">
        <f>'Cogen VOC, HAPs'!H93*(1-'Cogen VOC, HAPs'!C29/100)</f>
        <v>0.20075102765812594</v>
      </c>
      <c r="F40" s="104">
        <f>E40*8760/2000</f>
        <v>0.87928950114259152</v>
      </c>
      <c r="G40" s="362">
        <f>('Cogen VOC, HAPs'!H55+'Cogen VOC, HAPs'!H82)*(1-'Cogen VOC, HAPs'!C29/100)</f>
        <v>6.9386322901626198E-3</v>
      </c>
      <c r="H40" s="104">
        <f>G40*8760/2000</f>
        <v>3.0391209430912274E-2</v>
      </c>
      <c r="I40" s="362">
        <f>('Cogen VOC, HAPs'!H59+'Cogen VOC, HAPs'!H98)*(1-'Cogen VOC, HAPs'!C29/100)</f>
        <v>7.3010442929436842E-2</v>
      </c>
      <c r="J40" s="104">
        <f>('Cogen VOC, HAPs'!I59+'Cogen VOC, HAPs'!I98)*(1-'Cogen VOC, HAPs'!C29/100)</f>
        <v>0.31978574003093335</v>
      </c>
      <c r="K40" s="362">
        <f>('Cogen VOC, HAPs'!H56)*(1-'Cogen VOC, HAPs'!C29/100)</f>
        <v>1.7878460687719481E-2</v>
      </c>
      <c r="L40" s="104">
        <f>'Cogen VOC, HAPs'!I56*(1-'Cogen VOC, HAPs'!C29/100)</f>
        <v>7.8307657812211329E-2</v>
      </c>
      <c r="M40" s="362">
        <f>'Cogen VOC, HAPs'!H60*(1-'Cogen VOC, HAPs'!C29/100)</f>
        <v>3.5756921375438962E-2</v>
      </c>
      <c r="N40" s="104">
        <f>M40*8760/2000</f>
        <v>0.15661531562442266</v>
      </c>
      <c r="O40" s="362">
        <f>('Cogen VOC, HAPs'!H57+'Cogen VOC, HAPs'!H92)*(1-'Cogen VOC, HAPs'!C30/100)</f>
        <v>0.21310522252200001</v>
      </c>
      <c r="P40" s="104">
        <f>O40*8760/2000</f>
        <v>0.93340087464636012</v>
      </c>
      <c r="Q40" s="2383">
        <f>'Cogen-SO2_H2SO4'!F49</f>
        <v>0.8229435360742271</v>
      </c>
      <c r="R40" s="2384">
        <f>'Cogen-SO2_H2SO4'!H50</f>
        <v>3.6044926880051147</v>
      </c>
      <c r="S40" s="555">
        <f>'COGEN-New'!D30</f>
        <v>15.86</v>
      </c>
      <c r="T40" s="556">
        <f>'COGEN-New'!I30</f>
        <v>69.466799999999992</v>
      </c>
      <c r="U40" s="555"/>
      <c r="V40" s="556"/>
    </row>
    <row r="41" spans="1:26" ht="18.649999999999999" customHeight="1">
      <c r="A41" s="2392" t="str">
        <f>B41</f>
        <v>TUR2</v>
      </c>
      <c r="B41" s="2393" t="str">
        <f>'2-E-Co'!A46</f>
        <v>TUR2</v>
      </c>
      <c r="C41" s="2400">
        <f t="shared" ref="C41:T41" si="7">C40</f>
        <v>0.57515169285250722</v>
      </c>
      <c r="D41" s="2401">
        <f t="shared" si="7"/>
        <v>2.5191644146939818</v>
      </c>
      <c r="E41" s="2400">
        <f t="shared" si="7"/>
        <v>0.20075102765812594</v>
      </c>
      <c r="F41" s="2401">
        <f t="shared" si="7"/>
        <v>0.87928950114259152</v>
      </c>
      <c r="G41" s="2400">
        <f t="shared" si="7"/>
        <v>6.9386322901626198E-3</v>
      </c>
      <c r="H41" s="2401">
        <f t="shared" si="7"/>
        <v>3.0391209430912274E-2</v>
      </c>
      <c r="I41" s="290">
        <f>I40</f>
        <v>7.3010442929436842E-2</v>
      </c>
      <c r="J41" s="291">
        <f>J40</f>
        <v>0.31978574003093335</v>
      </c>
      <c r="K41" s="290">
        <f>K40</f>
        <v>1.7878460687719481E-2</v>
      </c>
      <c r="L41" s="291">
        <f>L40</f>
        <v>7.8307657812211329E-2</v>
      </c>
      <c r="M41" s="2400">
        <f t="shared" si="7"/>
        <v>3.5756921375438962E-2</v>
      </c>
      <c r="N41" s="2401">
        <f t="shared" si="7"/>
        <v>0.15661531562442266</v>
      </c>
      <c r="O41" s="2400">
        <f t="shared" si="7"/>
        <v>0.21310522252200001</v>
      </c>
      <c r="P41" s="2401">
        <f t="shared" si="7"/>
        <v>0.93340087464636012</v>
      </c>
      <c r="Q41" s="1679">
        <f t="shared" si="7"/>
        <v>0.8229435360742271</v>
      </c>
      <c r="R41" s="1680">
        <f t="shared" si="7"/>
        <v>3.6044926880051147</v>
      </c>
      <c r="S41" s="553">
        <f t="shared" si="7"/>
        <v>15.86</v>
      </c>
      <c r="T41" s="554">
        <f t="shared" si="7"/>
        <v>69.466799999999992</v>
      </c>
      <c r="U41" s="553"/>
      <c r="V41" s="554"/>
    </row>
    <row r="42" spans="1:26" ht="18" customHeight="1">
      <c r="A42" s="2381" t="str">
        <f>B42</f>
        <v>TUR3</v>
      </c>
      <c r="B42" s="2382" t="str">
        <f>'2-E-Co'!A47</f>
        <v>TUR3</v>
      </c>
      <c r="C42" s="362">
        <f t="shared" ref="C42:T42" si="8">C40</f>
        <v>0.57515169285250722</v>
      </c>
      <c r="D42" s="104">
        <f t="shared" si="8"/>
        <v>2.5191644146939818</v>
      </c>
      <c r="E42" s="362">
        <f t="shared" si="8"/>
        <v>0.20075102765812594</v>
      </c>
      <c r="F42" s="104">
        <f t="shared" si="8"/>
        <v>0.87928950114259152</v>
      </c>
      <c r="G42" s="362">
        <f t="shared" si="8"/>
        <v>6.9386322901626198E-3</v>
      </c>
      <c r="H42" s="104">
        <f t="shared" si="8"/>
        <v>3.0391209430912274E-2</v>
      </c>
      <c r="I42" s="362">
        <f>I40</f>
        <v>7.3010442929436842E-2</v>
      </c>
      <c r="J42" s="104">
        <f>J40</f>
        <v>0.31978574003093335</v>
      </c>
      <c r="K42" s="362">
        <f>K40</f>
        <v>1.7878460687719481E-2</v>
      </c>
      <c r="L42" s="104">
        <f>L40</f>
        <v>7.8307657812211329E-2</v>
      </c>
      <c r="M42" s="362">
        <f t="shared" si="8"/>
        <v>3.5756921375438962E-2</v>
      </c>
      <c r="N42" s="104">
        <f t="shared" si="8"/>
        <v>0.15661531562442266</v>
      </c>
      <c r="O42" s="362">
        <f t="shared" si="8"/>
        <v>0.21310522252200001</v>
      </c>
      <c r="P42" s="104">
        <f t="shared" si="8"/>
        <v>0.93340087464636012</v>
      </c>
      <c r="Q42" s="2383">
        <f t="shared" si="8"/>
        <v>0.8229435360742271</v>
      </c>
      <c r="R42" s="2384">
        <f t="shared" si="8"/>
        <v>3.6044926880051147</v>
      </c>
      <c r="S42" s="555">
        <f t="shared" si="8"/>
        <v>15.86</v>
      </c>
      <c r="T42" s="556">
        <f t="shared" si="8"/>
        <v>69.466799999999992</v>
      </c>
      <c r="U42" s="555"/>
      <c r="V42" s="556"/>
    </row>
    <row r="43" spans="1:26" s="78" customFormat="1" ht="18" customHeight="1">
      <c r="A43" s="2396" t="str">
        <f>B43</f>
        <v>TUR4</v>
      </c>
      <c r="B43" s="2402" t="str">
        <f>'2-E-Co'!A48</f>
        <v>TUR4</v>
      </c>
      <c r="C43" s="2400">
        <f t="shared" ref="C43:T43" si="9">C40</f>
        <v>0.57515169285250722</v>
      </c>
      <c r="D43" s="2401">
        <f t="shared" si="9"/>
        <v>2.5191644146939818</v>
      </c>
      <c r="E43" s="2400">
        <f t="shared" si="9"/>
        <v>0.20075102765812594</v>
      </c>
      <c r="F43" s="2401">
        <f t="shared" si="9"/>
        <v>0.87928950114259152</v>
      </c>
      <c r="G43" s="2400">
        <f t="shared" si="9"/>
        <v>6.9386322901626198E-3</v>
      </c>
      <c r="H43" s="2401">
        <f t="shared" si="9"/>
        <v>3.0391209430912274E-2</v>
      </c>
      <c r="I43" s="290">
        <f>I40</f>
        <v>7.3010442929436842E-2</v>
      </c>
      <c r="J43" s="291">
        <f>J40</f>
        <v>0.31978574003093335</v>
      </c>
      <c r="K43" s="290">
        <f>K40</f>
        <v>1.7878460687719481E-2</v>
      </c>
      <c r="L43" s="291">
        <f>L40</f>
        <v>7.8307657812211329E-2</v>
      </c>
      <c r="M43" s="2400">
        <f t="shared" si="9"/>
        <v>3.5756921375438962E-2</v>
      </c>
      <c r="N43" s="2401">
        <f t="shared" si="9"/>
        <v>0.15661531562442266</v>
      </c>
      <c r="O43" s="2400">
        <f t="shared" si="9"/>
        <v>0.21310522252200001</v>
      </c>
      <c r="P43" s="2401">
        <f t="shared" si="9"/>
        <v>0.93340087464636012</v>
      </c>
      <c r="Q43" s="1679">
        <f t="shared" si="9"/>
        <v>0.8229435360742271</v>
      </c>
      <c r="R43" s="1680">
        <f t="shared" si="9"/>
        <v>3.6044926880051147</v>
      </c>
      <c r="S43" s="553">
        <f t="shared" si="9"/>
        <v>15.86</v>
      </c>
      <c r="T43" s="554">
        <f t="shared" si="9"/>
        <v>69.466799999999992</v>
      </c>
      <c r="U43" s="553"/>
      <c r="V43" s="554"/>
    </row>
    <row r="44" spans="1:26" ht="18" customHeight="1">
      <c r="A44" s="2943" t="str">
        <f>'2-I_NoCo'!A53</f>
        <v>GEN1</v>
      </c>
      <c r="B44" s="2944" t="str">
        <f t="shared" ref="B44:B51" si="10">A44</f>
        <v>GEN1</v>
      </c>
      <c r="C44" s="1403">
        <f>'2-I_NoCo'!C53</f>
        <v>2.0982598998460671</v>
      </c>
      <c r="D44" s="1404">
        <f>'2-I_NoCo'!D53</f>
        <v>0.10491299499230333</v>
      </c>
      <c r="E44" s="1403">
        <f>'2-I_NoCo'!E53</f>
        <v>2.3197144080000006E-2</v>
      </c>
      <c r="F44" s="1404">
        <f>'2-I_NoCo'!F53</f>
        <v>1.1598572040000003E-3</v>
      </c>
      <c r="G44" s="1403">
        <f>'2-I_NoCo'!G53</f>
        <v>9.1952643200000021E-3</v>
      </c>
      <c r="H44" s="1404">
        <f>'2-I_NoCo'!H53</f>
        <v>4.5976321600000008E-4</v>
      </c>
      <c r="I44" s="1403">
        <f>'2-I_NoCo'!I53</f>
        <v>1.0031197440000002E-2</v>
      </c>
      <c r="J44" s="1404">
        <f>'2-I_NoCo'!J53</f>
        <v>5.0155987200000004E-4</v>
      </c>
      <c r="K44" s="1403">
        <f>'2-I_NoCo'!K53</f>
        <v>8.2966362160000022E-4</v>
      </c>
      <c r="L44" s="1404">
        <f>'2-I_NoCo'!L53</f>
        <v>4.1483181080000016E-5</v>
      </c>
      <c r="M44" s="1403">
        <f>'2-I_NoCo'!M53</f>
        <v>3.7616990400000006E-3</v>
      </c>
      <c r="N44" s="1404">
        <f>'2-I_NoCo'!N53</f>
        <v>1.8808495200000003E-4</v>
      </c>
      <c r="O44" s="1403">
        <f>'2-I_NoCo'!O53</f>
        <v>1.9003527336860668</v>
      </c>
      <c r="P44" s="1404">
        <f>'2-I_NoCo'!P53</f>
        <v>9.5017636684303339E-2</v>
      </c>
      <c r="Q44" s="2939" t="s">
        <v>445</v>
      </c>
      <c r="R44" s="2940" t="s">
        <v>445</v>
      </c>
      <c r="S44" s="2939" t="s">
        <v>445</v>
      </c>
      <c r="T44" s="2940" t="s">
        <v>445</v>
      </c>
      <c r="U44" s="2941"/>
      <c r="V44" s="2942"/>
    </row>
    <row r="45" spans="1:26" s="2946" customFormat="1" ht="18" customHeight="1">
      <c r="A45" s="2396" t="str">
        <f>'2-I_NoCo'!A54</f>
        <v>GEN2</v>
      </c>
      <c r="B45" s="2393" t="str">
        <f t="shared" si="10"/>
        <v>GEN2</v>
      </c>
      <c r="C45" s="290">
        <f>'2-I_NoCo'!C54</f>
        <v>2.0982598998460671</v>
      </c>
      <c r="D45" s="291">
        <f>'2-I_NoCo'!D54</f>
        <v>0.10491299499230333</v>
      </c>
      <c r="E45" s="290">
        <f>'2-I_NoCo'!E54</f>
        <v>2.3197144080000006E-2</v>
      </c>
      <c r="F45" s="291">
        <f>'2-I_NoCo'!F54</f>
        <v>1.1598572040000003E-3</v>
      </c>
      <c r="G45" s="290">
        <f>'2-I_NoCo'!G54</f>
        <v>9.1952643200000021E-3</v>
      </c>
      <c r="H45" s="291">
        <f>'2-I_NoCo'!H54</f>
        <v>4.5976321600000008E-4</v>
      </c>
      <c r="I45" s="290">
        <f>'2-I_NoCo'!I54</f>
        <v>1.0031197440000002E-2</v>
      </c>
      <c r="J45" s="291">
        <f>'2-I_NoCo'!J54</f>
        <v>5.0155987200000004E-4</v>
      </c>
      <c r="K45" s="290">
        <f>'2-I_NoCo'!K54</f>
        <v>8.2966362160000022E-4</v>
      </c>
      <c r="L45" s="291">
        <f>'2-I_NoCo'!L54</f>
        <v>4.1483181080000016E-5</v>
      </c>
      <c r="M45" s="290">
        <f>'2-I_NoCo'!M54</f>
        <v>3.7616990400000006E-3</v>
      </c>
      <c r="N45" s="291">
        <f>'2-I_NoCo'!N54</f>
        <v>1.8808495200000003E-4</v>
      </c>
      <c r="O45" s="290">
        <f>'2-I_NoCo'!O54</f>
        <v>1.9003527336860668</v>
      </c>
      <c r="P45" s="291">
        <f>'2-I_NoCo'!P54</f>
        <v>9.5017636684303339E-2</v>
      </c>
      <c r="Q45" s="1692" t="s">
        <v>445</v>
      </c>
      <c r="R45" s="1693" t="s">
        <v>445</v>
      </c>
      <c r="S45" s="1692" t="s">
        <v>445</v>
      </c>
      <c r="T45" s="1693" t="s">
        <v>445</v>
      </c>
      <c r="U45" s="553"/>
      <c r="V45" s="554"/>
    </row>
    <row r="46" spans="1:26" ht="18" customHeight="1">
      <c r="A46" s="2943" t="str">
        <f>'2-I_NoCo'!A55</f>
        <v>GEN3</v>
      </c>
      <c r="B46" s="2944" t="str">
        <f t="shared" si="10"/>
        <v>GEN3</v>
      </c>
      <c r="C46" s="1403">
        <f>'2-I_NoCo'!C55</f>
        <v>2.0982598998460671</v>
      </c>
      <c r="D46" s="1404">
        <f>'2-I_NoCo'!D55</f>
        <v>0.10491299499230333</v>
      </c>
      <c r="E46" s="1403">
        <f>'2-I_NoCo'!E55</f>
        <v>2.3197144080000006E-2</v>
      </c>
      <c r="F46" s="1404">
        <f>'2-I_NoCo'!F55</f>
        <v>1.1598572040000003E-3</v>
      </c>
      <c r="G46" s="1403">
        <f>'2-I_NoCo'!G55</f>
        <v>9.1952643200000021E-3</v>
      </c>
      <c r="H46" s="1404">
        <f>'2-I_NoCo'!H55</f>
        <v>4.5976321600000008E-4</v>
      </c>
      <c r="I46" s="1403">
        <f>'2-I_NoCo'!I55</f>
        <v>1.0031197440000002E-2</v>
      </c>
      <c r="J46" s="1404">
        <f>'2-I_NoCo'!J55</f>
        <v>5.0155987200000004E-4</v>
      </c>
      <c r="K46" s="1403">
        <f>'2-I_NoCo'!K55</f>
        <v>8.2966362160000022E-4</v>
      </c>
      <c r="L46" s="1404">
        <f>'2-I_NoCo'!L55</f>
        <v>4.1483181080000016E-5</v>
      </c>
      <c r="M46" s="1403">
        <f>'2-I_NoCo'!M55</f>
        <v>3.7616990400000006E-3</v>
      </c>
      <c r="N46" s="1404">
        <f>'2-I_NoCo'!N55</f>
        <v>1.8808495200000003E-4</v>
      </c>
      <c r="O46" s="1403">
        <f>'2-I_NoCo'!O55</f>
        <v>1.9003527336860668</v>
      </c>
      <c r="P46" s="1404">
        <f>'2-I_NoCo'!P55</f>
        <v>9.5017636684303339E-2</v>
      </c>
      <c r="Q46" s="2939" t="s">
        <v>445</v>
      </c>
      <c r="R46" s="2940" t="s">
        <v>445</v>
      </c>
      <c r="S46" s="2939" t="s">
        <v>445</v>
      </c>
      <c r="T46" s="2940" t="s">
        <v>445</v>
      </c>
      <c r="U46" s="2941"/>
      <c r="V46" s="2942"/>
    </row>
    <row r="47" spans="1:26" s="2946" customFormat="1" ht="18.649999999999999" customHeight="1">
      <c r="A47" s="2392" t="str">
        <f>'2-I_NoCo'!A56</f>
        <v>GEN4</v>
      </c>
      <c r="B47" s="2393" t="str">
        <f t="shared" si="10"/>
        <v>GEN4</v>
      </c>
      <c r="C47" s="290">
        <f>'2-I_NoCo'!C56</f>
        <v>2.0982598998460671</v>
      </c>
      <c r="D47" s="291">
        <f>'2-I_NoCo'!D56</f>
        <v>0.10491299499230333</v>
      </c>
      <c r="E47" s="290">
        <f>'2-I_NoCo'!E56</f>
        <v>2.3197144080000006E-2</v>
      </c>
      <c r="F47" s="291">
        <f>'2-I_NoCo'!F56</f>
        <v>1.1598572040000003E-3</v>
      </c>
      <c r="G47" s="290">
        <f>'2-I_NoCo'!G56</f>
        <v>9.1952643200000021E-3</v>
      </c>
      <c r="H47" s="291">
        <f>'2-I_NoCo'!H56</f>
        <v>4.5976321600000008E-4</v>
      </c>
      <c r="I47" s="290">
        <f>'2-I_NoCo'!I56</f>
        <v>1.0031197440000002E-2</v>
      </c>
      <c r="J47" s="291">
        <f>'2-I_NoCo'!J56</f>
        <v>5.0155987200000004E-4</v>
      </c>
      <c r="K47" s="290">
        <f>'2-I_NoCo'!K56</f>
        <v>8.2966362160000022E-4</v>
      </c>
      <c r="L47" s="291">
        <f>'2-I_NoCo'!L56</f>
        <v>4.1483181080000016E-5</v>
      </c>
      <c r="M47" s="290">
        <f>'2-I_NoCo'!M56</f>
        <v>3.7616990400000006E-3</v>
      </c>
      <c r="N47" s="291">
        <f>'2-I_NoCo'!N56</f>
        <v>1.8808495200000003E-4</v>
      </c>
      <c r="O47" s="290">
        <f>'2-I_NoCo'!O56</f>
        <v>1.9003527336860668</v>
      </c>
      <c r="P47" s="291">
        <f>'2-I_NoCo'!P56</f>
        <v>9.5017636684303339E-2</v>
      </c>
      <c r="Q47" s="1692" t="s">
        <v>445</v>
      </c>
      <c r="R47" s="1693" t="s">
        <v>445</v>
      </c>
      <c r="S47" s="1692" t="s">
        <v>445</v>
      </c>
      <c r="T47" s="1693" t="s">
        <v>445</v>
      </c>
      <c r="U47" s="553"/>
      <c r="V47" s="554"/>
      <c r="W47" s="2945"/>
    </row>
    <row r="48" spans="1:26" ht="18" customHeight="1">
      <c r="A48" s="2943" t="str">
        <f>'2-I_NoCo'!A57</f>
        <v>GEN5</v>
      </c>
      <c r="B48" s="2944" t="str">
        <f t="shared" si="10"/>
        <v>GEN5</v>
      </c>
      <c r="C48" s="1403">
        <f>'2-I_NoCo'!C57</f>
        <v>2.0982598998460671</v>
      </c>
      <c r="D48" s="1404">
        <f>'2-I_NoCo'!D57</f>
        <v>0.10491299499230333</v>
      </c>
      <c r="E48" s="1403">
        <f>'2-I_NoCo'!E57</f>
        <v>2.3197144080000006E-2</v>
      </c>
      <c r="F48" s="1404">
        <f>'2-I_NoCo'!F57</f>
        <v>1.1598572040000003E-3</v>
      </c>
      <c r="G48" s="1403">
        <f>'2-I_NoCo'!G57</f>
        <v>9.1952643200000021E-3</v>
      </c>
      <c r="H48" s="1404">
        <f>'2-I_NoCo'!H57</f>
        <v>4.5976321600000008E-4</v>
      </c>
      <c r="I48" s="1403">
        <f>'2-I_NoCo'!I57</f>
        <v>1.0031197440000002E-2</v>
      </c>
      <c r="J48" s="1404">
        <f>'2-I_NoCo'!J57</f>
        <v>5.0155987200000004E-4</v>
      </c>
      <c r="K48" s="1403">
        <f>'2-I_NoCo'!K57</f>
        <v>8.2966362160000022E-4</v>
      </c>
      <c r="L48" s="1404">
        <f>'2-I_NoCo'!L57</f>
        <v>4.1483181080000016E-5</v>
      </c>
      <c r="M48" s="1403">
        <f>'2-I_NoCo'!M57</f>
        <v>3.7616990400000006E-3</v>
      </c>
      <c r="N48" s="1404">
        <f>'2-I_NoCo'!N57</f>
        <v>1.8808495200000003E-4</v>
      </c>
      <c r="O48" s="1403">
        <f>'2-I_NoCo'!O57</f>
        <v>1.9003527336860668</v>
      </c>
      <c r="P48" s="1404">
        <f>'2-I_NoCo'!P57</f>
        <v>9.5017636684303339E-2</v>
      </c>
      <c r="Q48" s="2939" t="s">
        <v>445</v>
      </c>
      <c r="R48" s="2940" t="s">
        <v>445</v>
      </c>
      <c r="S48" s="2939" t="s">
        <v>445</v>
      </c>
      <c r="T48" s="2940" t="s">
        <v>445</v>
      </c>
      <c r="U48" s="2941"/>
      <c r="V48" s="2942"/>
    </row>
    <row r="49" spans="1:25" ht="18" customHeight="1">
      <c r="A49" s="2943" t="str">
        <f>'2-I_NoCo'!A58</f>
        <v>GEN6</v>
      </c>
      <c r="B49" s="2944" t="str">
        <f t="shared" si="10"/>
        <v>GEN6</v>
      </c>
      <c r="C49" s="1403">
        <f>'2-I_NoCo'!C58</f>
        <v>2.0982598998460671</v>
      </c>
      <c r="D49" s="1404">
        <f>'2-I_NoCo'!D58</f>
        <v>0.10491299499230333</v>
      </c>
      <c r="E49" s="1403">
        <f>'2-I_NoCo'!E58</f>
        <v>2.3197144080000006E-2</v>
      </c>
      <c r="F49" s="1404">
        <f>'2-I_NoCo'!F58</f>
        <v>1.1598572040000003E-3</v>
      </c>
      <c r="G49" s="1403">
        <f>'2-I_NoCo'!G58</f>
        <v>9.1952643200000021E-3</v>
      </c>
      <c r="H49" s="1404">
        <f>'2-I_NoCo'!H58</f>
        <v>4.5976321600000008E-4</v>
      </c>
      <c r="I49" s="1403">
        <f>'2-I_NoCo'!I58</f>
        <v>1.0031197440000002E-2</v>
      </c>
      <c r="J49" s="1404">
        <f>'2-I_NoCo'!J58</f>
        <v>5.0155987200000004E-4</v>
      </c>
      <c r="K49" s="1403">
        <f>'2-I_NoCo'!K58</f>
        <v>8.2966362160000022E-4</v>
      </c>
      <c r="L49" s="1404">
        <f>'2-I_NoCo'!L58</f>
        <v>4.1483181080000016E-5</v>
      </c>
      <c r="M49" s="1403">
        <f>'2-I_NoCo'!M58</f>
        <v>3.7616990400000006E-3</v>
      </c>
      <c r="N49" s="1404">
        <f>'2-I_NoCo'!N58</f>
        <v>1.8808495200000003E-4</v>
      </c>
      <c r="O49" s="1403">
        <f>'2-I_NoCo'!O58</f>
        <v>1.9003527336860668</v>
      </c>
      <c r="P49" s="1404">
        <f>'2-I_NoCo'!P58</f>
        <v>9.5017636684303339E-2</v>
      </c>
      <c r="Q49" s="2939" t="s">
        <v>445</v>
      </c>
      <c r="R49" s="2940" t="s">
        <v>445</v>
      </c>
      <c r="S49" s="2939" t="s">
        <v>445</v>
      </c>
      <c r="T49" s="2940" t="s">
        <v>445</v>
      </c>
      <c r="U49" s="2941"/>
      <c r="V49" s="2942"/>
    </row>
    <row r="50" spans="1:25" s="2946" customFormat="1" ht="18.649999999999999" customHeight="1">
      <c r="A50" s="2392" t="str">
        <f>'2-I_NoCo'!A59</f>
        <v>GEN7</v>
      </c>
      <c r="B50" s="2393" t="str">
        <f t="shared" si="10"/>
        <v>GEN7</v>
      </c>
      <c r="C50" s="290">
        <f>'2-I_NoCo'!C59</f>
        <v>2.0982598998460671</v>
      </c>
      <c r="D50" s="291">
        <f>'2-I_NoCo'!D59</f>
        <v>0.10491299499230333</v>
      </c>
      <c r="E50" s="290">
        <f>'2-I_NoCo'!E59</f>
        <v>2.3197144080000006E-2</v>
      </c>
      <c r="F50" s="291">
        <f>'2-I_NoCo'!F59</f>
        <v>1.1598572040000003E-3</v>
      </c>
      <c r="G50" s="290">
        <f>'2-I_NoCo'!G59</f>
        <v>9.1952643200000021E-3</v>
      </c>
      <c r="H50" s="291">
        <f>'2-I_NoCo'!H59</f>
        <v>4.5976321600000008E-4</v>
      </c>
      <c r="I50" s="290">
        <f>'2-I_NoCo'!I59</f>
        <v>1.0031197440000002E-2</v>
      </c>
      <c r="J50" s="291">
        <f>'2-I_NoCo'!J59</f>
        <v>5.0155987200000004E-4</v>
      </c>
      <c r="K50" s="290">
        <f>'2-I_NoCo'!K59</f>
        <v>8.2966362160000022E-4</v>
      </c>
      <c r="L50" s="291">
        <f>'2-I_NoCo'!L59</f>
        <v>4.1483181080000016E-5</v>
      </c>
      <c r="M50" s="290">
        <f>'2-I_NoCo'!M59</f>
        <v>3.7616990400000006E-3</v>
      </c>
      <c r="N50" s="291">
        <f>'2-I_NoCo'!N59</f>
        <v>1.8808495200000003E-4</v>
      </c>
      <c r="O50" s="290">
        <f>'2-I_NoCo'!O59</f>
        <v>1.9003527336860668</v>
      </c>
      <c r="P50" s="291">
        <f>'2-I_NoCo'!P59</f>
        <v>9.5017636684303339E-2</v>
      </c>
      <c r="Q50" s="1692" t="s">
        <v>445</v>
      </c>
      <c r="R50" s="1693" t="s">
        <v>445</v>
      </c>
      <c r="S50" s="1692" t="s">
        <v>445</v>
      </c>
      <c r="T50" s="1693" t="s">
        <v>445</v>
      </c>
      <c r="U50" s="553"/>
      <c r="V50" s="554"/>
      <c r="W50" s="2945"/>
    </row>
    <row r="51" spans="1:25" ht="18" customHeight="1" thickBot="1">
      <c r="A51" s="2943" t="str">
        <f>'2-I_NoCo'!A60</f>
        <v>GEN8</v>
      </c>
      <c r="B51" s="2944" t="str">
        <f t="shared" si="10"/>
        <v>GEN8</v>
      </c>
      <c r="C51" s="1403">
        <f>'2-I_NoCo'!C60</f>
        <v>2.0982598998460671</v>
      </c>
      <c r="D51" s="1404">
        <f>'2-I_NoCo'!D60</f>
        <v>0.10491299499230333</v>
      </c>
      <c r="E51" s="1403">
        <f>'2-I_NoCo'!E60</f>
        <v>2.3197144080000006E-2</v>
      </c>
      <c r="F51" s="1404">
        <f>'2-I_NoCo'!F60</f>
        <v>1.1598572040000003E-3</v>
      </c>
      <c r="G51" s="1403">
        <f>'2-I_NoCo'!G60</f>
        <v>9.1952643200000021E-3</v>
      </c>
      <c r="H51" s="1404">
        <f>'2-I_NoCo'!H60</f>
        <v>4.5976321600000008E-4</v>
      </c>
      <c r="I51" s="1403">
        <f>'2-I_NoCo'!I60</f>
        <v>1.0031197440000002E-2</v>
      </c>
      <c r="J51" s="1404">
        <f>'2-I_NoCo'!J60</f>
        <v>5.0155987200000004E-4</v>
      </c>
      <c r="K51" s="1403">
        <f>'2-I_NoCo'!K60</f>
        <v>8.2966362160000022E-4</v>
      </c>
      <c r="L51" s="1404">
        <f>'2-I_NoCo'!L60</f>
        <v>4.1483181080000016E-5</v>
      </c>
      <c r="M51" s="1403">
        <f>'2-I_NoCo'!M60</f>
        <v>3.7616990400000006E-3</v>
      </c>
      <c r="N51" s="1404">
        <f>'2-I_NoCo'!N60</f>
        <v>1.8808495200000003E-4</v>
      </c>
      <c r="O51" s="1403">
        <f>'2-I_NoCo'!O60</f>
        <v>1.9003527336860668</v>
      </c>
      <c r="P51" s="1404">
        <f>'2-I_NoCo'!P60</f>
        <v>9.5017636684303339E-2</v>
      </c>
      <c r="Q51" s="2939" t="s">
        <v>445</v>
      </c>
      <c r="R51" s="2940" t="s">
        <v>445</v>
      </c>
      <c r="S51" s="2939" t="s">
        <v>445</v>
      </c>
      <c r="T51" s="2940" t="s">
        <v>445</v>
      </c>
      <c r="U51" s="2941"/>
      <c r="V51" s="2942"/>
    </row>
    <row r="52" spans="1:25" s="2946" customFormat="1" ht="18" customHeight="1" thickBot="1">
      <c r="A52" s="2947" t="s">
        <v>185</v>
      </c>
      <c r="B52" s="2948"/>
      <c r="C52" s="2949">
        <f>SUM(C6:C51)-C12-C13</f>
        <v>22.186048841943613</v>
      </c>
      <c r="D52" s="2950">
        <f>SUM(D6:D51)</f>
        <v>25.324527329092419</v>
      </c>
      <c r="E52" s="2949">
        <f>SUM(E6:E51)-E12-E13</f>
        <v>1.7074035601534212</v>
      </c>
      <c r="F52" s="2950">
        <f>SUM(F6:F51)</f>
        <v>7.1042859499201167</v>
      </c>
      <c r="G52" s="2949">
        <f>SUM(G6:G51)-G12-G13</f>
        <v>0.29406704584689808</v>
      </c>
      <c r="H52" s="2950">
        <f>SUM(H6:H51)</f>
        <v>1.2485622985723999</v>
      </c>
      <c r="I52" s="2949">
        <f>SUM(I6:I51)-I12-I13</f>
        <v>0.54009012851957905</v>
      </c>
      <c r="J52" s="2950">
        <f>SUM(J6:J51)</f>
        <v>2.1453725736877285</v>
      </c>
      <c r="K52" s="2949">
        <f>SUM(K6:K51)-K12-K13</f>
        <v>0.13100824505017339</v>
      </c>
      <c r="L52" s="2950">
        <f>SUM(L6:L51)</f>
        <v>0.54506636232714767</v>
      </c>
      <c r="M52" s="2949">
        <f>SUM(M6:M51)-M12-M13</f>
        <v>0.22800783852693524</v>
      </c>
      <c r="N52" s="2950">
        <f>SUM(N6:N51)</f>
        <v>0.9004911526230801</v>
      </c>
      <c r="O52" s="2949">
        <f>SUM(O6:O51)-O12-O13</f>
        <v>16.073410406635357</v>
      </c>
      <c r="P52" s="2950">
        <f>SUM(P6:P51)</f>
        <v>4.5733188861775114</v>
      </c>
      <c r="Q52" s="2949">
        <f>SUM(Q6:Q43)</f>
        <v>3.2917741442969084</v>
      </c>
      <c r="R52" s="2950">
        <f>SUM(R6:R51)</f>
        <v>14.417970752020459</v>
      </c>
      <c r="S52" s="2949">
        <f>SUM(S6:S51)</f>
        <v>63.44</v>
      </c>
      <c r="T52" s="2950">
        <f>SUM(T6:T51)</f>
        <v>277.86719999999997</v>
      </c>
      <c r="U52" s="2949"/>
      <c r="V52" s="2950"/>
      <c r="X52" s="3599">
        <f>Q52+S52</f>
        <v>66.731774144296907</v>
      </c>
      <c r="Y52" s="3599">
        <f>R52+T52</f>
        <v>292.28517075202041</v>
      </c>
    </row>
    <row r="53" spans="1:25">
      <c r="A53" s="4053" t="s">
        <v>1918</v>
      </c>
      <c r="B53" s="4044"/>
      <c r="C53" s="4044"/>
      <c r="D53" s="4044"/>
      <c r="E53" s="4044"/>
      <c r="F53" s="4044"/>
      <c r="G53" s="4044"/>
      <c r="H53" s="4044"/>
      <c r="I53" s="4044"/>
      <c r="J53" s="4044"/>
      <c r="K53" s="4044"/>
      <c r="L53" s="4044"/>
      <c r="M53" s="4044"/>
      <c r="N53" s="4044"/>
      <c r="O53" s="4044"/>
      <c r="P53" s="4044"/>
      <c r="Q53" s="4044"/>
      <c r="R53" s="4044"/>
      <c r="S53" s="4045"/>
    </row>
    <row r="54" spans="1:25">
      <c r="C54" s="634"/>
      <c r="D54" s="634"/>
      <c r="E54" s="634"/>
      <c r="F54" s="634"/>
      <c r="G54" s="634"/>
      <c r="H54" s="634"/>
    </row>
    <row r="56" spans="1:25">
      <c r="P56" s="2404"/>
    </row>
    <row r="73" spans="13:13">
      <c r="M73" s="560"/>
    </row>
  </sheetData>
  <mergeCells count="28">
    <mergeCell ref="C37:V37"/>
    <mergeCell ref="C38:V38"/>
    <mergeCell ref="C39:V39"/>
    <mergeCell ref="C18:V18"/>
    <mergeCell ref="C19:V19"/>
    <mergeCell ref="C20:V20"/>
    <mergeCell ref="C21:V21"/>
    <mergeCell ref="C22:V22"/>
    <mergeCell ref="C23:V23"/>
    <mergeCell ref="C31:V31"/>
    <mergeCell ref="C32:V32"/>
    <mergeCell ref="C35:V35"/>
    <mergeCell ref="A53:S53"/>
    <mergeCell ref="A1:V1"/>
    <mergeCell ref="A2:V2"/>
    <mergeCell ref="A3:A5"/>
    <mergeCell ref="B3:B5"/>
    <mergeCell ref="C3:D4"/>
    <mergeCell ref="E3:F4"/>
    <mergeCell ref="G3:H4"/>
    <mergeCell ref="S3:T4"/>
    <mergeCell ref="U3:V4"/>
    <mergeCell ref="M3:N4"/>
    <mergeCell ref="O3:P4"/>
    <mergeCell ref="Q3:R4"/>
    <mergeCell ref="I3:J4"/>
    <mergeCell ref="K3:L4"/>
    <mergeCell ref="C36:V36"/>
  </mergeCells>
  <printOptions horizontalCentered="1"/>
  <pageMargins left="0.5" right="0.5" top="0.5" bottom="0.5" header="0.35" footer="0.35"/>
  <pageSetup scale="76"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1/25/2017&amp;C&amp;8Table 2-I:  Page &amp;P&amp;R&amp;8Printed &amp;D &amp;T</oddFooter>
  </headerFooter>
  <rowBreaks count="1" manualBreakCount="1">
    <brk id="30" max="2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1"/>
  </sheetPr>
  <dimension ref="A1:W82"/>
  <sheetViews>
    <sheetView view="pageBreakPreview" zoomScale="85" zoomScaleNormal="100" zoomScaleSheetLayoutView="85" workbookViewId="0">
      <selection activeCell="E19" sqref="E19:R20"/>
    </sheetView>
  </sheetViews>
  <sheetFormatPr defaultColWidth="8.6328125" defaultRowHeight="13"/>
  <cols>
    <col min="1" max="2" width="9.453125" style="66" customWidth="1"/>
    <col min="3" max="12" width="7.453125" style="66" customWidth="1"/>
    <col min="13" max="13" width="7.36328125" style="66" customWidth="1"/>
    <col min="14" max="22" width="7.453125" style="66" customWidth="1"/>
    <col min="23" max="16384" width="8.6328125" style="66"/>
  </cols>
  <sheetData>
    <row r="1" spans="1:22" ht="21.75" customHeight="1">
      <c r="A1" s="4141" t="s">
        <v>1776</v>
      </c>
      <c r="B1" s="4141"/>
      <c r="C1" s="4141"/>
      <c r="D1" s="4141"/>
      <c r="E1" s="4141"/>
      <c r="F1" s="4141"/>
      <c r="G1" s="4141"/>
      <c r="H1" s="4141"/>
      <c r="I1" s="4141"/>
      <c r="J1" s="4141"/>
      <c r="K1" s="4141"/>
      <c r="L1" s="4141"/>
      <c r="M1" s="4141"/>
      <c r="N1" s="4141"/>
      <c r="O1" s="4141"/>
      <c r="P1" s="4141"/>
      <c r="Q1" s="4141"/>
      <c r="R1" s="4141"/>
      <c r="S1" s="4141"/>
      <c r="T1" s="4141"/>
      <c r="U1" s="4141"/>
      <c r="V1" s="4141"/>
    </row>
    <row r="2" spans="1:22" ht="80" customHeight="1" thickBot="1">
      <c r="A2" s="4142" t="s">
        <v>181</v>
      </c>
      <c r="B2" s="4142"/>
      <c r="C2" s="4142"/>
      <c r="D2" s="4142"/>
      <c r="E2" s="4142"/>
      <c r="F2" s="4142"/>
      <c r="G2" s="4142"/>
      <c r="H2" s="4142"/>
      <c r="I2" s="4142"/>
      <c r="J2" s="4142"/>
      <c r="K2" s="4142"/>
      <c r="L2" s="4142"/>
      <c r="M2" s="4142"/>
      <c r="N2" s="4142"/>
      <c r="O2" s="4142"/>
      <c r="P2" s="4142"/>
      <c r="Q2" s="4142"/>
      <c r="R2" s="4142"/>
      <c r="S2" s="4142"/>
      <c r="T2" s="4142"/>
      <c r="U2" s="4142"/>
      <c r="V2" s="4142"/>
    </row>
    <row r="3" spans="1:22" ht="19.5" customHeight="1">
      <c r="A3" s="4143" t="s">
        <v>182</v>
      </c>
      <c r="B3" s="4145" t="s">
        <v>183</v>
      </c>
      <c r="C3" s="4148" t="s">
        <v>45</v>
      </c>
      <c r="D3" s="4149"/>
      <c r="E3" s="4152" t="s">
        <v>1465</v>
      </c>
      <c r="F3" s="4153"/>
      <c r="G3" s="4152" t="s">
        <v>665</v>
      </c>
      <c r="H3" s="4153"/>
      <c r="I3" s="4152" t="s">
        <v>1758</v>
      </c>
      <c r="J3" s="4153"/>
      <c r="K3" s="4152" t="s">
        <v>1759</v>
      </c>
      <c r="L3" s="4153"/>
      <c r="M3" s="4152" t="s">
        <v>1466</v>
      </c>
      <c r="N3" s="4153"/>
      <c r="O3" s="4152" t="s">
        <v>1467</v>
      </c>
      <c r="P3" s="4153"/>
      <c r="Q3" s="4152" t="s">
        <v>1491</v>
      </c>
      <c r="R3" s="4153"/>
      <c r="S3" s="4152" t="s">
        <v>1499</v>
      </c>
      <c r="T3" s="4153"/>
      <c r="U3" s="4156" t="s">
        <v>184</v>
      </c>
      <c r="V3" s="4157"/>
    </row>
    <row r="4" spans="1:22" ht="19.5" customHeight="1">
      <c r="A4" s="4144"/>
      <c r="B4" s="4146"/>
      <c r="C4" s="4150"/>
      <c r="D4" s="4151"/>
      <c r="E4" s="4154"/>
      <c r="F4" s="4155"/>
      <c r="G4" s="4154"/>
      <c r="H4" s="4155"/>
      <c r="I4" s="4154"/>
      <c r="J4" s="4155"/>
      <c r="K4" s="4154"/>
      <c r="L4" s="4155"/>
      <c r="M4" s="4154"/>
      <c r="N4" s="4155"/>
      <c r="O4" s="4154"/>
      <c r="P4" s="4155"/>
      <c r="Q4" s="4154"/>
      <c r="R4" s="4155"/>
      <c r="S4" s="4154"/>
      <c r="T4" s="4155"/>
      <c r="U4" s="4158"/>
      <c r="V4" s="4159"/>
    </row>
    <row r="5" spans="1:22" ht="19.5" customHeight="1">
      <c r="A5" s="4126"/>
      <c r="B5" s="4147"/>
      <c r="C5" s="79" t="s">
        <v>22</v>
      </c>
      <c r="D5" s="80" t="s">
        <v>155</v>
      </c>
      <c r="E5" s="625" t="s">
        <v>22</v>
      </c>
      <c r="F5" s="624" t="s">
        <v>155</v>
      </c>
      <c r="G5" s="625" t="s">
        <v>22</v>
      </c>
      <c r="H5" s="624" t="s">
        <v>155</v>
      </c>
      <c r="I5" s="79" t="s">
        <v>22</v>
      </c>
      <c r="J5" s="80" t="s">
        <v>155</v>
      </c>
      <c r="K5" s="79" t="s">
        <v>22</v>
      </c>
      <c r="L5" s="80" t="s">
        <v>155</v>
      </c>
      <c r="M5" s="546" t="s">
        <v>22</v>
      </c>
      <c r="N5" s="547" t="s">
        <v>155</v>
      </c>
      <c r="O5" s="79" t="s">
        <v>22</v>
      </c>
      <c r="P5" s="80" t="s">
        <v>155</v>
      </c>
      <c r="Q5" s="79" t="s">
        <v>22</v>
      </c>
      <c r="R5" s="80" t="s">
        <v>155</v>
      </c>
      <c r="S5" s="79" t="s">
        <v>22</v>
      </c>
      <c r="T5" s="80" t="s">
        <v>155</v>
      </c>
      <c r="U5" s="79" t="s">
        <v>22</v>
      </c>
      <c r="V5" s="80" t="s">
        <v>155</v>
      </c>
    </row>
    <row r="6" spans="1:22" ht="18" customHeight="1">
      <c r="A6" s="112" t="str">
        <f t="shared" ref="A6:A30" si="0">B6</f>
        <v>SHTR1</v>
      </c>
      <c r="B6" s="113" t="str">
        <f>'2-E-NoCo'!A5</f>
        <v>SHTR1</v>
      </c>
      <c r="C6" s="626">
        <f>SUM('Burners No Cogen'!M48:Q48)</f>
        <v>0.1196558411764706</v>
      </c>
      <c r="D6" s="627">
        <f>SUM('Burners No Cogen'!R48:V48)</f>
        <v>0.52409258435294115</v>
      </c>
      <c r="E6" s="626">
        <f>'Burners No Cogen'!O48</f>
        <v>0.11440588235294119</v>
      </c>
      <c r="F6" s="627">
        <f>'Burners No Cogen'!T48</f>
        <v>0.50109776470588241</v>
      </c>
      <c r="G6" s="628">
        <f>'Burners No Cogen'!H48</f>
        <v>2.0999999999999999E-3</v>
      </c>
      <c r="H6" s="629">
        <f>'Burners No Cogen'!R48</f>
        <v>5.8461405882352939E-4</v>
      </c>
      <c r="I6" s="626">
        <f>Burners!N31</f>
        <v>2.1609999999999999E-4</v>
      </c>
      <c r="J6" s="627">
        <f>Burners!S31</f>
        <v>9.4651799999999993E-4</v>
      </c>
      <c r="K6" s="626">
        <v>0</v>
      </c>
      <c r="L6" s="627">
        <v>0</v>
      </c>
      <c r="M6" s="628">
        <v>0</v>
      </c>
      <c r="N6" s="629">
        <v>0</v>
      </c>
      <c r="O6" s="628">
        <f>'Burners No Cogen'!P48</f>
        <v>4.7669117647058815E-3</v>
      </c>
      <c r="P6" s="629">
        <f>'Burners No Cogen'!U48</f>
        <v>2.0879073529411762E-2</v>
      </c>
      <c r="Q6" s="1688" t="s">
        <v>445</v>
      </c>
      <c r="R6" s="1689" t="s">
        <v>445</v>
      </c>
      <c r="S6" s="1688" t="s">
        <v>445</v>
      </c>
      <c r="T6" s="1689" t="s">
        <v>445</v>
      </c>
      <c r="U6" s="551"/>
      <c r="V6" s="552"/>
    </row>
    <row r="7" spans="1:22" ht="18" customHeight="1">
      <c r="A7" s="310" t="str">
        <f t="shared" si="0"/>
        <v>SHTR2</v>
      </c>
      <c r="B7" s="311" t="str">
        <f>'2-E-NoCo'!A6</f>
        <v>SHTR2</v>
      </c>
      <c r="C7" s="290">
        <f>SUM('Burners No Cogen'!M49:Q49)</f>
        <v>0.11959863823529414</v>
      </c>
      <c r="D7" s="291">
        <f>SUM('Burners No Cogen'!R49:V49)</f>
        <v>0.52384203547058827</v>
      </c>
      <c r="E7" s="290">
        <f>'Burners No Cogen'!O49</f>
        <v>0.11440588235294119</v>
      </c>
      <c r="F7" s="291">
        <f>'Burners No Cogen'!T49</f>
        <v>0.50109776470588241</v>
      </c>
      <c r="G7" s="1679">
        <f>'Burners No Cogen'!H49</f>
        <v>2.0999999999999999E-3</v>
      </c>
      <c r="H7" s="1680">
        <f>'Burners No Cogen'!R49</f>
        <v>5.8461405882352939E-4</v>
      </c>
      <c r="I7" s="630">
        <f>I6</f>
        <v>2.1609999999999999E-4</v>
      </c>
      <c r="J7" s="631">
        <f>J6</f>
        <v>9.4651799999999993E-4</v>
      </c>
      <c r="K7" s="630">
        <f>K6</f>
        <v>0</v>
      </c>
      <c r="L7" s="631">
        <f>L6</f>
        <v>0</v>
      </c>
      <c r="M7" s="1679">
        <v>0</v>
      </c>
      <c r="N7" s="1680">
        <v>0</v>
      </c>
      <c r="O7" s="1679">
        <f>'Burners No Cogen'!P49</f>
        <v>4.7669117647058815E-3</v>
      </c>
      <c r="P7" s="1680">
        <f>'Burners No Cogen'!U49</f>
        <v>2.0879073529411762E-2</v>
      </c>
      <c r="Q7" s="1690" t="s">
        <v>445</v>
      </c>
      <c r="R7" s="1691" t="s">
        <v>445</v>
      </c>
      <c r="S7" s="1690" t="s">
        <v>445</v>
      </c>
      <c r="T7" s="1691" t="s">
        <v>445</v>
      </c>
      <c r="U7" s="553"/>
      <c r="V7" s="554"/>
    </row>
    <row r="8" spans="1:22" ht="18" customHeight="1">
      <c r="A8" s="112" t="str">
        <f t="shared" si="0"/>
        <v>SHTR3</v>
      </c>
      <c r="B8" s="113" t="str">
        <f>'2-E-NoCo'!A7</f>
        <v>SHTR3</v>
      </c>
      <c r="C8" s="626">
        <f>SUM('Burners No Cogen'!M50:Q50)</f>
        <v>0.11959863823529414</v>
      </c>
      <c r="D8" s="627">
        <f>SUM('Burners No Cogen'!R50:V50)</f>
        <v>0.52384203547058827</v>
      </c>
      <c r="E8" s="626">
        <f>'Burners No Cogen'!O50</f>
        <v>0.11440588235294119</v>
      </c>
      <c r="F8" s="627">
        <f>'Burners No Cogen'!T50</f>
        <v>0.50109776470588241</v>
      </c>
      <c r="G8" s="628">
        <f>'Burners No Cogen'!H50</f>
        <v>2.0999999999999999E-3</v>
      </c>
      <c r="H8" s="629">
        <f>'Burners No Cogen'!R50</f>
        <v>5.8461405882352939E-4</v>
      </c>
      <c r="I8" s="626">
        <f>Burners!N33</f>
        <v>1.3046666666666668E-4</v>
      </c>
      <c r="J8" s="627">
        <f>Burners!S33</f>
        <v>5.7144400000000005E-4</v>
      </c>
      <c r="K8" s="626">
        <v>0</v>
      </c>
      <c r="L8" s="627">
        <v>0</v>
      </c>
      <c r="M8" s="628">
        <v>0</v>
      </c>
      <c r="N8" s="629">
        <v>0</v>
      </c>
      <c r="O8" s="628">
        <f>'Burners No Cogen'!P50</f>
        <v>4.7669117647058815E-3</v>
      </c>
      <c r="P8" s="629">
        <f>'Burners No Cogen'!U50</f>
        <v>2.0879073529411762E-2</v>
      </c>
      <c r="Q8" s="1688" t="s">
        <v>445</v>
      </c>
      <c r="R8" s="1689" t="s">
        <v>445</v>
      </c>
      <c r="S8" s="1688" t="s">
        <v>445</v>
      </c>
      <c r="T8" s="1689" t="s">
        <v>445</v>
      </c>
      <c r="U8" s="551"/>
      <c r="V8" s="552"/>
    </row>
    <row r="9" spans="1:22" ht="18" customHeight="1">
      <c r="A9" s="310" t="str">
        <f t="shared" si="0"/>
        <v>SHTR4</v>
      </c>
      <c r="B9" s="311" t="str">
        <f>'2-E-NoCo'!A8</f>
        <v>SHTR4</v>
      </c>
      <c r="C9" s="290">
        <f>SUM('Burners No Cogen'!M51:Q51)</f>
        <v>0.11959863823529414</v>
      </c>
      <c r="D9" s="291">
        <f>SUM('Burners No Cogen'!R51:V51)</f>
        <v>0.52384203547058827</v>
      </c>
      <c r="E9" s="290">
        <f>'Burners No Cogen'!O51</f>
        <v>0.11440588235294119</v>
      </c>
      <c r="F9" s="291">
        <f>'Burners No Cogen'!T51</f>
        <v>0.50109776470588241</v>
      </c>
      <c r="G9" s="1679">
        <f>'Burners No Cogen'!H51</f>
        <v>2.0999999999999999E-3</v>
      </c>
      <c r="H9" s="1680">
        <f>'Burners No Cogen'!R51</f>
        <v>5.8461405882352939E-4</v>
      </c>
      <c r="I9" s="630">
        <f>I8</f>
        <v>1.3046666666666668E-4</v>
      </c>
      <c r="J9" s="631">
        <f>J8</f>
        <v>5.7144400000000005E-4</v>
      </c>
      <c r="K9" s="630">
        <f>K8</f>
        <v>0</v>
      </c>
      <c r="L9" s="631">
        <f>L8</f>
        <v>0</v>
      </c>
      <c r="M9" s="1679">
        <v>0</v>
      </c>
      <c r="N9" s="1680">
        <v>0</v>
      </c>
      <c r="O9" s="1679">
        <f>'Burners No Cogen'!P51</f>
        <v>4.7669117647058815E-3</v>
      </c>
      <c r="P9" s="1680">
        <f>'Burners No Cogen'!U51</f>
        <v>2.0879073529411762E-2</v>
      </c>
      <c r="Q9" s="1690" t="s">
        <v>445</v>
      </c>
      <c r="R9" s="1691" t="s">
        <v>445</v>
      </c>
      <c r="S9" s="1690" t="s">
        <v>445</v>
      </c>
      <c r="T9" s="1691" t="s">
        <v>445</v>
      </c>
      <c r="U9" s="553"/>
      <c r="V9" s="554"/>
    </row>
    <row r="10" spans="1:22" ht="18" customHeight="1">
      <c r="A10" s="112" t="str">
        <f t="shared" si="0"/>
        <v>SHTR5</v>
      </c>
      <c r="B10" s="113" t="str">
        <f>'2-E-NoCo'!A9</f>
        <v>SHTR5</v>
      </c>
      <c r="C10" s="626">
        <f>SUM('Burners No Cogen'!M52:Q52)</f>
        <v>0.11959863823529414</v>
      </c>
      <c r="D10" s="627">
        <f>SUM('Burners No Cogen'!R52:V52)</f>
        <v>0.52384203547058827</v>
      </c>
      <c r="E10" s="626">
        <f>'Burners No Cogen'!O52</f>
        <v>0.11440588235294119</v>
      </c>
      <c r="F10" s="627">
        <f>'Burners No Cogen'!T52</f>
        <v>0.50109776470588241</v>
      </c>
      <c r="G10" s="628">
        <f>'Burners No Cogen'!H52</f>
        <v>2.0999999999999999E-3</v>
      </c>
      <c r="H10" s="629">
        <f>'Burners No Cogen'!R52</f>
        <v>5.8461405882352939E-4</v>
      </c>
      <c r="I10" s="626">
        <f>Burners!N35</f>
        <v>1.3046666666666668E-4</v>
      </c>
      <c r="J10" s="627">
        <f>Burners!S35</f>
        <v>5.7144400000000005E-4</v>
      </c>
      <c r="K10" s="626">
        <v>0</v>
      </c>
      <c r="L10" s="627">
        <v>0</v>
      </c>
      <c r="M10" s="628">
        <v>0</v>
      </c>
      <c r="N10" s="629">
        <v>0</v>
      </c>
      <c r="O10" s="628">
        <f>'Burners No Cogen'!P52</f>
        <v>4.7669117647058815E-3</v>
      </c>
      <c r="P10" s="629">
        <f>'Burners No Cogen'!U52</f>
        <v>2.0879073529411762E-2</v>
      </c>
      <c r="Q10" s="1688" t="s">
        <v>445</v>
      </c>
      <c r="R10" s="1689" t="s">
        <v>445</v>
      </c>
      <c r="S10" s="1688" t="s">
        <v>445</v>
      </c>
      <c r="T10" s="1689" t="s">
        <v>445</v>
      </c>
      <c r="U10" s="551"/>
      <c r="V10" s="552"/>
    </row>
    <row r="11" spans="1:22" ht="18" customHeight="1">
      <c r="A11" s="310" t="str">
        <f t="shared" si="0"/>
        <v>SHTR6</v>
      </c>
      <c r="B11" s="311" t="str">
        <f>'2-E-NoCo'!A10</f>
        <v>SHTR6</v>
      </c>
      <c r="C11" s="290">
        <f>SUM('Burners No Cogen'!M53:Q53)</f>
        <v>0.11959863823529414</v>
      </c>
      <c r="D11" s="291">
        <f>SUM('Burners No Cogen'!R53:V53)</f>
        <v>0.52384203547058827</v>
      </c>
      <c r="E11" s="290">
        <f>'Burners No Cogen'!O53</f>
        <v>0.11440588235294119</v>
      </c>
      <c r="F11" s="291">
        <f>'Burners No Cogen'!T53</f>
        <v>0.50109776470588241</v>
      </c>
      <c r="G11" s="1679">
        <f>'Burners No Cogen'!H53</f>
        <v>2.0999999999999999E-3</v>
      </c>
      <c r="H11" s="1680">
        <f>'Burners No Cogen'!R53</f>
        <v>5.8461405882352939E-4</v>
      </c>
      <c r="I11" s="630">
        <f>I10</f>
        <v>1.3046666666666668E-4</v>
      </c>
      <c r="J11" s="631">
        <f>J10</f>
        <v>5.7144400000000005E-4</v>
      </c>
      <c r="K11" s="630">
        <f>K10</f>
        <v>0</v>
      </c>
      <c r="L11" s="631">
        <f>L10</f>
        <v>0</v>
      </c>
      <c r="M11" s="1679">
        <v>0</v>
      </c>
      <c r="N11" s="1680">
        <v>0</v>
      </c>
      <c r="O11" s="1679">
        <f>'Burners No Cogen'!P53</f>
        <v>4.7669117647058815E-3</v>
      </c>
      <c r="P11" s="1680">
        <f>'Burners No Cogen'!U53</f>
        <v>2.0879073529411762E-2</v>
      </c>
      <c r="Q11" s="1690" t="s">
        <v>445</v>
      </c>
      <c r="R11" s="1691" t="s">
        <v>445</v>
      </c>
      <c r="S11" s="1690" t="s">
        <v>445</v>
      </c>
      <c r="T11" s="1691" t="s">
        <v>445</v>
      </c>
      <c r="U11" s="553"/>
      <c r="V11" s="554"/>
    </row>
    <row r="12" spans="1:22" ht="18" customHeight="1">
      <c r="A12" s="112" t="str">
        <f t="shared" si="0"/>
        <v>SHTR7</v>
      </c>
      <c r="B12" s="113" t="str">
        <f>'2-E-NoCo'!A11</f>
        <v>SHTR7</v>
      </c>
      <c r="C12" s="626">
        <f>SUM('Burners No Cogen'!M54:Q54)</f>
        <v>0.11959863823529414</v>
      </c>
      <c r="D12" s="627">
        <f>SUM('Burners No Cogen'!R54:V54)</f>
        <v>0.52384203547058827</v>
      </c>
      <c r="E12" s="626">
        <f>'Burners No Cogen'!O54</f>
        <v>0.11440588235294119</v>
      </c>
      <c r="F12" s="627">
        <f>'Burners No Cogen'!T54</f>
        <v>0.50109776470588241</v>
      </c>
      <c r="G12" s="628">
        <f>'Burners No Cogen'!H54</f>
        <v>2.0999999999999999E-3</v>
      </c>
      <c r="H12" s="629">
        <f>'Burners No Cogen'!R54</f>
        <v>5.8461405882352939E-4</v>
      </c>
      <c r="I12" s="626">
        <f>Burners!N37</f>
        <v>0</v>
      </c>
      <c r="J12" s="627">
        <f>Burners!S37</f>
        <v>0</v>
      </c>
      <c r="K12" s="626">
        <v>0</v>
      </c>
      <c r="L12" s="627">
        <v>0</v>
      </c>
      <c r="M12" s="628">
        <v>0</v>
      </c>
      <c r="N12" s="629">
        <v>0</v>
      </c>
      <c r="O12" s="628">
        <f>'Burners No Cogen'!P54</f>
        <v>4.7669117647058815E-3</v>
      </c>
      <c r="P12" s="629">
        <f>'Burners No Cogen'!U54</f>
        <v>2.0879073529411762E-2</v>
      </c>
      <c r="Q12" s="1688" t="s">
        <v>445</v>
      </c>
      <c r="R12" s="1689" t="s">
        <v>445</v>
      </c>
      <c r="S12" s="1688" t="s">
        <v>445</v>
      </c>
      <c r="T12" s="1689" t="s">
        <v>445</v>
      </c>
      <c r="U12" s="551"/>
      <c r="V12" s="552"/>
    </row>
    <row r="13" spans="1:22" ht="18" customHeight="1">
      <c r="A13" s="310" t="str">
        <f t="shared" si="0"/>
        <v>SHTR8</v>
      </c>
      <c r="B13" s="311" t="str">
        <f>'2-E-NoCo'!A12</f>
        <v>SHTR8</v>
      </c>
      <c r="C13" s="290">
        <f>SUM('Burners No Cogen'!M55:Q55)</f>
        <v>0.11959863823529414</v>
      </c>
      <c r="D13" s="291">
        <f>SUM('Burners No Cogen'!R55:V55)</f>
        <v>0.52384203547058827</v>
      </c>
      <c r="E13" s="290">
        <f>'Burners No Cogen'!O55</f>
        <v>0.11440588235294119</v>
      </c>
      <c r="F13" s="291">
        <f>'Burners No Cogen'!T55</f>
        <v>0.50109776470588241</v>
      </c>
      <c r="G13" s="1679">
        <f>'Burners No Cogen'!H55</f>
        <v>2.0999999999999999E-3</v>
      </c>
      <c r="H13" s="1680">
        <f>'Burners No Cogen'!R55</f>
        <v>5.8461405882352939E-4</v>
      </c>
      <c r="I13" s="630">
        <f>I12</f>
        <v>0</v>
      </c>
      <c r="J13" s="631">
        <f>J12</f>
        <v>0</v>
      </c>
      <c r="K13" s="630">
        <f>K12</f>
        <v>0</v>
      </c>
      <c r="L13" s="631">
        <f>L12</f>
        <v>0</v>
      </c>
      <c r="M13" s="1679">
        <v>0</v>
      </c>
      <c r="N13" s="1680">
        <v>0</v>
      </c>
      <c r="O13" s="1679">
        <f>'Burners No Cogen'!P55</f>
        <v>4.7669117647058815E-3</v>
      </c>
      <c r="P13" s="1680">
        <f>'Burners No Cogen'!U55</f>
        <v>2.0879073529411762E-2</v>
      </c>
      <c r="Q13" s="1690" t="s">
        <v>445</v>
      </c>
      <c r="R13" s="1691" t="s">
        <v>445</v>
      </c>
      <c r="S13" s="1690" t="s">
        <v>445</v>
      </c>
      <c r="T13" s="1691" t="s">
        <v>445</v>
      </c>
      <c r="U13" s="553"/>
      <c r="V13" s="554"/>
    </row>
    <row r="14" spans="1:22" ht="18" customHeight="1">
      <c r="A14" s="112" t="str">
        <f t="shared" si="0"/>
        <v>SHTR9</v>
      </c>
      <c r="B14" s="113" t="str">
        <f>'2-E-NoCo'!A13</f>
        <v>SHTR9</v>
      </c>
      <c r="C14" s="626">
        <f>SUM('Burners No Cogen'!M56:Q56)</f>
        <v>0.11959863823529414</v>
      </c>
      <c r="D14" s="627">
        <f>SUM('Burners No Cogen'!R56:V56)</f>
        <v>0.52384203547058827</v>
      </c>
      <c r="E14" s="626">
        <f>'Burners No Cogen'!O56</f>
        <v>0.11440588235294119</v>
      </c>
      <c r="F14" s="627">
        <f>'Burners No Cogen'!T56</f>
        <v>0.50109776470588241</v>
      </c>
      <c r="G14" s="628">
        <f>'Burners No Cogen'!H56</f>
        <v>2.0999999999999999E-3</v>
      </c>
      <c r="H14" s="629">
        <f>'Burners No Cogen'!R56</f>
        <v>5.8461405882352939E-4</v>
      </c>
      <c r="I14" s="626">
        <f>Burners!N39</f>
        <v>0</v>
      </c>
      <c r="J14" s="627">
        <f>Burners!S39</f>
        <v>3.6073679999999997E-3</v>
      </c>
      <c r="K14" s="626">
        <v>0</v>
      </c>
      <c r="L14" s="627">
        <v>0</v>
      </c>
      <c r="M14" s="628">
        <v>0</v>
      </c>
      <c r="N14" s="629">
        <v>0</v>
      </c>
      <c r="O14" s="628">
        <f>'Burners No Cogen'!P56</f>
        <v>4.7669117647058815E-3</v>
      </c>
      <c r="P14" s="629">
        <f>'Burners No Cogen'!U56</f>
        <v>2.0879073529411762E-2</v>
      </c>
      <c r="Q14" s="1688" t="s">
        <v>445</v>
      </c>
      <c r="R14" s="1689" t="s">
        <v>445</v>
      </c>
      <c r="S14" s="1688" t="s">
        <v>445</v>
      </c>
      <c r="T14" s="1689" t="s">
        <v>445</v>
      </c>
      <c r="U14" s="551"/>
      <c r="V14" s="552"/>
    </row>
    <row r="15" spans="1:22" ht="18" customHeight="1">
      <c r="A15" s="310" t="str">
        <f t="shared" si="0"/>
        <v>SHTR10</v>
      </c>
      <c r="B15" s="311" t="str">
        <f>'2-E-NoCo'!A14</f>
        <v>SHTR10</v>
      </c>
      <c r="C15" s="290">
        <f>SUM('Burners No Cogen'!M57:Q57)</f>
        <v>0.11959863823529414</v>
      </c>
      <c r="D15" s="291">
        <f>SUM('Burners No Cogen'!R57:V57)</f>
        <v>0.52384203547058827</v>
      </c>
      <c r="E15" s="290">
        <f>'Burners No Cogen'!O57</f>
        <v>0.11440588235294119</v>
      </c>
      <c r="F15" s="291">
        <f>'Burners No Cogen'!T57</f>
        <v>0.50109776470588241</v>
      </c>
      <c r="G15" s="1679">
        <f>'Burners No Cogen'!H57</f>
        <v>2.0999999999999999E-3</v>
      </c>
      <c r="H15" s="1680">
        <f>'Burners No Cogen'!R57</f>
        <v>5.8461405882352939E-4</v>
      </c>
      <c r="I15" s="630">
        <f>I14</f>
        <v>0</v>
      </c>
      <c r="J15" s="631">
        <f>J14</f>
        <v>3.6073679999999997E-3</v>
      </c>
      <c r="K15" s="630">
        <f>K14</f>
        <v>0</v>
      </c>
      <c r="L15" s="631">
        <f>L14</f>
        <v>0</v>
      </c>
      <c r="M15" s="1679">
        <v>0</v>
      </c>
      <c r="N15" s="1680">
        <v>0</v>
      </c>
      <c r="O15" s="1679">
        <f>'Burners No Cogen'!P57</f>
        <v>4.7669117647058815E-3</v>
      </c>
      <c r="P15" s="1680">
        <f>'Burners No Cogen'!U57</f>
        <v>2.0879073529411762E-2</v>
      </c>
      <c r="Q15" s="1690" t="s">
        <v>445</v>
      </c>
      <c r="R15" s="1691" t="s">
        <v>445</v>
      </c>
      <c r="S15" s="1690" t="s">
        <v>445</v>
      </c>
      <c r="T15" s="1691" t="s">
        <v>445</v>
      </c>
      <c r="U15" s="553"/>
      <c r="V15" s="554"/>
    </row>
    <row r="16" spans="1:22" ht="18" customHeight="1">
      <c r="A16" s="112" t="str">
        <f t="shared" si="0"/>
        <v>SHTR11</v>
      </c>
      <c r="B16" s="113" t="str">
        <f>'2-E-NoCo'!A15</f>
        <v>SHTR11</v>
      </c>
      <c r="C16" s="626">
        <f>SUM('Burners No Cogen'!M58:Q58)</f>
        <v>0.11959863823529414</v>
      </c>
      <c r="D16" s="627">
        <f>SUM('Burners No Cogen'!R58:V58)</f>
        <v>0.52384203547058827</v>
      </c>
      <c r="E16" s="626">
        <f>'Burners No Cogen'!O58</f>
        <v>0.11440588235294119</v>
      </c>
      <c r="F16" s="627">
        <f>'Burners No Cogen'!T58</f>
        <v>0.50109776470588241</v>
      </c>
      <c r="G16" s="628">
        <f>'Burners No Cogen'!H58</f>
        <v>2.0999999999999999E-3</v>
      </c>
      <c r="H16" s="629">
        <f>'Burners No Cogen'!R58</f>
        <v>5.8461405882352939E-4</v>
      </c>
      <c r="I16" s="626">
        <f>Burners!N41</f>
        <v>0</v>
      </c>
      <c r="J16" s="627">
        <f>Burners!S41</f>
        <v>0</v>
      </c>
      <c r="K16" s="626">
        <v>0</v>
      </c>
      <c r="L16" s="627">
        <v>0</v>
      </c>
      <c r="M16" s="628">
        <v>0</v>
      </c>
      <c r="N16" s="629">
        <v>0</v>
      </c>
      <c r="O16" s="628">
        <f>'Burners No Cogen'!P58</f>
        <v>4.7669117647058815E-3</v>
      </c>
      <c r="P16" s="629">
        <f>'Burners No Cogen'!U58</f>
        <v>2.0879073529411762E-2</v>
      </c>
      <c r="Q16" s="1688" t="s">
        <v>445</v>
      </c>
      <c r="R16" s="1689" t="s">
        <v>445</v>
      </c>
      <c r="S16" s="1688" t="s">
        <v>445</v>
      </c>
      <c r="T16" s="1689" t="s">
        <v>445</v>
      </c>
      <c r="U16" s="551"/>
      <c r="V16" s="552"/>
    </row>
    <row r="17" spans="1:22" ht="18" customHeight="1">
      <c r="A17" s="310" t="str">
        <f t="shared" si="0"/>
        <v>SHTR12</v>
      </c>
      <c r="B17" s="311" t="str">
        <f>'2-E-NoCo'!A16</f>
        <v>SHTR12</v>
      </c>
      <c r="C17" s="290">
        <f>SUM('Burners No Cogen'!M59:Q59)</f>
        <v>0.11959863823529414</v>
      </c>
      <c r="D17" s="291">
        <f>SUM('Burners No Cogen'!R59:V59)</f>
        <v>0.52384203547058827</v>
      </c>
      <c r="E17" s="290">
        <f>'Burners No Cogen'!O59</f>
        <v>0.11440588235294119</v>
      </c>
      <c r="F17" s="291">
        <f>'Burners No Cogen'!T59</f>
        <v>0.50109776470588241</v>
      </c>
      <c r="G17" s="1679">
        <f>'Burners No Cogen'!H59</f>
        <v>2.0999999999999999E-3</v>
      </c>
      <c r="H17" s="1680">
        <f>'Burners No Cogen'!R59</f>
        <v>5.8461405882352939E-4</v>
      </c>
      <c r="I17" s="630">
        <f>I16</f>
        <v>0</v>
      </c>
      <c r="J17" s="631">
        <f>J16</f>
        <v>0</v>
      </c>
      <c r="K17" s="630">
        <f>K16</f>
        <v>0</v>
      </c>
      <c r="L17" s="631">
        <f>L16</f>
        <v>0</v>
      </c>
      <c r="M17" s="1679">
        <v>0</v>
      </c>
      <c r="N17" s="1680">
        <v>0</v>
      </c>
      <c r="O17" s="1679">
        <f>'Burners No Cogen'!P59</f>
        <v>4.7669117647058815E-3</v>
      </c>
      <c r="P17" s="1680">
        <f>'Burners No Cogen'!U59</f>
        <v>2.0879073529411762E-2</v>
      </c>
      <c r="Q17" s="1690" t="s">
        <v>445</v>
      </c>
      <c r="R17" s="1691" t="s">
        <v>445</v>
      </c>
      <c r="S17" s="1690" t="s">
        <v>445</v>
      </c>
      <c r="T17" s="1691" t="s">
        <v>445</v>
      </c>
      <c r="U17" s="553"/>
      <c r="V17" s="554"/>
    </row>
    <row r="18" spans="1:22" ht="18" customHeight="1">
      <c r="A18" s="112" t="str">
        <f t="shared" si="0"/>
        <v>CHTR1</v>
      </c>
      <c r="B18" s="113" t="str">
        <f>'2-E-NoCo'!A17</f>
        <v>CHTR1</v>
      </c>
      <c r="C18" s="626">
        <f>SUM('Burners No Cogen'!M60:Q60)</f>
        <v>0.19184115980392158</v>
      </c>
      <c r="D18" s="627">
        <f>SUM('Burners No Cogen'!R60:V60)</f>
        <v>0.84026427994117647</v>
      </c>
      <c r="E18" s="626">
        <f>'Burners No Cogen'!O60</f>
        <v>0.18351176470588235</v>
      </c>
      <c r="F18" s="627">
        <f>'Burners No Cogen'!T60</f>
        <v>0.80378152941176473</v>
      </c>
      <c r="G18" s="628">
        <f>'Burners No Cogen'!H60</f>
        <v>2.0999999999999999E-3</v>
      </c>
      <c r="H18" s="629">
        <f>'Burners No Cogen'!R60</f>
        <v>9.3774511764705868E-4</v>
      </c>
      <c r="I18" s="626">
        <f>Burners!N43</f>
        <v>0</v>
      </c>
      <c r="J18" s="627">
        <f>Burners!S43</f>
        <v>0</v>
      </c>
      <c r="K18" s="626">
        <v>0</v>
      </c>
      <c r="L18" s="627">
        <v>0</v>
      </c>
      <c r="M18" s="628">
        <v>0</v>
      </c>
      <c r="N18" s="629">
        <v>0</v>
      </c>
      <c r="O18" s="628">
        <f>'Burners No Cogen'!P60</f>
        <v>7.6463235294117644E-3</v>
      </c>
      <c r="P18" s="629">
        <f>'Burners No Cogen'!U60</f>
        <v>3.3490897058823528E-2</v>
      </c>
      <c r="Q18" s="1688" t="s">
        <v>445</v>
      </c>
      <c r="R18" s="1689" t="s">
        <v>445</v>
      </c>
      <c r="S18" s="1688" t="s">
        <v>445</v>
      </c>
      <c r="T18" s="1689" t="s">
        <v>445</v>
      </c>
      <c r="U18" s="551"/>
      <c r="V18" s="552"/>
    </row>
    <row r="19" spans="1:22" ht="18" customHeight="1">
      <c r="A19" s="310" t="str">
        <f t="shared" si="0"/>
        <v>CHTR2</v>
      </c>
      <c r="B19" s="311" t="str">
        <f>'2-E-NoCo'!A18</f>
        <v>CHTR2</v>
      </c>
      <c r="C19" s="290">
        <f>SUM('Burners No Cogen'!M61:Q61)</f>
        <v>0.19184115980392158</v>
      </c>
      <c r="D19" s="291">
        <f>SUM('Burners No Cogen'!R61:V61)</f>
        <v>0.84026427994117647</v>
      </c>
      <c r="E19" s="290">
        <f>'Burners No Cogen'!O61</f>
        <v>0.18351176470588235</v>
      </c>
      <c r="F19" s="291">
        <f>'Burners No Cogen'!T61</f>
        <v>0.80378152941176473</v>
      </c>
      <c r="G19" s="1679">
        <f>'Burners No Cogen'!H61</f>
        <v>2.0999999999999999E-3</v>
      </c>
      <c r="H19" s="1680">
        <f>'Burners No Cogen'!R61</f>
        <v>9.3774511764705868E-4</v>
      </c>
      <c r="I19" s="630">
        <f>I18</f>
        <v>0</v>
      </c>
      <c r="J19" s="631">
        <f>J18</f>
        <v>0</v>
      </c>
      <c r="K19" s="630">
        <f>K18</f>
        <v>0</v>
      </c>
      <c r="L19" s="631">
        <f>L18</f>
        <v>0</v>
      </c>
      <c r="M19" s="1679">
        <v>0</v>
      </c>
      <c r="N19" s="1680">
        <v>0</v>
      </c>
      <c r="O19" s="1679">
        <f>'Burners No Cogen'!P61</f>
        <v>7.6463235294117644E-3</v>
      </c>
      <c r="P19" s="1680">
        <f>'Burners No Cogen'!U61</f>
        <v>3.3490897058823528E-2</v>
      </c>
      <c r="Q19" s="1690" t="s">
        <v>445</v>
      </c>
      <c r="R19" s="1691" t="s">
        <v>445</v>
      </c>
      <c r="S19" s="1690" t="s">
        <v>445</v>
      </c>
      <c r="T19" s="1691" t="s">
        <v>445</v>
      </c>
      <c r="U19" s="553"/>
      <c r="V19" s="554"/>
    </row>
    <row r="20" spans="1:22" ht="18" customHeight="1">
      <c r="A20" s="112" t="str">
        <f t="shared" si="0"/>
        <v>CHTR3</v>
      </c>
      <c r="B20" s="113" t="str">
        <f>'2-E-NoCo'!A19</f>
        <v>CHTR3</v>
      </c>
      <c r="C20" s="626">
        <f>SUM('Burners No Cogen'!M62:Q62)</f>
        <v>0.19184115980392158</v>
      </c>
      <c r="D20" s="627">
        <f>SUM('Burners No Cogen'!R62:V62)</f>
        <v>0.84026427994117647</v>
      </c>
      <c r="E20" s="626">
        <f>'Burners No Cogen'!O62</f>
        <v>0.18351176470588235</v>
      </c>
      <c r="F20" s="627">
        <f>'Burners No Cogen'!T62</f>
        <v>0.80378152941176473</v>
      </c>
      <c r="G20" s="628">
        <f>'Burners No Cogen'!H62</f>
        <v>2.0999999999999999E-3</v>
      </c>
      <c r="H20" s="629">
        <f>'Burners No Cogen'!R62</f>
        <v>9.3774511764705868E-4</v>
      </c>
      <c r="I20" s="626">
        <f>Burners!N45</f>
        <v>0</v>
      </c>
      <c r="J20" s="627">
        <f>Burners!S45</f>
        <v>0</v>
      </c>
      <c r="K20" s="626">
        <v>0</v>
      </c>
      <c r="L20" s="627">
        <v>0</v>
      </c>
      <c r="M20" s="628">
        <v>0</v>
      </c>
      <c r="N20" s="629">
        <v>0</v>
      </c>
      <c r="O20" s="628">
        <f>'Burners No Cogen'!P62</f>
        <v>7.6463235294117644E-3</v>
      </c>
      <c r="P20" s="629">
        <f>'Burners No Cogen'!U62</f>
        <v>3.3490897058823528E-2</v>
      </c>
      <c r="Q20" s="1688" t="s">
        <v>445</v>
      </c>
      <c r="R20" s="1689" t="s">
        <v>445</v>
      </c>
      <c r="S20" s="1688" t="s">
        <v>445</v>
      </c>
      <c r="T20" s="1689" t="s">
        <v>445</v>
      </c>
      <c r="U20" s="551"/>
      <c r="V20" s="552"/>
    </row>
    <row r="21" spans="1:22" ht="18" customHeight="1">
      <c r="A21" s="310" t="str">
        <f t="shared" si="0"/>
        <v>RHTR1</v>
      </c>
      <c r="B21" s="311" t="str">
        <f>'2-E-NoCo'!A20</f>
        <v>RHTR1</v>
      </c>
      <c r="C21" s="290">
        <f>SUM('Burners No Cogen'!M63:Q63)</f>
        <v>7.2205625490196074E-2</v>
      </c>
      <c r="D21" s="291">
        <f>SUM('Burners No Cogen'!R63:V63)</f>
        <v>0.31626063964705881</v>
      </c>
      <c r="E21" s="290">
        <f>'Burners No Cogen'!O63</f>
        <v>6.907058823529412E-2</v>
      </c>
      <c r="F21" s="291">
        <f>'Burners No Cogen'!T63</f>
        <v>0.30252917647058825</v>
      </c>
      <c r="G21" s="1679">
        <f>'Burners No Cogen'!H63</f>
        <v>2.0999999999999999E-3</v>
      </c>
      <c r="H21" s="1680">
        <f>'Burners No Cogen'!R63</f>
        <v>3.5295070588235294E-4</v>
      </c>
      <c r="I21" s="630">
        <f>I20</f>
        <v>0</v>
      </c>
      <c r="J21" s="631">
        <f>J20</f>
        <v>0</v>
      </c>
      <c r="K21" s="630">
        <f>K20</f>
        <v>0</v>
      </c>
      <c r="L21" s="631">
        <f>L20</f>
        <v>0</v>
      </c>
      <c r="M21" s="1679">
        <v>0</v>
      </c>
      <c r="N21" s="1680">
        <v>0</v>
      </c>
      <c r="O21" s="1679">
        <f>'Burners No Cogen'!P63</f>
        <v>2.8779411764705883E-3</v>
      </c>
      <c r="P21" s="1680">
        <f>'Burners No Cogen'!U63</f>
        <v>1.2605382352941178E-2</v>
      </c>
      <c r="Q21" s="1690" t="s">
        <v>445</v>
      </c>
      <c r="R21" s="1691" t="s">
        <v>445</v>
      </c>
      <c r="S21" s="1690" t="s">
        <v>445</v>
      </c>
      <c r="T21" s="1691" t="s">
        <v>445</v>
      </c>
      <c r="U21" s="553"/>
      <c r="V21" s="554"/>
    </row>
    <row r="22" spans="1:22" s="78" customFormat="1" ht="18" customHeight="1">
      <c r="A22" s="2381" t="str">
        <f t="shared" si="0"/>
        <v>RHTR2</v>
      </c>
      <c r="B22" s="2382" t="str">
        <f>'2-E-NoCo'!A21</f>
        <v>RHTR2</v>
      </c>
      <c r="C22" s="362">
        <f>SUM('Burners No Cogen'!M64:Q64)</f>
        <v>7.2205625490196074E-2</v>
      </c>
      <c r="D22" s="104">
        <f>SUM('Burners No Cogen'!R64:V64)</f>
        <v>0.31626063964705881</v>
      </c>
      <c r="E22" s="362">
        <f>'Burners No Cogen'!O64</f>
        <v>6.907058823529412E-2</v>
      </c>
      <c r="F22" s="104">
        <f>'Burners No Cogen'!T64</f>
        <v>0.30252917647058825</v>
      </c>
      <c r="G22" s="2383">
        <f>'Burners No Cogen'!H64</f>
        <v>2.0999999999999999E-3</v>
      </c>
      <c r="H22" s="2384">
        <f>'Burners No Cogen'!R64</f>
        <v>3.5295070588235294E-4</v>
      </c>
      <c r="I22" s="362">
        <f>I21</f>
        <v>0</v>
      </c>
      <c r="J22" s="104">
        <f>J21</f>
        <v>0</v>
      </c>
      <c r="K22" s="362">
        <f>K6</f>
        <v>0</v>
      </c>
      <c r="L22" s="104">
        <f>L6</f>
        <v>0</v>
      </c>
      <c r="M22" s="2383">
        <v>0</v>
      </c>
      <c r="N22" s="2384">
        <v>0</v>
      </c>
      <c r="O22" s="2383">
        <f>'Burners No Cogen'!P64</f>
        <v>2.8779411764705883E-3</v>
      </c>
      <c r="P22" s="2384">
        <f>'Burners No Cogen'!U64</f>
        <v>1.2605382352941178E-2</v>
      </c>
      <c r="Q22" s="2385" t="s">
        <v>445</v>
      </c>
      <c r="R22" s="2386" t="s">
        <v>445</v>
      </c>
      <c r="S22" s="2385" t="s">
        <v>445</v>
      </c>
      <c r="T22" s="2386" t="s">
        <v>445</v>
      </c>
      <c r="U22" s="555"/>
      <c r="V22" s="556"/>
    </row>
    <row r="23" spans="1:22" s="78" customFormat="1" ht="18" customHeight="1">
      <c r="A23" s="2392" t="str">
        <f t="shared" si="0"/>
        <v>RHTR3</v>
      </c>
      <c r="B23" s="2393" t="str">
        <f>'2-E-NoCo'!A22</f>
        <v>RHTR3</v>
      </c>
      <c r="C23" s="290">
        <f>SUM('Burners No Cogen'!M65:Q65)</f>
        <v>7.2205625490196074E-2</v>
      </c>
      <c r="D23" s="291">
        <f>SUM('Burners No Cogen'!R65:V65)</f>
        <v>0.31626063964705881</v>
      </c>
      <c r="E23" s="290">
        <f>'Burners No Cogen'!O65</f>
        <v>6.907058823529412E-2</v>
      </c>
      <c r="F23" s="291">
        <f>'Burners No Cogen'!T65</f>
        <v>0.30252917647058825</v>
      </c>
      <c r="G23" s="1679">
        <f>'Burners No Cogen'!H65</f>
        <v>2.0999999999999999E-3</v>
      </c>
      <c r="H23" s="1680">
        <f>'Burners No Cogen'!R65</f>
        <v>3.5295070588235294E-4</v>
      </c>
      <c r="I23" s="290">
        <f>I21</f>
        <v>0</v>
      </c>
      <c r="J23" s="291">
        <f>J21</f>
        <v>0</v>
      </c>
      <c r="K23" s="290">
        <f>K6</f>
        <v>0</v>
      </c>
      <c r="L23" s="291">
        <f>L6</f>
        <v>0</v>
      </c>
      <c r="M23" s="1679">
        <v>0</v>
      </c>
      <c r="N23" s="1680">
        <v>0</v>
      </c>
      <c r="O23" s="1679">
        <f>'Burners No Cogen'!P65</f>
        <v>2.8779411764705883E-3</v>
      </c>
      <c r="P23" s="1680">
        <f>'Burners No Cogen'!U65</f>
        <v>1.2605382352941178E-2</v>
      </c>
      <c r="Q23" s="1692" t="s">
        <v>445</v>
      </c>
      <c r="R23" s="1693" t="s">
        <v>445</v>
      </c>
      <c r="S23" s="1692" t="s">
        <v>445</v>
      </c>
      <c r="T23" s="1693" t="s">
        <v>445</v>
      </c>
      <c r="U23" s="553"/>
      <c r="V23" s="554"/>
    </row>
    <row r="24" spans="1:22" s="78" customFormat="1" ht="26.75" customHeight="1">
      <c r="A24" s="2963" t="str">
        <f t="shared" si="0"/>
        <v>FL1-FL3 - 
Pilot/Purge</v>
      </c>
      <c r="B24" s="2851" t="str">
        <f>'2-E-NoCo'!A23</f>
        <v>FL1-FL3 - 
Pilot/Purge</v>
      </c>
      <c r="C24" s="2953">
        <f>'Summary-NoCo'!Q31</f>
        <v>0</v>
      </c>
      <c r="D24" s="2954">
        <f>'Summary-NoCo'!R31</f>
        <v>0</v>
      </c>
      <c r="E24" s="2953">
        <f>C24</f>
        <v>0</v>
      </c>
      <c r="F24" s="2954">
        <f>D24</f>
        <v>0</v>
      </c>
      <c r="G24" s="2953">
        <f t="shared" ref="G24:P24" si="1">E24</f>
        <v>0</v>
      </c>
      <c r="H24" s="2954">
        <f t="shared" si="1"/>
        <v>0</v>
      </c>
      <c r="I24" s="2953">
        <f t="shared" si="1"/>
        <v>0</v>
      </c>
      <c r="J24" s="2954">
        <f t="shared" si="1"/>
        <v>0</v>
      </c>
      <c r="K24" s="2953">
        <f t="shared" si="1"/>
        <v>0</v>
      </c>
      <c r="L24" s="2954">
        <f t="shared" si="1"/>
        <v>0</v>
      </c>
      <c r="M24" s="2953">
        <f t="shared" si="1"/>
        <v>0</v>
      </c>
      <c r="N24" s="2954">
        <f t="shared" si="1"/>
        <v>0</v>
      </c>
      <c r="O24" s="2953">
        <f t="shared" si="1"/>
        <v>0</v>
      </c>
      <c r="P24" s="2954">
        <f t="shared" si="1"/>
        <v>0</v>
      </c>
      <c r="Q24" s="2385" t="s">
        <v>445</v>
      </c>
      <c r="R24" s="2386" t="s">
        <v>445</v>
      </c>
      <c r="S24" s="2385" t="s">
        <v>445</v>
      </c>
      <c r="T24" s="2386" t="s">
        <v>445</v>
      </c>
      <c r="U24" s="557"/>
      <c r="V24" s="251"/>
    </row>
    <row r="25" spans="1:22" s="78" customFormat="1" ht="30" customHeight="1">
      <c r="A25" s="548" t="str">
        <f>'2-E-NoCo'!A24</f>
        <v>FL1-FL3OVHD-SSM</v>
      </c>
      <c r="B25" s="2849" t="str">
        <f>A25</f>
        <v>FL1-FL3OVHD-SSM</v>
      </c>
      <c r="C25" s="2955">
        <f>'Hrly (FL1-FL3OVHD-SSM)'!F42</f>
        <v>4.4544709510301175</v>
      </c>
      <c r="D25" s="2574">
        <f>'Ann (FL1-FL3OVHD-MSS)'!F42</f>
        <v>0.81071371308748152</v>
      </c>
      <c r="E25" s="2955">
        <f>'Hrly (FL1-FL3OVHD-SSM)'!F25</f>
        <v>1.9586137138000317</v>
      </c>
      <c r="F25" s="2574">
        <f>'Ann (FL1-FL3OVHD-MSS)'!F25</f>
        <v>0.35646769591160582</v>
      </c>
      <c r="G25" s="2955">
        <f>'Hrly (FL1-FL3OVHD-SSM)'!F27</f>
        <v>1.4665886435816673</v>
      </c>
      <c r="H25" s="2574">
        <f>'Ann (FL1-FL3OVHD-MSS)'!F27</f>
        <v>0.26691913313186344</v>
      </c>
      <c r="I25" s="2955">
        <f>'Hrly (FL1-FL3OVHD-SSM)'!F33</f>
        <v>0.81944747003380469</v>
      </c>
      <c r="J25" s="2574">
        <f>'Ann (FL1-FL3OVHD-MSS)'!F33</f>
        <v>0.14913943954615247</v>
      </c>
      <c r="K25" s="2955">
        <f>'Hrly (FL1-FL3)'!H35</f>
        <v>0</v>
      </c>
      <c r="L25" s="2574">
        <f>'Ann (FL1-FL3)'!H35</f>
        <v>0</v>
      </c>
      <c r="M25" s="2955">
        <f>'Hrly (FL1-FL3OVHD-SSM)'!F36</f>
        <v>0.20982112361461419</v>
      </c>
      <c r="N25" s="2574">
        <f>'Ann (FL1-FL3OVHD-MSS)'!F36</f>
        <v>3.8187444497859782E-2</v>
      </c>
      <c r="O25" s="2955">
        <v>0</v>
      </c>
      <c r="P25" s="2574">
        <v>0</v>
      </c>
      <c r="Q25" s="1692" t="s">
        <v>445</v>
      </c>
      <c r="R25" s="1693" t="s">
        <v>445</v>
      </c>
      <c r="S25" s="1692" t="s">
        <v>445</v>
      </c>
      <c r="T25" s="1693" t="s">
        <v>445</v>
      </c>
      <c r="U25" s="549"/>
      <c r="V25" s="550"/>
    </row>
    <row r="26" spans="1:22" ht="29.75" customHeight="1">
      <c r="A26" s="2850" t="str">
        <f>'2-E-NoCo'!A25</f>
        <v>FL1-FL3CRYO-SSM</v>
      </c>
      <c r="B26" s="2851" t="str">
        <f>A26</f>
        <v>FL1-FL3CRYO-SSM</v>
      </c>
      <c r="C26" s="2953">
        <f>'Hrly (FL1-FL3CRYO-SSM)'!F42</f>
        <v>1.3117788389852012</v>
      </c>
      <c r="D26" s="2954">
        <f>'Ann (FL1-FL3CRYO-MSS)'!F42</f>
        <v>0.23874374869530662</v>
      </c>
      <c r="E26" s="2953">
        <f>'Hrly (FL1-FL3CRYO-SSM)'!F25</f>
        <v>0.81767145825420073</v>
      </c>
      <c r="F26" s="2954">
        <f>'Ann (FL1-FL3CRYO-MSS)'!F25</f>
        <v>0.14881620540226453</v>
      </c>
      <c r="G26" s="2953">
        <f>'Hrly (FL1-FL3CRYO-SSM)'!F27</f>
        <v>0.49410738073100041</v>
      </c>
      <c r="H26" s="2954">
        <f>'Ann (FL1-FL3CRYO-MSS)'!F27</f>
        <v>8.9927543293042075E-2</v>
      </c>
      <c r="I26" s="2953">
        <f>'Hrly (FL1-FL3CRYO-SSM)'!F33</f>
        <v>0</v>
      </c>
      <c r="J26" s="2954">
        <f>'Ann (FL1-FL3CRYO-MSS)'!F33</f>
        <v>0</v>
      </c>
      <c r="K26" s="2953">
        <f>'Hrly (FL1-FL3CRYO-SSM)'!F35</f>
        <v>0</v>
      </c>
      <c r="L26" s="2954">
        <f>'Ann (FL1-FL3CRYO-MSS)'!F35</f>
        <v>0</v>
      </c>
      <c r="M26" s="2953">
        <f>'Hrly (FL1-FL3CRYO-SSM)'!F36</f>
        <v>0</v>
      </c>
      <c r="N26" s="2954">
        <f>'Ann (FL1-FL3CRYO-MSS)'!F35</f>
        <v>0</v>
      </c>
      <c r="O26" s="2953">
        <f>M26</f>
        <v>0</v>
      </c>
      <c r="P26" s="2954">
        <f>N26</f>
        <v>0</v>
      </c>
      <c r="Q26" s="2385" t="s">
        <v>445</v>
      </c>
      <c r="R26" s="2386" t="s">
        <v>445</v>
      </c>
      <c r="S26" s="2385" t="s">
        <v>445</v>
      </c>
      <c r="T26" s="2386" t="s">
        <v>445</v>
      </c>
      <c r="U26" s="555"/>
      <c r="V26" s="556"/>
    </row>
    <row r="27" spans="1:22" ht="18" customHeight="1">
      <c r="A27" s="2392" t="str">
        <f t="shared" si="0"/>
        <v>IFR1</v>
      </c>
      <c r="B27" s="2393" t="str">
        <f>'2-E-NoCo'!A26</f>
        <v>IFR1</v>
      </c>
      <c r="C27" s="290">
        <f>'IFR Tanks (IFR1-IFR4)'!C42</f>
        <v>6.7739254805280091E-2</v>
      </c>
      <c r="D27" s="291">
        <f>'IFR Tanks (IFR1-IFR4)'!D42</f>
        <v>0.2966979360471268</v>
      </c>
      <c r="E27" s="290">
        <f>'IFR Tanks (IFR1-IFR4)'!C25</f>
        <v>2.3910069667928999E-2</v>
      </c>
      <c r="F27" s="291">
        <f>'IFR Tanks (IFR1-IFR4)'!D25</f>
        <v>0.10472610514552902</v>
      </c>
      <c r="G27" s="1679">
        <f>'IFR Tanks (IFR1-IFR4)'!C27</f>
        <v>1.41043714559578E-2</v>
      </c>
      <c r="H27" s="1680">
        <f>'IFR Tanks (IFR1-IFR4)'!D27</f>
        <v>6.1777146977095167E-2</v>
      </c>
      <c r="I27" s="290">
        <f>'IFR Tanks (IFR1-IFR4)'!C33</f>
        <v>1.7641730730531598E-2</v>
      </c>
      <c r="J27" s="291">
        <f>'IFR Tanks (IFR1-IFR4)'!D33</f>
        <v>7.7270780599728403E-2</v>
      </c>
      <c r="K27" s="290">
        <f>'IFR Tanks (IFR1-IFR4)'!C35</f>
        <v>1.03974487369039E-3</v>
      </c>
      <c r="L27" s="291">
        <f>'IFR Tanks (IFR1-IFR4)'!D35</f>
        <v>4.5540825467639077E-3</v>
      </c>
      <c r="M27" s="1679">
        <f>'IFR Tanks (IFR1-IFR4)'!C36</f>
        <v>1.10433380771713E-2</v>
      </c>
      <c r="N27" s="1680">
        <f>'IFR Tanks (IFR1-IFR4)'!D36</f>
        <v>4.8369820778010296E-2</v>
      </c>
      <c r="O27" s="290">
        <v>0</v>
      </c>
      <c r="P27" s="291">
        <v>0</v>
      </c>
      <c r="Q27" s="1692" t="s">
        <v>445</v>
      </c>
      <c r="R27" s="1693" t="s">
        <v>445</v>
      </c>
      <c r="S27" s="1692" t="s">
        <v>445</v>
      </c>
      <c r="T27" s="1693" t="s">
        <v>445</v>
      </c>
      <c r="U27" s="553"/>
      <c r="V27" s="554"/>
    </row>
    <row r="28" spans="1:22" ht="18" customHeight="1">
      <c r="A28" s="407" t="str">
        <f t="shared" si="0"/>
        <v>IFR2</v>
      </c>
      <c r="B28" s="2382" t="str">
        <f>'2-E-NoCo'!A27</f>
        <v>IFR2</v>
      </c>
      <c r="C28" s="362">
        <f>C27</f>
        <v>6.7739254805280091E-2</v>
      </c>
      <c r="D28" s="104">
        <f>D27</f>
        <v>0.2966979360471268</v>
      </c>
      <c r="E28" s="362">
        <f t="shared" ref="E28:P28" si="2">E27</f>
        <v>2.3910069667928999E-2</v>
      </c>
      <c r="F28" s="104">
        <f t="shared" si="2"/>
        <v>0.10472610514552902</v>
      </c>
      <c r="G28" s="362">
        <f t="shared" si="2"/>
        <v>1.41043714559578E-2</v>
      </c>
      <c r="H28" s="104">
        <f t="shared" si="2"/>
        <v>6.1777146977095167E-2</v>
      </c>
      <c r="I28" s="362">
        <f>I27</f>
        <v>1.7641730730531598E-2</v>
      </c>
      <c r="J28" s="104">
        <f>J27</f>
        <v>7.7270780599728403E-2</v>
      </c>
      <c r="K28" s="362">
        <f>K27</f>
        <v>1.03974487369039E-3</v>
      </c>
      <c r="L28" s="104">
        <f>L27</f>
        <v>4.5540825467639077E-3</v>
      </c>
      <c r="M28" s="362">
        <f t="shared" si="2"/>
        <v>1.10433380771713E-2</v>
      </c>
      <c r="N28" s="104">
        <f t="shared" si="2"/>
        <v>4.8369820778010296E-2</v>
      </c>
      <c r="O28" s="362">
        <f t="shared" si="2"/>
        <v>0</v>
      </c>
      <c r="P28" s="104">
        <f t="shared" si="2"/>
        <v>0</v>
      </c>
      <c r="Q28" s="2385" t="s">
        <v>445</v>
      </c>
      <c r="R28" s="2386" t="s">
        <v>445</v>
      </c>
      <c r="S28" s="2385" t="s">
        <v>445</v>
      </c>
      <c r="T28" s="2386" t="s">
        <v>445</v>
      </c>
      <c r="U28" s="555"/>
      <c r="V28" s="556"/>
    </row>
    <row r="29" spans="1:22" ht="18" customHeight="1">
      <c r="A29" s="548" t="str">
        <f t="shared" si="0"/>
        <v>IFR3</v>
      </c>
      <c r="B29" s="2393" t="str">
        <f>'2-E-NoCo'!A28</f>
        <v>IFR3</v>
      </c>
      <c r="C29" s="290">
        <f>C27</f>
        <v>6.7739254805280091E-2</v>
      </c>
      <c r="D29" s="291">
        <f>D27</f>
        <v>0.2966979360471268</v>
      </c>
      <c r="E29" s="290">
        <f t="shared" ref="E29:P29" si="3">E27</f>
        <v>2.3910069667928999E-2</v>
      </c>
      <c r="F29" s="291">
        <f t="shared" si="3"/>
        <v>0.10472610514552902</v>
      </c>
      <c r="G29" s="290">
        <f t="shared" si="3"/>
        <v>1.41043714559578E-2</v>
      </c>
      <c r="H29" s="291">
        <f t="shared" si="3"/>
        <v>6.1777146977095167E-2</v>
      </c>
      <c r="I29" s="290">
        <f>I27</f>
        <v>1.7641730730531598E-2</v>
      </c>
      <c r="J29" s="291">
        <f>J27</f>
        <v>7.7270780599728403E-2</v>
      </c>
      <c r="K29" s="290">
        <f>K27</f>
        <v>1.03974487369039E-3</v>
      </c>
      <c r="L29" s="291">
        <f>L27</f>
        <v>4.5540825467639077E-3</v>
      </c>
      <c r="M29" s="290">
        <f t="shared" si="3"/>
        <v>1.10433380771713E-2</v>
      </c>
      <c r="N29" s="291">
        <f t="shared" si="3"/>
        <v>4.8369820778010296E-2</v>
      </c>
      <c r="O29" s="290">
        <f t="shared" si="3"/>
        <v>0</v>
      </c>
      <c r="P29" s="291">
        <f t="shared" si="3"/>
        <v>0</v>
      </c>
      <c r="Q29" s="1692" t="s">
        <v>445</v>
      </c>
      <c r="R29" s="1693" t="s">
        <v>445</v>
      </c>
      <c r="S29" s="1692" t="s">
        <v>445</v>
      </c>
      <c r="T29" s="1693" t="s">
        <v>445</v>
      </c>
      <c r="U29" s="553"/>
      <c r="V29" s="554"/>
    </row>
    <row r="30" spans="1:22" ht="18" customHeight="1">
      <c r="A30" s="407" t="str">
        <f t="shared" si="0"/>
        <v>IFR4</v>
      </c>
      <c r="B30" s="2382" t="str">
        <f>'2-E-NoCo'!A29</f>
        <v>IFR4</v>
      </c>
      <c r="C30" s="362">
        <f>C29</f>
        <v>6.7739254805280091E-2</v>
      </c>
      <c r="D30" s="104">
        <f>D29</f>
        <v>0.2966979360471268</v>
      </c>
      <c r="E30" s="362">
        <f t="shared" ref="E30:P30" si="4">E29</f>
        <v>2.3910069667928999E-2</v>
      </c>
      <c r="F30" s="104">
        <f t="shared" si="4"/>
        <v>0.10472610514552902</v>
      </c>
      <c r="G30" s="362">
        <f t="shared" si="4"/>
        <v>1.41043714559578E-2</v>
      </c>
      <c r="H30" s="104">
        <f t="shared" si="4"/>
        <v>6.1777146977095167E-2</v>
      </c>
      <c r="I30" s="362">
        <f>I27</f>
        <v>1.7641730730531598E-2</v>
      </c>
      <c r="J30" s="104">
        <f>J27</f>
        <v>7.7270780599728403E-2</v>
      </c>
      <c r="K30" s="362">
        <f>K27</f>
        <v>1.03974487369039E-3</v>
      </c>
      <c r="L30" s="104">
        <f>L27</f>
        <v>4.5540825467639077E-3</v>
      </c>
      <c r="M30" s="362">
        <f t="shared" si="4"/>
        <v>1.10433380771713E-2</v>
      </c>
      <c r="N30" s="104">
        <f t="shared" si="4"/>
        <v>4.8369820778010296E-2</v>
      </c>
      <c r="O30" s="362">
        <f t="shared" si="4"/>
        <v>0</v>
      </c>
      <c r="P30" s="104">
        <f t="shared" si="4"/>
        <v>0</v>
      </c>
      <c r="Q30" s="2385" t="s">
        <v>445</v>
      </c>
      <c r="R30" s="2386" t="s">
        <v>445</v>
      </c>
      <c r="S30" s="2385" t="s">
        <v>445</v>
      </c>
      <c r="T30" s="2386" t="s">
        <v>445</v>
      </c>
      <c r="U30" s="555"/>
      <c r="V30" s="556"/>
    </row>
    <row r="31" spans="1:22" ht="18" customHeight="1">
      <c r="A31" s="2575" t="s">
        <v>909</v>
      </c>
      <c r="B31" s="2393" t="str">
        <f>'2-E-NoCo'!A30</f>
        <v>OTK1</v>
      </c>
      <c r="C31" s="4163" t="s">
        <v>1472</v>
      </c>
      <c r="D31" s="4164"/>
      <c r="E31" s="4164"/>
      <c r="F31" s="4164"/>
      <c r="G31" s="4164"/>
      <c r="H31" s="4164"/>
      <c r="I31" s="4164"/>
      <c r="J31" s="4164"/>
      <c r="K31" s="4164"/>
      <c r="L31" s="4164"/>
      <c r="M31" s="4164"/>
      <c r="N31" s="4164"/>
      <c r="O31" s="4164"/>
      <c r="P31" s="4164"/>
      <c r="Q31" s="4164"/>
      <c r="R31" s="4164"/>
      <c r="S31" s="4164"/>
      <c r="T31" s="4164"/>
      <c r="U31" s="4164"/>
      <c r="V31" s="4165"/>
    </row>
    <row r="32" spans="1:22" ht="18" customHeight="1">
      <c r="A32" s="407" t="str">
        <f>A31</f>
        <v>ECD1</v>
      </c>
      <c r="B32" s="2382" t="str">
        <f>'2-E-NoCo'!A31</f>
        <v>OTK2</v>
      </c>
      <c r="C32" s="4160" t="str">
        <f>C31</f>
        <v>Emissions are represented at ECD1.</v>
      </c>
      <c r="D32" s="4161"/>
      <c r="E32" s="4161"/>
      <c r="F32" s="4161"/>
      <c r="G32" s="4161"/>
      <c r="H32" s="4161"/>
      <c r="I32" s="4161"/>
      <c r="J32" s="4161"/>
      <c r="K32" s="4161"/>
      <c r="L32" s="4161"/>
      <c r="M32" s="4161"/>
      <c r="N32" s="4161"/>
      <c r="O32" s="4161"/>
      <c r="P32" s="4161"/>
      <c r="Q32" s="4161"/>
      <c r="R32" s="4161"/>
      <c r="S32" s="4161"/>
      <c r="T32" s="4161"/>
      <c r="U32" s="4161"/>
      <c r="V32" s="4162"/>
    </row>
    <row r="33" spans="1:23" ht="18" customHeight="1">
      <c r="A33" s="2575" t="str">
        <f>A31</f>
        <v>ECD1</v>
      </c>
      <c r="B33" s="2393" t="str">
        <f>'2-E-NoCo'!A32</f>
        <v>OTK3</v>
      </c>
      <c r="C33" s="4163" t="s">
        <v>1472</v>
      </c>
      <c r="D33" s="4164"/>
      <c r="E33" s="4164"/>
      <c r="F33" s="4164"/>
      <c r="G33" s="4164"/>
      <c r="H33" s="4164"/>
      <c r="I33" s="4164"/>
      <c r="J33" s="4164"/>
      <c r="K33" s="4164"/>
      <c r="L33" s="4164"/>
      <c r="M33" s="4164"/>
      <c r="N33" s="4164"/>
      <c r="O33" s="4164"/>
      <c r="P33" s="4164"/>
      <c r="Q33" s="4164"/>
      <c r="R33" s="4164"/>
      <c r="S33" s="4164"/>
      <c r="T33" s="4164"/>
      <c r="U33" s="4164"/>
      <c r="V33" s="4165"/>
    </row>
    <row r="34" spans="1:23" ht="18.649999999999999" customHeight="1">
      <c r="A34" s="407" t="str">
        <f>A31</f>
        <v>ECD1</v>
      </c>
      <c r="B34" s="2382" t="str">
        <f>'2-E-NoCo'!A33</f>
        <v>OTK4</v>
      </c>
      <c r="C34" s="4160" t="str">
        <f>C33</f>
        <v>Emissions are represented at ECD1.</v>
      </c>
      <c r="D34" s="4161"/>
      <c r="E34" s="4161"/>
      <c r="F34" s="4161"/>
      <c r="G34" s="4161"/>
      <c r="H34" s="4161"/>
      <c r="I34" s="4161"/>
      <c r="J34" s="4161"/>
      <c r="K34" s="4161"/>
      <c r="L34" s="4161"/>
      <c r="M34" s="4161"/>
      <c r="N34" s="4161"/>
      <c r="O34" s="4161"/>
      <c r="P34" s="4161"/>
      <c r="Q34" s="4161"/>
      <c r="R34" s="4161"/>
      <c r="S34" s="4161"/>
      <c r="T34" s="4161"/>
      <c r="U34" s="4161"/>
      <c r="V34" s="4162"/>
    </row>
    <row r="35" spans="1:23" ht="18" customHeight="1">
      <c r="A35" s="2575" t="str">
        <f>A31</f>
        <v>ECD1</v>
      </c>
      <c r="B35" s="2393" t="str">
        <f>'2-E-NoCo'!A34</f>
        <v>OTK5</v>
      </c>
      <c r="C35" s="4163" t="s">
        <v>1472</v>
      </c>
      <c r="D35" s="4164"/>
      <c r="E35" s="4164"/>
      <c r="F35" s="4164"/>
      <c r="G35" s="4164"/>
      <c r="H35" s="4164"/>
      <c r="I35" s="4164"/>
      <c r="J35" s="4164"/>
      <c r="K35" s="4164"/>
      <c r="L35" s="4164"/>
      <c r="M35" s="4164"/>
      <c r="N35" s="4164"/>
      <c r="O35" s="4164"/>
      <c r="P35" s="4164"/>
      <c r="Q35" s="4164"/>
      <c r="R35" s="4164"/>
      <c r="S35" s="4164"/>
      <c r="T35" s="4164"/>
      <c r="U35" s="4164"/>
      <c r="V35" s="4165"/>
    </row>
    <row r="36" spans="1:23" s="78" customFormat="1" ht="18" customHeight="1">
      <c r="A36" s="407" t="str">
        <f>A31</f>
        <v>ECD1</v>
      </c>
      <c r="B36" s="2382" t="str">
        <f>'2-E-NoCo'!A35</f>
        <v>OTK6</v>
      </c>
      <c r="C36" s="4160" t="str">
        <f>C35</f>
        <v>Emissions are represented at ECD1.</v>
      </c>
      <c r="D36" s="4161"/>
      <c r="E36" s="4161"/>
      <c r="F36" s="4161"/>
      <c r="G36" s="4161"/>
      <c r="H36" s="4161"/>
      <c r="I36" s="4161"/>
      <c r="J36" s="4161"/>
      <c r="K36" s="4161"/>
      <c r="L36" s="4161"/>
      <c r="M36" s="4161"/>
      <c r="N36" s="4161"/>
      <c r="O36" s="4161"/>
      <c r="P36" s="4161"/>
      <c r="Q36" s="4161"/>
      <c r="R36" s="4161"/>
      <c r="S36" s="4161"/>
      <c r="T36" s="4161"/>
      <c r="U36" s="4161"/>
      <c r="V36" s="4162"/>
    </row>
    <row r="37" spans="1:23" ht="18" customHeight="1">
      <c r="A37" s="2392" t="str">
        <f t="shared" ref="A37:A43" si="5">B37</f>
        <v>ECD1</v>
      </c>
      <c r="B37" s="2393" t="str">
        <f>'2-E-NoCo'!A36</f>
        <v>ECD1</v>
      </c>
      <c r="C37" s="290">
        <f>'Hrly (ECD1)'!O42</f>
        <v>0.27504072721807626</v>
      </c>
      <c r="D37" s="291">
        <f>' Ann (ECD1)'!O42</f>
        <v>1.0668332259581128</v>
      </c>
      <c r="E37" s="290">
        <f>'Hrly (ECD1)'!O25</f>
        <v>0.1387159251800095</v>
      </c>
      <c r="F37" s="291">
        <f>' Ann (ECD1)'!O25</f>
        <v>0.53169927835390784</v>
      </c>
      <c r="G37" s="1679">
        <f>'Hrly (ECD1)'!O27</f>
        <v>7.7390352684987576E-2</v>
      </c>
      <c r="H37" s="1680">
        <f>' Ann (ECD1)'!O27</f>
        <v>0.30495758190784128</v>
      </c>
      <c r="I37" s="290">
        <f>'Hrly (ECD1)'!O33</f>
        <v>4.7965690742278078E-2</v>
      </c>
      <c r="J37" s="291">
        <f>' Ann (ECD1)'!O33</f>
        <v>0.18820877599859756</v>
      </c>
      <c r="K37" s="290">
        <f>'Hrly (ECD1)'!O35</f>
        <v>2.555502143070097E-4</v>
      </c>
      <c r="L37" s="291">
        <f>' Ann (ECD1)'!O35</f>
        <v>1.1091067982770379E-3</v>
      </c>
      <c r="M37" s="1679">
        <f>'Hrly (ECD1)'!O36</f>
        <v>1.0713208396494096E-2</v>
      </c>
      <c r="N37" s="1680">
        <f>' Ann (ECD1)'!O36</f>
        <v>4.0858482899488908E-2</v>
      </c>
      <c r="O37" s="290">
        <v>0</v>
      </c>
      <c r="P37" s="291">
        <v>0</v>
      </c>
      <c r="Q37" s="1692" t="s">
        <v>445</v>
      </c>
      <c r="R37" s="1693" t="s">
        <v>445</v>
      </c>
      <c r="S37" s="1692" t="s">
        <v>445</v>
      </c>
      <c r="T37" s="1693" t="s">
        <v>445</v>
      </c>
      <c r="U37" s="553"/>
      <c r="V37" s="554"/>
    </row>
    <row r="38" spans="1:23" ht="18.649999999999999" customHeight="1">
      <c r="A38" s="2381" t="str">
        <f t="shared" si="5"/>
        <v>TO1</v>
      </c>
      <c r="B38" s="2382" t="str">
        <f>'2-E-NoCo'!A37</f>
        <v>TO1</v>
      </c>
      <c r="C38" s="362">
        <f>'TO Hrly (TO1-TO3)'!H33</f>
        <v>8.0737606029044826E-2</v>
      </c>
      <c r="D38" s="104">
        <f>'TO Ann (TO1-TO3)'!H33</f>
        <v>0.35363071440721638</v>
      </c>
      <c r="E38" s="362">
        <f>'TO Hrly (TO1-TO3)'!H22</f>
        <v>1.6147521205808965E-2</v>
      </c>
      <c r="F38" s="104">
        <f>'TO Ann (TO1-TO3)'!H22</f>
        <v>7.0726142881443271E-2</v>
      </c>
      <c r="G38" s="2383">
        <f>E38</f>
        <v>1.6147521205808965E-2</v>
      </c>
      <c r="H38" s="2384">
        <f>F38</f>
        <v>7.0726142881443271E-2</v>
      </c>
      <c r="I38" s="362">
        <f>E38</f>
        <v>1.6147521205808965E-2</v>
      </c>
      <c r="J38" s="104">
        <f>F38</f>
        <v>7.0726142881443271E-2</v>
      </c>
      <c r="K38" s="362">
        <f>G38</f>
        <v>1.6147521205808965E-2</v>
      </c>
      <c r="L38" s="104">
        <f>H38</f>
        <v>7.0726142881443271E-2</v>
      </c>
      <c r="M38" s="2383">
        <v>0</v>
      </c>
      <c r="N38" s="2384">
        <v>0</v>
      </c>
      <c r="O38" s="362">
        <v>0</v>
      </c>
      <c r="P38" s="104">
        <v>0</v>
      </c>
      <c r="Q38" s="2385" t="s">
        <v>445</v>
      </c>
      <c r="R38" s="2386" t="s">
        <v>445</v>
      </c>
      <c r="S38" s="2385" t="s">
        <v>445</v>
      </c>
      <c r="T38" s="2386" t="s">
        <v>445</v>
      </c>
      <c r="U38" s="555"/>
      <c r="V38" s="556"/>
    </row>
    <row r="39" spans="1:23" ht="18" customHeight="1">
      <c r="A39" s="2392" t="str">
        <f t="shared" si="5"/>
        <v>TO2</v>
      </c>
      <c r="B39" s="2393" t="str">
        <f>'2-E-NoCo'!A38</f>
        <v>TO2</v>
      </c>
      <c r="C39" s="290">
        <f>C38</f>
        <v>8.0737606029044826E-2</v>
      </c>
      <c r="D39" s="291">
        <f>D38</f>
        <v>0.35363071440721638</v>
      </c>
      <c r="E39" s="290">
        <f t="shared" ref="E39:P39" si="6">E38</f>
        <v>1.6147521205808965E-2</v>
      </c>
      <c r="F39" s="291">
        <f t="shared" si="6"/>
        <v>7.0726142881443271E-2</v>
      </c>
      <c r="G39" s="290">
        <f t="shared" si="6"/>
        <v>1.6147521205808965E-2</v>
      </c>
      <c r="H39" s="291">
        <f t="shared" si="6"/>
        <v>7.0726142881443271E-2</v>
      </c>
      <c r="I39" s="290">
        <f>I38</f>
        <v>1.6147521205808965E-2</v>
      </c>
      <c r="J39" s="291">
        <f>J38</f>
        <v>7.0726142881443271E-2</v>
      </c>
      <c r="K39" s="290">
        <f>K38</f>
        <v>1.6147521205808965E-2</v>
      </c>
      <c r="L39" s="291">
        <f>L38</f>
        <v>7.0726142881443271E-2</v>
      </c>
      <c r="M39" s="290">
        <f t="shared" si="6"/>
        <v>0</v>
      </c>
      <c r="N39" s="291">
        <f t="shared" si="6"/>
        <v>0</v>
      </c>
      <c r="O39" s="290">
        <f t="shared" si="6"/>
        <v>0</v>
      </c>
      <c r="P39" s="291">
        <f t="shared" si="6"/>
        <v>0</v>
      </c>
      <c r="Q39" s="1692" t="s">
        <v>445</v>
      </c>
      <c r="R39" s="1693" t="s">
        <v>445</v>
      </c>
      <c r="S39" s="1692" t="s">
        <v>445</v>
      </c>
      <c r="T39" s="1693" t="s">
        <v>445</v>
      </c>
      <c r="U39" s="553"/>
      <c r="V39" s="554"/>
    </row>
    <row r="40" spans="1:23" s="78" customFormat="1" ht="18" customHeight="1">
      <c r="A40" s="407" t="str">
        <f t="shared" si="5"/>
        <v>TO3</v>
      </c>
      <c r="B40" s="2382" t="str">
        <f>'2-E-NoCo'!A39</f>
        <v>TO3</v>
      </c>
      <c r="C40" s="632">
        <f>C38</f>
        <v>8.0737606029044826E-2</v>
      </c>
      <c r="D40" s="633">
        <f>D38</f>
        <v>0.35363071440721638</v>
      </c>
      <c r="E40" s="632">
        <f t="shared" ref="E40:P40" si="7">E38</f>
        <v>1.6147521205808965E-2</v>
      </c>
      <c r="F40" s="633">
        <f t="shared" si="7"/>
        <v>7.0726142881443271E-2</v>
      </c>
      <c r="G40" s="632">
        <f t="shared" si="7"/>
        <v>1.6147521205808965E-2</v>
      </c>
      <c r="H40" s="633">
        <f t="shared" si="7"/>
        <v>7.0726142881443271E-2</v>
      </c>
      <c r="I40" s="632">
        <f>I38</f>
        <v>1.6147521205808965E-2</v>
      </c>
      <c r="J40" s="633">
        <f>J38</f>
        <v>7.0726142881443271E-2</v>
      </c>
      <c r="K40" s="632">
        <f>K38</f>
        <v>1.6147521205808965E-2</v>
      </c>
      <c r="L40" s="633">
        <f>L38</f>
        <v>7.0726142881443271E-2</v>
      </c>
      <c r="M40" s="632">
        <f t="shared" si="7"/>
        <v>0</v>
      </c>
      <c r="N40" s="633">
        <f t="shared" si="7"/>
        <v>0</v>
      </c>
      <c r="O40" s="632">
        <f t="shared" si="7"/>
        <v>0</v>
      </c>
      <c r="P40" s="633">
        <f t="shared" si="7"/>
        <v>0</v>
      </c>
      <c r="Q40" s="2385" t="s">
        <v>445</v>
      </c>
      <c r="R40" s="2386" t="s">
        <v>445</v>
      </c>
      <c r="S40" s="2385" t="s">
        <v>445</v>
      </c>
      <c r="T40" s="2386" t="s">
        <v>445</v>
      </c>
      <c r="U40" s="557"/>
      <c r="V40" s="251"/>
    </row>
    <row r="41" spans="1:23" ht="18" customHeight="1">
      <c r="A41" s="2392" t="str">
        <f t="shared" si="5"/>
        <v>FUG</v>
      </c>
      <c r="B41" s="2393" t="str">
        <f>'2-E-NoCo'!A40</f>
        <v>FUG</v>
      </c>
      <c r="C41" s="290">
        <f>'Fugitives HAPs'!G39</f>
        <v>1.8349882519246774</v>
      </c>
      <c r="D41" s="291">
        <f>'Fugitives HAPs'!I39</f>
        <v>8.0372485434300867</v>
      </c>
      <c r="E41" s="290">
        <f>C41*'Fugitives HAPs'!Q18/'Fugitives HAPs'!G13</f>
        <v>0</v>
      </c>
      <c r="F41" s="291">
        <f>D41*'Fugitives HAPs'!Q18/'Fugitives HAPs'!G13</f>
        <v>0</v>
      </c>
      <c r="G41" s="1679">
        <f>C41*'Fugitives HAPs'!Q19/'Fugitives HAPs'!G13</f>
        <v>0</v>
      </c>
      <c r="H41" s="1680">
        <f>D41*'Fugitives HAPs'!Q19/'Fugitives HAPs'!G13</f>
        <v>0</v>
      </c>
      <c r="I41" s="290">
        <f>C41*'Fugitives HAPs'!Q20/'Fugitives HAPs'!G13</f>
        <v>0</v>
      </c>
      <c r="J41" s="291">
        <f>D41*'Fugitives HAPs'!Q20/'Fugitives HAPs'!G13</f>
        <v>0</v>
      </c>
      <c r="K41" s="290">
        <f>C41*'Fugitives HAPs'!Q21/'Fugitives HAPs'!G13</f>
        <v>0</v>
      </c>
      <c r="L41" s="291">
        <f>D41*'Fugitives HAPs'!Q21/'Fugitives HAPs'!G13</f>
        <v>0</v>
      </c>
      <c r="M41" s="1679">
        <f>C41*'Fugitives HAPs'!Q22/'Fugitives HAPs'!G13</f>
        <v>0</v>
      </c>
      <c r="N41" s="1680">
        <f>D41*'Fugitives HAPs'!Q22/'Fugitives HAPs'!G13</f>
        <v>0</v>
      </c>
      <c r="O41" s="2400" t="s">
        <v>445</v>
      </c>
      <c r="P41" s="2401" t="s">
        <v>445</v>
      </c>
      <c r="Q41" s="1692" t="s">
        <v>445</v>
      </c>
      <c r="R41" s="1693" t="s">
        <v>445</v>
      </c>
      <c r="S41" s="1692" t="s">
        <v>445</v>
      </c>
      <c r="T41" s="1693" t="s">
        <v>445</v>
      </c>
      <c r="U41" s="553"/>
      <c r="V41" s="554"/>
      <c r="W41" s="634"/>
    </row>
    <row r="42" spans="1:23" ht="18" customHeight="1">
      <c r="A42" s="2381" t="str">
        <f t="shared" si="5"/>
        <v>SSM</v>
      </c>
      <c r="B42" s="2382" t="str">
        <f>'2-E-NoCo'!A41</f>
        <v>SSM</v>
      </c>
      <c r="C42" s="2390" t="s">
        <v>445</v>
      </c>
      <c r="D42" s="2391" t="s">
        <v>445</v>
      </c>
      <c r="E42" s="2390" t="s">
        <v>445</v>
      </c>
      <c r="F42" s="2391" t="s">
        <v>445</v>
      </c>
      <c r="G42" s="2390" t="s">
        <v>445</v>
      </c>
      <c r="H42" s="2391" t="s">
        <v>445</v>
      </c>
      <c r="I42" s="2390" t="s">
        <v>445</v>
      </c>
      <c r="J42" s="2391" t="s">
        <v>445</v>
      </c>
      <c r="K42" s="2390" t="s">
        <v>445</v>
      </c>
      <c r="L42" s="2391" t="s">
        <v>445</v>
      </c>
      <c r="M42" s="2390" t="s">
        <v>445</v>
      </c>
      <c r="N42" s="2391" t="s">
        <v>445</v>
      </c>
      <c r="O42" s="2390" t="s">
        <v>445</v>
      </c>
      <c r="P42" s="2391" t="s">
        <v>445</v>
      </c>
      <c r="Q42" s="2385" t="s">
        <v>445</v>
      </c>
      <c r="R42" s="2386" t="s">
        <v>445</v>
      </c>
      <c r="S42" s="2385" t="s">
        <v>445</v>
      </c>
      <c r="T42" s="2386" t="s">
        <v>445</v>
      </c>
      <c r="U42" s="555"/>
      <c r="V42" s="556"/>
    </row>
    <row r="43" spans="1:23" ht="18" customHeight="1">
      <c r="A43" s="2392" t="str">
        <f t="shared" si="5"/>
        <v>ROAD</v>
      </c>
      <c r="B43" s="2393" t="str">
        <f>'2-E-NoCo'!A42</f>
        <v>ROAD</v>
      </c>
      <c r="C43" s="2400" t="s">
        <v>445</v>
      </c>
      <c r="D43" s="2401" t="s">
        <v>445</v>
      </c>
      <c r="E43" s="2400" t="s">
        <v>445</v>
      </c>
      <c r="F43" s="2401" t="s">
        <v>445</v>
      </c>
      <c r="G43" s="2400" t="s">
        <v>445</v>
      </c>
      <c r="H43" s="2401" t="s">
        <v>445</v>
      </c>
      <c r="I43" s="2400" t="s">
        <v>445</v>
      </c>
      <c r="J43" s="2401" t="s">
        <v>445</v>
      </c>
      <c r="K43" s="2400" t="s">
        <v>445</v>
      </c>
      <c r="L43" s="2401" t="s">
        <v>445</v>
      </c>
      <c r="M43" s="2400" t="s">
        <v>445</v>
      </c>
      <c r="N43" s="2401" t="s">
        <v>445</v>
      </c>
      <c r="O43" s="2400" t="s">
        <v>445</v>
      </c>
      <c r="P43" s="2401" t="s">
        <v>445</v>
      </c>
      <c r="Q43" s="1692" t="s">
        <v>445</v>
      </c>
      <c r="R43" s="1693" t="s">
        <v>445</v>
      </c>
      <c r="S43" s="1692" t="s">
        <v>445</v>
      </c>
      <c r="T43" s="1693" t="s">
        <v>445</v>
      </c>
      <c r="U43" s="553"/>
      <c r="V43" s="554"/>
    </row>
    <row r="44" spans="1:23" ht="18" customHeight="1">
      <c r="A44" s="2381" t="str">
        <f>A37</f>
        <v>ECD1</v>
      </c>
      <c r="B44" s="2382" t="str">
        <f>'2-E-NoCo'!A43</f>
        <v>PWTK1</v>
      </c>
      <c r="C44" s="4160" t="str">
        <f>C43</f>
        <v>--</v>
      </c>
      <c r="D44" s="4161"/>
      <c r="E44" s="4161"/>
      <c r="F44" s="4161"/>
      <c r="G44" s="4161"/>
      <c r="H44" s="4161"/>
      <c r="I44" s="4161"/>
      <c r="J44" s="4161"/>
      <c r="K44" s="4161"/>
      <c r="L44" s="4161"/>
      <c r="M44" s="4161"/>
      <c r="N44" s="4161"/>
      <c r="O44" s="4161"/>
      <c r="P44" s="4161"/>
      <c r="Q44" s="4161"/>
      <c r="R44" s="4161"/>
      <c r="S44" s="4161"/>
      <c r="T44" s="4161"/>
      <c r="U44" s="4161"/>
      <c r="V44" s="4162"/>
    </row>
    <row r="45" spans="1:23" ht="18" customHeight="1">
      <c r="A45" s="2392" t="str">
        <f>A37</f>
        <v>ECD1</v>
      </c>
      <c r="B45" s="2393" t="str">
        <f>'2-E-NoCo'!A44</f>
        <v>PWTK2</v>
      </c>
      <c r="C45" s="4163" t="s">
        <v>1472</v>
      </c>
      <c r="D45" s="4164"/>
      <c r="E45" s="4164"/>
      <c r="F45" s="4164"/>
      <c r="G45" s="4164"/>
      <c r="H45" s="4164"/>
      <c r="I45" s="4164"/>
      <c r="J45" s="4164"/>
      <c r="K45" s="4164"/>
      <c r="L45" s="4164"/>
      <c r="M45" s="4164"/>
      <c r="N45" s="4164"/>
      <c r="O45" s="4164"/>
      <c r="P45" s="4164"/>
      <c r="Q45" s="4164"/>
      <c r="R45" s="4164"/>
      <c r="S45" s="4164"/>
      <c r="T45" s="4164"/>
      <c r="U45" s="4164"/>
      <c r="V45" s="4165"/>
    </row>
    <row r="46" spans="1:23" ht="18.649999999999999" customHeight="1">
      <c r="A46" s="2381" t="str">
        <f>B46</f>
        <v>PWTL</v>
      </c>
      <c r="B46" s="2382" t="str">
        <f>'2-E-NoCo'!A45</f>
        <v>PWTL</v>
      </c>
      <c r="C46" s="362">
        <f>'Load-H2O'!F37</f>
        <v>1.1042554192857925E-3</v>
      </c>
      <c r="D46" s="104">
        <f>'Load-H2O'!G37</f>
        <v>6.9900689490625953E-3</v>
      </c>
      <c r="E46" s="362">
        <v>0</v>
      </c>
      <c r="F46" s="104">
        <v>0</v>
      </c>
      <c r="G46" s="2383">
        <v>0</v>
      </c>
      <c r="H46" s="2384">
        <v>0</v>
      </c>
      <c r="I46" s="2390" t="s">
        <v>445</v>
      </c>
      <c r="J46" s="2391" t="s">
        <v>445</v>
      </c>
      <c r="K46" s="2390" t="s">
        <v>445</v>
      </c>
      <c r="L46" s="2391" t="s">
        <v>445</v>
      </c>
      <c r="M46" s="2383">
        <v>0</v>
      </c>
      <c r="N46" s="2384">
        <v>0</v>
      </c>
      <c r="O46" s="362">
        <v>0</v>
      </c>
      <c r="P46" s="104">
        <v>0</v>
      </c>
      <c r="Q46" s="2385" t="s">
        <v>445</v>
      </c>
      <c r="R46" s="2386" t="s">
        <v>445</v>
      </c>
      <c r="S46" s="2385" t="s">
        <v>445</v>
      </c>
      <c r="T46" s="2386" t="s">
        <v>445</v>
      </c>
      <c r="U46" s="555"/>
      <c r="V46" s="556"/>
    </row>
    <row r="47" spans="1:23" ht="18" customHeight="1">
      <c r="A47" s="2392" t="str">
        <f>B47</f>
        <v>OTL</v>
      </c>
      <c r="B47" s="2393" t="str">
        <f>'2-E-NoCo'!A46</f>
        <v>OTL</v>
      </c>
      <c r="C47" s="290">
        <f>'Load-Slop Oil'!F47</f>
        <v>1.9188444012397846E-2</v>
      </c>
      <c r="D47" s="291">
        <f>'Load-Slop Oil'!G47</f>
        <v>3.6359840831410471E-3</v>
      </c>
      <c r="E47" s="290">
        <v>0</v>
      </c>
      <c r="F47" s="291">
        <v>0</v>
      </c>
      <c r="G47" s="290">
        <v>0</v>
      </c>
      <c r="H47" s="291">
        <v>0</v>
      </c>
      <c r="I47" s="2400" t="s">
        <v>445</v>
      </c>
      <c r="J47" s="2401" t="s">
        <v>445</v>
      </c>
      <c r="K47" s="2400" t="s">
        <v>445</v>
      </c>
      <c r="L47" s="2401" t="s">
        <v>445</v>
      </c>
      <c r="M47" s="290">
        <v>0</v>
      </c>
      <c r="N47" s="291">
        <v>0</v>
      </c>
      <c r="O47" s="290">
        <v>0</v>
      </c>
      <c r="P47" s="291">
        <v>0</v>
      </c>
      <c r="Q47" s="1692" t="s">
        <v>445</v>
      </c>
      <c r="R47" s="1693" t="s">
        <v>445</v>
      </c>
      <c r="S47" s="1692" t="s">
        <v>445</v>
      </c>
      <c r="T47" s="1693" t="s">
        <v>445</v>
      </c>
      <c r="U47" s="553"/>
      <c r="V47" s="554"/>
    </row>
    <row r="48" spans="1:23" s="78" customFormat="1" ht="18" customHeight="1">
      <c r="A48" s="407" t="str">
        <f>A38</f>
        <v>TO1</v>
      </c>
      <c r="B48" s="2382" t="str">
        <f>'2-E-NoCo'!A47</f>
        <v>AU1</v>
      </c>
      <c r="C48" s="4160" t="s">
        <v>1481</v>
      </c>
      <c r="D48" s="4161"/>
      <c r="E48" s="4161"/>
      <c r="F48" s="4161"/>
      <c r="G48" s="4161"/>
      <c r="H48" s="4161"/>
      <c r="I48" s="4161"/>
      <c r="J48" s="4161"/>
      <c r="K48" s="4161"/>
      <c r="L48" s="4161"/>
      <c r="M48" s="4161"/>
      <c r="N48" s="4161"/>
      <c r="O48" s="4161"/>
      <c r="P48" s="4161"/>
      <c r="Q48" s="4161"/>
      <c r="R48" s="4161"/>
      <c r="S48" s="4161"/>
      <c r="T48" s="4161"/>
      <c r="U48" s="4161"/>
      <c r="V48" s="4162"/>
    </row>
    <row r="49" spans="1:23" ht="18" customHeight="1">
      <c r="A49" s="2392" t="str">
        <f>A38</f>
        <v>TO1</v>
      </c>
      <c r="B49" s="2393" t="str">
        <f>'2-E-NoCo'!A48</f>
        <v>AU2</v>
      </c>
      <c r="C49" s="4163" t="s">
        <v>1482</v>
      </c>
      <c r="D49" s="4164"/>
      <c r="E49" s="4164"/>
      <c r="F49" s="4164"/>
      <c r="G49" s="4164"/>
      <c r="H49" s="4164"/>
      <c r="I49" s="4164"/>
      <c r="J49" s="4164"/>
      <c r="K49" s="4164"/>
      <c r="L49" s="4164"/>
      <c r="M49" s="4164"/>
      <c r="N49" s="4164"/>
      <c r="O49" s="4164"/>
      <c r="P49" s="4164"/>
      <c r="Q49" s="4164"/>
      <c r="R49" s="4164"/>
      <c r="S49" s="4164"/>
      <c r="T49" s="4164"/>
      <c r="U49" s="4164"/>
      <c r="V49" s="4165"/>
    </row>
    <row r="50" spans="1:23" ht="18.649999999999999" customHeight="1">
      <c r="A50" s="2381" t="str">
        <f>A38</f>
        <v>TO1</v>
      </c>
      <c r="B50" s="2382" t="str">
        <f>'2-E-NoCo'!A49</f>
        <v>AU3</v>
      </c>
      <c r="C50" s="4160" t="s">
        <v>1483</v>
      </c>
      <c r="D50" s="4161"/>
      <c r="E50" s="4161"/>
      <c r="F50" s="4161"/>
      <c r="G50" s="4161"/>
      <c r="H50" s="4161"/>
      <c r="I50" s="4161"/>
      <c r="J50" s="4161"/>
      <c r="K50" s="4161"/>
      <c r="L50" s="4161"/>
      <c r="M50" s="4161"/>
      <c r="N50" s="4161"/>
      <c r="O50" s="4161"/>
      <c r="P50" s="4161"/>
      <c r="Q50" s="4161"/>
      <c r="R50" s="4161"/>
      <c r="S50" s="4161"/>
      <c r="T50" s="4161"/>
      <c r="U50" s="4161"/>
      <c r="V50" s="4162"/>
      <c r="W50" s="2380"/>
    </row>
    <row r="51" spans="1:23" ht="18" customHeight="1">
      <c r="A51" s="2392" t="str">
        <f>A37</f>
        <v>ECD1</v>
      </c>
      <c r="B51" s="2393" t="str">
        <f>'2-E-NoCo'!A50</f>
        <v>GBS1</v>
      </c>
      <c r="C51" s="4163" t="str">
        <f>C31</f>
        <v>Emissions are represented at ECD1.</v>
      </c>
      <c r="D51" s="4164"/>
      <c r="E51" s="4164"/>
      <c r="F51" s="4164"/>
      <c r="G51" s="4164"/>
      <c r="H51" s="4164"/>
      <c r="I51" s="4164"/>
      <c r="J51" s="4164"/>
      <c r="K51" s="4164"/>
      <c r="L51" s="4164"/>
      <c r="M51" s="4164"/>
      <c r="N51" s="4164"/>
      <c r="O51" s="4164"/>
      <c r="P51" s="4164"/>
      <c r="Q51" s="4164"/>
      <c r="R51" s="4164"/>
      <c r="S51" s="4164"/>
      <c r="T51" s="4164"/>
      <c r="U51" s="4164"/>
      <c r="V51" s="4165"/>
    </row>
    <row r="52" spans="1:23" s="78" customFormat="1" ht="18" customHeight="1">
      <c r="A52" s="407" t="str">
        <f>A37</f>
        <v>ECD1</v>
      </c>
      <c r="B52" s="408" t="str">
        <f>'2-E-NoCo'!A51</f>
        <v>OTK7</v>
      </c>
      <c r="C52" s="4160" t="str">
        <f>C32</f>
        <v>Emissions are represented at ECD1.</v>
      </c>
      <c r="D52" s="4161"/>
      <c r="E52" s="4161"/>
      <c r="F52" s="4161"/>
      <c r="G52" s="4161"/>
      <c r="H52" s="4161"/>
      <c r="I52" s="4161"/>
      <c r="J52" s="4161"/>
      <c r="K52" s="4161"/>
      <c r="L52" s="4161"/>
      <c r="M52" s="4161"/>
      <c r="N52" s="4161"/>
      <c r="O52" s="4161"/>
      <c r="P52" s="4161"/>
      <c r="Q52" s="4161"/>
      <c r="R52" s="4161"/>
      <c r="S52" s="4161"/>
      <c r="T52" s="4161"/>
      <c r="U52" s="4161"/>
      <c r="V52" s="4162"/>
    </row>
    <row r="53" spans="1:23" ht="18" customHeight="1">
      <c r="A53" s="2392" t="str">
        <f>'Summary-NoCo'!C62</f>
        <v>GEN1</v>
      </c>
      <c r="B53" s="2393" t="str">
        <f>'2-E-NoCo'!A52</f>
        <v>GEN1</v>
      </c>
      <c r="C53" s="290">
        <f>'Summary UC-NoCo'!Q62</f>
        <v>2.0982598998460671</v>
      </c>
      <c r="D53" s="291">
        <f>'Summary UC-NoCo'!R62</f>
        <v>0.10491299499230333</v>
      </c>
      <c r="E53" s="290">
        <f>Generators!U13</f>
        <v>2.3197144080000006E-2</v>
      </c>
      <c r="F53" s="291">
        <f>Generators!AD13</f>
        <v>1.1598572040000003E-3</v>
      </c>
      <c r="G53" s="290">
        <f>Generators!E13*Generators!F13*0.00044</f>
        <v>9.1952643200000021E-3</v>
      </c>
      <c r="H53" s="291">
        <f t="shared" ref="H53:H60" si="8">G53*100/2000</f>
        <v>4.5976321600000008E-4</v>
      </c>
      <c r="I53" s="2400">
        <f>Generators!E13*Generators!F13*0.00048</f>
        <v>1.0031197440000002E-2</v>
      </c>
      <c r="J53" s="291">
        <f t="shared" ref="J53:J60" si="9">I53*100/2000</f>
        <v>5.0155987200000004E-4</v>
      </c>
      <c r="K53" s="2400">
        <f>Generators!E13*Generators!F13*0.0000397</f>
        <v>8.2966362160000022E-4</v>
      </c>
      <c r="L53" s="291">
        <f t="shared" ref="L53:L60" si="10">K53*100/2000</f>
        <v>4.1483181080000016E-5</v>
      </c>
      <c r="M53" s="290">
        <f>Generators!E13*Generators!F13*0.00018</f>
        <v>3.7616990400000006E-3</v>
      </c>
      <c r="N53" s="291">
        <f t="shared" ref="N53:N60" si="11">M53*100/2000</f>
        <v>1.8808495200000003E-4</v>
      </c>
      <c r="O53" s="290">
        <f>Generators!R13</f>
        <v>1.9003527336860668</v>
      </c>
      <c r="P53" s="291">
        <f>Generators!AA13</f>
        <v>9.5017636684303339E-2</v>
      </c>
      <c r="Q53" s="1692" t="s">
        <v>445</v>
      </c>
      <c r="R53" s="1693" t="s">
        <v>445</v>
      </c>
      <c r="S53" s="1692" t="s">
        <v>445</v>
      </c>
      <c r="T53" s="1693" t="s">
        <v>445</v>
      </c>
      <c r="U53" s="553"/>
      <c r="V53" s="554"/>
    </row>
    <row r="54" spans="1:23" s="78" customFormat="1" ht="18" customHeight="1">
      <c r="A54" s="407" t="str">
        <f>'Summary-NoCo'!C63</f>
        <v>GEN2</v>
      </c>
      <c r="B54" s="2382" t="str">
        <f>'2-E-NoCo'!A53</f>
        <v>GEN2</v>
      </c>
      <c r="C54" s="1403">
        <f>'Summary UC-NoCo'!Q63</f>
        <v>2.0982598998460671</v>
      </c>
      <c r="D54" s="1404">
        <f>'Summary UC-NoCo'!R63</f>
        <v>0.10491299499230333</v>
      </c>
      <c r="E54" s="1403">
        <f>Generators!U14</f>
        <v>2.3197144080000006E-2</v>
      </c>
      <c r="F54" s="1404">
        <f>Generators!AD14</f>
        <v>1.1598572040000003E-3</v>
      </c>
      <c r="G54" s="1403">
        <f>Generators!E14*Generators!F14*0.00044</f>
        <v>9.1952643200000021E-3</v>
      </c>
      <c r="H54" s="1404">
        <f t="shared" si="8"/>
        <v>4.5976321600000008E-4</v>
      </c>
      <c r="I54" s="2938">
        <f>Generators!E14*Generators!F14*0.00048</f>
        <v>1.0031197440000002E-2</v>
      </c>
      <c r="J54" s="1404">
        <f t="shared" si="9"/>
        <v>5.0155987200000004E-4</v>
      </c>
      <c r="K54" s="2938">
        <f>Generators!E14*Generators!F14*0.0000397</f>
        <v>8.2966362160000022E-4</v>
      </c>
      <c r="L54" s="1404">
        <f t="shared" si="10"/>
        <v>4.1483181080000016E-5</v>
      </c>
      <c r="M54" s="1403">
        <f>Generators!E14*Generators!F14*0.00018</f>
        <v>3.7616990400000006E-3</v>
      </c>
      <c r="N54" s="1404">
        <f t="shared" si="11"/>
        <v>1.8808495200000003E-4</v>
      </c>
      <c r="O54" s="1403">
        <f>Generators!R14</f>
        <v>1.9003527336860668</v>
      </c>
      <c r="P54" s="1404">
        <f>Generators!AA14</f>
        <v>9.5017636684303339E-2</v>
      </c>
      <c r="Q54" s="2385" t="s">
        <v>445</v>
      </c>
      <c r="R54" s="2386" t="s">
        <v>445</v>
      </c>
      <c r="S54" s="2385" t="s">
        <v>445</v>
      </c>
      <c r="T54" s="2386" t="s">
        <v>445</v>
      </c>
      <c r="U54" s="2941"/>
      <c r="V54" s="2942"/>
    </row>
    <row r="55" spans="1:23" ht="18" customHeight="1">
      <c r="A55" s="2392" t="str">
        <f>'Summary-NoCo'!C64</f>
        <v>GEN3</v>
      </c>
      <c r="B55" s="2393" t="str">
        <f>'2-E-NoCo'!A54</f>
        <v>GEN3</v>
      </c>
      <c r="C55" s="290">
        <f>'Summary UC-NoCo'!Q64</f>
        <v>2.0982598998460671</v>
      </c>
      <c r="D55" s="291">
        <f>'Summary UC-NoCo'!R64</f>
        <v>0.10491299499230333</v>
      </c>
      <c r="E55" s="290">
        <f>Generators!U15</f>
        <v>2.3197144080000006E-2</v>
      </c>
      <c r="F55" s="291">
        <f>Generators!AD15</f>
        <v>1.1598572040000003E-3</v>
      </c>
      <c r="G55" s="290">
        <f>Generators!E15*Generators!F15*0.00044</f>
        <v>9.1952643200000021E-3</v>
      </c>
      <c r="H55" s="291">
        <f t="shared" si="8"/>
        <v>4.5976321600000008E-4</v>
      </c>
      <c r="I55" s="2400">
        <f>Generators!E15*Generators!F15*0.00048</f>
        <v>1.0031197440000002E-2</v>
      </c>
      <c r="J55" s="291">
        <f t="shared" si="9"/>
        <v>5.0155987200000004E-4</v>
      </c>
      <c r="K55" s="2400">
        <f>Generators!E15*Generators!F15*0.0000397</f>
        <v>8.2966362160000022E-4</v>
      </c>
      <c r="L55" s="291">
        <f t="shared" si="10"/>
        <v>4.1483181080000016E-5</v>
      </c>
      <c r="M55" s="290">
        <f>Generators!E15*Generators!F15*0.00018</f>
        <v>3.7616990400000006E-3</v>
      </c>
      <c r="N55" s="291">
        <f t="shared" si="11"/>
        <v>1.8808495200000003E-4</v>
      </c>
      <c r="O55" s="290">
        <f>Generators!R15</f>
        <v>1.9003527336860668</v>
      </c>
      <c r="P55" s="291">
        <f>Generators!AA15</f>
        <v>9.5017636684303339E-2</v>
      </c>
      <c r="Q55" s="1692" t="s">
        <v>445</v>
      </c>
      <c r="R55" s="1693" t="s">
        <v>445</v>
      </c>
      <c r="S55" s="1692" t="s">
        <v>445</v>
      </c>
      <c r="T55" s="1693" t="s">
        <v>445</v>
      </c>
      <c r="U55" s="553"/>
      <c r="V55" s="554"/>
    </row>
    <row r="56" spans="1:23" ht="18.649999999999999" customHeight="1">
      <c r="A56" s="2381" t="str">
        <f>'Summary-NoCo'!C65</f>
        <v>GEN4</v>
      </c>
      <c r="B56" s="2382" t="str">
        <f>'2-E-NoCo'!A55</f>
        <v>GEN4</v>
      </c>
      <c r="C56" s="1403">
        <f>'Summary UC-NoCo'!Q65</f>
        <v>2.0982598998460671</v>
      </c>
      <c r="D56" s="1404">
        <f>'Summary UC-NoCo'!R65</f>
        <v>0.10491299499230333</v>
      </c>
      <c r="E56" s="1403">
        <f>Generators!U16</f>
        <v>2.3197144080000006E-2</v>
      </c>
      <c r="F56" s="1404">
        <f>Generators!AD16</f>
        <v>1.1598572040000003E-3</v>
      </c>
      <c r="G56" s="1403">
        <f>Generators!E16*Generators!F16*0.00044</f>
        <v>9.1952643200000021E-3</v>
      </c>
      <c r="H56" s="1404">
        <f t="shared" si="8"/>
        <v>4.5976321600000008E-4</v>
      </c>
      <c r="I56" s="2938">
        <f>Generators!E16*Generators!F16*0.00048</f>
        <v>1.0031197440000002E-2</v>
      </c>
      <c r="J56" s="1404">
        <f t="shared" si="9"/>
        <v>5.0155987200000004E-4</v>
      </c>
      <c r="K56" s="2938">
        <f>Generators!E16*Generators!F16*0.0000397</f>
        <v>8.2966362160000022E-4</v>
      </c>
      <c r="L56" s="1404">
        <f t="shared" si="10"/>
        <v>4.1483181080000016E-5</v>
      </c>
      <c r="M56" s="1403">
        <f>Generators!E16*Generators!F16*0.00018</f>
        <v>3.7616990400000006E-3</v>
      </c>
      <c r="N56" s="1404">
        <f t="shared" si="11"/>
        <v>1.8808495200000003E-4</v>
      </c>
      <c r="O56" s="1403">
        <f>Generators!R16</f>
        <v>1.9003527336860668</v>
      </c>
      <c r="P56" s="1404">
        <f>Generators!AA16</f>
        <v>9.5017636684303339E-2</v>
      </c>
      <c r="Q56" s="2385" t="s">
        <v>445</v>
      </c>
      <c r="R56" s="2386" t="s">
        <v>445</v>
      </c>
      <c r="S56" s="2385" t="s">
        <v>445</v>
      </c>
      <c r="T56" s="2386" t="s">
        <v>445</v>
      </c>
      <c r="U56" s="2941"/>
      <c r="V56" s="2942"/>
      <c r="W56" s="2380"/>
    </row>
    <row r="57" spans="1:23" ht="18" customHeight="1">
      <c r="A57" s="2392" t="str">
        <f>'Summary-NoCo'!C66</f>
        <v>GEN5</v>
      </c>
      <c r="B57" s="2393" t="str">
        <f>A57</f>
        <v>GEN5</v>
      </c>
      <c r="C57" s="290">
        <f>'Summary UC-NoCo'!Q66</f>
        <v>2.0982598998460671</v>
      </c>
      <c r="D57" s="291">
        <f>'Summary UC-NoCo'!R66</f>
        <v>0.10491299499230333</v>
      </c>
      <c r="E57" s="290">
        <f>Generators!U17</f>
        <v>2.3197144080000006E-2</v>
      </c>
      <c r="F57" s="291">
        <f>Generators!AD17</f>
        <v>1.1598572040000003E-3</v>
      </c>
      <c r="G57" s="290">
        <f>Generators!E17*Generators!F17*0.00044</f>
        <v>9.1952643200000021E-3</v>
      </c>
      <c r="H57" s="291">
        <f t="shared" si="8"/>
        <v>4.5976321600000008E-4</v>
      </c>
      <c r="I57" s="2400">
        <f>Generators!E17*Generators!F17*0.00048</f>
        <v>1.0031197440000002E-2</v>
      </c>
      <c r="J57" s="291">
        <f t="shared" si="9"/>
        <v>5.0155987200000004E-4</v>
      </c>
      <c r="K57" s="2400">
        <f>Generators!E17*Generators!F17*0.0000397</f>
        <v>8.2966362160000022E-4</v>
      </c>
      <c r="L57" s="291">
        <f t="shared" si="10"/>
        <v>4.1483181080000016E-5</v>
      </c>
      <c r="M57" s="290">
        <f>Generators!E17*Generators!F17*0.00018</f>
        <v>3.7616990400000006E-3</v>
      </c>
      <c r="N57" s="291">
        <f t="shared" si="11"/>
        <v>1.8808495200000003E-4</v>
      </c>
      <c r="O57" s="290">
        <f>Generators!R17</f>
        <v>1.9003527336860668</v>
      </c>
      <c r="P57" s="291">
        <f>Generators!AA17</f>
        <v>9.5017636684303339E-2</v>
      </c>
      <c r="Q57" s="1692" t="s">
        <v>445</v>
      </c>
      <c r="R57" s="1693" t="s">
        <v>445</v>
      </c>
      <c r="S57" s="1692" t="s">
        <v>445</v>
      </c>
      <c r="T57" s="1693" t="s">
        <v>445</v>
      </c>
      <c r="U57" s="553"/>
      <c r="V57" s="554"/>
    </row>
    <row r="58" spans="1:23" ht="18" customHeight="1">
      <c r="A58" s="2392" t="str">
        <f>'Summary-NoCo'!C67</f>
        <v>GEN6</v>
      </c>
      <c r="B58" s="2393" t="str">
        <f>A58</f>
        <v>GEN6</v>
      </c>
      <c r="C58" s="290">
        <f>'Summary UC-NoCo'!Q67</f>
        <v>2.0982598998460671</v>
      </c>
      <c r="D58" s="291">
        <f>'Summary UC-NoCo'!R67</f>
        <v>0.10491299499230333</v>
      </c>
      <c r="E58" s="290">
        <f>Generators!U18</f>
        <v>2.3197144080000006E-2</v>
      </c>
      <c r="F58" s="291">
        <f>Generators!AD18</f>
        <v>1.1598572040000003E-3</v>
      </c>
      <c r="G58" s="290">
        <f>Generators!E18*Generators!F18*0.00044</f>
        <v>9.1952643200000021E-3</v>
      </c>
      <c r="H58" s="291">
        <f t="shared" si="8"/>
        <v>4.5976321600000008E-4</v>
      </c>
      <c r="I58" s="2400">
        <f>Generators!E18*Generators!F18*0.00048</f>
        <v>1.0031197440000002E-2</v>
      </c>
      <c r="J58" s="291">
        <f t="shared" si="9"/>
        <v>5.0155987200000004E-4</v>
      </c>
      <c r="K58" s="2400">
        <f>Generators!E18*Generators!F18*0.0000397</f>
        <v>8.2966362160000022E-4</v>
      </c>
      <c r="L58" s="291">
        <f t="shared" si="10"/>
        <v>4.1483181080000016E-5</v>
      </c>
      <c r="M58" s="290">
        <f>Generators!E18*Generators!F18*0.00018</f>
        <v>3.7616990400000006E-3</v>
      </c>
      <c r="N58" s="291">
        <f t="shared" si="11"/>
        <v>1.8808495200000003E-4</v>
      </c>
      <c r="O58" s="290">
        <f>Generators!R18</f>
        <v>1.9003527336860668</v>
      </c>
      <c r="P58" s="291">
        <f>Generators!AA18</f>
        <v>9.5017636684303339E-2</v>
      </c>
      <c r="Q58" s="1692" t="s">
        <v>445</v>
      </c>
      <c r="R58" s="1693" t="s">
        <v>445</v>
      </c>
      <c r="S58" s="1692" t="s">
        <v>445</v>
      </c>
      <c r="T58" s="1693" t="s">
        <v>445</v>
      </c>
      <c r="U58" s="553"/>
      <c r="V58" s="554"/>
    </row>
    <row r="59" spans="1:23" ht="18.649999999999999" customHeight="1">
      <c r="A59" s="2381" t="str">
        <f>'Summary-NoCo'!C68</f>
        <v>GEN7</v>
      </c>
      <c r="B59" s="2382" t="str">
        <f>A59</f>
        <v>GEN7</v>
      </c>
      <c r="C59" s="1403">
        <f>'Summary UC-NoCo'!Q68</f>
        <v>2.0982598998460671</v>
      </c>
      <c r="D59" s="1404">
        <f>'Summary UC-NoCo'!R68</f>
        <v>0.10491299499230333</v>
      </c>
      <c r="E59" s="1403">
        <f>Generators!U19</f>
        <v>2.3197144080000006E-2</v>
      </c>
      <c r="F59" s="1404">
        <f>Generators!AD19</f>
        <v>1.1598572040000003E-3</v>
      </c>
      <c r="G59" s="1403">
        <f>Generators!E19*Generators!F19*0.00044</f>
        <v>9.1952643200000021E-3</v>
      </c>
      <c r="H59" s="1404">
        <f t="shared" si="8"/>
        <v>4.5976321600000008E-4</v>
      </c>
      <c r="I59" s="2938">
        <f>Generators!E19*Generators!F19*0.00048</f>
        <v>1.0031197440000002E-2</v>
      </c>
      <c r="J59" s="1404">
        <f t="shared" si="9"/>
        <v>5.0155987200000004E-4</v>
      </c>
      <c r="K59" s="2938">
        <f>Generators!E19*Generators!F19*0.0000397</f>
        <v>8.2966362160000022E-4</v>
      </c>
      <c r="L59" s="1404">
        <f t="shared" si="10"/>
        <v>4.1483181080000016E-5</v>
      </c>
      <c r="M59" s="1403">
        <f>Generators!E19*Generators!F19*0.00018</f>
        <v>3.7616990400000006E-3</v>
      </c>
      <c r="N59" s="1404">
        <f t="shared" si="11"/>
        <v>1.8808495200000003E-4</v>
      </c>
      <c r="O59" s="1403">
        <f>Generators!R19</f>
        <v>1.9003527336860668</v>
      </c>
      <c r="P59" s="1404">
        <f>Generators!AA19</f>
        <v>9.5017636684303339E-2</v>
      </c>
      <c r="Q59" s="2385" t="s">
        <v>445</v>
      </c>
      <c r="R59" s="2386" t="s">
        <v>445</v>
      </c>
      <c r="S59" s="2385" t="s">
        <v>445</v>
      </c>
      <c r="T59" s="2386" t="s">
        <v>445</v>
      </c>
      <c r="U59" s="2941"/>
      <c r="V59" s="2942"/>
      <c r="W59" s="2380"/>
    </row>
    <row r="60" spans="1:23" ht="18" customHeight="1" thickBot="1">
      <c r="A60" s="2392" t="str">
        <f>'Summary-NoCo'!C69</f>
        <v>GEN8</v>
      </c>
      <c r="B60" s="2393" t="str">
        <f>A60</f>
        <v>GEN8</v>
      </c>
      <c r="C60" s="290">
        <f>'Summary UC-NoCo'!Q69</f>
        <v>2.0982598998460671</v>
      </c>
      <c r="D60" s="291">
        <f>'Summary UC-NoCo'!R69</f>
        <v>0.10491299499230333</v>
      </c>
      <c r="E60" s="290">
        <f>Generators!U20</f>
        <v>2.3197144080000006E-2</v>
      </c>
      <c r="F60" s="291">
        <f>Generators!AD20</f>
        <v>1.1598572040000003E-3</v>
      </c>
      <c r="G60" s="290">
        <f>Generators!E20*Generators!F20*0.00044</f>
        <v>9.1952643200000021E-3</v>
      </c>
      <c r="H60" s="291">
        <f t="shared" si="8"/>
        <v>4.5976321600000008E-4</v>
      </c>
      <c r="I60" s="2400">
        <f>Generators!E20*Generators!F20*0.00048</f>
        <v>1.0031197440000002E-2</v>
      </c>
      <c r="J60" s="291">
        <f t="shared" si="9"/>
        <v>5.0155987200000004E-4</v>
      </c>
      <c r="K60" s="2400">
        <f>Generators!E20*Generators!F20*0.0000397</f>
        <v>8.2966362160000022E-4</v>
      </c>
      <c r="L60" s="291">
        <f t="shared" si="10"/>
        <v>4.1483181080000016E-5</v>
      </c>
      <c r="M60" s="290">
        <f>Generators!E20*Generators!F20*0.00018</f>
        <v>3.7616990400000006E-3</v>
      </c>
      <c r="N60" s="291">
        <f t="shared" si="11"/>
        <v>1.8808495200000003E-4</v>
      </c>
      <c r="O60" s="290">
        <f>Generators!R20</f>
        <v>1.9003527336860668</v>
      </c>
      <c r="P60" s="291">
        <f>Generators!AA20</f>
        <v>9.5017636684303339E-2</v>
      </c>
      <c r="Q60" s="1692" t="s">
        <v>445</v>
      </c>
      <c r="R60" s="1693" t="s">
        <v>445</v>
      </c>
      <c r="S60" s="1692" t="s">
        <v>445</v>
      </c>
      <c r="T60" s="1693" t="s">
        <v>445</v>
      </c>
      <c r="U60" s="553"/>
      <c r="V60" s="554"/>
    </row>
    <row r="61" spans="1:23" ht="18" customHeight="1" thickBot="1">
      <c r="A61" s="116" t="s">
        <v>185</v>
      </c>
      <c r="B61" s="117"/>
      <c r="C61" s="558">
        <f>SUM(C6:C60)-C26-C25</f>
        <v>21.656951932298288</v>
      </c>
      <c r="D61" s="559">
        <f>SUM(D6:D60)</f>
        <v>23.007082864845895</v>
      </c>
      <c r="E61" s="558">
        <f>SUM(E6:E24)+E27+E28+E29+E30+E37+E38+E39+E40+E41+E46+E47+SUM(E53:E60)</f>
        <v>2.5989935671679767</v>
      </c>
      <c r="F61" s="559">
        <f>SUM(F6:F60)</f>
        <v>11.009450180643874</v>
      </c>
      <c r="G61" s="558">
        <f>SUM(G6:G24)+G27+G28+G29+G30+G37+G38+G39+G40+G41+G46+G47+SUM(G53:G60)</f>
        <v>0.29361251668624572</v>
      </c>
      <c r="H61" s="559">
        <f>SUM(H6:H60)</f>
        <v>1.1356568367899273</v>
      </c>
      <c r="I61" s="558">
        <f>SUM(I6:I24)+I27+I28+I29+I30+I37+I38+I39+I40+I41+SUM(I53:I60)</f>
        <v>0.24817882346849807</v>
      </c>
      <c r="J61" s="559">
        <f>SUM(J6:J60)</f>
        <v>0.87401579356399328</v>
      </c>
      <c r="K61" s="558">
        <f>SUM(K6:K24)+K27+K28+K29+K30+K37+K38+K39+K40+K41+SUM(K53:K60)</f>
        <v>5.9494402299295465E-2</v>
      </c>
      <c r="L61" s="559">
        <f>SUM(L6:L60)</f>
        <v>0.23183573107830244</v>
      </c>
      <c r="M61" s="558">
        <f>SUM(M6:M24)+M27+M28+M29+M30+M37+M38+M39+M40+M41+M46+M47+SUM(M53:M60)</f>
        <v>8.4980153025179306E-2</v>
      </c>
      <c r="N61" s="559">
        <f>SUM(N6:N60)</f>
        <v>0.27402989012538997</v>
      </c>
      <c r="O61" s="558">
        <f>SUM(O6:O24)+O27+O28+O29+O30+O37+O38+O39+O40+O46+O47+SUM(O53:O60)</f>
        <v>15.29159760478265</v>
      </c>
      <c r="P61" s="559">
        <f>SUM(P6:P60)</f>
        <v>1.1489788140626618</v>
      </c>
      <c r="Q61" s="558">
        <f>SUM(Q6:Q52)</f>
        <v>0</v>
      </c>
      <c r="R61" s="559">
        <f>SUM(R6:R52)</f>
        <v>0</v>
      </c>
      <c r="S61" s="558">
        <f>SUM(S6:S52)</f>
        <v>0</v>
      </c>
      <c r="T61" s="559">
        <f>SUM(T6:T52)</f>
        <v>0</v>
      </c>
      <c r="U61" s="558"/>
      <c r="V61" s="559"/>
    </row>
    <row r="62" spans="1:23" s="78" customFormat="1" ht="13.25" customHeight="1">
      <c r="A62" s="4053" t="s">
        <v>1918</v>
      </c>
      <c r="B62" s="4044"/>
      <c r="C62" s="4044"/>
      <c r="D62" s="4044"/>
      <c r="E62" s="4044"/>
      <c r="F62" s="4044"/>
      <c r="G62" s="4044"/>
      <c r="H62" s="4044"/>
      <c r="I62" s="4044"/>
      <c r="J62" s="4044"/>
      <c r="K62" s="4044"/>
      <c r="L62" s="4044"/>
      <c r="M62" s="4044"/>
      <c r="N62" s="4044"/>
      <c r="O62" s="4044"/>
      <c r="P62" s="4044"/>
      <c r="Q62" s="4044"/>
      <c r="R62" s="4044"/>
      <c r="S62" s="4045"/>
    </row>
    <row r="63" spans="1:23">
      <c r="C63" s="634"/>
      <c r="D63" s="634"/>
      <c r="E63" s="634"/>
      <c r="F63" s="634"/>
      <c r="G63" s="634"/>
      <c r="H63" s="634"/>
    </row>
    <row r="65" spans="6:16">
      <c r="F65" s="2404"/>
      <c r="P65" s="2404"/>
    </row>
    <row r="82" spans="13:13">
      <c r="M82" s="560"/>
    </row>
  </sheetData>
  <mergeCells count="28">
    <mergeCell ref="C51:V51"/>
    <mergeCell ref="C45:V45"/>
    <mergeCell ref="A1:V1"/>
    <mergeCell ref="A2:V2"/>
    <mergeCell ref="U3:V4"/>
    <mergeCell ref="O3:P4"/>
    <mergeCell ref="Q3:R4"/>
    <mergeCell ref="S3:T4"/>
    <mergeCell ref="A3:A5"/>
    <mergeCell ref="B3:B5"/>
    <mergeCell ref="C3:D4"/>
    <mergeCell ref="E3:F4"/>
    <mergeCell ref="A62:S62"/>
    <mergeCell ref="G3:H4"/>
    <mergeCell ref="I3:J4"/>
    <mergeCell ref="K3:L4"/>
    <mergeCell ref="M3:N4"/>
    <mergeCell ref="C31:V31"/>
    <mergeCell ref="C52:V52"/>
    <mergeCell ref="C32:V32"/>
    <mergeCell ref="C33:V33"/>
    <mergeCell ref="C34:V34"/>
    <mergeCell ref="C35:V35"/>
    <mergeCell ref="C36:V36"/>
    <mergeCell ref="C44:V44"/>
    <mergeCell ref="C48:V48"/>
    <mergeCell ref="C49:V49"/>
    <mergeCell ref="C50:V50"/>
  </mergeCells>
  <printOptions horizontalCentered="1"/>
  <pageMargins left="0.7" right="0.7" top="0.75" bottom="0.75" header="0.3" footer="0.3"/>
  <pageSetup scale="74" fitToHeight="3" orientation="landscape" r:id="rId1"/>
  <headerFooter>
    <oddHeader>&amp;L&amp;8XTO Energy Inc.&amp;C&amp;8Husky CDP&amp;R&amp;8October 2019: Revision 0</oddHeader>
    <oddFooter>&amp;L&amp;8Form Revision: 1/25/2017&amp;C&amp;8Table 2-I:  Page &amp;P&amp;R&amp;8Printed &amp;D &amp;T</oddFooter>
  </headerFooter>
  <rowBreaks count="2" manualBreakCount="2">
    <brk id="29" max="21" man="1"/>
    <brk id="56"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theme="1"/>
  </sheetPr>
  <dimension ref="A1:H38"/>
  <sheetViews>
    <sheetView view="pageLayout" zoomScale="85" zoomScaleNormal="90" zoomScalePageLayoutView="85" workbookViewId="0">
      <selection activeCell="E19" sqref="E19:R20"/>
    </sheetView>
  </sheetViews>
  <sheetFormatPr defaultColWidth="8.6328125" defaultRowHeight="13"/>
  <cols>
    <col min="1" max="1" width="13.453125" style="66" customWidth="1"/>
    <col min="2" max="2" width="24.453125" style="66" customWidth="1"/>
    <col min="3" max="3" width="31.54296875" style="66" customWidth="1"/>
    <col min="4" max="6" width="20" style="66" customWidth="1"/>
    <col min="7" max="8" width="10.54296875" style="66" customWidth="1"/>
    <col min="9" max="16384" width="8.6328125" style="66"/>
  </cols>
  <sheetData>
    <row r="1" spans="1:8" ht="21.65" customHeight="1">
      <c r="A1" s="4167" t="s">
        <v>186</v>
      </c>
      <c r="B1" s="4167"/>
      <c r="C1" s="4167"/>
      <c r="D1" s="4167"/>
      <c r="E1" s="4167"/>
      <c r="F1" s="4167"/>
      <c r="G1" s="4167"/>
      <c r="H1" s="4167"/>
    </row>
    <row r="2" spans="1:8" ht="21" customHeight="1" thickBot="1">
      <c r="A2" s="4168" t="s">
        <v>187</v>
      </c>
      <c r="B2" s="4168"/>
      <c r="C2" s="4168"/>
      <c r="D2" s="4168"/>
      <c r="E2" s="4168"/>
      <c r="F2" s="4168"/>
      <c r="G2" s="4168"/>
      <c r="H2" s="4168"/>
    </row>
    <row r="3" spans="1:8" ht="19.5" customHeight="1">
      <c r="A3" s="4169" t="s">
        <v>148</v>
      </c>
      <c r="B3" s="4171" t="s">
        <v>188</v>
      </c>
      <c r="C3" s="4171" t="s">
        <v>189</v>
      </c>
      <c r="D3" s="4171" t="s">
        <v>190</v>
      </c>
      <c r="E3" s="4171"/>
      <c r="F3" s="4171"/>
      <c r="G3" s="4171"/>
      <c r="H3" s="4173"/>
    </row>
    <row r="4" spans="1:8">
      <c r="A4" s="4170"/>
      <c r="B4" s="4172"/>
      <c r="C4" s="4172"/>
      <c r="D4" s="4174" t="s">
        <v>666</v>
      </c>
      <c r="E4" s="4172" t="s">
        <v>191</v>
      </c>
      <c r="F4" s="4172" t="s">
        <v>192</v>
      </c>
      <c r="G4" s="4172" t="s">
        <v>667</v>
      </c>
      <c r="H4" s="4166" t="s">
        <v>193</v>
      </c>
    </row>
    <row r="5" spans="1:8" ht="22.5" customHeight="1">
      <c r="A5" s="4170"/>
      <c r="B5" s="4172"/>
      <c r="C5" s="4172"/>
      <c r="D5" s="4175"/>
      <c r="E5" s="4172"/>
      <c r="F5" s="4172"/>
      <c r="G5" s="4172"/>
      <c r="H5" s="4166"/>
    </row>
    <row r="6" spans="1:8" ht="19.25" customHeight="1">
      <c r="A6" s="1701" t="str">
        <f>'Burners No Cogen'!B13</f>
        <v>SHTR1</v>
      </c>
      <c r="B6" s="118" t="s">
        <v>194</v>
      </c>
      <c r="C6" s="118" t="s">
        <v>195</v>
      </c>
      <c r="D6" s="189">
        <f>'Burners No Cogen'!D13</f>
        <v>850</v>
      </c>
      <c r="E6" s="189">
        <f>'HT Flow &amp; Fuel '!C16</f>
        <v>76270.588235294112</v>
      </c>
      <c r="F6" s="120">
        <f>'HT Flow &amp; Fuel '!C18</f>
        <v>668.1303529411764</v>
      </c>
      <c r="G6" s="119" t="s">
        <v>1778</v>
      </c>
      <c r="H6" s="115" t="s">
        <v>133</v>
      </c>
    </row>
    <row r="7" spans="1:8" ht="16.5" customHeight="1">
      <c r="A7" s="1702" t="str">
        <f>'Burners No Cogen'!B14</f>
        <v>SHTR2</v>
      </c>
      <c r="B7" s="313" t="s">
        <v>194</v>
      </c>
      <c r="C7" s="313" t="s">
        <v>195</v>
      </c>
      <c r="D7" s="272">
        <f>'Burners No Cogen'!D14</f>
        <v>850</v>
      </c>
      <c r="E7" s="272">
        <f>'HT Flow &amp; Fuel '!C16</f>
        <v>76270.588235294112</v>
      </c>
      <c r="F7" s="635">
        <f>'HT Flow &amp; Fuel '!C18</f>
        <v>668.1303529411764</v>
      </c>
      <c r="G7" s="316" t="s">
        <v>1778</v>
      </c>
      <c r="H7" s="293" t="s">
        <v>133</v>
      </c>
    </row>
    <row r="8" spans="1:8" ht="16.5" customHeight="1">
      <c r="A8" s="1701" t="str">
        <f>'Burners No Cogen'!B15</f>
        <v>SHTR3</v>
      </c>
      <c r="B8" s="118" t="s">
        <v>194</v>
      </c>
      <c r="C8" s="118" t="s">
        <v>195</v>
      </c>
      <c r="D8" s="189">
        <f>'Burners No Cogen'!D15</f>
        <v>850</v>
      </c>
      <c r="E8" s="189">
        <f>'HT Flow &amp; Fuel '!C16</f>
        <v>76270.588235294112</v>
      </c>
      <c r="F8" s="120">
        <f>'HT Flow &amp; Fuel '!C18</f>
        <v>668.1303529411764</v>
      </c>
      <c r="G8" s="119" t="s">
        <v>1778</v>
      </c>
      <c r="H8" s="115" t="s">
        <v>133</v>
      </c>
    </row>
    <row r="9" spans="1:8" ht="16.5" customHeight="1">
      <c r="A9" s="1702" t="str">
        <f>'Burners No Cogen'!B16</f>
        <v>SHTR4</v>
      </c>
      <c r="B9" s="313" t="s">
        <v>194</v>
      </c>
      <c r="C9" s="313" t="s">
        <v>195</v>
      </c>
      <c r="D9" s="272">
        <f>'Burners No Cogen'!D16</f>
        <v>850</v>
      </c>
      <c r="E9" s="272">
        <f>'HT Flow &amp; Fuel '!C16</f>
        <v>76270.588235294112</v>
      </c>
      <c r="F9" s="635">
        <f>'HT Flow &amp; Fuel '!C18</f>
        <v>668.1303529411764</v>
      </c>
      <c r="G9" s="316" t="s">
        <v>1778</v>
      </c>
      <c r="H9" s="293" t="s">
        <v>133</v>
      </c>
    </row>
    <row r="10" spans="1:8" ht="16.5" customHeight="1">
      <c r="A10" s="1701" t="str">
        <f>'Burners No Cogen'!B17</f>
        <v>SHTR5</v>
      </c>
      <c r="B10" s="118" t="s">
        <v>194</v>
      </c>
      <c r="C10" s="118" t="s">
        <v>195</v>
      </c>
      <c r="D10" s="189">
        <f>'Burners No Cogen'!D17</f>
        <v>850</v>
      </c>
      <c r="E10" s="189">
        <f>'HT Flow &amp; Fuel '!C16</f>
        <v>76270.588235294112</v>
      </c>
      <c r="F10" s="120">
        <f>'HT Flow &amp; Fuel '!C18</f>
        <v>668.1303529411764</v>
      </c>
      <c r="G10" s="119" t="s">
        <v>1778</v>
      </c>
      <c r="H10" s="115" t="s">
        <v>133</v>
      </c>
    </row>
    <row r="11" spans="1:8" ht="16.5" customHeight="1">
      <c r="A11" s="1702" t="str">
        <f>'Burners No Cogen'!B18</f>
        <v>SHTR6</v>
      </c>
      <c r="B11" s="313" t="s">
        <v>194</v>
      </c>
      <c r="C11" s="313" t="s">
        <v>195</v>
      </c>
      <c r="D11" s="272">
        <f>'Burners No Cogen'!D18</f>
        <v>850</v>
      </c>
      <c r="E11" s="272">
        <f>'HT Flow &amp; Fuel '!C16</f>
        <v>76270.588235294112</v>
      </c>
      <c r="F11" s="635">
        <f>'HT Flow &amp; Fuel '!C18</f>
        <v>668.1303529411764</v>
      </c>
      <c r="G11" s="316" t="s">
        <v>1778</v>
      </c>
      <c r="H11" s="293" t="s">
        <v>133</v>
      </c>
    </row>
    <row r="12" spans="1:8" ht="16.5" customHeight="1">
      <c r="A12" s="1701" t="str">
        <f>'Burners No Cogen'!B19</f>
        <v>SHTR7</v>
      </c>
      <c r="B12" s="118" t="s">
        <v>194</v>
      </c>
      <c r="C12" s="118" t="s">
        <v>195</v>
      </c>
      <c r="D12" s="189">
        <f>'Burners No Cogen'!D19</f>
        <v>850</v>
      </c>
      <c r="E12" s="189">
        <f>'HT Flow &amp; Fuel '!C16</f>
        <v>76270.588235294112</v>
      </c>
      <c r="F12" s="120">
        <f>'HT Flow &amp; Fuel '!C18</f>
        <v>668.1303529411764</v>
      </c>
      <c r="G12" s="119" t="s">
        <v>1778</v>
      </c>
      <c r="H12" s="115" t="s">
        <v>133</v>
      </c>
    </row>
    <row r="13" spans="1:8" ht="16.5" customHeight="1">
      <c r="A13" s="1702" t="str">
        <f>'Burners No Cogen'!B20</f>
        <v>SHTR8</v>
      </c>
      <c r="B13" s="313" t="s">
        <v>194</v>
      </c>
      <c r="C13" s="313" t="s">
        <v>195</v>
      </c>
      <c r="D13" s="272">
        <f>'Burners No Cogen'!D20</f>
        <v>850</v>
      </c>
      <c r="E13" s="272">
        <f>'HT Flow &amp; Fuel '!C16</f>
        <v>76270.588235294112</v>
      </c>
      <c r="F13" s="635">
        <f>'HT Flow &amp; Fuel '!C18</f>
        <v>668.1303529411764</v>
      </c>
      <c r="G13" s="316" t="s">
        <v>1778</v>
      </c>
      <c r="H13" s="293" t="s">
        <v>133</v>
      </c>
    </row>
    <row r="14" spans="1:8" ht="16.5" customHeight="1">
      <c r="A14" s="1701" t="str">
        <f>'Burners No Cogen'!B21</f>
        <v>SHTR9</v>
      </c>
      <c r="B14" s="118" t="s">
        <v>194</v>
      </c>
      <c r="C14" s="118" t="s">
        <v>195</v>
      </c>
      <c r="D14" s="189">
        <f>'Burners No Cogen'!D21</f>
        <v>850</v>
      </c>
      <c r="E14" s="189">
        <f>'HT Flow &amp; Fuel '!C16</f>
        <v>76270.588235294112</v>
      </c>
      <c r="F14" s="120">
        <f>'HT Flow &amp; Fuel '!C18</f>
        <v>668.1303529411764</v>
      </c>
      <c r="G14" s="119" t="s">
        <v>1778</v>
      </c>
      <c r="H14" s="115" t="s">
        <v>133</v>
      </c>
    </row>
    <row r="15" spans="1:8" ht="16.5" customHeight="1">
      <c r="A15" s="1702" t="str">
        <f>'Burners No Cogen'!B22</f>
        <v>SHTR10</v>
      </c>
      <c r="B15" s="313" t="s">
        <v>194</v>
      </c>
      <c r="C15" s="313" t="s">
        <v>195</v>
      </c>
      <c r="D15" s="272">
        <f>'Burners No Cogen'!D22</f>
        <v>850</v>
      </c>
      <c r="E15" s="272">
        <f>'HT Flow &amp; Fuel '!C16</f>
        <v>76270.588235294112</v>
      </c>
      <c r="F15" s="635">
        <f>'HT Flow &amp; Fuel '!C18</f>
        <v>668.1303529411764</v>
      </c>
      <c r="G15" s="316" t="s">
        <v>1778</v>
      </c>
      <c r="H15" s="293" t="s">
        <v>133</v>
      </c>
    </row>
    <row r="16" spans="1:8" ht="16.5" customHeight="1">
      <c r="A16" s="1701" t="str">
        <f>'Burners No Cogen'!B23</f>
        <v>SHTR11</v>
      </c>
      <c r="B16" s="118" t="s">
        <v>194</v>
      </c>
      <c r="C16" s="118" t="s">
        <v>195</v>
      </c>
      <c r="D16" s="189">
        <f>'Burners No Cogen'!D23</f>
        <v>850</v>
      </c>
      <c r="E16" s="189">
        <f>'HT Flow &amp; Fuel '!C16</f>
        <v>76270.588235294112</v>
      </c>
      <c r="F16" s="120">
        <f>'HT Flow &amp; Fuel '!C18</f>
        <v>668.1303529411764</v>
      </c>
      <c r="G16" s="119" t="s">
        <v>1778</v>
      </c>
      <c r="H16" s="115" t="s">
        <v>133</v>
      </c>
    </row>
    <row r="17" spans="1:8" ht="16.5" customHeight="1">
      <c r="A17" s="1702" t="str">
        <f>'Burners No Cogen'!B24</f>
        <v>SHTR12</v>
      </c>
      <c r="B17" s="313" t="s">
        <v>194</v>
      </c>
      <c r="C17" s="313" t="s">
        <v>195</v>
      </c>
      <c r="D17" s="272">
        <f>'Burners No Cogen'!D24</f>
        <v>850</v>
      </c>
      <c r="E17" s="272">
        <f>'HT Flow &amp; Fuel '!C16</f>
        <v>76270.588235294112</v>
      </c>
      <c r="F17" s="635">
        <f>'HT Flow &amp; Fuel '!C18</f>
        <v>668.1303529411764</v>
      </c>
      <c r="G17" s="316" t="s">
        <v>1778</v>
      </c>
      <c r="H17" s="293" t="s">
        <v>133</v>
      </c>
    </row>
    <row r="18" spans="1:8" ht="16.5" customHeight="1">
      <c r="A18" s="1701" t="str">
        <f>'Burners No Cogen'!B25</f>
        <v>CHTR1</v>
      </c>
      <c r="B18" s="118" t="s">
        <v>194</v>
      </c>
      <c r="C18" s="118" t="s">
        <v>195</v>
      </c>
      <c r="D18" s="189">
        <f>'Burners No Cogen'!D25</f>
        <v>850</v>
      </c>
      <c r="E18" s="189">
        <f>'HT Flow &amp; Fuel '!C32</f>
        <v>122341.17647058824</v>
      </c>
      <c r="F18" s="120">
        <f>'HT Flow &amp; Fuel '!C34</f>
        <v>1071.7087058823529</v>
      </c>
      <c r="G18" s="119" t="s">
        <v>1778</v>
      </c>
      <c r="H18" s="115" t="s">
        <v>133</v>
      </c>
    </row>
    <row r="19" spans="1:8" ht="16.5" customHeight="1">
      <c r="A19" s="1702" t="str">
        <f>'Burners No Cogen'!B26</f>
        <v>CHTR2</v>
      </c>
      <c r="B19" s="313" t="str">
        <f>B14</f>
        <v>Natural Gas</v>
      </c>
      <c r="C19" s="313" t="s">
        <v>195</v>
      </c>
      <c r="D19" s="272">
        <f>'Burners No Cogen'!D26</f>
        <v>850</v>
      </c>
      <c r="E19" s="272">
        <f>'HT Flow &amp; Fuel '!C32</f>
        <v>122341.17647058824</v>
      </c>
      <c r="F19" s="635">
        <f>'HT Flow &amp; Fuel '!C34</f>
        <v>1071.7087058823529</v>
      </c>
      <c r="G19" s="316" t="s">
        <v>1778</v>
      </c>
      <c r="H19" s="293" t="s">
        <v>133</v>
      </c>
    </row>
    <row r="20" spans="1:8" ht="16.5" customHeight="1">
      <c r="A20" s="1701" t="str">
        <f>'Burners No Cogen'!B27</f>
        <v>CHTR3</v>
      </c>
      <c r="B20" s="118" t="s">
        <v>194</v>
      </c>
      <c r="C20" s="118" t="s">
        <v>195</v>
      </c>
      <c r="D20" s="189">
        <f>'Burners No Cogen'!D27</f>
        <v>850</v>
      </c>
      <c r="E20" s="189">
        <f>'HT Flow &amp; Fuel '!C32</f>
        <v>122341.17647058824</v>
      </c>
      <c r="F20" s="120">
        <f>'HT Flow &amp; Fuel '!C34</f>
        <v>1071.7087058823529</v>
      </c>
      <c r="G20" s="119" t="s">
        <v>1778</v>
      </c>
      <c r="H20" s="115" t="s">
        <v>133</v>
      </c>
    </row>
    <row r="21" spans="1:8" ht="16.5" customHeight="1">
      <c r="A21" s="1702" t="str">
        <f>'Burners No Cogen'!B28</f>
        <v>RHTR1</v>
      </c>
      <c r="B21" s="313" t="s">
        <v>194</v>
      </c>
      <c r="C21" s="313" t="s">
        <v>195</v>
      </c>
      <c r="D21" s="272">
        <f>'Burners No Cogen'!D28</f>
        <v>850</v>
      </c>
      <c r="E21" s="272">
        <f>'HT Flow &amp; Fuel '!C48</f>
        <v>46047.058823529413</v>
      </c>
      <c r="F21" s="315">
        <f>'HT Flow &amp; Fuel '!C50</f>
        <v>403.37223529411767</v>
      </c>
      <c r="G21" s="316" t="s">
        <v>1778</v>
      </c>
      <c r="H21" s="293" t="s">
        <v>133</v>
      </c>
    </row>
    <row r="22" spans="1:8" ht="16.5" customHeight="1">
      <c r="A22" s="1701" t="str">
        <f>'Burners No Cogen'!B29</f>
        <v>RHTR2</v>
      </c>
      <c r="B22" s="118" t="s">
        <v>194</v>
      </c>
      <c r="C22" s="118" t="s">
        <v>195</v>
      </c>
      <c r="D22" s="189">
        <f>'Burners No Cogen'!D29</f>
        <v>850</v>
      </c>
      <c r="E22" s="189">
        <f>'HT Flow &amp; Fuel '!C48</f>
        <v>46047.058823529413</v>
      </c>
      <c r="F22" s="120">
        <f>'HT Flow &amp; Fuel '!C50</f>
        <v>403.37223529411767</v>
      </c>
      <c r="G22" s="119" t="s">
        <v>1778</v>
      </c>
      <c r="H22" s="115" t="s">
        <v>133</v>
      </c>
    </row>
    <row r="23" spans="1:8" ht="16.5" customHeight="1">
      <c r="A23" s="1702" t="str">
        <f>'Burners No Cogen'!B30</f>
        <v>RHTR3</v>
      </c>
      <c r="B23" s="313" t="s">
        <v>194</v>
      </c>
      <c r="C23" s="313" t="s">
        <v>195</v>
      </c>
      <c r="D23" s="272">
        <f>'Burners No Cogen'!D30</f>
        <v>850</v>
      </c>
      <c r="E23" s="272">
        <f>'HT Flow &amp; Fuel '!C48</f>
        <v>46047.058823529413</v>
      </c>
      <c r="F23" s="635">
        <f>'HT Flow &amp; Fuel '!C50</f>
        <v>403.37223529411767</v>
      </c>
      <c r="G23" s="316" t="s">
        <v>1778</v>
      </c>
      <c r="H23" s="293" t="s">
        <v>133</v>
      </c>
    </row>
    <row r="24" spans="1:8" ht="16.5" customHeight="1">
      <c r="A24" s="1701" t="s">
        <v>1426</v>
      </c>
      <c r="B24" s="118" t="s">
        <v>194</v>
      </c>
      <c r="C24" s="118" t="s">
        <v>195</v>
      </c>
      <c r="D24" s="189">
        <v>850</v>
      </c>
      <c r="E24" s="189">
        <f>E22</f>
        <v>46047.058823529413</v>
      </c>
      <c r="F24" s="120">
        <f>'HT Flow &amp; Fuel '!C50</f>
        <v>403.37223529411767</v>
      </c>
      <c r="G24" s="119" t="s">
        <v>1778</v>
      </c>
      <c r="H24" s="115" t="s">
        <v>133</v>
      </c>
    </row>
    <row r="25" spans="1:8" ht="16.5" customHeight="1">
      <c r="A25" s="1702" t="s">
        <v>1427</v>
      </c>
      <c r="B25" s="313" t="s">
        <v>194</v>
      </c>
      <c r="C25" s="313" t="s">
        <v>195</v>
      </c>
      <c r="D25" s="314">
        <f>D24</f>
        <v>850</v>
      </c>
      <c r="E25" s="272">
        <f>E22</f>
        <v>46047.058823529413</v>
      </c>
      <c r="F25" s="635">
        <f>'HT Flow &amp; Fuel '!C50</f>
        <v>403.37223529411767</v>
      </c>
      <c r="G25" s="316" t="s">
        <v>1778</v>
      </c>
      <c r="H25" s="293" t="s">
        <v>133</v>
      </c>
    </row>
    <row r="26" spans="1:8" ht="16.5" customHeight="1">
      <c r="A26" s="1701" t="s">
        <v>1428</v>
      </c>
      <c r="B26" s="118" t="s">
        <v>194</v>
      </c>
      <c r="C26" s="118" t="s">
        <v>195</v>
      </c>
      <c r="D26" s="189">
        <v>850</v>
      </c>
      <c r="E26" s="189">
        <f>E22</f>
        <v>46047.058823529413</v>
      </c>
      <c r="F26" s="120">
        <f>'HT Flow &amp; Fuel '!C50</f>
        <v>403.37223529411767</v>
      </c>
      <c r="G26" s="119" t="s">
        <v>1778</v>
      </c>
      <c r="H26" s="115" t="s">
        <v>133</v>
      </c>
    </row>
    <row r="27" spans="1:8" ht="16.5" customHeight="1">
      <c r="A27" s="1702" t="s">
        <v>1454</v>
      </c>
      <c r="B27" s="313" t="s">
        <v>194</v>
      </c>
      <c r="C27" s="313" t="s">
        <v>195</v>
      </c>
      <c r="D27" s="314">
        <f>D26</f>
        <v>850</v>
      </c>
      <c r="E27" s="272">
        <f>'Cogen-SO2_H2SO4'!H25</f>
        <v>1248462.3529411764</v>
      </c>
      <c r="F27" s="635">
        <f>E27*8760/10^6</f>
        <v>10936.530211764706</v>
      </c>
      <c r="G27" s="316" t="s">
        <v>1778</v>
      </c>
      <c r="H27" s="293" t="s">
        <v>133</v>
      </c>
    </row>
    <row r="28" spans="1:8" ht="16.5" customHeight="1">
      <c r="A28" s="114" t="s">
        <v>1455</v>
      </c>
      <c r="B28" s="118" t="s">
        <v>194</v>
      </c>
      <c r="C28" s="118" t="s">
        <v>195</v>
      </c>
      <c r="D28" s="189">
        <v>850</v>
      </c>
      <c r="E28" s="189">
        <f>E27</f>
        <v>1248462.3529411764</v>
      </c>
      <c r="F28" s="120">
        <f>F27</f>
        <v>10936.530211764706</v>
      </c>
      <c r="G28" s="119" t="s">
        <v>1778</v>
      </c>
      <c r="H28" s="115" t="s">
        <v>133</v>
      </c>
    </row>
    <row r="29" spans="1:8" ht="16.5" customHeight="1">
      <c r="A29" s="312" t="s">
        <v>1456</v>
      </c>
      <c r="B29" s="313" t="s">
        <v>194</v>
      </c>
      <c r="C29" s="313" t="s">
        <v>195</v>
      </c>
      <c r="D29" s="314">
        <f>D28</f>
        <v>850</v>
      </c>
      <c r="E29" s="272">
        <f>E27</f>
        <v>1248462.3529411764</v>
      </c>
      <c r="F29" s="635">
        <f>F27</f>
        <v>10936.530211764706</v>
      </c>
      <c r="G29" s="316" t="s">
        <v>1778</v>
      </c>
      <c r="H29" s="293" t="s">
        <v>133</v>
      </c>
    </row>
    <row r="30" spans="1:8" ht="16.5" customHeight="1">
      <c r="A30" s="114" t="s">
        <v>1457</v>
      </c>
      <c r="B30" s="118" t="s">
        <v>194</v>
      </c>
      <c r="C30" s="118" t="s">
        <v>195</v>
      </c>
      <c r="D30" s="189">
        <v>850</v>
      </c>
      <c r="E30" s="189">
        <f>E27</f>
        <v>1248462.3529411764</v>
      </c>
      <c r="F30" s="120">
        <f>F27</f>
        <v>10936.530211764706</v>
      </c>
      <c r="G30" s="119" t="s">
        <v>1778</v>
      </c>
      <c r="H30" s="115" t="s">
        <v>133</v>
      </c>
    </row>
    <row r="31" spans="1:8" ht="16.5" customHeight="1">
      <c r="A31" s="312" t="s">
        <v>1508</v>
      </c>
      <c r="B31" s="313" t="s">
        <v>194</v>
      </c>
      <c r="C31" s="313" t="s">
        <v>195</v>
      </c>
      <c r="D31" s="314">
        <f>D30</f>
        <v>850</v>
      </c>
      <c r="E31" s="272">
        <f>'Gen GHG'!C14</f>
        <v>24586.268235294123</v>
      </c>
      <c r="F31" s="635">
        <f>'Gen GHG'!C15</f>
        <v>215.37570974117651</v>
      </c>
      <c r="G31" s="316" t="s">
        <v>1778</v>
      </c>
      <c r="H31" s="293" t="s">
        <v>133</v>
      </c>
    </row>
    <row r="32" spans="1:8" ht="16.5" customHeight="1">
      <c r="A32" s="3048" t="s">
        <v>1509</v>
      </c>
      <c r="B32" s="3049" t="s">
        <v>194</v>
      </c>
      <c r="C32" s="3049" t="s">
        <v>195</v>
      </c>
      <c r="D32" s="3050">
        <f t="shared" ref="D32:D37" si="0">D31</f>
        <v>850</v>
      </c>
      <c r="E32" s="3051">
        <f>E31</f>
        <v>24586.268235294123</v>
      </c>
      <c r="F32" s="3052">
        <f>F31</f>
        <v>215.37570974117651</v>
      </c>
      <c r="G32" s="3053" t="s">
        <v>1778</v>
      </c>
      <c r="H32" s="1552" t="s">
        <v>133</v>
      </c>
    </row>
    <row r="33" spans="1:8" ht="16.5" customHeight="1">
      <c r="A33" s="312" t="s">
        <v>1510</v>
      </c>
      <c r="B33" s="313" t="s">
        <v>194</v>
      </c>
      <c r="C33" s="313" t="s">
        <v>195</v>
      </c>
      <c r="D33" s="314">
        <f t="shared" si="0"/>
        <v>850</v>
      </c>
      <c r="E33" s="272">
        <f t="shared" ref="E33:E38" si="1">E32</f>
        <v>24586.268235294123</v>
      </c>
      <c r="F33" s="635">
        <f t="shared" ref="F33:F38" si="2">F32</f>
        <v>215.37570974117651</v>
      </c>
      <c r="G33" s="316" t="s">
        <v>1778</v>
      </c>
      <c r="H33" s="293" t="s">
        <v>133</v>
      </c>
    </row>
    <row r="34" spans="1:8" ht="16.5" customHeight="1">
      <c r="A34" s="3048" t="s">
        <v>1511</v>
      </c>
      <c r="B34" s="3049" t="s">
        <v>194</v>
      </c>
      <c r="C34" s="3049" t="s">
        <v>195</v>
      </c>
      <c r="D34" s="3050">
        <f t="shared" si="0"/>
        <v>850</v>
      </c>
      <c r="E34" s="3051">
        <f t="shared" si="1"/>
        <v>24586.268235294123</v>
      </c>
      <c r="F34" s="3052">
        <f t="shared" si="2"/>
        <v>215.37570974117651</v>
      </c>
      <c r="G34" s="3053" t="s">
        <v>1778</v>
      </c>
      <c r="H34" s="1552" t="s">
        <v>133</v>
      </c>
    </row>
    <row r="35" spans="1:8" ht="16.5" customHeight="1">
      <c r="A35" s="312" t="s">
        <v>1512</v>
      </c>
      <c r="B35" s="313" t="s">
        <v>194</v>
      </c>
      <c r="C35" s="313" t="s">
        <v>195</v>
      </c>
      <c r="D35" s="314">
        <f t="shared" si="0"/>
        <v>850</v>
      </c>
      <c r="E35" s="272">
        <f t="shared" si="1"/>
        <v>24586.268235294123</v>
      </c>
      <c r="F35" s="635">
        <f t="shared" si="2"/>
        <v>215.37570974117651</v>
      </c>
      <c r="G35" s="316" t="s">
        <v>1778</v>
      </c>
      <c r="H35" s="293" t="s">
        <v>133</v>
      </c>
    </row>
    <row r="36" spans="1:8" ht="16.5" customHeight="1">
      <c r="A36" s="3048" t="s">
        <v>1921</v>
      </c>
      <c r="B36" s="3049" t="s">
        <v>194</v>
      </c>
      <c r="C36" s="3049" t="s">
        <v>195</v>
      </c>
      <c r="D36" s="3050">
        <f t="shared" si="0"/>
        <v>850</v>
      </c>
      <c r="E36" s="3051">
        <f t="shared" si="1"/>
        <v>24586.268235294123</v>
      </c>
      <c r="F36" s="3052">
        <f t="shared" si="2"/>
        <v>215.37570974117651</v>
      </c>
      <c r="G36" s="3053" t="s">
        <v>1778</v>
      </c>
      <c r="H36" s="1552" t="s">
        <v>133</v>
      </c>
    </row>
    <row r="37" spans="1:8" ht="16.5" customHeight="1">
      <c r="A37" s="312" t="s">
        <v>1922</v>
      </c>
      <c r="B37" s="313" t="s">
        <v>194</v>
      </c>
      <c r="C37" s="313" t="s">
        <v>195</v>
      </c>
      <c r="D37" s="314">
        <f t="shared" si="0"/>
        <v>850</v>
      </c>
      <c r="E37" s="272">
        <f t="shared" si="1"/>
        <v>24586.268235294123</v>
      </c>
      <c r="F37" s="635">
        <f t="shared" si="2"/>
        <v>215.37570974117651</v>
      </c>
      <c r="G37" s="316" t="s">
        <v>1778</v>
      </c>
      <c r="H37" s="293" t="s">
        <v>133</v>
      </c>
    </row>
    <row r="38" spans="1:8" ht="16.5" customHeight="1">
      <c r="A38" s="3048" t="s">
        <v>1923</v>
      </c>
      <c r="B38" s="3049" t="s">
        <v>194</v>
      </c>
      <c r="C38" s="3049" t="s">
        <v>195</v>
      </c>
      <c r="D38" s="3050">
        <f>D37</f>
        <v>850</v>
      </c>
      <c r="E38" s="3051">
        <f t="shared" si="1"/>
        <v>24586.268235294123</v>
      </c>
      <c r="F38" s="3052">
        <f t="shared" si="2"/>
        <v>215.37570974117651</v>
      </c>
      <c r="G38" s="3053" t="s">
        <v>1778</v>
      </c>
      <c r="H38" s="1552" t="s">
        <v>133</v>
      </c>
    </row>
  </sheetData>
  <mergeCells count="11">
    <mergeCell ref="H4:H5"/>
    <mergeCell ref="A1:H1"/>
    <mergeCell ref="A2:H2"/>
    <mergeCell ref="A3:A5"/>
    <mergeCell ref="B3:B5"/>
    <mergeCell ref="C3:C5"/>
    <mergeCell ref="D3:H3"/>
    <mergeCell ref="D4:D5"/>
    <mergeCell ref="E4:E5"/>
    <mergeCell ref="F4:F5"/>
    <mergeCell ref="G4:G5"/>
  </mergeCells>
  <printOptions horizontalCentered="1" verticalCentered="1"/>
  <pageMargins left="0.5" right="0.5" top="0.5" bottom="0.5" header="0.35" footer="0.35"/>
  <pageSetup scale="8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1/25/2017&amp;C&amp;8Table 2-J:  Page &amp;P&amp;R&amp;8Printed &amp;D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1">
    <tabColor theme="1"/>
    <pageSetUpPr fitToPage="1"/>
  </sheetPr>
  <dimension ref="A1:Q32"/>
  <sheetViews>
    <sheetView view="pageLayout" topLeftCell="A4" zoomScale="80" zoomScaleNormal="100" zoomScalePageLayoutView="80" workbookViewId="0">
      <selection activeCell="E19" sqref="E19:R20"/>
    </sheetView>
  </sheetViews>
  <sheetFormatPr defaultColWidth="9.36328125" defaultRowHeight="13"/>
  <cols>
    <col min="1" max="1" width="10.453125" style="126" customWidth="1"/>
    <col min="2" max="2" width="9.36328125" style="68"/>
    <col min="3" max="3" width="25.54296875" style="66" customWidth="1"/>
    <col min="4" max="4" width="30.453125" style="66" customWidth="1"/>
    <col min="5" max="5" width="9.54296875" style="66" customWidth="1"/>
    <col min="6" max="6" width="12.36328125" style="66" customWidth="1"/>
    <col min="7" max="7" width="11.54296875" style="66" customWidth="1"/>
    <col min="8" max="8" width="12.54296875" style="66" customWidth="1"/>
    <col min="9" max="9" width="11.54296875" style="66" customWidth="1"/>
    <col min="10" max="10" width="13.36328125" style="66" customWidth="1"/>
    <col min="11" max="13" width="9.36328125" style="66"/>
    <col min="14" max="14" width="9" style="66" customWidth="1"/>
    <col min="15" max="15" width="9.36328125" style="66" hidden="1" customWidth="1"/>
    <col min="16" max="16384" width="9.36328125" style="66"/>
  </cols>
  <sheetData>
    <row r="1" spans="1:17" ht="27" customHeight="1">
      <c r="A1" s="3843" t="s">
        <v>196</v>
      </c>
      <c r="B1" s="3843"/>
      <c r="C1" s="3843"/>
      <c r="D1" s="3843"/>
      <c r="E1" s="3843"/>
      <c r="F1" s="3843"/>
      <c r="G1" s="3843"/>
      <c r="H1" s="3843"/>
      <c r="I1" s="3843"/>
      <c r="J1" s="3843"/>
      <c r="K1" s="121"/>
      <c r="L1" s="121"/>
      <c r="M1" s="200"/>
      <c r="N1" s="200"/>
      <c r="O1" s="200"/>
      <c r="P1" s="200"/>
      <c r="Q1" s="200"/>
    </row>
    <row r="2" spans="1:17" ht="72.75" customHeight="1" thickBot="1">
      <c r="A2" s="4135" t="s">
        <v>197</v>
      </c>
      <c r="B2" s="4179"/>
      <c r="C2" s="4135"/>
      <c r="D2" s="4135"/>
      <c r="E2" s="4135"/>
      <c r="F2" s="4135"/>
      <c r="G2" s="4135"/>
      <c r="H2" s="4135"/>
      <c r="I2" s="4135"/>
      <c r="J2" s="4135"/>
      <c r="K2" s="64"/>
      <c r="L2" s="64"/>
      <c r="M2" s="64"/>
      <c r="N2" s="64"/>
      <c r="O2" s="65"/>
    </row>
    <row r="3" spans="1:17" ht="18.75" customHeight="1">
      <c r="A3" s="4180" t="s">
        <v>198</v>
      </c>
      <c r="B3" s="4183" t="s">
        <v>199</v>
      </c>
      <c r="C3" s="4186" t="s">
        <v>200</v>
      </c>
      <c r="D3" s="4183" t="s">
        <v>96</v>
      </c>
      <c r="E3" s="4183" t="s">
        <v>201</v>
      </c>
      <c r="F3" s="4183" t="s">
        <v>202</v>
      </c>
      <c r="G3" s="4187" t="s">
        <v>203</v>
      </c>
      <c r="H3" s="4188"/>
      <c r="I3" s="4189" t="s">
        <v>204</v>
      </c>
      <c r="J3" s="4190"/>
      <c r="K3" s="64"/>
      <c r="L3" s="64"/>
      <c r="M3" s="64"/>
      <c r="N3" s="64"/>
      <c r="O3" s="64"/>
    </row>
    <row r="4" spans="1:17" ht="18.75" customHeight="1">
      <c r="A4" s="4181"/>
      <c r="B4" s="4184"/>
      <c r="C4" s="3849"/>
      <c r="D4" s="3849"/>
      <c r="E4" s="3849"/>
      <c r="F4" s="3849"/>
      <c r="G4" s="4176" t="s">
        <v>205</v>
      </c>
      <c r="H4" s="4176" t="s">
        <v>206</v>
      </c>
      <c r="I4" s="4176" t="s">
        <v>205</v>
      </c>
      <c r="J4" s="4177" t="s">
        <v>206</v>
      </c>
      <c r="K4" s="64"/>
      <c r="L4" s="64"/>
      <c r="M4" s="64"/>
      <c r="N4" s="64"/>
      <c r="O4" s="64"/>
    </row>
    <row r="5" spans="1:17" ht="18.75" customHeight="1">
      <c r="A5" s="4181"/>
      <c r="B5" s="4184"/>
      <c r="C5" s="3849"/>
      <c r="D5" s="3849"/>
      <c r="E5" s="3849"/>
      <c r="F5" s="3849"/>
      <c r="G5" s="3849"/>
      <c r="H5" s="3849"/>
      <c r="I5" s="3849"/>
      <c r="J5" s="4178"/>
    </row>
    <row r="6" spans="1:17" s="68" customFormat="1" ht="18.75" customHeight="1">
      <c r="A6" s="4182"/>
      <c r="B6" s="4185"/>
      <c r="C6" s="3850"/>
      <c r="D6" s="3850"/>
      <c r="E6" s="3850"/>
      <c r="F6" s="3850"/>
      <c r="G6" s="3850"/>
      <c r="H6" s="3850"/>
      <c r="I6" s="3850"/>
      <c r="J6" s="4130"/>
    </row>
    <row r="7" spans="1:17" ht="18" customHeight="1">
      <c r="A7" s="122" t="str">
        <f>'2-E-NoCo'!A26</f>
        <v>IFR1</v>
      </c>
      <c r="B7" s="123">
        <v>40400311</v>
      </c>
      <c r="C7" s="123" t="s">
        <v>1779</v>
      </c>
      <c r="D7" s="123" t="str">
        <f>C7</f>
        <v>Oil/Condensate</v>
      </c>
      <c r="E7" s="190">
        <v>6.57</v>
      </c>
      <c r="F7" s="232">
        <f>'CDP + Flare PStreams'!AN131</f>
        <v>83.460429113907793</v>
      </c>
      <c r="G7" s="232">
        <f>' UserValueSets Report'!C116</f>
        <v>79.590163332600099</v>
      </c>
      <c r="H7" s="232">
        <f>' UserValueSets Report'!C104</f>
        <v>6.7975784768895098</v>
      </c>
      <c r="I7" s="232">
        <f>' UserValueSets Report'!C120</f>
        <v>87.1140633320002</v>
      </c>
      <c r="J7" s="233">
        <f>' UserValueSets Report'!C108</f>
        <v>7.6853545915411798</v>
      </c>
    </row>
    <row r="8" spans="1:17" ht="18" customHeight="1">
      <c r="A8" s="292" t="str">
        <f>'2-E-NoCo'!A27</f>
        <v>IFR2</v>
      </c>
      <c r="B8" s="271">
        <v>40400311</v>
      </c>
      <c r="C8" s="271" t="s">
        <v>1779</v>
      </c>
      <c r="D8" s="271" t="str">
        <f>C8</f>
        <v>Oil/Condensate</v>
      </c>
      <c r="E8" s="315">
        <f t="shared" ref="E8:J8" si="0">E7</f>
        <v>6.57</v>
      </c>
      <c r="F8" s="309">
        <f t="shared" si="0"/>
        <v>83.460429113907793</v>
      </c>
      <c r="G8" s="309">
        <f t="shared" si="0"/>
        <v>79.590163332600099</v>
      </c>
      <c r="H8" s="309">
        <f t="shared" si="0"/>
        <v>6.7975784768895098</v>
      </c>
      <c r="I8" s="309">
        <f t="shared" si="0"/>
        <v>87.1140633320002</v>
      </c>
      <c r="J8" s="291">
        <f t="shared" si="0"/>
        <v>7.6853545915411798</v>
      </c>
    </row>
    <row r="9" spans="1:17" ht="18" customHeight="1">
      <c r="A9" s="122" t="str">
        <f>'2-E-NoCo'!A28</f>
        <v>IFR3</v>
      </c>
      <c r="B9" s="123">
        <v>40400311</v>
      </c>
      <c r="C9" s="123" t="s">
        <v>1779</v>
      </c>
      <c r="D9" s="123" t="str">
        <f t="shared" ref="D9:D16" si="1">C9</f>
        <v>Oil/Condensate</v>
      </c>
      <c r="E9" s="190">
        <f t="shared" ref="E9:J9" si="2">E7</f>
        <v>6.57</v>
      </c>
      <c r="F9" s="232">
        <f t="shared" si="2"/>
        <v>83.460429113907793</v>
      </c>
      <c r="G9" s="232">
        <f t="shared" si="2"/>
        <v>79.590163332600099</v>
      </c>
      <c r="H9" s="232">
        <f t="shared" si="2"/>
        <v>6.7975784768895098</v>
      </c>
      <c r="I9" s="232">
        <f t="shared" si="2"/>
        <v>87.1140633320002</v>
      </c>
      <c r="J9" s="233">
        <f t="shared" si="2"/>
        <v>7.6853545915411798</v>
      </c>
    </row>
    <row r="10" spans="1:17" ht="18" customHeight="1">
      <c r="A10" s="292" t="str">
        <f>'2-E-NoCo'!A29</f>
        <v>IFR4</v>
      </c>
      <c r="B10" s="271">
        <v>40400311</v>
      </c>
      <c r="C10" s="271" t="s">
        <v>1779</v>
      </c>
      <c r="D10" s="271" t="str">
        <f t="shared" si="1"/>
        <v>Oil/Condensate</v>
      </c>
      <c r="E10" s="315">
        <f t="shared" ref="E10:J10" si="3">E7</f>
        <v>6.57</v>
      </c>
      <c r="F10" s="309">
        <f t="shared" si="3"/>
        <v>83.460429113907793</v>
      </c>
      <c r="G10" s="309">
        <f t="shared" si="3"/>
        <v>79.590163332600099</v>
      </c>
      <c r="H10" s="309">
        <f t="shared" si="3"/>
        <v>6.7975784768895098</v>
      </c>
      <c r="I10" s="309">
        <f t="shared" si="3"/>
        <v>87.1140633320002</v>
      </c>
      <c r="J10" s="291">
        <f t="shared" si="3"/>
        <v>7.6853545915411798</v>
      </c>
    </row>
    <row r="11" spans="1:17" ht="18" customHeight="1">
      <c r="A11" s="122" t="str">
        <f>'2-E-NoCo'!A30</f>
        <v>OTK1</v>
      </c>
      <c r="B11" s="123">
        <v>40400311</v>
      </c>
      <c r="C11" s="123" t="s">
        <v>1779</v>
      </c>
      <c r="D11" s="123" t="str">
        <f t="shared" si="1"/>
        <v>Oil/Condensate</v>
      </c>
      <c r="E11" s="190">
        <f>E7</f>
        <v>6.57</v>
      </c>
      <c r="F11" s="232">
        <f>'Hrly (ECD1)'!J44</f>
        <v>49.368082888003897</v>
      </c>
      <c r="G11" s="232">
        <f>' UserValueSets Report'!C313</f>
        <v>77.707903332599898</v>
      </c>
      <c r="H11" s="232">
        <f>' UserValueSets Report'!C301</f>
        <v>10.3673118421223</v>
      </c>
      <c r="I11" s="232">
        <f>' UserValueSets Report'!C317</f>
        <v>88.526003331999902</v>
      </c>
      <c r="J11" s="233">
        <f>' UserValueSets Report'!C305</f>
        <v>12.201729408487701</v>
      </c>
    </row>
    <row r="12" spans="1:17" ht="18" customHeight="1">
      <c r="A12" s="292" t="str">
        <f>'2-E-NoCo'!A31</f>
        <v>OTK2</v>
      </c>
      <c r="B12" s="271">
        <v>40400311</v>
      </c>
      <c r="C12" s="271" t="s">
        <v>1779</v>
      </c>
      <c r="D12" s="271" t="str">
        <f t="shared" si="1"/>
        <v>Oil/Condensate</v>
      </c>
      <c r="E12" s="315">
        <f>E7</f>
        <v>6.57</v>
      </c>
      <c r="F12" s="309">
        <f>F11</f>
        <v>49.368082888003897</v>
      </c>
      <c r="G12" s="309">
        <f>G11</f>
        <v>77.707903332599898</v>
      </c>
      <c r="H12" s="309">
        <f>H11</f>
        <v>10.3673118421223</v>
      </c>
      <c r="I12" s="309">
        <f>I11</f>
        <v>88.526003331999902</v>
      </c>
      <c r="J12" s="2574">
        <f>J11</f>
        <v>12.201729408487701</v>
      </c>
    </row>
    <row r="13" spans="1:17" ht="18" customHeight="1">
      <c r="A13" s="122" t="str">
        <f>'2-E-NoCo'!A32</f>
        <v>OTK3</v>
      </c>
      <c r="B13" s="123">
        <v>40400311</v>
      </c>
      <c r="C13" s="123" t="s">
        <v>1779</v>
      </c>
      <c r="D13" s="123" t="str">
        <f t="shared" si="1"/>
        <v>Oil/Condensate</v>
      </c>
      <c r="E13" s="190">
        <f>E7</f>
        <v>6.57</v>
      </c>
      <c r="F13" s="232">
        <f>F11</f>
        <v>49.368082888003897</v>
      </c>
      <c r="G13" s="232">
        <f>G11</f>
        <v>77.707903332599898</v>
      </c>
      <c r="H13" s="232">
        <f>H11</f>
        <v>10.3673118421223</v>
      </c>
      <c r="I13" s="232">
        <f>I11</f>
        <v>88.526003331999902</v>
      </c>
      <c r="J13" s="2576">
        <f>J11</f>
        <v>12.201729408487701</v>
      </c>
    </row>
    <row r="14" spans="1:17" ht="18" customHeight="1">
      <c r="A14" s="292" t="str">
        <f>'2-E-NoCo'!A33</f>
        <v>OTK4</v>
      </c>
      <c r="B14" s="271">
        <v>40400311</v>
      </c>
      <c r="C14" s="271" t="s">
        <v>1779</v>
      </c>
      <c r="D14" s="271" t="str">
        <f t="shared" si="1"/>
        <v>Oil/Condensate</v>
      </c>
      <c r="E14" s="315">
        <f>E7</f>
        <v>6.57</v>
      </c>
      <c r="F14" s="309">
        <f>F11</f>
        <v>49.368082888003897</v>
      </c>
      <c r="G14" s="309">
        <f>G11</f>
        <v>77.707903332599898</v>
      </c>
      <c r="H14" s="309">
        <f>H11</f>
        <v>10.3673118421223</v>
      </c>
      <c r="I14" s="309">
        <f>I11</f>
        <v>88.526003331999902</v>
      </c>
      <c r="J14" s="2574">
        <f>J11</f>
        <v>12.201729408487701</v>
      </c>
    </row>
    <row r="15" spans="1:17" ht="18" customHeight="1">
      <c r="A15" s="122" t="str">
        <f>'2-E-NoCo'!A34</f>
        <v>OTK5</v>
      </c>
      <c r="B15" s="123">
        <v>40400311</v>
      </c>
      <c r="C15" s="123" t="s">
        <v>1779</v>
      </c>
      <c r="D15" s="123" t="str">
        <f t="shared" si="1"/>
        <v>Oil/Condensate</v>
      </c>
      <c r="E15" s="190">
        <f>E7</f>
        <v>6.57</v>
      </c>
      <c r="F15" s="232">
        <f>F11</f>
        <v>49.368082888003897</v>
      </c>
      <c r="G15" s="232">
        <f>G11</f>
        <v>77.707903332599898</v>
      </c>
      <c r="H15" s="232">
        <f>H11</f>
        <v>10.3673118421223</v>
      </c>
      <c r="I15" s="232">
        <f>I11</f>
        <v>88.526003331999902</v>
      </c>
      <c r="J15" s="2576">
        <f>J11</f>
        <v>12.201729408487701</v>
      </c>
    </row>
    <row r="16" spans="1:17" ht="18" customHeight="1">
      <c r="A16" s="292" t="str">
        <f>'2-E-NoCo'!A35</f>
        <v>OTK6</v>
      </c>
      <c r="B16" s="271">
        <v>40400311</v>
      </c>
      <c r="C16" s="271" t="s">
        <v>1779</v>
      </c>
      <c r="D16" s="271" t="str">
        <f t="shared" si="1"/>
        <v>Oil/Condensate</v>
      </c>
      <c r="E16" s="315">
        <f>E7</f>
        <v>6.57</v>
      </c>
      <c r="F16" s="309">
        <f>F11</f>
        <v>49.368082888003897</v>
      </c>
      <c r="G16" s="309">
        <f>G11</f>
        <v>77.707903332599898</v>
      </c>
      <c r="H16" s="309">
        <f>H11</f>
        <v>10.3673118421223</v>
      </c>
      <c r="I16" s="309">
        <f>I11</f>
        <v>88.526003331999902</v>
      </c>
      <c r="J16" s="2574">
        <f>J11</f>
        <v>12.201729408487701</v>
      </c>
    </row>
    <row r="17" spans="1:10" ht="18" customHeight="1">
      <c r="A17" s="122" t="str">
        <f>'2-E-NoCo'!A43</f>
        <v>PWTK1</v>
      </c>
      <c r="B17" s="123">
        <v>40400315</v>
      </c>
      <c r="C17" s="123" t="s">
        <v>207</v>
      </c>
      <c r="D17" s="123" t="s">
        <v>1516</v>
      </c>
      <c r="E17" s="190">
        <v>8.3000000000000007</v>
      </c>
      <c r="F17" s="232">
        <f>'Hrly (ECD1)'!H44</f>
        <v>18.150207979956001</v>
      </c>
      <c r="G17" s="232">
        <f>' UserValueSets Report'!C510</f>
        <v>83.307903332600105</v>
      </c>
      <c r="H17" s="232">
        <f>' UserValueSets Report'!C498</f>
        <v>0.56967293570996302</v>
      </c>
      <c r="I17" s="232">
        <f>' UserValueSets Report'!C514</f>
        <v>94.126003331999996</v>
      </c>
      <c r="J17" s="233">
        <f>' UserValueSets Report'!C502</f>
        <v>0.79994541902070204</v>
      </c>
    </row>
    <row r="18" spans="1:10" ht="18" customHeight="1">
      <c r="A18" s="292" t="str">
        <f>'2-E-NoCo'!A44</f>
        <v>PWTK2</v>
      </c>
      <c r="B18" s="271">
        <v>40400315</v>
      </c>
      <c r="C18" s="271" t="s">
        <v>207</v>
      </c>
      <c r="D18" s="271" t="str">
        <f>D17</f>
        <v>Produced Water w/ Trace Oils</v>
      </c>
      <c r="E18" s="317">
        <v>8.3000000000000007</v>
      </c>
      <c r="F18" s="309">
        <f>F17</f>
        <v>18.150207979956001</v>
      </c>
      <c r="G18" s="309">
        <f>G17</f>
        <v>83.307903332600105</v>
      </c>
      <c r="H18" s="309">
        <f>H17</f>
        <v>0.56967293570996302</v>
      </c>
      <c r="I18" s="309">
        <f>I17</f>
        <v>94.126003331999996</v>
      </c>
      <c r="J18" s="291">
        <f>J17</f>
        <v>0.79994541902070204</v>
      </c>
    </row>
    <row r="19" spans="1:10" ht="18" customHeight="1">
      <c r="A19" s="122" t="str">
        <f>'2-E-NoCo'!A50</f>
        <v>GBS1</v>
      </c>
      <c r="B19" s="123">
        <v>31000506</v>
      </c>
      <c r="C19" s="123" t="s">
        <v>207</v>
      </c>
      <c r="D19" s="123" t="str">
        <f>D17</f>
        <v>Produced Water w/ Trace Oils</v>
      </c>
      <c r="E19" s="190">
        <v>8.3000000000000007</v>
      </c>
      <c r="F19" s="232">
        <f>'Hrly (ECD1)'!F44</f>
        <v>27.9518326470372</v>
      </c>
      <c r="G19" s="232">
        <f>' UserValueSets Report'!C904</f>
        <v>72.319778882256699</v>
      </c>
      <c r="H19" s="232">
        <f>' UserValueSets Report'!C892</f>
        <v>0.584951190446653</v>
      </c>
      <c r="I19" s="232">
        <f>' UserValueSets Report'!C908</f>
        <v>83.137878881656704</v>
      </c>
      <c r="J19" s="233">
        <f>' UserValueSets Report'!C896</f>
        <v>0.78564404256827802</v>
      </c>
    </row>
    <row r="20" spans="1:10" ht="18" customHeight="1">
      <c r="A20" s="292" t="str">
        <f>'2-E-NoCo'!A51</f>
        <v>OTK7</v>
      </c>
      <c r="B20" s="271">
        <v>40400311</v>
      </c>
      <c r="C20" s="271" t="s">
        <v>1779</v>
      </c>
      <c r="D20" s="271" t="str">
        <f>C20</f>
        <v>Oil/Condensate</v>
      </c>
      <c r="E20" s="315">
        <v>6.6</v>
      </c>
      <c r="F20" s="309">
        <f>'Hrly (ECD1)'!D44</f>
        <v>50.253999895459501</v>
      </c>
      <c r="G20" s="309">
        <f>' UserValueSets Report'!C707</f>
        <v>83.297611204738502</v>
      </c>
      <c r="H20" s="309">
        <f>' UserValueSets Report'!C695</f>
        <v>10.1954572839268</v>
      </c>
      <c r="I20" s="309">
        <f>' UserValueSets Report'!C711</f>
        <v>94.115711204138506</v>
      </c>
      <c r="J20" s="291">
        <f>' UserValueSets Report'!C699</f>
        <v>11.8970568105029</v>
      </c>
    </row>
    <row r="21" spans="1:10" ht="18" customHeight="1">
      <c r="A21" s="122"/>
      <c r="B21" s="123"/>
      <c r="C21" s="123"/>
      <c r="D21" s="123"/>
      <c r="E21" s="124"/>
      <c r="F21" s="124"/>
      <c r="G21" s="124"/>
      <c r="H21" s="124"/>
      <c r="I21" s="124"/>
      <c r="J21" s="125"/>
    </row>
    <row r="22" spans="1:10" ht="18" customHeight="1">
      <c r="A22" s="292"/>
      <c r="B22" s="271"/>
      <c r="C22" s="271"/>
      <c r="D22" s="271"/>
      <c r="E22" s="317"/>
      <c r="F22" s="317"/>
      <c r="G22" s="317"/>
      <c r="H22" s="317"/>
      <c r="I22" s="317"/>
      <c r="J22" s="293"/>
    </row>
    <row r="23" spans="1:10" ht="18" customHeight="1">
      <c r="A23" s="122"/>
      <c r="B23" s="123"/>
      <c r="C23" s="123"/>
      <c r="D23" s="123"/>
      <c r="E23" s="124"/>
      <c r="F23" s="124"/>
      <c r="G23" s="124"/>
      <c r="H23" s="124"/>
      <c r="I23" s="124"/>
      <c r="J23" s="125"/>
    </row>
    <row r="24" spans="1:10" ht="18" customHeight="1">
      <c r="A24" s="292"/>
      <c r="B24" s="271"/>
      <c r="C24" s="271"/>
      <c r="D24" s="271"/>
      <c r="E24" s="317"/>
      <c r="F24" s="317"/>
      <c r="G24" s="317"/>
      <c r="H24" s="317"/>
      <c r="I24" s="317"/>
      <c r="J24" s="293"/>
    </row>
    <row r="25" spans="1:10" ht="18" customHeight="1">
      <c r="A25" s="122"/>
      <c r="B25" s="123"/>
      <c r="C25" s="123"/>
      <c r="D25" s="123"/>
      <c r="E25" s="124"/>
      <c r="F25" s="124"/>
      <c r="G25" s="124"/>
      <c r="H25" s="124"/>
      <c r="I25" s="124"/>
      <c r="J25" s="125"/>
    </row>
    <row r="26" spans="1:10" ht="18" customHeight="1">
      <c r="A26" s="292"/>
      <c r="B26" s="271"/>
      <c r="C26" s="271"/>
      <c r="D26" s="271"/>
      <c r="E26" s="317"/>
      <c r="F26" s="317"/>
      <c r="G26" s="317"/>
      <c r="H26" s="317"/>
      <c r="I26" s="317"/>
      <c r="J26" s="293"/>
    </row>
    <row r="27" spans="1:10" ht="18" customHeight="1">
      <c r="A27" s="122"/>
      <c r="B27" s="123"/>
      <c r="C27" s="123"/>
      <c r="D27" s="123"/>
      <c r="E27" s="124"/>
      <c r="F27" s="124"/>
      <c r="G27" s="124"/>
      <c r="H27" s="124"/>
      <c r="I27" s="124"/>
      <c r="J27" s="125"/>
    </row>
    <row r="28" spans="1:10" ht="18" customHeight="1">
      <c r="A28" s="292"/>
      <c r="B28" s="271"/>
      <c r="C28" s="271"/>
      <c r="D28" s="271"/>
      <c r="E28" s="317"/>
      <c r="F28" s="317"/>
      <c r="G28" s="317"/>
      <c r="H28" s="317"/>
      <c r="I28" s="317"/>
      <c r="J28" s="293"/>
    </row>
    <row r="29" spans="1:10" ht="18" customHeight="1">
      <c r="A29" s="122"/>
      <c r="B29" s="123"/>
      <c r="C29" s="123"/>
      <c r="D29" s="123"/>
      <c r="E29" s="124"/>
      <c r="F29" s="124"/>
      <c r="G29" s="124"/>
      <c r="H29" s="124"/>
      <c r="I29" s="124"/>
      <c r="J29" s="125"/>
    </row>
    <row r="30" spans="1:10" ht="18" customHeight="1">
      <c r="A30" s="292"/>
      <c r="B30" s="271"/>
      <c r="C30" s="271"/>
      <c r="D30" s="271"/>
      <c r="E30" s="317"/>
      <c r="F30" s="317"/>
      <c r="G30" s="317"/>
      <c r="H30" s="317"/>
      <c r="I30" s="317"/>
      <c r="J30" s="293"/>
    </row>
    <row r="31" spans="1:10" ht="18" customHeight="1">
      <c r="A31" s="122"/>
      <c r="B31" s="123"/>
      <c r="C31" s="123"/>
      <c r="D31" s="123"/>
      <c r="E31" s="124"/>
      <c r="F31" s="124"/>
      <c r="G31" s="124"/>
      <c r="H31" s="124"/>
      <c r="I31" s="124"/>
      <c r="J31" s="125"/>
    </row>
    <row r="32" spans="1:10" ht="18" customHeight="1">
      <c r="A32" s="292"/>
      <c r="B32" s="271"/>
      <c r="C32" s="271"/>
      <c r="D32" s="271"/>
      <c r="E32" s="317"/>
      <c r="F32" s="317"/>
      <c r="G32" s="317"/>
      <c r="H32" s="317"/>
      <c r="I32" s="317"/>
      <c r="J32" s="293"/>
    </row>
  </sheetData>
  <mergeCells count="14">
    <mergeCell ref="G4:G6"/>
    <mergeCell ref="H4:H6"/>
    <mergeCell ref="I4:I6"/>
    <mergeCell ref="J4:J6"/>
    <mergeCell ref="A1:J1"/>
    <mergeCell ref="A2:J2"/>
    <mergeCell ref="A3:A6"/>
    <mergeCell ref="B3:B6"/>
    <mergeCell ref="C3:C6"/>
    <mergeCell ref="D3:D6"/>
    <mergeCell ref="E3:E6"/>
    <mergeCell ref="F3:F6"/>
    <mergeCell ref="G3:H3"/>
    <mergeCell ref="I3:J3"/>
  </mergeCells>
  <printOptions horizontalCentered="1" verticalCentered="1"/>
  <pageMargins left="0.5" right="0.5" top="0.5" bottom="0.5" header="0.35" footer="0.35"/>
  <pageSetup scale="83"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2-K:  Page &amp;P&amp;R&amp;8Printed &amp;D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1">
    <tabColor theme="1"/>
    <pageSetUpPr fitToPage="1"/>
  </sheetPr>
  <dimension ref="A1:R70"/>
  <sheetViews>
    <sheetView view="pageBreakPreview" topLeftCell="A7" zoomScale="60" zoomScaleNormal="80" zoomScalePageLayoutView="80" workbookViewId="0">
      <selection activeCell="E19" sqref="E19:R20"/>
    </sheetView>
  </sheetViews>
  <sheetFormatPr defaultColWidth="9.36328125" defaultRowHeight="10.5"/>
  <cols>
    <col min="1" max="1" width="9.54296875" style="130" customWidth="1"/>
    <col min="2" max="2" width="9.453125" style="127" customWidth="1"/>
    <col min="3" max="3" width="22.453125" style="127" customWidth="1"/>
    <col min="4" max="9" width="10.453125" style="127" customWidth="1"/>
    <col min="10" max="11" width="9" style="127" customWidth="1"/>
    <col min="12" max="12" width="9.453125" style="127" customWidth="1"/>
    <col min="13" max="13" width="12.453125" style="127" customWidth="1"/>
    <col min="14" max="14" width="9.453125" style="127" customWidth="1"/>
    <col min="15" max="16" width="9.36328125" style="127"/>
    <col min="17" max="17" width="9" style="127" customWidth="1"/>
    <col min="18" max="18" width="9.36328125" style="127" hidden="1" customWidth="1"/>
    <col min="19" max="16384" width="9.36328125" style="127"/>
  </cols>
  <sheetData>
    <row r="1" spans="1:18" ht="24" customHeight="1">
      <c r="A1" s="4191" t="s">
        <v>208</v>
      </c>
      <c r="B1" s="4192"/>
      <c r="C1" s="4192"/>
      <c r="D1" s="4192"/>
      <c r="E1" s="4192"/>
      <c r="F1" s="4192"/>
      <c r="G1" s="4192"/>
      <c r="H1" s="4192"/>
      <c r="I1" s="4192"/>
      <c r="J1" s="4192"/>
      <c r="K1" s="4192"/>
      <c r="L1" s="4192"/>
      <c r="M1" s="4192"/>
      <c r="N1" s="4192"/>
    </row>
    <row r="2" spans="1:18" ht="28.5" customHeight="1" thickBot="1">
      <c r="A2" s="4193" t="s">
        <v>209</v>
      </c>
      <c r="B2" s="4194"/>
      <c r="C2" s="4194"/>
      <c r="D2" s="4194"/>
      <c r="E2" s="4194"/>
      <c r="F2" s="4194"/>
      <c r="G2" s="4194"/>
      <c r="H2" s="4194"/>
      <c r="I2" s="4194"/>
      <c r="J2" s="4194"/>
      <c r="K2" s="4194"/>
      <c r="L2" s="4194"/>
      <c r="M2" s="4194"/>
      <c r="N2" s="4194"/>
    </row>
    <row r="3" spans="1:18" ht="13.5" customHeight="1">
      <c r="A3" s="4195" t="s">
        <v>198</v>
      </c>
      <c r="B3" s="4197" t="s">
        <v>210</v>
      </c>
      <c r="C3" s="4183" t="s">
        <v>211</v>
      </c>
      <c r="D3" s="4183" t="s">
        <v>212</v>
      </c>
      <c r="E3" s="4183" t="s">
        <v>213</v>
      </c>
      <c r="F3" s="3924" t="s">
        <v>214</v>
      </c>
      <c r="G3" s="4200"/>
      <c r="H3" s="4183" t="s">
        <v>215</v>
      </c>
      <c r="I3" s="4183" t="s">
        <v>216</v>
      </c>
      <c r="J3" s="3924" t="s">
        <v>217</v>
      </c>
      <c r="K3" s="3924"/>
      <c r="L3" s="4183" t="s">
        <v>218</v>
      </c>
      <c r="M3" s="4183" t="s">
        <v>219</v>
      </c>
      <c r="N3" s="4201" t="s">
        <v>220</v>
      </c>
      <c r="O3" s="128"/>
      <c r="P3" s="128"/>
      <c r="Q3" s="128"/>
      <c r="R3" s="128"/>
    </row>
    <row r="4" spans="1:18" ht="13.5" customHeight="1">
      <c r="A4" s="4196"/>
      <c r="B4" s="4198"/>
      <c r="C4" s="3849"/>
      <c r="D4" s="3851"/>
      <c r="E4" s="3851"/>
      <c r="F4" s="3922"/>
      <c r="G4" s="3922"/>
      <c r="H4" s="3849"/>
      <c r="I4" s="3849"/>
      <c r="J4" s="3795"/>
      <c r="K4" s="3795"/>
      <c r="L4" s="3849"/>
      <c r="M4" s="3849"/>
      <c r="N4" s="4178"/>
      <c r="O4" s="128"/>
      <c r="P4" s="128"/>
      <c r="Q4" s="128"/>
      <c r="R4" s="128"/>
    </row>
    <row r="5" spans="1:18">
      <c r="A5" s="4196"/>
      <c r="B5" s="4198"/>
      <c r="C5" s="3849"/>
      <c r="D5" s="3851"/>
      <c r="E5" s="3851"/>
      <c r="F5" s="3922"/>
      <c r="G5" s="3922"/>
      <c r="H5" s="3849"/>
      <c r="I5" s="3849"/>
      <c r="J5" s="3795"/>
      <c r="K5" s="3795"/>
      <c r="L5" s="3849"/>
      <c r="M5" s="3849"/>
      <c r="N5" s="4178"/>
    </row>
    <row r="6" spans="1:18" ht="15">
      <c r="A6" s="4196"/>
      <c r="B6" s="4199"/>
      <c r="C6" s="3850"/>
      <c r="D6" s="3803"/>
      <c r="E6" s="3803"/>
      <c r="F6" s="201" t="s">
        <v>221</v>
      </c>
      <c r="G6" s="201" t="s">
        <v>222</v>
      </c>
      <c r="H6" s="3850"/>
      <c r="I6" s="3850"/>
      <c r="J6" s="129" t="s">
        <v>223</v>
      </c>
      <c r="K6" s="129" t="s">
        <v>224</v>
      </c>
      <c r="L6" s="3850"/>
      <c r="M6" s="3850"/>
      <c r="N6" s="4130"/>
      <c r="O6" s="130"/>
      <c r="P6" s="130"/>
      <c r="Q6" s="130"/>
      <c r="R6" s="130"/>
    </row>
    <row r="7" spans="1:18" ht="15" customHeight="1">
      <c r="A7" s="122" t="str">
        <f>'2-K'!A7</f>
        <v>IFR1</v>
      </c>
      <c r="B7" s="265" t="s">
        <v>94</v>
      </c>
      <c r="C7" s="123" t="s">
        <v>1779</v>
      </c>
      <c r="D7" s="123" t="s">
        <v>1267</v>
      </c>
      <c r="E7" s="123" t="s">
        <v>1265</v>
      </c>
      <c r="F7" s="267">
        <v>100000</v>
      </c>
      <c r="G7" s="268">
        <v>15899</v>
      </c>
      <c r="H7" s="123">
        <v>39.799999999999997</v>
      </c>
      <c r="I7" s="123">
        <v>12.8</v>
      </c>
      <c r="J7" s="123" t="s">
        <v>1266</v>
      </c>
      <c r="K7" s="123" t="s">
        <v>1266</v>
      </c>
      <c r="L7" s="123" t="s">
        <v>76</v>
      </c>
      <c r="M7" s="268">
        <f>'Tank Summary'!F11*42*365</f>
        <v>766500000</v>
      </c>
      <c r="N7" s="357">
        <f>M7/(F7*42)</f>
        <v>182.5</v>
      </c>
    </row>
    <row r="8" spans="1:18" ht="15" customHeight="1">
      <c r="A8" s="292" t="str">
        <f>'2-K'!A8</f>
        <v>IFR2</v>
      </c>
      <c r="B8" s="294" t="s">
        <v>94</v>
      </c>
      <c r="C8" s="271" t="s">
        <v>1779</v>
      </c>
      <c r="D8" s="271" t="s">
        <v>1267</v>
      </c>
      <c r="E8" s="271" t="s">
        <v>1265</v>
      </c>
      <c r="F8" s="318">
        <v>100000</v>
      </c>
      <c r="G8" s="358">
        <v>15899</v>
      </c>
      <c r="H8" s="271">
        <v>39.799999999999997</v>
      </c>
      <c r="I8" s="271">
        <v>12.8</v>
      </c>
      <c r="J8" s="271" t="s">
        <v>1266</v>
      </c>
      <c r="K8" s="271" t="s">
        <v>1266</v>
      </c>
      <c r="L8" s="271" t="s">
        <v>76</v>
      </c>
      <c r="M8" s="358">
        <f>M7</f>
        <v>766500000</v>
      </c>
      <c r="N8" s="359">
        <f>N7</f>
        <v>182.5</v>
      </c>
    </row>
    <row r="9" spans="1:18" ht="15" customHeight="1">
      <c r="A9" s="122" t="str">
        <f>'2-K'!A9</f>
        <v>IFR3</v>
      </c>
      <c r="B9" s="265" t="s">
        <v>94</v>
      </c>
      <c r="C9" s="123" t="s">
        <v>1779</v>
      </c>
      <c r="D9" s="123" t="s">
        <v>1267</v>
      </c>
      <c r="E9" s="123" t="s">
        <v>1265</v>
      </c>
      <c r="F9" s="267">
        <v>100000</v>
      </c>
      <c r="G9" s="268">
        <v>15899</v>
      </c>
      <c r="H9" s="123">
        <v>39.799999999999997</v>
      </c>
      <c r="I9" s="123">
        <v>12.8</v>
      </c>
      <c r="J9" s="123" t="s">
        <v>1266</v>
      </c>
      <c r="K9" s="123" t="s">
        <v>1266</v>
      </c>
      <c r="L9" s="123" t="s">
        <v>76</v>
      </c>
      <c r="M9" s="268">
        <f>M7</f>
        <v>766500000</v>
      </c>
      <c r="N9" s="357">
        <f>N7</f>
        <v>182.5</v>
      </c>
    </row>
    <row r="10" spans="1:18" ht="15" customHeight="1">
      <c r="A10" s="292" t="str">
        <f>'2-K'!A10</f>
        <v>IFR4</v>
      </c>
      <c r="B10" s="294" t="s">
        <v>94</v>
      </c>
      <c r="C10" s="271" t="s">
        <v>1779</v>
      </c>
      <c r="D10" s="271" t="s">
        <v>1267</v>
      </c>
      <c r="E10" s="271" t="s">
        <v>1265</v>
      </c>
      <c r="F10" s="318">
        <v>100000</v>
      </c>
      <c r="G10" s="358">
        <v>15899</v>
      </c>
      <c r="H10" s="271">
        <v>39.799999999999997</v>
      </c>
      <c r="I10" s="271">
        <v>12.8</v>
      </c>
      <c r="J10" s="271" t="s">
        <v>1266</v>
      </c>
      <c r="K10" s="271" t="s">
        <v>1266</v>
      </c>
      <c r="L10" s="271" t="s">
        <v>76</v>
      </c>
      <c r="M10" s="358">
        <f>M7</f>
        <v>766500000</v>
      </c>
      <c r="N10" s="359">
        <f>N7</f>
        <v>182.5</v>
      </c>
    </row>
    <row r="11" spans="1:18" ht="15" customHeight="1">
      <c r="A11" s="122" t="str">
        <f>'2-K'!A11</f>
        <v>OTK1</v>
      </c>
      <c r="B11" s="265" t="s">
        <v>94</v>
      </c>
      <c r="C11" s="123" t="s">
        <v>1779</v>
      </c>
      <c r="D11" s="123" t="s">
        <v>604</v>
      </c>
      <c r="E11" s="123" t="s">
        <v>225</v>
      </c>
      <c r="F11" s="267">
        <v>2000</v>
      </c>
      <c r="G11" s="268">
        <v>318</v>
      </c>
      <c r="H11" s="123">
        <v>7.6</v>
      </c>
      <c r="I11" s="123">
        <v>7.3</v>
      </c>
      <c r="J11" s="123" t="s">
        <v>1266</v>
      </c>
      <c r="K11" s="123" t="s">
        <v>1266</v>
      </c>
      <c r="L11" s="123" t="s">
        <v>76</v>
      </c>
      <c r="M11" s="268">
        <f>'Tank Summary'!F15*42*365</f>
        <v>63875005.281225242</v>
      </c>
      <c r="N11" s="1283">
        <f t="shared" ref="N11:N16" si="0">M11/(F11*42)</f>
        <v>760.41672953839577</v>
      </c>
    </row>
    <row r="12" spans="1:18" ht="15" customHeight="1">
      <c r="A12" s="292" t="str">
        <f>'2-K'!A12</f>
        <v>OTK2</v>
      </c>
      <c r="B12" s="294" t="s">
        <v>94</v>
      </c>
      <c r="C12" s="271" t="s">
        <v>1779</v>
      </c>
      <c r="D12" s="271" t="s">
        <v>604</v>
      </c>
      <c r="E12" s="271" t="s">
        <v>225</v>
      </c>
      <c r="F12" s="318">
        <v>2000</v>
      </c>
      <c r="G12" s="358">
        <v>318</v>
      </c>
      <c r="H12" s="271">
        <v>7.6</v>
      </c>
      <c r="I12" s="271">
        <v>7.3</v>
      </c>
      <c r="J12" s="271" t="s">
        <v>1266</v>
      </c>
      <c r="K12" s="271" t="s">
        <v>1266</v>
      </c>
      <c r="L12" s="271" t="s">
        <v>76</v>
      </c>
      <c r="M12" s="358">
        <f>M11</f>
        <v>63875005.281225242</v>
      </c>
      <c r="N12" s="359">
        <f t="shared" si="0"/>
        <v>760.41672953839577</v>
      </c>
    </row>
    <row r="13" spans="1:18" ht="15" customHeight="1">
      <c r="A13" s="122" t="str">
        <f>'2-K'!A13</f>
        <v>OTK3</v>
      </c>
      <c r="B13" s="265" t="s">
        <v>94</v>
      </c>
      <c r="C13" s="123" t="s">
        <v>1779</v>
      </c>
      <c r="D13" s="123" t="s">
        <v>604</v>
      </c>
      <c r="E13" s="123" t="s">
        <v>225</v>
      </c>
      <c r="F13" s="267">
        <v>2000</v>
      </c>
      <c r="G13" s="268">
        <v>318</v>
      </c>
      <c r="H13" s="123">
        <v>7.6</v>
      </c>
      <c r="I13" s="123">
        <v>7.3</v>
      </c>
      <c r="J13" s="123" t="s">
        <v>1266</v>
      </c>
      <c r="K13" s="123" t="s">
        <v>1266</v>
      </c>
      <c r="L13" s="123" t="s">
        <v>76</v>
      </c>
      <c r="M13" s="268">
        <f>M11</f>
        <v>63875005.281225242</v>
      </c>
      <c r="N13" s="1283">
        <f t="shared" si="0"/>
        <v>760.41672953839577</v>
      </c>
    </row>
    <row r="14" spans="1:18" ht="15" customHeight="1">
      <c r="A14" s="292" t="str">
        <f>'2-K'!A14</f>
        <v>OTK4</v>
      </c>
      <c r="B14" s="294" t="s">
        <v>94</v>
      </c>
      <c r="C14" s="271" t="s">
        <v>1779</v>
      </c>
      <c r="D14" s="271" t="s">
        <v>604</v>
      </c>
      <c r="E14" s="271" t="s">
        <v>225</v>
      </c>
      <c r="F14" s="318">
        <v>2000</v>
      </c>
      <c r="G14" s="358">
        <v>318</v>
      </c>
      <c r="H14" s="271">
        <v>7.6</v>
      </c>
      <c r="I14" s="271">
        <v>7.3</v>
      </c>
      <c r="J14" s="271" t="s">
        <v>1266</v>
      </c>
      <c r="K14" s="271" t="s">
        <v>1266</v>
      </c>
      <c r="L14" s="271" t="s">
        <v>76</v>
      </c>
      <c r="M14" s="358">
        <f>M11</f>
        <v>63875005.281225242</v>
      </c>
      <c r="N14" s="359">
        <f t="shared" si="0"/>
        <v>760.41672953839577</v>
      </c>
    </row>
    <row r="15" spans="1:18" ht="15" customHeight="1">
      <c r="A15" s="122" t="str">
        <f>'2-K'!A15</f>
        <v>OTK5</v>
      </c>
      <c r="B15" s="265" t="s">
        <v>94</v>
      </c>
      <c r="C15" s="123" t="s">
        <v>1779</v>
      </c>
      <c r="D15" s="123" t="s">
        <v>604</v>
      </c>
      <c r="E15" s="123" t="s">
        <v>225</v>
      </c>
      <c r="F15" s="267">
        <v>2000</v>
      </c>
      <c r="G15" s="268">
        <v>318</v>
      </c>
      <c r="H15" s="123">
        <v>7.6</v>
      </c>
      <c r="I15" s="123">
        <v>7.3</v>
      </c>
      <c r="J15" s="123" t="s">
        <v>1266</v>
      </c>
      <c r="K15" s="123" t="s">
        <v>1266</v>
      </c>
      <c r="L15" s="123" t="s">
        <v>76</v>
      </c>
      <c r="M15" s="268">
        <f>M11</f>
        <v>63875005.281225242</v>
      </c>
      <c r="N15" s="1283">
        <f t="shared" si="0"/>
        <v>760.41672953839577</v>
      </c>
    </row>
    <row r="16" spans="1:18" ht="15" customHeight="1">
      <c r="A16" s="292" t="str">
        <f>'2-K'!A16</f>
        <v>OTK6</v>
      </c>
      <c r="B16" s="294" t="s">
        <v>94</v>
      </c>
      <c r="C16" s="271" t="s">
        <v>1779</v>
      </c>
      <c r="D16" s="271" t="s">
        <v>604</v>
      </c>
      <c r="E16" s="271" t="s">
        <v>225</v>
      </c>
      <c r="F16" s="318">
        <v>2000</v>
      </c>
      <c r="G16" s="358">
        <v>318</v>
      </c>
      <c r="H16" s="271">
        <v>7.6</v>
      </c>
      <c r="I16" s="271">
        <v>7.3</v>
      </c>
      <c r="J16" s="271" t="s">
        <v>1266</v>
      </c>
      <c r="K16" s="271" t="s">
        <v>1266</v>
      </c>
      <c r="L16" s="271" t="s">
        <v>76</v>
      </c>
      <c r="M16" s="358">
        <f>M11</f>
        <v>63875005.281225242</v>
      </c>
      <c r="N16" s="359">
        <f t="shared" si="0"/>
        <v>760.41672953839577</v>
      </c>
    </row>
    <row r="17" spans="1:14" ht="15" customHeight="1">
      <c r="A17" s="122" t="str">
        <f>'2-K'!A17</f>
        <v>PWTK1</v>
      </c>
      <c r="B17" s="265" t="s">
        <v>94</v>
      </c>
      <c r="C17" s="123" t="s">
        <v>207</v>
      </c>
      <c r="D17" s="123" t="s">
        <v>604</v>
      </c>
      <c r="E17" s="123" t="s">
        <v>225</v>
      </c>
      <c r="F17" s="267">
        <v>750</v>
      </c>
      <c r="G17" s="268">
        <v>119.2</v>
      </c>
      <c r="H17" s="123">
        <v>4.7</v>
      </c>
      <c r="I17" s="123">
        <v>7.3</v>
      </c>
      <c r="J17" s="123" t="s">
        <v>1266</v>
      </c>
      <c r="K17" s="123" t="s">
        <v>1266</v>
      </c>
      <c r="L17" s="123" t="s">
        <v>76</v>
      </c>
      <c r="M17" s="268">
        <f>'Tank Summary'!F21*42*365</f>
        <v>76869271.604191318</v>
      </c>
      <c r="N17" s="1283">
        <f>M17/(F17*42)</f>
        <v>2440.2943366409941</v>
      </c>
    </row>
    <row r="18" spans="1:14" ht="15" customHeight="1">
      <c r="A18" s="292" t="str">
        <f>'2-K'!A18</f>
        <v>PWTK2</v>
      </c>
      <c r="B18" s="294" t="s">
        <v>94</v>
      </c>
      <c r="C18" s="271" t="s">
        <v>207</v>
      </c>
      <c r="D18" s="271" t="s">
        <v>604</v>
      </c>
      <c r="E18" s="271" t="s">
        <v>225</v>
      </c>
      <c r="F18" s="318">
        <v>750</v>
      </c>
      <c r="G18" s="358">
        <v>119.2</v>
      </c>
      <c r="H18" s="271">
        <v>4.7</v>
      </c>
      <c r="I18" s="271">
        <v>7.3</v>
      </c>
      <c r="J18" s="271" t="s">
        <v>1266</v>
      </c>
      <c r="K18" s="271" t="s">
        <v>1266</v>
      </c>
      <c r="L18" s="271" t="s">
        <v>76</v>
      </c>
      <c r="M18" s="358">
        <f>M17</f>
        <v>76869271.604191318</v>
      </c>
      <c r="N18" s="359">
        <f>M18/(F18*42)</f>
        <v>2440.2943366409941</v>
      </c>
    </row>
    <row r="19" spans="1:14" ht="15" customHeight="1">
      <c r="A19" s="122" t="str">
        <f>'2-K'!A19</f>
        <v>GBS1</v>
      </c>
      <c r="B19" s="265" t="s">
        <v>94</v>
      </c>
      <c r="C19" s="123" t="s">
        <v>207</v>
      </c>
      <c r="D19" s="123" t="s">
        <v>604</v>
      </c>
      <c r="E19" s="123" t="s">
        <v>225</v>
      </c>
      <c r="F19" s="267">
        <v>1000</v>
      </c>
      <c r="G19" s="268">
        <v>159</v>
      </c>
      <c r="H19" s="123">
        <v>4.7</v>
      </c>
      <c r="I19" s="123">
        <v>7.3</v>
      </c>
      <c r="J19" s="123" t="s">
        <v>1266</v>
      </c>
      <c r="K19" s="123" t="s">
        <v>1266</v>
      </c>
      <c r="L19" s="123" t="s">
        <v>76</v>
      </c>
      <c r="M19" s="268">
        <f>'Tank Summary'!F23*42*365</f>
        <v>153738543.20838264</v>
      </c>
      <c r="N19" s="1283">
        <f>M19/(F19*42)</f>
        <v>3660.4415049614913</v>
      </c>
    </row>
    <row r="20" spans="1:14" ht="15" customHeight="1">
      <c r="A20" s="292" t="str">
        <f>'2-K'!A20</f>
        <v>OTK7</v>
      </c>
      <c r="B20" s="294" t="s">
        <v>94</v>
      </c>
      <c r="C20" s="271" t="s">
        <v>1780</v>
      </c>
      <c r="D20" s="271" t="s">
        <v>604</v>
      </c>
      <c r="E20" s="271" t="s">
        <v>225</v>
      </c>
      <c r="F20" s="318">
        <v>500</v>
      </c>
      <c r="G20" s="319">
        <v>79.5</v>
      </c>
      <c r="H20" s="271">
        <v>4.7</v>
      </c>
      <c r="I20" s="271">
        <v>4.9000000000000004</v>
      </c>
      <c r="J20" s="271" t="s">
        <v>1266</v>
      </c>
      <c r="K20" s="271" t="s">
        <v>1266</v>
      </c>
      <c r="L20" s="271" t="s">
        <v>76</v>
      </c>
      <c r="M20" s="358">
        <f>'Tank Summary'!F24*42*365</f>
        <v>31895360.283068061</v>
      </c>
      <c r="N20" s="554">
        <f>M20/(F20*42)</f>
        <v>1518.8266801460982</v>
      </c>
    </row>
    <row r="21" spans="1:14" ht="15" customHeight="1">
      <c r="A21" s="122"/>
      <c r="B21" s="265"/>
      <c r="C21" s="123"/>
      <c r="D21" s="123"/>
      <c r="E21" s="123"/>
      <c r="F21" s="267"/>
      <c r="G21" s="268"/>
      <c r="H21" s="123"/>
      <c r="I21" s="123"/>
      <c r="J21" s="123"/>
      <c r="K21" s="123"/>
      <c r="L21" s="123"/>
      <c r="M21" s="268"/>
      <c r="N21" s="233"/>
    </row>
    <row r="22" spans="1:14" ht="15" customHeight="1">
      <c r="A22" s="292"/>
      <c r="B22" s="320"/>
      <c r="C22" s="278"/>
      <c r="D22" s="278"/>
      <c r="E22" s="278"/>
      <c r="F22" s="321"/>
      <c r="G22" s="322"/>
      <c r="H22" s="279"/>
      <c r="I22" s="279"/>
      <c r="J22" s="279"/>
      <c r="K22" s="279"/>
      <c r="L22" s="279"/>
      <c r="M22" s="322"/>
      <c r="N22" s="323"/>
    </row>
    <row r="23" spans="1:14" ht="15" customHeight="1">
      <c r="A23" s="134"/>
      <c r="B23" s="135"/>
      <c r="C23" s="73"/>
      <c r="D23" s="73"/>
      <c r="E23" s="73"/>
      <c r="F23" s="131"/>
      <c r="G23" s="132"/>
      <c r="H23" s="73"/>
      <c r="I23" s="73"/>
      <c r="J23" s="73"/>
      <c r="K23" s="73"/>
      <c r="L23" s="73"/>
      <c r="M23" s="132"/>
      <c r="N23" s="133"/>
    </row>
    <row r="24" spans="1:14" ht="15" customHeight="1">
      <c r="A24" s="292"/>
      <c r="B24" s="320"/>
      <c r="C24" s="278"/>
      <c r="D24" s="278"/>
      <c r="E24" s="278"/>
      <c r="F24" s="321"/>
      <c r="G24" s="322"/>
      <c r="H24" s="279"/>
      <c r="I24" s="279"/>
      <c r="J24" s="279"/>
      <c r="K24" s="279"/>
      <c r="L24" s="279"/>
      <c r="M24" s="322"/>
      <c r="N24" s="323"/>
    </row>
    <row r="25" spans="1:14" ht="15" customHeight="1"/>
    <row r="26" spans="1:14" ht="15" customHeight="1"/>
    <row r="27" spans="1:14" ht="15" customHeight="1"/>
    <row r="28" spans="1:14" ht="15" customHeight="1"/>
    <row r="29" spans="1:14" ht="15" customHeight="1"/>
    <row r="30" spans="1:14" ht="15" customHeight="1"/>
    <row r="31" spans="1:14" ht="15" customHeight="1"/>
    <row r="32" spans="1: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sheetData>
  <mergeCells count="14">
    <mergeCell ref="A1:N1"/>
    <mergeCell ref="A2:N2"/>
    <mergeCell ref="A3:A6"/>
    <mergeCell ref="B3:B6"/>
    <mergeCell ref="C3:C6"/>
    <mergeCell ref="D3:D6"/>
    <mergeCell ref="E3:E6"/>
    <mergeCell ref="F3:G5"/>
    <mergeCell ref="H3:H6"/>
    <mergeCell ref="I3:I6"/>
    <mergeCell ref="J3:K5"/>
    <mergeCell ref="L3:L6"/>
    <mergeCell ref="M3:M6"/>
    <mergeCell ref="N3:N6"/>
  </mergeCells>
  <printOptions horizont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2-L:  Page &amp;P&amp;R&amp;8Printed &amp;D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
  <sheetViews>
    <sheetView workbookViewId="0">
      <selection activeCell="J15" sqref="J15"/>
    </sheetView>
  </sheetViews>
  <sheetFormatPr defaultRowHeight="1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theme="1"/>
    <pageSetUpPr fitToPage="1"/>
  </sheetPr>
  <dimension ref="A1:H331"/>
  <sheetViews>
    <sheetView view="pageLayout" zoomScale="85" zoomScaleNormal="100" zoomScalePageLayoutView="85" workbookViewId="0">
      <selection activeCell="E19" sqref="E19:R20"/>
    </sheetView>
  </sheetViews>
  <sheetFormatPr defaultColWidth="9.36328125" defaultRowHeight="13"/>
  <cols>
    <col min="1" max="1" width="20.6328125" style="66" customWidth="1"/>
    <col min="2" max="2" width="21.453125" style="66" customWidth="1"/>
    <col min="3" max="3" width="24.453125" style="66" customWidth="1"/>
    <col min="4" max="4" width="22.54296875" style="66" customWidth="1"/>
    <col min="5" max="5" width="21" style="66" customWidth="1"/>
    <col min="6" max="6" width="15.36328125" style="66" customWidth="1"/>
    <col min="7" max="7" width="14.6328125" style="66" customWidth="1"/>
    <col min="8" max="8" width="12.453125" style="66" bestFit="1" customWidth="1"/>
    <col min="9" max="16384" width="9.36328125" style="66"/>
  </cols>
  <sheetData>
    <row r="1" spans="1:8" s="127" customFormat="1" ht="24" customHeight="1" thickBot="1">
      <c r="A1" s="4191" t="s">
        <v>226</v>
      </c>
      <c r="B1" s="4208"/>
      <c r="C1" s="4208"/>
      <c r="D1" s="4208"/>
      <c r="E1" s="4208"/>
      <c r="F1" s="4208"/>
      <c r="G1" s="4208"/>
    </row>
    <row r="2" spans="1:8" ht="24" customHeight="1" thickBot="1">
      <c r="A2" s="136" t="s">
        <v>227</v>
      </c>
      <c r="B2" s="4209" t="s">
        <v>228</v>
      </c>
      <c r="C2" s="4209"/>
      <c r="D2" s="4209" t="s">
        <v>229</v>
      </c>
      <c r="E2" s="4209"/>
      <c r="F2" s="207" t="s">
        <v>230</v>
      </c>
      <c r="G2" s="137" t="s">
        <v>75</v>
      </c>
    </row>
    <row r="3" spans="1:8" ht="16.5" customHeight="1">
      <c r="A3" s="138" t="s">
        <v>231</v>
      </c>
      <c r="B3" s="139" t="s">
        <v>232</v>
      </c>
      <c r="C3" s="140" t="s">
        <v>233</v>
      </c>
      <c r="D3" s="139" t="s">
        <v>234</v>
      </c>
      <c r="E3" s="141" t="s">
        <v>235</v>
      </c>
      <c r="F3" s="142" t="s">
        <v>236</v>
      </c>
      <c r="G3" s="143" t="s">
        <v>76</v>
      </c>
    </row>
    <row r="4" spans="1:8" ht="16.5" customHeight="1" thickBot="1">
      <c r="A4" s="144" t="s">
        <v>237</v>
      </c>
      <c r="B4" s="346" t="s">
        <v>238</v>
      </c>
      <c r="C4" s="347" t="s">
        <v>239</v>
      </c>
      <c r="D4" s="346" t="s">
        <v>238</v>
      </c>
      <c r="E4" s="348" t="s">
        <v>240</v>
      </c>
      <c r="F4" s="145" t="s">
        <v>241</v>
      </c>
      <c r="G4" s="146" t="s">
        <v>77</v>
      </c>
    </row>
    <row r="5" spans="1:8" ht="16.5" customHeight="1">
      <c r="A5" s="144" t="s">
        <v>242</v>
      </c>
      <c r="B5" s="147" t="s">
        <v>243</v>
      </c>
      <c r="C5" s="148" t="s">
        <v>244</v>
      </c>
      <c r="D5" s="147" t="s">
        <v>244</v>
      </c>
      <c r="E5" s="149" t="s">
        <v>243</v>
      </c>
      <c r="F5" s="145" t="s">
        <v>245</v>
      </c>
      <c r="G5" s="150"/>
    </row>
    <row r="6" spans="1:8" ht="16.5" customHeight="1" thickBot="1">
      <c r="A6" s="151" t="s">
        <v>246</v>
      </c>
      <c r="B6" s="349" t="s">
        <v>247</v>
      </c>
      <c r="C6" s="350" t="s">
        <v>247</v>
      </c>
      <c r="D6" s="349" t="s">
        <v>247</v>
      </c>
      <c r="E6" s="351" t="s">
        <v>247</v>
      </c>
      <c r="F6" s="145" t="s">
        <v>248</v>
      </c>
      <c r="G6" s="150"/>
    </row>
    <row r="7" spans="1:8" ht="20.149999999999999" customHeight="1">
      <c r="A7" s="152"/>
      <c r="F7" s="145" t="s">
        <v>249</v>
      </c>
      <c r="G7" s="68"/>
    </row>
    <row r="8" spans="1:8" ht="20.149999999999999" customHeight="1">
      <c r="A8" s="66" t="s">
        <v>250</v>
      </c>
      <c r="F8" s="145" t="s">
        <v>251</v>
      </c>
    </row>
    <row r="9" spans="1:8" ht="20.149999999999999" customHeight="1" thickBot="1">
      <c r="F9" s="153" t="s">
        <v>252</v>
      </c>
    </row>
    <row r="10" spans="1:8" ht="11.25" customHeight="1">
      <c r="F10" s="127"/>
    </row>
    <row r="11" spans="1:8" ht="24" customHeight="1" thickBot="1">
      <c r="A11" s="4191" t="s">
        <v>253</v>
      </c>
      <c r="B11" s="4210"/>
      <c r="C11" s="4210"/>
      <c r="D11" s="4210"/>
      <c r="E11" s="4210"/>
      <c r="F11" s="4210"/>
      <c r="G11" s="4210"/>
      <c r="H11" s="4210"/>
    </row>
    <row r="12" spans="1:8" ht="15">
      <c r="A12" s="4211" t="s">
        <v>254</v>
      </c>
      <c r="B12" s="4212"/>
      <c r="C12" s="4212"/>
      <c r="D12" s="4213"/>
      <c r="E12" s="4211" t="s">
        <v>255</v>
      </c>
      <c r="F12" s="4212"/>
      <c r="G12" s="4212"/>
      <c r="H12" s="4213"/>
    </row>
    <row r="13" spans="1:8" ht="15.75" customHeight="1">
      <c r="A13" s="4203" t="s">
        <v>256</v>
      </c>
      <c r="B13" s="4205" t="s">
        <v>257</v>
      </c>
      <c r="C13" s="4176" t="s">
        <v>558</v>
      </c>
      <c r="D13" s="4177" t="s">
        <v>258</v>
      </c>
      <c r="E13" s="4206" t="s">
        <v>256</v>
      </c>
      <c r="F13" s="4176" t="s">
        <v>257</v>
      </c>
      <c r="G13" s="4176" t="s">
        <v>259</v>
      </c>
      <c r="H13" s="4177" t="s">
        <v>258</v>
      </c>
    </row>
    <row r="14" spans="1:8" ht="15.75" customHeight="1">
      <c r="A14" s="4204"/>
      <c r="B14" s="3795"/>
      <c r="C14" s="3803"/>
      <c r="D14" s="4202"/>
      <c r="E14" s="4207"/>
      <c r="F14" s="3803"/>
      <c r="G14" s="3803"/>
      <c r="H14" s="4202"/>
    </row>
    <row r="15" spans="1:8" ht="23.25" customHeight="1">
      <c r="A15" s="1750" t="s">
        <v>260</v>
      </c>
      <c r="B15" s="1751" t="s">
        <v>1779</v>
      </c>
      <c r="C15" s="1752" t="s">
        <v>1683</v>
      </c>
      <c r="D15" s="1753">
        <f>SUM('Tank Summary'!F11:F14)</f>
        <v>200000</v>
      </c>
      <c r="E15" s="1750" t="s">
        <v>260</v>
      </c>
      <c r="F15" s="1751" t="s">
        <v>1779</v>
      </c>
      <c r="G15" s="1752" t="s">
        <v>1683</v>
      </c>
      <c r="H15" s="2577">
        <f>D15</f>
        <v>200000</v>
      </c>
    </row>
    <row r="16" spans="1:8" ht="20.25" customHeight="1">
      <c r="A16" s="1754"/>
      <c r="B16" s="271" t="s">
        <v>207</v>
      </c>
      <c r="C16" s="1755" t="s">
        <v>1684</v>
      </c>
      <c r="D16" s="1756">
        <f>'Tank Summary'!F23</f>
        <v>10028.606862908196</v>
      </c>
      <c r="E16" s="1754"/>
      <c r="F16" s="271" t="s">
        <v>207</v>
      </c>
      <c r="G16" s="1755" t="s">
        <v>1684</v>
      </c>
      <c r="H16" s="359">
        <f>D16</f>
        <v>10028.606862908196</v>
      </c>
    </row>
    <row r="17" spans="1:8" ht="20.25" customHeight="1">
      <c r="A17" s="1757"/>
      <c r="B17" s="123" t="s">
        <v>194</v>
      </c>
      <c r="C17" s="1758" t="s">
        <v>1685</v>
      </c>
      <c r="D17" s="1753">
        <f>'Amine PStreams'!E81*3</f>
        <v>750</v>
      </c>
      <c r="E17" s="1757"/>
      <c r="F17" s="123" t="s">
        <v>194</v>
      </c>
      <c r="G17" s="1758" t="s">
        <v>1685</v>
      </c>
      <c r="H17" s="1283">
        <f>D17</f>
        <v>750</v>
      </c>
    </row>
    <row r="18" spans="1:8" ht="20.25" customHeight="1">
      <c r="A18" s="1754"/>
      <c r="B18" s="271" t="s">
        <v>1682</v>
      </c>
      <c r="C18" s="271" t="s">
        <v>1683</v>
      </c>
      <c r="D18" s="293">
        <v>190000</v>
      </c>
      <c r="E18" s="292"/>
      <c r="F18" s="271" t="s">
        <v>1682</v>
      </c>
      <c r="G18" s="271" t="s">
        <v>1683</v>
      </c>
      <c r="H18" s="293">
        <f>D18</f>
        <v>190000</v>
      </c>
    </row>
    <row r="19" spans="1:8" ht="20.25" customHeight="1">
      <c r="A19" s="134"/>
      <c r="B19" s="135"/>
      <c r="C19" s="73"/>
      <c r="D19" s="154"/>
      <c r="E19" s="134"/>
      <c r="F19" s="73"/>
      <c r="G19" s="73"/>
      <c r="H19" s="154"/>
    </row>
    <row r="20" spans="1:8" ht="20.25" customHeight="1">
      <c r="A20" s="324"/>
      <c r="B20" s="279"/>
      <c r="C20" s="279"/>
      <c r="D20" s="325"/>
      <c r="E20" s="326"/>
      <c r="F20" s="279"/>
      <c r="G20" s="279"/>
      <c r="H20" s="325"/>
    </row>
    <row r="21" spans="1:8" ht="20.25" customHeight="1">
      <c r="A21" s="134"/>
      <c r="B21" s="135"/>
      <c r="C21" s="73"/>
      <c r="D21" s="154"/>
      <c r="E21" s="134"/>
      <c r="F21" s="73"/>
      <c r="G21" s="73"/>
      <c r="H21" s="154"/>
    </row>
    <row r="22" spans="1:8" ht="21" customHeight="1">
      <c r="A22" s="324"/>
      <c r="B22" s="279"/>
      <c r="C22" s="279"/>
      <c r="D22" s="325"/>
      <c r="E22" s="326"/>
      <c r="F22" s="279"/>
      <c r="G22" s="279"/>
      <c r="H22" s="325"/>
    </row>
    <row r="23" spans="1:8" ht="20.25" customHeight="1">
      <c r="A23" s="134"/>
      <c r="B23" s="135"/>
      <c r="C23" s="73"/>
      <c r="D23" s="154"/>
      <c r="E23" s="134"/>
      <c r="F23" s="73"/>
      <c r="G23" s="73"/>
      <c r="H23" s="154"/>
    </row>
    <row r="24" spans="1:8" ht="20.25" customHeight="1">
      <c r="A24" s="324"/>
      <c r="B24" s="279"/>
      <c r="C24" s="279"/>
      <c r="D24" s="325"/>
      <c r="E24" s="326"/>
      <c r="F24" s="279"/>
      <c r="G24" s="279"/>
      <c r="H24" s="325"/>
    </row>
    <row r="25" spans="1:8" ht="20.25" customHeight="1">
      <c r="A25" s="134"/>
      <c r="B25" s="135"/>
      <c r="C25" s="73"/>
      <c r="D25" s="154"/>
      <c r="E25" s="134"/>
      <c r="F25" s="73"/>
      <c r="G25" s="73"/>
      <c r="H25" s="154"/>
    </row>
    <row r="26" spans="1:8" ht="20.25" customHeight="1">
      <c r="A26" s="324"/>
      <c r="B26" s="279"/>
      <c r="C26" s="279"/>
      <c r="D26" s="325"/>
      <c r="E26" s="326"/>
      <c r="F26" s="279"/>
      <c r="G26" s="279"/>
      <c r="H26" s="325"/>
    </row>
    <row r="27" spans="1:8" ht="20.25" customHeight="1">
      <c r="A27" s="134"/>
      <c r="B27" s="135"/>
      <c r="C27" s="73"/>
      <c r="D27" s="154"/>
      <c r="E27" s="134"/>
      <c r="F27" s="73"/>
      <c r="G27" s="73"/>
      <c r="H27" s="154"/>
    </row>
    <row r="28" spans="1:8" ht="20.25" customHeight="1">
      <c r="A28" s="324"/>
      <c r="B28" s="279"/>
      <c r="C28" s="279"/>
      <c r="D28" s="325"/>
      <c r="E28" s="326"/>
      <c r="F28" s="279"/>
      <c r="G28" s="279"/>
      <c r="H28" s="325"/>
    </row>
    <row r="29" spans="1:8" ht="20.25" customHeight="1">
      <c r="A29" s="134"/>
      <c r="B29" s="135"/>
      <c r="C29" s="73"/>
      <c r="D29" s="154"/>
      <c r="E29" s="134"/>
      <c r="F29" s="73"/>
      <c r="G29" s="73"/>
      <c r="H29" s="154"/>
    </row>
    <row r="30" spans="1:8" ht="20.25" customHeight="1">
      <c r="A30" s="324"/>
      <c r="B30" s="279"/>
      <c r="C30" s="279"/>
      <c r="D30" s="325"/>
      <c r="E30" s="326"/>
      <c r="F30" s="279"/>
      <c r="G30" s="279"/>
      <c r="H30" s="325"/>
    </row>
    <row r="31" spans="1:8" ht="20.25" customHeight="1">
      <c r="A31" s="134"/>
      <c r="B31" s="135"/>
      <c r="C31" s="73"/>
      <c r="D31" s="154"/>
      <c r="E31" s="134"/>
      <c r="F31" s="73"/>
      <c r="G31" s="73"/>
      <c r="H31" s="154"/>
    </row>
    <row r="32" spans="1:8" ht="20.25" customHeight="1">
      <c r="A32" s="324"/>
      <c r="B32" s="279"/>
      <c r="C32" s="279"/>
      <c r="D32" s="325"/>
      <c r="E32" s="326"/>
      <c r="F32" s="279"/>
      <c r="G32" s="279"/>
      <c r="H32" s="325"/>
    </row>
    <row r="33" spans="1:8" ht="20.25" customHeight="1" thickBot="1">
      <c r="A33" s="155"/>
      <c r="B33" s="156"/>
      <c r="C33" s="157"/>
      <c r="D33" s="158"/>
      <c r="E33" s="155"/>
      <c r="F33" s="157"/>
      <c r="G33" s="157"/>
      <c r="H33" s="158"/>
    </row>
    <row r="34" spans="1:8" ht="23.25" customHeight="1"/>
    <row r="35" spans="1:8" ht="23.25" customHeight="1"/>
    <row r="36" spans="1:8" ht="23.25" customHeight="1"/>
    <row r="37" spans="1:8" ht="23.25" customHeight="1"/>
    <row r="38" spans="1:8" ht="23.25" customHeight="1"/>
    <row r="39" spans="1:8" ht="23.25" customHeight="1"/>
    <row r="40" spans="1:8" ht="23.25" customHeight="1"/>
    <row r="41" spans="1:8" ht="23.25" customHeight="1"/>
    <row r="42" spans="1:8" ht="23.25" customHeight="1"/>
    <row r="43" spans="1:8" ht="23.25" customHeight="1"/>
    <row r="44" spans="1:8" ht="23.25" customHeight="1"/>
    <row r="45" spans="1:8" ht="23.25" customHeight="1"/>
    <row r="46" spans="1:8" ht="23.25" customHeight="1"/>
    <row r="47" spans="1:8" ht="23.25" customHeight="1"/>
    <row r="48" spans="1:8" ht="23.25" customHeight="1"/>
    <row r="49" ht="23.25" customHeight="1"/>
    <row r="50" ht="23.25" customHeight="1"/>
    <row r="51" ht="23.25" customHeight="1"/>
    <row r="52" ht="23.25" customHeight="1"/>
    <row r="53" ht="23.25" customHeight="1"/>
    <row r="54" ht="23.25" customHeight="1"/>
    <row r="55" ht="23.25" customHeight="1"/>
    <row r="56" ht="23.25" customHeight="1"/>
    <row r="57" ht="23.25" customHeight="1"/>
    <row r="58" ht="23.25" customHeight="1"/>
    <row r="59" ht="23.25" customHeight="1"/>
    <row r="60" ht="23.25" customHeight="1"/>
    <row r="61" ht="23.25" customHeight="1"/>
    <row r="62" ht="23.25" customHeight="1"/>
    <row r="63" ht="23.25" customHeight="1"/>
    <row r="64" ht="23.2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sheetData>
  <mergeCells count="14">
    <mergeCell ref="A1:G1"/>
    <mergeCell ref="B2:C2"/>
    <mergeCell ref="D2:E2"/>
    <mergeCell ref="A11:H11"/>
    <mergeCell ref="A12:D12"/>
    <mergeCell ref="E12:H12"/>
    <mergeCell ref="G13:G14"/>
    <mergeCell ref="H13:H14"/>
    <mergeCell ref="A13:A14"/>
    <mergeCell ref="B13:B14"/>
    <mergeCell ref="C13:C14"/>
    <mergeCell ref="D13:D14"/>
    <mergeCell ref="E13:E14"/>
    <mergeCell ref="F13:F14"/>
  </mergeCells>
  <printOptions horizontalCentered="1" verticalCentered="1"/>
  <pageMargins left="0.5" right="0.5" top="0.5" bottom="0.5" header="0.35" footer="0.35"/>
  <pageSetup scale="83"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2-M:  Page &amp;P&amp;R&amp;8Printed &amp;D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tabColor theme="1"/>
    <pageSetUpPr fitToPage="1"/>
  </sheetPr>
  <dimension ref="A1:J24"/>
  <sheetViews>
    <sheetView view="pageLayout" zoomScale="70" zoomScaleNormal="100" zoomScalePageLayoutView="70" workbookViewId="0">
      <selection activeCell="E19" sqref="E19:R20"/>
    </sheetView>
  </sheetViews>
  <sheetFormatPr defaultColWidth="9.36328125" defaultRowHeight="13"/>
  <cols>
    <col min="1" max="1" width="14.54296875" style="217" customWidth="1"/>
    <col min="2" max="2" width="22" style="217" customWidth="1"/>
    <col min="3" max="3" width="17.54296875" style="217" customWidth="1"/>
    <col min="4" max="5" width="15.54296875" style="217" customWidth="1"/>
    <col min="6" max="7" width="10.54296875" style="217" customWidth="1"/>
    <col min="8" max="10" width="12.6328125" style="217" customWidth="1"/>
    <col min="11" max="256" width="9.36328125" style="217"/>
    <col min="257" max="257" width="14.54296875" style="217" customWidth="1"/>
    <col min="258" max="258" width="22" style="217" customWidth="1"/>
    <col min="259" max="259" width="17.54296875" style="217" customWidth="1"/>
    <col min="260" max="261" width="15.54296875" style="217" customWidth="1"/>
    <col min="262" max="263" width="10.54296875" style="217" customWidth="1"/>
    <col min="264" max="266" width="12.6328125" style="217" customWidth="1"/>
    <col min="267" max="512" width="9.36328125" style="217"/>
    <col min="513" max="513" width="14.54296875" style="217" customWidth="1"/>
    <col min="514" max="514" width="22" style="217" customWidth="1"/>
    <col min="515" max="515" width="17.54296875" style="217" customWidth="1"/>
    <col min="516" max="517" width="15.54296875" style="217" customWidth="1"/>
    <col min="518" max="519" width="10.54296875" style="217" customWidth="1"/>
    <col min="520" max="522" width="12.6328125" style="217" customWidth="1"/>
    <col min="523" max="768" width="9.36328125" style="217"/>
    <col min="769" max="769" width="14.54296875" style="217" customWidth="1"/>
    <col min="770" max="770" width="22" style="217" customWidth="1"/>
    <col min="771" max="771" width="17.54296875" style="217" customWidth="1"/>
    <col min="772" max="773" width="15.54296875" style="217" customWidth="1"/>
    <col min="774" max="775" width="10.54296875" style="217" customWidth="1"/>
    <col min="776" max="778" width="12.6328125" style="217" customWidth="1"/>
    <col min="779" max="1024" width="9.36328125" style="217"/>
    <col min="1025" max="1025" width="14.54296875" style="217" customWidth="1"/>
    <col min="1026" max="1026" width="22" style="217" customWidth="1"/>
    <col min="1027" max="1027" width="17.54296875" style="217" customWidth="1"/>
    <col min="1028" max="1029" width="15.54296875" style="217" customWidth="1"/>
    <col min="1030" max="1031" width="10.54296875" style="217" customWidth="1"/>
    <col min="1032" max="1034" width="12.6328125" style="217" customWidth="1"/>
    <col min="1035" max="1280" width="9.36328125" style="217"/>
    <col min="1281" max="1281" width="14.54296875" style="217" customWidth="1"/>
    <col min="1282" max="1282" width="22" style="217" customWidth="1"/>
    <col min="1283" max="1283" width="17.54296875" style="217" customWidth="1"/>
    <col min="1284" max="1285" width="15.54296875" style="217" customWidth="1"/>
    <col min="1286" max="1287" width="10.54296875" style="217" customWidth="1"/>
    <col min="1288" max="1290" width="12.6328125" style="217" customWidth="1"/>
    <col min="1291" max="1536" width="9.36328125" style="217"/>
    <col min="1537" max="1537" width="14.54296875" style="217" customWidth="1"/>
    <col min="1538" max="1538" width="22" style="217" customWidth="1"/>
    <col min="1539" max="1539" width="17.54296875" style="217" customWidth="1"/>
    <col min="1540" max="1541" width="15.54296875" style="217" customWidth="1"/>
    <col min="1542" max="1543" width="10.54296875" style="217" customWidth="1"/>
    <col min="1544" max="1546" width="12.6328125" style="217" customWidth="1"/>
    <col min="1547" max="1792" width="9.36328125" style="217"/>
    <col min="1793" max="1793" width="14.54296875" style="217" customWidth="1"/>
    <col min="1794" max="1794" width="22" style="217" customWidth="1"/>
    <col min="1795" max="1795" width="17.54296875" style="217" customWidth="1"/>
    <col min="1796" max="1797" width="15.54296875" style="217" customWidth="1"/>
    <col min="1798" max="1799" width="10.54296875" style="217" customWidth="1"/>
    <col min="1800" max="1802" width="12.6328125" style="217" customWidth="1"/>
    <col min="1803" max="2048" width="9.36328125" style="217"/>
    <col min="2049" max="2049" width="14.54296875" style="217" customWidth="1"/>
    <col min="2050" max="2050" width="22" style="217" customWidth="1"/>
    <col min="2051" max="2051" width="17.54296875" style="217" customWidth="1"/>
    <col min="2052" max="2053" width="15.54296875" style="217" customWidth="1"/>
    <col min="2054" max="2055" width="10.54296875" style="217" customWidth="1"/>
    <col min="2056" max="2058" width="12.6328125" style="217" customWidth="1"/>
    <col min="2059" max="2304" width="9.36328125" style="217"/>
    <col min="2305" max="2305" width="14.54296875" style="217" customWidth="1"/>
    <col min="2306" max="2306" width="22" style="217" customWidth="1"/>
    <col min="2307" max="2307" width="17.54296875" style="217" customWidth="1"/>
    <col min="2308" max="2309" width="15.54296875" style="217" customWidth="1"/>
    <col min="2310" max="2311" width="10.54296875" style="217" customWidth="1"/>
    <col min="2312" max="2314" width="12.6328125" style="217" customWidth="1"/>
    <col min="2315" max="2560" width="9.36328125" style="217"/>
    <col min="2561" max="2561" width="14.54296875" style="217" customWidth="1"/>
    <col min="2562" max="2562" width="22" style="217" customWidth="1"/>
    <col min="2563" max="2563" width="17.54296875" style="217" customWidth="1"/>
    <col min="2564" max="2565" width="15.54296875" style="217" customWidth="1"/>
    <col min="2566" max="2567" width="10.54296875" style="217" customWidth="1"/>
    <col min="2568" max="2570" width="12.6328125" style="217" customWidth="1"/>
    <col min="2571" max="2816" width="9.36328125" style="217"/>
    <col min="2817" max="2817" width="14.54296875" style="217" customWidth="1"/>
    <col min="2818" max="2818" width="22" style="217" customWidth="1"/>
    <col min="2819" max="2819" width="17.54296875" style="217" customWidth="1"/>
    <col min="2820" max="2821" width="15.54296875" style="217" customWidth="1"/>
    <col min="2822" max="2823" width="10.54296875" style="217" customWidth="1"/>
    <col min="2824" max="2826" width="12.6328125" style="217" customWidth="1"/>
    <col min="2827" max="3072" width="9.36328125" style="217"/>
    <col min="3073" max="3073" width="14.54296875" style="217" customWidth="1"/>
    <col min="3074" max="3074" width="22" style="217" customWidth="1"/>
    <col min="3075" max="3075" width="17.54296875" style="217" customWidth="1"/>
    <col min="3076" max="3077" width="15.54296875" style="217" customWidth="1"/>
    <col min="3078" max="3079" width="10.54296875" style="217" customWidth="1"/>
    <col min="3080" max="3082" width="12.6328125" style="217" customWidth="1"/>
    <col min="3083" max="3328" width="9.36328125" style="217"/>
    <col min="3329" max="3329" width="14.54296875" style="217" customWidth="1"/>
    <col min="3330" max="3330" width="22" style="217" customWidth="1"/>
    <col min="3331" max="3331" width="17.54296875" style="217" customWidth="1"/>
    <col min="3332" max="3333" width="15.54296875" style="217" customWidth="1"/>
    <col min="3334" max="3335" width="10.54296875" style="217" customWidth="1"/>
    <col min="3336" max="3338" width="12.6328125" style="217" customWidth="1"/>
    <col min="3339" max="3584" width="9.36328125" style="217"/>
    <col min="3585" max="3585" width="14.54296875" style="217" customWidth="1"/>
    <col min="3586" max="3586" width="22" style="217" customWidth="1"/>
    <col min="3587" max="3587" width="17.54296875" style="217" customWidth="1"/>
    <col min="3588" max="3589" width="15.54296875" style="217" customWidth="1"/>
    <col min="3590" max="3591" width="10.54296875" style="217" customWidth="1"/>
    <col min="3592" max="3594" width="12.6328125" style="217" customWidth="1"/>
    <col min="3595" max="3840" width="9.36328125" style="217"/>
    <col min="3841" max="3841" width="14.54296875" style="217" customWidth="1"/>
    <col min="3842" max="3842" width="22" style="217" customWidth="1"/>
    <col min="3843" max="3843" width="17.54296875" style="217" customWidth="1"/>
    <col min="3844" max="3845" width="15.54296875" style="217" customWidth="1"/>
    <col min="3846" max="3847" width="10.54296875" style="217" customWidth="1"/>
    <col min="3848" max="3850" width="12.6328125" style="217" customWidth="1"/>
    <col min="3851" max="4096" width="9.36328125" style="217"/>
    <col min="4097" max="4097" width="14.54296875" style="217" customWidth="1"/>
    <col min="4098" max="4098" width="22" style="217" customWidth="1"/>
    <col min="4099" max="4099" width="17.54296875" style="217" customWidth="1"/>
    <col min="4100" max="4101" width="15.54296875" style="217" customWidth="1"/>
    <col min="4102" max="4103" width="10.54296875" style="217" customWidth="1"/>
    <col min="4104" max="4106" width="12.6328125" style="217" customWidth="1"/>
    <col min="4107" max="4352" width="9.36328125" style="217"/>
    <col min="4353" max="4353" width="14.54296875" style="217" customWidth="1"/>
    <col min="4354" max="4354" width="22" style="217" customWidth="1"/>
    <col min="4355" max="4355" width="17.54296875" style="217" customWidth="1"/>
    <col min="4356" max="4357" width="15.54296875" style="217" customWidth="1"/>
    <col min="4358" max="4359" width="10.54296875" style="217" customWidth="1"/>
    <col min="4360" max="4362" width="12.6328125" style="217" customWidth="1"/>
    <col min="4363" max="4608" width="9.36328125" style="217"/>
    <col min="4609" max="4609" width="14.54296875" style="217" customWidth="1"/>
    <col min="4610" max="4610" width="22" style="217" customWidth="1"/>
    <col min="4611" max="4611" width="17.54296875" style="217" customWidth="1"/>
    <col min="4612" max="4613" width="15.54296875" style="217" customWidth="1"/>
    <col min="4614" max="4615" width="10.54296875" style="217" customWidth="1"/>
    <col min="4616" max="4618" width="12.6328125" style="217" customWidth="1"/>
    <col min="4619" max="4864" width="9.36328125" style="217"/>
    <col min="4865" max="4865" width="14.54296875" style="217" customWidth="1"/>
    <col min="4866" max="4866" width="22" style="217" customWidth="1"/>
    <col min="4867" max="4867" width="17.54296875" style="217" customWidth="1"/>
    <col min="4868" max="4869" width="15.54296875" style="217" customWidth="1"/>
    <col min="4870" max="4871" width="10.54296875" style="217" customWidth="1"/>
    <col min="4872" max="4874" width="12.6328125" style="217" customWidth="1"/>
    <col min="4875" max="5120" width="9.36328125" style="217"/>
    <col min="5121" max="5121" width="14.54296875" style="217" customWidth="1"/>
    <col min="5122" max="5122" width="22" style="217" customWidth="1"/>
    <col min="5123" max="5123" width="17.54296875" style="217" customWidth="1"/>
    <col min="5124" max="5125" width="15.54296875" style="217" customWidth="1"/>
    <col min="5126" max="5127" width="10.54296875" style="217" customWidth="1"/>
    <col min="5128" max="5130" width="12.6328125" style="217" customWidth="1"/>
    <col min="5131" max="5376" width="9.36328125" style="217"/>
    <col min="5377" max="5377" width="14.54296875" style="217" customWidth="1"/>
    <col min="5378" max="5378" width="22" style="217" customWidth="1"/>
    <col min="5379" max="5379" width="17.54296875" style="217" customWidth="1"/>
    <col min="5380" max="5381" width="15.54296875" style="217" customWidth="1"/>
    <col min="5382" max="5383" width="10.54296875" style="217" customWidth="1"/>
    <col min="5384" max="5386" width="12.6328125" style="217" customWidth="1"/>
    <col min="5387" max="5632" width="9.36328125" style="217"/>
    <col min="5633" max="5633" width="14.54296875" style="217" customWidth="1"/>
    <col min="5634" max="5634" width="22" style="217" customWidth="1"/>
    <col min="5635" max="5635" width="17.54296875" style="217" customWidth="1"/>
    <col min="5636" max="5637" width="15.54296875" style="217" customWidth="1"/>
    <col min="5638" max="5639" width="10.54296875" style="217" customWidth="1"/>
    <col min="5640" max="5642" width="12.6328125" style="217" customWidth="1"/>
    <col min="5643" max="5888" width="9.36328125" style="217"/>
    <col min="5889" max="5889" width="14.54296875" style="217" customWidth="1"/>
    <col min="5890" max="5890" width="22" style="217" customWidth="1"/>
    <col min="5891" max="5891" width="17.54296875" style="217" customWidth="1"/>
    <col min="5892" max="5893" width="15.54296875" style="217" customWidth="1"/>
    <col min="5894" max="5895" width="10.54296875" style="217" customWidth="1"/>
    <col min="5896" max="5898" width="12.6328125" style="217" customWidth="1"/>
    <col min="5899" max="6144" width="9.36328125" style="217"/>
    <col min="6145" max="6145" width="14.54296875" style="217" customWidth="1"/>
    <col min="6146" max="6146" width="22" style="217" customWidth="1"/>
    <col min="6147" max="6147" width="17.54296875" style="217" customWidth="1"/>
    <col min="6148" max="6149" width="15.54296875" style="217" customWidth="1"/>
    <col min="6150" max="6151" width="10.54296875" style="217" customWidth="1"/>
    <col min="6152" max="6154" width="12.6328125" style="217" customWidth="1"/>
    <col min="6155" max="6400" width="9.36328125" style="217"/>
    <col min="6401" max="6401" width="14.54296875" style="217" customWidth="1"/>
    <col min="6402" max="6402" width="22" style="217" customWidth="1"/>
    <col min="6403" max="6403" width="17.54296875" style="217" customWidth="1"/>
    <col min="6404" max="6405" width="15.54296875" style="217" customWidth="1"/>
    <col min="6406" max="6407" width="10.54296875" style="217" customWidth="1"/>
    <col min="6408" max="6410" width="12.6328125" style="217" customWidth="1"/>
    <col min="6411" max="6656" width="9.36328125" style="217"/>
    <col min="6657" max="6657" width="14.54296875" style="217" customWidth="1"/>
    <col min="6658" max="6658" width="22" style="217" customWidth="1"/>
    <col min="6659" max="6659" width="17.54296875" style="217" customWidth="1"/>
    <col min="6660" max="6661" width="15.54296875" style="217" customWidth="1"/>
    <col min="6662" max="6663" width="10.54296875" style="217" customWidth="1"/>
    <col min="6664" max="6666" width="12.6328125" style="217" customWidth="1"/>
    <col min="6667" max="6912" width="9.36328125" style="217"/>
    <col min="6913" max="6913" width="14.54296875" style="217" customWidth="1"/>
    <col min="6914" max="6914" width="22" style="217" customWidth="1"/>
    <col min="6915" max="6915" width="17.54296875" style="217" customWidth="1"/>
    <col min="6916" max="6917" width="15.54296875" style="217" customWidth="1"/>
    <col min="6918" max="6919" width="10.54296875" style="217" customWidth="1"/>
    <col min="6920" max="6922" width="12.6328125" style="217" customWidth="1"/>
    <col min="6923" max="7168" width="9.36328125" style="217"/>
    <col min="7169" max="7169" width="14.54296875" style="217" customWidth="1"/>
    <col min="7170" max="7170" width="22" style="217" customWidth="1"/>
    <col min="7171" max="7171" width="17.54296875" style="217" customWidth="1"/>
    <col min="7172" max="7173" width="15.54296875" style="217" customWidth="1"/>
    <col min="7174" max="7175" width="10.54296875" style="217" customWidth="1"/>
    <col min="7176" max="7178" width="12.6328125" style="217" customWidth="1"/>
    <col min="7179" max="7424" width="9.36328125" style="217"/>
    <col min="7425" max="7425" width="14.54296875" style="217" customWidth="1"/>
    <col min="7426" max="7426" width="22" style="217" customWidth="1"/>
    <col min="7427" max="7427" width="17.54296875" style="217" customWidth="1"/>
    <col min="7428" max="7429" width="15.54296875" style="217" customWidth="1"/>
    <col min="7430" max="7431" width="10.54296875" style="217" customWidth="1"/>
    <col min="7432" max="7434" width="12.6328125" style="217" customWidth="1"/>
    <col min="7435" max="7680" width="9.36328125" style="217"/>
    <col min="7681" max="7681" width="14.54296875" style="217" customWidth="1"/>
    <col min="7682" max="7682" width="22" style="217" customWidth="1"/>
    <col min="7683" max="7683" width="17.54296875" style="217" customWidth="1"/>
    <col min="7684" max="7685" width="15.54296875" style="217" customWidth="1"/>
    <col min="7686" max="7687" width="10.54296875" style="217" customWidth="1"/>
    <col min="7688" max="7690" width="12.6328125" style="217" customWidth="1"/>
    <col min="7691" max="7936" width="9.36328125" style="217"/>
    <col min="7937" max="7937" width="14.54296875" style="217" customWidth="1"/>
    <col min="7938" max="7938" width="22" style="217" customWidth="1"/>
    <col min="7939" max="7939" width="17.54296875" style="217" customWidth="1"/>
    <col min="7940" max="7941" width="15.54296875" style="217" customWidth="1"/>
    <col min="7942" max="7943" width="10.54296875" style="217" customWidth="1"/>
    <col min="7944" max="7946" width="12.6328125" style="217" customWidth="1"/>
    <col min="7947" max="8192" width="9.36328125" style="217"/>
    <col min="8193" max="8193" width="14.54296875" style="217" customWidth="1"/>
    <col min="8194" max="8194" width="22" style="217" customWidth="1"/>
    <col min="8195" max="8195" width="17.54296875" style="217" customWidth="1"/>
    <col min="8196" max="8197" width="15.54296875" style="217" customWidth="1"/>
    <col min="8198" max="8199" width="10.54296875" style="217" customWidth="1"/>
    <col min="8200" max="8202" width="12.6328125" style="217" customWidth="1"/>
    <col min="8203" max="8448" width="9.36328125" style="217"/>
    <col min="8449" max="8449" width="14.54296875" style="217" customWidth="1"/>
    <col min="8450" max="8450" width="22" style="217" customWidth="1"/>
    <col min="8451" max="8451" width="17.54296875" style="217" customWidth="1"/>
    <col min="8452" max="8453" width="15.54296875" style="217" customWidth="1"/>
    <col min="8454" max="8455" width="10.54296875" style="217" customWidth="1"/>
    <col min="8456" max="8458" width="12.6328125" style="217" customWidth="1"/>
    <col min="8459" max="8704" width="9.36328125" style="217"/>
    <col min="8705" max="8705" width="14.54296875" style="217" customWidth="1"/>
    <col min="8706" max="8706" width="22" style="217" customWidth="1"/>
    <col min="8707" max="8707" width="17.54296875" style="217" customWidth="1"/>
    <col min="8708" max="8709" width="15.54296875" style="217" customWidth="1"/>
    <col min="8710" max="8711" width="10.54296875" style="217" customWidth="1"/>
    <col min="8712" max="8714" width="12.6328125" style="217" customWidth="1"/>
    <col min="8715" max="8960" width="9.36328125" style="217"/>
    <col min="8961" max="8961" width="14.54296875" style="217" customWidth="1"/>
    <col min="8962" max="8962" width="22" style="217" customWidth="1"/>
    <col min="8963" max="8963" width="17.54296875" style="217" customWidth="1"/>
    <col min="8964" max="8965" width="15.54296875" style="217" customWidth="1"/>
    <col min="8966" max="8967" width="10.54296875" style="217" customWidth="1"/>
    <col min="8968" max="8970" width="12.6328125" style="217" customWidth="1"/>
    <col min="8971" max="9216" width="9.36328125" style="217"/>
    <col min="9217" max="9217" width="14.54296875" style="217" customWidth="1"/>
    <col min="9218" max="9218" width="22" style="217" customWidth="1"/>
    <col min="9219" max="9219" width="17.54296875" style="217" customWidth="1"/>
    <col min="9220" max="9221" width="15.54296875" style="217" customWidth="1"/>
    <col min="9222" max="9223" width="10.54296875" style="217" customWidth="1"/>
    <col min="9224" max="9226" width="12.6328125" style="217" customWidth="1"/>
    <col min="9227" max="9472" width="9.36328125" style="217"/>
    <col min="9473" max="9473" width="14.54296875" style="217" customWidth="1"/>
    <col min="9474" max="9474" width="22" style="217" customWidth="1"/>
    <col min="9475" max="9475" width="17.54296875" style="217" customWidth="1"/>
    <col min="9476" max="9477" width="15.54296875" style="217" customWidth="1"/>
    <col min="9478" max="9479" width="10.54296875" style="217" customWidth="1"/>
    <col min="9480" max="9482" width="12.6328125" style="217" customWidth="1"/>
    <col min="9483" max="9728" width="9.36328125" style="217"/>
    <col min="9729" max="9729" width="14.54296875" style="217" customWidth="1"/>
    <col min="9730" max="9730" width="22" style="217" customWidth="1"/>
    <col min="9731" max="9731" width="17.54296875" style="217" customWidth="1"/>
    <col min="9732" max="9733" width="15.54296875" style="217" customWidth="1"/>
    <col min="9734" max="9735" width="10.54296875" style="217" customWidth="1"/>
    <col min="9736" max="9738" width="12.6328125" style="217" customWidth="1"/>
    <col min="9739" max="9984" width="9.36328125" style="217"/>
    <col min="9985" max="9985" width="14.54296875" style="217" customWidth="1"/>
    <col min="9986" max="9986" width="22" style="217" customWidth="1"/>
    <col min="9987" max="9987" width="17.54296875" style="217" customWidth="1"/>
    <col min="9988" max="9989" width="15.54296875" style="217" customWidth="1"/>
    <col min="9990" max="9991" width="10.54296875" style="217" customWidth="1"/>
    <col min="9992" max="9994" width="12.6328125" style="217" customWidth="1"/>
    <col min="9995" max="10240" width="9.36328125" style="217"/>
    <col min="10241" max="10241" width="14.54296875" style="217" customWidth="1"/>
    <col min="10242" max="10242" width="22" style="217" customWidth="1"/>
    <col min="10243" max="10243" width="17.54296875" style="217" customWidth="1"/>
    <col min="10244" max="10245" width="15.54296875" style="217" customWidth="1"/>
    <col min="10246" max="10247" width="10.54296875" style="217" customWidth="1"/>
    <col min="10248" max="10250" width="12.6328125" style="217" customWidth="1"/>
    <col min="10251" max="10496" width="9.36328125" style="217"/>
    <col min="10497" max="10497" width="14.54296875" style="217" customWidth="1"/>
    <col min="10498" max="10498" width="22" style="217" customWidth="1"/>
    <col min="10499" max="10499" width="17.54296875" style="217" customWidth="1"/>
    <col min="10500" max="10501" width="15.54296875" style="217" customWidth="1"/>
    <col min="10502" max="10503" width="10.54296875" style="217" customWidth="1"/>
    <col min="10504" max="10506" width="12.6328125" style="217" customWidth="1"/>
    <col min="10507" max="10752" width="9.36328125" style="217"/>
    <col min="10753" max="10753" width="14.54296875" style="217" customWidth="1"/>
    <col min="10754" max="10754" width="22" style="217" customWidth="1"/>
    <col min="10755" max="10755" width="17.54296875" style="217" customWidth="1"/>
    <col min="10756" max="10757" width="15.54296875" style="217" customWidth="1"/>
    <col min="10758" max="10759" width="10.54296875" style="217" customWidth="1"/>
    <col min="10760" max="10762" width="12.6328125" style="217" customWidth="1"/>
    <col min="10763" max="11008" width="9.36328125" style="217"/>
    <col min="11009" max="11009" width="14.54296875" style="217" customWidth="1"/>
    <col min="11010" max="11010" width="22" style="217" customWidth="1"/>
    <col min="11011" max="11011" width="17.54296875" style="217" customWidth="1"/>
    <col min="11012" max="11013" width="15.54296875" style="217" customWidth="1"/>
    <col min="11014" max="11015" width="10.54296875" style="217" customWidth="1"/>
    <col min="11016" max="11018" width="12.6328125" style="217" customWidth="1"/>
    <col min="11019" max="11264" width="9.36328125" style="217"/>
    <col min="11265" max="11265" width="14.54296875" style="217" customWidth="1"/>
    <col min="11266" max="11266" width="22" style="217" customWidth="1"/>
    <col min="11267" max="11267" width="17.54296875" style="217" customWidth="1"/>
    <col min="11268" max="11269" width="15.54296875" style="217" customWidth="1"/>
    <col min="11270" max="11271" width="10.54296875" style="217" customWidth="1"/>
    <col min="11272" max="11274" width="12.6328125" style="217" customWidth="1"/>
    <col min="11275" max="11520" width="9.36328125" style="217"/>
    <col min="11521" max="11521" width="14.54296875" style="217" customWidth="1"/>
    <col min="11522" max="11522" width="22" style="217" customWidth="1"/>
    <col min="11523" max="11523" width="17.54296875" style="217" customWidth="1"/>
    <col min="11524" max="11525" width="15.54296875" style="217" customWidth="1"/>
    <col min="11526" max="11527" width="10.54296875" style="217" customWidth="1"/>
    <col min="11528" max="11530" width="12.6328125" style="217" customWidth="1"/>
    <col min="11531" max="11776" width="9.36328125" style="217"/>
    <col min="11777" max="11777" width="14.54296875" style="217" customWidth="1"/>
    <col min="11778" max="11778" width="22" style="217" customWidth="1"/>
    <col min="11779" max="11779" width="17.54296875" style="217" customWidth="1"/>
    <col min="11780" max="11781" width="15.54296875" style="217" customWidth="1"/>
    <col min="11782" max="11783" width="10.54296875" style="217" customWidth="1"/>
    <col min="11784" max="11786" width="12.6328125" style="217" customWidth="1"/>
    <col min="11787" max="12032" width="9.36328125" style="217"/>
    <col min="12033" max="12033" width="14.54296875" style="217" customWidth="1"/>
    <col min="12034" max="12034" width="22" style="217" customWidth="1"/>
    <col min="12035" max="12035" width="17.54296875" style="217" customWidth="1"/>
    <col min="12036" max="12037" width="15.54296875" style="217" customWidth="1"/>
    <col min="12038" max="12039" width="10.54296875" style="217" customWidth="1"/>
    <col min="12040" max="12042" width="12.6328125" style="217" customWidth="1"/>
    <col min="12043" max="12288" width="9.36328125" style="217"/>
    <col min="12289" max="12289" width="14.54296875" style="217" customWidth="1"/>
    <col min="12290" max="12290" width="22" style="217" customWidth="1"/>
    <col min="12291" max="12291" width="17.54296875" style="217" customWidth="1"/>
    <col min="12292" max="12293" width="15.54296875" style="217" customWidth="1"/>
    <col min="12294" max="12295" width="10.54296875" style="217" customWidth="1"/>
    <col min="12296" max="12298" width="12.6328125" style="217" customWidth="1"/>
    <col min="12299" max="12544" width="9.36328125" style="217"/>
    <col min="12545" max="12545" width="14.54296875" style="217" customWidth="1"/>
    <col min="12546" max="12546" width="22" style="217" customWidth="1"/>
    <col min="12547" max="12547" width="17.54296875" style="217" customWidth="1"/>
    <col min="12548" max="12549" width="15.54296875" style="217" customWidth="1"/>
    <col min="12550" max="12551" width="10.54296875" style="217" customWidth="1"/>
    <col min="12552" max="12554" width="12.6328125" style="217" customWidth="1"/>
    <col min="12555" max="12800" width="9.36328125" style="217"/>
    <col min="12801" max="12801" width="14.54296875" style="217" customWidth="1"/>
    <col min="12802" max="12802" width="22" style="217" customWidth="1"/>
    <col min="12803" max="12803" width="17.54296875" style="217" customWidth="1"/>
    <col min="12804" max="12805" width="15.54296875" style="217" customWidth="1"/>
    <col min="12806" max="12807" width="10.54296875" style="217" customWidth="1"/>
    <col min="12808" max="12810" width="12.6328125" style="217" customWidth="1"/>
    <col min="12811" max="13056" width="9.36328125" style="217"/>
    <col min="13057" max="13057" width="14.54296875" style="217" customWidth="1"/>
    <col min="13058" max="13058" width="22" style="217" customWidth="1"/>
    <col min="13059" max="13059" width="17.54296875" style="217" customWidth="1"/>
    <col min="13060" max="13061" width="15.54296875" style="217" customWidth="1"/>
    <col min="13062" max="13063" width="10.54296875" style="217" customWidth="1"/>
    <col min="13064" max="13066" width="12.6328125" style="217" customWidth="1"/>
    <col min="13067" max="13312" width="9.36328125" style="217"/>
    <col min="13313" max="13313" width="14.54296875" style="217" customWidth="1"/>
    <col min="13314" max="13314" width="22" style="217" customWidth="1"/>
    <col min="13315" max="13315" width="17.54296875" style="217" customWidth="1"/>
    <col min="13316" max="13317" width="15.54296875" style="217" customWidth="1"/>
    <col min="13318" max="13319" width="10.54296875" style="217" customWidth="1"/>
    <col min="13320" max="13322" width="12.6328125" style="217" customWidth="1"/>
    <col min="13323" max="13568" width="9.36328125" style="217"/>
    <col min="13569" max="13569" width="14.54296875" style="217" customWidth="1"/>
    <col min="13570" max="13570" width="22" style="217" customWidth="1"/>
    <col min="13571" max="13571" width="17.54296875" style="217" customWidth="1"/>
    <col min="13572" max="13573" width="15.54296875" style="217" customWidth="1"/>
    <col min="13574" max="13575" width="10.54296875" style="217" customWidth="1"/>
    <col min="13576" max="13578" width="12.6328125" style="217" customWidth="1"/>
    <col min="13579" max="13824" width="9.36328125" style="217"/>
    <col min="13825" max="13825" width="14.54296875" style="217" customWidth="1"/>
    <col min="13826" max="13826" width="22" style="217" customWidth="1"/>
    <col min="13827" max="13827" width="17.54296875" style="217" customWidth="1"/>
    <col min="13828" max="13829" width="15.54296875" style="217" customWidth="1"/>
    <col min="13830" max="13831" width="10.54296875" style="217" customWidth="1"/>
    <col min="13832" max="13834" width="12.6328125" style="217" customWidth="1"/>
    <col min="13835" max="14080" width="9.36328125" style="217"/>
    <col min="14081" max="14081" width="14.54296875" style="217" customWidth="1"/>
    <col min="14082" max="14082" width="22" style="217" customWidth="1"/>
    <col min="14083" max="14083" width="17.54296875" style="217" customWidth="1"/>
    <col min="14084" max="14085" width="15.54296875" style="217" customWidth="1"/>
    <col min="14086" max="14087" width="10.54296875" style="217" customWidth="1"/>
    <col min="14088" max="14090" width="12.6328125" style="217" customWidth="1"/>
    <col min="14091" max="14336" width="9.36328125" style="217"/>
    <col min="14337" max="14337" width="14.54296875" style="217" customWidth="1"/>
    <col min="14338" max="14338" width="22" style="217" customWidth="1"/>
    <col min="14339" max="14339" width="17.54296875" style="217" customWidth="1"/>
    <col min="14340" max="14341" width="15.54296875" style="217" customWidth="1"/>
    <col min="14342" max="14343" width="10.54296875" style="217" customWidth="1"/>
    <col min="14344" max="14346" width="12.6328125" style="217" customWidth="1"/>
    <col min="14347" max="14592" width="9.36328125" style="217"/>
    <col min="14593" max="14593" width="14.54296875" style="217" customWidth="1"/>
    <col min="14594" max="14594" width="22" style="217" customWidth="1"/>
    <col min="14595" max="14595" width="17.54296875" style="217" customWidth="1"/>
    <col min="14596" max="14597" width="15.54296875" style="217" customWidth="1"/>
    <col min="14598" max="14599" width="10.54296875" style="217" customWidth="1"/>
    <col min="14600" max="14602" width="12.6328125" style="217" customWidth="1"/>
    <col min="14603" max="14848" width="9.36328125" style="217"/>
    <col min="14849" max="14849" width="14.54296875" style="217" customWidth="1"/>
    <col min="14850" max="14850" width="22" style="217" customWidth="1"/>
    <col min="14851" max="14851" width="17.54296875" style="217" customWidth="1"/>
    <col min="14852" max="14853" width="15.54296875" style="217" customWidth="1"/>
    <col min="14854" max="14855" width="10.54296875" style="217" customWidth="1"/>
    <col min="14856" max="14858" width="12.6328125" style="217" customWidth="1"/>
    <col min="14859" max="15104" width="9.36328125" style="217"/>
    <col min="15105" max="15105" width="14.54296875" style="217" customWidth="1"/>
    <col min="15106" max="15106" width="22" style="217" customWidth="1"/>
    <col min="15107" max="15107" width="17.54296875" style="217" customWidth="1"/>
    <col min="15108" max="15109" width="15.54296875" style="217" customWidth="1"/>
    <col min="15110" max="15111" width="10.54296875" style="217" customWidth="1"/>
    <col min="15112" max="15114" width="12.6328125" style="217" customWidth="1"/>
    <col min="15115" max="15360" width="9.36328125" style="217"/>
    <col min="15361" max="15361" width="14.54296875" style="217" customWidth="1"/>
    <col min="15362" max="15362" width="22" style="217" customWidth="1"/>
    <col min="15363" max="15363" width="17.54296875" style="217" customWidth="1"/>
    <col min="15364" max="15365" width="15.54296875" style="217" customWidth="1"/>
    <col min="15366" max="15367" width="10.54296875" style="217" customWidth="1"/>
    <col min="15368" max="15370" width="12.6328125" style="217" customWidth="1"/>
    <col min="15371" max="15616" width="9.36328125" style="217"/>
    <col min="15617" max="15617" width="14.54296875" style="217" customWidth="1"/>
    <col min="15618" max="15618" width="22" style="217" customWidth="1"/>
    <col min="15619" max="15619" width="17.54296875" style="217" customWidth="1"/>
    <col min="15620" max="15621" width="15.54296875" style="217" customWidth="1"/>
    <col min="15622" max="15623" width="10.54296875" style="217" customWidth="1"/>
    <col min="15624" max="15626" width="12.6328125" style="217" customWidth="1"/>
    <col min="15627" max="15872" width="9.36328125" style="217"/>
    <col min="15873" max="15873" width="14.54296875" style="217" customWidth="1"/>
    <col min="15874" max="15874" width="22" style="217" customWidth="1"/>
    <col min="15875" max="15875" width="17.54296875" style="217" customWidth="1"/>
    <col min="15876" max="15877" width="15.54296875" style="217" customWidth="1"/>
    <col min="15878" max="15879" width="10.54296875" style="217" customWidth="1"/>
    <col min="15880" max="15882" width="12.6328125" style="217" customWidth="1"/>
    <col min="15883" max="16128" width="9.36328125" style="217"/>
    <col min="16129" max="16129" width="14.54296875" style="217" customWidth="1"/>
    <col min="16130" max="16130" width="22" style="217" customWidth="1"/>
    <col min="16131" max="16131" width="17.54296875" style="217" customWidth="1"/>
    <col min="16132" max="16133" width="15.54296875" style="217" customWidth="1"/>
    <col min="16134" max="16135" width="10.54296875" style="217" customWidth="1"/>
    <col min="16136" max="16138" width="12.6328125" style="217" customWidth="1"/>
    <col min="16139" max="16384" width="9.36328125" style="217"/>
  </cols>
  <sheetData>
    <row r="1" spans="1:10" ht="24.75" customHeight="1">
      <c r="A1" s="4216" t="s">
        <v>331</v>
      </c>
      <c r="B1" s="4216"/>
      <c r="C1" s="4216"/>
      <c r="D1" s="4216"/>
      <c r="E1" s="4216"/>
      <c r="F1" s="4216"/>
      <c r="G1" s="4216"/>
      <c r="H1" s="4216"/>
      <c r="I1" s="4216"/>
      <c r="J1" s="4216"/>
    </row>
    <row r="2" spans="1:10" ht="48.75" customHeight="1" thickBot="1">
      <c r="A2" s="3884" t="s">
        <v>332</v>
      </c>
      <c r="B2" s="4217"/>
      <c r="C2" s="4217"/>
      <c r="D2" s="4217"/>
      <c r="E2" s="4217"/>
      <c r="F2" s="4217"/>
      <c r="G2" s="4217"/>
      <c r="H2" s="4217"/>
      <c r="I2" s="4217"/>
      <c r="J2" s="4217"/>
    </row>
    <row r="3" spans="1:10" s="234" customFormat="1" ht="15.75" customHeight="1">
      <c r="A3" s="4218" t="s">
        <v>182</v>
      </c>
      <c r="B3" s="4214" t="s">
        <v>333</v>
      </c>
      <c r="C3" s="4214" t="s">
        <v>288</v>
      </c>
      <c r="D3" s="4214" t="s">
        <v>313</v>
      </c>
      <c r="E3" s="4214" t="s">
        <v>318</v>
      </c>
      <c r="F3" s="4214" t="s">
        <v>334</v>
      </c>
      <c r="G3" s="4214" t="s">
        <v>335</v>
      </c>
      <c r="H3" s="4214" t="s">
        <v>336</v>
      </c>
      <c r="I3" s="4214" t="s">
        <v>337</v>
      </c>
      <c r="J3" s="4215" t="s">
        <v>338</v>
      </c>
    </row>
    <row r="4" spans="1:10" s="234" customFormat="1" ht="15.75" customHeight="1">
      <c r="A4" s="3887"/>
      <c r="B4" s="3890"/>
      <c r="C4" s="3890"/>
      <c r="D4" s="3890"/>
      <c r="E4" s="3890"/>
      <c r="F4" s="3890"/>
      <c r="G4" s="3890"/>
      <c r="H4" s="3890"/>
      <c r="I4" s="3890"/>
      <c r="J4" s="3897"/>
    </row>
    <row r="5" spans="1:10" ht="26.25" customHeight="1">
      <c r="A5" s="235" t="s">
        <v>133</v>
      </c>
      <c r="B5" s="236"/>
      <c r="C5" s="236"/>
      <c r="D5" s="236"/>
      <c r="E5" s="236"/>
      <c r="F5" s="237"/>
      <c r="G5" s="237"/>
      <c r="H5" s="236"/>
      <c r="I5" s="238"/>
      <c r="J5" s="239"/>
    </row>
    <row r="6" spans="1:10" s="218" customFormat="1" ht="26.25" customHeight="1">
      <c r="A6" s="327"/>
      <c r="B6" s="328"/>
      <c r="C6" s="329"/>
      <c r="D6" s="329"/>
      <c r="E6" s="329"/>
      <c r="F6" s="328"/>
      <c r="G6" s="328"/>
      <c r="H6" s="329"/>
      <c r="I6" s="329"/>
      <c r="J6" s="330"/>
    </row>
    <row r="7" spans="1:10" s="218" customFormat="1" ht="26.25" customHeight="1">
      <c r="A7" s="240"/>
      <c r="B7" s="237"/>
      <c r="C7" s="237"/>
      <c r="D7" s="237"/>
      <c r="E7" s="237"/>
      <c r="F7" s="237"/>
      <c r="G7" s="237"/>
      <c r="H7" s="237"/>
      <c r="I7" s="237"/>
      <c r="J7" s="241"/>
    </row>
    <row r="8" spans="1:10" s="218" customFormat="1" ht="26.25" customHeight="1">
      <c r="A8" s="327"/>
      <c r="B8" s="328"/>
      <c r="C8" s="329"/>
      <c r="D8" s="329"/>
      <c r="E8" s="329"/>
      <c r="F8" s="328"/>
      <c r="G8" s="328"/>
      <c r="H8" s="329"/>
      <c r="I8" s="329"/>
      <c r="J8" s="330"/>
    </row>
    <row r="9" spans="1:10" s="218" customFormat="1" ht="26.25" customHeight="1">
      <c r="A9" s="242"/>
      <c r="B9" s="243"/>
      <c r="C9" s="243"/>
      <c r="D9" s="243"/>
      <c r="E9" s="243"/>
      <c r="F9" s="243"/>
      <c r="G9" s="243"/>
      <c r="H9" s="243"/>
      <c r="I9" s="243"/>
      <c r="J9" s="244"/>
    </row>
    <row r="10" spans="1:10" s="218" customFormat="1" ht="26.25" customHeight="1">
      <c r="A10" s="327"/>
      <c r="B10" s="328"/>
      <c r="C10" s="329"/>
      <c r="D10" s="329"/>
      <c r="E10" s="329"/>
      <c r="F10" s="328"/>
      <c r="G10" s="328"/>
      <c r="H10" s="329"/>
      <c r="I10" s="329"/>
      <c r="J10" s="330"/>
    </row>
    <row r="11" spans="1:10" s="218" customFormat="1" ht="26.25" customHeight="1">
      <c r="A11" s="242"/>
      <c r="B11" s="243"/>
      <c r="C11" s="243"/>
      <c r="D11" s="243"/>
      <c r="E11" s="243"/>
      <c r="F11" s="243"/>
      <c r="G11" s="243"/>
      <c r="H11" s="243"/>
      <c r="I11" s="243"/>
      <c r="J11" s="244"/>
    </row>
    <row r="12" spans="1:10" s="218" customFormat="1" ht="26.25" customHeight="1">
      <c r="A12" s="327"/>
      <c r="B12" s="328"/>
      <c r="C12" s="329"/>
      <c r="D12" s="329"/>
      <c r="E12" s="329"/>
      <c r="F12" s="328"/>
      <c r="G12" s="328"/>
      <c r="H12" s="329"/>
      <c r="I12" s="329"/>
      <c r="J12" s="330"/>
    </row>
    <row r="13" spans="1:10" s="218" customFormat="1" ht="26.25" customHeight="1">
      <c r="A13" s="242"/>
      <c r="B13" s="243"/>
      <c r="C13" s="243"/>
      <c r="D13" s="243"/>
      <c r="E13" s="243"/>
      <c r="F13" s="243"/>
      <c r="G13" s="243"/>
      <c r="H13" s="243"/>
      <c r="I13" s="243"/>
      <c r="J13" s="244"/>
    </row>
    <row r="14" spans="1:10" s="218" customFormat="1" ht="26.25" customHeight="1">
      <c r="A14" s="327"/>
      <c r="B14" s="328"/>
      <c r="C14" s="329"/>
      <c r="D14" s="329"/>
      <c r="E14" s="329"/>
      <c r="F14" s="328"/>
      <c r="G14" s="328"/>
      <c r="H14" s="329"/>
      <c r="I14" s="329"/>
      <c r="J14" s="330"/>
    </row>
    <row r="15" spans="1:10" ht="26.25" customHeight="1">
      <c r="A15" s="235"/>
      <c r="B15" s="236"/>
      <c r="C15" s="236"/>
      <c r="D15" s="236"/>
      <c r="E15" s="236"/>
      <c r="F15" s="237"/>
      <c r="G15" s="237"/>
      <c r="H15" s="236"/>
      <c r="I15" s="238"/>
      <c r="J15" s="239"/>
    </row>
    <row r="16" spans="1:10" s="218" customFormat="1" ht="26.25" customHeight="1">
      <c r="A16" s="327"/>
      <c r="B16" s="328"/>
      <c r="C16" s="329"/>
      <c r="D16" s="329"/>
      <c r="E16" s="329"/>
      <c r="F16" s="328"/>
      <c r="G16" s="328"/>
      <c r="H16" s="329"/>
      <c r="I16" s="329"/>
      <c r="J16" s="330"/>
    </row>
    <row r="17" spans="1:10" s="218" customFormat="1" ht="26.25" customHeight="1">
      <c r="A17" s="240"/>
      <c r="B17" s="237"/>
      <c r="C17" s="237"/>
      <c r="D17" s="237"/>
      <c r="E17" s="237"/>
      <c r="F17" s="237"/>
      <c r="G17" s="237"/>
      <c r="H17" s="237"/>
      <c r="I17" s="237"/>
      <c r="J17" s="241"/>
    </row>
    <row r="18" spans="1:10" s="218" customFormat="1" ht="26.25" customHeight="1">
      <c r="A18" s="327"/>
      <c r="B18" s="328"/>
      <c r="C18" s="329"/>
      <c r="D18" s="329"/>
      <c r="E18" s="329"/>
      <c r="F18" s="328"/>
      <c r="G18" s="328"/>
      <c r="H18" s="329"/>
      <c r="I18" s="329"/>
      <c r="J18" s="330"/>
    </row>
    <row r="19" spans="1:10" s="218" customFormat="1" ht="26.25" customHeight="1">
      <c r="A19" s="242"/>
      <c r="B19" s="243"/>
      <c r="C19" s="243"/>
      <c r="D19" s="243"/>
      <c r="E19" s="243"/>
      <c r="F19" s="243"/>
      <c r="G19" s="243"/>
      <c r="H19" s="243"/>
      <c r="I19" s="243"/>
      <c r="J19" s="244"/>
    </row>
    <row r="20" spans="1:10" s="218" customFormat="1" ht="26.25" customHeight="1">
      <c r="A20" s="327"/>
      <c r="B20" s="328"/>
      <c r="C20" s="329"/>
      <c r="D20" s="329"/>
      <c r="E20" s="329"/>
      <c r="F20" s="328"/>
      <c r="G20" s="328"/>
      <c r="H20" s="329"/>
      <c r="I20" s="329"/>
      <c r="J20" s="330"/>
    </row>
    <row r="21" spans="1:10" s="218" customFormat="1" ht="26.25" customHeight="1">
      <c r="A21" s="242"/>
      <c r="B21" s="243"/>
      <c r="C21" s="243"/>
      <c r="D21" s="243"/>
      <c r="E21" s="243"/>
      <c r="F21" s="243"/>
      <c r="G21" s="243"/>
      <c r="H21" s="243"/>
      <c r="I21" s="243"/>
      <c r="J21" s="244"/>
    </row>
    <row r="22" spans="1:10" s="218" customFormat="1" ht="26.25" customHeight="1">
      <c r="A22" s="327"/>
      <c r="B22" s="328"/>
      <c r="C22" s="329"/>
      <c r="D22" s="329"/>
      <c r="E22" s="329"/>
      <c r="F22" s="328"/>
      <c r="G22" s="328"/>
      <c r="H22" s="329"/>
      <c r="I22" s="329"/>
      <c r="J22" s="330"/>
    </row>
    <row r="23" spans="1:10" s="218" customFormat="1" ht="26.25" customHeight="1">
      <c r="A23" s="242"/>
      <c r="B23" s="243"/>
      <c r="C23" s="243"/>
      <c r="D23" s="243"/>
      <c r="E23" s="243"/>
      <c r="F23" s="243"/>
      <c r="G23" s="243"/>
      <c r="H23" s="243"/>
      <c r="I23" s="243"/>
      <c r="J23" s="244"/>
    </row>
    <row r="24" spans="1:10" s="218" customFormat="1" ht="26.25" customHeight="1">
      <c r="A24" s="327"/>
      <c r="B24" s="328"/>
      <c r="C24" s="329"/>
      <c r="D24" s="329"/>
      <c r="E24" s="329"/>
      <c r="F24" s="328"/>
      <c r="G24" s="328"/>
      <c r="H24" s="329"/>
      <c r="I24" s="329"/>
      <c r="J24" s="330"/>
    </row>
  </sheetData>
  <mergeCells count="12">
    <mergeCell ref="I3:I4"/>
    <mergeCell ref="J3:J4"/>
    <mergeCell ref="A1:J1"/>
    <mergeCell ref="A2:J2"/>
    <mergeCell ref="A3:A4"/>
    <mergeCell ref="B3:B4"/>
    <mergeCell ref="C3:C4"/>
    <mergeCell ref="D3:D4"/>
    <mergeCell ref="E3:E4"/>
    <mergeCell ref="F3:F4"/>
    <mergeCell ref="G3:G4"/>
    <mergeCell ref="H3:H4"/>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2-N:  Page &amp;P&amp;R&amp;8Printed &amp;D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tabColor theme="1"/>
  </sheetPr>
  <dimension ref="A1:I26"/>
  <sheetViews>
    <sheetView view="pageLayout" zoomScale="85" zoomScaleNormal="100" zoomScalePageLayoutView="85" workbookViewId="0">
      <selection activeCell="E19" sqref="E19:R20"/>
    </sheetView>
  </sheetViews>
  <sheetFormatPr defaultColWidth="9.36328125" defaultRowHeight="13"/>
  <cols>
    <col min="1" max="1" width="9.54296875" style="217" customWidth="1"/>
    <col min="2" max="2" width="31.6328125" style="217" customWidth="1"/>
    <col min="3" max="3" width="22.54296875" style="217" customWidth="1"/>
    <col min="4" max="4" width="15" style="217" customWidth="1"/>
    <col min="5" max="5" width="16.453125" style="217" customWidth="1"/>
    <col min="6" max="6" width="14.36328125" style="217" customWidth="1"/>
    <col min="7" max="7" width="17.453125" style="217" customWidth="1"/>
    <col min="8" max="8" width="12.54296875" style="217" customWidth="1"/>
    <col min="9" max="9" width="10.54296875" style="217" customWidth="1"/>
    <col min="10" max="256" width="9.36328125" style="217"/>
    <col min="257" max="257" width="9.54296875" style="217" customWidth="1"/>
    <col min="258" max="258" width="31.6328125" style="217" customWidth="1"/>
    <col min="259" max="259" width="22.54296875" style="217" customWidth="1"/>
    <col min="260" max="260" width="15" style="217" customWidth="1"/>
    <col min="261" max="261" width="16.453125" style="217" customWidth="1"/>
    <col min="262" max="262" width="14.36328125" style="217" customWidth="1"/>
    <col min="263" max="263" width="17.453125" style="217" customWidth="1"/>
    <col min="264" max="264" width="12.54296875" style="217" customWidth="1"/>
    <col min="265" max="265" width="10.54296875" style="217" customWidth="1"/>
    <col min="266" max="512" width="9.36328125" style="217"/>
    <col min="513" max="513" width="9.54296875" style="217" customWidth="1"/>
    <col min="514" max="514" width="31.6328125" style="217" customWidth="1"/>
    <col min="515" max="515" width="22.54296875" style="217" customWidth="1"/>
    <col min="516" max="516" width="15" style="217" customWidth="1"/>
    <col min="517" max="517" width="16.453125" style="217" customWidth="1"/>
    <col min="518" max="518" width="14.36328125" style="217" customWidth="1"/>
    <col min="519" max="519" width="17.453125" style="217" customWidth="1"/>
    <col min="520" max="520" width="12.54296875" style="217" customWidth="1"/>
    <col min="521" max="521" width="10.54296875" style="217" customWidth="1"/>
    <col min="522" max="768" width="9.36328125" style="217"/>
    <col min="769" max="769" width="9.54296875" style="217" customWidth="1"/>
    <col min="770" max="770" width="31.6328125" style="217" customWidth="1"/>
    <col min="771" max="771" width="22.54296875" style="217" customWidth="1"/>
    <col min="772" max="772" width="15" style="217" customWidth="1"/>
    <col min="773" max="773" width="16.453125" style="217" customWidth="1"/>
    <col min="774" max="774" width="14.36328125" style="217" customWidth="1"/>
    <col min="775" max="775" width="17.453125" style="217" customWidth="1"/>
    <col min="776" max="776" width="12.54296875" style="217" customWidth="1"/>
    <col min="777" max="777" width="10.54296875" style="217" customWidth="1"/>
    <col min="778" max="1024" width="9.36328125" style="217"/>
    <col min="1025" max="1025" width="9.54296875" style="217" customWidth="1"/>
    <col min="1026" max="1026" width="31.6328125" style="217" customWidth="1"/>
    <col min="1027" max="1027" width="22.54296875" style="217" customWidth="1"/>
    <col min="1028" max="1028" width="15" style="217" customWidth="1"/>
    <col min="1029" max="1029" width="16.453125" style="217" customWidth="1"/>
    <col min="1030" max="1030" width="14.36328125" style="217" customWidth="1"/>
    <col min="1031" max="1031" width="17.453125" style="217" customWidth="1"/>
    <col min="1032" max="1032" width="12.54296875" style="217" customWidth="1"/>
    <col min="1033" max="1033" width="10.54296875" style="217" customWidth="1"/>
    <col min="1034" max="1280" width="9.36328125" style="217"/>
    <col min="1281" max="1281" width="9.54296875" style="217" customWidth="1"/>
    <col min="1282" max="1282" width="31.6328125" style="217" customWidth="1"/>
    <col min="1283" max="1283" width="22.54296875" style="217" customWidth="1"/>
    <col min="1284" max="1284" width="15" style="217" customWidth="1"/>
    <col min="1285" max="1285" width="16.453125" style="217" customWidth="1"/>
    <col min="1286" max="1286" width="14.36328125" style="217" customWidth="1"/>
    <col min="1287" max="1287" width="17.453125" style="217" customWidth="1"/>
    <col min="1288" max="1288" width="12.54296875" style="217" customWidth="1"/>
    <col min="1289" max="1289" width="10.54296875" style="217" customWidth="1"/>
    <col min="1290" max="1536" width="9.36328125" style="217"/>
    <col min="1537" max="1537" width="9.54296875" style="217" customWidth="1"/>
    <col min="1538" max="1538" width="31.6328125" style="217" customWidth="1"/>
    <col min="1539" max="1539" width="22.54296875" style="217" customWidth="1"/>
    <col min="1540" max="1540" width="15" style="217" customWidth="1"/>
    <col min="1541" max="1541" width="16.453125" style="217" customWidth="1"/>
    <col min="1542" max="1542" width="14.36328125" style="217" customWidth="1"/>
    <col min="1543" max="1543" width="17.453125" style="217" customWidth="1"/>
    <col min="1544" max="1544" width="12.54296875" style="217" customWidth="1"/>
    <col min="1545" max="1545" width="10.54296875" style="217" customWidth="1"/>
    <col min="1546" max="1792" width="9.36328125" style="217"/>
    <col min="1793" max="1793" width="9.54296875" style="217" customWidth="1"/>
    <col min="1794" max="1794" width="31.6328125" style="217" customWidth="1"/>
    <col min="1795" max="1795" width="22.54296875" style="217" customWidth="1"/>
    <col min="1796" max="1796" width="15" style="217" customWidth="1"/>
    <col min="1797" max="1797" width="16.453125" style="217" customWidth="1"/>
    <col min="1798" max="1798" width="14.36328125" style="217" customWidth="1"/>
    <col min="1799" max="1799" width="17.453125" style="217" customWidth="1"/>
    <col min="1800" max="1800" width="12.54296875" style="217" customWidth="1"/>
    <col min="1801" max="1801" width="10.54296875" style="217" customWidth="1"/>
    <col min="1802" max="2048" width="9.36328125" style="217"/>
    <col min="2049" max="2049" width="9.54296875" style="217" customWidth="1"/>
    <col min="2050" max="2050" width="31.6328125" style="217" customWidth="1"/>
    <col min="2051" max="2051" width="22.54296875" style="217" customWidth="1"/>
    <col min="2052" max="2052" width="15" style="217" customWidth="1"/>
    <col min="2053" max="2053" width="16.453125" style="217" customWidth="1"/>
    <col min="2054" max="2054" width="14.36328125" style="217" customWidth="1"/>
    <col min="2055" max="2055" width="17.453125" style="217" customWidth="1"/>
    <col min="2056" max="2056" width="12.54296875" style="217" customWidth="1"/>
    <col min="2057" max="2057" width="10.54296875" style="217" customWidth="1"/>
    <col min="2058" max="2304" width="9.36328125" style="217"/>
    <col min="2305" max="2305" width="9.54296875" style="217" customWidth="1"/>
    <col min="2306" max="2306" width="31.6328125" style="217" customWidth="1"/>
    <col min="2307" max="2307" width="22.54296875" style="217" customWidth="1"/>
    <col min="2308" max="2308" width="15" style="217" customWidth="1"/>
    <col min="2309" max="2309" width="16.453125" style="217" customWidth="1"/>
    <col min="2310" max="2310" width="14.36328125" style="217" customWidth="1"/>
    <col min="2311" max="2311" width="17.453125" style="217" customWidth="1"/>
    <col min="2312" max="2312" width="12.54296875" style="217" customWidth="1"/>
    <col min="2313" max="2313" width="10.54296875" style="217" customWidth="1"/>
    <col min="2314" max="2560" width="9.36328125" style="217"/>
    <col min="2561" max="2561" width="9.54296875" style="217" customWidth="1"/>
    <col min="2562" max="2562" width="31.6328125" style="217" customWidth="1"/>
    <col min="2563" max="2563" width="22.54296875" style="217" customWidth="1"/>
    <col min="2564" max="2564" width="15" style="217" customWidth="1"/>
    <col min="2565" max="2565" width="16.453125" style="217" customWidth="1"/>
    <col min="2566" max="2566" width="14.36328125" style="217" customWidth="1"/>
    <col min="2567" max="2567" width="17.453125" style="217" customWidth="1"/>
    <col min="2568" max="2568" width="12.54296875" style="217" customWidth="1"/>
    <col min="2569" max="2569" width="10.54296875" style="217" customWidth="1"/>
    <col min="2570" max="2816" width="9.36328125" style="217"/>
    <col min="2817" max="2817" width="9.54296875" style="217" customWidth="1"/>
    <col min="2818" max="2818" width="31.6328125" style="217" customWidth="1"/>
    <col min="2819" max="2819" width="22.54296875" style="217" customWidth="1"/>
    <col min="2820" max="2820" width="15" style="217" customWidth="1"/>
    <col min="2821" max="2821" width="16.453125" style="217" customWidth="1"/>
    <col min="2822" max="2822" width="14.36328125" style="217" customWidth="1"/>
    <col min="2823" max="2823" width="17.453125" style="217" customWidth="1"/>
    <col min="2824" max="2824" width="12.54296875" style="217" customWidth="1"/>
    <col min="2825" max="2825" width="10.54296875" style="217" customWidth="1"/>
    <col min="2826" max="3072" width="9.36328125" style="217"/>
    <col min="3073" max="3073" width="9.54296875" style="217" customWidth="1"/>
    <col min="3074" max="3074" width="31.6328125" style="217" customWidth="1"/>
    <col min="3075" max="3075" width="22.54296875" style="217" customWidth="1"/>
    <col min="3076" max="3076" width="15" style="217" customWidth="1"/>
    <col min="3077" max="3077" width="16.453125" style="217" customWidth="1"/>
    <col min="3078" max="3078" width="14.36328125" style="217" customWidth="1"/>
    <col min="3079" max="3079" width="17.453125" style="217" customWidth="1"/>
    <col min="3080" max="3080" width="12.54296875" style="217" customWidth="1"/>
    <col min="3081" max="3081" width="10.54296875" style="217" customWidth="1"/>
    <col min="3082" max="3328" width="9.36328125" style="217"/>
    <col min="3329" max="3329" width="9.54296875" style="217" customWidth="1"/>
    <col min="3330" max="3330" width="31.6328125" style="217" customWidth="1"/>
    <col min="3331" max="3331" width="22.54296875" style="217" customWidth="1"/>
    <col min="3332" max="3332" width="15" style="217" customWidth="1"/>
    <col min="3333" max="3333" width="16.453125" style="217" customWidth="1"/>
    <col min="3334" max="3334" width="14.36328125" style="217" customWidth="1"/>
    <col min="3335" max="3335" width="17.453125" style="217" customWidth="1"/>
    <col min="3336" max="3336" width="12.54296875" style="217" customWidth="1"/>
    <col min="3337" max="3337" width="10.54296875" style="217" customWidth="1"/>
    <col min="3338" max="3584" width="9.36328125" style="217"/>
    <col min="3585" max="3585" width="9.54296875" style="217" customWidth="1"/>
    <col min="3586" max="3586" width="31.6328125" style="217" customWidth="1"/>
    <col min="3587" max="3587" width="22.54296875" style="217" customWidth="1"/>
    <col min="3588" max="3588" width="15" style="217" customWidth="1"/>
    <col min="3589" max="3589" width="16.453125" style="217" customWidth="1"/>
    <col min="3590" max="3590" width="14.36328125" style="217" customWidth="1"/>
    <col min="3591" max="3591" width="17.453125" style="217" customWidth="1"/>
    <col min="3592" max="3592" width="12.54296875" style="217" customWidth="1"/>
    <col min="3593" max="3593" width="10.54296875" style="217" customWidth="1"/>
    <col min="3594" max="3840" width="9.36328125" style="217"/>
    <col min="3841" max="3841" width="9.54296875" style="217" customWidth="1"/>
    <col min="3842" max="3842" width="31.6328125" style="217" customWidth="1"/>
    <col min="3843" max="3843" width="22.54296875" style="217" customWidth="1"/>
    <col min="3844" max="3844" width="15" style="217" customWidth="1"/>
    <col min="3845" max="3845" width="16.453125" style="217" customWidth="1"/>
    <col min="3846" max="3846" width="14.36328125" style="217" customWidth="1"/>
    <col min="3847" max="3847" width="17.453125" style="217" customWidth="1"/>
    <col min="3848" max="3848" width="12.54296875" style="217" customWidth="1"/>
    <col min="3849" max="3849" width="10.54296875" style="217" customWidth="1"/>
    <col min="3850" max="4096" width="9.36328125" style="217"/>
    <col min="4097" max="4097" width="9.54296875" style="217" customWidth="1"/>
    <col min="4098" max="4098" width="31.6328125" style="217" customWidth="1"/>
    <col min="4099" max="4099" width="22.54296875" style="217" customWidth="1"/>
    <col min="4100" max="4100" width="15" style="217" customWidth="1"/>
    <col min="4101" max="4101" width="16.453125" style="217" customWidth="1"/>
    <col min="4102" max="4102" width="14.36328125" style="217" customWidth="1"/>
    <col min="4103" max="4103" width="17.453125" style="217" customWidth="1"/>
    <col min="4104" max="4104" width="12.54296875" style="217" customWidth="1"/>
    <col min="4105" max="4105" width="10.54296875" style="217" customWidth="1"/>
    <col min="4106" max="4352" width="9.36328125" style="217"/>
    <col min="4353" max="4353" width="9.54296875" style="217" customWidth="1"/>
    <col min="4354" max="4354" width="31.6328125" style="217" customWidth="1"/>
    <col min="4355" max="4355" width="22.54296875" style="217" customWidth="1"/>
    <col min="4356" max="4356" width="15" style="217" customWidth="1"/>
    <col min="4357" max="4357" width="16.453125" style="217" customWidth="1"/>
    <col min="4358" max="4358" width="14.36328125" style="217" customWidth="1"/>
    <col min="4359" max="4359" width="17.453125" style="217" customWidth="1"/>
    <col min="4360" max="4360" width="12.54296875" style="217" customWidth="1"/>
    <col min="4361" max="4361" width="10.54296875" style="217" customWidth="1"/>
    <col min="4362" max="4608" width="9.36328125" style="217"/>
    <col min="4609" max="4609" width="9.54296875" style="217" customWidth="1"/>
    <col min="4610" max="4610" width="31.6328125" style="217" customWidth="1"/>
    <col min="4611" max="4611" width="22.54296875" style="217" customWidth="1"/>
    <col min="4612" max="4612" width="15" style="217" customWidth="1"/>
    <col min="4613" max="4613" width="16.453125" style="217" customWidth="1"/>
    <col min="4614" max="4614" width="14.36328125" style="217" customWidth="1"/>
    <col min="4615" max="4615" width="17.453125" style="217" customWidth="1"/>
    <col min="4616" max="4616" width="12.54296875" style="217" customWidth="1"/>
    <col min="4617" max="4617" width="10.54296875" style="217" customWidth="1"/>
    <col min="4618" max="4864" width="9.36328125" style="217"/>
    <col min="4865" max="4865" width="9.54296875" style="217" customWidth="1"/>
    <col min="4866" max="4866" width="31.6328125" style="217" customWidth="1"/>
    <col min="4867" max="4867" width="22.54296875" style="217" customWidth="1"/>
    <col min="4868" max="4868" width="15" style="217" customWidth="1"/>
    <col min="4869" max="4869" width="16.453125" style="217" customWidth="1"/>
    <col min="4870" max="4870" width="14.36328125" style="217" customWidth="1"/>
    <col min="4871" max="4871" width="17.453125" style="217" customWidth="1"/>
    <col min="4872" max="4872" width="12.54296875" style="217" customWidth="1"/>
    <col min="4873" max="4873" width="10.54296875" style="217" customWidth="1"/>
    <col min="4874" max="5120" width="9.36328125" style="217"/>
    <col min="5121" max="5121" width="9.54296875" style="217" customWidth="1"/>
    <col min="5122" max="5122" width="31.6328125" style="217" customWidth="1"/>
    <col min="5123" max="5123" width="22.54296875" style="217" customWidth="1"/>
    <col min="5124" max="5124" width="15" style="217" customWidth="1"/>
    <col min="5125" max="5125" width="16.453125" style="217" customWidth="1"/>
    <col min="5126" max="5126" width="14.36328125" style="217" customWidth="1"/>
    <col min="5127" max="5127" width="17.453125" style="217" customWidth="1"/>
    <col min="5128" max="5128" width="12.54296875" style="217" customWidth="1"/>
    <col min="5129" max="5129" width="10.54296875" style="217" customWidth="1"/>
    <col min="5130" max="5376" width="9.36328125" style="217"/>
    <col min="5377" max="5377" width="9.54296875" style="217" customWidth="1"/>
    <col min="5378" max="5378" width="31.6328125" style="217" customWidth="1"/>
    <col min="5379" max="5379" width="22.54296875" style="217" customWidth="1"/>
    <col min="5380" max="5380" width="15" style="217" customWidth="1"/>
    <col min="5381" max="5381" width="16.453125" style="217" customWidth="1"/>
    <col min="5382" max="5382" width="14.36328125" style="217" customWidth="1"/>
    <col min="5383" max="5383" width="17.453125" style="217" customWidth="1"/>
    <col min="5384" max="5384" width="12.54296875" style="217" customWidth="1"/>
    <col min="5385" max="5385" width="10.54296875" style="217" customWidth="1"/>
    <col min="5386" max="5632" width="9.36328125" style="217"/>
    <col min="5633" max="5633" width="9.54296875" style="217" customWidth="1"/>
    <col min="5634" max="5634" width="31.6328125" style="217" customWidth="1"/>
    <col min="5635" max="5635" width="22.54296875" style="217" customWidth="1"/>
    <col min="5636" max="5636" width="15" style="217" customWidth="1"/>
    <col min="5637" max="5637" width="16.453125" style="217" customWidth="1"/>
    <col min="5638" max="5638" width="14.36328125" style="217" customWidth="1"/>
    <col min="5639" max="5639" width="17.453125" style="217" customWidth="1"/>
    <col min="5640" max="5640" width="12.54296875" style="217" customWidth="1"/>
    <col min="5641" max="5641" width="10.54296875" style="217" customWidth="1"/>
    <col min="5642" max="5888" width="9.36328125" style="217"/>
    <col min="5889" max="5889" width="9.54296875" style="217" customWidth="1"/>
    <col min="5890" max="5890" width="31.6328125" style="217" customWidth="1"/>
    <col min="5891" max="5891" width="22.54296875" style="217" customWidth="1"/>
    <col min="5892" max="5892" width="15" style="217" customWidth="1"/>
    <col min="5893" max="5893" width="16.453125" style="217" customWidth="1"/>
    <col min="5894" max="5894" width="14.36328125" style="217" customWidth="1"/>
    <col min="5895" max="5895" width="17.453125" style="217" customWidth="1"/>
    <col min="5896" max="5896" width="12.54296875" style="217" customWidth="1"/>
    <col min="5897" max="5897" width="10.54296875" style="217" customWidth="1"/>
    <col min="5898" max="6144" width="9.36328125" style="217"/>
    <col min="6145" max="6145" width="9.54296875" style="217" customWidth="1"/>
    <col min="6146" max="6146" width="31.6328125" style="217" customWidth="1"/>
    <col min="6147" max="6147" width="22.54296875" style="217" customWidth="1"/>
    <col min="6148" max="6148" width="15" style="217" customWidth="1"/>
    <col min="6149" max="6149" width="16.453125" style="217" customWidth="1"/>
    <col min="6150" max="6150" width="14.36328125" style="217" customWidth="1"/>
    <col min="6151" max="6151" width="17.453125" style="217" customWidth="1"/>
    <col min="6152" max="6152" width="12.54296875" style="217" customWidth="1"/>
    <col min="6153" max="6153" width="10.54296875" style="217" customWidth="1"/>
    <col min="6154" max="6400" width="9.36328125" style="217"/>
    <col min="6401" max="6401" width="9.54296875" style="217" customWidth="1"/>
    <col min="6402" max="6402" width="31.6328125" style="217" customWidth="1"/>
    <col min="6403" max="6403" width="22.54296875" style="217" customWidth="1"/>
    <col min="6404" max="6404" width="15" style="217" customWidth="1"/>
    <col min="6405" max="6405" width="16.453125" style="217" customWidth="1"/>
    <col min="6406" max="6406" width="14.36328125" style="217" customWidth="1"/>
    <col min="6407" max="6407" width="17.453125" style="217" customWidth="1"/>
    <col min="6408" max="6408" width="12.54296875" style="217" customWidth="1"/>
    <col min="6409" max="6409" width="10.54296875" style="217" customWidth="1"/>
    <col min="6410" max="6656" width="9.36328125" style="217"/>
    <col min="6657" max="6657" width="9.54296875" style="217" customWidth="1"/>
    <col min="6658" max="6658" width="31.6328125" style="217" customWidth="1"/>
    <col min="6659" max="6659" width="22.54296875" style="217" customWidth="1"/>
    <col min="6660" max="6660" width="15" style="217" customWidth="1"/>
    <col min="6661" max="6661" width="16.453125" style="217" customWidth="1"/>
    <col min="6662" max="6662" width="14.36328125" style="217" customWidth="1"/>
    <col min="6663" max="6663" width="17.453125" style="217" customWidth="1"/>
    <col min="6664" max="6664" width="12.54296875" style="217" customWidth="1"/>
    <col min="6665" max="6665" width="10.54296875" style="217" customWidth="1"/>
    <col min="6666" max="6912" width="9.36328125" style="217"/>
    <col min="6913" max="6913" width="9.54296875" style="217" customWidth="1"/>
    <col min="6914" max="6914" width="31.6328125" style="217" customWidth="1"/>
    <col min="6915" max="6915" width="22.54296875" style="217" customWidth="1"/>
    <col min="6916" max="6916" width="15" style="217" customWidth="1"/>
    <col min="6917" max="6917" width="16.453125" style="217" customWidth="1"/>
    <col min="6918" max="6918" width="14.36328125" style="217" customWidth="1"/>
    <col min="6919" max="6919" width="17.453125" style="217" customWidth="1"/>
    <col min="6920" max="6920" width="12.54296875" style="217" customWidth="1"/>
    <col min="6921" max="6921" width="10.54296875" style="217" customWidth="1"/>
    <col min="6922" max="7168" width="9.36328125" style="217"/>
    <col min="7169" max="7169" width="9.54296875" style="217" customWidth="1"/>
    <col min="7170" max="7170" width="31.6328125" style="217" customWidth="1"/>
    <col min="7171" max="7171" width="22.54296875" style="217" customWidth="1"/>
    <col min="7172" max="7172" width="15" style="217" customWidth="1"/>
    <col min="7173" max="7173" width="16.453125" style="217" customWidth="1"/>
    <col min="7174" max="7174" width="14.36328125" style="217" customWidth="1"/>
    <col min="7175" max="7175" width="17.453125" style="217" customWidth="1"/>
    <col min="7176" max="7176" width="12.54296875" style="217" customWidth="1"/>
    <col min="7177" max="7177" width="10.54296875" style="217" customWidth="1"/>
    <col min="7178" max="7424" width="9.36328125" style="217"/>
    <col min="7425" max="7425" width="9.54296875" style="217" customWidth="1"/>
    <col min="7426" max="7426" width="31.6328125" style="217" customWidth="1"/>
    <col min="7427" max="7427" width="22.54296875" style="217" customWidth="1"/>
    <col min="7428" max="7428" width="15" style="217" customWidth="1"/>
    <col min="7429" max="7429" width="16.453125" style="217" customWidth="1"/>
    <col min="7430" max="7430" width="14.36328125" style="217" customWidth="1"/>
    <col min="7431" max="7431" width="17.453125" style="217" customWidth="1"/>
    <col min="7432" max="7432" width="12.54296875" style="217" customWidth="1"/>
    <col min="7433" max="7433" width="10.54296875" style="217" customWidth="1"/>
    <col min="7434" max="7680" width="9.36328125" style="217"/>
    <col min="7681" max="7681" width="9.54296875" style="217" customWidth="1"/>
    <col min="7682" max="7682" width="31.6328125" style="217" customWidth="1"/>
    <col min="7683" max="7683" width="22.54296875" style="217" customWidth="1"/>
    <col min="7684" max="7684" width="15" style="217" customWidth="1"/>
    <col min="7685" max="7685" width="16.453125" style="217" customWidth="1"/>
    <col min="7686" max="7686" width="14.36328125" style="217" customWidth="1"/>
    <col min="7687" max="7687" width="17.453125" style="217" customWidth="1"/>
    <col min="7688" max="7688" width="12.54296875" style="217" customWidth="1"/>
    <col min="7689" max="7689" width="10.54296875" style="217" customWidth="1"/>
    <col min="7690" max="7936" width="9.36328125" style="217"/>
    <col min="7937" max="7937" width="9.54296875" style="217" customWidth="1"/>
    <col min="7938" max="7938" width="31.6328125" style="217" customWidth="1"/>
    <col min="7939" max="7939" width="22.54296875" style="217" customWidth="1"/>
    <col min="7940" max="7940" width="15" style="217" customWidth="1"/>
    <col min="7941" max="7941" width="16.453125" style="217" customWidth="1"/>
    <col min="7942" max="7942" width="14.36328125" style="217" customWidth="1"/>
    <col min="7943" max="7943" width="17.453125" style="217" customWidth="1"/>
    <col min="7944" max="7944" width="12.54296875" style="217" customWidth="1"/>
    <col min="7945" max="7945" width="10.54296875" style="217" customWidth="1"/>
    <col min="7946" max="8192" width="9.36328125" style="217"/>
    <col min="8193" max="8193" width="9.54296875" style="217" customWidth="1"/>
    <col min="8194" max="8194" width="31.6328125" style="217" customWidth="1"/>
    <col min="8195" max="8195" width="22.54296875" style="217" customWidth="1"/>
    <col min="8196" max="8196" width="15" style="217" customWidth="1"/>
    <col min="8197" max="8197" width="16.453125" style="217" customWidth="1"/>
    <col min="8198" max="8198" width="14.36328125" style="217" customWidth="1"/>
    <col min="8199" max="8199" width="17.453125" style="217" customWidth="1"/>
    <col min="8200" max="8200" width="12.54296875" style="217" customWidth="1"/>
    <col min="8201" max="8201" width="10.54296875" style="217" customWidth="1"/>
    <col min="8202" max="8448" width="9.36328125" style="217"/>
    <col min="8449" max="8449" width="9.54296875" style="217" customWidth="1"/>
    <col min="8450" max="8450" width="31.6328125" style="217" customWidth="1"/>
    <col min="8451" max="8451" width="22.54296875" style="217" customWidth="1"/>
    <col min="8452" max="8452" width="15" style="217" customWidth="1"/>
    <col min="8453" max="8453" width="16.453125" style="217" customWidth="1"/>
    <col min="8454" max="8454" width="14.36328125" style="217" customWidth="1"/>
    <col min="8455" max="8455" width="17.453125" style="217" customWidth="1"/>
    <col min="8456" max="8456" width="12.54296875" style="217" customWidth="1"/>
    <col min="8457" max="8457" width="10.54296875" style="217" customWidth="1"/>
    <col min="8458" max="8704" width="9.36328125" style="217"/>
    <col min="8705" max="8705" width="9.54296875" style="217" customWidth="1"/>
    <col min="8706" max="8706" width="31.6328125" style="217" customWidth="1"/>
    <col min="8707" max="8707" width="22.54296875" style="217" customWidth="1"/>
    <col min="8708" max="8708" width="15" style="217" customWidth="1"/>
    <col min="8709" max="8709" width="16.453125" style="217" customWidth="1"/>
    <col min="8710" max="8710" width="14.36328125" style="217" customWidth="1"/>
    <col min="8711" max="8711" width="17.453125" style="217" customWidth="1"/>
    <col min="8712" max="8712" width="12.54296875" style="217" customWidth="1"/>
    <col min="8713" max="8713" width="10.54296875" style="217" customWidth="1"/>
    <col min="8714" max="8960" width="9.36328125" style="217"/>
    <col min="8961" max="8961" width="9.54296875" style="217" customWidth="1"/>
    <col min="8962" max="8962" width="31.6328125" style="217" customWidth="1"/>
    <col min="8963" max="8963" width="22.54296875" style="217" customWidth="1"/>
    <col min="8964" max="8964" width="15" style="217" customWidth="1"/>
    <col min="8965" max="8965" width="16.453125" style="217" customWidth="1"/>
    <col min="8966" max="8966" width="14.36328125" style="217" customWidth="1"/>
    <col min="8967" max="8967" width="17.453125" style="217" customWidth="1"/>
    <col min="8968" max="8968" width="12.54296875" style="217" customWidth="1"/>
    <col min="8969" max="8969" width="10.54296875" style="217" customWidth="1"/>
    <col min="8970" max="9216" width="9.36328125" style="217"/>
    <col min="9217" max="9217" width="9.54296875" style="217" customWidth="1"/>
    <col min="9218" max="9218" width="31.6328125" style="217" customWidth="1"/>
    <col min="9219" max="9219" width="22.54296875" style="217" customWidth="1"/>
    <col min="9220" max="9220" width="15" style="217" customWidth="1"/>
    <col min="9221" max="9221" width="16.453125" style="217" customWidth="1"/>
    <col min="9222" max="9222" width="14.36328125" style="217" customWidth="1"/>
    <col min="9223" max="9223" width="17.453125" style="217" customWidth="1"/>
    <col min="9224" max="9224" width="12.54296875" style="217" customWidth="1"/>
    <col min="9225" max="9225" width="10.54296875" style="217" customWidth="1"/>
    <col min="9226" max="9472" width="9.36328125" style="217"/>
    <col min="9473" max="9473" width="9.54296875" style="217" customWidth="1"/>
    <col min="9474" max="9474" width="31.6328125" style="217" customWidth="1"/>
    <col min="9475" max="9475" width="22.54296875" style="217" customWidth="1"/>
    <col min="9476" max="9476" width="15" style="217" customWidth="1"/>
    <col min="9477" max="9477" width="16.453125" style="217" customWidth="1"/>
    <col min="9478" max="9478" width="14.36328125" style="217" customWidth="1"/>
    <col min="9479" max="9479" width="17.453125" style="217" customWidth="1"/>
    <col min="9480" max="9480" width="12.54296875" style="217" customWidth="1"/>
    <col min="9481" max="9481" width="10.54296875" style="217" customWidth="1"/>
    <col min="9482" max="9728" width="9.36328125" style="217"/>
    <col min="9729" max="9729" width="9.54296875" style="217" customWidth="1"/>
    <col min="9730" max="9730" width="31.6328125" style="217" customWidth="1"/>
    <col min="9731" max="9731" width="22.54296875" style="217" customWidth="1"/>
    <col min="9732" max="9732" width="15" style="217" customWidth="1"/>
    <col min="9733" max="9733" width="16.453125" style="217" customWidth="1"/>
    <col min="9734" max="9734" width="14.36328125" style="217" customWidth="1"/>
    <col min="9735" max="9735" width="17.453125" style="217" customWidth="1"/>
    <col min="9736" max="9736" width="12.54296875" style="217" customWidth="1"/>
    <col min="9737" max="9737" width="10.54296875" style="217" customWidth="1"/>
    <col min="9738" max="9984" width="9.36328125" style="217"/>
    <col min="9985" max="9985" width="9.54296875" style="217" customWidth="1"/>
    <col min="9986" max="9986" width="31.6328125" style="217" customWidth="1"/>
    <col min="9987" max="9987" width="22.54296875" style="217" customWidth="1"/>
    <col min="9988" max="9988" width="15" style="217" customWidth="1"/>
    <col min="9989" max="9989" width="16.453125" style="217" customWidth="1"/>
    <col min="9990" max="9990" width="14.36328125" style="217" customWidth="1"/>
    <col min="9991" max="9991" width="17.453125" style="217" customWidth="1"/>
    <col min="9992" max="9992" width="12.54296875" style="217" customWidth="1"/>
    <col min="9993" max="9993" width="10.54296875" style="217" customWidth="1"/>
    <col min="9994" max="10240" width="9.36328125" style="217"/>
    <col min="10241" max="10241" width="9.54296875" style="217" customWidth="1"/>
    <col min="10242" max="10242" width="31.6328125" style="217" customWidth="1"/>
    <col min="10243" max="10243" width="22.54296875" style="217" customWidth="1"/>
    <col min="10244" max="10244" width="15" style="217" customWidth="1"/>
    <col min="10245" max="10245" width="16.453125" style="217" customWidth="1"/>
    <col min="10246" max="10246" width="14.36328125" style="217" customWidth="1"/>
    <col min="10247" max="10247" width="17.453125" style="217" customWidth="1"/>
    <col min="10248" max="10248" width="12.54296875" style="217" customWidth="1"/>
    <col min="10249" max="10249" width="10.54296875" style="217" customWidth="1"/>
    <col min="10250" max="10496" width="9.36328125" style="217"/>
    <col min="10497" max="10497" width="9.54296875" style="217" customWidth="1"/>
    <col min="10498" max="10498" width="31.6328125" style="217" customWidth="1"/>
    <col min="10499" max="10499" width="22.54296875" style="217" customWidth="1"/>
    <col min="10500" max="10500" width="15" style="217" customWidth="1"/>
    <col min="10501" max="10501" width="16.453125" style="217" customWidth="1"/>
    <col min="10502" max="10502" width="14.36328125" style="217" customWidth="1"/>
    <col min="10503" max="10503" width="17.453125" style="217" customWidth="1"/>
    <col min="10504" max="10504" width="12.54296875" style="217" customWidth="1"/>
    <col min="10505" max="10505" width="10.54296875" style="217" customWidth="1"/>
    <col min="10506" max="10752" width="9.36328125" style="217"/>
    <col min="10753" max="10753" width="9.54296875" style="217" customWidth="1"/>
    <col min="10754" max="10754" width="31.6328125" style="217" customWidth="1"/>
    <col min="10755" max="10755" width="22.54296875" style="217" customWidth="1"/>
    <col min="10756" max="10756" width="15" style="217" customWidth="1"/>
    <col min="10757" max="10757" width="16.453125" style="217" customWidth="1"/>
    <col min="10758" max="10758" width="14.36328125" style="217" customWidth="1"/>
    <col min="10759" max="10759" width="17.453125" style="217" customWidth="1"/>
    <col min="10760" max="10760" width="12.54296875" style="217" customWidth="1"/>
    <col min="10761" max="10761" width="10.54296875" style="217" customWidth="1"/>
    <col min="10762" max="11008" width="9.36328125" style="217"/>
    <col min="11009" max="11009" width="9.54296875" style="217" customWidth="1"/>
    <col min="11010" max="11010" width="31.6328125" style="217" customWidth="1"/>
    <col min="11011" max="11011" width="22.54296875" style="217" customWidth="1"/>
    <col min="11012" max="11012" width="15" style="217" customWidth="1"/>
    <col min="11013" max="11013" width="16.453125" style="217" customWidth="1"/>
    <col min="11014" max="11014" width="14.36328125" style="217" customWidth="1"/>
    <col min="11015" max="11015" width="17.453125" style="217" customWidth="1"/>
    <col min="11016" max="11016" width="12.54296875" style="217" customWidth="1"/>
    <col min="11017" max="11017" width="10.54296875" style="217" customWidth="1"/>
    <col min="11018" max="11264" width="9.36328125" style="217"/>
    <col min="11265" max="11265" width="9.54296875" style="217" customWidth="1"/>
    <col min="11266" max="11266" width="31.6328125" style="217" customWidth="1"/>
    <col min="11267" max="11267" width="22.54296875" style="217" customWidth="1"/>
    <col min="11268" max="11268" width="15" style="217" customWidth="1"/>
    <col min="11269" max="11269" width="16.453125" style="217" customWidth="1"/>
    <col min="11270" max="11270" width="14.36328125" style="217" customWidth="1"/>
    <col min="11271" max="11271" width="17.453125" style="217" customWidth="1"/>
    <col min="11272" max="11272" width="12.54296875" style="217" customWidth="1"/>
    <col min="11273" max="11273" width="10.54296875" style="217" customWidth="1"/>
    <col min="11274" max="11520" width="9.36328125" style="217"/>
    <col min="11521" max="11521" width="9.54296875" style="217" customWidth="1"/>
    <col min="11522" max="11522" width="31.6328125" style="217" customWidth="1"/>
    <col min="11523" max="11523" width="22.54296875" style="217" customWidth="1"/>
    <col min="11524" max="11524" width="15" style="217" customWidth="1"/>
    <col min="11525" max="11525" width="16.453125" style="217" customWidth="1"/>
    <col min="11526" max="11526" width="14.36328125" style="217" customWidth="1"/>
    <col min="11527" max="11527" width="17.453125" style="217" customWidth="1"/>
    <col min="11528" max="11528" width="12.54296875" style="217" customWidth="1"/>
    <col min="11529" max="11529" width="10.54296875" style="217" customWidth="1"/>
    <col min="11530" max="11776" width="9.36328125" style="217"/>
    <col min="11777" max="11777" width="9.54296875" style="217" customWidth="1"/>
    <col min="11778" max="11778" width="31.6328125" style="217" customWidth="1"/>
    <col min="11779" max="11779" width="22.54296875" style="217" customWidth="1"/>
    <col min="11780" max="11780" width="15" style="217" customWidth="1"/>
    <col min="11781" max="11781" width="16.453125" style="217" customWidth="1"/>
    <col min="11782" max="11782" width="14.36328125" style="217" customWidth="1"/>
    <col min="11783" max="11783" width="17.453125" style="217" customWidth="1"/>
    <col min="11784" max="11784" width="12.54296875" style="217" customWidth="1"/>
    <col min="11785" max="11785" width="10.54296875" style="217" customWidth="1"/>
    <col min="11786" max="12032" width="9.36328125" style="217"/>
    <col min="12033" max="12033" width="9.54296875" style="217" customWidth="1"/>
    <col min="12034" max="12034" width="31.6328125" style="217" customWidth="1"/>
    <col min="12035" max="12035" width="22.54296875" style="217" customWidth="1"/>
    <col min="12036" max="12036" width="15" style="217" customWidth="1"/>
    <col min="12037" max="12037" width="16.453125" style="217" customWidth="1"/>
    <col min="12038" max="12038" width="14.36328125" style="217" customWidth="1"/>
    <col min="12039" max="12039" width="17.453125" style="217" customWidth="1"/>
    <col min="12040" max="12040" width="12.54296875" style="217" customWidth="1"/>
    <col min="12041" max="12041" width="10.54296875" style="217" customWidth="1"/>
    <col min="12042" max="12288" width="9.36328125" style="217"/>
    <col min="12289" max="12289" width="9.54296875" style="217" customWidth="1"/>
    <col min="12290" max="12290" width="31.6328125" style="217" customWidth="1"/>
    <col min="12291" max="12291" width="22.54296875" style="217" customWidth="1"/>
    <col min="12292" max="12292" width="15" style="217" customWidth="1"/>
    <col min="12293" max="12293" width="16.453125" style="217" customWidth="1"/>
    <col min="12294" max="12294" width="14.36328125" style="217" customWidth="1"/>
    <col min="12295" max="12295" width="17.453125" style="217" customWidth="1"/>
    <col min="12296" max="12296" width="12.54296875" style="217" customWidth="1"/>
    <col min="12297" max="12297" width="10.54296875" style="217" customWidth="1"/>
    <col min="12298" max="12544" width="9.36328125" style="217"/>
    <col min="12545" max="12545" width="9.54296875" style="217" customWidth="1"/>
    <col min="12546" max="12546" width="31.6328125" style="217" customWidth="1"/>
    <col min="12547" max="12547" width="22.54296875" style="217" customWidth="1"/>
    <col min="12548" max="12548" width="15" style="217" customWidth="1"/>
    <col min="12549" max="12549" width="16.453125" style="217" customWidth="1"/>
    <col min="12550" max="12550" width="14.36328125" style="217" customWidth="1"/>
    <col min="12551" max="12551" width="17.453125" style="217" customWidth="1"/>
    <col min="12552" max="12552" width="12.54296875" style="217" customWidth="1"/>
    <col min="12553" max="12553" width="10.54296875" style="217" customWidth="1"/>
    <col min="12554" max="12800" width="9.36328125" style="217"/>
    <col min="12801" max="12801" width="9.54296875" style="217" customWidth="1"/>
    <col min="12802" max="12802" width="31.6328125" style="217" customWidth="1"/>
    <col min="12803" max="12803" width="22.54296875" style="217" customWidth="1"/>
    <col min="12804" max="12804" width="15" style="217" customWidth="1"/>
    <col min="12805" max="12805" width="16.453125" style="217" customWidth="1"/>
    <col min="12806" max="12806" width="14.36328125" style="217" customWidth="1"/>
    <col min="12807" max="12807" width="17.453125" style="217" customWidth="1"/>
    <col min="12808" max="12808" width="12.54296875" style="217" customWidth="1"/>
    <col min="12809" max="12809" width="10.54296875" style="217" customWidth="1"/>
    <col min="12810" max="13056" width="9.36328125" style="217"/>
    <col min="13057" max="13057" width="9.54296875" style="217" customWidth="1"/>
    <col min="13058" max="13058" width="31.6328125" style="217" customWidth="1"/>
    <col min="13059" max="13059" width="22.54296875" style="217" customWidth="1"/>
    <col min="13060" max="13060" width="15" style="217" customWidth="1"/>
    <col min="13061" max="13061" width="16.453125" style="217" customWidth="1"/>
    <col min="13062" max="13062" width="14.36328125" style="217" customWidth="1"/>
    <col min="13063" max="13063" width="17.453125" style="217" customWidth="1"/>
    <col min="13064" max="13064" width="12.54296875" style="217" customWidth="1"/>
    <col min="13065" max="13065" width="10.54296875" style="217" customWidth="1"/>
    <col min="13066" max="13312" width="9.36328125" style="217"/>
    <col min="13313" max="13313" width="9.54296875" style="217" customWidth="1"/>
    <col min="13314" max="13314" width="31.6328125" style="217" customWidth="1"/>
    <col min="13315" max="13315" width="22.54296875" style="217" customWidth="1"/>
    <col min="13316" max="13316" width="15" style="217" customWidth="1"/>
    <col min="13317" max="13317" width="16.453125" style="217" customWidth="1"/>
    <col min="13318" max="13318" width="14.36328125" style="217" customWidth="1"/>
    <col min="13319" max="13319" width="17.453125" style="217" customWidth="1"/>
    <col min="13320" max="13320" width="12.54296875" style="217" customWidth="1"/>
    <col min="13321" max="13321" width="10.54296875" style="217" customWidth="1"/>
    <col min="13322" max="13568" width="9.36328125" style="217"/>
    <col min="13569" max="13569" width="9.54296875" style="217" customWidth="1"/>
    <col min="13570" max="13570" width="31.6328125" style="217" customWidth="1"/>
    <col min="13571" max="13571" width="22.54296875" style="217" customWidth="1"/>
    <col min="13572" max="13572" width="15" style="217" customWidth="1"/>
    <col min="13573" max="13573" width="16.453125" style="217" customWidth="1"/>
    <col min="13574" max="13574" width="14.36328125" style="217" customWidth="1"/>
    <col min="13575" max="13575" width="17.453125" style="217" customWidth="1"/>
    <col min="13576" max="13576" width="12.54296875" style="217" customWidth="1"/>
    <col min="13577" max="13577" width="10.54296875" style="217" customWidth="1"/>
    <col min="13578" max="13824" width="9.36328125" style="217"/>
    <col min="13825" max="13825" width="9.54296875" style="217" customWidth="1"/>
    <col min="13826" max="13826" width="31.6328125" style="217" customWidth="1"/>
    <col min="13827" max="13827" width="22.54296875" style="217" customWidth="1"/>
    <col min="13828" max="13828" width="15" style="217" customWidth="1"/>
    <col min="13829" max="13829" width="16.453125" style="217" customWidth="1"/>
    <col min="13830" max="13830" width="14.36328125" style="217" customWidth="1"/>
    <col min="13831" max="13831" width="17.453125" style="217" customWidth="1"/>
    <col min="13832" max="13832" width="12.54296875" style="217" customWidth="1"/>
    <col min="13833" max="13833" width="10.54296875" style="217" customWidth="1"/>
    <col min="13834" max="14080" width="9.36328125" style="217"/>
    <col min="14081" max="14081" width="9.54296875" style="217" customWidth="1"/>
    <col min="14082" max="14082" width="31.6328125" style="217" customWidth="1"/>
    <col min="14083" max="14083" width="22.54296875" style="217" customWidth="1"/>
    <col min="14084" max="14084" width="15" style="217" customWidth="1"/>
    <col min="14085" max="14085" width="16.453125" style="217" customWidth="1"/>
    <col min="14086" max="14086" width="14.36328125" style="217" customWidth="1"/>
    <col min="14087" max="14087" width="17.453125" style="217" customWidth="1"/>
    <col min="14088" max="14088" width="12.54296875" style="217" customWidth="1"/>
    <col min="14089" max="14089" width="10.54296875" style="217" customWidth="1"/>
    <col min="14090" max="14336" width="9.36328125" style="217"/>
    <col min="14337" max="14337" width="9.54296875" style="217" customWidth="1"/>
    <col min="14338" max="14338" width="31.6328125" style="217" customWidth="1"/>
    <col min="14339" max="14339" width="22.54296875" style="217" customWidth="1"/>
    <col min="14340" max="14340" width="15" style="217" customWidth="1"/>
    <col min="14341" max="14341" width="16.453125" style="217" customWidth="1"/>
    <col min="14342" max="14342" width="14.36328125" style="217" customWidth="1"/>
    <col min="14343" max="14343" width="17.453125" style="217" customWidth="1"/>
    <col min="14344" max="14344" width="12.54296875" style="217" customWidth="1"/>
    <col min="14345" max="14345" width="10.54296875" style="217" customWidth="1"/>
    <col min="14346" max="14592" width="9.36328125" style="217"/>
    <col min="14593" max="14593" width="9.54296875" style="217" customWidth="1"/>
    <col min="14594" max="14594" width="31.6328125" style="217" customWidth="1"/>
    <col min="14595" max="14595" width="22.54296875" style="217" customWidth="1"/>
    <col min="14596" max="14596" width="15" style="217" customWidth="1"/>
    <col min="14597" max="14597" width="16.453125" style="217" customWidth="1"/>
    <col min="14598" max="14598" width="14.36328125" style="217" customWidth="1"/>
    <col min="14599" max="14599" width="17.453125" style="217" customWidth="1"/>
    <col min="14600" max="14600" width="12.54296875" style="217" customWidth="1"/>
    <col min="14601" max="14601" width="10.54296875" style="217" customWidth="1"/>
    <col min="14602" max="14848" width="9.36328125" style="217"/>
    <col min="14849" max="14849" width="9.54296875" style="217" customWidth="1"/>
    <col min="14850" max="14850" width="31.6328125" style="217" customWidth="1"/>
    <col min="14851" max="14851" width="22.54296875" style="217" customWidth="1"/>
    <col min="14852" max="14852" width="15" style="217" customWidth="1"/>
    <col min="14853" max="14853" width="16.453125" style="217" customWidth="1"/>
    <col min="14854" max="14854" width="14.36328125" style="217" customWidth="1"/>
    <col min="14855" max="14855" width="17.453125" style="217" customWidth="1"/>
    <col min="14856" max="14856" width="12.54296875" style="217" customWidth="1"/>
    <col min="14857" max="14857" width="10.54296875" style="217" customWidth="1"/>
    <col min="14858" max="15104" width="9.36328125" style="217"/>
    <col min="15105" max="15105" width="9.54296875" style="217" customWidth="1"/>
    <col min="15106" max="15106" width="31.6328125" style="217" customWidth="1"/>
    <col min="15107" max="15107" width="22.54296875" style="217" customWidth="1"/>
    <col min="15108" max="15108" width="15" style="217" customWidth="1"/>
    <col min="15109" max="15109" width="16.453125" style="217" customWidth="1"/>
    <col min="15110" max="15110" width="14.36328125" style="217" customWidth="1"/>
    <col min="15111" max="15111" width="17.453125" style="217" customWidth="1"/>
    <col min="15112" max="15112" width="12.54296875" style="217" customWidth="1"/>
    <col min="15113" max="15113" width="10.54296875" style="217" customWidth="1"/>
    <col min="15114" max="15360" width="9.36328125" style="217"/>
    <col min="15361" max="15361" width="9.54296875" style="217" customWidth="1"/>
    <col min="15362" max="15362" width="31.6328125" style="217" customWidth="1"/>
    <col min="15363" max="15363" width="22.54296875" style="217" customWidth="1"/>
    <col min="15364" max="15364" width="15" style="217" customWidth="1"/>
    <col min="15365" max="15365" width="16.453125" style="217" customWidth="1"/>
    <col min="15366" max="15366" width="14.36328125" style="217" customWidth="1"/>
    <col min="15367" max="15367" width="17.453125" style="217" customWidth="1"/>
    <col min="15368" max="15368" width="12.54296875" style="217" customWidth="1"/>
    <col min="15369" max="15369" width="10.54296875" style="217" customWidth="1"/>
    <col min="15370" max="15616" width="9.36328125" style="217"/>
    <col min="15617" max="15617" width="9.54296875" style="217" customWidth="1"/>
    <col min="15618" max="15618" width="31.6328125" style="217" customWidth="1"/>
    <col min="15619" max="15619" width="22.54296875" style="217" customWidth="1"/>
    <col min="15620" max="15620" width="15" style="217" customWidth="1"/>
    <col min="15621" max="15621" width="16.453125" style="217" customWidth="1"/>
    <col min="15622" max="15622" width="14.36328125" style="217" customWidth="1"/>
    <col min="15623" max="15623" width="17.453125" style="217" customWidth="1"/>
    <col min="15624" max="15624" width="12.54296875" style="217" customWidth="1"/>
    <col min="15625" max="15625" width="10.54296875" style="217" customWidth="1"/>
    <col min="15626" max="15872" width="9.36328125" style="217"/>
    <col min="15873" max="15873" width="9.54296875" style="217" customWidth="1"/>
    <col min="15874" max="15874" width="31.6328125" style="217" customWidth="1"/>
    <col min="15875" max="15875" width="22.54296875" style="217" customWidth="1"/>
    <col min="15876" max="15876" width="15" style="217" customWidth="1"/>
    <col min="15877" max="15877" width="16.453125" style="217" customWidth="1"/>
    <col min="15878" max="15878" width="14.36328125" style="217" customWidth="1"/>
    <col min="15879" max="15879" width="17.453125" style="217" customWidth="1"/>
    <col min="15880" max="15880" width="12.54296875" style="217" customWidth="1"/>
    <col min="15881" max="15881" width="10.54296875" style="217" customWidth="1"/>
    <col min="15882" max="16128" width="9.36328125" style="217"/>
    <col min="16129" max="16129" width="9.54296875" style="217" customWidth="1"/>
    <col min="16130" max="16130" width="31.6328125" style="217" customWidth="1"/>
    <col min="16131" max="16131" width="22.54296875" style="217" customWidth="1"/>
    <col min="16132" max="16132" width="15" style="217" customWidth="1"/>
    <col min="16133" max="16133" width="16.453125" style="217" customWidth="1"/>
    <col min="16134" max="16134" width="14.36328125" style="217" customWidth="1"/>
    <col min="16135" max="16135" width="17.453125" style="217" customWidth="1"/>
    <col min="16136" max="16136" width="12.54296875" style="217" customWidth="1"/>
    <col min="16137" max="16137" width="10.54296875" style="217" customWidth="1"/>
    <col min="16138" max="16384" width="9.36328125" style="217"/>
  </cols>
  <sheetData>
    <row r="1" spans="1:9" ht="27.75" customHeight="1">
      <c r="A1" s="4216" t="s">
        <v>339</v>
      </c>
      <c r="B1" s="4221"/>
      <c r="C1" s="4221"/>
      <c r="D1" s="4221"/>
      <c r="E1" s="4221"/>
      <c r="F1" s="4221"/>
      <c r="G1" s="4221"/>
      <c r="H1" s="4221"/>
      <c r="I1" s="4221"/>
    </row>
    <row r="2" spans="1:9" ht="21.75" customHeight="1" thickBot="1">
      <c r="A2" s="3884" t="s">
        <v>340</v>
      </c>
      <c r="B2" s="4217"/>
      <c r="C2" s="4217"/>
      <c r="D2" s="4217"/>
      <c r="E2" s="4217"/>
      <c r="F2" s="4217"/>
      <c r="G2" s="4217"/>
      <c r="H2" s="4217"/>
      <c r="I2" s="4217"/>
    </row>
    <row r="3" spans="1:9" s="234" customFormat="1" ht="16.5" customHeight="1">
      <c r="A3" s="4222" t="s">
        <v>148</v>
      </c>
      <c r="B3" s="4224" t="s">
        <v>341</v>
      </c>
      <c r="C3" s="4224" t="s">
        <v>342</v>
      </c>
      <c r="D3" s="4224" t="s">
        <v>343</v>
      </c>
      <c r="E3" s="4224" t="s">
        <v>344</v>
      </c>
      <c r="F3" s="4224" t="s">
        <v>345</v>
      </c>
      <c r="G3" s="4224" t="s">
        <v>346</v>
      </c>
      <c r="H3" s="4224" t="s">
        <v>347</v>
      </c>
      <c r="I3" s="4219" t="s">
        <v>335</v>
      </c>
    </row>
    <row r="4" spans="1:9" s="234" customFormat="1" ht="16.5" customHeight="1">
      <c r="A4" s="4223"/>
      <c r="B4" s="4225"/>
      <c r="C4" s="4225"/>
      <c r="D4" s="4225"/>
      <c r="E4" s="4225"/>
      <c r="F4" s="4225"/>
      <c r="G4" s="4225"/>
      <c r="H4" s="4225"/>
      <c r="I4" s="4220"/>
    </row>
    <row r="5" spans="1:9" ht="25.5" customHeight="1">
      <c r="A5" s="245" t="s">
        <v>133</v>
      </c>
      <c r="B5" s="246"/>
      <c r="C5" s="246"/>
      <c r="D5" s="246"/>
      <c r="E5" s="246"/>
      <c r="F5" s="246"/>
      <c r="G5" s="246"/>
      <c r="H5" s="246"/>
      <c r="I5" s="247"/>
    </row>
    <row r="6" spans="1:9" s="218" customFormat="1" ht="25.5" customHeight="1">
      <c r="A6" s="306"/>
      <c r="B6" s="331"/>
      <c r="C6" s="331"/>
      <c r="D6" s="331"/>
      <c r="E6" s="331"/>
      <c r="F6" s="331"/>
      <c r="G6" s="331"/>
      <c r="H6" s="331"/>
      <c r="I6" s="307"/>
    </row>
    <row r="7" spans="1:9" ht="25.5" customHeight="1">
      <c r="A7" s="245"/>
      <c r="B7" s="246"/>
      <c r="C7" s="246"/>
      <c r="D7" s="246"/>
      <c r="E7" s="246"/>
      <c r="F7" s="246"/>
      <c r="G7" s="246"/>
      <c r="H7" s="246"/>
      <c r="I7" s="247"/>
    </row>
    <row r="8" spans="1:9" s="218" customFormat="1" ht="25.5" customHeight="1">
      <c r="A8" s="306"/>
      <c r="B8" s="331"/>
      <c r="C8" s="331"/>
      <c r="D8" s="331"/>
      <c r="E8" s="331"/>
      <c r="F8" s="331"/>
      <c r="G8" s="331"/>
      <c r="H8" s="331"/>
      <c r="I8" s="307"/>
    </row>
    <row r="9" spans="1:9" ht="25.5" customHeight="1">
      <c r="A9" s="245"/>
      <c r="B9" s="246"/>
      <c r="C9" s="246"/>
      <c r="D9" s="246"/>
      <c r="E9" s="246"/>
      <c r="F9" s="246"/>
      <c r="G9" s="246"/>
      <c r="H9" s="246"/>
      <c r="I9" s="247"/>
    </row>
    <row r="10" spans="1:9" ht="25.5" customHeight="1">
      <c r="A10" s="306"/>
      <c r="B10" s="331"/>
      <c r="C10" s="331"/>
      <c r="D10" s="331"/>
      <c r="E10" s="331"/>
      <c r="F10" s="331"/>
      <c r="G10" s="331"/>
      <c r="H10" s="331"/>
      <c r="I10" s="307"/>
    </row>
    <row r="11" spans="1:9" ht="25.5" customHeight="1">
      <c r="A11" s="245"/>
      <c r="B11" s="246"/>
      <c r="C11" s="246"/>
      <c r="D11" s="246"/>
      <c r="E11" s="246"/>
      <c r="F11" s="246"/>
      <c r="G11" s="246"/>
      <c r="H11" s="246"/>
      <c r="I11" s="247"/>
    </row>
    <row r="12" spans="1:9" s="218" customFormat="1" ht="25.5" customHeight="1">
      <c r="A12" s="306"/>
      <c r="B12" s="331"/>
      <c r="C12" s="331"/>
      <c r="D12" s="331"/>
      <c r="E12" s="331"/>
      <c r="F12" s="331"/>
      <c r="G12" s="331"/>
      <c r="H12" s="331"/>
      <c r="I12" s="307"/>
    </row>
    <row r="13" spans="1:9" s="218" customFormat="1" ht="25.5" customHeight="1">
      <c r="A13" s="245"/>
      <c r="B13" s="246"/>
      <c r="C13" s="246"/>
      <c r="D13" s="246"/>
      <c r="E13" s="246"/>
      <c r="F13" s="246"/>
      <c r="G13" s="246"/>
      <c r="H13" s="246"/>
      <c r="I13" s="247"/>
    </row>
    <row r="14" spans="1:9" s="218" customFormat="1" ht="25.5" customHeight="1">
      <c r="A14" s="306"/>
      <c r="B14" s="331"/>
      <c r="C14" s="331"/>
      <c r="D14" s="331"/>
      <c r="E14" s="331"/>
      <c r="F14" s="331"/>
      <c r="G14" s="331"/>
      <c r="H14" s="331"/>
      <c r="I14" s="307"/>
    </row>
    <row r="15" spans="1:9" s="218" customFormat="1" ht="25.5" customHeight="1">
      <c r="A15" s="245"/>
      <c r="B15" s="246"/>
      <c r="C15" s="246"/>
      <c r="D15" s="246"/>
      <c r="E15" s="246"/>
      <c r="F15" s="246"/>
      <c r="G15" s="246"/>
      <c r="H15" s="246"/>
      <c r="I15" s="247"/>
    </row>
    <row r="16" spans="1:9" s="218" customFormat="1" ht="25.5" customHeight="1">
      <c r="A16" s="306"/>
      <c r="B16" s="331"/>
      <c r="C16" s="331"/>
      <c r="D16" s="331"/>
      <c r="E16" s="331"/>
      <c r="F16" s="331"/>
      <c r="G16" s="331"/>
      <c r="H16" s="331"/>
      <c r="I16" s="307"/>
    </row>
    <row r="17" spans="1:9" s="218" customFormat="1" ht="25.5" customHeight="1">
      <c r="A17" s="245"/>
      <c r="B17" s="246"/>
      <c r="C17" s="246"/>
      <c r="D17" s="246"/>
      <c r="E17" s="246"/>
      <c r="F17" s="246"/>
      <c r="G17" s="246"/>
      <c r="H17" s="246"/>
      <c r="I17" s="247"/>
    </row>
    <row r="18" spans="1:9" s="218" customFormat="1" ht="25.5" customHeight="1">
      <c r="A18" s="306"/>
      <c r="B18" s="331"/>
      <c r="C18" s="331"/>
      <c r="D18" s="331"/>
      <c r="E18" s="331"/>
      <c r="F18" s="331"/>
      <c r="G18" s="331"/>
      <c r="H18" s="331"/>
      <c r="I18" s="307"/>
    </row>
    <row r="19" spans="1:9" ht="25.5" customHeight="1">
      <c r="A19" s="245"/>
      <c r="B19" s="246"/>
      <c r="C19" s="246"/>
      <c r="D19" s="246"/>
      <c r="E19" s="246"/>
      <c r="F19" s="246"/>
      <c r="G19" s="246"/>
      <c r="H19" s="246"/>
      <c r="I19" s="247"/>
    </row>
    <row r="20" spans="1:9" ht="25.5" customHeight="1">
      <c r="A20" s="306"/>
      <c r="B20" s="331"/>
      <c r="C20" s="331"/>
      <c r="D20" s="331"/>
      <c r="E20" s="331"/>
      <c r="F20" s="331"/>
      <c r="G20" s="331"/>
      <c r="H20" s="331"/>
      <c r="I20" s="307"/>
    </row>
    <row r="21" spans="1:9" ht="25.5" customHeight="1">
      <c r="A21" s="245"/>
      <c r="B21" s="246"/>
      <c r="C21" s="246"/>
      <c r="D21" s="246"/>
      <c r="E21" s="246"/>
      <c r="F21" s="246"/>
      <c r="G21" s="246"/>
      <c r="H21" s="246"/>
      <c r="I21" s="247"/>
    </row>
    <row r="22" spans="1:9" s="218" customFormat="1" ht="25.5" customHeight="1">
      <c r="A22" s="306"/>
      <c r="B22" s="331"/>
      <c r="C22" s="331"/>
      <c r="D22" s="331"/>
      <c r="E22" s="331"/>
      <c r="F22" s="331"/>
      <c r="G22" s="331"/>
      <c r="H22" s="331"/>
      <c r="I22" s="307"/>
    </row>
    <row r="23" spans="1:9" s="218" customFormat="1" ht="25.5" customHeight="1">
      <c r="A23" s="245"/>
      <c r="B23" s="246"/>
      <c r="C23" s="246"/>
      <c r="D23" s="246"/>
      <c r="E23" s="246"/>
      <c r="F23" s="246"/>
      <c r="G23" s="246"/>
      <c r="H23" s="246"/>
      <c r="I23" s="247"/>
    </row>
    <row r="24" spans="1:9" s="218" customFormat="1" ht="25.5" customHeight="1">
      <c r="A24" s="306"/>
      <c r="B24" s="331"/>
      <c r="C24" s="331"/>
      <c r="D24" s="331"/>
      <c r="E24" s="331"/>
      <c r="F24" s="331"/>
      <c r="G24" s="331"/>
      <c r="H24" s="331"/>
      <c r="I24" s="307"/>
    </row>
    <row r="25" spans="1:9" s="218" customFormat="1" ht="25.5" customHeight="1">
      <c r="A25" s="245"/>
      <c r="B25" s="246"/>
      <c r="C25" s="246"/>
      <c r="D25" s="246"/>
      <c r="E25" s="246"/>
      <c r="F25" s="246"/>
      <c r="G25" s="246"/>
      <c r="H25" s="246"/>
      <c r="I25" s="247"/>
    </row>
    <row r="26" spans="1:9" s="218" customFormat="1" ht="25.5" customHeight="1">
      <c r="A26" s="306"/>
      <c r="B26" s="331"/>
      <c r="C26" s="331"/>
      <c r="D26" s="331"/>
      <c r="E26" s="331"/>
      <c r="F26" s="331"/>
      <c r="G26" s="331"/>
      <c r="H26" s="331"/>
      <c r="I26" s="307"/>
    </row>
  </sheetData>
  <mergeCells count="11">
    <mergeCell ref="I3:I4"/>
    <mergeCell ref="A1:I1"/>
    <mergeCell ref="A2:I2"/>
    <mergeCell ref="A3:A4"/>
    <mergeCell ref="B3:B4"/>
    <mergeCell ref="C3:C4"/>
    <mergeCell ref="D3:D4"/>
    <mergeCell ref="E3:E4"/>
    <mergeCell ref="F3:F4"/>
    <mergeCell ref="G3:G4"/>
    <mergeCell ref="H3:H4"/>
  </mergeCells>
  <printOptions horizontalCentered="1" verticalCentered="1"/>
  <pageMargins left="0.5" right="0.5" top="0.5" bottom="0.5" header="0.35" footer="0.35"/>
  <pageSetup scale="80"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7/8/2011&amp;C&amp;8Table 2-O:  Page &amp;P&amp;R&amp;8Printed &amp;D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
    <pageSetUpPr fitToPage="1"/>
  </sheetPr>
  <dimension ref="A1:L33"/>
  <sheetViews>
    <sheetView view="pageBreakPreview" topLeftCell="A7" zoomScaleNormal="100" zoomScaleSheetLayoutView="100" zoomScalePageLayoutView="55" workbookViewId="0">
      <selection activeCell="B21" sqref="B21:B22"/>
    </sheetView>
  </sheetViews>
  <sheetFormatPr defaultColWidth="9.36328125" defaultRowHeight="13"/>
  <cols>
    <col min="1" max="1" width="11.6328125" style="211" customWidth="1"/>
    <col min="2" max="2" width="22.54296875" style="211" customWidth="1"/>
    <col min="3" max="3" width="14.36328125" style="211" customWidth="1"/>
    <col min="4" max="4" width="13.6328125" style="211" customWidth="1"/>
    <col min="5" max="5" width="13.54296875" style="211" customWidth="1"/>
    <col min="6" max="6" width="28.54296875" style="211" customWidth="1"/>
    <col min="7" max="7" width="13.36328125" style="211" customWidth="1"/>
    <col min="8" max="8" width="35.36328125" style="211" customWidth="1"/>
    <col min="9" max="9" width="8.6328125" style="211" customWidth="1"/>
    <col min="10" max="10" width="9.36328125" style="217"/>
    <col min="11" max="11" width="9" style="217" customWidth="1"/>
    <col min="12" max="12" width="9.36328125" style="217" hidden="1" customWidth="1"/>
    <col min="13" max="256" width="9.36328125" style="217"/>
    <col min="257" max="257" width="11.6328125" style="217" customWidth="1"/>
    <col min="258" max="258" width="22.54296875" style="217" customWidth="1"/>
    <col min="259" max="259" width="14.36328125" style="217" customWidth="1"/>
    <col min="260" max="260" width="13.6328125" style="217" customWidth="1"/>
    <col min="261" max="261" width="13.54296875" style="217" customWidth="1"/>
    <col min="262" max="262" width="28.54296875" style="217" customWidth="1"/>
    <col min="263" max="263" width="13.36328125" style="217" customWidth="1"/>
    <col min="264" max="264" width="35.36328125" style="217" customWidth="1"/>
    <col min="265" max="265" width="8.6328125" style="217" customWidth="1"/>
    <col min="266" max="266" width="9.36328125" style="217"/>
    <col min="267" max="267" width="9" style="217" customWidth="1"/>
    <col min="268" max="268" width="0" style="217" hidden="1" customWidth="1"/>
    <col min="269" max="512" width="9.36328125" style="217"/>
    <col min="513" max="513" width="11.6328125" style="217" customWidth="1"/>
    <col min="514" max="514" width="22.54296875" style="217" customWidth="1"/>
    <col min="515" max="515" width="14.36328125" style="217" customWidth="1"/>
    <col min="516" max="516" width="13.6328125" style="217" customWidth="1"/>
    <col min="517" max="517" width="13.54296875" style="217" customWidth="1"/>
    <col min="518" max="518" width="28.54296875" style="217" customWidth="1"/>
    <col min="519" max="519" width="13.36328125" style="217" customWidth="1"/>
    <col min="520" max="520" width="35.36328125" style="217" customWidth="1"/>
    <col min="521" max="521" width="8.6328125" style="217" customWidth="1"/>
    <col min="522" max="522" width="9.36328125" style="217"/>
    <col min="523" max="523" width="9" style="217" customWidth="1"/>
    <col min="524" max="524" width="0" style="217" hidden="1" customWidth="1"/>
    <col min="525" max="768" width="9.36328125" style="217"/>
    <col min="769" max="769" width="11.6328125" style="217" customWidth="1"/>
    <col min="770" max="770" width="22.54296875" style="217" customWidth="1"/>
    <col min="771" max="771" width="14.36328125" style="217" customWidth="1"/>
    <col min="772" max="772" width="13.6328125" style="217" customWidth="1"/>
    <col min="773" max="773" width="13.54296875" style="217" customWidth="1"/>
    <col min="774" max="774" width="28.54296875" style="217" customWidth="1"/>
    <col min="775" max="775" width="13.36328125" style="217" customWidth="1"/>
    <col min="776" max="776" width="35.36328125" style="217" customWidth="1"/>
    <col min="777" max="777" width="8.6328125" style="217" customWidth="1"/>
    <col min="778" max="778" width="9.36328125" style="217"/>
    <col min="779" max="779" width="9" style="217" customWidth="1"/>
    <col min="780" max="780" width="0" style="217" hidden="1" customWidth="1"/>
    <col min="781" max="1024" width="9.36328125" style="217"/>
    <col min="1025" max="1025" width="11.6328125" style="217" customWidth="1"/>
    <col min="1026" max="1026" width="22.54296875" style="217" customWidth="1"/>
    <col min="1027" max="1027" width="14.36328125" style="217" customWidth="1"/>
    <col min="1028" max="1028" width="13.6328125" style="217" customWidth="1"/>
    <col min="1029" max="1029" width="13.54296875" style="217" customWidth="1"/>
    <col min="1030" max="1030" width="28.54296875" style="217" customWidth="1"/>
    <col min="1031" max="1031" width="13.36328125" style="217" customWidth="1"/>
    <col min="1032" max="1032" width="35.36328125" style="217" customWidth="1"/>
    <col min="1033" max="1033" width="8.6328125" style="217" customWidth="1"/>
    <col min="1034" max="1034" width="9.36328125" style="217"/>
    <col min="1035" max="1035" width="9" style="217" customWidth="1"/>
    <col min="1036" max="1036" width="0" style="217" hidden="1" customWidth="1"/>
    <col min="1037" max="1280" width="9.36328125" style="217"/>
    <col min="1281" max="1281" width="11.6328125" style="217" customWidth="1"/>
    <col min="1282" max="1282" width="22.54296875" style="217" customWidth="1"/>
    <col min="1283" max="1283" width="14.36328125" style="217" customWidth="1"/>
    <col min="1284" max="1284" width="13.6328125" style="217" customWidth="1"/>
    <col min="1285" max="1285" width="13.54296875" style="217" customWidth="1"/>
    <col min="1286" max="1286" width="28.54296875" style="217" customWidth="1"/>
    <col min="1287" max="1287" width="13.36328125" style="217" customWidth="1"/>
    <col min="1288" max="1288" width="35.36328125" style="217" customWidth="1"/>
    <col min="1289" max="1289" width="8.6328125" style="217" customWidth="1"/>
    <col min="1290" max="1290" width="9.36328125" style="217"/>
    <col min="1291" max="1291" width="9" style="217" customWidth="1"/>
    <col min="1292" max="1292" width="0" style="217" hidden="1" customWidth="1"/>
    <col min="1293" max="1536" width="9.36328125" style="217"/>
    <col min="1537" max="1537" width="11.6328125" style="217" customWidth="1"/>
    <col min="1538" max="1538" width="22.54296875" style="217" customWidth="1"/>
    <col min="1539" max="1539" width="14.36328125" style="217" customWidth="1"/>
    <col min="1540" max="1540" width="13.6328125" style="217" customWidth="1"/>
    <col min="1541" max="1541" width="13.54296875" style="217" customWidth="1"/>
    <col min="1542" max="1542" width="28.54296875" style="217" customWidth="1"/>
    <col min="1543" max="1543" width="13.36328125" style="217" customWidth="1"/>
    <col min="1544" max="1544" width="35.36328125" style="217" customWidth="1"/>
    <col min="1545" max="1545" width="8.6328125" style="217" customWidth="1"/>
    <col min="1546" max="1546" width="9.36328125" style="217"/>
    <col min="1547" max="1547" width="9" style="217" customWidth="1"/>
    <col min="1548" max="1548" width="0" style="217" hidden="1" customWidth="1"/>
    <col min="1549" max="1792" width="9.36328125" style="217"/>
    <col min="1793" max="1793" width="11.6328125" style="217" customWidth="1"/>
    <col min="1794" max="1794" width="22.54296875" style="217" customWidth="1"/>
    <col min="1795" max="1795" width="14.36328125" style="217" customWidth="1"/>
    <col min="1796" max="1796" width="13.6328125" style="217" customWidth="1"/>
    <col min="1797" max="1797" width="13.54296875" style="217" customWidth="1"/>
    <col min="1798" max="1798" width="28.54296875" style="217" customWidth="1"/>
    <col min="1799" max="1799" width="13.36328125" style="217" customWidth="1"/>
    <col min="1800" max="1800" width="35.36328125" style="217" customWidth="1"/>
    <col min="1801" max="1801" width="8.6328125" style="217" customWidth="1"/>
    <col min="1802" max="1802" width="9.36328125" style="217"/>
    <col min="1803" max="1803" width="9" style="217" customWidth="1"/>
    <col min="1804" max="1804" width="0" style="217" hidden="1" customWidth="1"/>
    <col min="1805" max="2048" width="9.36328125" style="217"/>
    <col min="2049" max="2049" width="11.6328125" style="217" customWidth="1"/>
    <col min="2050" max="2050" width="22.54296875" style="217" customWidth="1"/>
    <col min="2051" max="2051" width="14.36328125" style="217" customWidth="1"/>
    <col min="2052" max="2052" width="13.6328125" style="217" customWidth="1"/>
    <col min="2053" max="2053" width="13.54296875" style="217" customWidth="1"/>
    <col min="2054" max="2054" width="28.54296875" style="217" customWidth="1"/>
    <col min="2055" max="2055" width="13.36328125" style="217" customWidth="1"/>
    <col min="2056" max="2056" width="35.36328125" style="217" customWidth="1"/>
    <col min="2057" max="2057" width="8.6328125" style="217" customWidth="1"/>
    <col min="2058" max="2058" width="9.36328125" style="217"/>
    <col min="2059" max="2059" width="9" style="217" customWidth="1"/>
    <col min="2060" max="2060" width="0" style="217" hidden="1" customWidth="1"/>
    <col min="2061" max="2304" width="9.36328125" style="217"/>
    <col min="2305" max="2305" width="11.6328125" style="217" customWidth="1"/>
    <col min="2306" max="2306" width="22.54296875" style="217" customWidth="1"/>
    <col min="2307" max="2307" width="14.36328125" style="217" customWidth="1"/>
    <col min="2308" max="2308" width="13.6328125" style="217" customWidth="1"/>
    <col min="2309" max="2309" width="13.54296875" style="217" customWidth="1"/>
    <col min="2310" max="2310" width="28.54296875" style="217" customWidth="1"/>
    <col min="2311" max="2311" width="13.36328125" style="217" customWidth="1"/>
    <col min="2312" max="2312" width="35.36328125" style="217" customWidth="1"/>
    <col min="2313" max="2313" width="8.6328125" style="217" customWidth="1"/>
    <col min="2314" max="2314" width="9.36328125" style="217"/>
    <col min="2315" max="2315" width="9" style="217" customWidth="1"/>
    <col min="2316" max="2316" width="0" style="217" hidden="1" customWidth="1"/>
    <col min="2317" max="2560" width="9.36328125" style="217"/>
    <col min="2561" max="2561" width="11.6328125" style="217" customWidth="1"/>
    <col min="2562" max="2562" width="22.54296875" style="217" customWidth="1"/>
    <col min="2563" max="2563" width="14.36328125" style="217" customWidth="1"/>
    <col min="2564" max="2564" width="13.6328125" style="217" customWidth="1"/>
    <col min="2565" max="2565" width="13.54296875" style="217" customWidth="1"/>
    <col min="2566" max="2566" width="28.54296875" style="217" customWidth="1"/>
    <col min="2567" max="2567" width="13.36328125" style="217" customWidth="1"/>
    <col min="2568" max="2568" width="35.36328125" style="217" customWidth="1"/>
    <col min="2569" max="2569" width="8.6328125" style="217" customWidth="1"/>
    <col min="2570" max="2570" width="9.36328125" style="217"/>
    <col min="2571" max="2571" width="9" style="217" customWidth="1"/>
    <col min="2572" max="2572" width="0" style="217" hidden="1" customWidth="1"/>
    <col min="2573" max="2816" width="9.36328125" style="217"/>
    <col min="2817" max="2817" width="11.6328125" style="217" customWidth="1"/>
    <col min="2818" max="2818" width="22.54296875" style="217" customWidth="1"/>
    <col min="2819" max="2819" width="14.36328125" style="217" customWidth="1"/>
    <col min="2820" max="2820" width="13.6328125" style="217" customWidth="1"/>
    <col min="2821" max="2821" width="13.54296875" style="217" customWidth="1"/>
    <col min="2822" max="2822" width="28.54296875" style="217" customWidth="1"/>
    <col min="2823" max="2823" width="13.36328125" style="217" customWidth="1"/>
    <col min="2824" max="2824" width="35.36328125" style="217" customWidth="1"/>
    <col min="2825" max="2825" width="8.6328125" style="217" customWidth="1"/>
    <col min="2826" max="2826" width="9.36328125" style="217"/>
    <col min="2827" max="2827" width="9" style="217" customWidth="1"/>
    <col min="2828" max="2828" width="0" style="217" hidden="1" customWidth="1"/>
    <col min="2829" max="3072" width="9.36328125" style="217"/>
    <col min="3073" max="3073" width="11.6328125" style="217" customWidth="1"/>
    <col min="3074" max="3074" width="22.54296875" style="217" customWidth="1"/>
    <col min="3075" max="3075" width="14.36328125" style="217" customWidth="1"/>
    <col min="3076" max="3076" width="13.6328125" style="217" customWidth="1"/>
    <col min="3077" max="3077" width="13.54296875" style="217" customWidth="1"/>
    <col min="3078" max="3078" width="28.54296875" style="217" customWidth="1"/>
    <col min="3079" max="3079" width="13.36328125" style="217" customWidth="1"/>
    <col min="3080" max="3080" width="35.36328125" style="217" customWidth="1"/>
    <col min="3081" max="3081" width="8.6328125" style="217" customWidth="1"/>
    <col min="3082" max="3082" width="9.36328125" style="217"/>
    <col min="3083" max="3083" width="9" style="217" customWidth="1"/>
    <col min="3084" max="3084" width="0" style="217" hidden="1" customWidth="1"/>
    <col min="3085" max="3328" width="9.36328125" style="217"/>
    <col min="3329" max="3329" width="11.6328125" style="217" customWidth="1"/>
    <col min="3330" max="3330" width="22.54296875" style="217" customWidth="1"/>
    <col min="3331" max="3331" width="14.36328125" style="217" customWidth="1"/>
    <col min="3332" max="3332" width="13.6328125" style="217" customWidth="1"/>
    <col min="3333" max="3333" width="13.54296875" style="217" customWidth="1"/>
    <col min="3334" max="3334" width="28.54296875" style="217" customWidth="1"/>
    <col min="3335" max="3335" width="13.36328125" style="217" customWidth="1"/>
    <col min="3336" max="3336" width="35.36328125" style="217" customWidth="1"/>
    <col min="3337" max="3337" width="8.6328125" style="217" customWidth="1"/>
    <col min="3338" max="3338" width="9.36328125" style="217"/>
    <col min="3339" max="3339" width="9" style="217" customWidth="1"/>
    <col min="3340" max="3340" width="0" style="217" hidden="1" customWidth="1"/>
    <col min="3341" max="3584" width="9.36328125" style="217"/>
    <col min="3585" max="3585" width="11.6328125" style="217" customWidth="1"/>
    <col min="3586" max="3586" width="22.54296875" style="217" customWidth="1"/>
    <col min="3587" max="3587" width="14.36328125" style="217" customWidth="1"/>
    <col min="3588" max="3588" width="13.6328125" style="217" customWidth="1"/>
    <col min="3589" max="3589" width="13.54296875" style="217" customWidth="1"/>
    <col min="3590" max="3590" width="28.54296875" style="217" customWidth="1"/>
    <col min="3591" max="3591" width="13.36328125" style="217" customWidth="1"/>
    <col min="3592" max="3592" width="35.36328125" style="217" customWidth="1"/>
    <col min="3593" max="3593" width="8.6328125" style="217" customWidth="1"/>
    <col min="3594" max="3594" width="9.36328125" style="217"/>
    <col min="3595" max="3595" width="9" style="217" customWidth="1"/>
    <col min="3596" max="3596" width="0" style="217" hidden="1" customWidth="1"/>
    <col min="3597" max="3840" width="9.36328125" style="217"/>
    <col min="3841" max="3841" width="11.6328125" style="217" customWidth="1"/>
    <col min="3842" max="3842" width="22.54296875" style="217" customWidth="1"/>
    <col min="3843" max="3843" width="14.36328125" style="217" customWidth="1"/>
    <col min="3844" max="3844" width="13.6328125" style="217" customWidth="1"/>
    <col min="3845" max="3845" width="13.54296875" style="217" customWidth="1"/>
    <col min="3846" max="3846" width="28.54296875" style="217" customWidth="1"/>
    <col min="3847" max="3847" width="13.36328125" style="217" customWidth="1"/>
    <col min="3848" max="3848" width="35.36328125" style="217" customWidth="1"/>
    <col min="3849" max="3849" width="8.6328125" style="217" customWidth="1"/>
    <col min="3850" max="3850" width="9.36328125" style="217"/>
    <col min="3851" max="3851" width="9" style="217" customWidth="1"/>
    <col min="3852" max="3852" width="0" style="217" hidden="1" customWidth="1"/>
    <col min="3853" max="4096" width="9.36328125" style="217"/>
    <col min="4097" max="4097" width="11.6328125" style="217" customWidth="1"/>
    <col min="4098" max="4098" width="22.54296875" style="217" customWidth="1"/>
    <col min="4099" max="4099" width="14.36328125" style="217" customWidth="1"/>
    <col min="4100" max="4100" width="13.6328125" style="217" customWidth="1"/>
    <col min="4101" max="4101" width="13.54296875" style="217" customWidth="1"/>
    <col min="4102" max="4102" width="28.54296875" style="217" customWidth="1"/>
    <col min="4103" max="4103" width="13.36328125" style="217" customWidth="1"/>
    <col min="4104" max="4104" width="35.36328125" style="217" customWidth="1"/>
    <col min="4105" max="4105" width="8.6328125" style="217" customWidth="1"/>
    <col min="4106" max="4106" width="9.36328125" style="217"/>
    <col min="4107" max="4107" width="9" style="217" customWidth="1"/>
    <col min="4108" max="4108" width="0" style="217" hidden="1" customWidth="1"/>
    <col min="4109" max="4352" width="9.36328125" style="217"/>
    <col min="4353" max="4353" width="11.6328125" style="217" customWidth="1"/>
    <col min="4354" max="4354" width="22.54296875" style="217" customWidth="1"/>
    <col min="4355" max="4355" width="14.36328125" style="217" customWidth="1"/>
    <col min="4356" max="4356" width="13.6328125" style="217" customWidth="1"/>
    <col min="4357" max="4357" width="13.54296875" style="217" customWidth="1"/>
    <col min="4358" max="4358" width="28.54296875" style="217" customWidth="1"/>
    <col min="4359" max="4359" width="13.36328125" style="217" customWidth="1"/>
    <col min="4360" max="4360" width="35.36328125" style="217" customWidth="1"/>
    <col min="4361" max="4361" width="8.6328125" style="217" customWidth="1"/>
    <col min="4362" max="4362" width="9.36328125" style="217"/>
    <col min="4363" max="4363" width="9" style="217" customWidth="1"/>
    <col min="4364" max="4364" width="0" style="217" hidden="1" customWidth="1"/>
    <col min="4365" max="4608" width="9.36328125" style="217"/>
    <col min="4609" max="4609" width="11.6328125" style="217" customWidth="1"/>
    <col min="4610" max="4610" width="22.54296875" style="217" customWidth="1"/>
    <col min="4611" max="4611" width="14.36328125" style="217" customWidth="1"/>
    <col min="4612" max="4612" width="13.6328125" style="217" customWidth="1"/>
    <col min="4613" max="4613" width="13.54296875" style="217" customWidth="1"/>
    <col min="4614" max="4614" width="28.54296875" style="217" customWidth="1"/>
    <col min="4615" max="4615" width="13.36328125" style="217" customWidth="1"/>
    <col min="4616" max="4616" width="35.36328125" style="217" customWidth="1"/>
    <col min="4617" max="4617" width="8.6328125" style="217" customWidth="1"/>
    <col min="4618" max="4618" width="9.36328125" style="217"/>
    <col min="4619" max="4619" width="9" style="217" customWidth="1"/>
    <col min="4620" max="4620" width="0" style="217" hidden="1" customWidth="1"/>
    <col min="4621" max="4864" width="9.36328125" style="217"/>
    <col min="4865" max="4865" width="11.6328125" style="217" customWidth="1"/>
    <col min="4866" max="4866" width="22.54296875" style="217" customWidth="1"/>
    <col min="4867" max="4867" width="14.36328125" style="217" customWidth="1"/>
    <col min="4868" max="4868" width="13.6328125" style="217" customWidth="1"/>
    <col min="4869" max="4869" width="13.54296875" style="217" customWidth="1"/>
    <col min="4870" max="4870" width="28.54296875" style="217" customWidth="1"/>
    <col min="4871" max="4871" width="13.36328125" style="217" customWidth="1"/>
    <col min="4872" max="4872" width="35.36328125" style="217" customWidth="1"/>
    <col min="4873" max="4873" width="8.6328125" style="217" customWidth="1"/>
    <col min="4874" max="4874" width="9.36328125" style="217"/>
    <col min="4875" max="4875" width="9" style="217" customWidth="1"/>
    <col min="4876" max="4876" width="0" style="217" hidden="1" customWidth="1"/>
    <col min="4877" max="5120" width="9.36328125" style="217"/>
    <col min="5121" max="5121" width="11.6328125" style="217" customWidth="1"/>
    <col min="5122" max="5122" width="22.54296875" style="217" customWidth="1"/>
    <col min="5123" max="5123" width="14.36328125" style="217" customWidth="1"/>
    <col min="5124" max="5124" width="13.6328125" style="217" customWidth="1"/>
    <col min="5125" max="5125" width="13.54296875" style="217" customWidth="1"/>
    <col min="5126" max="5126" width="28.54296875" style="217" customWidth="1"/>
    <col min="5127" max="5127" width="13.36328125" style="217" customWidth="1"/>
    <col min="5128" max="5128" width="35.36328125" style="217" customWidth="1"/>
    <col min="5129" max="5129" width="8.6328125" style="217" customWidth="1"/>
    <col min="5130" max="5130" width="9.36328125" style="217"/>
    <col min="5131" max="5131" width="9" style="217" customWidth="1"/>
    <col min="5132" max="5132" width="0" style="217" hidden="1" customWidth="1"/>
    <col min="5133" max="5376" width="9.36328125" style="217"/>
    <col min="5377" max="5377" width="11.6328125" style="217" customWidth="1"/>
    <col min="5378" max="5378" width="22.54296875" style="217" customWidth="1"/>
    <col min="5379" max="5379" width="14.36328125" style="217" customWidth="1"/>
    <col min="5380" max="5380" width="13.6328125" style="217" customWidth="1"/>
    <col min="5381" max="5381" width="13.54296875" style="217" customWidth="1"/>
    <col min="5382" max="5382" width="28.54296875" style="217" customWidth="1"/>
    <col min="5383" max="5383" width="13.36328125" style="217" customWidth="1"/>
    <col min="5384" max="5384" width="35.36328125" style="217" customWidth="1"/>
    <col min="5385" max="5385" width="8.6328125" style="217" customWidth="1"/>
    <col min="5386" max="5386" width="9.36328125" style="217"/>
    <col min="5387" max="5387" width="9" style="217" customWidth="1"/>
    <col min="5388" max="5388" width="0" style="217" hidden="1" customWidth="1"/>
    <col min="5389" max="5632" width="9.36328125" style="217"/>
    <col min="5633" max="5633" width="11.6328125" style="217" customWidth="1"/>
    <col min="5634" max="5634" width="22.54296875" style="217" customWidth="1"/>
    <col min="5635" max="5635" width="14.36328125" style="217" customWidth="1"/>
    <col min="5636" max="5636" width="13.6328125" style="217" customWidth="1"/>
    <col min="5637" max="5637" width="13.54296875" style="217" customWidth="1"/>
    <col min="5638" max="5638" width="28.54296875" style="217" customWidth="1"/>
    <col min="5639" max="5639" width="13.36328125" style="217" customWidth="1"/>
    <col min="5640" max="5640" width="35.36328125" style="217" customWidth="1"/>
    <col min="5641" max="5641" width="8.6328125" style="217" customWidth="1"/>
    <col min="5642" max="5642" width="9.36328125" style="217"/>
    <col min="5643" max="5643" width="9" style="217" customWidth="1"/>
    <col min="5644" max="5644" width="0" style="217" hidden="1" customWidth="1"/>
    <col min="5645" max="5888" width="9.36328125" style="217"/>
    <col min="5889" max="5889" width="11.6328125" style="217" customWidth="1"/>
    <col min="5890" max="5890" width="22.54296875" style="217" customWidth="1"/>
    <col min="5891" max="5891" width="14.36328125" style="217" customWidth="1"/>
    <col min="5892" max="5892" width="13.6328125" style="217" customWidth="1"/>
    <col min="5893" max="5893" width="13.54296875" style="217" customWidth="1"/>
    <col min="5894" max="5894" width="28.54296875" style="217" customWidth="1"/>
    <col min="5895" max="5895" width="13.36328125" style="217" customWidth="1"/>
    <col min="5896" max="5896" width="35.36328125" style="217" customWidth="1"/>
    <col min="5897" max="5897" width="8.6328125" style="217" customWidth="1"/>
    <col min="5898" max="5898" width="9.36328125" style="217"/>
    <col min="5899" max="5899" width="9" style="217" customWidth="1"/>
    <col min="5900" max="5900" width="0" style="217" hidden="1" customWidth="1"/>
    <col min="5901" max="6144" width="9.36328125" style="217"/>
    <col min="6145" max="6145" width="11.6328125" style="217" customWidth="1"/>
    <col min="6146" max="6146" width="22.54296875" style="217" customWidth="1"/>
    <col min="6147" max="6147" width="14.36328125" style="217" customWidth="1"/>
    <col min="6148" max="6148" width="13.6328125" style="217" customWidth="1"/>
    <col min="6149" max="6149" width="13.54296875" style="217" customWidth="1"/>
    <col min="6150" max="6150" width="28.54296875" style="217" customWidth="1"/>
    <col min="6151" max="6151" width="13.36328125" style="217" customWidth="1"/>
    <col min="6152" max="6152" width="35.36328125" style="217" customWidth="1"/>
    <col min="6153" max="6153" width="8.6328125" style="217" customWidth="1"/>
    <col min="6154" max="6154" width="9.36328125" style="217"/>
    <col min="6155" max="6155" width="9" style="217" customWidth="1"/>
    <col min="6156" max="6156" width="0" style="217" hidden="1" customWidth="1"/>
    <col min="6157" max="6400" width="9.36328125" style="217"/>
    <col min="6401" max="6401" width="11.6328125" style="217" customWidth="1"/>
    <col min="6402" max="6402" width="22.54296875" style="217" customWidth="1"/>
    <col min="6403" max="6403" width="14.36328125" style="217" customWidth="1"/>
    <col min="6404" max="6404" width="13.6328125" style="217" customWidth="1"/>
    <col min="6405" max="6405" width="13.54296875" style="217" customWidth="1"/>
    <col min="6406" max="6406" width="28.54296875" style="217" customWidth="1"/>
    <col min="6407" max="6407" width="13.36328125" style="217" customWidth="1"/>
    <col min="6408" max="6408" width="35.36328125" style="217" customWidth="1"/>
    <col min="6409" max="6409" width="8.6328125" style="217" customWidth="1"/>
    <col min="6410" max="6410" width="9.36328125" style="217"/>
    <col min="6411" max="6411" width="9" style="217" customWidth="1"/>
    <col min="6412" max="6412" width="0" style="217" hidden="1" customWidth="1"/>
    <col min="6413" max="6656" width="9.36328125" style="217"/>
    <col min="6657" max="6657" width="11.6328125" style="217" customWidth="1"/>
    <col min="6658" max="6658" width="22.54296875" style="217" customWidth="1"/>
    <col min="6659" max="6659" width="14.36328125" style="217" customWidth="1"/>
    <col min="6660" max="6660" width="13.6328125" style="217" customWidth="1"/>
    <col min="6661" max="6661" width="13.54296875" style="217" customWidth="1"/>
    <col min="6662" max="6662" width="28.54296875" style="217" customWidth="1"/>
    <col min="6663" max="6663" width="13.36328125" style="217" customWidth="1"/>
    <col min="6664" max="6664" width="35.36328125" style="217" customWidth="1"/>
    <col min="6665" max="6665" width="8.6328125" style="217" customWidth="1"/>
    <col min="6666" max="6666" width="9.36328125" style="217"/>
    <col min="6667" max="6667" width="9" style="217" customWidth="1"/>
    <col min="6668" max="6668" width="0" style="217" hidden="1" customWidth="1"/>
    <col min="6669" max="6912" width="9.36328125" style="217"/>
    <col min="6913" max="6913" width="11.6328125" style="217" customWidth="1"/>
    <col min="6914" max="6914" width="22.54296875" style="217" customWidth="1"/>
    <col min="6915" max="6915" width="14.36328125" style="217" customWidth="1"/>
    <col min="6916" max="6916" width="13.6328125" style="217" customWidth="1"/>
    <col min="6917" max="6917" width="13.54296875" style="217" customWidth="1"/>
    <col min="6918" max="6918" width="28.54296875" style="217" customWidth="1"/>
    <col min="6919" max="6919" width="13.36328125" style="217" customWidth="1"/>
    <col min="6920" max="6920" width="35.36328125" style="217" customWidth="1"/>
    <col min="6921" max="6921" width="8.6328125" style="217" customWidth="1"/>
    <col min="6922" max="6922" width="9.36328125" style="217"/>
    <col min="6923" max="6923" width="9" style="217" customWidth="1"/>
    <col min="6924" max="6924" width="0" style="217" hidden="1" customWidth="1"/>
    <col min="6925" max="7168" width="9.36328125" style="217"/>
    <col min="7169" max="7169" width="11.6328125" style="217" customWidth="1"/>
    <col min="7170" max="7170" width="22.54296875" style="217" customWidth="1"/>
    <col min="7171" max="7171" width="14.36328125" style="217" customWidth="1"/>
    <col min="7172" max="7172" width="13.6328125" style="217" customWidth="1"/>
    <col min="7173" max="7173" width="13.54296875" style="217" customWidth="1"/>
    <col min="7174" max="7174" width="28.54296875" style="217" customWidth="1"/>
    <col min="7175" max="7175" width="13.36328125" style="217" customWidth="1"/>
    <col min="7176" max="7176" width="35.36328125" style="217" customWidth="1"/>
    <col min="7177" max="7177" width="8.6328125" style="217" customWidth="1"/>
    <col min="7178" max="7178" width="9.36328125" style="217"/>
    <col min="7179" max="7179" width="9" style="217" customWidth="1"/>
    <col min="7180" max="7180" width="0" style="217" hidden="1" customWidth="1"/>
    <col min="7181" max="7424" width="9.36328125" style="217"/>
    <col min="7425" max="7425" width="11.6328125" style="217" customWidth="1"/>
    <col min="7426" max="7426" width="22.54296875" style="217" customWidth="1"/>
    <col min="7427" max="7427" width="14.36328125" style="217" customWidth="1"/>
    <col min="7428" max="7428" width="13.6328125" style="217" customWidth="1"/>
    <col min="7429" max="7429" width="13.54296875" style="217" customWidth="1"/>
    <col min="7430" max="7430" width="28.54296875" style="217" customWidth="1"/>
    <col min="7431" max="7431" width="13.36328125" style="217" customWidth="1"/>
    <col min="7432" max="7432" width="35.36328125" style="217" customWidth="1"/>
    <col min="7433" max="7433" width="8.6328125" style="217" customWidth="1"/>
    <col min="7434" max="7434" width="9.36328125" style="217"/>
    <col min="7435" max="7435" width="9" style="217" customWidth="1"/>
    <col min="7436" max="7436" width="0" style="217" hidden="1" customWidth="1"/>
    <col min="7437" max="7680" width="9.36328125" style="217"/>
    <col min="7681" max="7681" width="11.6328125" style="217" customWidth="1"/>
    <col min="7682" max="7682" width="22.54296875" style="217" customWidth="1"/>
    <col min="7683" max="7683" width="14.36328125" style="217" customWidth="1"/>
    <col min="7684" max="7684" width="13.6328125" style="217" customWidth="1"/>
    <col min="7685" max="7685" width="13.54296875" style="217" customWidth="1"/>
    <col min="7686" max="7686" width="28.54296875" style="217" customWidth="1"/>
    <col min="7687" max="7687" width="13.36328125" style="217" customWidth="1"/>
    <col min="7688" max="7688" width="35.36328125" style="217" customWidth="1"/>
    <col min="7689" max="7689" width="8.6328125" style="217" customWidth="1"/>
    <col min="7690" max="7690" width="9.36328125" style="217"/>
    <col min="7691" max="7691" width="9" style="217" customWidth="1"/>
    <col min="7692" max="7692" width="0" style="217" hidden="1" customWidth="1"/>
    <col min="7693" max="7936" width="9.36328125" style="217"/>
    <col min="7937" max="7937" width="11.6328125" style="217" customWidth="1"/>
    <col min="7938" max="7938" width="22.54296875" style="217" customWidth="1"/>
    <col min="7939" max="7939" width="14.36328125" style="217" customWidth="1"/>
    <col min="7940" max="7940" width="13.6328125" style="217" customWidth="1"/>
    <col min="7941" max="7941" width="13.54296875" style="217" customWidth="1"/>
    <col min="7942" max="7942" width="28.54296875" style="217" customWidth="1"/>
    <col min="7943" max="7943" width="13.36328125" style="217" customWidth="1"/>
    <col min="7944" max="7944" width="35.36328125" style="217" customWidth="1"/>
    <col min="7945" max="7945" width="8.6328125" style="217" customWidth="1"/>
    <col min="7946" max="7946" width="9.36328125" style="217"/>
    <col min="7947" max="7947" width="9" style="217" customWidth="1"/>
    <col min="7948" max="7948" width="0" style="217" hidden="1" customWidth="1"/>
    <col min="7949" max="8192" width="9.36328125" style="217"/>
    <col min="8193" max="8193" width="11.6328125" style="217" customWidth="1"/>
    <col min="8194" max="8194" width="22.54296875" style="217" customWidth="1"/>
    <col min="8195" max="8195" width="14.36328125" style="217" customWidth="1"/>
    <col min="8196" max="8196" width="13.6328125" style="217" customWidth="1"/>
    <col min="8197" max="8197" width="13.54296875" style="217" customWidth="1"/>
    <col min="8198" max="8198" width="28.54296875" style="217" customWidth="1"/>
    <col min="8199" max="8199" width="13.36328125" style="217" customWidth="1"/>
    <col min="8200" max="8200" width="35.36328125" style="217" customWidth="1"/>
    <col min="8201" max="8201" width="8.6328125" style="217" customWidth="1"/>
    <col min="8202" max="8202" width="9.36328125" style="217"/>
    <col min="8203" max="8203" width="9" style="217" customWidth="1"/>
    <col min="8204" max="8204" width="0" style="217" hidden="1" customWidth="1"/>
    <col min="8205" max="8448" width="9.36328125" style="217"/>
    <col min="8449" max="8449" width="11.6328125" style="217" customWidth="1"/>
    <col min="8450" max="8450" width="22.54296875" style="217" customWidth="1"/>
    <col min="8451" max="8451" width="14.36328125" style="217" customWidth="1"/>
    <col min="8452" max="8452" width="13.6328125" style="217" customWidth="1"/>
    <col min="8453" max="8453" width="13.54296875" style="217" customWidth="1"/>
    <col min="8454" max="8454" width="28.54296875" style="217" customWidth="1"/>
    <col min="8455" max="8455" width="13.36328125" style="217" customWidth="1"/>
    <col min="8456" max="8456" width="35.36328125" style="217" customWidth="1"/>
    <col min="8457" max="8457" width="8.6328125" style="217" customWidth="1"/>
    <col min="8458" max="8458" width="9.36328125" style="217"/>
    <col min="8459" max="8459" width="9" style="217" customWidth="1"/>
    <col min="8460" max="8460" width="0" style="217" hidden="1" customWidth="1"/>
    <col min="8461" max="8704" width="9.36328125" style="217"/>
    <col min="8705" max="8705" width="11.6328125" style="217" customWidth="1"/>
    <col min="8706" max="8706" width="22.54296875" style="217" customWidth="1"/>
    <col min="8707" max="8707" width="14.36328125" style="217" customWidth="1"/>
    <col min="8708" max="8708" width="13.6328125" style="217" customWidth="1"/>
    <col min="8709" max="8709" width="13.54296875" style="217" customWidth="1"/>
    <col min="8710" max="8710" width="28.54296875" style="217" customWidth="1"/>
    <col min="8711" max="8711" width="13.36328125" style="217" customWidth="1"/>
    <col min="8712" max="8712" width="35.36328125" style="217" customWidth="1"/>
    <col min="8713" max="8713" width="8.6328125" style="217" customWidth="1"/>
    <col min="8714" max="8714" width="9.36328125" style="217"/>
    <col min="8715" max="8715" width="9" style="217" customWidth="1"/>
    <col min="8716" max="8716" width="0" style="217" hidden="1" customWidth="1"/>
    <col min="8717" max="8960" width="9.36328125" style="217"/>
    <col min="8961" max="8961" width="11.6328125" style="217" customWidth="1"/>
    <col min="8962" max="8962" width="22.54296875" style="217" customWidth="1"/>
    <col min="8963" max="8963" width="14.36328125" style="217" customWidth="1"/>
    <col min="8964" max="8964" width="13.6328125" style="217" customWidth="1"/>
    <col min="8965" max="8965" width="13.54296875" style="217" customWidth="1"/>
    <col min="8966" max="8966" width="28.54296875" style="217" customWidth="1"/>
    <col min="8967" max="8967" width="13.36328125" style="217" customWidth="1"/>
    <col min="8968" max="8968" width="35.36328125" style="217" customWidth="1"/>
    <col min="8969" max="8969" width="8.6328125" style="217" customWidth="1"/>
    <col min="8970" max="8970" width="9.36328125" style="217"/>
    <col min="8971" max="8971" width="9" style="217" customWidth="1"/>
    <col min="8972" max="8972" width="0" style="217" hidden="1" customWidth="1"/>
    <col min="8973" max="9216" width="9.36328125" style="217"/>
    <col min="9217" max="9217" width="11.6328125" style="217" customWidth="1"/>
    <col min="9218" max="9218" width="22.54296875" style="217" customWidth="1"/>
    <col min="9219" max="9219" width="14.36328125" style="217" customWidth="1"/>
    <col min="9220" max="9220" width="13.6328125" style="217" customWidth="1"/>
    <col min="9221" max="9221" width="13.54296875" style="217" customWidth="1"/>
    <col min="9222" max="9222" width="28.54296875" style="217" customWidth="1"/>
    <col min="9223" max="9223" width="13.36328125" style="217" customWidth="1"/>
    <col min="9224" max="9224" width="35.36328125" style="217" customWidth="1"/>
    <col min="9225" max="9225" width="8.6328125" style="217" customWidth="1"/>
    <col min="9226" max="9226" width="9.36328125" style="217"/>
    <col min="9227" max="9227" width="9" style="217" customWidth="1"/>
    <col min="9228" max="9228" width="0" style="217" hidden="1" customWidth="1"/>
    <col min="9229" max="9472" width="9.36328125" style="217"/>
    <col min="9473" max="9473" width="11.6328125" style="217" customWidth="1"/>
    <col min="9474" max="9474" width="22.54296875" style="217" customWidth="1"/>
    <col min="9475" max="9475" width="14.36328125" style="217" customWidth="1"/>
    <col min="9476" max="9476" width="13.6328125" style="217" customWidth="1"/>
    <col min="9477" max="9477" width="13.54296875" style="217" customWidth="1"/>
    <col min="9478" max="9478" width="28.54296875" style="217" customWidth="1"/>
    <col min="9479" max="9479" width="13.36328125" style="217" customWidth="1"/>
    <col min="9480" max="9480" width="35.36328125" style="217" customWidth="1"/>
    <col min="9481" max="9481" width="8.6328125" style="217" customWidth="1"/>
    <col min="9482" max="9482" width="9.36328125" style="217"/>
    <col min="9483" max="9483" width="9" style="217" customWidth="1"/>
    <col min="9484" max="9484" width="0" style="217" hidden="1" customWidth="1"/>
    <col min="9485" max="9728" width="9.36328125" style="217"/>
    <col min="9729" max="9729" width="11.6328125" style="217" customWidth="1"/>
    <col min="9730" max="9730" width="22.54296875" style="217" customWidth="1"/>
    <col min="9731" max="9731" width="14.36328125" style="217" customWidth="1"/>
    <col min="9732" max="9732" width="13.6328125" style="217" customWidth="1"/>
    <col min="9733" max="9733" width="13.54296875" style="217" customWidth="1"/>
    <col min="9734" max="9734" width="28.54296875" style="217" customWidth="1"/>
    <col min="9735" max="9735" width="13.36328125" style="217" customWidth="1"/>
    <col min="9736" max="9736" width="35.36328125" style="217" customWidth="1"/>
    <col min="9737" max="9737" width="8.6328125" style="217" customWidth="1"/>
    <col min="9738" max="9738" width="9.36328125" style="217"/>
    <col min="9739" max="9739" width="9" style="217" customWidth="1"/>
    <col min="9740" max="9740" width="0" style="217" hidden="1" customWidth="1"/>
    <col min="9741" max="9984" width="9.36328125" style="217"/>
    <col min="9985" max="9985" width="11.6328125" style="217" customWidth="1"/>
    <col min="9986" max="9986" width="22.54296875" style="217" customWidth="1"/>
    <col min="9987" max="9987" width="14.36328125" style="217" customWidth="1"/>
    <col min="9988" max="9988" width="13.6328125" style="217" customWidth="1"/>
    <col min="9989" max="9989" width="13.54296875" style="217" customWidth="1"/>
    <col min="9990" max="9990" width="28.54296875" style="217" customWidth="1"/>
    <col min="9991" max="9991" width="13.36328125" style="217" customWidth="1"/>
    <col min="9992" max="9992" width="35.36328125" style="217" customWidth="1"/>
    <col min="9993" max="9993" width="8.6328125" style="217" customWidth="1"/>
    <col min="9994" max="9994" width="9.36328125" style="217"/>
    <col min="9995" max="9995" width="9" style="217" customWidth="1"/>
    <col min="9996" max="9996" width="0" style="217" hidden="1" customWidth="1"/>
    <col min="9997" max="10240" width="9.36328125" style="217"/>
    <col min="10241" max="10241" width="11.6328125" style="217" customWidth="1"/>
    <col min="10242" max="10242" width="22.54296875" style="217" customWidth="1"/>
    <col min="10243" max="10243" width="14.36328125" style="217" customWidth="1"/>
    <col min="10244" max="10244" width="13.6328125" style="217" customWidth="1"/>
    <col min="10245" max="10245" width="13.54296875" style="217" customWidth="1"/>
    <col min="10246" max="10246" width="28.54296875" style="217" customWidth="1"/>
    <col min="10247" max="10247" width="13.36328125" style="217" customWidth="1"/>
    <col min="10248" max="10248" width="35.36328125" style="217" customWidth="1"/>
    <col min="10249" max="10249" width="8.6328125" style="217" customWidth="1"/>
    <col min="10250" max="10250" width="9.36328125" style="217"/>
    <col min="10251" max="10251" width="9" style="217" customWidth="1"/>
    <col min="10252" max="10252" width="0" style="217" hidden="1" customWidth="1"/>
    <col min="10253" max="10496" width="9.36328125" style="217"/>
    <col min="10497" max="10497" width="11.6328125" style="217" customWidth="1"/>
    <col min="10498" max="10498" width="22.54296875" style="217" customWidth="1"/>
    <col min="10499" max="10499" width="14.36328125" style="217" customWidth="1"/>
    <col min="10500" max="10500" width="13.6328125" style="217" customWidth="1"/>
    <col min="10501" max="10501" width="13.54296875" style="217" customWidth="1"/>
    <col min="10502" max="10502" width="28.54296875" style="217" customWidth="1"/>
    <col min="10503" max="10503" width="13.36328125" style="217" customWidth="1"/>
    <col min="10504" max="10504" width="35.36328125" style="217" customWidth="1"/>
    <col min="10505" max="10505" width="8.6328125" style="217" customWidth="1"/>
    <col min="10506" max="10506" width="9.36328125" style="217"/>
    <col min="10507" max="10507" width="9" style="217" customWidth="1"/>
    <col min="10508" max="10508" width="0" style="217" hidden="1" customWidth="1"/>
    <col min="10509" max="10752" width="9.36328125" style="217"/>
    <col min="10753" max="10753" width="11.6328125" style="217" customWidth="1"/>
    <col min="10754" max="10754" width="22.54296875" style="217" customWidth="1"/>
    <col min="10755" max="10755" width="14.36328125" style="217" customWidth="1"/>
    <col min="10756" max="10756" width="13.6328125" style="217" customWidth="1"/>
    <col min="10757" max="10757" width="13.54296875" style="217" customWidth="1"/>
    <col min="10758" max="10758" width="28.54296875" style="217" customWidth="1"/>
    <col min="10759" max="10759" width="13.36328125" style="217" customWidth="1"/>
    <col min="10760" max="10760" width="35.36328125" style="217" customWidth="1"/>
    <col min="10761" max="10761" width="8.6328125" style="217" customWidth="1"/>
    <col min="10762" max="10762" width="9.36328125" style="217"/>
    <col min="10763" max="10763" width="9" style="217" customWidth="1"/>
    <col min="10764" max="10764" width="0" style="217" hidden="1" customWidth="1"/>
    <col min="10765" max="11008" width="9.36328125" style="217"/>
    <col min="11009" max="11009" width="11.6328125" style="217" customWidth="1"/>
    <col min="11010" max="11010" width="22.54296875" style="217" customWidth="1"/>
    <col min="11011" max="11011" width="14.36328125" style="217" customWidth="1"/>
    <col min="11012" max="11012" width="13.6328125" style="217" customWidth="1"/>
    <col min="11013" max="11013" width="13.54296875" style="217" customWidth="1"/>
    <col min="11014" max="11014" width="28.54296875" style="217" customWidth="1"/>
    <col min="11015" max="11015" width="13.36328125" style="217" customWidth="1"/>
    <col min="11016" max="11016" width="35.36328125" style="217" customWidth="1"/>
    <col min="11017" max="11017" width="8.6328125" style="217" customWidth="1"/>
    <col min="11018" max="11018" width="9.36328125" style="217"/>
    <col min="11019" max="11019" width="9" style="217" customWidth="1"/>
    <col min="11020" max="11020" width="0" style="217" hidden="1" customWidth="1"/>
    <col min="11021" max="11264" width="9.36328125" style="217"/>
    <col min="11265" max="11265" width="11.6328125" style="217" customWidth="1"/>
    <col min="11266" max="11266" width="22.54296875" style="217" customWidth="1"/>
    <col min="11267" max="11267" width="14.36328125" style="217" customWidth="1"/>
    <col min="11268" max="11268" width="13.6328125" style="217" customWidth="1"/>
    <col min="11269" max="11269" width="13.54296875" style="217" customWidth="1"/>
    <col min="11270" max="11270" width="28.54296875" style="217" customWidth="1"/>
    <col min="11271" max="11271" width="13.36328125" style="217" customWidth="1"/>
    <col min="11272" max="11272" width="35.36328125" style="217" customWidth="1"/>
    <col min="11273" max="11273" width="8.6328125" style="217" customWidth="1"/>
    <col min="11274" max="11274" width="9.36328125" style="217"/>
    <col min="11275" max="11275" width="9" style="217" customWidth="1"/>
    <col min="11276" max="11276" width="0" style="217" hidden="1" customWidth="1"/>
    <col min="11277" max="11520" width="9.36328125" style="217"/>
    <col min="11521" max="11521" width="11.6328125" style="217" customWidth="1"/>
    <col min="11522" max="11522" width="22.54296875" style="217" customWidth="1"/>
    <col min="11523" max="11523" width="14.36328125" style="217" customWidth="1"/>
    <col min="11524" max="11524" width="13.6328125" style="217" customWidth="1"/>
    <col min="11525" max="11525" width="13.54296875" style="217" customWidth="1"/>
    <col min="11526" max="11526" width="28.54296875" style="217" customWidth="1"/>
    <col min="11527" max="11527" width="13.36328125" style="217" customWidth="1"/>
    <col min="11528" max="11528" width="35.36328125" style="217" customWidth="1"/>
    <col min="11529" max="11529" width="8.6328125" style="217" customWidth="1"/>
    <col min="11530" max="11530" width="9.36328125" style="217"/>
    <col min="11531" max="11531" width="9" style="217" customWidth="1"/>
    <col min="11532" max="11532" width="0" style="217" hidden="1" customWidth="1"/>
    <col min="11533" max="11776" width="9.36328125" style="217"/>
    <col min="11777" max="11777" width="11.6328125" style="217" customWidth="1"/>
    <col min="11778" max="11778" width="22.54296875" style="217" customWidth="1"/>
    <col min="11779" max="11779" width="14.36328125" style="217" customWidth="1"/>
    <col min="11780" max="11780" width="13.6328125" style="217" customWidth="1"/>
    <col min="11781" max="11781" width="13.54296875" style="217" customWidth="1"/>
    <col min="11782" max="11782" width="28.54296875" style="217" customWidth="1"/>
    <col min="11783" max="11783" width="13.36328125" style="217" customWidth="1"/>
    <col min="11784" max="11784" width="35.36328125" style="217" customWidth="1"/>
    <col min="11785" max="11785" width="8.6328125" style="217" customWidth="1"/>
    <col min="11786" max="11786" width="9.36328125" style="217"/>
    <col min="11787" max="11787" width="9" style="217" customWidth="1"/>
    <col min="11788" max="11788" width="0" style="217" hidden="1" customWidth="1"/>
    <col min="11789" max="12032" width="9.36328125" style="217"/>
    <col min="12033" max="12033" width="11.6328125" style="217" customWidth="1"/>
    <col min="12034" max="12034" width="22.54296875" style="217" customWidth="1"/>
    <col min="12035" max="12035" width="14.36328125" style="217" customWidth="1"/>
    <col min="12036" max="12036" width="13.6328125" style="217" customWidth="1"/>
    <col min="12037" max="12037" width="13.54296875" style="217" customWidth="1"/>
    <col min="12038" max="12038" width="28.54296875" style="217" customWidth="1"/>
    <col min="12039" max="12039" width="13.36328125" style="217" customWidth="1"/>
    <col min="12040" max="12040" width="35.36328125" style="217" customWidth="1"/>
    <col min="12041" max="12041" width="8.6328125" style="217" customWidth="1"/>
    <col min="12042" max="12042" width="9.36328125" style="217"/>
    <col min="12043" max="12043" width="9" style="217" customWidth="1"/>
    <col min="12044" max="12044" width="0" style="217" hidden="1" customWidth="1"/>
    <col min="12045" max="12288" width="9.36328125" style="217"/>
    <col min="12289" max="12289" width="11.6328125" style="217" customWidth="1"/>
    <col min="12290" max="12290" width="22.54296875" style="217" customWidth="1"/>
    <col min="12291" max="12291" width="14.36328125" style="217" customWidth="1"/>
    <col min="12292" max="12292" width="13.6328125" style="217" customWidth="1"/>
    <col min="12293" max="12293" width="13.54296875" style="217" customWidth="1"/>
    <col min="12294" max="12294" width="28.54296875" style="217" customWidth="1"/>
    <col min="12295" max="12295" width="13.36328125" style="217" customWidth="1"/>
    <col min="12296" max="12296" width="35.36328125" style="217" customWidth="1"/>
    <col min="12297" max="12297" width="8.6328125" style="217" customWidth="1"/>
    <col min="12298" max="12298" width="9.36328125" style="217"/>
    <col min="12299" max="12299" width="9" style="217" customWidth="1"/>
    <col min="12300" max="12300" width="0" style="217" hidden="1" customWidth="1"/>
    <col min="12301" max="12544" width="9.36328125" style="217"/>
    <col min="12545" max="12545" width="11.6328125" style="217" customWidth="1"/>
    <col min="12546" max="12546" width="22.54296875" style="217" customWidth="1"/>
    <col min="12547" max="12547" width="14.36328125" style="217" customWidth="1"/>
    <col min="12548" max="12548" width="13.6328125" style="217" customWidth="1"/>
    <col min="12549" max="12549" width="13.54296875" style="217" customWidth="1"/>
    <col min="12550" max="12550" width="28.54296875" style="217" customWidth="1"/>
    <col min="12551" max="12551" width="13.36328125" style="217" customWidth="1"/>
    <col min="12552" max="12552" width="35.36328125" style="217" customWidth="1"/>
    <col min="12553" max="12553" width="8.6328125" style="217" customWidth="1"/>
    <col min="12554" max="12554" width="9.36328125" style="217"/>
    <col min="12555" max="12555" width="9" style="217" customWidth="1"/>
    <col min="12556" max="12556" width="0" style="217" hidden="1" customWidth="1"/>
    <col min="12557" max="12800" width="9.36328125" style="217"/>
    <col min="12801" max="12801" width="11.6328125" style="217" customWidth="1"/>
    <col min="12802" max="12802" width="22.54296875" style="217" customWidth="1"/>
    <col min="12803" max="12803" width="14.36328125" style="217" customWidth="1"/>
    <col min="12804" max="12804" width="13.6328125" style="217" customWidth="1"/>
    <col min="12805" max="12805" width="13.54296875" style="217" customWidth="1"/>
    <col min="12806" max="12806" width="28.54296875" style="217" customWidth="1"/>
    <col min="12807" max="12807" width="13.36328125" style="217" customWidth="1"/>
    <col min="12808" max="12808" width="35.36328125" style="217" customWidth="1"/>
    <col min="12809" max="12809" width="8.6328125" style="217" customWidth="1"/>
    <col min="12810" max="12810" width="9.36328125" style="217"/>
    <col min="12811" max="12811" width="9" style="217" customWidth="1"/>
    <col min="12812" max="12812" width="0" style="217" hidden="1" customWidth="1"/>
    <col min="12813" max="13056" width="9.36328125" style="217"/>
    <col min="13057" max="13057" width="11.6328125" style="217" customWidth="1"/>
    <col min="13058" max="13058" width="22.54296875" style="217" customWidth="1"/>
    <col min="13059" max="13059" width="14.36328125" style="217" customWidth="1"/>
    <col min="13060" max="13060" width="13.6328125" style="217" customWidth="1"/>
    <col min="13061" max="13061" width="13.54296875" style="217" customWidth="1"/>
    <col min="13062" max="13062" width="28.54296875" style="217" customWidth="1"/>
    <col min="13063" max="13063" width="13.36328125" style="217" customWidth="1"/>
    <col min="13064" max="13064" width="35.36328125" style="217" customWidth="1"/>
    <col min="13065" max="13065" width="8.6328125" style="217" customWidth="1"/>
    <col min="13066" max="13066" width="9.36328125" style="217"/>
    <col min="13067" max="13067" width="9" style="217" customWidth="1"/>
    <col min="13068" max="13068" width="0" style="217" hidden="1" customWidth="1"/>
    <col min="13069" max="13312" width="9.36328125" style="217"/>
    <col min="13313" max="13313" width="11.6328125" style="217" customWidth="1"/>
    <col min="13314" max="13314" width="22.54296875" style="217" customWidth="1"/>
    <col min="13315" max="13315" width="14.36328125" style="217" customWidth="1"/>
    <col min="13316" max="13316" width="13.6328125" style="217" customWidth="1"/>
    <col min="13317" max="13317" width="13.54296875" style="217" customWidth="1"/>
    <col min="13318" max="13318" width="28.54296875" style="217" customWidth="1"/>
    <col min="13319" max="13319" width="13.36328125" style="217" customWidth="1"/>
    <col min="13320" max="13320" width="35.36328125" style="217" customWidth="1"/>
    <col min="13321" max="13321" width="8.6328125" style="217" customWidth="1"/>
    <col min="13322" max="13322" width="9.36328125" style="217"/>
    <col min="13323" max="13323" width="9" style="217" customWidth="1"/>
    <col min="13324" max="13324" width="0" style="217" hidden="1" customWidth="1"/>
    <col min="13325" max="13568" width="9.36328125" style="217"/>
    <col min="13569" max="13569" width="11.6328125" style="217" customWidth="1"/>
    <col min="13570" max="13570" width="22.54296875" style="217" customWidth="1"/>
    <col min="13571" max="13571" width="14.36328125" style="217" customWidth="1"/>
    <col min="13572" max="13572" width="13.6328125" style="217" customWidth="1"/>
    <col min="13573" max="13573" width="13.54296875" style="217" customWidth="1"/>
    <col min="13574" max="13574" width="28.54296875" style="217" customWidth="1"/>
    <col min="13575" max="13575" width="13.36328125" style="217" customWidth="1"/>
    <col min="13576" max="13576" width="35.36328125" style="217" customWidth="1"/>
    <col min="13577" max="13577" width="8.6328125" style="217" customWidth="1"/>
    <col min="13578" max="13578" width="9.36328125" style="217"/>
    <col min="13579" max="13579" width="9" style="217" customWidth="1"/>
    <col min="13580" max="13580" width="0" style="217" hidden="1" customWidth="1"/>
    <col min="13581" max="13824" width="9.36328125" style="217"/>
    <col min="13825" max="13825" width="11.6328125" style="217" customWidth="1"/>
    <col min="13826" max="13826" width="22.54296875" style="217" customWidth="1"/>
    <col min="13827" max="13827" width="14.36328125" style="217" customWidth="1"/>
    <col min="13828" max="13828" width="13.6328125" style="217" customWidth="1"/>
    <col min="13829" max="13829" width="13.54296875" style="217" customWidth="1"/>
    <col min="13830" max="13830" width="28.54296875" style="217" customWidth="1"/>
    <col min="13831" max="13831" width="13.36328125" style="217" customWidth="1"/>
    <col min="13832" max="13832" width="35.36328125" style="217" customWidth="1"/>
    <col min="13833" max="13833" width="8.6328125" style="217" customWidth="1"/>
    <col min="13834" max="13834" width="9.36328125" style="217"/>
    <col min="13835" max="13835" width="9" style="217" customWidth="1"/>
    <col min="13836" max="13836" width="0" style="217" hidden="1" customWidth="1"/>
    <col min="13837" max="14080" width="9.36328125" style="217"/>
    <col min="14081" max="14081" width="11.6328125" style="217" customWidth="1"/>
    <col min="14082" max="14082" width="22.54296875" style="217" customWidth="1"/>
    <col min="14083" max="14083" width="14.36328125" style="217" customWidth="1"/>
    <col min="14084" max="14084" width="13.6328125" style="217" customWidth="1"/>
    <col min="14085" max="14085" width="13.54296875" style="217" customWidth="1"/>
    <col min="14086" max="14086" width="28.54296875" style="217" customWidth="1"/>
    <col min="14087" max="14087" width="13.36328125" style="217" customWidth="1"/>
    <col min="14088" max="14088" width="35.36328125" style="217" customWidth="1"/>
    <col min="14089" max="14089" width="8.6328125" style="217" customWidth="1"/>
    <col min="14090" max="14090" width="9.36328125" style="217"/>
    <col min="14091" max="14091" width="9" style="217" customWidth="1"/>
    <col min="14092" max="14092" width="0" style="217" hidden="1" customWidth="1"/>
    <col min="14093" max="14336" width="9.36328125" style="217"/>
    <col min="14337" max="14337" width="11.6328125" style="217" customWidth="1"/>
    <col min="14338" max="14338" width="22.54296875" style="217" customWidth="1"/>
    <col min="14339" max="14339" width="14.36328125" style="217" customWidth="1"/>
    <col min="14340" max="14340" width="13.6328125" style="217" customWidth="1"/>
    <col min="14341" max="14341" width="13.54296875" style="217" customWidth="1"/>
    <col min="14342" max="14342" width="28.54296875" style="217" customWidth="1"/>
    <col min="14343" max="14343" width="13.36328125" style="217" customWidth="1"/>
    <col min="14344" max="14344" width="35.36328125" style="217" customWidth="1"/>
    <col min="14345" max="14345" width="8.6328125" style="217" customWidth="1"/>
    <col min="14346" max="14346" width="9.36328125" style="217"/>
    <col min="14347" max="14347" width="9" style="217" customWidth="1"/>
    <col min="14348" max="14348" width="0" style="217" hidden="1" customWidth="1"/>
    <col min="14349" max="14592" width="9.36328125" style="217"/>
    <col min="14593" max="14593" width="11.6328125" style="217" customWidth="1"/>
    <col min="14594" max="14594" width="22.54296875" style="217" customWidth="1"/>
    <col min="14595" max="14595" width="14.36328125" style="217" customWidth="1"/>
    <col min="14596" max="14596" width="13.6328125" style="217" customWidth="1"/>
    <col min="14597" max="14597" width="13.54296875" style="217" customWidth="1"/>
    <col min="14598" max="14598" width="28.54296875" style="217" customWidth="1"/>
    <col min="14599" max="14599" width="13.36328125" style="217" customWidth="1"/>
    <col min="14600" max="14600" width="35.36328125" style="217" customWidth="1"/>
    <col min="14601" max="14601" width="8.6328125" style="217" customWidth="1"/>
    <col min="14602" max="14602" width="9.36328125" style="217"/>
    <col min="14603" max="14603" width="9" style="217" customWidth="1"/>
    <col min="14604" max="14604" width="0" style="217" hidden="1" customWidth="1"/>
    <col min="14605" max="14848" width="9.36328125" style="217"/>
    <col min="14849" max="14849" width="11.6328125" style="217" customWidth="1"/>
    <col min="14850" max="14850" width="22.54296875" style="217" customWidth="1"/>
    <col min="14851" max="14851" width="14.36328125" style="217" customWidth="1"/>
    <col min="14852" max="14852" width="13.6328125" style="217" customWidth="1"/>
    <col min="14853" max="14853" width="13.54296875" style="217" customWidth="1"/>
    <col min="14854" max="14854" width="28.54296875" style="217" customWidth="1"/>
    <col min="14855" max="14855" width="13.36328125" style="217" customWidth="1"/>
    <col min="14856" max="14856" width="35.36328125" style="217" customWidth="1"/>
    <col min="14857" max="14857" width="8.6328125" style="217" customWidth="1"/>
    <col min="14858" max="14858" width="9.36328125" style="217"/>
    <col min="14859" max="14859" width="9" style="217" customWidth="1"/>
    <col min="14860" max="14860" width="0" style="217" hidden="1" customWidth="1"/>
    <col min="14861" max="15104" width="9.36328125" style="217"/>
    <col min="15105" max="15105" width="11.6328125" style="217" customWidth="1"/>
    <col min="15106" max="15106" width="22.54296875" style="217" customWidth="1"/>
    <col min="15107" max="15107" width="14.36328125" style="217" customWidth="1"/>
    <col min="15108" max="15108" width="13.6328125" style="217" customWidth="1"/>
    <col min="15109" max="15109" width="13.54296875" style="217" customWidth="1"/>
    <col min="15110" max="15110" width="28.54296875" style="217" customWidth="1"/>
    <col min="15111" max="15111" width="13.36328125" style="217" customWidth="1"/>
    <col min="15112" max="15112" width="35.36328125" style="217" customWidth="1"/>
    <col min="15113" max="15113" width="8.6328125" style="217" customWidth="1"/>
    <col min="15114" max="15114" width="9.36328125" style="217"/>
    <col min="15115" max="15115" width="9" style="217" customWidth="1"/>
    <col min="15116" max="15116" width="0" style="217" hidden="1" customWidth="1"/>
    <col min="15117" max="15360" width="9.36328125" style="217"/>
    <col min="15361" max="15361" width="11.6328125" style="217" customWidth="1"/>
    <col min="15362" max="15362" width="22.54296875" style="217" customWidth="1"/>
    <col min="15363" max="15363" width="14.36328125" style="217" customWidth="1"/>
    <col min="15364" max="15364" width="13.6328125" style="217" customWidth="1"/>
    <col min="15365" max="15365" width="13.54296875" style="217" customWidth="1"/>
    <col min="15366" max="15366" width="28.54296875" style="217" customWidth="1"/>
    <col min="15367" max="15367" width="13.36328125" style="217" customWidth="1"/>
    <col min="15368" max="15368" width="35.36328125" style="217" customWidth="1"/>
    <col min="15369" max="15369" width="8.6328125" style="217" customWidth="1"/>
    <col min="15370" max="15370" width="9.36328125" style="217"/>
    <col min="15371" max="15371" width="9" style="217" customWidth="1"/>
    <col min="15372" max="15372" width="0" style="217" hidden="1" customWidth="1"/>
    <col min="15373" max="15616" width="9.36328125" style="217"/>
    <col min="15617" max="15617" width="11.6328125" style="217" customWidth="1"/>
    <col min="15618" max="15618" width="22.54296875" style="217" customWidth="1"/>
    <col min="15619" max="15619" width="14.36328125" style="217" customWidth="1"/>
    <col min="15620" max="15620" width="13.6328125" style="217" customWidth="1"/>
    <col min="15621" max="15621" width="13.54296875" style="217" customWidth="1"/>
    <col min="15622" max="15622" width="28.54296875" style="217" customWidth="1"/>
    <col min="15623" max="15623" width="13.36328125" style="217" customWidth="1"/>
    <col min="15624" max="15624" width="35.36328125" style="217" customWidth="1"/>
    <col min="15625" max="15625" width="8.6328125" style="217" customWidth="1"/>
    <col min="15626" max="15626" width="9.36328125" style="217"/>
    <col min="15627" max="15627" width="9" style="217" customWidth="1"/>
    <col min="15628" max="15628" width="0" style="217" hidden="1" customWidth="1"/>
    <col min="15629" max="15872" width="9.36328125" style="217"/>
    <col min="15873" max="15873" width="11.6328125" style="217" customWidth="1"/>
    <col min="15874" max="15874" width="22.54296875" style="217" customWidth="1"/>
    <col min="15875" max="15875" width="14.36328125" style="217" customWidth="1"/>
    <col min="15876" max="15876" width="13.6328125" style="217" customWidth="1"/>
    <col min="15877" max="15877" width="13.54296875" style="217" customWidth="1"/>
    <col min="15878" max="15878" width="28.54296875" style="217" customWidth="1"/>
    <col min="15879" max="15879" width="13.36328125" style="217" customWidth="1"/>
    <col min="15880" max="15880" width="35.36328125" style="217" customWidth="1"/>
    <col min="15881" max="15881" width="8.6328125" style="217" customWidth="1"/>
    <col min="15882" max="15882" width="9.36328125" style="217"/>
    <col min="15883" max="15883" width="9" style="217" customWidth="1"/>
    <col min="15884" max="15884" width="0" style="217" hidden="1" customWidth="1"/>
    <col min="15885" max="16128" width="9.36328125" style="217"/>
    <col min="16129" max="16129" width="11.6328125" style="217" customWidth="1"/>
    <col min="16130" max="16130" width="22.54296875" style="217" customWidth="1"/>
    <col min="16131" max="16131" width="14.36328125" style="217" customWidth="1"/>
    <col min="16132" max="16132" width="13.6328125" style="217" customWidth="1"/>
    <col min="16133" max="16133" width="13.54296875" style="217" customWidth="1"/>
    <col min="16134" max="16134" width="28.54296875" style="217" customWidth="1"/>
    <col min="16135" max="16135" width="13.36328125" style="217" customWidth="1"/>
    <col min="16136" max="16136" width="35.36328125" style="217" customWidth="1"/>
    <col min="16137" max="16137" width="8.6328125" style="217" customWidth="1"/>
    <col min="16138" max="16138" width="9.36328125" style="217"/>
    <col min="16139" max="16139" width="9" style="217" customWidth="1"/>
    <col min="16140" max="16140" width="0" style="217" hidden="1" customWidth="1"/>
    <col min="16141" max="16384" width="9.36328125" style="217"/>
  </cols>
  <sheetData>
    <row r="1" spans="1:12" s="211" customFormat="1" ht="19.5" customHeight="1">
      <c r="A1" s="3882" t="s">
        <v>310</v>
      </c>
      <c r="B1" s="3883"/>
      <c r="C1" s="3883"/>
      <c r="D1" s="3883"/>
      <c r="E1" s="3883"/>
      <c r="F1" s="3883"/>
      <c r="G1" s="3883"/>
      <c r="H1" s="3883"/>
      <c r="I1" s="210"/>
      <c r="J1" s="210"/>
      <c r="K1" s="210"/>
      <c r="L1" s="210"/>
    </row>
    <row r="2" spans="1:12" s="211" customFormat="1" ht="78" customHeight="1" thickBot="1">
      <c r="A2" s="3884" t="s">
        <v>311</v>
      </c>
      <c r="B2" s="3884"/>
      <c r="C2" s="3884"/>
      <c r="D2" s="3884"/>
      <c r="E2" s="3884"/>
      <c r="F2" s="3884"/>
      <c r="G2" s="3884"/>
      <c r="H2" s="3884"/>
      <c r="I2" s="212"/>
      <c r="J2" s="212"/>
      <c r="K2" s="212"/>
      <c r="L2" s="212"/>
    </row>
    <row r="3" spans="1:12" s="211" customFormat="1" ht="15.75" customHeight="1">
      <c r="A3" s="3885" t="s">
        <v>312</v>
      </c>
      <c r="B3" s="3888" t="s">
        <v>120</v>
      </c>
      <c r="C3" s="3888" t="s">
        <v>288</v>
      </c>
      <c r="D3" s="3888" t="s">
        <v>313</v>
      </c>
      <c r="E3" s="3892" t="s">
        <v>314</v>
      </c>
      <c r="F3" s="3892" t="s">
        <v>315</v>
      </c>
      <c r="G3" s="3892" t="s">
        <v>316</v>
      </c>
      <c r="H3" s="3895" t="s">
        <v>317</v>
      </c>
    </row>
    <row r="4" spans="1:12" s="211" customFormat="1" ht="15.75" customHeight="1">
      <c r="A4" s="3886"/>
      <c r="B4" s="3889"/>
      <c r="C4" s="3889"/>
      <c r="D4" s="3891"/>
      <c r="E4" s="3893"/>
      <c r="F4" s="3894"/>
      <c r="G4" s="3894"/>
      <c r="H4" s="3896"/>
    </row>
    <row r="5" spans="1:12" s="211" customFormat="1" ht="15.75" customHeight="1">
      <c r="A5" s="3886"/>
      <c r="B5" s="3889"/>
      <c r="C5" s="3889"/>
      <c r="D5" s="4244" t="s">
        <v>318</v>
      </c>
      <c r="E5" s="4245" t="s">
        <v>319</v>
      </c>
      <c r="F5" s="4245" t="s">
        <v>320</v>
      </c>
      <c r="G5" s="4245" t="s">
        <v>321</v>
      </c>
      <c r="H5" s="3896"/>
    </row>
    <row r="6" spans="1:12" s="211" customFormat="1" ht="15.75" customHeight="1">
      <c r="A6" s="3887"/>
      <c r="B6" s="3890"/>
      <c r="C6" s="3890"/>
      <c r="D6" s="3899"/>
      <c r="E6" s="3901"/>
      <c r="F6" s="3902"/>
      <c r="G6" s="3902"/>
      <c r="H6" s="3897"/>
    </row>
    <row r="7" spans="1:12" s="215" customFormat="1" ht="17.25" customHeight="1">
      <c r="A7" s="4238">
        <v>56</v>
      </c>
      <c r="B7" s="4240" t="s">
        <v>653</v>
      </c>
      <c r="C7" s="4242" t="s">
        <v>654</v>
      </c>
      <c r="D7" s="1256" t="s">
        <v>1339</v>
      </c>
      <c r="E7" s="1466">
        <v>2485</v>
      </c>
      <c r="F7" s="1257" t="s">
        <v>655</v>
      </c>
      <c r="G7" s="1257" t="s">
        <v>94</v>
      </c>
      <c r="H7" s="3805" t="s">
        <v>1263</v>
      </c>
    </row>
    <row r="8" spans="1:12" s="215" customFormat="1" ht="17.25" customHeight="1">
      <c r="A8" s="4239"/>
      <c r="B8" s="4241"/>
      <c r="C8" s="4243"/>
      <c r="D8" s="1258" t="s">
        <v>94</v>
      </c>
      <c r="E8" s="1259" t="s">
        <v>656</v>
      </c>
      <c r="F8" s="1259" t="s">
        <v>657</v>
      </c>
      <c r="G8" s="1259" t="s">
        <v>94</v>
      </c>
      <c r="H8" s="3806"/>
    </row>
    <row r="9" spans="1:12" s="215" customFormat="1" ht="17.25" customHeight="1">
      <c r="A9" s="4238">
        <v>57</v>
      </c>
      <c r="B9" s="4240" t="s">
        <v>653</v>
      </c>
      <c r="C9" s="4242" t="s">
        <v>654</v>
      </c>
      <c r="D9" s="1256" t="s">
        <v>1339</v>
      </c>
      <c r="E9" s="1466">
        <f>E7</f>
        <v>2485</v>
      </c>
      <c r="F9" s="1257" t="s">
        <v>655</v>
      </c>
      <c r="G9" s="1257" t="s">
        <v>94</v>
      </c>
      <c r="H9" s="3805" t="s">
        <v>1263</v>
      </c>
    </row>
    <row r="10" spans="1:12" s="215" customFormat="1" ht="17.25" customHeight="1">
      <c r="A10" s="4239"/>
      <c r="B10" s="4241"/>
      <c r="C10" s="4243"/>
      <c r="D10" s="1258" t="s">
        <v>94</v>
      </c>
      <c r="E10" s="1259" t="s">
        <v>656</v>
      </c>
      <c r="F10" s="1259" t="s">
        <v>657</v>
      </c>
      <c r="G10" s="1259" t="s">
        <v>94</v>
      </c>
      <c r="H10" s="3806"/>
    </row>
    <row r="11" spans="1:12" s="215" customFormat="1" ht="17.25" customHeight="1">
      <c r="A11" s="4238">
        <v>66</v>
      </c>
      <c r="B11" s="4240" t="s">
        <v>653</v>
      </c>
      <c r="C11" s="4242" t="s">
        <v>654</v>
      </c>
      <c r="D11" s="1256" t="s">
        <v>1339</v>
      </c>
      <c r="E11" s="1466">
        <f>E7</f>
        <v>2485</v>
      </c>
      <c r="F11" s="1257" t="s">
        <v>655</v>
      </c>
      <c r="G11" s="1257" t="s">
        <v>94</v>
      </c>
      <c r="H11" s="3805" t="s">
        <v>1263</v>
      </c>
    </row>
    <row r="12" spans="1:12" s="215" customFormat="1" ht="17.25" customHeight="1">
      <c r="A12" s="4239"/>
      <c r="B12" s="4241"/>
      <c r="C12" s="4243"/>
      <c r="D12" s="1258" t="s">
        <v>94</v>
      </c>
      <c r="E12" s="1259" t="s">
        <v>656</v>
      </c>
      <c r="F12" s="1259" t="s">
        <v>657</v>
      </c>
      <c r="G12" s="1259" t="s">
        <v>94</v>
      </c>
      <c r="H12" s="3806"/>
    </row>
    <row r="13" spans="1:12" s="215" customFormat="1" ht="17.25" customHeight="1">
      <c r="A13" s="4238">
        <v>67</v>
      </c>
      <c r="B13" s="4240" t="s">
        <v>653</v>
      </c>
      <c r="C13" s="4242" t="s">
        <v>654</v>
      </c>
      <c r="D13" s="1256" t="s">
        <v>1339</v>
      </c>
      <c r="E13" s="1466">
        <f>E7</f>
        <v>2485</v>
      </c>
      <c r="F13" s="1257" t="s">
        <v>655</v>
      </c>
      <c r="G13" s="1257" t="s">
        <v>94</v>
      </c>
      <c r="H13" s="3805" t="s">
        <v>1263</v>
      </c>
    </row>
    <row r="14" spans="1:12" s="215" customFormat="1" ht="17.25" customHeight="1">
      <c r="A14" s="4239"/>
      <c r="B14" s="4241"/>
      <c r="C14" s="4243"/>
      <c r="D14" s="1258" t="s">
        <v>94</v>
      </c>
      <c r="E14" s="1259" t="s">
        <v>656</v>
      </c>
      <c r="F14" s="1259" t="s">
        <v>657</v>
      </c>
      <c r="G14" s="1259" t="s">
        <v>94</v>
      </c>
      <c r="H14" s="3806"/>
    </row>
    <row r="15" spans="1:12" s="215" customFormat="1" ht="17.25" customHeight="1">
      <c r="A15" s="4238">
        <v>68</v>
      </c>
      <c r="B15" s="4240" t="s">
        <v>653</v>
      </c>
      <c r="C15" s="4242" t="s">
        <v>654</v>
      </c>
      <c r="D15" s="1256" t="s">
        <v>1339</v>
      </c>
      <c r="E15" s="1466">
        <f>E7</f>
        <v>2485</v>
      </c>
      <c r="F15" s="1257" t="s">
        <v>655</v>
      </c>
      <c r="G15" s="1257" t="s">
        <v>94</v>
      </c>
      <c r="H15" s="3805" t="s">
        <v>1263</v>
      </c>
    </row>
    <row r="16" spans="1:12" s="215" customFormat="1" ht="17.25" customHeight="1">
      <c r="A16" s="4239"/>
      <c r="B16" s="4241"/>
      <c r="C16" s="4243"/>
      <c r="D16" s="1258" t="s">
        <v>94</v>
      </c>
      <c r="E16" s="1259" t="s">
        <v>656</v>
      </c>
      <c r="F16" s="1259" t="s">
        <v>657</v>
      </c>
      <c r="G16" s="1259" t="s">
        <v>94</v>
      </c>
      <c r="H16" s="3806"/>
    </row>
    <row r="17" spans="1:8" s="215" customFormat="1" ht="17.25" customHeight="1">
      <c r="A17" s="4236"/>
      <c r="B17" s="4228"/>
      <c r="C17" s="4228"/>
      <c r="D17" s="213"/>
      <c r="E17" s="214"/>
      <c r="F17" s="214"/>
      <c r="G17" s="214"/>
      <c r="H17" s="3805" t="s">
        <v>1263</v>
      </c>
    </row>
    <row r="18" spans="1:8" s="215" customFormat="1" ht="17.25" customHeight="1">
      <c r="A18" s="4237"/>
      <c r="B18" s="3890"/>
      <c r="C18" s="3890"/>
      <c r="D18" s="273"/>
      <c r="E18" s="274"/>
      <c r="F18" s="274"/>
      <c r="G18" s="274"/>
      <c r="H18" s="3806"/>
    </row>
    <row r="19" spans="1:8" s="215" customFormat="1" ht="17.25" customHeight="1">
      <c r="A19" s="4236"/>
      <c r="B19" s="4228"/>
      <c r="C19" s="4228"/>
      <c r="D19" s="213"/>
      <c r="E19" s="214"/>
      <c r="F19" s="214"/>
      <c r="G19" s="214"/>
      <c r="H19" s="3805" t="s">
        <v>1263</v>
      </c>
    </row>
    <row r="20" spans="1:8" s="215" customFormat="1" ht="17.25" customHeight="1">
      <c r="A20" s="4237"/>
      <c r="B20" s="3890"/>
      <c r="C20" s="3890"/>
      <c r="D20" s="273"/>
      <c r="E20" s="274"/>
      <c r="F20" s="274"/>
      <c r="G20" s="274"/>
      <c r="H20" s="3806"/>
    </row>
    <row r="21" spans="1:8" s="215" customFormat="1" ht="17.25" customHeight="1">
      <c r="A21" s="4236"/>
      <c r="B21" s="4228"/>
      <c r="C21" s="4228"/>
      <c r="D21" s="213"/>
      <c r="E21" s="214"/>
      <c r="F21" s="214"/>
      <c r="G21" s="214"/>
      <c r="H21" s="3805" t="s">
        <v>1263</v>
      </c>
    </row>
    <row r="22" spans="1:8" s="215" customFormat="1" ht="17.25" customHeight="1">
      <c r="A22" s="4237"/>
      <c r="B22" s="3890"/>
      <c r="C22" s="3890"/>
      <c r="D22" s="273"/>
      <c r="E22" s="274"/>
      <c r="F22" s="274"/>
      <c r="G22" s="274"/>
      <c r="H22" s="3806"/>
    </row>
    <row r="23" spans="1:8" s="215" customFormat="1" ht="17.25" customHeight="1">
      <c r="A23" s="4236"/>
      <c r="B23" s="4228"/>
      <c r="C23" s="4228"/>
      <c r="D23" s="213"/>
      <c r="E23" s="214"/>
      <c r="F23" s="214"/>
      <c r="G23" s="214"/>
      <c r="H23" s="3805" t="s">
        <v>1263</v>
      </c>
    </row>
    <row r="24" spans="1:8" s="215" customFormat="1" ht="17.25" customHeight="1">
      <c r="A24" s="4237"/>
      <c r="B24" s="3890"/>
      <c r="C24" s="3890"/>
      <c r="D24" s="273"/>
      <c r="E24" s="274"/>
      <c r="F24" s="274"/>
      <c r="G24" s="274"/>
      <c r="H24" s="3806"/>
    </row>
    <row r="25" spans="1:8" s="215" customFormat="1" ht="17.25" customHeight="1">
      <c r="A25" s="4226"/>
      <c r="B25" s="4228"/>
      <c r="C25" s="4228"/>
      <c r="D25" s="213"/>
      <c r="E25" s="214"/>
      <c r="F25" s="214"/>
      <c r="G25" s="214"/>
      <c r="H25" s="4234" t="s">
        <v>322</v>
      </c>
    </row>
    <row r="26" spans="1:8" s="215" customFormat="1" ht="17.25" customHeight="1">
      <c r="A26" s="3887"/>
      <c r="B26" s="3890"/>
      <c r="C26" s="3890"/>
      <c r="D26" s="273"/>
      <c r="E26" s="274"/>
      <c r="F26" s="274"/>
      <c r="G26" s="274"/>
      <c r="H26" s="4235"/>
    </row>
    <row r="27" spans="1:8" s="215" customFormat="1" ht="17.25" customHeight="1">
      <c r="A27" s="4226"/>
      <c r="B27" s="4228"/>
      <c r="C27" s="4228"/>
      <c r="D27" s="213"/>
      <c r="E27" s="214"/>
      <c r="F27" s="214"/>
      <c r="G27" s="214"/>
      <c r="H27" s="4229" t="s">
        <v>322</v>
      </c>
    </row>
    <row r="28" spans="1:8" s="215" customFormat="1" ht="17.25" customHeight="1">
      <c r="A28" s="4227"/>
      <c r="B28" s="3879"/>
      <c r="C28" s="3879"/>
      <c r="D28" s="273"/>
      <c r="E28" s="274"/>
      <c r="F28" s="274"/>
      <c r="G28" s="274"/>
      <c r="H28" s="4230"/>
    </row>
    <row r="29" spans="1:8" s="215" customFormat="1" ht="17.25" customHeight="1">
      <c r="A29" s="4226"/>
      <c r="B29" s="4228"/>
      <c r="C29" s="4228"/>
      <c r="D29" s="213"/>
      <c r="E29" s="214"/>
      <c r="F29" s="214"/>
      <c r="G29" s="214"/>
      <c r="H29" s="4229" t="s">
        <v>322</v>
      </c>
    </row>
    <row r="30" spans="1:8" s="215" customFormat="1" ht="17.25" customHeight="1" thickBot="1">
      <c r="A30" s="4231"/>
      <c r="B30" s="4232"/>
      <c r="C30" s="4232"/>
      <c r="D30" s="275"/>
      <c r="E30" s="276"/>
      <c r="F30" s="276"/>
      <c r="G30" s="276"/>
      <c r="H30" s="4233"/>
    </row>
    <row r="31" spans="1:8" ht="12" customHeight="1">
      <c r="A31" s="3909" t="s">
        <v>323</v>
      </c>
      <c r="B31" s="3909"/>
      <c r="C31" s="3909"/>
      <c r="D31" s="3909"/>
      <c r="E31" s="3909"/>
      <c r="F31" s="3909"/>
      <c r="G31" s="3909"/>
      <c r="H31" s="3909"/>
    </row>
    <row r="32" spans="1:8" ht="12" customHeight="1">
      <c r="A32" s="3910"/>
      <c r="B32" s="3910"/>
      <c r="C32" s="3910"/>
      <c r="D32" s="3910"/>
      <c r="E32" s="3910"/>
      <c r="F32" s="3910"/>
      <c r="G32" s="3910"/>
      <c r="H32" s="3910"/>
    </row>
    <row r="33" spans="1:1" ht="12" customHeight="1">
      <c r="A33" s="216" t="s">
        <v>324</v>
      </c>
    </row>
  </sheetData>
  <mergeCells count="63">
    <mergeCell ref="A1:H1"/>
    <mergeCell ref="A2:H2"/>
    <mergeCell ref="A3:A6"/>
    <mergeCell ref="B3:B6"/>
    <mergeCell ref="C3:C6"/>
    <mergeCell ref="D3:D4"/>
    <mergeCell ref="E3:E4"/>
    <mergeCell ref="F3:F4"/>
    <mergeCell ref="G3:G4"/>
    <mergeCell ref="H3:H6"/>
    <mergeCell ref="D5:D6"/>
    <mergeCell ref="E5:E6"/>
    <mergeCell ref="F5:F6"/>
    <mergeCell ref="G5:G6"/>
    <mergeCell ref="H7:H8"/>
    <mergeCell ref="H9:H10"/>
    <mergeCell ref="A7:A8"/>
    <mergeCell ref="A9:A10"/>
    <mergeCell ref="B7:B8"/>
    <mergeCell ref="B9:B10"/>
    <mergeCell ref="C7:C8"/>
    <mergeCell ref="C9:C10"/>
    <mergeCell ref="H11:H12"/>
    <mergeCell ref="H13:H14"/>
    <mergeCell ref="B13:B14"/>
    <mergeCell ref="A13:A14"/>
    <mergeCell ref="A11:A12"/>
    <mergeCell ref="C13:C14"/>
    <mergeCell ref="B11:B12"/>
    <mergeCell ref="C11:C12"/>
    <mergeCell ref="H15:H16"/>
    <mergeCell ref="A17:A18"/>
    <mergeCell ref="B17:B18"/>
    <mergeCell ref="C17:C18"/>
    <mergeCell ref="H17:H18"/>
    <mergeCell ref="A15:A16"/>
    <mergeCell ref="B15:B16"/>
    <mergeCell ref="C15:C16"/>
    <mergeCell ref="B25:B26"/>
    <mergeCell ref="C25:C26"/>
    <mergeCell ref="H25:H26"/>
    <mergeCell ref="A19:A20"/>
    <mergeCell ref="B19:B20"/>
    <mergeCell ref="C19:C20"/>
    <mergeCell ref="H19:H20"/>
    <mergeCell ref="A21:A22"/>
    <mergeCell ref="B21:B22"/>
    <mergeCell ref="C21:C22"/>
    <mergeCell ref="H21:H22"/>
    <mergeCell ref="A23:A24"/>
    <mergeCell ref="B23:B24"/>
    <mergeCell ref="C23:C24"/>
    <mergeCell ref="H23:H24"/>
    <mergeCell ref="A25:A26"/>
    <mergeCell ref="A31:H32"/>
    <mergeCell ref="A27:A28"/>
    <mergeCell ref="B27:B28"/>
    <mergeCell ref="C27:C28"/>
    <mergeCell ref="H27:H28"/>
    <mergeCell ref="A29:A30"/>
    <mergeCell ref="B29:B30"/>
    <mergeCell ref="C29:C30"/>
    <mergeCell ref="H29:H30"/>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Roman,Regular"&amp;8June 2019: Revision 0</oddHeader>
    <oddFooter>&amp;L&amp;"Arial,Bold"&amp;8Form Revision: 7/8/2011&amp;C&amp;8Table 2-B:  Page &amp;P&amp;R&amp;8Printed &amp;D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L60"/>
  <sheetViews>
    <sheetView topLeftCell="B7" zoomScaleNormal="100" zoomScaleSheetLayoutView="100" zoomScalePageLayoutView="70" workbookViewId="0">
      <selection activeCell="E19" sqref="E19"/>
    </sheetView>
  </sheetViews>
  <sheetFormatPr defaultColWidth="9.36328125" defaultRowHeight="13"/>
  <cols>
    <col min="1" max="1" width="10.54296875" style="68" customWidth="1"/>
    <col min="2" max="2" width="47.36328125" style="66" customWidth="1"/>
    <col min="3" max="3" width="10" style="66" customWidth="1"/>
    <col min="4" max="4" width="24.54296875" style="66" customWidth="1"/>
    <col min="5" max="5" width="23.6328125" style="66" customWidth="1"/>
    <col min="6" max="6" width="14.54296875" style="66" customWidth="1"/>
    <col min="7" max="7" width="14" style="66" customWidth="1"/>
    <col min="8" max="10" width="9.36328125" style="66"/>
    <col min="11" max="11" width="9" style="66" customWidth="1"/>
    <col min="12" max="12" width="9.36328125" style="66" hidden="1" customWidth="1"/>
    <col min="13" max="16384" width="9.36328125" style="66"/>
  </cols>
  <sheetData>
    <row r="1" spans="1:12" ht="19.5" customHeight="1">
      <c r="A1" s="3917" t="s">
        <v>138</v>
      </c>
      <c r="B1" s="3918"/>
      <c r="C1" s="3918"/>
      <c r="D1" s="3918"/>
      <c r="E1" s="3918"/>
      <c r="F1" s="3918"/>
      <c r="G1" s="3918"/>
      <c r="H1" s="64"/>
      <c r="I1" s="64"/>
      <c r="J1" s="64"/>
      <c r="K1" s="64"/>
      <c r="L1" s="65"/>
    </row>
    <row r="2" spans="1:12" ht="39" customHeight="1" thickBot="1">
      <c r="A2" s="4246" t="s">
        <v>139</v>
      </c>
      <c r="B2" s="4246"/>
      <c r="C2" s="4246"/>
      <c r="D2" s="4246"/>
      <c r="E2" s="4246"/>
      <c r="F2" s="4246"/>
      <c r="G2" s="4246"/>
      <c r="H2" s="67"/>
      <c r="I2" s="67"/>
      <c r="J2" s="67"/>
      <c r="K2" s="68"/>
      <c r="L2" s="69"/>
    </row>
    <row r="3" spans="1:12" s="70" customFormat="1" ht="19.5" customHeight="1">
      <c r="A3" s="3920" t="s">
        <v>140</v>
      </c>
      <c r="B3" s="3921" t="s">
        <v>141</v>
      </c>
      <c r="C3" s="3921" t="s">
        <v>142</v>
      </c>
      <c r="D3" s="3923" t="s">
        <v>143</v>
      </c>
      <c r="E3" s="3923" t="s">
        <v>144</v>
      </c>
      <c r="F3" s="3924" t="s">
        <v>145</v>
      </c>
      <c r="G3" s="3926" t="s">
        <v>146</v>
      </c>
    </row>
    <row r="4" spans="1:12" s="70" customFormat="1" ht="19.5" customHeight="1">
      <c r="A4" s="3853"/>
      <c r="B4" s="3922"/>
      <c r="C4" s="3922"/>
      <c r="D4" s="3922"/>
      <c r="E4" s="3922"/>
      <c r="F4" s="3925"/>
      <c r="G4" s="3927"/>
    </row>
    <row r="5" spans="1:12" s="74" customFormat="1" ht="18.75" customHeight="1">
      <c r="A5" s="1260">
        <v>25</v>
      </c>
      <c r="B5" s="1261" t="s">
        <v>605</v>
      </c>
      <c r="C5" s="1262" t="s">
        <v>94</v>
      </c>
      <c r="D5" s="1261" t="s">
        <v>1250</v>
      </c>
      <c r="E5" s="596" t="s">
        <v>1340</v>
      </c>
      <c r="F5" s="1263">
        <v>0.98</v>
      </c>
      <c r="G5" s="1264" t="s">
        <v>658</v>
      </c>
    </row>
    <row r="6" spans="1:12" s="74" customFormat="1" ht="18.75" customHeight="1">
      <c r="A6" s="1265">
        <v>26</v>
      </c>
      <c r="B6" s="1266" t="s">
        <v>607</v>
      </c>
      <c r="C6" s="1267" t="s">
        <v>94</v>
      </c>
      <c r="D6" s="1266" t="s">
        <v>1250</v>
      </c>
      <c r="E6" s="601" t="str">
        <f>E5</f>
        <v>Plant Inlet - PSV</v>
      </c>
      <c r="F6" s="1268">
        <v>0.98</v>
      </c>
      <c r="G6" s="1269" t="s">
        <v>658</v>
      </c>
    </row>
    <row r="7" spans="1:12" s="74" customFormat="1" ht="18.75" customHeight="1">
      <c r="A7" s="1260">
        <v>27</v>
      </c>
      <c r="B7" s="1261" t="s">
        <v>608</v>
      </c>
      <c r="C7" s="1262" t="s">
        <v>94</v>
      </c>
      <c r="D7" s="1261" t="s">
        <v>1250</v>
      </c>
      <c r="E7" s="596" t="str">
        <f>E5</f>
        <v>Plant Inlet - PSV</v>
      </c>
      <c r="F7" s="1263">
        <v>0.98</v>
      </c>
      <c r="G7" s="1264" t="s">
        <v>658</v>
      </c>
    </row>
    <row r="8" spans="1:12" s="74" customFormat="1" ht="18.75" customHeight="1">
      <c r="A8" s="1265">
        <v>38</v>
      </c>
      <c r="B8" s="1266" t="s">
        <v>618</v>
      </c>
      <c r="C8" s="1267" t="s">
        <v>94</v>
      </c>
      <c r="D8" s="1266" t="s">
        <v>1250</v>
      </c>
      <c r="E8" s="1266" t="s">
        <v>1251</v>
      </c>
      <c r="F8" s="1268">
        <v>0.99</v>
      </c>
      <c r="G8" s="1269" t="s">
        <v>658</v>
      </c>
    </row>
    <row r="9" spans="1:12" s="74" customFormat="1" ht="18.75" customHeight="1">
      <c r="A9" s="1260">
        <v>41</v>
      </c>
      <c r="B9" s="1261" t="s">
        <v>1279</v>
      </c>
      <c r="C9" s="1262" t="s">
        <v>94</v>
      </c>
      <c r="D9" s="1261" t="s">
        <v>1250</v>
      </c>
      <c r="E9" s="1261">
        <v>58</v>
      </c>
      <c r="F9" s="1263">
        <v>0.99</v>
      </c>
      <c r="G9" s="1264" t="s">
        <v>658</v>
      </c>
    </row>
    <row r="10" spans="1:12" s="74" customFormat="1" ht="18.75" customHeight="1">
      <c r="A10" s="1265">
        <v>42</v>
      </c>
      <c r="B10" s="1266" t="str">
        <f>B9</f>
        <v>Thermal Oxidizer</v>
      </c>
      <c r="C10" s="1267" t="s">
        <v>94</v>
      </c>
      <c r="D10" s="1266" t="s">
        <v>1250</v>
      </c>
      <c r="E10" s="1266">
        <v>59</v>
      </c>
      <c r="F10" s="1268">
        <v>0.99</v>
      </c>
      <c r="G10" s="1269" t="s">
        <v>658</v>
      </c>
    </row>
    <row r="11" spans="1:12" s="74" customFormat="1" ht="18.75" customHeight="1">
      <c r="A11" s="1260">
        <v>43</v>
      </c>
      <c r="B11" s="1261" t="str">
        <f>B9</f>
        <v>Thermal Oxidizer</v>
      </c>
      <c r="C11" s="1262" t="s">
        <v>94</v>
      </c>
      <c r="D11" s="1261" t="s">
        <v>1250</v>
      </c>
      <c r="E11" s="1261">
        <v>60</v>
      </c>
      <c r="F11" s="1263">
        <v>0.99</v>
      </c>
      <c r="G11" s="1264" t="s">
        <v>658</v>
      </c>
    </row>
    <row r="12" spans="1:12" s="74" customFormat="1" ht="18.75" customHeight="1">
      <c r="A12" s="1265">
        <v>44</v>
      </c>
      <c r="B12" s="1266" t="str">
        <f>B9</f>
        <v>Thermal Oxidizer</v>
      </c>
      <c r="C12" s="1267" t="s">
        <v>94</v>
      </c>
      <c r="D12" s="1266" t="s">
        <v>1250</v>
      </c>
      <c r="E12" s="1266">
        <v>61</v>
      </c>
      <c r="F12" s="1268">
        <v>0.99</v>
      </c>
      <c r="G12" s="1269" t="s">
        <v>658</v>
      </c>
    </row>
    <row r="13" spans="1:12" s="76" customFormat="1" ht="18.75" customHeight="1">
      <c r="A13" s="1260">
        <v>45</v>
      </c>
      <c r="B13" s="1261" t="str">
        <f>B9</f>
        <v>Thermal Oxidizer</v>
      </c>
      <c r="C13" s="1262" t="s">
        <v>94</v>
      </c>
      <c r="D13" s="1261" t="s">
        <v>1250</v>
      </c>
      <c r="E13" s="1261">
        <v>62</v>
      </c>
      <c r="F13" s="1263">
        <v>0.99</v>
      </c>
      <c r="G13" s="1264" t="s">
        <v>658</v>
      </c>
    </row>
    <row r="14" spans="1:12" s="76" customFormat="1" ht="18.75" customHeight="1">
      <c r="A14" s="1265">
        <v>46</v>
      </c>
      <c r="B14" s="1266" t="str">
        <f>B9</f>
        <v>Thermal Oxidizer</v>
      </c>
      <c r="C14" s="1267" t="s">
        <v>94</v>
      </c>
      <c r="D14" s="1266" t="s">
        <v>1250</v>
      </c>
      <c r="E14" s="1266">
        <v>63</v>
      </c>
      <c r="F14" s="1268">
        <v>0.99</v>
      </c>
      <c r="G14" s="1269" t="s">
        <v>658</v>
      </c>
    </row>
    <row r="15" spans="1:12" s="76" customFormat="1" ht="18.75" customHeight="1">
      <c r="A15" s="595" t="e">
        <f>'2-A_4TURB'!#REF!</f>
        <v>#REF!</v>
      </c>
      <c r="B15" s="596" t="s">
        <v>1280</v>
      </c>
      <c r="C15" s="1262" t="s">
        <v>94</v>
      </c>
      <c r="D15" s="596" t="s">
        <v>1365</v>
      </c>
      <c r="E15" s="1540" t="s">
        <v>1366</v>
      </c>
      <c r="F15" s="1540" t="s">
        <v>1366</v>
      </c>
      <c r="G15" s="1264" t="s">
        <v>658</v>
      </c>
    </row>
    <row r="16" spans="1:12" s="76" customFormat="1" ht="18.75" customHeight="1">
      <c r="A16" s="600" t="e">
        <f>'2-A_4TURB'!#REF!</f>
        <v>#REF!</v>
      </c>
      <c r="B16" s="601" t="str">
        <f>B15</f>
        <v>Catalytic Reduction</v>
      </c>
      <c r="C16" s="1267" t="s">
        <v>94</v>
      </c>
      <c r="D16" s="601" t="s">
        <v>1365</v>
      </c>
      <c r="E16" s="1541" t="s">
        <v>1366</v>
      </c>
      <c r="F16" s="1541" t="s">
        <v>1366</v>
      </c>
      <c r="G16" s="1269" t="s">
        <v>658</v>
      </c>
    </row>
    <row r="17" spans="1:7" s="76" customFormat="1" ht="18.75" customHeight="1">
      <c r="A17" s="595" t="e">
        <f>'2-A_4TURB'!#REF!</f>
        <v>#REF!</v>
      </c>
      <c r="B17" s="596" t="str">
        <f>B15</f>
        <v>Catalytic Reduction</v>
      </c>
      <c r="C17" s="1262" t="s">
        <v>94</v>
      </c>
      <c r="D17" s="596" t="s">
        <v>1365</v>
      </c>
      <c r="E17" s="1540" t="s">
        <v>1366</v>
      </c>
      <c r="F17" s="1540" t="s">
        <v>1366</v>
      </c>
      <c r="G17" s="1264" t="s">
        <v>658</v>
      </c>
    </row>
    <row r="18" spans="1:7" s="76" customFormat="1" ht="18.75" customHeight="1">
      <c r="A18" s="600" t="e">
        <f>'2-A_4TURB'!#REF!</f>
        <v>#REF!</v>
      </c>
      <c r="B18" s="601" t="str">
        <f>B15</f>
        <v>Catalytic Reduction</v>
      </c>
      <c r="C18" s="1267" t="s">
        <v>94</v>
      </c>
      <c r="D18" s="601" t="s">
        <v>1365</v>
      </c>
      <c r="E18" s="1541" t="s">
        <v>1366</v>
      </c>
      <c r="F18" s="1541" t="s">
        <v>1366</v>
      </c>
      <c r="G18" s="1269" t="s">
        <v>658</v>
      </c>
    </row>
    <row r="19" spans="1:7" s="74" customFormat="1" ht="18.75" customHeight="1">
      <c r="A19" s="595"/>
      <c r="B19" s="596"/>
      <c r="C19" s="597"/>
      <c r="D19" s="596"/>
      <c r="E19" s="596"/>
      <c r="F19" s="598"/>
      <c r="G19" s="599"/>
    </row>
    <row r="20" spans="1:7" s="74" customFormat="1" ht="18.75" customHeight="1">
      <c r="A20" s="600"/>
      <c r="B20" s="601"/>
      <c r="C20" s="602"/>
      <c r="D20" s="601"/>
      <c r="E20" s="601"/>
      <c r="F20" s="594"/>
      <c r="G20" s="603"/>
    </row>
    <row r="21" spans="1:7" s="74" customFormat="1" ht="18.75" customHeight="1">
      <c r="A21" s="595"/>
      <c r="B21" s="596"/>
      <c r="C21" s="597"/>
      <c r="D21" s="596"/>
      <c r="E21" s="596"/>
      <c r="F21" s="598"/>
      <c r="G21" s="599"/>
    </row>
    <row r="22" spans="1:7" s="74" customFormat="1" ht="18.75" customHeight="1">
      <c r="A22" s="600"/>
      <c r="B22" s="601"/>
      <c r="C22" s="602"/>
      <c r="D22" s="601"/>
      <c r="E22" s="601"/>
      <c r="F22" s="594"/>
      <c r="G22" s="603"/>
    </row>
    <row r="23" spans="1:7" s="74" customFormat="1" ht="18.75" customHeight="1">
      <c r="A23" s="595"/>
      <c r="B23" s="596"/>
      <c r="C23" s="597"/>
      <c r="D23" s="596"/>
      <c r="E23" s="596"/>
      <c r="F23" s="598"/>
      <c r="G23" s="599"/>
    </row>
    <row r="24" spans="1:7" s="76" customFormat="1" ht="18.75" customHeight="1">
      <c r="A24" s="281"/>
      <c r="B24" s="277"/>
      <c r="C24" s="278"/>
      <c r="D24" s="278"/>
      <c r="E24" s="278"/>
      <c r="F24" s="278"/>
      <c r="G24" s="280"/>
    </row>
    <row r="25" spans="1:7" s="76" customFormat="1" ht="18.75" customHeight="1">
      <c r="A25" s="71"/>
      <c r="B25" s="72"/>
      <c r="C25" s="72"/>
      <c r="D25" s="72"/>
      <c r="E25" s="72"/>
      <c r="F25" s="72"/>
      <c r="G25" s="75"/>
    </row>
    <row r="26" spans="1:7" s="76" customFormat="1" ht="18.75" customHeight="1">
      <c r="A26" s="281"/>
      <c r="B26" s="277"/>
      <c r="C26" s="278"/>
      <c r="D26" s="278"/>
      <c r="E26" s="278"/>
      <c r="F26" s="278"/>
      <c r="G26" s="280"/>
    </row>
    <row r="27" spans="1:7" s="76" customFormat="1" ht="18.75" customHeight="1">
      <c r="A27" s="71"/>
      <c r="B27" s="72"/>
      <c r="C27" s="72"/>
      <c r="D27" s="72"/>
      <c r="E27" s="72"/>
      <c r="F27" s="72"/>
      <c r="G27" s="75"/>
    </row>
    <row r="28" spans="1:7" s="76" customFormat="1" ht="18.75" customHeight="1">
      <c r="A28" s="281"/>
      <c r="B28" s="277"/>
      <c r="C28" s="278"/>
      <c r="D28" s="278"/>
      <c r="E28" s="278"/>
      <c r="F28" s="278"/>
      <c r="G28" s="280"/>
    </row>
    <row r="29" spans="1:7" s="76" customFormat="1" ht="18.75" customHeight="1">
      <c r="A29" s="71"/>
      <c r="B29" s="72"/>
      <c r="C29" s="72"/>
      <c r="D29" s="72"/>
      <c r="E29" s="72"/>
      <c r="F29" s="72"/>
      <c r="G29" s="75"/>
    </row>
    <row r="30" spans="1:7" s="76" customFormat="1" ht="18.75" customHeight="1" thickBot="1">
      <c r="A30" s="281"/>
      <c r="B30" s="277"/>
      <c r="C30" s="277"/>
      <c r="D30" s="277"/>
      <c r="E30" s="277"/>
      <c r="F30" s="277"/>
      <c r="G30" s="282"/>
    </row>
    <row r="31" spans="1:7" s="74" customFormat="1" ht="15" customHeight="1">
      <c r="A31" s="3914" t="s">
        <v>147</v>
      </c>
      <c r="B31" s="3915"/>
      <c r="C31" s="3915"/>
      <c r="D31" s="3915"/>
      <c r="E31" s="3915"/>
      <c r="F31" s="3915"/>
      <c r="G31" s="3916"/>
    </row>
    <row r="32" spans="1:7" s="74" customFormat="1" ht="18.75" customHeight="1">
      <c r="A32" s="68"/>
      <c r="B32" s="66"/>
      <c r="C32" s="66"/>
      <c r="D32" s="66"/>
      <c r="E32" s="66"/>
      <c r="F32" s="66"/>
      <c r="G32" s="66"/>
    </row>
    <row r="33" spans="1:7" s="76" customFormat="1" ht="18.75" customHeight="1">
      <c r="A33" s="68"/>
      <c r="B33" s="66"/>
      <c r="C33" s="66"/>
      <c r="D33" s="66"/>
      <c r="E33" s="66"/>
      <c r="F33" s="66"/>
      <c r="G33" s="66"/>
    </row>
    <row r="34" spans="1:7" s="76" customFormat="1" ht="18.75" customHeight="1">
      <c r="A34" s="68"/>
      <c r="B34" s="66"/>
      <c r="C34" s="66"/>
      <c r="D34" s="66"/>
      <c r="E34" s="66"/>
      <c r="F34" s="66"/>
      <c r="G34" s="66"/>
    </row>
    <row r="35" spans="1:7" s="76" customFormat="1" ht="18.75" customHeight="1">
      <c r="A35" s="68"/>
      <c r="B35" s="66"/>
      <c r="C35" s="66"/>
      <c r="D35" s="66"/>
      <c r="E35" s="66"/>
      <c r="F35" s="66"/>
      <c r="G35" s="66"/>
    </row>
    <row r="36" spans="1:7" s="76" customFormat="1" ht="18.75" customHeight="1">
      <c r="A36" s="68"/>
      <c r="B36" s="66"/>
      <c r="C36" s="66"/>
      <c r="D36" s="66"/>
      <c r="E36" s="66"/>
      <c r="F36" s="66"/>
      <c r="G36" s="66"/>
    </row>
    <row r="37" spans="1:7" s="76" customFormat="1" ht="18.75" customHeight="1">
      <c r="A37" s="68"/>
      <c r="B37" s="66"/>
      <c r="C37" s="66"/>
      <c r="D37" s="66"/>
      <c r="E37" s="66"/>
      <c r="F37" s="66"/>
      <c r="G37" s="66"/>
    </row>
    <row r="60" spans="9:9">
      <c r="I60" s="76"/>
    </row>
  </sheetData>
  <mergeCells count="10">
    <mergeCell ref="A31:G31"/>
    <mergeCell ref="A1:G1"/>
    <mergeCell ref="A2:G2"/>
    <mergeCell ref="A3:A4"/>
    <mergeCell ref="B3:B4"/>
    <mergeCell ref="C3:C4"/>
    <mergeCell ref="D3:D4"/>
    <mergeCell ref="E3:E4"/>
    <mergeCell ref="F3:F4"/>
    <mergeCell ref="G3:G4"/>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Roman,Regular"&amp;8June 2019: Revision 0</oddHeader>
    <oddFooter>&amp;L&amp;"Arial,Bold"&amp;8Form Revision: 1/25/2017&amp;C&amp;8Table 2-C:  Page &amp;P&amp;R&amp;8Printed &amp;D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1"/>
  <dimension ref="A1:V35"/>
  <sheetViews>
    <sheetView view="pageBreakPreview" topLeftCell="A13" zoomScale="60" zoomScaleNormal="100" zoomScalePageLayoutView="70" workbookViewId="0">
      <selection activeCell="A9" sqref="A9"/>
    </sheetView>
  </sheetViews>
  <sheetFormatPr defaultColWidth="8.6328125" defaultRowHeight="13"/>
  <cols>
    <col min="1" max="1" width="10" style="78" customWidth="1"/>
    <col min="2" max="29" width="7.453125" style="78" customWidth="1"/>
    <col min="30" max="16384" width="8.6328125" style="78"/>
  </cols>
  <sheetData>
    <row r="1" spans="1:22" ht="23.25" customHeight="1">
      <c r="A1" s="4046" t="s">
        <v>158</v>
      </c>
      <c r="B1" s="4047"/>
      <c r="C1" s="4047"/>
      <c r="D1" s="4047"/>
      <c r="E1" s="4047"/>
      <c r="F1" s="4047"/>
      <c r="G1" s="4047"/>
      <c r="H1" s="4047"/>
      <c r="I1" s="4047"/>
      <c r="J1" s="4047"/>
      <c r="K1" s="4047"/>
      <c r="L1" s="4047"/>
      <c r="M1" s="4047"/>
      <c r="N1" s="4047"/>
      <c r="O1" s="4047"/>
      <c r="P1" s="4047"/>
      <c r="Q1" s="4047"/>
      <c r="R1" s="4047"/>
      <c r="S1" s="4047"/>
      <c r="T1" s="77"/>
      <c r="U1" s="77"/>
    </row>
    <row r="2" spans="1:22" ht="38.25" customHeight="1">
      <c r="A2" s="4097" t="s">
        <v>1257</v>
      </c>
      <c r="B2" s="4098"/>
      <c r="C2" s="4098"/>
      <c r="D2" s="4098"/>
      <c r="E2" s="4098"/>
      <c r="F2" s="4098"/>
      <c r="G2" s="4098"/>
      <c r="H2" s="4098"/>
      <c r="I2" s="4098"/>
      <c r="J2" s="4098"/>
      <c r="K2" s="4098"/>
      <c r="L2" s="4098"/>
      <c r="M2" s="4098"/>
      <c r="N2" s="4098"/>
      <c r="O2" s="4098"/>
      <c r="P2" s="4098"/>
      <c r="Q2" s="4098"/>
      <c r="R2" s="4098"/>
      <c r="S2" s="4098"/>
    </row>
    <row r="3" spans="1:22" ht="52.5" customHeight="1" thickBot="1">
      <c r="A3" s="4093" t="s">
        <v>159</v>
      </c>
      <c r="B3" s="4094"/>
      <c r="C3" s="4094"/>
      <c r="D3" s="4094"/>
      <c r="E3" s="4094"/>
      <c r="F3" s="4094"/>
      <c r="G3" s="4094"/>
      <c r="H3" s="4094"/>
      <c r="I3" s="4094"/>
      <c r="J3" s="4094"/>
      <c r="K3" s="4094"/>
      <c r="L3" s="4094"/>
      <c r="M3" s="4094"/>
      <c r="N3" s="4094"/>
      <c r="O3" s="4094"/>
      <c r="P3" s="4094"/>
      <c r="Q3" s="4094"/>
      <c r="R3" s="4094"/>
      <c r="S3" s="4094"/>
    </row>
    <row r="4" spans="1:22" ht="15" customHeight="1">
      <c r="A4" s="4050" t="s">
        <v>148</v>
      </c>
      <c r="B4" s="4040" t="s">
        <v>21</v>
      </c>
      <c r="C4" s="4041"/>
      <c r="D4" s="4042" t="s">
        <v>0</v>
      </c>
      <c r="E4" s="4052"/>
      <c r="F4" s="4040" t="s">
        <v>149</v>
      </c>
      <c r="G4" s="4041"/>
      <c r="H4" s="4042" t="s">
        <v>150</v>
      </c>
      <c r="I4" s="4052"/>
      <c r="J4" s="4040" t="s">
        <v>1259</v>
      </c>
      <c r="K4" s="4041"/>
      <c r="L4" s="4042" t="s">
        <v>151</v>
      </c>
      <c r="M4" s="4052"/>
      <c r="N4" s="4040" t="s">
        <v>152</v>
      </c>
      <c r="O4" s="4041"/>
      <c r="P4" s="4042" t="s">
        <v>153</v>
      </c>
      <c r="Q4" s="4052"/>
      <c r="R4" s="4040" t="s">
        <v>154</v>
      </c>
      <c r="S4" s="4041"/>
    </row>
    <row r="5" spans="1:22" ht="15" customHeight="1">
      <c r="A5" s="4051"/>
      <c r="B5" s="79" t="s">
        <v>22</v>
      </c>
      <c r="C5" s="80" t="s">
        <v>155</v>
      </c>
      <c r="D5" s="81" t="s">
        <v>22</v>
      </c>
      <c r="E5" s="82" t="s">
        <v>155</v>
      </c>
      <c r="F5" s="79" t="s">
        <v>22</v>
      </c>
      <c r="G5" s="80" t="s">
        <v>155</v>
      </c>
      <c r="H5" s="81" t="s">
        <v>22</v>
      </c>
      <c r="I5" s="82" t="s">
        <v>155</v>
      </c>
      <c r="J5" s="79" t="s">
        <v>22</v>
      </c>
      <c r="K5" s="80" t="s">
        <v>155</v>
      </c>
      <c r="L5" s="81" t="s">
        <v>22</v>
      </c>
      <c r="M5" s="82" t="s">
        <v>155</v>
      </c>
      <c r="N5" s="79" t="s">
        <v>22</v>
      </c>
      <c r="O5" s="80" t="s">
        <v>155</v>
      </c>
      <c r="P5" s="81" t="s">
        <v>22</v>
      </c>
      <c r="Q5" s="82" t="s">
        <v>155</v>
      </c>
      <c r="R5" s="79" t="s">
        <v>22</v>
      </c>
      <c r="S5" s="80" t="s">
        <v>155</v>
      </c>
    </row>
    <row r="6" spans="1:22" ht="15.75" customHeight="1">
      <c r="A6" s="608"/>
      <c r="B6" s="609"/>
      <c r="C6" s="610"/>
      <c r="D6" s="609"/>
      <c r="E6" s="610"/>
      <c r="F6" s="1197"/>
      <c r="G6" s="1198"/>
      <c r="H6" s="609"/>
      <c r="I6" s="610"/>
      <c r="J6" s="609"/>
      <c r="K6" s="610"/>
      <c r="L6" s="609"/>
      <c r="M6" s="610"/>
      <c r="N6" s="609"/>
      <c r="O6" s="610"/>
      <c r="P6" s="609"/>
      <c r="Q6" s="610"/>
      <c r="R6" s="609"/>
      <c r="S6" s="610"/>
    </row>
    <row r="7" spans="1:22" ht="15.75" customHeight="1">
      <c r="A7" s="606"/>
      <c r="B7" s="605"/>
      <c r="C7" s="607"/>
      <c r="D7" s="605"/>
      <c r="E7" s="607"/>
      <c r="F7" s="1199"/>
      <c r="G7" s="1200"/>
      <c r="H7" s="605"/>
      <c r="I7" s="607"/>
      <c r="J7" s="605"/>
      <c r="K7" s="607"/>
      <c r="L7" s="605"/>
      <c r="M7" s="607"/>
      <c r="N7" s="605"/>
      <c r="O7" s="607"/>
      <c r="P7" s="605"/>
      <c r="Q7" s="607"/>
      <c r="R7" s="605"/>
      <c r="S7" s="607"/>
    </row>
    <row r="8" spans="1:22" ht="15.75" customHeight="1">
      <c r="A8" s="608" t="str">
        <f>'2-E-Co'!A34</f>
        <v>SSM</v>
      </c>
      <c r="B8" s="609" t="s">
        <v>17</v>
      </c>
      <c r="C8" s="610" t="s">
        <v>17</v>
      </c>
      <c r="D8" s="609" t="s">
        <v>17</v>
      </c>
      <c r="E8" s="610" t="s">
        <v>17</v>
      </c>
      <c r="F8" s="1197" t="s">
        <v>17</v>
      </c>
      <c r="G8" s="1198">
        <v>10</v>
      </c>
      <c r="H8" s="609" t="s">
        <v>17</v>
      </c>
      <c r="I8" s="610" t="s">
        <v>17</v>
      </c>
      <c r="J8" s="609" t="s">
        <v>17</v>
      </c>
      <c r="K8" s="610" t="s">
        <v>17</v>
      </c>
      <c r="L8" s="609" t="s">
        <v>17</v>
      </c>
      <c r="M8" s="610" t="s">
        <v>17</v>
      </c>
      <c r="N8" s="609" t="s">
        <v>17</v>
      </c>
      <c r="O8" s="610" t="s">
        <v>17</v>
      </c>
      <c r="P8" s="609" t="s">
        <v>17</v>
      </c>
      <c r="Q8" s="610" t="s">
        <v>17</v>
      </c>
      <c r="R8" s="609" t="s">
        <v>17</v>
      </c>
      <c r="S8" s="610" t="s">
        <v>17</v>
      </c>
    </row>
    <row r="9" spans="1:22" ht="15.75" customHeight="1">
      <c r="A9" s="283"/>
      <c r="B9" s="296"/>
      <c r="C9" s="297"/>
      <c r="D9" s="298"/>
      <c r="E9" s="299"/>
      <c r="F9" s="296"/>
      <c r="G9" s="297"/>
      <c r="H9" s="298"/>
      <c r="I9" s="299"/>
      <c r="J9" s="292"/>
      <c r="K9" s="293"/>
      <c r="L9" s="294"/>
      <c r="M9" s="295"/>
      <c r="N9" s="292"/>
      <c r="O9" s="293"/>
      <c r="P9" s="294"/>
      <c r="Q9" s="295"/>
      <c r="R9" s="292"/>
      <c r="S9" s="293"/>
    </row>
    <row r="10" spans="1:22" ht="15.75" customHeight="1">
      <c r="A10" s="203"/>
      <c r="B10" s="85"/>
      <c r="C10" s="86"/>
      <c r="D10" s="87"/>
      <c r="E10" s="88"/>
      <c r="F10" s="85"/>
      <c r="G10" s="86"/>
      <c r="H10" s="87"/>
      <c r="I10" s="88"/>
      <c r="J10" s="91"/>
      <c r="K10" s="92"/>
      <c r="L10" s="89"/>
      <c r="M10" s="90"/>
      <c r="N10" s="91"/>
      <c r="O10" s="92"/>
      <c r="P10" s="89"/>
      <c r="Q10" s="90"/>
      <c r="R10" s="91"/>
      <c r="S10" s="92"/>
      <c r="V10" s="107"/>
    </row>
    <row r="11" spans="1:22" ht="15.75" customHeight="1">
      <c r="A11" s="283"/>
      <c r="B11" s="296"/>
      <c r="C11" s="297"/>
      <c r="D11" s="298"/>
      <c r="E11" s="299"/>
      <c r="F11" s="296"/>
      <c r="G11" s="297"/>
      <c r="H11" s="298"/>
      <c r="I11" s="299"/>
      <c r="J11" s="292"/>
      <c r="K11" s="293"/>
      <c r="L11" s="294"/>
      <c r="M11" s="295"/>
      <c r="N11" s="292"/>
      <c r="O11" s="293"/>
      <c r="P11" s="294"/>
      <c r="Q11" s="295"/>
      <c r="R11" s="292"/>
      <c r="S11" s="293"/>
    </row>
    <row r="12" spans="1:22" ht="15.75" customHeight="1">
      <c r="A12" s="203"/>
      <c r="B12" s="85"/>
      <c r="C12" s="86"/>
      <c r="D12" s="87"/>
      <c r="E12" s="88"/>
      <c r="F12" s="85"/>
      <c r="G12" s="86"/>
      <c r="H12" s="87"/>
      <c r="I12" s="88"/>
      <c r="J12" s="91"/>
      <c r="K12" s="92"/>
      <c r="L12" s="89"/>
      <c r="M12" s="90"/>
      <c r="N12" s="91"/>
      <c r="O12" s="92"/>
      <c r="P12" s="89"/>
      <c r="Q12" s="90"/>
      <c r="R12" s="91"/>
      <c r="S12" s="92"/>
    </row>
    <row r="13" spans="1:22" ht="15.75" customHeight="1">
      <c r="A13" s="283"/>
      <c r="B13" s="296"/>
      <c r="C13" s="297"/>
      <c r="D13" s="298"/>
      <c r="E13" s="299"/>
      <c r="F13" s="296"/>
      <c r="G13" s="297"/>
      <c r="H13" s="298"/>
      <c r="I13" s="299"/>
      <c r="J13" s="292"/>
      <c r="K13" s="293"/>
      <c r="L13" s="294"/>
      <c r="M13" s="295"/>
      <c r="N13" s="292"/>
      <c r="O13" s="293"/>
      <c r="P13" s="294"/>
      <c r="Q13" s="295"/>
      <c r="R13" s="292"/>
      <c r="S13" s="293"/>
    </row>
    <row r="14" spans="1:22" ht="15.75" customHeight="1">
      <c r="A14" s="203"/>
      <c r="B14" s="85"/>
      <c r="C14" s="86"/>
      <c r="D14" s="87"/>
      <c r="E14" s="88"/>
      <c r="F14" s="85"/>
      <c r="G14" s="86"/>
      <c r="H14" s="87"/>
      <c r="I14" s="88"/>
      <c r="J14" s="91"/>
      <c r="K14" s="92"/>
      <c r="L14" s="89"/>
      <c r="M14" s="90"/>
      <c r="N14" s="91"/>
      <c r="O14" s="92"/>
      <c r="P14" s="89"/>
      <c r="Q14" s="90"/>
      <c r="R14" s="91"/>
      <c r="S14" s="92"/>
    </row>
    <row r="15" spans="1:22" ht="15.75" customHeight="1">
      <c r="A15" s="283"/>
      <c r="B15" s="296"/>
      <c r="C15" s="297"/>
      <c r="D15" s="298"/>
      <c r="E15" s="299"/>
      <c r="F15" s="296"/>
      <c r="G15" s="297"/>
      <c r="H15" s="298"/>
      <c r="I15" s="299"/>
      <c r="J15" s="292"/>
      <c r="K15" s="293"/>
      <c r="L15" s="294"/>
      <c r="M15" s="295"/>
      <c r="N15" s="292"/>
      <c r="O15" s="293"/>
      <c r="P15" s="294"/>
      <c r="Q15" s="295"/>
      <c r="R15" s="292"/>
      <c r="S15" s="293"/>
    </row>
    <row r="16" spans="1:22" ht="15.75" customHeight="1">
      <c r="A16" s="203"/>
      <c r="B16" s="85"/>
      <c r="C16" s="86"/>
      <c r="D16" s="87"/>
      <c r="E16" s="88"/>
      <c r="F16" s="85"/>
      <c r="G16" s="86"/>
      <c r="H16" s="87"/>
      <c r="I16" s="88"/>
      <c r="J16" s="91"/>
      <c r="K16" s="92"/>
      <c r="L16" s="89"/>
      <c r="M16" s="90"/>
      <c r="N16" s="91"/>
      <c r="O16" s="92"/>
      <c r="P16" s="89"/>
      <c r="Q16" s="90"/>
      <c r="R16" s="91"/>
      <c r="S16" s="92"/>
    </row>
    <row r="17" spans="1:19" ht="15.75" customHeight="1">
      <c r="A17" s="283"/>
      <c r="B17" s="296"/>
      <c r="C17" s="297"/>
      <c r="D17" s="298"/>
      <c r="E17" s="299"/>
      <c r="F17" s="296"/>
      <c r="G17" s="297"/>
      <c r="H17" s="298"/>
      <c r="I17" s="299"/>
      <c r="J17" s="292"/>
      <c r="K17" s="293"/>
      <c r="L17" s="294"/>
      <c r="M17" s="295"/>
      <c r="N17" s="292"/>
      <c r="O17" s="293"/>
      <c r="P17" s="294"/>
      <c r="Q17" s="295"/>
      <c r="R17" s="292"/>
      <c r="S17" s="293"/>
    </row>
    <row r="18" spans="1:19" ht="15.75" customHeight="1">
      <c r="A18" s="203"/>
      <c r="B18" s="85"/>
      <c r="C18" s="86"/>
      <c r="D18" s="87"/>
      <c r="E18" s="88"/>
      <c r="F18" s="85"/>
      <c r="G18" s="86"/>
      <c r="H18" s="87"/>
      <c r="I18" s="88"/>
      <c r="J18" s="91"/>
      <c r="K18" s="92"/>
      <c r="L18" s="89"/>
      <c r="M18" s="90"/>
      <c r="N18" s="91"/>
      <c r="O18" s="92"/>
      <c r="P18" s="89"/>
      <c r="Q18" s="90"/>
      <c r="R18" s="91"/>
      <c r="S18" s="92"/>
    </row>
    <row r="19" spans="1:19" ht="15.75" customHeight="1">
      <c r="A19" s="283"/>
      <c r="B19" s="296"/>
      <c r="C19" s="297"/>
      <c r="D19" s="298"/>
      <c r="E19" s="299"/>
      <c r="F19" s="296"/>
      <c r="G19" s="297"/>
      <c r="H19" s="298"/>
      <c r="I19" s="299"/>
      <c r="J19" s="292"/>
      <c r="K19" s="293"/>
      <c r="L19" s="294"/>
      <c r="M19" s="295"/>
      <c r="N19" s="292"/>
      <c r="O19" s="293"/>
      <c r="P19" s="294"/>
      <c r="Q19" s="295"/>
      <c r="R19" s="292"/>
      <c r="S19" s="293"/>
    </row>
    <row r="20" spans="1:19" ht="15.75" customHeight="1">
      <c r="A20" s="203"/>
      <c r="B20" s="85"/>
      <c r="C20" s="86"/>
      <c r="D20" s="87"/>
      <c r="E20" s="88"/>
      <c r="F20" s="85"/>
      <c r="G20" s="86"/>
      <c r="H20" s="87"/>
      <c r="I20" s="88"/>
      <c r="J20" s="91"/>
      <c r="K20" s="92"/>
      <c r="L20" s="89"/>
      <c r="M20" s="90"/>
      <c r="N20" s="91"/>
      <c r="O20" s="92"/>
      <c r="P20" s="89"/>
      <c r="Q20" s="90"/>
      <c r="R20" s="91"/>
      <c r="S20" s="92"/>
    </row>
    <row r="21" spans="1:19" ht="15.75" customHeight="1">
      <c r="A21" s="283"/>
      <c r="B21" s="296"/>
      <c r="C21" s="297"/>
      <c r="D21" s="298"/>
      <c r="E21" s="299"/>
      <c r="F21" s="296"/>
      <c r="G21" s="297"/>
      <c r="H21" s="298"/>
      <c r="I21" s="299"/>
      <c r="J21" s="292"/>
      <c r="K21" s="293"/>
      <c r="L21" s="294"/>
      <c r="M21" s="295"/>
      <c r="N21" s="292"/>
      <c r="O21" s="293"/>
      <c r="P21" s="294"/>
      <c r="Q21" s="295"/>
      <c r="R21" s="292"/>
      <c r="S21" s="293"/>
    </row>
    <row r="22" spans="1:19" ht="15.75" customHeight="1">
      <c r="A22" s="203"/>
      <c r="B22" s="85"/>
      <c r="C22" s="86"/>
      <c r="D22" s="87"/>
      <c r="E22" s="88"/>
      <c r="F22" s="85"/>
      <c r="G22" s="86"/>
      <c r="H22" s="87"/>
      <c r="I22" s="88"/>
      <c r="J22" s="91"/>
      <c r="K22" s="92"/>
      <c r="L22" s="89"/>
      <c r="M22" s="90"/>
      <c r="N22" s="91"/>
      <c r="O22" s="92"/>
      <c r="P22" s="89"/>
      <c r="Q22" s="90"/>
      <c r="R22" s="91"/>
      <c r="S22" s="92"/>
    </row>
    <row r="23" spans="1:19" ht="15.75" customHeight="1">
      <c r="A23" s="283"/>
      <c r="B23" s="296"/>
      <c r="C23" s="297"/>
      <c r="D23" s="298"/>
      <c r="E23" s="299"/>
      <c r="F23" s="296"/>
      <c r="G23" s="297"/>
      <c r="H23" s="298"/>
      <c r="I23" s="299"/>
      <c r="J23" s="292"/>
      <c r="K23" s="293"/>
      <c r="L23" s="294"/>
      <c r="M23" s="295"/>
      <c r="N23" s="292"/>
      <c r="O23" s="293"/>
      <c r="P23" s="294"/>
      <c r="Q23" s="295"/>
      <c r="R23" s="292"/>
      <c r="S23" s="293"/>
    </row>
    <row r="24" spans="1:19" ht="15.75" customHeight="1">
      <c r="A24" s="203"/>
      <c r="B24" s="85"/>
      <c r="C24" s="86"/>
      <c r="D24" s="87"/>
      <c r="E24" s="88"/>
      <c r="F24" s="85"/>
      <c r="G24" s="86"/>
      <c r="H24" s="87"/>
      <c r="I24" s="88"/>
      <c r="J24" s="91"/>
      <c r="K24" s="92"/>
      <c r="L24" s="89"/>
      <c r="M24" s="90"/>
      <c r="N24" s="91"/>
      <c r="O24" s="92"/>
      <c r="P24" s="89"/>
      <c r="Q24" s="90"/>
      <c r="R24" s="91"/>
      <c r="S24" s="92"/>
    </row>
    <row r="25" spans="1:19" ht="15.75" customHeight="1">
      <c r="A25" s="283"/>
      <c r="B25" s="296"/>
      <c r="C25" s="297"/>
      <c r="D25" s="298"/>
      <c r="E25" s="299"/>
      <c r="F25" s="296"/>
      <c r="G25" s="297"/>
      <c r="H25" s="298"/>
      <c r="I25" s="299"/>
      <c r="J25" s="292"/>
      <c r="K25" s="293"/>
      <c r="L25" s="294"/>
      <c r="M25" s="295"/>
      <c r="N25" s="292"/>
      <c r="O25" s="293"/>
      <c r="P25" s="294"/>
      <c r="Q25" s="295"/>
      <c r="R25" s="292"/>
      <c r="S25" s="293"/>
    </row>
    <row r="26" spans="1:19" ht="15.75" customHeight="1">
      <c r="A26" s="203"/>
      <c r="B26" s="85"/>
      <c r="C26" s="86"/>
      <c r="D26" s="87"/>
      <c r="E26" s="88"/>
      <c r="F26" s="85"/>
      <c r="G26" s="86"/>
      <c r="H26" s="87"/>
      <c r="I26" s="88"/>
      <c r="J26" s="91"/>
      <c r="K26" s="92"/>
      <c r="L26" s="89"/>
      <c r="M26" s="90"/>
      <c r="N26" s="91"/>
      <c r="O26" s="92"/>
      <c r="P26" s="89"/>
      <c r="Q26" s="90"/>
      <c r="R26" s="91"/>
      <c r="S26" s="92"/>
    </row>
    <row r="27" spans="1:19" ht="15.75" customHeight="1">
      <c r="A27" s="283"/>
      <c r="B27" s="296"/>
      <c r="C27" s="297"/>
      <c r="D27" s="298"/>
      <c r="E27" s="299"/>
      <c r="F27" s="296"/>
      <c r="G27" s="297"/>
      <c r="H27" s="298"/>
      <c r="I27" s="299"/>
      <c r="J27" s="292"/>
      <c r="K27" s="293"/>
      <c r="L27" s="294"/>
      <c r="M27" s="295"/>
      <c r="N27" s="292"/>
      <c r="O27" s="293"/>
      <c r="P27" s="294"/>
      <c r="Q27" s="295"/>
      <c r="R27" s="292"/>
      <c r="S27" s="293"/>
    </row>
    <row r="28" spans="1:19" ht="15.75" customHeight="1">
      <c r="A28" s="203"/>
      <c r="B28" s="85"/>
      <c r="C28" s="86"/>
      <c r="D28" s="87"/>
      <c r="E28" s="88"/>
      <c r="F28" s="85"/>
      <c r="G28" s="86"/>
      <c r="H28" s="87"/>
      <c r="I28" s="88"/>
      <c r="J28" s="91"/>
      <c r="K28" s="92"/>
      <c r="L28" s="89"/>
      <c r="M28" s="90"/>
      <c r="N28" s="91"/>
      <c r="O28" s="92"/>
      <c r="P28" s="89"/>
      <c r="Q28" s="90"/>
      <c r="R28" s="91"/>
      <c r="S28" s="92"/>
    </row>
    <row r="29" spans="1:19" ht="15.75" customHeight="1">
      <c r="A29" s="283"/>
      <c r="B29" s="296"/>
      <c r="C29" s="297"/>
      <c r="D29" s="298"/>
      <c r="E29" s="299"/>
      <c r="F29" s="296"/>
      <c r="G29" s="297"/>
      <c r="H29" s="298"/>
      <c r="I29" s="299"/>
      <c r="J29" s="292"/>
      <c r="K29" s="293"/>
      <c r="L29" s="294"/>
      <c r="M29" s="295"/>
      <c r="N29" s="292"/>
      <c r="O29" s="293"/>
      <c r="P29" s="294"/>
      <c r="Q29" s="295"/>
      <c r="R29" s="292"/>
      <c r="S29" s="293"/>
    </row>
    <row r="30" spans="1:19" ht="15.75" customHeight="1">
      <c r="A30" s="203"/>
      <c r="B30" s="85"/>
      <c r="C30" s="86"/>
      <c r="D30" s="87"/>
      <c r="E30" s="88"/>
      <c r="F30" s="85"/>
      <c r="G30" s="86"/>
      <c r="H30" s="87"/>
      <c r="I30" s="88"/>
      <c r="J30" s="91"/>
      <c r="K30" s="92"/>
      <c r="L30" s="89"/>
      <c r="M30" s="90"/>
      <c r="N30" s="91"/>
      <c r="O30" s="92"/>
      <c r="P30" s="89"/>
      <c r="Q30" s="90"/>
      <c r="R30" s="91"/>
      <c r="S30" s="92"/>
    </row>
    <row r="31" spans="1:19" ht="15" customHeight="1">
      <c r="A31" s="283"/>
      <c r="B31" s="296"/>
      <c r="C31" s="297"/>
      <c r="D31" s="298"/>
      <c r="E31" s="299"/>
      <c r="F31" s="296"/>
      <c r="G31" s="297"/>
      <c r="H31" s="298"/>
      <c r="I31" s="299"/>
      <c r="J31" s="292"/>
      <c r="K31" s="293"/>
      <c r="L31" s="294"/>
      <c r="M31" s="295"/>
      <c r="N31" s="292"/>
      <c r="O31" s="293"/>
      <c r="P31" s="294"/>
      <c r="Q31" s="295"/>
      <c r="R31" s="292"/>
      <c r="S31" s="293"/>
    </row>
    <row r="32" spans="1:19" ht="16.5" customHeight="1" thickBot="1">
      <c r="A32" s="108" t="s">
        <v>50</v>
      </c>
      <c r="B32" s="97" t="s">
        <v>17</v>
      </c>
      <c r="C32" s="98" t="s">
        <v>17</v>
      </c>
      <c r="D32" s="100" t="s">
        <v>17</v>
      </c>
      <c r="E32" s="99" t="s">
        <v>17</v>
      </c>
      <c r="F32" s="269" t="s">
        <v>17</v>
      </c>
      <c r="G32" s="270">
        <f>SUM(G6:G31)</f>
        <v>10</v>
      </c>
      <c r="H32" s="100" t="s">
        <v>17</v>
      </c>
      <c r="I32" s="99" t="s">
        <v>17</v>
      </c>
      <c r="J32" s="97" t="s">
        <v>17</v>
      </c>
      <c r="K32" s="98" t="s">
        <v>17</v>
      </c>
      <c r="L32" s="100" t="s">
        <v>17</v>
      </c>
      <c r="M32" s="99" t="s">
        <v>17</v>
      </c>
      <c r="N32" s="97" t="s">
        <v>17</v>
      </c>
      <c r="O32" s="98" t="s">
        <v>17</v>
      </c>
      <c r="P32" s="100" t="s">
        <v>17</v>
      </c>
      <c r="Q32" s="99" t="s">
        <v>17</v>
      </c>
      <c r="R32" s="97" t="s">
        <v>17</v>
      </c>
      <c r="S32" s="98" t="s">
        <v>17</v>
      </c>
    </row>
    <row r="33" spans="1:19" ht="23.25" customHeight="1">
      <c r="A33" s="4096" t="s">
        <v>160</v>
      </c>
      <c r="B33" s="4096"/>
      <c r="C33" s="4096"/>
      <c r="D33" s="4096"/>
      <c r="E33" s="4096"/>
      <c r="F33" s="4096"/>
      <c r="G33" s="4096"/>
      <c r="H33" s="4096"/>
      <c r="I33" s="4096"/>
      <c r="J33" s="4096"/>
      <c r="K33" s="4096"/>
      <c r="L33" s="4096"/>
      <c r="M33" s="4096"/>
      <c r="N33" s="4096"/>
      <c r="O33" s="4096"/>
      <c r="P33" s="4096"/>
      <c r="Q33" s="4096"/>
      <c r="R33" s="4096"/>
      <c r="S33" s="4096"/>
    </row>
    <row r="34" spans="1:19" ht="22.4" customHeight="1">
      <c r="A34" s="4043" t="s">
        <v>1256</v>
      </c>
      <c r="B34" s="4044"/>
      <c r="C34" s="4044"/>
      <c r="D34" s="4044"/>
      <c r="E34" s="4044"/>
      <c r="F34" s="4044"/>
      <c r="G34" s="4044"/>
      <c r="H34" s="4044"/>
      <c r="I34" s="4044"/>
      <c r="J34" s="4044"/>
      <c r="K34" s="4044"/>
      <c r="L34" s="4044"/>
      <c r="M34" s="4044"/>
      <c r="N34" s="4044"/>
      <c r="O34" s="4044"/>
      <c r="P34" s="4044"/>
      <c r="Q34" s="4044"/>
      <c r="R34" s="4044"/>
      <c r="S34" s="4045"/>
    </row>
    <row r="35" spans="1:19" ht="13.25" customHeight="1">
      <c r="A35" s="109"/>
    </row>
  </sheetData>
  <mergeCells count="15">
    <mergeCell ref="A33:S33"/>
    <mergeCell ref="A34:S34"/>
    <mergeCell ref="A1:S1"/>
    <mergeCell ref="A2:S2"/>
    <mergeCell ref="A3:S3"/>
    <mergeCell ref="A4:A5"/>
    <mergeCell ref="B4:C4"/>
    <mergeCell ref="D4:E4"/>
    <mergeCell ref="F4:G4"/>
    <mergeCell ref="H4:I4"/>
    <mergeCell ref="J4:K4"/>
    <mergeCell ref="L4:M4"/>
    <mergeCell ref="N4:O4"/>
    <mergeCell ref="P4:Q4"/>
    <mergeCell ref="R4:S4"/>
  </mergeCells>
  <printOptions horizontalCentered="1" verticalCentered="1"/>
  <pageMargins left="0.5" right="0.5" top="0.5" bottom="0.5" header="0.35" footer="0.35"/>
  <pageSetup scale="85" orientation="landscape" useFirstPageNumber="1" r:id="rId1"/>
  <headerFooter alignWithMargins="0">
    <oddHeader>&amp;L&amp;"Times New Roman,Regular"&amp;8XTO Energy Inc.&amp;C&amp;"Times New Roman,Regular"&amp;8Husky CDP&amp;R&amp;"Times New Roman,Regular"&amp;8June 2019: Revision 0</oddHeader>
    <oddFooter>&amp;L&amp;"Arial,Bold"&amp;8Form Revision:  6/14/2019&amp;C&amp;8Table 2-F:  Page &amp;P&amp;R&amp;8Printed &amp;D &amp;T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tabColor theme="1"/>
  </sheetPr>
  <dimension ref="A1:T47"/>
  <sheetViews>
    <sheetView view="pageBreakPreview" topLeftCell="B34" zoomScale="80" zoomScaleNormal="70" zoomScaleSheetLayoutView="80" zoomScalePageLayoutView="85" workbookViewId="0">
      <selection activeCell="E19" sqref="E19:R20"/>
    </sheetView>
  </sheetViews>
  <sheetFormatPr defaultColWidth="8.54296875" defaultRowHeight="12.5"/>
  <cols>
    <col min="1" max="1" width="7.453125" style="56" hidden="1" customWidth="1"/>
    <col min="2" max="2" width="7.453125" style="56" customWidth="1"/>
    <col min="3" max="3" width="8.54296875" style="56" customWidth="1"/>
    <col min="4" max="7" width="9" style="56" customWidth="1"/>
    <col min="8" max="8" width="11" style="56" customWidth="1"/>
    <col min="9" max="18" width="9" style="56" customWidth="1"/>
    <col min="19" max="16384" width="8.54296875" style="56"/>
  </cols>
  <sheetData>
    <row r="1" spans="1:19" ht="17.25" customHeight="1">
      <c r="A1" s="159" t="s">
        <v>261</v>
      </c>
      <c r="B1" s="4046" t="s">
        <v>2035</v>
      </c>
      <c r="C1" s="4047"/>
      <c r="D1" s="4047"/>
      <c r="E1" s="4047"/>
      <c r="F1" s="4047"/>
      <c r="G1" s="4047"/>
      <c r="H1" s="4047"/>
      <c r="I1" s="4047"/>
      <c r="J1" s="4047"/>
      <c r="K1" s="4047"/>
      <c r="L1" s="4047"/>
      <c r="M1" s="4047"/>
      <c r="N1" s="4047"/>
      <c r="O1" s="4047"/>
      <c r="P1" s="4047"/>
      <c r="Q1" s="4047"/>
      <c r="R1" s="4047"/>
    </row>
    <row r="2" spans="1:19" ht="63" customHeight="1" thickBot="1">
      <c r="A2" s="4284" t="s">
        <v>377</v>
      </c>
      <c r="B2" s="4284"/>
      <c r="C2" s="4285"/>
      <c r="D2" s="4285"/>
      <c r="E2" s="4285"/>
      <c r="F2" s="4285"/>
      <c r="G2" s="4285"/>
      <c r="H2" s="4285"/>
      <c r="I2" s="4285"/>
      <c r="J2" s="4285"/>
      <c r="K2" s="4285"/>
      <c r="L2" s="4285"/>
      <c r="M2" s="4285"/>
      <c r="N2" s="4285"/>
      <c r="O2" s="4285"/>
      <c r="P2" s="4285"/>
      <c r="Q2" s="4285"/>
      <c r="R2" s="4285"/>
    </row>
    <row r="3" spans="1:19" ht="51.65" customHeight="1" thickBot="1">
      <c r="A3" s="160" t="s">
        <v>148</v>
      </c>
      <c r="B3" s="1461"/>
      <c r="C3" s="1462"/>
      <c r="D3" s="1462" t="s">
        <v>262</v>
      </c>
      <c r="E3" s="1462" t="s">
        <v>263</v>
      </c>
      <c r="F3" s="1462" t="s">
        <v>264</v>
      </c>
      <c r="G3" s="1462" t="s">
        <v>265</v>
      </c>
      <c r="H3" s="1462" t="s">
        <v>266</v>
      </c>
      <c r="I3" s="1462"/>
      <c r="J3" s="1462"/>
      <c r="K3" s="1462"/>
      <c r="L3" s="1462"/>
      <c r="M3" s="1462"/>
      <c r="N3" s="1462"/>
      <c r="O3" s="1462"/>
      <c r="P3" s="1462"/>
      <c r="Q3" s="1462" t="s">
        <v>267</v>
      </c>
      <c r="R3" s="1463" t="s">
        <v>268</v>
      </c>
    </row>
    <row r="4" spans="1:19" ht="15.5" thickBot="1">
      <c r="A4" s="1460"/>
      <c r="B4" s="161" t="s">
        <v>148</v>
      </c>
      <c r="C4" s="161" t="s">
        <v>269</v>
      </c>
      <c r="D4" s="162">
        <v>1</v>
      </c>
      <c r="E4" s="163">
        <v>298</v>
      </c>
      <c r="F4" s="163">
        <v>25</v>
      </c>
      <c r="G4" s="164">
        <v>22800</v>
      </c>
      <c r="H4" s="163" t="s">
        <v>270</v>
      </c>
      <c r="I4" s="163"/>
      <c r="J4" s="163"/>
      <c r="K4" s="163"/>
      <c r="L4" s="163"/>
      <c r="M4" s="163"/>
      <c r="N4" s="163"/>
      <c r="O4" s="163"/>
      <c r="P4" s="163"/>
      <c r="Q4" s="163"/>
      <c r="R4" s="165"/>
    </row>
    <row r="5" spans="1:19" ht="13">
      <c r="A5" s="4257"/>
      <c r="B5" s="4286" t="s">
        <v>1522</v>
      </c>
      <c r="C5" s="332" t="s">
        <v>271</v>
      </c>
      <c r="D5" s="333">
        <f>SHTRGHG!C43*2</f>
        <v>66444.030240840002</v>
      </c>
      <c r="E5" s="334">
        <f>SHTRGHG!F43*2</f>
        <v>0.1252243314</v>
      </c>
      <c r="F5" s="333">
        <f>SHTRGHG!D43*2</f>
        <v>1.252243314</v>
      </c>
      <c r="G5" s="335"/>
      <c r="H5" s="335"/>
      <c r="I5" s="335"/>
      <c r="J5" s="335"/>
      <c r="K5" s="336"/>
      <c r="L5" s="336"/>
      <c r="M5" s="336"/>
      <c r="N5" s="336"/>
      <c r="O5" s="336"/>
      <c r="P5" s="336"/>
      <c r="Q5" s="402">
        <f>D5+E5+F5</f>
        <v>66445.407708485393</v>
      </c>
      <c r="R5" s="403"/>
    </row>
    <row r="6" spans="1:19" ht="14" thickBot="1">
      <c r="A6" s="4258"/>
      <c r="B6" s="4278"/>
      <c r="C6" s="339" t="s">
        <v>272</v>
      </c>
      <c r="D6" s="340">
        <f>D5</f>
        <v>66444.030240840002</v>
      </c>
      <c r="E6" s="340">
        <f>E5*E4</f>
        <v>37.316850757200001</v>
      </c>
      <c r="F6" s="340">
        <f>F5*$F$4</f>
        <v>31.306082849999999</v>
      </c>
      <c r="G6" s="341"/>
      <c r="H6" s="341"/>
      <c r="I6" s="341"/>
      <c r="J6" s="341"/>
      <c r="K6" s="342"/>
      <c r="L6" s="342"/>
      <c r="M6" s="342"/>
      <c r="N6" s="342"/>
      <c r="O6" s="342"/>
      <c r="P6" s="342"/>
      <c r="Q6" s="404"/>
      <c r="R6" s="405">
        <f>D6+E6+F6</f>
        <v>66512.653174447201</v>
      </c>
      <c r="S6" s="3017">
        <f>R6/2</f>
        <v>33256.326587223601</v>
      </c>
    </row>
    <row r="7" spans="1:19" ht="13">
      <c r="A7" s="4271"/>
      <c r="B7" s="4282" t="s">
        <v>1519</v>
      </c>
      <c r="C7" s="401" t="s">
        <v>271</v>
      </c>
      <c r="D7" s="1473">
        <f>RegenGHG!C43*3</f>
        <v>60171.664591080007</v>
      </c>
      <c r="E7" s="1474">
        <f>RegenGHG!F43*3</f>
        <v>0.1134030618</v>
      </c>
      <c r="F7" s="1474">
        <f>RegenGHG!D43*3</f>
        <v>1.1340306179999999</v>
      </c>
      <c r="G7" s="1475"/>
      <c r="H7" s="1475"/>
      <c r="I7" s="1475"/>
      <c r="J7" s="1475"/>
      <c r="K7" s="1476"/>
      <c r="L7" s="1476"/>
      <c r="M7" s="1476"/>
      <c r="N7" s="1476"/>
      <c r="O7" s="1476"/>
      <c r="P7" s="1476"/>
      <c r="Q7" s="1705">
        <f>D7+E7+F7</f>
        <v>60172.912024759804</v>
      </c>
      <c r="R7" s="1706"/>
      <c r="S7" s="3017"/>
    </row>
    <row r="8" spans="1:19" ht="14" thickBot="1">
      <c r="A8" s="4272"/>
      <c r="B8" s="4283"/>
      <c r="C8" s="1477" t="s">
        <v>272</v>
      </c>
      <c r="D8" s="1478">
        <f>D7</f>
        <v>60171.664591080007</v>
      </c>
      <c r="E8" s="1478">
        <f>E7*$E$4</f>
        <v>33.794112416399997</v>
      </c>
      <c r="F8" s="1478">
        <f>F7*$F$4</f>
        <v>28.350765449999997</v>
      </c>
      <c r="G8" s="1479"/>
      <c r="H8" s="1479"/>
      <c r="I8" s="1479"/>
      <c r="J8" s="1479"/>
      <c r="K8" s="1480"/>
      <c r="L8" s="1480"/>
      <c r="M8" s="1480"/>
      <c r="N8" s="1480"/>
      <c r="O8" s="1480"/>
      <c r="P8" s="1480"/>
      <c r="Q8" s="1707"/>
      <c r="R8" s="1708">
        <f>D8+E8+F8</f>
        <v>60233.809468946405</v>
      </c>
      <c r="S8" s="3017">
        <f>R8/3</f>
        <v>20077.9364896488</v>
      </c>
    </row>
    <row r="9" spans="1:19" ht="13">
      <c r="A9" s="4247"/>
      <c r="B9" s="4274" t="s">
        <v>1520</v>
      </c>
      <c r="C9" s="332" t="s">
        <v>271</v>
      </c>
      <c r="D9" s="345">
        <f>'FL PURGE GHG'!G48*3</f>
        <v>0</v>
      </c>
      <c r="E9" s="333">
        <v>0</v>
      </c>
      <c r="F9" s="333">
        <f>'FL PURGE GHG'!G49*3</f>
        <v>0</v>
      </c>
      <c r="G9" s="335"/>
      <c r="H9" s="335"/>
      <c r="I9" s="335"/>
      <c r="J9" s="335"/>
      <c r="K9" s="336"/>
      <c r="L9" s="336"/>
      <c r="M9" s="336"/>
      <c r="N9" s="336"/>
      <c r="O9" s="336"/>
      <c r="P9" s="336"/>
      <c r="Q9" s="402">
        <f>D9+E9+F9</f>
        <v>0</v>
      </c>
      <c r="R9" s="403"/>
      <c r="S9" s="3017"/>
    </row>
    <row r="10" spans="1:19" ht="14" thickBot="1">
      <c r="A10" s="4248"/>
      <c r="B10" s="4275"/>
      <c r="C10" s="1491" t="s">
        <v>272</v>
      </c>
      <c r="D10" s="1492">
        <f>D9</f>
        <v>0</v>
      </c>
      <c r="E10" s="1492">
        <f>E9*$E$4</f>
        <v>0</v>
      </c>
      <c r="F10" s="1492">
        <f>F9*$F$4</f>
        <v>0</v>
      </c>
      <c r="G10" s="1493"/>
      <c r="H10" s="1493"/>
      <c r="I10" s="1493"/>
      <c r="J10" s="1493"/>
      <c r="K10" s="1494"/>
      <c r="L10" s="1494"/>
      <c r="M10" s="1494"/>
      <c r="N10" s="1494"/>
      <c r="O10" s="1494"/>
      <c r="P10" s="1494"/>
      <c r="Q10" s="1713"/>
      <c r="R10" s="1714">
        <f>D10+E10+F10</f>
        <v>0</v>
      </c>
    </row>
    <row r="11" spans="1:19" ht="19.25" customHeight="1">
      <c r="A11" s="4247"/>
      <c r="B11" s="4279" t="str">
        <f>'Summary-Co'!C21</f>
        <v>FL1-FL3OVHD-SSM</v>
      </c>
      <c r="C11" s="2668" t="s">
        <v>271</v>
      </c>
      <c r="D11" s="2735">
        <f>'FLOH SSM GHG'!G48</f>
        <v>9440.6398034233389</v>
      </c>
      <c r="E11" s="2736">
        <v>0</v>
      </c>
      <c r="F11" s="2736">
        <f>'FLOH SSM GHG'!G49</f>
        <v>5.2012817625934652E-3</v>
      </c>
      <c r="G11" s="2671"/>
      <c r="H11" s="2671"/>
      <c r="I11" s="2671"/>
      <c r="J11" s="2671"/>
      <c r="K11" s="2672"/>
      <c r="L11" s="2672"/>
      <c r="M11" s="2672"/>
      <c r="N11" s="2672"/>
      <c r="O11" s="2672"/>
      <c r="P11" s="2672"/>
      <c r="Q11" s="2673">
        <f>D11+E11+F11</f>
        <v>9440.6450047051021</v>
      </c>
      <c r="R11" s="2674"/>
    </row>
    <row r="12" spans="1:19" ht="19.25" customHeight="1" thickBot="1">
      <c r="A12" s="4248"/>
      <c r="B12" s="4280"/>
      <c r="C12" s="3011" t="s">
        <v>272</v>
      </c>
      <c r="D12" s="3012">
        <f>D11</f>
        <v>9440.6398034233389</v>
      </c>
      <c r="E12" s="3012">
        <f>E11*$E$4</f>
        <v>0</v>
      </c>
      <c r="F12" s="3012">
        <f>F11*$F$4</f>
        <v>0.13003204406483662</v>
      </c>
      <c r="G12" s="3013"/>
      <c r="H12" s="3013"/>
      <c r="I12" s="3013"/>
      <c r="J12" s="3013"/>
      <c r="K12" s="3014"/>
      <c r="L12" s="3014"/>
      <c r="M12" s="3014"/>
      <c r="N12" s="3014"/>
      <c r="O12" s="3014"/>
      <c r="P12" s="3014"/>
      <c r="Q12" s="3015"/>
      <c r="R12" s="3016">
        <f>D12+E12+F12</f>
        <v>9440.769835467403</v>
      </c>
    </row>
    <row r="13" spans="1:19" ht="19.25" customHeight="1">
      <c r="A13" s="4247"/>
      <c r="B13" s="4281" t="str">
        <f>'Summary-Co'!C22</f>
        <v>FL1-FL3CRYO-SSM</v>
      </c>
      <c r="C13" s="1482" t="s">
        <v>271</v>
      </c>
      <c r="D13" s="1298">
        <f>'FLCRY SSM GHG'!G48</f>
        <v>15205.57971615787</v>
      </c>
      <c r="E13" s="1483">
        <v>0</v>
      </c>
      <c r="F13" s="1483">
        <f>'FLCRY SSM GHG'!G49</f>
        <v>57.866441662572178</v>
      </c>
      <c r="G13" s="1484"/>
      <c r="H13" s="1484"/>
      <c r="I13" s="1484"/>
      <c r="J13" s="1484"/>
      <c r="K13" s="1485"/>
      <c r="L13" s="1485"/>
      <c r="M13" s="1485"/>
      <c r="N13" s="1485"/>
      <c r="O13" s="1485"/>
      <c r="P13" s="1485"/>
      <c r="Q13" s="1709">
        <f>D13+E13+F13</f>
        <v>15263.446157820443</v>
      </c>
      <c r="R13" s="1710"/>
    </row>
    <row r="14" spans="1:19" ht="19.25" customHeight="1" thickBot="1">
      <c r="A14" s="4248"/>
      <c r="B14" s="4260"/>
      <c r="C14" s="1486" t="s">
        <v>272</v>
      </c>
      <c r="D14" s="1487">
        <f>D13</f>
        <v>15205.57971615787</v>
      </c>
      <c r="E14" s="1487">
        <f>E13*$E$4</f>
        <v>0</v>
      </c>
      <c r="F14" s="1487">
        <f>F13*$F$4</f>
        <v>1446.6610415643045</v>
      </c>
      <c r="G14" s="1488"/>
      <c r="H14" s="1488"/>
      <c r="I14" s="1488"/>
      <c r="J14" s="1488"/>
      <c r="K14" s="1489"/>
      <c r="L14" s="1489"/>
      <c r="M14" s="1489"/>
      <c r="N14" s="1489"/>
      <c r="O14" s="1489"/>
      <c r="P14" s="1489"/>
      <c r="Q14" s="1711"/>
      <c r="R14" s="1712">
        <f>D14+E14+F14</f>
        <v>16652.240757722175</v>
      </c>
    </row>
    <row r="15" spans="1:19" ht="13">
      <c r="A15" s="4254"/>
      <c r="B15" s="4261" t="s">
        <v>1347</v>
      </c>
      <c r="C15" s="401" t="s">
        <v>271</v>
      </c>
      <c r="D15" s="1473">
        <f>'IFR Tanks (IFR1-IFR4)'!D16*3</f>
        <v>0</v>
      </c>
      <c r="E15" s="1474">
        <v>0</v>
      </c>
      <c r="F15" s="1474">
        <v>0</v>
      </c>
      <c r="G15" s="1475"/>
      <c r="H15" s="1475"/>
      <c r="I15" s="1475"/>
      <c r="J15" s="1475"/>
      <c r="K15" s="1476"/>
      <c r="L15" s="1476"/>
      <c r="M15" s="1476"/>
      <c r="N15" s="1476"/>
      <c r="O15" s="1476"/>
      <c r="P15" s="1476"/>
      <c r="Q15" s="1705">
        <f>D15+E15+F15</f>
        <v>0</v>
      </c>
      <c r="R15" s="1706"/>
    </row>
    <row r="16" spans="1:19" ht="14" thickBot="1">
      <c r="A16" s="4255"/>
      <c r="B16" s="4276"/>
      <c r="C16" s="1477" t="s">
        <v>272</v>
      </c>
      <c r="D16" s="1478">
        <f>D15</f>
        <v>0</v>
      </c>
      <c r="E16" s="1478">
        <f>E15*$E$4</f>
        <v>0</v>
      </c>
      <c r="F16" s="1478">
        <f>F15*$F$4</f>
        <v>0</v>
      </c>
      <c r="G16" s="1479"/>
      <c r="H16" s="1479"/>
      <c r="I16" s="1479"/>
      <c r="J16" s="1479"/>
      <c r="K16" s="1480"/>
      <c r="L16" s="1480"/>
      <c r="M16" s="1480"/>
      <c r="N16" s="1480"/>
      <c r="O16" s="1480"/>
      <c r="P16" s="1480"/>
      <c r="Q16" s="1707"/>
      <c r="R16" s="1708">
        <f>D16+E16+F16</f>
        <v>0</v>
      </c>
    </row>
    <row r="17" spans="1:18">
      <c r="A17" s="4256"/>
      <c r="B17" s="4277" t="s">
        <v>1521</v>
      </c>
      <c r="C17" s="332" t="s">
        <v>271</v>
      </c>
      <c r="D17" s="4263" t="s">
        <v>1524</v>
      </c>
      <c r="E17" s="4264"/>
      <c r="F17" s="4264"/>
      <c r="G17" s="4264"/>
      <c r="H17" s="4264"/>
      <c r="I17" s="4264"/>
      <c r="J17" s="4264"/>
      <c r="K17" s="4264"/>
      <c r="L17" s="4264"/>
      <c r="M17" s="4264"/>
      <c r="N17" s="4264"/>
      <c r="O17" s="4264"/>
      <c r="P17" s="4264"/>
      <c r="Q17" s="4264"/>
      <c r="R17" s="4265"/>
    </row>
    <row r="18" spans="1:18" ht="14" thickBot="1">
      <c r="A18" s="4248"/>
      <c r="B18" s="4278"/>
      <c r="C18" s="1490" t="s">
        <v>272</v>
      </c>
      <c r="D18" s="4266"/>
      <c r="E18" s="4267"/>
      <c r="F18" s="4267"/>
      <c r="G18" s="4267"/>
      <c r="H18" s="4267"/>
      <c r="I18" s="4267"/>
      <c r="J18" s="4267"/>
      <c r="K18" s="4267"/>
      <c r="L18" s="4267"/>
      <c r="M18" s="4267"/>
      <c r="N18" s="4267"/>
      <c r="O18" s="4267"/>
      <c r="P18" s="4267"/>
      <c r="Q18" s="4267"/>
      <c r="R18" s="4268"/>
    </row>
    <row r="19" spans="1:18" ht="13">
      <c r="A19" s="4257"/>
      <c r="B19" s="4125" t="s">
        <v>909</v>
      </c>
      <c r="C19" s="401" t="s">
        <v>271</v>
      </c>
      <c r="D19" s="1474">
        <f>'ECD1 GHG'!G48</f>
        <v>4244.345950324443</v>
      </c>
      <c r="E19" s="1481">
        <v>0</v>
      </c>
      <c r="F19" s="1474">
        <f>'ECD1 GHG'!G49</f>
        <v>9.8452332406572429E-4</v>
      </c>
      <c r="G19" s="1475"/>
      <c r="H19" s="1475"/>
      <c r="I19" s="1475"/>
      <c r="J19" s="1475"/>
      <c r="K19" s="1476"/>
      <c r="L19" s="1476"/>
      <c r="M19" s="1476"/>
      <c r="N19" s="1476"/>
      <c r="O19" s="1476"/>
      <c r="P19" s="1476"/>
      <c r="Q19" s="1705">
        <f>D19+E19+F19</f>
        <v>4244.3469348477674</v>
      </c>
      <c r="R19" s="1706"/>
    </row>
    <row r="20" spans="1:18" ht="14" thickBot="1">
      <c r="A20" s="4258"/>
      <c r="B20" s="4251"/>
      <c r="C20" s="1477" t="s">
        <v>272</v>
      </c>
      <c r="D20" s="1478">
        <f>D19</f>
        <v>4244.345950324443</v>
      </c>
      <c r="E20" s="1478">
        <v>0</v>
      </c>
      <c r="F20" s="1478">
        <f>F19*$F$4</f>
        <v>2.4613083101643108E-2</v>
      </c>
      <c r="G20" s="1479"/>
      <c r="H20" s="1479"/>
      <c r="I20" s="1479"/>
      <c r="J20" s="1479"/>
      <c r="K20" s="1480"/>
      <c r="L20" s="1480"/>
      <c r="M20" s="1480"/>
      <c r="N20" s="1480"/>
      <c r="O20" s="1480"/>
      <c r="P20" s="1480"/>
      <c r="Q20" s="1707"/>
      <c r="R20" s="1708">
        <f>D20+E20+F20</f>
        <v>4244.370563407545</v>
      </c>
    </row>
    <row r="21" spans="1:18" ht="13">
      <c r="A21" s="209"/>
      <c r="B21" s="4269" t="s">
        <v>1439</v>
      </c>
      <c r="C21" s="1482" t="s">
        <v>271</v>
      </c>
      <c r="D21" s="1298">
        <f>'TO GHG-Flash '!G48+'TO GHG-Still'!G48</f>
        <v>101384.4822558515</v>
      </c>
      <c r="E21" s="1298">
        <v>0</v>
      </c>
      <c r="F21" s="1298">
        <f>'TO GHG-Flash '!G49+'TO GHG-Still'!G49</f>
        <v>6.9126924421763016</v>
      </c>
      <c r="G21" s="1484"/>
      <c r="H21" s="1484"/>
      <c r="I21" s="1484"/>
      <c r="J21" s="1484"/>
      <c r="K21" s="1485"/>
      <c r="L21" s="1485"/>
      <c r="M21" s="1485"/>
      <c r="N21" s="1485"/>
      <c r="O21" s="1485"/>
      <c r="P21" s="1485"/>
      <c r="Q21" s="1709">
        <f>D21+E21+F21</f>
        <v>101391.39494829367</v>
      </c>
      <c r="R21" s="1710"/>
    </row>
    <row r="22" spans="1:18" ht="14" thickBot="1">
      <c r="A22" s="209"/>
      <c r="B22" s="4270"/>
      <c r="C22" s="1486" t="s">
        <v>272</v>
      </c>
      <c r="D22" s="1487">
        <f>D21</f>
        <v>101384.4822558515</v>
      </c>
      <c r="E22" s="1487">
        <f>E21*$E$4</f>
        <v>0</v>
      </c>
      <c r="F22" s="1487">
        <f>F21*$F$4</f>
        <v>172.81731105440755</v>
      </c>
      <c r="G22" s="1488"/>
      <c r="H22" s="1488"/>
      <c r="I22" s="1488"/>
      <c r="J22" s="1488"/>
      <c r="K22" s="1489"/>
      <c r="L22" s="1489"/>
      <c r="M22" s="1489"/>
      <c r="N22" s="1489"/>
      <c r="O22" s="1489"/>
      <c r="P22" s="1489"/>
      <c r="Q22" s="1711"/>
      <c r="R22" s="1712">
        <f>D22+E22+F22</f>
        <v>101557.2995669059</v>
      </c>
    </row>
    <row r="23" spans="1:18" ht="13">
      <c r="A23" s="4271"/>
      <c r="B23" s="4125" t="s">
        <v>1440</v>
      </c>
      <c r="C23" s="401" t="s">
        <v>271</v>
      </c>
      <c r="D23" s="1473">
        <f>D21</f>
        <v>101384.4822558515</v>
      </c>
      <c r="E23" s="1474">
        <v>0</v>
      </c>
      <c r="F23" s="1473">
        <f>F21</f>
        <v>6.9126924421763016</v>
      </c>
      <c r="G23" s="1475"/>
      <c r="H23" s="1475"/>
      <c r="I23" s="1475"/>
      <c r="J23" s="1475"/>
      <c r="K23" s="1476"/>
      <c r="L23" s="1476"/>
      <c r="M23" s="1476"/>
      <c r="N23" s="1476"/>
      <c r="O23" s="1476"/>
      <c r="P23" s="1476"/>
      <c r="Q23" s="1705">
        <f>D23+E23+F23</f>
        <v>101391.39494829367</v>
      </c>
      <c r="R23" s="1706"/>
    </row>
    <row r="24" spans="1:18" ht="14" thickBot="1">
      <c r="A24" s="4272"/>
      <c r="B24" s="4273"/>
      <c r="C24" s="1477" t="s">
        <v>272</v>
      </c>
      <c r="D24" s="1478">
        <f>D23</f>
        <v>101384.4822558515</v>
      </c>
      <c r="E24" s="1478">
        <f>E23*$E$4</f>
        <v>0</v>
      </c>
      <c r="F24" s="1478">
        <f>F23*$F$4</f>
        <v>172.81731105440755</v>
      </c>
      <c r="G24" s="1479"/>
      <c r="H24" s="1479"/>
      <c r="I24" s="1479"/>
      <c r="J24" s="1479"/>
      <c r="K24" s="1480"/>
      <c r="L24" s="1480"/>
      <c r="M24" s="1480"/>
      <c r="N24" s="1480"/>
      <c r="O24" s="1480"/>
      <c r="P24" s="1480"/>
      <c r="Q24" s="1707"/>
      <c r="R24" s="1708">
        <f>D24+E24+F24</f>
        <v>101557.2995669059</v>
      </c>
    </row>
    <row r="25" spans="1:18" ht="13">
      <c r="A25" s="4247"/>
      <c r="B25" s="4249" t="s">
        <v>1441</v>
      </c>
      <c r="C25" s="332" t="s">
        <v>271</v>
      </c>
      <c r="D25" s="345">
        <f>D21</f>
        <v>101384.4822558515</v>
      </c>
      <c r="E25" s="333">
        <v>0</v>
      </c>
      <c r="F25" s="345">
        <f>F21</f>
        <v>6.9126924421763016</v>
      </c>
      <c r="G25" s="335"/>
      <c r="H25" s="335"/>
      <c r="I25" s="335"/>
      <c r="J25" s="335"/>
      <c r="K25" s="336"/>
      <c r="L25" s="336"/>
      <c r="M25" s="336"/>
      <c r="N25" s="336"/>
      <c r="O25" s="336"/>
      <c r="P25" s="336"/>
      <c r="Q25" s="402">
        <f>D25+E25+F25</f>
        <v>101391.39494829367</v>
      </c>
      <c r="R25" s="403"/>
    </row>
    <row r="26" spans="1:18" ht="14" thickBot="1">
      <c r="A26" s="4248"/>
      <c r="B26" s="4250"/>
      <c r="C26" s="1491" t="s">
        <v>272</v>
      </c>
      <c r="D26" s="1492">
        <f>D25</f>
        <v>101384.4822558515</v>
      </c>
      <c r="E26" s="1492">
        <f>E25*$E$4</f>
        <v>0</v>
      </c>
      <c r="F26" s="1492">
        <f>F25*$F$4</f>
        <v>172.81731105440755</v>
      </c>
      <c r="G26" s="1493"/>
      <c r="H26" s="1493"/>
      <c r="I26" s="1493"/>
      <c r="J26" s="1493"/>
      <c r="K26" s="1494"/>
      <c r="L26" s="1494"/>
      <c r="M26" s="1494"/>
      <c r="N26" s="1494"/>
      <c r="O26" s="1494"/>
      <c r="P26" s="1494"/>
      <c r="Q26" s="1713"/>
      <c r="R26" s="1714">
        <f>D26+E26+F26</f>
        <v>101557.2995669059</v>
      </c>
    </row>
    <row r="27" spans="1:18" ht="13">
      <c r="A27" s="4247"/>
      <c r="B27" s="4252" t="s">
        <v>1454</v>
      </c>
      <c r="C27" s="166" t="s">
        <v>271</v>
      </c>
      <c r="D27" s="259">
        <f>'COGEN GHG '!C43</f>
        <v>543806.41511158203</v>
      </c>
      <c r="E27" s="257">
        <f>'COGEN GHG '!F43</f>
        <v>1.0248895874700001</v>
      </c>
      <c r="F27" s="259">
        <f>'COGEN GHG '!D43</f>
        <v>10.248895874700001</v>
      </c>
      <c r="G27" s="167"/>
      <c r="H27" s="167"/>
      <c r="I27" s="167"/>
      <c r="J27" s="167"/>
      <c r="K27" s="168"/>
      <c r="L27" s="168"/>
      <c r="M27" s="168"/>
      <c r="N27" s="168"/>
      <c r="O27" s="168"/>
      <c r="P27" s="168"/>
      <c r="Q27" s="1715">
        <f>D27+E27+F27</f>
        <v>543817.68889704417</v>
      </c>
      <c r="R27" s="1716"/>
    </row>
    <row r="28" spans="1:18" ht="14" thickBot="1">
      <c r="A28" s="4248"/>
      <c r="B28" s="4253"/>
      <c r="C28" s="169" t="s">
        <v>272</v>
      </c>
      <c r="D28" s="258">
        <f>D27</f>
        <v>543806.41511158203</v>
      </c>
      <c r="E28" s="258">
        <f>E27*$E$4</f>
        <v>305.41709706606002</v>
      </c>
      <c r="F28" s="258">
        <f>F27*$F$4</f>
        <v>256.22239686750004</v>
      </c>
      <c r="G28" s="170"/>
      <c r="H28" s="170"/>
      <c r="I28" s="170"/>
      <c r="J28" s="170"/>
      <c r="K28" s="171"/>
      <c r="L28" s="171"/>
      <c r="M28" s="171"/>
      <c r="N28" s="171"/>
      <c r="O28" s="171"/>
      <c r="P28" s="171"/>
      <c r="Q28" s="1717"/>
      <c r="R28" s="1718">
        <f>D28+E28+F28</f>
        <v>544368.05460551556</v>
      </c>
    </row>
    <row r="29" spans="1:18" ht="13">
      <c r="A29" s="4254"/>
      <c r="B29" s="4249" t="s">
        <v>1455</v>
      </c>
      <c r="C29" s="332" t="s">
        <v>271</v>
      </c>
      <c r="D29" s="345">
        <f>D27</f>
        <v>543806.41511158203</v>
      </c>
      <c r="E29" s="333">
        <f>E27</f>
        <v>1.0248895874700001</v>
      </c>
      <c r="F29" s="345">
        <f>F27</f>
        <v>10.248895874700001</v>
      </c>
      <c r="G29" s="335"/>
      <c r="H29" s="335"/>
      <c r="I29" s="335"/>
      <c r="J29" s="335"/>
      <c r="K29" s="336"/>
      <c r="L29" s="336"/>
      <c r="M29" s="336"/>
      <c r="N29" s="336"/>
      <c r="O29" s="336"/>
      <c r="P29" s="336"/>
      <c r="Q29" s="402">
        <f>D29+E29+F29</f>
        <v>543817.68889704417</v>
      </c>
      <c r="R29" s="403"/>
    </row>
    <row r="30" spans="1:18" ht="14" thickBot="1">
      <c r="A30" s="4255"/>
      <c r="B30" s="4250"/>
      <c r="C30" s="339" t="s">
        <v>272</v>
      </c>
      <c r="D30" s="340">
        <f>D29</f>
        <v>543806.41511158203</v>
      </c>
      <c r="E30" s="340">
        <f>E29*$E$4</f>
        <v>305.41709706606002</v>
      </c>
      <c r="F30" s="340">
        <f>F29*$F$4</f>
        <v>256.22239686750004</v>
      </c>
      <c r="G30" s="341"/>
      <c r="H30" s="341"/>
      <c r="I30" s="341"/>
      <c r="J30" s="341"/>
      <c r="K30" s="342"/>
      <c r="L30" s="342"/>
      <c r="M30" s="342"/>
      <c r="N30" s="342"/>
      <c r="O30" s="342"/>
      <c r="P30" s="342"/>
      <c r="Q30" s="404"/>
      <c r="R30" s="405">
        <f>D30+E30+F30</f>
        <v>544368.05460551556</v>
      </c>
    </row>
    <row r="31" spans="1:18" ht="13">
      <c r="A31" s="4256"/>
      <c r="B31" s="4252" t="s">
        <v>1456</v>
      </c>
      <c r="C31" s="166" t="s">
        <v>271</v>
      </c>
      <c r="D31" s="259">
        <f>D27</f>
        <v>543806.41511158203</v>
      </c>
      <c r="E31" s="257">
        <f>E27</f>
        <v>1.0248895874700001</v>
      </c>
      <c r="F31" s="259">
        <f>F29</f>
        <v>10.248895874700001</v>
      </c>
      <c r="G31" s="167"/>
      <c r="H31" s="167"/>
      <c r="I31" s="167"/>
      <c r="J31" s="167"/>
      <c r="K31" s="168"/>
      <c r="L31" s="168"/>
      <c r="M31" s="168"/>
      <c r="N31" s="168"/>
      <c r="O31" s="168"/>
      <c r="P31" s="168"/>
      <c r="Q31" s="1715">
        <f>D31+E31+F31</f>
        <v>543817.68889704417</v>
      </c>
      <c r="R31" s="1716"/>
    </row>
    <row r="32" spans="1:18" ht="14" thickBot="1">
      <c r="A32" s="4248"/>
      <c r="B32" s="4253"/>
      <c r="C32" s="169" t="s">
        <v>272</v>
      </c>
      <c r="D32" s="258">
        <f>D31</f>
        <v>543806.41511158203</v>
      </c>
      <c r="E32" s="258">
        <f>E31*$E$4</f>
        <v>305.41709706606002</v>
      </c>
      <c r="F32" s="258">
        <f>F31*$F$4</f>
        <v>256.22239686750004</v>
      </c>
      <c r="G32" s="170"/>
      <c r="H32" s="170"/>
      <c r="I32" s="170"/>
      <c r="J32" s="170"/>
      <c r="K32" s="171"/>
      <c r="L32" s="171"/>
      <c r="M32" s="171"/>
      <c r="N32" s="171"/>
      <c r="O32" s="171"/>
      <c r="P32" s="171"/>
      <c r="Q32" s="1717"/>
      <c r="R32" s="1718">
        <f>D32+E32+F32</f>
        <v>544368.05460551556</v>
      </c>
    </row>
    <row r="33" spans="1:20" ht="13">
      <c r="A33" s="4257"/>
      <c r="B33" s="4249" t="s">
        <v>1457</v>
      </c>
      <c r="C33" s="332" t="s">
        <v>271</v>
      </c>
      <c r="D33" s="333">
        <f>D27</f>
        <v>543806.41511158203</v>
      </c>
      <c r="E33" s="334">
        <f>E27</f>
        <v>1.0248895874700001</v>
      </c>
      <c r="F33" s="333">
        <f>F29</f>
        <v>10.248895874700001</v>
      </c>
      <c r="G33" s="335"/>
      <c r="H33" s="335"/>
      <c r="I33" s="335"/>
      <c r="J33" s="335"/>
      <c r="K33" s="336"/>
      <c r="L33" s="336"/>
      <c r="M33" s="336"/>
      <c r="N33" s="336"/>
      <c r="O33" s="336"/>
      <c r="P33" s="336"/>
      <c r="Q33" s="402">
        <f>D33+E33+F33</f>
        <v>543817.68889704417</v>
      </c>
      <c r="R33" s="403"/>
    </row>
    <row r="34" spans="1:20" ht="14" thickBot="1">
      <c r="A34" s="4258"/>
      <c r="B34" s="4250"/>
      <c r="C34" s="339" t="s">
        <v>272</v>
      </c>
      <c r="D34" s="340">
        <f>D33</f>
        <v>543806.41511158203</v>
      </c>
      <c r="E34" s="340">
        <f>E33*$E$4</f>
        <v>305.41709706606002</v>
      </c>
      <c r="F34" s="340">
        <f>F33*$F$4</f>
        <v>256.22239686750004</v>
      </c>
      <c r="G34" s="341"/>
      <c r="H34" s="341"/>
      <c r="I34" s="341"/>
      <c r="J34" s="341"/>
      <c r="K34" s="342"/>
      <c r="L34" s="342"/>
      <c r="M34" s="342"/>
      <c r="N34" s="342"/>
      <c r="O34" s="342"/>
      <c r="P34" s="342"/>
      <c r="Q34" s="404"/>
      <c r="R34" s="405">
        <f>D34+E34+F34</f>
        <v>544368.05460551556</v>
      </c>
    </row>
    <row r="35" spans="1:20" ht="13">
      <c r="A35" s="209"/>
      <c r="B35" s="4261" t="s">
        <v>1443</v>
      </c>
      <c r="C35" s="401" t="s">
        <v>271</v>
      </c>
      <c r="D35" s="1473">
        <f>'Fugitive CH4'!I39</f>
        <v>304.17757006611379</v>
      </c>
      <c r="E35" s="1473">
        <v>0</v>
      </c>
      <c r="F35" s="1473">
        <f>'Fugitive CH4'!J39</f>
        <v>2.0405247192426055</v>
      </c>
      <c r="G35" s="1475"/>
      <c r="H35" s="1475"/>
      <c r="I35" s="1475"/>
      <c r="J35" s="1475"/>
      <c r="K35" s="1476"/>
      <c r="L35" s="1476"/>
      <c r="M35" s="1476"/>
      <c r="N35" s="1476"/>
      <c r="O35" s="1476"/>
      <c r="P35" s="1476"/>
      <c r="Q35" s="2685">
        <f>D35+E35+F35</f>
        <v>306.21809478535641</v>
      </c>
      <c r="R35" s="2686"/>
    </row>
    <row r="36" spans="1:20" ht="14" thickBot="1">
      <c r="A36" s="209"/>
      <c r="B36" s="4262"/>
      <c r="C36" s="2687" t="s">
        <v>272</v>
      </c>
      <c r="D36" s="2688">
        <f>D35</f>
        <v>304.17757006611379</v>
      </c>
      <c r="E36" s="2688">
        <f>E35*$E$4</f>
        <v>0</v>
      </c>
      <c r="F36" s="2688">
        <f>F35*$F$4</f>
        <v>51.013117981065136</v>
      </c>
      <c r="G36" s="2689"/>
      <c r="H36" s="2689"/>
      <c r="I36" s="2689"/>
      <c r="J36" s="2689"/>
      <c r="K36" s="2690"/>
      <c r="L36" s="2690"/>
      <c r="M36" s="2690"/>
      <c r="N36" s="2690"/>
      <c r="O36" s="2690"/>
      <c r="P36" s="2690"/>
      <c r="Q36" s="2691"/>
      <c r="R36" s="2692">
        <f>D36+E36+F36</f>
        <v>355.19068804717892</v>
      </c>
    </row>
    <row r="37" spans="1:20" ht="13">
      <c r="A37" s="209"/>
      <c r="B37" s="4259" t="s">
        <v>1448</v>
      </c>
      <c r="C37" s="1482" t="s">
        <v>271</v>
      </c>
      <c r="D37" s="1298">
        <f>'Load-Slop Oil'!J32</f>
        <v>0.1512326538453212</v>
      </c>
      <c r="E37" s="1298">
        <v>0</v>
      </c>
      <c r="F37" s="1298">
        <f>D37*'CDP + Flare PStreams'!AE40</f>
        <v>7.3601991456732159E-4</v>
      </c>
      <c r="G37" s="1484"/>
      <c r="H37" s="1484"/>
      <c r="I37" s="1484"/>
      <c r="J37" s="1484"/>
      <c r="K37" s="1485"/>
      <c r="L37" s="1485"/>
      <c r="M37" s="1485"/>
      <c r="N37" s="1485"/>
      <c r="O37" s="1485"/>
      <c r="P37" s="1485"/>
      <c r="Q37" s="2682">
        <f>D37+E37+F37</f>
        <v>0.15196867375988851</v>
      </c>
      <c r="R37" s="2683"/>
    </row>
    <row r="38" spans="1:20" ht="14" thickBot="1">
      <c r="A38" s="209"/>
      <c r="B38" s="4260"/>
      <c r="C38" s="1486" t="s">
        <v>272</v>
      </c>
      <c r="D38" s="340">
        <f>D37</f>
        <v>0.1512326538453212</v>
      </c>
      <c r="E38" s="340">
        <f>E37*$E$4</f>
        <v>0</v>
      </c>
      <c r="F38" s="340">
        <f>F37*$F$4</f>
        <v>1.8400497864183039E-2</v>
      </c>
      <c r="G38" s="1488"/>
      <c r="H38" s="1488"/>
      <c r="I38" s="1488"/>
      <c r="J38" s="1488"/>
      <c r="K38" s="1489"/>
      <c r="L38" s="1489"/>
      <c r="M38" s="1489"/>
      <c r="N38" s="1489"/>
      <c r="O38" s="1489"/>
      <c r="P38" s="1489"/>
      <c r="Q38" s="2684"/>
      <c r="R38" s="2395">
        <f>D38+E38+F38</f>
        <v>0.16963315170950424</v>
      </c>
    </row>
    <row r="39" spans="1:20" ht="13">
      <c r="A39" s="4257"/>
      <c r="B39" s="4125" t="s">
        <v>1929</v>
      </c>
      <c r="C39" s="401" t="s">
        <v>271</v>
      </c>
      <c r="D39" s="1474">
        <f>'Gen GHG'!C44*8</f>
        <v>1255.7807711810228</v>
      </c>
      <c r="E39" s="1481">
        <f>'Gen GHG'!F44*8</f>
        <v>1.8432325296000006E-3</v>
      </c>
      <c r="F39" s="1474">
        <f>'Gen GHG'!D44*8</f>
        <v>1.8432325296000002E-2</v>
      </c>
      <c r="G39" s="1475"/>
      <c r="H39" s="1475"/>
      <c r="I39" s="1475"/>
      <c r="J39" s="1475"/>
      <c r="K39" s="1476"/>
      <c r="L39" s="1476"/>
      <c r="M39" s="1476"/>
      <c r="N39" s="1476"/>
      <c r="O39" s="1476"/>
      <c r="P39" s="1476"/>
      <c r="Q39" s="2685">
        <f>D39+E39+F39</f>
        <v>1255.8010467388485</v>
      </c>
      <c r="R39" s="2686"/>
    </row>
    <row r="40" spans="1:20" ht="14" thickBot="1">
      <c r="A40" s="4258"/>
      <c r="B40" s="4251"/>
      <c r="C40" s="1477" t="s">
        <v>272</v>
      </c>
      <c r="D40" s="2688">
        <f>D39</f>
        <v>1255.7807711810228</v>
      </c>
      <c r="E40" s="2688">
        <f>E39*$E$4</f>
        <v>0.54928329382080021</v>
      </c>
      <c r="F40" s="2688">
        <f>F39*$F$4</f>
        <v>0.46080813240000007</v>
      </c>
      <c r="G40" s="1479"/>
      <c r="H40" s="1479"/>
      <c r="I40" s="1479"/>
      <c r="J40" s="1479"/>
      <c r="K40" s="1480"/>
      <c r="L40" s="1480"/>
      <c r="M40" s="1480"/>
      <c r="N40" s="1480"/>
      <c r="O40" s="1480"/>
      <c r="P40" s="1480"/>
      <c r="Q40" s="3004"/>
      <c r="R40" s="3005">
        <f>D40+E40+F40</f>
        <v>1256.7908626072435</v>
      </c>
    </row>
    <row r="41" spans="1:20" ht="13">
      <c r="A41" s="1464"/>
      <c r="B41" s="4125" t="s">
        <v>19</v>
      </c>
      <c r="C41" s="401" t="s">
        <v>271</v>
      </c>
      <c r="D41" s="3007"/>
      <c r="E41" s="3008"/>
      <c r="F41" s="3008"/>
      <c r="G41" s="1475"/>
      <c r="H41" s="1475"/>
      <c r="I41" s="1475"/>
      <c r="J41" s="1475"/>
      <c r="K41" s="1476"/>
      <c r="L41" s="1476"/>
      <c r="M41" s="1476"/>
      <c r="N41" s="1476"/>
      <c r="O41" s="1476"/>
      <c r="P41" s="1476"/>
      <c r="Q41" s="1705">
        <f>SUM(Q5:Q40)</f>
        <v>2636573.8693738738</v>
      </c>
      <c r="R41" s="1706"/>
      <c r="T41" s="2693"/>
    </row>
    <row r="42" spans="1:20" ht="14" thickBot="1">
      <c r="A42" s="172"/>
      <c r="B42" s="4251"/>
      <c r="C42" s="1477" t="s">
        <v>272</v>
      </c>
      <c r="D42" s="3009"/>
      <c r="E42" s="3010"/>
      <c r="F42" s="3010"/>
      <c r="G42" s="1479"/>
      <c r="H42" s="1479"/>
      <c r="I42" s="1479"/>
      <c r="J42" s="1479"/>
      <c r="K42" s="1480"/>
      <c r="L42" s="1480"/>
      <c r="M42" s="1480"/>
      <c r="N42" s="1480"/>
      <c r="O42" s="1480"/>
      <c r="P42" s="1480"/>
      <c r="Q42" s="1707"/>
      <c r="R42" s="1708">
        <f>SUM(R5:R40)</f>
        <v>2640840.1121065766</v>
      </c>
    </row>
    <row r="43" spans="1:20" ht="12" customHeight="1">
      <c r="A43" s="173" t="s">
        <v>274</v>
      </c>
      <c r="B43" s="174" t="s">
        <v>275</v>
      </c>
      <c r="C43" s="66"/>
      <c r="D43" s="66"/>
      <c r="E43" s="66"/>
      <c r="F43" s="66"/>
      <c r="G43" s="66"/>
      <c r="H43" s="66"/>
      <c r="I43" s="66"/>
      <c r="J43" s="66"/>
      <c r="K43" s="66"/>
      <c r="L43" s="66"/>
    </row>
    <row r="44" spans="1:20" ht="14.25" customHeight="1">
      <c r="A44" s="173" t="s">
        <v>276</v>
      </c>
      <c r="B44" s="174" t="s">
        <v>277</v>
      </c>
      <c r="C44" s="66"/>
      <c r="D44" s="66"/>
      <c r="E44" s="66"/>
      <c r="F44" s="66"/>
      <c r="G44" s="66"/>
      <c r="H44" s="66"/>
      <c r="I44" s="66"/>
      <c r="J44" s="66"/>
      <c r="K44" s="66"/>
      <c r="L44" s="66"/>
    </row>
    <row r="45" spans="1:20" ht="14.25" customHeight="1">
      <c r="A45" s="173" t="s">
        <v>278</v>
      </c>
      <c r="B45" s="174" t="s">
        <v>279</v>
      </c>
      <c r="C45" s="66"/>
      <c r="D45" s="66"/>
      <c r="E45" s="66"/>
      <c r="F45" s="66"/>
      <c r="G45" s="66"/>
      <c r="H45" s="66"/>
      <c r="I45" s="66"/>
      <c r="J45" s="66"/>
      <c r="K45" s="66"/>
      <c r="L45" s="66"/>
    </row>
    <row r="46" spans="1:20" ht="14.25" customHeight="1">
      <c r="A46" s="173" t="s">
        <v>280</v>
      </c>
      <c r="B46" s="174" t="s">
        <v>281</v>
      </c>
      <c r="C46" s="66"/>
      <c r="D46" s="66"/>
      <c r="E46" s="66"/>
      <c r="F46" s="66"/>
      <c r="G46" s="66"/>
      <c r="H46" s="66"/>
      <c r="I46" s="66"/>
      <c r="J46" s="66"/>
      <c r="K46" s="66"/>
      <c r="L46" s="66"/>
    </row>
    <row r="47" spans="1:20" ht="14.25" customHeight="1">
      <c r="A47" s="173" t="s">
        <v>282</v>
      </c>
      <c r="B47" s="174" t="s">
        <v>282</v>
      </c>
      <c r="C47" s="66"/>
      <c r="D47" s="66"/>
      <c r="E47" s="66"/>
      <c r="F47" s="66"/>
      <c r="G47" s="66"/>
      <c r="H47" s="66"/>
      <c r="I47" s="66"/>
      <c r="J47" s="66"/>
      <c r="K47" s="66"/>
      <c r="L47" s="66"/>
    </row>
  </sheetData>
  <mergeCells count="37">
    <mergeCell ref="A7:A8"/>
    <mergeCell ref="B7:B8"/>
    <mergeCell ref="B1:R1"/>
    <mergeCell ref="A2:R2"/>
    <mergeCell ref="A5:A6"/>
    <mergeCell ref="B5:B6"/>
    <mergeCell ref="A9:A10"/>
    <mergeCell ref="B9:B10"/>
    <mergeCell ref="A15:A16"/>
    <mergeCell ref="B15:B16"/>
    <mergeCell ref="A17:A18"/>
    <mergeCell ref="B17:B18"/>
    <mergeCell ref="A11:A12"/>
    <mergeCell ref="B11:B12"/>
    <mergeCell ref="A13:A14"/>
    <mergeCell ref="B13:B14"/>
    <mergeCell ref="D17:R18"/>
    <mergeCell ref="A19:A20"/>
    <mergeCell ref="B19:B20"/>
    <mergeCell ref="B21:B22"/>
    <mergeCell ref="A23:A24"/>
    <mergeCell ref="B23:B24"/>
    <mergeCell ref="A25:A26"/>
    <mergeCell ref="B25:B26"/>
    <mergeCell ref="B41:B42"/>
    <mergeCell ref="A27:A28"/>
    <mergeCell ref="B27:B28"/>
    <mergeCell ref="A29:A30"/>
    <mergeCell ref="B29:B30"/>
    <mergeCell ref="A31:A32"/>
    <mergeCell ref="B31:B32"/>
    <mergeCell ref="A33:A34"/>
    <mergeCell ref="B33:B34"/>
    <mergeCell ref="B37:B38"/>
    <mergeCell ref="B35:B36"/>
    <mergeCell ref="A39:A40"/>
    <mergeCell ref="B39:B40"/>
  </mergeCells>
  <printOptions horizontalCentered="1" verticalCentered="1"/>
  <pageMargins left="0.5" right="0.5" top="0.5" bottom="0.5" header="0.35" footer="0.35"/>
  <pageSetup scale="80" fitToHeight="2"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5/3/2016&amp;C&amp;8Table 2-A:  Page &amp;P&amp;R&amp;8Printed &amp;D &amp;T</oddFooter>
  </headerFooter>
  <rowBreaks count="1" manualBreakCount="1">
    <brk id="34" max="1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theme="1"/>
  </sheetPr>
  <dimension ref="A1:R41"/>
  <sheetViews>
    <sheetView view="pageBreakPreview" topLeftCell="B22" zoomScale="85" zoomScaleNormal="70" zoomScaleSheetLayoutView="85" zoomScalePageLayoutView="85" workbookViewId="0">
      <selection activeCell="E19" sqref="E19:R20"/>
    </sheetView>
  </sheetViews>
  <sheetFormatPr defaultColWidth="8.54296875" defaultRowHeight="12.5"/>
  <cols>
    <col min="1" max="1" width="7.453125" style="56" hidden="1" customWidth="1"/>
    <col min="2" max="2" width="7.453125" style="56" customWidth="1"/>
    <col min="3" max="3" width="8.54296875" style="56" customWidth="1"/>
    <col min="4" max="7" width="9" style="56" customWidth="1"/>
    <col min="8" max="8" width="11" style="56" customWidth="1"/>
    <col min="9" max="18" width="9" style="56" customWidth="1"/>
    <col min="19" max="16384" width="8.54296875" style="56"/>
  </cols>
  <sheetData>
    <row r="1" spans="1:18" ht="17.25" customHeight="1">
      <c r="A1" s="159" t="s">
        <v>261</v>
      </c>
      <c r="B1" s="4046" t="s">
        <v>2034</v>
      </c>
      <c r="C1" s="4047"/>
      <c r="D1" s="4047"/>
      <c r="E1" s="4047"/>
      <c r="F1" s="4047"/>
      <c r="G1" s="4047"/>
      <c r="H1" s="4047"/>
      <c r="I1" s="4047"/>
      <c r="J1" s="4047"/>
      <c r="K1" s="4047"/>
      <c r="L1" s="4047"/>
      <c r="M1" s="4047"/>
      <c r="N1" s="4047"/>
      <c r="O1" s="4047"/>
      <c r="P1" s="4047"/>
      <c r="Q1" s="4047"/>
      <c r="R1" s="4047"/>
    </row>
    <row r="2" spans="1:18" ht="63" customHeight="1" thickBot="1">
      <c r="A2" s="4302" t="s">
        <v>1495</v>
      </c>
      <c r="B2" s="4302"/>
      <c r="C2" s="4303"/>
      <c r="D2" s="4303"/>
      <c r="E2" s="4303"/>
      <c r="F2" s="4303"/>
      <c r="G2" s="4303"/>
      <c r="H2" s="4303"/>
      <c r="I2" s="4303"/>
      <c r="J2" s="4303"/>
      <c r="K2" s="4303"/>
      <c r="L2" s="4303"/>
      <c r="M2" s="4303"/>
      <c r="N2" s="4303"/>
      <c r="O2" s="4303"/>
      <c r="P2" s="4303"/>
      <c r="Q2" s="4303"/>
      <c r="R2" s="4303"/>
    </row>
    <row r="3" spans="1:18" ht="43.25" customHeight="1" thickBot="1">
      <c r="A3" s="160" t="s">
        <v>148</v>
      </c>
      <c r="B3" s="204"/>
      <c r="C3" s="205"/>
      <c r="D3" s="205" t="s">
        <v>262</v>
      </c>
      <c r="E3" s="205" t="s">
        <v>263</v>
      </c>
      <c r="F3" s="205" t="s">
        <v>264</v>
      </c>
      <c r="G3" s="205" t="s">
        <v>265</v>
      </c>
      <c r="H3" s="205" t="s">
        <v>266</v>
      </c>
      <c r="I3" s="205"/>
      <c r="J3" s="205"/>
      <c r="K3" s="205"/>
      <c r="L3" s="205"/>
      <c r="M3" s="205"/>
      <c r="N3" s="205"/>
      <c r="O3" s="205"/>
      <c r="P3" s="205"/>
      <c r="Q3" s="205" t="s">
        <v>1935</v>
      </c>
      <c r="R3" s="206" t="s">
        <v>268</v>
      </c>
    </row>
    <row r="4" spans="1:18" ht="15.5" thickBot="1">
      <c r="A4" s="202"/>
      <c r="B4" s="161" t="s">
        <v>148</v>
      </c>
      <c r="C4" s="161" t="s">
        <v>269</v>
      </c>
      <c r="D4" s="162">
        <v>1</v>
      </c>
      <c r="E4" s="163">
        <v>298</v>
      </c>
      <c r="F4" s="163">
        <v>25</v>
      </c>
      <c r="G4" s="164">
        <v>22800</v>
      </c>
      <c r="H4" s="163" t="s">
        <v>270</v>
      </c>
      <c r="I4" s="163"/>
      <c r="J4" s="163"/>
      <c r="K4" s="163"/>
      <c r="L4" s="163"/>
      <c r="M4" s="163"/>
      <c r="N4" s="163"/>
      <c r="O4" s="163"/>
      <c r="P4" s="163"/>
      <c r="Q4" s="163"/>
      <c r="R4" s="165"/>
    </row>
    <row r="5" spans="1:18" ht="13">
      <c r="A5" s="4257"/>
      <c r="B5" s="4286" t="s">
        <v>1517</v>
      </c>
      <c r="C5" s="332" t="s">
        <v>271</v>
      </c>
      <c r="D5" s="333">
        <f>SHTRGHG!C43*12</f>
        <v>398664.18144504004</v>
      </c>
      <c r="E5" s="334">
        <f>SHTRGHG!F43*12</f>
        <v>0.7513459884</v>
      </c>
      <c r="F5" s="333">
        <f>SHTRGHG!D43*12</f>
        <v>7.5134598839999995</v>
      </c>
      <c r="G5" s="335"/>
      <c r="H5" s="335"/>
      <c r="I5" s="335"/>
      <c r="J5" s="335"/>
      <c r="K5" s="336"/>
      <c r="L5" s="336"/>
      <c r="M5" s="336"/>
      <c r="N5" s="336"/>
      <c r="O5" s="336"/>
      <c r="P5" s="336"/>
      <c r="Q5" s="337">
        <f>D5+E5+F5</f>
        <v>398672.44625091244</v>
      </c>
      <c r="R5" s="338"/>
    </row>
    <row r="6" spans="1:18" ht="14" thickBot="1">
      <c r="A6" s="4258"/>
      <c r="B6" s="4278"/>
      <c r="C6" s="339" t="s">
        <v>272</v>
      </c>
      <c r="D6" s="340">
        <f>D5</f>
        <v>398664.18144504004</v>
      </c>
      <c r="E6" s="340">
        <f>E5*E4</f>
        <v>223.90110454320001</v>
      </c>
      <c r="F6" s="340">
        <f>F5*$F$4</f>
        <v>187.83649709999997</v>
      </c>
      <c r="G6" s="341"/>
      <c r="H6" s="341"/>
      <c r="I6" s="341"/>
      <c r="J6" s="341"/>
      <c r="K6" s="342"/>
      <c r="L6" s="342"/>
      <c r="M6" s="342"/>
      <c r="N6" s="342"/>
      <c r="O6" s="342"/>
      <c r="P6" s="342"/>
      <c r="Q6" s="343"/>
      <c r="R6" s="344">
        <f>D6+E6+F6</f>
        <v>399075.91904668324</v>
      </c>
    </row>
    <row r="7" spans="1:18" ht="13">
      <c r="A7" s="209"/>
      <c r="B7" s="4304" t="s">
        <v>1518</v>
      </c>
      <c r="C7" s="166" t="s">
        <v>271</v>
      </c>
      <c r="D7" s="259">
        <f>CHTRGHG!C43*3</f>
        <v>159868.45684278</v>
      </c>
      <c r="E7" s="259">
        <f>CHTRGHG!F43*3</f>
        <v>0.30129750629999996</v>
      </c>
      <c r="F7" s="259">
        <f>CHTRGHG!D43*3</f>
        <v>3.0129750629999998</v>
      </c>
      <c r="G7" s="167"/>
      <c r="H7" s="167"/>
      <c r="I7" s="167"/>
      <c r="J7" s="167"/>
      <c r="K7" s="168"/>
      <c r="L7" s="168"/>
      <c r="M7" s="168"/>
      <c r="N7" s="168"/>
      <c r="O7" s="168"/>
      <c r="P7" s="168"/>
      <c r="Q7" s="248">
        <f>D7+E7+F7</f>
        <v>159871.77111534929</v>
      </c>
      <c r="R7" s="249"/>
    </row>
    <row r="8" spans="1:18" ht="14" thickBot="1">
      <c r="A8" s="209"/>
      <c r="B8" s="4305"/>
      <c r="C8" s="169" t="s">
        <v>272</v>
      </c>
      <c r="D8" s="258">
        <f>D7</f>
        <v>159868.45684278</v>
      </c>
      <c r="E8" s="258">
        <f>E7*$E$4</f>
        <v>89.786656877399992</v>
      </c>
      <c r="F8" s="258">
        <f>F7*$F$4</f>
        <v>75.324376575000002</v>
      </c>
      <c r="G8" s="170"/>
      <c r="H8" s="170"/>
      <c r="I8" s="170"/>
      <c r="J8" s="170"/>
      <c r="K8" s="171"/>
      <c r="L8" s="171"/>
      <c r="M8" s="171"/>
      <c r="N8" s="171"/>
      <c r="O8" s="171"/>
      <c r="P8" s="171"/>
      <c r="Q8" s="250"/>
      <c r="R8" s="251">
        <f>D8+E8+F8</f>
        <v>160033.56787623241</v>
      </c>
    </row>
    <row r="9" spans="1:18" ht="13">
      <c r="A9" s="4271"/>
      <c r="B9" s="4286" t="s">
        <v>1519</v>
      </c>
      <c r="C9" s="332" t="s">
        <v>271</v>
      </c>
      <c r="D9" s="345">
        <f>RegenGHG!C43*3</f>
        <v>60171.664591080007</v>
      </c>
      <c r="E9" s="333">
        <f>RegenGHG!F43*3</f>
        <v>0.1134030618</v>
      </c>
      <c r="F9" s="333">
        <f>RegenGHG!D43*3</f>
        <v>1.1340306179999999</v>
      </c>
      <c r="G9" s="335"/>
      <c r="H9" s="335"/>
      <c r="I9" s="335"/>
      <c r="J9" s="335"/>
      <c r="K9" s="336"/>
      <c r="L9" s="336"/>
      <c r="M9" s="336"/>
      <c r="N9" s="336"/>
      <c r="O9" s="336"/>
      <c r="P9" s="336"/>
      <c r="Q9" s="337">
        <f>D9+E9+F9</f>
        <v>60172.912024759804</v>
      </c>
      <c r="R9" s="338"/>
    </row>
    <row r="10" spans="1:18" ht="14" thickBot="1">
      <c r="A10" s="4272"/>
      <c r="B10" s="4306"/>
      <c r="C10" s="339" t="s">
        <v>272</v>
      </c>
      <c r="D10" s="340">
        <f>D9</f>
        <v>60171.664591080007</v>
      </c>
      <c r="E10" s="340">
        <f>E9*$E$4</f>
        <v>33.794112416399997</v>
      </c>
      <c r="F10" s="340">
        <f>F9*$F$4</f>
        <v>28.350765449999997</v>
      </c>
      <c r="G10" s="341"/>
      <c r="H10" s="341"/>
      <c r="I10" s="341"/>
      <c r="J10" s="341"/>
      <c r="K10" s="342"/>
      <c r="L10" s="342"/>
      <c r="M10" s="342"/>
      <c r="N10" s="342"/>
      <c r="O10" s="342"/>
      <c r="P10" s="342"/>
      <c r="Q10" s="343"/>
      <c r="R10" s="344">
        <f>D10+E10+F10</f>
        <v>60233.809468946405</v>
      </c>
    </row>
    <row r="11" spans="1:18" ht="13">
      <c r="A11" s="4247"/>
      <c r="B11" s="4287" t="s">
        <v>1520</v>
      </c>
      <c r="C11" s="3018" t="s">
        <v>271</v>
      </c>
      <c r="D11" s="3019">
        <f>'FL PURGE GHG'!G48</f>
        <v>0</v>
      </c>
      <c r="E11" s="3020">
        <v>0</v>
      </c>
      <c r="F11" s="3020">
        <f>'FL PURGE GHG'!G49</f>
        <v>0</v>
      </c>
      <c r="G11" s="3021"/>
      <c r="H11" s="3021"/>
      <c r="I11" s="3021"/>
      <c r="J11" s="3021"/>
      <c r="K11" s="3022"/>
      <c r="L11" s="3022"/>
      <c r="M11" s="3022"/>
      <c r="N11" s="3022"/>
      <c r="O11" s="3022"/>
      <c r="P11" s="3022"/>
      <c r="Q11" s="3023">
        <f>D11+E11+F11</f>
        <v>0</v>
      </c>
      <c r="R11" s="3024"/>
    </row>
    <row r="12" spans="1:18" ht="14" thickBot="1">
      <c r="A12" s="4248"/>
      <c r="B12" s="4288"/>
      <c r="C12" s="3025" t="s">
        <v>272</v>
      </c>
      <c r="D12" s="3026">
        <f>D11</f>
        <v>0</v>
      </c>
      <c r="E12" s="3026">
        <f>E11*$E$4</f>
        <v>0</v>
      </c>
      <c r="F12" s="3026">
        <f>F11*$F$4</f>
        <v>0</v>
      </c>
      <c r="G12" s="3027"/>
      <c r="H12" s="3027"/>
      <c r="I12" s="3027"/>
      <c r="J12" s="3027"/>
      <c r="K12" s="3028"/>
      <c r="L12" s="3028"/>
      <c r="M12" s="3028"/>
      <c r="N12" s="3028"/>
      <c r="O12" s="3028"/>
      <c r="P12" s="3028"/>
      <c r="Q12" s="3029"/>
      <c r="R12" s="3030">
        <f>D12+E12+F12</f>
        <v>0</v>
      </c>
    </row>
    <row r="13" spans="1:18" ht="19.25" customHeight="1">
      <c r="A13" s="4247"/>
      <c r="B13" s="4274" t="str">
        <f>'2-P_Co'!B11</f>
        <v>FL1-FL3OVHD-SSM</v>
      </c>
      <c r="C13" s="332" t="s">
        <v>271</v>
      </c>
      <c r="D13" s="345">
        <f>'2-P_Co'!D11</f>
        <v>9440.6398034233389</v>
      </c>
      <c r="E13" s="333">
        <f>'2-P_Co'!E11</f>
        <v>0</v>
      </c>
      <c r="F13" s="333">
        <f>'2-P_Co'!F11</f>
        <v>5.2012817625934652E-3</v>
      </c>
      <c r="G13" s="335"/>
      <c r="H13" s="335"/>
      <c r="I13" s="335"/>
      <c r="J13" s="335"/>
      <c r="K13" s="336"/>
      <c r="L13" s="336"/>
      <c r="M13" s="336"/>
      <c r="N13" s="336"/>
      <c r="O13" s="336"/>
      <c r="P13" s="336"/>
      <c r="Q13" s="402">
        <f>D13+E13+F13</f>
        <v>9440.6450047051021</v>
      </c>
      <c r="R13" s="403"/>
    </row>
    <row r="14" spans="1:18" ht="19.25" customHeight="1" thickBot="1">
      <c r="A14" s="4248"/>
      <c r="B14" s="4275"/>
      <c r="C14" s="1491" t="s">
        <v>272</v>
      </c>
      <c r="D14" s="1492">
        <f>D13</f>
        <v>9440.6398034233389</v>
      </c>
      <c r="E14" s="1492">
        <f>E13*$E$4</f>
        <v>0</v>
      </c>
      <c r="F14" s="1492">
        <f>F13*$F$4</f>
        <v>0.13003204406483662</v>
      </c>
      <c r="G14" s="1493"/>
      <c r="H14" s="1493"/>
      <c r="I14" s="1493"/>
      <c r="J14" s="1493"/>
      <c r="K14" s="1494"/>
      <c r="L14" s="1494"/>
      <c r="M14" s="1494"/>
      <c r="N14" s="1494"/>
      <c r="O14" s="1494"/>
      <c r="P14" s="1494"/>
      <c r="Q14" s="1713"/>
      <c r="R14" s="1714">
        <f>D14+E14+F14</f>
        <v>9440.769835467403</v>
      </c>
    </row>
    <row r="15" spans="1:18" ht="19.25" customHeight="1">
      <c r="A15" s="4247"/>
      <c r="B15" s="4287" t="str">
        <f>'2-P_Co'!B13</f>
        <v>FL1-FL3CRYO-SSM</v>
      </c>
      <c r="C15" s="3018" t="s">
        <v>271</v>
      </c>
      <c r="D15" s="3019">
        <f>'2-P_Co'!D13</f>
        <v>15205.57971615787</v>
      </c>
      <c r="E15" s="3020">
        <f>'2-P_Co'!E13</f>
        <v>0</v>
      </c>
      <c r="F15" s="3020">
        <f>'2-P_Co'!F13</f>
        <v>57.866441662572178</v>
      </c>
      <c r="G15" s="3021"/>
      <c r="H15" s="3021"/>
      <c r="I15" s="3021"/>
      <c r="J15" s="3021"/>
      <c r="K15" s="3022"/>
      <c r="L15" s="3022"/>
      <c r="M15" s="3022"/>
      <c r="N15" s="3022"/>
      <c r="O15" s="3022"/>
      <c r="P15" s="3022"/>
      <c r="Q15" s="3031">
        <f>D15+E15+F15</f>
        <v>15263.446157820443</v>
      </c>
      <c r="R15" s="3032"/>
    </row>
    <row r="16" spans="1:18" ht="19.25" customHeight="1" thickBot="1">
      <c r="A16" s="4248"/>
      <c r="B16" s="4288"/>
      <c r="C16" s="3025" t="s">
        <v>272</v>
      </c>
      <c r="D16" s="3026">
        <f>D15</f>
        <v>15205.57971615787</v>
      </c>
      <c r="E16" s="3026">
        <f>E15*$E$4</f>
        <v>0</v>
      </c>
      <c r="F16" s="3026">
        <f>F15*$F$4</f>
        <v>1446.6610415643045</v>
      </c>
      <c r="G16" s="3027"/>
      <c r="H16" s="3027"/>
      <c r="I16" s="3027"/>
      <c r="J16" s="3027"/>
      <c r="K16" s="3028"/>
      <c r="L16" s="3028"/>
      <c r="M16" s="3028"/>
      <c r="N16" s="3028"/>
      <c r="O16" s="3028"/>
      <c r="P16" s="3028"/>
      <c r="Q16" s="3033"/>
      <c r="R16" s="3034">
        <f>D16+E16+F16</f>
        <v>16652.240757722175</v>
      </c>
    </row>
    <row r="17" spans="1:18" ht="13">
      <c r="A17" s="4254"/>
      <c r="B17" s="4277" t="s">
        <v>1347</v>
      </c>
      <c r="C17" s="332" t="s">
        <v>271</v>
      </c>
      <c r="D17" s="345">
        <f>'IFR Tanks (IFR1-IFR4)'!D16*3</f>
        <v>0</v>
      </c>
      <c r="E17" s="333">
        <v>0</v>
      </c>
      <c r="F17" s="333">
        <v>0</v>
      </c>
      <c r="G17" s="335"/>
      <c r="H17" s="335"/>
      <c r="I17" s="335"/>
      <c r="J17" s="335"/>
      <c r="K17" s="336"/>
      <c r="L17" s="336"/>
      <c r="M17" s="336"/>
      <c r="N17" s="336"/>
      <c r="O17" s="336"/>
      <c r="P17" s="336"/>
      <c r="Q17" s="337">
        <f>D17+E17+F17</f>
        <v>0</v>
      </c>
      <c r="R17" s="338"/>
    </row>
    <row r="18" spans="1:18" ht="14" thickBot="1">
      <c r="A18" s="4255"/>
      <c r="B18" s="4278"/>
      <c r="C18" s="339" t="s">
        <v>272</v>
      </c>
      <c r="D18" s="340">
        <f>D17</f>
        <v>0</v>
      </c>
      <c r="E18" s="340">
        <f>E17*$E$4</f>
        <v>0</v>
      </c>
      <c r="F18" s="340">
        <f>F17*$F$4</f>
        <v>0</v>
      </c>
      <c r="G18" s="341"/>
      <c r="H18" s="341"/>
      <c r="I18" s="341"/>
      <c r="J18" s="341"/>
      <c r="K18" s="342"/>
      <c r="L18" s="342"/>
      <c r="M18" s="342"/>
      <c r="N18" s="342"/>
      <c r="O18" s="342"/>
      <c r="P18" s="342"/>
      <c r="Q18" s="343"/>
      <c r="R18" s="344">
        <f>D18+E18+F18</f>
        <v>0</v>
      </c>
    </row>
    <row r="19" spans="1:18">
      <c r="A19" s="4256"/>
      <c r="B19" s="4299" t="s">
        <v>1521</v>
      </c>
      <c r="C19" s="2668" t="s">
        <v>271</v>
      </c>
      <c r="D19" s="4289" t="s">
        <v>1524</v>
      </c>
      <c r="E19" s="4290"/>
      <c r="F19" s="4290"/>
      <c r="G19" s="4290"/>
      <c r="H19" s="4290"/>
      <c r="I19" s="4290"/>
      <c r="J19" s="4290"/>
      <c r="K19" s="4290"/>
      <c r="L19" s="4290"/>
      <c r="M19" s="4290"/>
      <c r="N19" s="4290"/>
      <c r="O19" s="4290"/>
      <c r="P19" s="4290"/>
      <c r="Q19" s="4290"/>
      <c r="R19" s="4291"/>
    </row>
    <row r="20" spans="1:18" ht="14" thickBot="1">
      <c r="A20" s="4248"/>
      <c r="B20" s="4300"/>
      <c r="C20" s="3035" t="s">
        <v>272</v>
      </c>
      <c r="D20" s="4292"/>
      <c r="E20" s="4293"/>
      <c r="F20" s="4293"/>
      <c r="G20" s="4293"/>
      <c r="H20" s="4293"/>
      <c r="I20" s="4293"/>
      <c r="J20" s="4293"/>
      <c r="K20" s="4293"/>
      <c r="L20" s="4293"/>
      <c r="M20" s="4293"/>
      <c r="N20" s="4293"/>
      <c r="O20" s="4293"/>
      <c r="P20" s="4293"/>
      <c r="Q20" s="4293"/>
      <c r="R20" s="4294"/>
    </row>
    <row r="21" spans="1:18" ht="13">
      <c r="A21" s="4257"/>
      <c r="B21" s="4249" t="s">
        <v>909</v>
      </c>
      <c r="C21" s="332" t="s">
        <v>271</v>
      </c>
      <c r="D21" s="333">
        <f>'ECD1 GHG'!G48</f>
        <v>4244.345950324443</v>
      </c>
      <c r="E21" s="334">
        <v>0</v>
      </c>
      <c r="F21" s="333">
        <f>'ECD1 GHG'!G49</f>
        <v>9.8452332406572429E-4</v>
      </c>
      <c r="G21" s="335"/>
      <c r="H21" s="335"/>
      <c r="I21" s="335"/>
      <c r="J21" s="335"/>
      <c r="K21" s="336"/>
      <c r="L21" s="336"/>
      <c r="M21" s="336"/>
      <c r="N21" s="336"/>
      <c r="O21" s="336"/>
      <c r="P21" s="336"/>
      <c r="Q21" s="337">
        <f>D21+E21+F21</f>
        <v>4244.3469348477674</v>
      </c>
      <c r="R21" s="338"/>
    </row>
    <row r="22" spans="1:18" ht="14" thickBot="1">
      <c r="A22" s="4258"/>
      <c r="B22" s="4250"/>
      <c r="C22" s="339" t="s">
        <v>272</v>
      </c>
      <c r="D22" s="340">
        <f>D21</f>
        <v>4244.345950324443</v>
      </c>
      <c r="E22" s="340">
        <v>0</v>
      </c>
      <c r="F22" s="340">
        <f>F21*$F$4</f>
        <v>2.4613083101643108E-2</v>
      </c>
      <c r="G22" s="341"/>
      <c r="H22" s="341"/>
      <c r="I22" s="341"/>
      <c r="J22" s="341"/>
      <c r="K22" s="342"/>
      <c r="L22" s="342"/>
      <c r="M22" s="342"/>
      <c r="N22" s="342"/>
      <c r="O22" s="342"/>
      <c r="P22" s="342"/>
      <c r="Q22" s="343"/>
      <c r="R22" s="344">
        <f>D22+E22+F22</f>
        <v>4244.370563407545</v>
      </c>
    </row>
    <row r="23" spans="1:18" ht="13">
      <c r="A23" s="209"/>
      <c r="B23" s="4295" t="s">
        <v>1439</v>
      </c>
      <c r="C23" s="3018" t="s">
        <v>271</v>
      </c>
      <c r="D23" s="3019">
        <f>'TO GHG-Flash '!G48+'TO GHG-Still'!G48</f>
        <v>101384.4822558515</v>
      </c>
      <c r="E23" s="3019">
        <v>0</v>
      </c>
      <c r="F23" s="3019">
        <f>'TO GHG-Flash '!G49+'TO GHG-Still'!G49</f>
        <v>6.9126924421763016</v>
      </c>
      <c r="G23" s="3021"/>
      <c r="H23" s="3021"/>
      <c r="I23" s="3021"/>
      <c r="J23" s="3021"/>
      <c r="K23" s="3022"/>
      <c r="L23" s="3022"/>
      <c r="M23" s="3022"/>
      <c r="N23" s="3022"/>
      <c r="O23" s="3022"/>
      <c r="P23" s="3022"/>
      <c r="Q23" s="3023">
        <f>D23+E23+F23</f>
        <v>101391.39494829367</v>
      </c>
      <c r="R23" s="3024"/>
    </row>
    <row r="24" spans="1:18" ht="14" thickBot="1">
      <c r="A24" s="209"/>
      <c r="B24" s="4296"/>
      <c r="C24" s="3025" t="s">
        <v>272</v>
      </c>
      <c r="D24" s="3026">
        <f>D23</f>
        <v>101384.4822558515</v>
      </c>
      <c r="E24" s="3026">
        <f>E23*$E$4</f>
        <v>0</v>
      </c>
      <c r="F24" s="3026">
        <f>F23*$F$4</f>
        <v>172.81731105440755</v>
      </c>
      <c r="G24" s="3027"/>
      <c r="H24" s="3027"/>
      <c r="I24" s="3027"/>
      <c r="J24" s="3027"/>
      <c r="K24" s="3028"/>
      <c r="L24" s="3028"/>
      <c r="M24" s="3028"/>
      <c r="N24" s="3028"/>
      <c r="O24" s="3028"/>
      <c r="P24" s="3028"/>
      <c r="Q24" s="3029"/>
      <c r="R24" s="3030">
        <f>D24+E24+F24</f>
        <v>101557.2995669059</v>
      </c>
    </row>
    <row r="25" spans="1:18" ht="13">
      <c r="A25" s="4271"/>
      <c r="B25" s="4249" t="s">
        <v>1440</v>
      </c>
      <c r="C25" s="332" t="s">
        <v>271</v>
      </c>
      <c r="D25" s="345">
        <f>D23</f>
        <v>101384.4822558515</v>
      </c>
      <c r="E25" s="333">
        <v>0</v>
      </c>
      <c r="F25" s="345">
        <f>F23</f>
        <v>6.9126924421763016</v>
      </c>
      <c r="G25" s="335"/>
      <c r="H25" s="335"/>
      <c r="I25" s="335"/>
      <c r="J25" s="335"/>
      <c r="K25" s="336"/>
      <c r="L25" s="336"/>
      <c r="M25" s="336"/>
      <c r="N25" s="336"/>
      <c r="O25" s="336"/>
      <c r="P25" s="336"/>
      <c r="Q25" s="337">
        <f>D25+E25+F25</f>
        <v>101391.39494829367</v>
      </c>
      <c r="R25" s="338"/>
    </row>
    <row r="26" spans="1:18" ht="14" thickBot="1">
      <c r="A26" s="4272"/>
      <c r="B26" s="4301"/>
      <c r="C26" s="339" t="s">
        <v>272</v>
      </c>
      <c r="D26" s="340">
        <f>D25</f>
        <v>101384.4822558515</v>
      </c>
      <c r="E26" s="340">
        <f>E25*$E$4</f>
        <v>0</v>
      </c>
      <c r="F26" s="340">
        <f>F25*$F$4</f>
        <v>172.81731105440755</v>
      </c>
      <c r="G26" s="341"/>
      <c r="H26" s="341"/>
      <c r="I26" s="341"/>
      <c r="J26" s="341"/>
      <c r="K26" s="342"/>
      <c r="L26" s="342"/>
      <c r="M26" s="342"/>
      <c r="N26" s="342"/>
      <c r="O26" s="342"/>
      <c r="P26" s="342"/>
      <c r="Q26" s="343"/>
      <c r="R26" s="344">
        <f>D26+E26+F26</f>
        <v>101557.2995669059</v>
      </c>
    </row>
    <row r="27" spans="1:18" ht="13">
      <c r="A27" s="4247"/>
      <c r="B27" s="4295" t="s">
        <v>1441</v>
      </c>
      <c r="C27" s="3018" t="s">
        <v>271</v>
      </c>
      <c r="D27" s="3019">
        <f>D23</f>
        <v>101384.4822558515</v>
      </c>
      <c r="E27" s="3020">
        <v>0</v>
      </c>
      <c r="F27" s="3019">
        <f>F23</f>
        <v>6.9126924421763016</v>
      </c>
      <c r="G27" s="3021"/>
      <c r="H27" s="3021"/>
      <c r="I27" s="3021"/>
      <c r="J27" s="3021"/>
      <c r="K27" s="3022"/>
      <c r="L27" s="3022"/>
      <c r="M27" s="3022"/>
      <c r="N27" s="3022"/>
      <c r="O27" s="3022"/>
      <c r="P27" s="3022"/>
      <c r="Q27" s="3023">
        <f>D27+E27+F27</f>
        <v>101391.39494829367</v>
      </c>
      <c r="R27" s="3024"/>
    </row>
    <row r="28" spans="1:18" ht="14" thickBot="1">
      <c r="A28" s="4248"/>
      <c r="B28" s="4296"/>
      <c r="C28" s="3025" t="s">
        <v>272</v>
      </c>
      <c r="D28" s="3026">
        <f>D27</f>
        <v>101384.4822558515</v>
      </c>
      <c r="E28" s="3026">
        <f>E27*$E$4</f>
        <v>0</v>
      </c>
      <c r="F28" s="3026">
        <f>F27*$F$4</f>
        <v>172.81731105440755</v>
      </c>
      <c r="G28" s="3027"/>
      <c r="H28" s="3027"/>
      <c r="I28" s="3027"/>
      <c r="J28" s="3027"/>
      <c r="K28" s="3028"/>
      <c r="L28" s="3028"/>
      <c r="M28" s="3028"/>
      <c r="N28" s="3028"/>
      <c r="O28" s="3028"/>
      <c r="P28" s="3028"/>
      <c r="Q28" s="3029"/>
      <c r="R28" s="3030">
        <f>D28+E28+F28</f>
        <v>101557.2995669059</v>
      </c>
    </row>
    <row r="29" spans="1:18" ht="13">
      <c r="A29" s="4254"/>
      <c r="B29" s="4249" t="s">
        <v>1443</v>
      </c>
      <c r="C29" s="332" t="s">
        <v>271</v>
      </c>
      <c r="D29" s="345">
        <f>'2-P_Co'!D35</f>
        <v>304.17757006611379</v>
      </c>
      <c r="E29" s="333">
        <f>'2-P_Co'!E35</f>
        <v>0</v>
      </c>
      <c r="F29" s="345">
        <f>'2-P_Co'!F35</f>
        <v>2.0405247192426055</v>
      </c>
      <c r="G29" s="335"/>
      <c r="H29" s="335"/>
      <c r="I29" s="335"/>
      <c r="J29" s="335"/>
      <c r="K29" s="336"/>
      <c r="L29" s="336"/>
      <c r="M29" s="336"/>
      <c r="N29" s="336"/>
      <c r="O29" s="336"/>
      <c r="P29" s="336"/>
      <c r="Q29" s="337">
        <f>D29+E29+F29</f>
        <v>306.21809478535641</v>
      </c>
      <c r="R29" s="338"/>
    </row>
    <row r="30" spans="1:18" ht="14" thickBot="1">
      <c r="A30" s="4255"/>
      <c r="B30" s="4250"/>
      <c r="C30" s="339" t="s">
        <v>272</v>
      </c>
      <c r="D30" s="340">
        <f>D29</f>
        <v>304.17757006611379</v>
      </c>
      <c r="E30" s="340">
        <f>E29*$E$4</f>
        <v>0</v>
      </c>
      <c r="F30" s="340">
        <f>F29*$F$4</f>
        <v>51.013117981065136</v>
      </c>
      <c r="G30" s="341"/>
      <c r="H30" s="341"/>
      <c r="I30" s="341"/>
      <c r="J30" s="341"/>
      <c r="K30" s="342"/>
      <c r="L30" s="342"/>
      <c r="M30" s="342"/>
      <c r="N30" s="342"/>
      <c r="O30" s="342"/>
      <c r="P30" s="342"/>
      <c r="Q30" s="343"/>
      <c r="R30" s="344">
        <f>D30+E30+F30</f>
        <v>355.19068804717892</v>
      </c>
    </row>
    <row r="31" spans="1:18" ht="13">
      <c r="A31" s="4256"/>
      <c r="B31" s="4295" t="s">
        <v>1448</v>
      </c>
      <c r="C31" s="3018" t="s">
        <v>271</v>
      </c>
      <c r="D31" s="2735">
        <f>'2-P_Co'!D37</f>
        <v>0.1512326538453212</v>
      </c>
      <c r="E31" s="2736">
        <f>'2-P_Co'!E37</f>
        <v>0</v>
      </c>
      <c r="F31" s="2735">
        <f>'2-P_Co'!F37</f>
        <v>7.3601991456732159E-4</v>
      </c>
      <c r="G31" s="3021"/>
      <c r="H31" s="3021"/>
      <c r="I31" s="3021"/>
      <c r="J31" s="3021"/>
      <c r="K31" s="3022"/>
      <c r="L31" s="3022"/>
      <c r="M31" s="3022"/>
      <c r="N31" s="3022"/>
      <c r="O31" s="3022"/>
      <c r="P31" s="3022"/>
      <c r="Q31" s="3023">
        <f>D31+E31+F31</f>
        <v>0.15196867375988851</v>
      </c>
      <c r="R31" s="3024"/>
    </row>
    <row r="32" spans="1:18" ht="14" thickBot="1">
      <c r="A32" s="4248"/>
      <c r="B32" s="4296"/>
      <c r="C32" s="3025" t="s">
        <v>272</v>
      </c>
      <c r="D32" s="3026">
        <f>D31</f>
        <v>0.1512326538453212</v>
      </c>
      <c r="E32" s="3026">
        <f>E31*$E$4</f>
        <v>0</v>
      </c>
      <c r="F32" s="3026">
        <f>F31*$F$4</f>
        <v>1.8400497864183039E-2</v>
      </c>
      <c r="G32" s="3027"/>
      <c r="H32" s="3027"/>
      <c r="I32" s="3027"/>
      <c r="J32" s="3027"/>
      <c r="K32" s="3028"/>
      <c r="L32" s="3028"/>
      <c r="M32" s="3028"/>
      <c r="N32" s="3028"/>
      <c r="O32" s="3028"/>
      <c r="P32" s="3028"/>
      <c r="Q32" s="3029"/>
      <c r="R32" s="3030">
        <f>D32+E32+F32</f>
        <v>0.16963315170950424</v>
      </c>
    </row>
    <row r="33" spans="1:18" ht="13">
      <c r="A33" s="4257"/>
      <c r="B33" s="4249" t="str">
        <f>'2-P_Co'!B39</f>
        <v>GEN1-GEN8</v>
      </c>
      <c r="C33" s="332" t="s">
        <v>271</v>
      </c>
      <c r="D33" s="333">
        <f>'2-P_Co'!D39</f>
        <v>1255.7807711810228</v>
      </c>
      <c r="E33" s="334">
        <f>'2-P_Co'!E39</f>
        <v>1.8432325296000006E-3</v>
      </c>
      <c r="F33" s="333">
        <f>'2-P_Co'!F39</f>
        <v>1.8432325296000002E-2</v>
      </c>
      <c r="G33" s="335"/>
      <c r="H33" s="335"/>
      <c r="I33" s="335"/>
      <c r="J33" s="335"/>
      <c r="K33" s="336"/>
      <c r="L33" s="336"/>
      <c r="M33" s="336"/>
      <c r="N33" s="336"/>
      <c r="O33" s="336"/>
      <c r="P33" s="336"/>
      <c r="Q33" s="337">
        <f>D33+E33+F33</f>
        <v>1255.8010467388485</v>
      </c>
      <c r="R33" s="338"/>
    </row>
    <row r="34" spans="1:18" ht="14" thickBot="1">
      <c r="A34" s="4258"/>
      <c r="B34" s="4250"/>
      <c r="C34" s="339" t="s">
        <v>272</v>
      </c>
      <c r="D34" s="340">
        <f>D33</f>
        <v>1255.7807711810228</v>
      </c>
      <c r="E34" s="340">
        <f>E33*$E$4</f>
        <v>0.54928329382080021</v>
      </c>
      <c r="F34" s="340">
        <f>F33*$F$4</f>
        <v>0.46080813240000007</v>
      </c>
      <c r="G34" s="341"/>
      <c r="H34" s="341"/>
      <c r="I34" s="341"/>
      <c r="J34" s="341"/>
      <c r="K34" s="342"/>
      <c r="L34" s="342"/>
      <c r="M34" s="342"/>
      <c r="N34" s="342"/>
      <c r="O34" s="342"/>
      <c r="P34" s="342"/>
      <c r="Q34" s="343"/>
      <c r="R34" s="344">
        <f>D34+E34+F34</f>
        <v>1256.7908626072435</v>
      </c>
    </row>
    <row r="35" spans="1:18" ht="13">
      <c r="A35" s="208"/>
      <c r="B35" s="4297" t="s">
        <v>19</v>
      </c>
      <c r="C35" s="2668" t="s">
        <v>271</v>
      </c>
      <c r="D35" s="2669"/>
      <c r="E35" s="2670"/>
      <c r="F35" s="2670"/>
      <c r="G35" s="2671"/>
      <c r="H35" s="2671"/>
      <c r="I35" s="2671"/>
      <c r="J35" s="2671"/>
      <c r="K35" s="2672"/>
      <c r="L35" s="2672"/>
      <c r="M35" s="2672"/>
      <c r="N35" s="2672"/>
      <c r="O35" s="2672"/>
      <c r="P35" s="2672"/>
      <c r="Q35" s="2673">
        <f>SUM(Q5:Q34)</f>
        <v>953401.92344347388</v>
      </c>
      <c r="R35" s="2674"/>
    </row>
    <row r="36" spans="1:18" ht="14" thickBot="1">
      <c r="A36" s="172"/>
      <c r="B36" s="4298"/>
      <c r="C36" s="2675" t="s">
        <v>272</v>
      </c>
      <c r="D36" s="2676"/>
      <c r="E36" s="2677"/>
      <c r="F36" s="2677"/>
      <c r="G36" s="2678"/>
      <c r="H36" s="2678"/>
      <c r="I36" s="2678"/>
      <c r="J36" s="2678"/>
      <c r="K36" s="2679"/>
      <c r="L36" s="2679"/>
      <c r="M36" s="2679"/>
      <c r="N36" s="2679"/>
      <c r="O36" s="2679"/>
      <c r="P36" s="2679"/>
      <c r="Q36" s="2680"/>
      <c r="R36" s="2681">
        <f>SUM(R5:R34)</f>
        <v>955964.72743298323</v>
      </c>
    </row>
    <row r="37" spans="1:18" ht="12" customHeight="1">
      <c r="A37" s="173" t="s">
        <v>274</v>
      </c>
      <c r="B37" s="1694" t="s">
        <v>275</v>
      </c>
      <c r="C37" s="66"/>
      <c r="D37" s="66"/>
      <c r="E37" s="66"/>
      <c r="F37" s="66"/>
      <c r="G37" s="66"/>
      <c r="H37" s="66"/>
      <c r="I37" s="66"/>
      <c r="J37" s="66"/>
      <c r="K37" s="66"/>
      <c r="L37" s="66"/>
    </row>
    <row r="38" spans="1:18" ht="14.25" customHeight="1">
      <c r="A38" s="173" t="s">
        <v>276</v>
      </c>
      <c r="B38" s="1694" t="s">
        <v>277</v>
      </c>
      <c r="C38" s="66"/>
      <c r="D38" s="66"/>
      <c r="E38" s="66"/>
      <c r="F38" s="66"/>
      <c r="G38" s="66"/>
      <c r="H38" s="66"/>
      <c r="I38" s="66"/>
      <c r="J38" s="66"/>
      <c r="K38" s="66"/>
      <c r="L38" s="66"/>
    </row>
    <row r="39" spans="1:18" ht="14.25" customHeight="1">
      <c r="A39" s="173" t="s">
        <v>278</v>
      </c>
      <c r="B39" s="1694" t="s">
        <v>279</v>
      </c>
      <c r="C39" s="66"/>
      <c r="D39" s="66"/>
      <c r="E39" s="66"/>
      <c r="F39" s="66"/>
      <c r="G39" s="66"/>
      <c r="H39" s="66"/>
      <c r="I39" s="66"/>
      <c r="J39" s="66"/>
      <c r="K39" s="66"/>
      <c r="L39" s="66"/>
    </row>
    <row r="40" spans="1:18" ht="14.25" customHeight="1">
      <c r="A40" s="173" t="s">
        <v>280</v>
      </c>
      <c r="B40" s="1694" t="s">
        <v>281</v>
      </c>
      <c r="C40" s="66"/>
      <c r="D40" s="66"/>
      <c r="E40" s="66"/>
      <c r="F40" s="66"/>
      <c r="G40" s="66"/>
      <c r="H40" s="66"/>
      <c r="I40" s="66"/>
      <c r="J40" s="66"/>
      <c r="K40" s="66"/>
      <c r="L40" s="66"/>
    </row>
    <row r="41" spans="1:18" ht="14.25" customHeight="1">
      <c r="A41" s="173" t="s">
        <v>282</v>
      </c>
      <c r="B41" s="1694" t="s">
        <v>282</v>
      </c>
      <c r="C41" s="66"/>
      <c r="D41" s="66"/>
      <c r="E41" s="66"/>
      <c r="F41" s="66"/>
      <c r="G41" s="66"/>
      <c r="H41" s="66"/>
      <c r="I41" s="66"/>
      <c r="J41" s="66"/>
      <c r="K41" s="66"/>
      <c r="L41" s="66"/>
    </row>
  </sheetData>
  <mergeCells count="32">
    <mergeCell ref="B1:R1"/>
    <mergeCell ref="A2:R2"/>
    <mergeCell ref="A11:A12"/>
    <mergeCell ref="B11:B12"/>
    <mergeCell ref="A5:A6"/>
    <mergeCell ref="B5:B6"/>
    <mergeCell ref="B7:B8"/>
    <mergeCell ref="A9:A10"/>
    <mergeCell ref="B9:B10"/>
    <mergeCell ref="B35:B36"/>
    <mergeCell ref="A17:A18"/>
    <mergeCell ref="B17:B18"/>
    <mergeCell ref="A19:A20"/>
    <mergeCell ref="B19:B20"/>
    <mergeCell ref="A21:A22"/>
    <mergeCell ref="B21:B22"/>
    <mergeCell ref="B23:B24"/>
    <mergeCell ref="A25:A26"/>
    <mergeCell ref="B25:B26"/>
    <mergeCell ref="A27:A28"/>
    <mergeCell ref="D19:R20"/>
    <mergeCell ref="B27:B28"/>
    <mergeCell ref="A29:A30"/>
    <mergeCell ref="B29:B30"/>
    <mergeCell ref="A31:A32"/>
    <mergeCell ref="B31:B32"/>
    <mergeCell ref="A13:A14"/>
    <mergeCell ref="B13:B14"/>
    <mergeCell ref="A15:A16"/>
    <mergeCell ref="B15:B16"/>
    <mergeCell ref="A33:A34"/>
    <mergeCell ref="B33:B34"/>
  </mergeCells>
  <printOptions horizontalCentered="1" verticalCentered="1"/>
  <pageMargins left="0.5" right="0.5" top="0.5" bottom="0.5" header="0.35" footer="0.35"/>
  <pageSetup scale="78"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5/3/2016&amp;C&amp;8Table 2-A:  Page &amp;P&amp;R&amp;8Printed &amp;D &amp;T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tabColor rgb="FFFF0000"/>
  </sheetPr>
  <dimension ref="A1"/>
  <sheetViews>
    <sheetView workbookViewId="0">
      <selection activeCell="I19" sqref="I19"/>
    </sheetView>
  </sheetViews>
  <sheetFormatPr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theme="3" tint="-0.249977111117893"/>
  </sheetPr>
  <dimension ref="A1:BO81"/>
  <sheetViews>
    <sheetView view="pageBreakPreview" topLeftCell="A13" zoomScale="40" zoomScaleNormal="40" zoomScaleSheetLayoutView="40" zoomScalePageLayoutView="40" workbookViewId="0">
      <selection activeCell="E19" sqref="E19:R19"/>
    </sheetView>
  </sheetViews>
  <sheetFormatPr defaultColWidth="9.36328125" defaultRowHeight="13"/>
  <cols>
    <col min="1" max="1" width="3.6328125" style="38" customWidth="1"/>
    <col min="2" max="2" width="48.453125" style="38" customWidth="1"/>
    <col min="3" max="3" width="25.6328125" style="38" customWidth="1"/>
    <col min="4" max="4" width="19.453125" style="38" customWidth="1"/>
    <col min="5" max="18" width="15" style="38" customWidth="1"/>
    <col min="19" max="19" width="3.6328125" style="38" customWidth="1"/>
    <col min="20" max="16384" width="9.36328125" style="38"/>
  </cols>
  <sheetData>
    <row r="1" spans="1:19" ht="13.5" thickBot="1"/>
    <row r="2" spans="1:19" ht="20.25" customHeight="1" thickBot="1">
      <c r="A2" s="33"/>
      <c r="B2" s="34"/>
      <c r="C2" s="34"/>
      <c r="D2" s="34"/>
      <c r="E2" s="34"/>
      <c r="F2" s="34"/>
      <c r="G2" s="34"/>
      <c r="H2" s="34"/>
      <c r="I2" s="34"/>
      <c r="J2" s="34"/>
      <c r="K2" s="34"/>
      <c r="L2" s="34"/>
      <c r="M2" s="34"/>
      <c r="N2" s="34"/>
      <c r="O2" s="34"/>
      <c r="P2" s="34"/>
      <c r="Q2" s="34"/>
      <c r="R2" s="34"/>
      <c r="S2" s="32"/>
    </row>
    <row r="3" spans="1:19" s="2" customFormat="1" ht="39.75" customHeight="1">
      <c r="A3" s="54"/>
      <c r="B3" s="3931" t="s">
        <v>54</v>
      </c>
      <c r="C3" s="3932"/>
      <c r="D3" s="3932"/>
      <c r="E3" s="3932"/>
      <c r="F3" s="3932"/>
      <c r="G3" s="3932"/>
      <c r="H3" s="3932"/>
      <c r="I3" s="3932"/>
      <c r="J3" s="3932"/>
      <c r="K3" s="3932"/>
      <c r="L3" s="3932"/>
      <c r="M3" s="3932"/>
      <c r="N3" s="3932"/>
      <c r="O3" s="3932"/>
      <c r="P3" s="3932"/>
      <c r="Q3" s="3932"/>
      <c r="R3" s="3932"/>
      <c r="S3" s="1565"/>
    </row>
    <row r="4" spans="1:19" s="2" customFormat="1" ht="39.75" customHeight="1">
      <c r="A4" s="54"/>
      <c r="B4" s="4326" t="s">
        <v>634</v>
      </c>
      <c r="C4" s="4327"/>
      <c r="D4" s="4327"/>
      <c r="E4" s="4327"/>
      <c r="F4" s="4327"/>
      <c r="G4" s="4327"/>
      <c r="H4" s="4327"/>
      <c r="I4" s="4327"/>
      <c r="J4" s="4327"/>
      <c r="K4" s="4327"/>
      <c r="L4" s="4327"/>
      <c r="M4" s="4327"/>
      <c r="N4" s="4327"/>
      <c r="O4" s="4327"/>
      <c r="P4" s="4327"/>
      <c r="Q4" s="4327"/>
      <c r="R4" s="4327"/>
      <c r="S4" s="1565"/>
    </row>
    <row r="5" spans="1:19" s="2" customFormat="1" ht="39.75" customHeight="1" thickBot="1">
      <c r="A5" s="54"/>
      <c r="B5" s="4328" t="s">
        <v>2023</v>
      </c>
      <c r="C5" s="4329"/>
      <c r="D5" s="4329"/>
      <c r="E5" s="4329"/>
      <c r="F5" s="4329"/>
      <c r="G5" s="4329"/>
      <c r="H5" s="4329"/>
      <c r="I5" s="4329"/>
      <c r="J5" s="4329"/>
      <c r="K5" s="4329"/>
      <c r="L5" s="4329"/>
      <c r="M5" s="4329"/>
      <c r="N5" s="4329"/>
      <c r="O5" s="4329"/>
      <c r="P5" s="4329"/>
      <c r="Q5" s="4329"/>
      <c r="R5" s="4330"/>
      <c r="S5" s="1584"/>
    </row>
    <row r="6" spans="1:19" ht="21" customHeight="1" thickBot="1">
      <c r="A6" s="31"/>
      <c r="B6" s="25"/>
      <c r="C6" s="25"/>
      <c r="D6" s="25"/>
      <c r="E6" s="25"/>
      <c r="F6" s="25"/>
      <c r="G6" s="25"/>
      <c r="H6" s="25"/>
      <c r="I6" s="25"/>
      <c r="J6" s="25"/>
      <c r="K6" s="25"/>
      <c r="L6" s="25"/>
      <c r="M6" s="25"/>
      <c r="N6" s="25"/>
      <c r="O6" s="25"/>
      <c r="P6" s="25"/>
      <c r="Q6" s="25"/>
      <c r="R6" s="25"/>
      <c r="S6" s="40"/>
    </row>
    <row r="7" spans="1:19" ht="30.75" customHeight="1" thickBot="1">
      <c r="B7" s="4"/>
      <c r="C7" s="4"/>
      <c r="D7" s="4"/>
      <c r="E7" s="4"/>
      <c r="F7" s="4"/>
      <c r="G7" s="4"/>
      <c r="H7" s="4"/>
      <c r="I7" s="4"/>
      <c r="J7" s="4"/>
      <c r="K7" s="4"/>
      <c r="L7" s="4"/>
      <c r="M7" s="4"/>
      <c r="N7" s="4"/>
      <c r="O7" s="4"/>
      <c r="P7" s="4"/>
      <c r="Q7" s="4"/>
      <c r="R7" s="4"/>
    </row>
    <row r="8" spans="1:19" ht="32.25" customHeight="1" thickBot="1">
      <c r="A8" s="4331" t="s">
        <v>1368</v>
      </c>
      <c r="B8" s="4332"/>
      <c r="C8" s="4332"/>
      <c r="D8" s="4332"/>
      <c r="E8" s="4332"/>
      <c r="F8" s="4332"/>
      <c r="G8" s="4332"/>
      <c r="H8" s="4332"/>
      <c r="I8" s="4332"/>
      <c r="J8" s="4332"/>
      <c r="K8" s="4332"/>
      <c r="L8" s="4332"/>
      <c r="M8" s="4332"/>
      <c r="N8" s="4332"/>
      <c r="O8" s="4332"/>
      <c r="P8" s="4332"/>
      <c r="Q8" s="4332"/>
      <c r="R8" s="4332"/>
      <c r="S8" s="4333"/>
    </row>
    <row r="9" spans="1:19" ht="24" customHeight="1" thickBot="1">
      <c r="A9" s="33"/>
      <c r="B9" s="34"/>
      <c r="C9" s="34"/>
      <c r="D9" s="34"/>
      <c r="E9" s="34"/>
      <c r="F9" s="34"/>
      <c r="G9" s="34"/>
      <c r="H9" s="34"/>
      <c r="I9" s="34"/>
      <c r="J9" s="34"/>
      <c r="K9" s="34"/>
      <c r="L9" s="34"/>
      <c r="M9" s="34"/>
      <c r="N9" s="34"/>
      <c r="O9" s="34"/>
      <c r="P9" s="34"/>
      <c r="Q9" s="34"/>
      <c r="R9" s="34"/>
      <c r="S9" s="32"/>
    </row>
    <row r="10" spans="1:19" ht="42" customHeight="1">
      <c r="A10" s="36"/>
      <c r="B10" s="4334" t="s">
        <v>91</v>
      </c>
      <c r="C10" s="4336" t="s">
        <v>555</v>
      </c>
      <c r="D10" s="4338" t="s">
        <v>556</v>
      </c>
      <c r="E10" s="4325" t="s">
        <v>21</v>
      </c>
      <c r="F10" s="4316"/>
      <c r="G10" s="4310" t="s">
        <v>0</v>
      </c>
      <c r="H10" s="4311"/>
      <c r="I10" s="4323" t="s">
        <v>283</v>
      </c>
      <c r="J10" s="4324"/>
      <c r="K10" s="4310" t="s">
        <v>1772</v>
      </c>
      <c r="L10" s="4311"/>
      <c r="M10" s="4310" t="s">
        <v>1311</v>
      </c>
      <c r="N10" s="4311"/>
      <c r="O10" s="4325" t="s">
        <v>1773</v>
      </c>
      <c r="P10" s="4316"/>
      <c r="Q10" s="4310" t="s">
        <v>15</v>
      </c>
      <c r="R10" s="4311"/>
      <c r="S10" s="44"/>
    </row>
    <row r="11" spans="1:19" ht="29.25" customHeight="1" thickBot="1">
      <c r="A11" s="36"/>
      <c r="B11" s="4335"/>
      <c r="C11" s="4337"/>
      <c r="D11" s="4339"/>
      <c r="E11" s="2499" t="s">
        <v>22</v>
      </c>
      <c r="F11" s="2500" t="s">
        <v>37</v>
      </c>
      <c r="G11" s="2501" t="s">
        <v>22</v>
      </c>
      <c r="H11" s="2502" t="s">
        <v>37</v>
      </c>
      <c r="I11" s="2499" t="s">
        <v>22</v>
      </c>
      <c r="J11" s="2500" t="s">
        <v>37</v>
      </c>
      <c r="K11" s="2501" t="s">
        <v>22</v>
      </c>
      <c r="L11" s="2502" t="s">
        <v>37</v>
      </c>
      <c r="M11" s="2499" t="s">
        <v>22</v>
      </c>
      <c r="N11" s="2503" t="s">
        <v>37</v>
      </c>
      <c r="O11" s="2499" t="s">
        <v>22</v>
      </c>
      <c r="P11" s="2500" t="s">
        <v>37</v>
      </c>
      <c r="Q11" s="2501" t="s">
        <v>22</v>
      </c>
      <c r="R11" s="2502" t="s">
        <v>37</v>
      </c>
      <c r="S11" s="44"/>
    </row>
    <row r="12" spans="1:19" ht="44.25" customHeight="1">
      <c r="A12" s="36"/>
      <c r="B12" s="2454" t="str">
        <f>'Summary-Co'!B13</f>
        <v>Stabilization Hot Oil Heater
(64.83 MMBtu/hr)</v>
      </c>
      <c r="C12" s="2455" t="str">
        <f>'Summary-Co'!C13</f>
        <v>SHTR1</v>
      </c>
      <c r="D12" s="2456" t="str">
        <f>'Summary-Co'!D13</f>
        <v>SHTR1</v>
      </c>
      <c r="E12" s="2457">
        <f>'Summary-Co'!E13</f>
        <v>1.730961</v>
      </c>
      <c r="F12" s="2458">
        <f>'Summary-Co'!F13</f>
        <v>7.5816091799999992</v>
      </c>
      <c r="G12" s="2457">
        <f>'Summary-Co'!G13</f>
        <v>1.0567289999999998</v>
      </c>
      <c r="H12" s="2458">
        <f>'Summary-Co'!H13</f>
        <v>4.6284730199999995</v>
      </c>
      <c r="I12" s="2457">
        <f>'Summary-Co'!I13</f>
        <v>0.414912</v>
      </c>
      <c r="J12" s="2458">
        <f>'Summary-Co'!J13</f>
        <v>1.81731456</v>
      </c>
      <c r="K12" s="2457">
        <f>'Summary-Co'!K13</f>
        <v>0.14300735294117647</v>
      </c>
      <c r="L12" s="2458">
        <f>'Summary-Co'!L13</f>
        <v>0.62637220588235298</v>
      </c>
      <c r="M12" s="2457">
        <f>'Summary-Co'!M13</f>
        <v>0.48304705882352933</v>
      </c>
      <c r="N12" s="2458">
        <f>'Summary-Co'!N13</f>
        <v>2.1157461176470584</v>
      </c>
      <c r="O12" s="2457">
        <f>'Summary-Co'!O13</f>
        <v>0.48304705882352933</v>
      </c>
      <c r="P12" s="2458">
        <f>'Summary-Co'!P13</f>
        <v>2.1157461176470584</v>
      </c>
      <c r="Q12" s="2457">
        <f>'Summary-Co'!Q13</f>
        <v>0.11959863823529414</v>
      </c>
      <c r="R12" s="1204">
        <f>'Summary-Co'!R13</f>
        <v>0.52384203547058827</v>
      </c>
      <c r="S12" s="44"/>
    </row>
    <row r="13" spans="1:19" ht="44.15" customHeight="1">
      <c r="A13" s="36"/>
      <c r="B13" s="2454" t="str">
        <f>'Summary-Co'!B14</f>
        <v>Stabilization Hot Oil Heater
(64.83 MMBtu/hr)</v>
      </c>
      <c r="C13" s="2455" t="str">
        <f>'Summary-Co'!C14</f>
        <v>SHTR2</v>
      </c>
      <c r="D13" s="2456" t="str">
        <f>'Summary-Co'!D14</f>
        <v>SHTR2</v>
      </c>
      <c r="E13" s="1307">
        <f>'Summary-Co'!E14</f>
        <v>1.730961</v>
      </c>
      <c r="F13" s="1305">
        <f>'Summary-Co'!F14</f>
        <v>7.5816091799999992</v>
      </c>
      <c r="G13" s="1307">
        <f>'Summary-Co'!G14</f>
        <v>1.0567289999999998</v>
      </c>
      <c r="H13" s="1305">
        <f>'Summary-Co'!H14</f>
        <v>4.6284730199999995</v>
      </c>
      <c r="I13" s="1307">
        <f>'Summary-Co'!I14</f>
        <v>0.414912</v>
      </c>
      <c r="J13" s="1305">
        <f>'Summary-Co'!J14</f>
        <v>1.81731456</v>
      </c>
      <c r="K13" s="1307">
        <f>'Summary-Co'!K14</f>
        <v>0.14300735294117647</v>
      </c>
      <c r="L13" s="1305">
        <f>'Summary-Co'!L14</f>
        <v>0.62637220588235298</v>
      </c>
      <c r="M13" s="1307">
        <f>'Summary-Co'!M14</f>
        <v>0.48304705882352933</v>
      </c>
      <c r="N13" s="1305">
        <f>'Summary-Co'!N14</f>
        <v>2.1157461176470584</v>
      </c>
      <c r="O13" s="1307">
        <f>'Summary-Co'!O14</f>
        <v>0.48304705882352933</v>
      </c>
      <c r="P13" s="1305">
        <f>'Summary-Co'!P14</f>
        <v>2.1157461176470584</v>
      </c>
      <c r="Q13" s="1307">
        <f>'Summary-Co'!Q14</f>
        <v>0.11959863823529414</v>
      </c>
      <c r="R13" s="1308">
        <f>'Summary-Co'!R14</f>
        <v>0.52384203547058827</v>
      </c>
      <c r="S13" s="44"/>
    </row>
    <row r="14" spans="1:19" ht="44.15" customHeight="1">
      <c r="A14" s="36"/>
      <c r="B14" s="2454" t="str">
        <f>'Summary-Co'!B15</f>
        <v>Regen Heater
(39.14 MMBtu/hr)</v>
      </c>
      <c r="C14" s="2455" t="str">
        <f>'Summary-Co'!C15</f>
        <v>RHTR1</v>
      </c>
      <c r="D14" s="2456" t="str">
        <f>'Summary-Co'!D15</f>
        <v>RHTR1</v>
      </c>
      <c r="E14" s="2459">
        <f>'Summary-Co'!E15</f>
        <v>1.0450380000000001</v>
      </c>
      <c r="F14" s="2460">
        <f>'Summary-Co'!F15</f>
        <v>4.5772664400000007</v>
      </c>
      <c r="G14" s="2459">
        <f>'Summary-Co'!G15</f>
        <v>0.63798199999999994</v>
      </c>
      <c r="H14" s="2460">
        <f>'Summary-Co'!H15</f>
        <v>2.7943611599999998</v>
      </c>
      <c r="I14" s="2459">
        <f>'Summary-Co'!I15</f>
        <v>0.250496</v>
      </c>
      <c r="J14" s="2460">
        <f>'Summary-Co'!J15</f>
        <v>1.09717248</v>
      </c>
      <c r="K14" s="2459">
        <f>'Summary-Co'!K15</f>
        <v>8.633823529411766E-2</v>
      </c>
      <c r="L14" s="2460">
        <f>'Summary-Co'!L15</f>
        <v>0.37816147058823535</v>
      </c>
      <c r="M14" s="2459">
        <f>'Summary-Co'!M15</f>
        <v>0.29163137254901961</v>
      </c>
      <c r="N14" s="2460">
        <f>'Summary-Co'!N15</f>
        <v>1.2773454117647058</v>
      </c>
      <c r="O14" s="2459">
        <f>'Summary-Co'!O15</f>
        <v>0.29163137254901961</v>
      </c>
      <c r="P14" s="2460">
        <f>'Summary-Co'!P15</f>
        <v>1.2773454117647058</v>
      </c>
      <c r="Q14" s="2459">
        <f>'Summary-Co'!Q15</f>
        <v>7.2205625490196074E-2</v>
      </c>
      <c r="R14" s="2461">
        <f>'Summary-Co'!R15</f>
        <v>0.31626063964705881</v>
      </c>
      <c r="S14" s="44"/>
    </row>
    <row r="15" spans="1:19" ht="44.15" customHeight="1">
      <c r="A15" s="36"/>
      <c r="B15" s="2454" t="str">
        <f>'Summary-Co'!B16</f>
        <v>Regen Heater
(39.14 MMBtu/hr)</v>
      </c>
      <c r="C15" s="2455" t="str">
        <f>'Summary-Co'!C16</f>
        <v>RHTR2</v>
      </c>
      <c r="D15" s="2456" t="str">
        <f>'Summary-Co'!D16</f>
        <v>RHTR2</v>
      </c>
      <c r="E15" s="2459">
        <f>'Summary-Co'!E16</f>
        <v>1.0450380000000001</v>
      </c>
      <c r="F15" s="2460">
        <f>'Summary-Co'!F16</f>
        <v>4.5772664400000007</v>
      </c>
      <c r="G15" s="2459">
        <f>'Summary-Co'!G16</f>
        <v>0.63798199999999994</v>
      </c>
      <c r="H15" s="2460">
        <f>'Summary-Co'!H16</f>
        <v>2.7943611599999998</v>
      </c>
      <c r="I15" s="2459">
        <f>'Summary-Co'!I16</f>
        <v>0.250496</v>
      </c>
      <c r="J15" s="2460">
        <f>'Summary-Co'!J16</f>
        <v>1.09717248</v>
      </c>
      <c r="K15" s="2459">
        <f>'Summary-Co'!K16</f>
        <v>8.633823529411766E-2</v>
      </c>
      <c r="L15" s="2460">
        <f>'Summary-Co'!L16</f>
        <v>0.37816147058823535</v>
      </c>
      <c r="M15" s="2459">
        <f>'Summary-Co'!M16</f>
        <v>0.29163137254901961</v>
      </c>
      <c r="N15" s="2460">
        <f>'Summary-Co'!N16</f>
        <v>1.2773454117647058</v>
      </c>
      <c r="O15" s="2459">
        <f>'Summary-Co'!O16</f>
        <v>0.29163137254901961</v>
      </c>
      <c r="P15" s="2460">
        <f>'Summary-Co'!P16</f>
        <v>1.2773454117647058</v>
      </c>
      <c r="Q15" s="2459">
        <f>'Summary-Co'!Q16</f>
        <v>7.2205625490196074E-2</v>
      </c>
      <c r="R15" s="2461">
        <f>'Summary-Co'!R16</f>
        <v>0.31626063964705881</v>
      </c>
      <c r="S15" s="44"/>
    </row>
    <row r="16" spans="1:19" ht="44.15" customHeight="1">
      <c r="A16" s="36"/>
      <c r="B16" s="2454" t="str">
        <f>'Summary-Co'!B17</f>
        <v>Regen Heater
(39.14 MMBtu/hr)</v>
      </c>
      <c r="C16" s="2455" t="str">
        <f>'Summary-Co'!C17</f>
        <v>RHTR3</v>
      </c>
      <c r="D16" s="2456" t="str">
        <f>'Summary-Co'!D17</f>
        <v>RHTR3</v>
      </c>
      <c r="E16" s="2459">
        <f>'Summary-Co'!E17</f>
        <v>1.0450380000000001</v>
      </c>
      <c r="F16" s="2460">
        <f>'Summary-Co'!F17</f>
        <v>4.5772664400000007</v>
      </c>
      <c r="G16" s="2459">
        <f>'Summary-Co'!G17</f>
        <v>0.63798199999999994</v>
      </c>
      <c r="H16" s="2460">
        <f>'Summary-Co'!H17</f>
        <v>2.7943611599999998</v>
      </c>
      <c r="I16" s="2459">
        <f>'Summary-Co'!I17</f>
        <v>0.250496</v>
      </c>
      <c r="J16" s="2460">
        <f>'Summary-Co'!J17</f>
        <v>1.09717248</v>
      </c>
      <c r="K16" s="2459">
        <f>'Summary-Co'!K17</f>
        <v>8.633823529411766E-2</v>
      </c>
      <c r="L16" s="2460">
        <f>'Summary-Co'!L17</f>
        <v>0.37816147058823535</v>
      </c>
      <c r="M16" s="2459">
        <f>'Summary-Co'!M17</f>
        <v>0.29163137254901961</v>
      </c>
      <c r="N16" s="2460">
        <f>'Summary-Co'!N17</f>
        <v>1.2773454117647058</v>
      </c>
      <c r="O16" s="2459">
        <f>'Summary-Co'!O17</f>
        <v>0.29163137254901961</v>
      </c>
      <c r="P16" s="2460">
        <f>'Summary-Co'!P17</f>
        <v>1.2773454117647058</v>
      </c>
      <c r="Q16" s="2459">
        <f>'Summary-Co'!Q17</f>
        <v>7.2205625490196074E-2</v>
      </c>
      <c r="R16" s="2461">
        <f>'Summary-Co'!R17</f>
        <v>0.31626063964705881</v>
      </c>
      <c r="S16" s="44"/>
    </row>
    <row r="17" spans="1:20" ht="44.15" customHeight="1">
      <c r="A17" s="36"/>
      <c r="B17" s="2470" t="s">
        <v>1820</v>
      </c>
      <c r="C17" s="4340" t="s">
        <v>1913</v>
      </c>
      <c r="D17" s="4342" t="s">
        <v>1913</v>
      </c>
      <c r="E17" s="4307" t="s">
        <v>1371</v>
      </c>
      <c r="F17" s="4308"/>
      <c r="G17" s="4308"/>
      <c r="H17" s="4308"/>
      <c r="I17" s="4308"/>
      <c r="J17" s="4308"/>
      <c r="K17" s="4308"/>
      <c r="L17" s="4308"/>
      <c r="M17" s="4308"/>
      <c r="N17" s="4308"/>
      <c r="O17" s="4308"/>
      <c r="P17" s="4308"/>
      <c r="Q17" s="4308"/>
      <c r="R17" s="4309"/>
      <c r="S17" s="44"/>
    </row>
    <row r="18" spans="1:20" ht="44.15" customHeight="1">
      <c r="A18" s="36"/>
      <c r="B18" s="2454" t="s">
        <v>1821</v>
      </c>
      <c r="C18" s="4340"/>
      <c r="D18" s="4342"/>
      <c r="E18" s="4307" t="s">
        <v>1371</v>
      </c>
      <c r="F18" s="4308"/>
      <c r="G18" s="4308"/>
      <c r="H18" s="4308"/>
      <c r="I18" s="4308"/>
      <c r="J18" s="4308"/>
      <c r="K18" s="4308"/>
      <c r="L18" s="4308"/>
      <c r="M18" s="4308"/>
      <c r="N18" s="4308"/>
      <c r="O18" s="4308"/>
      <c r="P18" s="4308"/>
      <c r="Q18" s="4308"/>
      <c r="R18" s="4309"/>
      <c r="S18" s="44"/>
    </row>
    <row r="19" spans="1:20" ht="44.15" customHeight="1">
      <c r="A19" s="36"/>
      <c r="B19" s="2454" t="s">
        <v>1928</v>
      </c>
      <c r="C19" s="4341"/>
      <c r="D19" s="4343"/>
      <c r="E19" s="4307" t="s">
        <v>1371</v>
      </c>
      <c r="F19" s="4308"/>
      <c r="G19" s="4308"/>
      <c r="H19" s="4308"/>
      <c r="I19" s="4308"/>
      <c r="J19" s="4308"/>
      <c r="K19" s="4308"/>
      <c r="L19" s="4308"/>
      <c r="M19" s="4308"/>
      <c r="N19" s="4308"/>
      <c r="O19" s="4308"/>
      <c r="P19" s="4308"/>
      <c r="Q19" s="4308"/>
      <c r="R19" s="4309"/>
      <c r="S19" s="44"/>
    </row>
    <row r="20" spans="1:20" ht="44.15" customHeight="1">
      <c r="A20" s="36"/>
      <c r="B20" s="2473" t="s">
        <v>1815</v>
      </c>
      <c r="C20" s="2474" t="str">
        <f>'2-A All'!A35</f>
        <v>CHTR3</v>
      </c>
      <c r="D20" s="2517" t="s">
        <v>1520</v>
      </c>
      <c r="E20" s="4307" t="s">
        <v>1371</v>
      </c>
      <c r="F20" s="4308"/>
      <c r="G20" s="4308"/>
      <c r="H20" s="4308"/>
      <c r="I20" s="4308"/>
      <c r="J20" s="4308"/>
      <c r="K20" s="4308"/>
      <c r="L20" s="4308"/>
      <c r="M20" s="4308"/>
      <c r="N20" s="4308"/>
      <c r="O20" s="4308"/>
      <c r="P20" s="4308"/>
      <c r="Q20" s="4308"/>
      <c r="R20" s="4309"/>
      <c r="S20" s="44"/>
      <c r="T20" s="8"/>
    </row>
    <row r="21" spans="1:20" ht="44.15" customHeight="1">
      <c r="A21" s="36"/>
      <c r="B21" s="2473" t="s">
        <v>1827</v>
      </c>
      <c r="C21" s="2474" t="str">
        <f>'2-A All'!A37</f>
        <v>RHTR1</v>
      </c>
      <c r="D21" s="2517" t="str">
        <f>D20</f>
        <v>FL1-FL3</v>
      </c>
      <c r="E21" s="4307" t="s">
        <v>1371</v>
      </c>
      <c r="F21" s="4308"/>
      <c r="G21" s="4308"/>
      <c r="H21" s="4308"/>
      <c r="I21" s="4308"/>
      <c r="J21" s="4308"/>
      <c r="K21" s="4308"/>
      <c r="L21" s="4308"/>
      <c r="M21" s="4308"/>
      <c r="N21" s="4308"/>
      <c r="O21" s="4308"/>
      <c r="P21" s="4308"/>
      <c r="Q21" s="4308"/>
      <c r="R21" s="4309"/>
      <c r="S21" s="44"/>
      <c r="T21" s="8"/>
    </row>
    <row r="22" spans="1:20" ht="44.15" customHeight="1">
      <c r="A22" s="36"/>
      <c r="B22" s="2454" t="str">
        <f>'Summary-Co'!B23</f>
        <v>Oil Storage 1 (100,000 bbl)</v>
      </c>
      <c r="C22" s="2455" t="str">
        <f>'Summary-Co'!C23</f>
        <v>IFR1</v>
      </c>
      <c r="D22" s="2456" t="str">
        <f>'Summary-Co'!D23</f>
        <v>IFR1</v>
      </c>
      <c r="E22" s="1307" t="str">
        <f>'Summary-NoCo'!E36</f>
        <v>--</v>
      </c>
      <c r="F22" s="1305" t="str">
        <f>'Summary-NoCo'!F36</f>
        <v>--</v>
      </c>
      <c r="G22" s="1307" t="str">
        <f>'Summary-NoCo'!G36</f>
        <v>--</v>
      </c>
      <c r="H22" s="2462" t="str">
        <f>'Summary-NoCo'!H36</f>
        <v>--</v>
      </c>
      <c r="I22" s="1307">
        <f>'Summary-NoCo'!I36</f>
        <v>1.1752020371542549</v>
      </c>
      <c r="J22" s="2462">
        <f>'Summary-NoCo'!J36</f>
        <v>5.1473849227356343</v>
      </c>
      <c r="K22" s="1307" t="str">
        <f>'Summary-NoCo'!K36</f>
        <v>--</v>
      </c>
      <c r="L22" s="2462" t="str">
        <f>'Summary-NoCo'!L36</f>
        <v>--</v>
      </c>
      <c r="M22" s="1307" t="str">
        <f>'Summary-NoCo'!M36</f>
        <v>--</v>
      </c>
      <c r="N22" s="2462" t="str">
        <f>'Summary-NoCo'!N36</f>
        <v>--</v>
      </c>
      <c r="O22" s="1307" t="str">
        <f>'Summary-NoCo'!O36</f>
        <v>--</v>
      </c>
      <c r="P22" s="2462" t="str">
        <f>'Summary-NoCo'!P36</f>
        <v>--</v>
      </c>
      <c r="Q22" s="1307">
        <f>'Summary-NoCo'!Q36</f>
        <v>6.7739254805280091E-2</v>
      </c>
      <c r="R22" s="2462">
        <f>'Summary-NoCo'!R36</f>
        <v>0.2966979360471268</v>
      </c>
      <c r="S22" s="44"/>
    </row>
    <row r="23" spans="1:20" ht="44.15" customHeight="1">
      <c r="A23" s="36"/>
      <c r="B23" s="2454" t="str">
        <f>'Summary-Co'!B24</f>
        <v>Oil Storage 2 (100,000 bbl)</v>
      </c>
      <c r="C23" s="2455" t="str">
        <f>'Summary-Co'!C24</f>
        <v>IFR2</v>
      </c>
      <c r="D23" s="2456" t="str">
        <f>'Summary-Co'!D24</f>
        <v>IFR2</v>
      </c>
      <c r="E23" s="1307" t="str">
        <f>'Summary-NoCo'!E37</f>
        <v>--</v>
      </c>
      <c r="F23" s="1305" t="str">
        <f>'Summary-NoCo'!F37</f>
        <v>--</v>
      </c>
      <c r="G23" s="1307" t="str">
        <f>'Summary-NoCo'!G37</f>
        <v>--</v>
      </c>
      <c r="H23" s="2462" t="str">
        <f>'Summary-NoCo'!H37</f>
        <v>--</v>
      </c>
      <c r="I23" s="1307">
        <f>'Summary-NoCo'!I37</f>
        <v>1.1752020371542549</v>
      </c>
      <c r="J23" s="2462">
        <f>'Summary-NoCo'!J37</f>
        <v>5.1473849227356343</v>
      </c>
      <c r="K23" s="1307" t="str">
        <f>'Summary-NoCo'!K37</f>
        <v>--</v>
      </c>
      <c r="L23" s="2462" t="str">
        <f>'Summary-NoCo'!L37</f>
        <v>--</v>
      </c>
      <c r="M23" s="1307" t="str">
        <f>'Summary-NoCo'!M37</f>
        <v>--</v>
      </c>
      <c r="N23" s="2462" t="str">
        <f>'Summary-NoCo'!N37</f>
        <v>--</v>
      </c>
      <c r="O23" s="1307" t="str">
        <f>'Summary-NoCo'!O37</f>
        <v>--</v>
      </c>
      <c r="P23" s="2462" t="str">
        <f>'Summary-NoCo'!P37</f>
        <v>--</v>
      </c>
      <c r="Q23" s="1307">
        <f>'Summary-NoCo'!Q37</f>
        <v>6.7739254805280091E-2</v>
      </c>
      <c r="R23" s="2462">
        <f>'Summary-NoCo'!R37</f>
        <v>0.2966979360471268</v>
      </c>
      <c r="S23" s="44"/>
    </row>
    <row r="24" spans="1:20" ht="44.15" customHeight="1">
      <c r="A24" s="36"/>
      <c r="B24" s="2454" t="str">
        <f>'Summary-Co'!B25</f>
        <v>Oil Storage 3 (100,000 bbl)</v>
      </c>
      <c r="C24" s="2455" t="str">
        <f>'Summary-Co'!C25</f>
        <v>IFR3</v>
      </c>
      <c r="D24" s="2456" t="str">
        <f>'Summary-Co'!D25</f>
        <v>IFR3</v>
      </c>
      <c r="E24" s="1307" t="str">
        <f>'Summary-NoCo'!E38</f>
        <v>--</v>
      </c>
      <c r="F24" s="1305" t="str">
        <f>'Summary-NoCo'!F38</f>
        <v>--</v>
      </c>
      <c r="G24" s="1307" t="str">
        <f>'Summary-NoCo'!G38</f>
        <v>--</v>
      </c>
      <c r="H24" s="2462" t="str">
        <f>'Summary-NoCo'!H38</f>
        <v>--</v>
      </c>
      <c r="I24" s="1307">
        <f>'Summary-NoCo'!I38</f>
        <v>1.1752020371542549</v>
      </c>
      <c r="J24" s="2462">
        <f>'Summary-NoCo'!J38</f>
        <v>5.1473849227356343</v>
      </c>
      <c r="K24" s="1307" t="str">
        <f>'Summary-NoCo'!K38</f>
        <v>--</v>
      </c>
      <c r="L24" s="2462" t="str">
        <f>'Summary-NoCo'!L38</f>
        <v>--</v>
      </c>
      <c r="M24" s="1307" t="str">
        <f>'Summary-NoCo'!M38</f>
        <v>--</v>
      </c>
      <c r="N24" s="2462" t="str">
        <f>'Summary-NoCo'!N38</f>
        <v>--</v>
      </c>
      <c r="O24" s="1307" t="str">
        <f>'Summary-NoCo'!O38</f>
        <v>--</v>
      </c>
      <c r="P24" s="2462" t="str">
        <f>'Summary-NoCo'!P38</f>
        <v>--</v>
      </c>
      <c r="Q24" s="1307">
        <f>'Summary-NoCo'!Q38</f>
        <v>6.7739254805280091E-2</v>
      </c>
      <c r="R24" s="2462">
        <f>'Summary-NoCo'!R38</f>
        <v>0.2966979360471268</v>
      </c>
      <c r="S24" s="44"/>
    </row>
    <row r="25" spans="1:20" ht="44.15" customHeight="1">
      <c r="A25" s="36"/>
      <c r="B25" s="2454" t="str">
        <f>'Summary-Co'!B26</f>
        <v>Oil Storage 4 (100,000 bbl)</v>
      </c>
      <c r="C25" s="2455" t="str">
        <f>'Summary-Co'!C26</f>
        <v>IFR4</v>
      </c>
      <c r="D25" s="2456" t="str">
        <f>'Summary-Co'!D26</f>
        <v>IFR4</v>
      </c>
      <c r="E25" s="1307" t="str">
        <f>'Summary-NoCo'!E39</f>
        <v>--</v>
      </c>
      <c r="F25" s="1305" t="str">
        <f>'Summary-NoCo'!F39</f>
        <v>--</v>
      </c>
      <c r="G25" s="1307" t="str">
        <f>'Summary-NoCo'!G39</f>
        <v>--</v>
      </c>
      <c r="H25" s="2462" t="str">
        <f>'Summary-NoCo'!H39</f>
        <v>--</v>
      </c>
      <c r="I25" s="1307">
        <f>'Summary-NoCo'!I39</f>
        <v>1.1752020371542549</v>
      </c>
      <c r="J25" s="2462">
        <f>'Summary-NoCo'!J39</f>
        <v>5.1473849227356343</v>
      </c>
      <c r="K25" s="1307" t="str">
        <f>'Summary-NoCo'!K39</f>
        <v>--</v>
      </c>
      <c r="L25" s="2462" t="str">
        <f>'Summary-NoCo'!L39</f>
        <v>--</v>
      </c>
      <c r="M25" s="1307" t="str">
        <f>'Summary-NoCo'!M39</f>
        <v>--</v>
      </c>
      <c r="N25" s="2462" t="str">
        <f>'Summary-NoCo'!N39</f>
        <v>--</v>
      </c>
      <c r="O25" s="1307" t="str">
        <f>'Summary-NoCo'!O39</f>
        <v>--</v>
      </c>
      <c r="P25" s="2462" t="str">
        <f>'Summary-NoCo'!P39</f>
        <v>--</v>
      </c>
      <c r="Q25" s="1307">
        <f>'Summary-NoCo'!Q39</f>
        <v>6.7739254805280091E-2</v>
      </c>
      <c r="R25" s="2462">
        <f>'Summary-NoCo'!R39</f>
        <v>0.2966979360471268</v>
      </c>
      <c r="S25" s="44"/>
    </row>
    <row r="26" spans="1:20" ht="44.15" customHeight="1">
      <c r="A26" s="36"/>
      <c r="B26" s="2454" t="str">
        <f>'Summary-Co'!B27</f>
        <v>3rd-Party Oil Storage 1</v>
      </c>
      <c r="C26" s="2455" t="str">
        <f>'Summary-Co'!C27</f>
        <v>OTK1</v>
      </c>
      <c r="D26" s="2456" t="str">
        <f>'Summary-Co'!D27</f>
        <v>OTK1</v>
      </c>
      <c r="E26" s="2463" t="s">
        <v>445</v>
      </c>
      <c r="F26" s="2464" t="s">
        <v>445</v>
      </c>
      <c r="G26" s="2463" t="s">
        <v>445</v>
      </c>
      <c r="H26" s="2464" t="s">
        <v>445</v>
      </c>
      <c r="I26" s="1307">
        <f>'Tank Summary'!L15</f>
        <v>25.094700837614305</v>
      </c>
      <c r="J26" s="2462">
        <f>'Tank Summary'!M15</f>
        <v>109.91478966875064</v>
      </c>
      <c r="K26" s="2463" t="s">
        <v>445</v>
      </c>
      <c r="L26" s="2464" t="s">
        <v>445</v>
      </c>
      <c r="M26" s="2463" t="s">
        <v>445</v>
      </c>
      <c r="N26" s="2464" t="s">
        <v>445</v>
      </c>
      <c r="O26" s="2463" t="s">
        <v>445</v>
      </c>
      <c r="P26" s="2464" t="s">
        <v>445</v>
      </c>
      <c r="Q26" s="2463" t="s">
        <v>445</v>
      </c>
      <c r="R26" s="2465" t="s">
        <v>445</v>
      </c>
      <c r="S26" s="44"/>
    </row>
    <row r="27" spans="1:20" ht="44.15" customHeight="1">
      <c r="A27" s="36"/>
      <c r="B27" s="2454" t="str">
        <f>'Summary-Co'!B28</f>
        <v>3rd-Party Oil Storage 2</v>
      </c>
      <c r="C27" s="2455" t="str">
        <f>'Summary-Co'!C28</f>
        <v>OTK2</v>
      </c>
      <c r="D27" s="2456" t="str">
        <f>'Summary-Co'!D28</f>
        <v>OTK2</v>
      </c>
      <c r="E27" s="2463" t="s">
        <v>445</v>
      </c>
      <c r="F27" s="2464" t="s">
        <v>445</v>
      </c>
      <c r="G27" s="2463" t="s">
        <v>445</v>
      </c>
      <c r="H27" s="2464" t="s">
        <v>445</v>
      </c>
      <c r="I27" s="1307">
        <f>I26</f>
        <v>25.094700837614305</v>
      </c>
      <c r="J27" s="2462">
        <f>J26</f>
        <v>109.91478966875064</v>
      </c>
      <c r="K27" s="2463" t="s">
        <v>445</v>
      </c>
      <c r="L27" s="2464" t="s">
        <v>445</v>
      </c>
      <c r="M27" s="2463" t="s">
        <v>445</v>
      </c>
      <c r="N27" s="2464" t="s">
        <v>445</v>
      </c>
      <c r="O27" s="2463" t="s">
        <v>445</v>
      </c>
      <c r="P27" s="2464" t="s">
        <v>445</v>
      </c>
      <c r="Q27" s="2463" t="s">
        <v>445</v>
      </c>
      <c r="R27" s="2466" t="s">
        <v>445</v>
      </c>
      <c r="S27" s="44"/>
    </row>
    <row r="28" spans="1:20" ht="44.15" customHeight="1">
      <c r="A28" s="36"/>
      <c r="B28" s="2454" t="str">
        <f>'Summary-Co'!B29</f>
        <v>3rd-Party Oil Storage 3</v>
      </c>
      <c r="C28" s="2455" t="str">
        <f>'Summary-Co'!C29</f>
        <v>OTK3</v>
      </c>
      <c r="D28" s="2456" t="str">
        <f>'Summary-Co'!D29</f>
        <v>OTK3</v>
      </c>
      <c r="E28" s="2463" t="s">
        <v>445</v>
      </c>
      <c r="F28" s="2464" t="s">
        <v>445</v>
      </c>
      <c r="G28" s="2463" t="s">
        <v>445</v>
      </c>
      <c r="H28" s="2464" t="s">
        <v>445</v>
      </c>
      <c r="I28" s="1307">
        <f t="shared" ref="I28:J31" si="0">I27</f>
        <v>25.094700837614305</v>
      </c>
      <c r="J28" s="2462">
        <f t="shared" si="0"/>
        <v>109.91478966875064</v>
      </c>
      <c r="K28" s="2463" t="s">
        <v>445</v>
      </c>
      <c r="L28" s="2464" t="s">
        <v>445</v>
      </c>
      <c r="M28" s="2463" t="s">
        <v>445</v>
      </c>
      <c r="N28" s="2464" t="s">
        <v>445</v>
      </c>
      <c r="O28" s="2463" t="s">
        <v>445</v>
      </c>
      <c r="P28" s="2464" t="s">
        <v>445</v>
      </c>
      <c r="Q28" s="2463" t="s">
        <v>445</v>
      </c>
      <c r="R28" s="2466" t="s">
        <v>445</v>
      </c>
      <c r="S28" s="44"/>
    </row>
    <row r="29" spans="1:20" ht="44.25" customHeight="1">
      <c r="A29" s="36"/>
      <c r="B29" s="2454" t="str">
        <f>'Summary-Co'!B30</f>
        <v>3rd-Party Oil Storage 4</v>
      </c>
      <c r="C29" s="2455" t="str">
        <f>'Summary-Co'!C30</f>
        <v>OTK4</v>
      </c>
      <c r="D29" s="2456" t="str">
        <f>'Summary-Co'!D30</f>
        <v>OTK4</v>
      </c>
      <c r="E29" s="2463" t="s">
        <v>445</v>
      </c>
      <c r="F29" s="2464" t="s">
        <v>445</v>
      </c>
      <c r="G29" s="2463" t="s">
        <v>445</v>
      </c>
      <c r="H29" s="2464" t="s">
        <v>445</v>
      </c>
      <c r="I29" s="1307">
        <f t="shared" si="0"/>
        <v>25.094700837614305</v>
      </c>
      <c r="J29" s="2462">
        <f t="shared" si="0"/>
        <v>109.91478966875064</v>
      </c>
      <c r="K29" s="2463" t="s">
        <v>445</v>
      </c>
      <c r="L29" s="2464" t="s">
        <v>445</v>
      </c>
      <c r="M29" s="2463" t="s">
        <v>445</v>
      </c>
      <c r="N29" s="2464" t="s">
        <v>445</v>
      </c>
      <c r="O29" s="2463" t="s">
        <v>445</v>
      </c>
      <c r="P29" s="2464" t="s">
        <v>445</v>
      </c>
      <c r="Q29" s="2463" t="s">
        <v>445</v>
      </c>
      <c r="R29" s="2466" t="s">
        <v>445</v>
      </c>
      <c r="S29" s="44"/>
    </row>
    <row r="30" spans="1:20" ht="44.25" customHeight="1">
      <c r="A30" s="36"/>
      <c r="B30" s="2454" t="str">
        <f>'Summary-Co'!B31</f>
        <v>3rd-Party Oil Storage 5</v>
      </c>
      <c r="C30" s="2455" t="str">
        <f>'Summary-Co'!C31</f>
        <v>OTK5</v>
      </c>
      <c r="D30" s="2456" t="str">
        <f>'Summary-Co'!D31</f>
        <v>OTK5</v>
      </c>
      <c r="E30" s="2463" t="s">
        <v>445</v>
      </c>
      <c r="F30" s="2464" t="s">
        <v>445</v>
      </c>
      <c r="G30" s="2463" t="s">
        <v>445</v>
      </c>
      <c r="H30" s="2464" t="s">
        <v>445</v>
      </c>
      <c r="I30" s="1307">
        <f t="shared" si="0"/>
        <v>25.094700837614305</v>
      </c>
      <c r="J30" s="2462">
        <f t="shared" si="0"/>
        <v>109.91478966875064</v>
      </c>
      <c r="K30" s="2463" t="s">
        <v>445</v>
      </c>
      <c r="L30" s="2464" t="s">
        <v>445</v>
      </c>
      <c r="M30" s="2463" t="s">
        <v>445</v>
      </c>
      <c r="N30" s="2464" t="s">
        <v>445</v>
      </c>
      <c r="O30" s="2463" t="s">
        <v>445</v>
      </c>
      <c r="P30" s="2464" t="s">
        <v>445</v>
      </c>
      <c r="Q30" s="2463" t="s">
        <v>445</v>
      </c>
      <c r="R30" s="2466" t="s">
        <v>445</v>
      </c>
      <c r="S30" s="44"/>
    </row>
    <row r="31" spans="1:20" ht="44.25" customHeight="1">
      <c r="A31" s="819"/>
      <c r="B31" s="2454" t="str">
        <f>'Summary-Co'!B32</f>
        <v>3rd-Party Oil Storage 6</v>
      </c>
      <c r="C31" s="2455" t="str">
        <f>'Summary-Co'!C32</f>
        <v>OTK6</v>
      </c>
      <c r="D31" s="2456" t="str">
        <f>'Summary-Co'!D32</f>
        <v>OTK6</v>
      </c>
      <c r="E31" s="2463" t="s">
        <v>445</v>
      </c>
      <c r="F31" s="2464" t="s">
        <v>445</v>
      </c>
      <c r="G31" s="2463" t="s">
        <v>445</v>
      </c>
      <c r="H31" s="2464" t="s">
        <v>445</v>
      </c>
      <c r="I31" s="1307">
        <f t="shared" si="0"/>
        <v>25.094700837614305</v>
      </c>
      <c r="J31" s="2462">
        <f t="shared" si="0"/>
        <v>109.91478966875064</v>
      </c>
      <c r="K31" s="2463" t="s">
        <v>445</v>
      </c>
      <c r="L31" s="2464" t="s">
        <v>445</v>
      </c>
      <c r="M31" s="2463" t="s">
        <v>445</v>
      </c>
      <c r="N31" s="2464" t="s">
        <v>445</v>
      </c>
      <c r="O31" s="2463" t="s">
        <v>445</v>
      </c>
      <c r="P31" s="2464" t="s">
        <v>445</v>
      </c>
      <c r="Q31" s="2463" t="s">
        <v>445</v>
      </c>
      <c r="R31" s="2466" t="s">
        <v>445</v>
      </c>
      <c r="S31" s="44"/>
    </row>
    <row r="32" spans="1:20" ht="44.25" customHeight="1">
      <c r="A32" s="36"/>
      <c r="B32" s="2454" t="str">
        <f>'Summary-Co'!B33</f>
        <v>Combustor</v>
      </c>
      <c r="C32" s="2455" t="str">
        <f>'Summary-Co'!C33</f>
        <v>ECD1</v>
      </c>
      <c r="D32" s="2456" t="str">
        <f>'Summary-Co'!D33</f>
        <v>ECD1</v>
      </c>
      <c r="E32" s="4307" t="s">
        <v>1371</v>
      </c>
      <c r="F32" s="4308"/>
      <c r="G32" s="4308"/>
      <c r="H32" s="4308"/>
      <c r="I32" s="4308"/>
      <c r="J32" s="4308"/>
      <c r="K32" s="4308"/>
      <c r="L32" s="4308"/>
      <c r="M32" s="4308"/>
      <c r="N32" s="4308"/>
      <c r="O32" s="4308"/>
      <c r="P32" s="4308"/>
      <c r="Q32" s="4308"/>
      <c r="R32" s="4309"/>
      <c r="S32" s="44"/>
      <c r="T32" s="8"/>
    </row>
    <row r="33" spans="1:67" ht="44.25" customHeight="1">
      <c r="A33" s="1656"/>
      <c r="B33" s="2473" t="str">
        <f>'Summary-Co'!B34</f>
        <v>Thermal Oxidizer</v>
      </c>
      <c r="C33" s="2474" t="str">
        <f>'Summary-Co'!C34</f>
        <v>TO1</v>
      </c>
      <c r="D33" s="2475" t="str">
        <f>'Summary-Co'!D34</f>
        <v>TO1</v>
      </c>
      <c r="E33" s="4307" t="s">
        <v>1371</v>
      </c>
      <c r="F33" s="4308"/>
      <c r="G33" s="4308"/>
      <c r="H33" s="4308"/>
      <c r="I33" s="4308"/>
      <c r="J33" s="4308"/>
      <c r="K33" s="4308"/>
      <c r="L33" s="4308"/>
      <c r="M33" s="4308"/>
      <c r="N33" s="4308"/>
      <c r="O33" s="4308"/>
      <c r="P33" s="4308"/>
      <c r="Q33" s="4308"/>
      <c r="R33" s="4309"/>
      <c r="S33" s="1655"/>
    </row>
    <row r="34" spans="1:67" ht="44.25" customHeight="1">
      <c r="A34" s="3614"/>
      <c r="B34" s="2473" t="str">
        <f>'Summary-Co'!B35</f>
        <v>Thermal Oxidizer</v>
      </c>
      <c r="C34" s="2474" t="str">
        <f>'Summary-Co'!C35</f>
        <v>TO2</v>
      </c>
      <c r="D34" s="2475" t="str">
        <f>'Summary-Co'!D35</f>
        <v>TO2</v>
      </c>
      <c r="E34" s="4307" t="s">
        <v>1371</v>
      </c>
      <c r="F34" s="4308"/>
      <c r="G34" s="4308"/>
      <c r="H34" s="4308"/>
      <c r="I34" s="4308"/>
      <c r="J34" s="4308"/>
      <c r="K34" s="4308"/>
      <c r="L34" s="4308"/>
      <c r="M34" s="4308"/>
      <c r="N34" s="4308"/>
      <c r="O34" s="4308"/>
      <c r="P34" s="4308"/>
      <c r="Q34" s="4308"/>
      <c r="R34" s="4309"/>
      <c r="S34" s="3615"/>
    </row>
    <row r="35" spans="1:67" ht="44.25" customHeight="1">
      <c r="A35" s="36"/>
      <c r="B35" s="2470" t="str">
        <f>'Summary-Co'!B36</f>
        <v>Thermal Oxidizer</v>
      </c>
      <c r="C35" s="3593" t="str">
        <f>'Summary-Co'!C36</f>
        <v>TO3</v>
      </c>
      <c r="D35" s="3595" t="str">
        <f>'Summary-Co'!D36</f>
        <v>TO3</v>
      </c>
      <c r="E35" s="4312" t="s">
        <v>1371</v>
      </c>
      <c r="F35" s="4313"/>
      <c r="G35" s="4313"/>
      <c r="H35" s="4313"/>
      <c r="I35" s="4313"/>
      <c r="J35" s="4313"/>
      <c r="K35" s="4313"/>
      <c r="L35" s="4313"/>
      <c r="M35" s="4313"/>
      <c r="N35" s="4313"/>
      <c r="O35" s="4313"/>
      <c r="P35" s="4313"/>
      <c r="Q35" s="4313"/>
      <c r="R35" s="4314"/>
      <c r="S35" s="44"/>
    </row>
    <row r="36" spans="1:67" ht="44.25" customHeight="1">
      <c r="A36" s="36"/>
      <c r="B36" s="2470" t="str">
        <f>'Summary-Co'!B37</f>
        <v>Fugitives</v>
      </c>
      <c r="C36" s="2471" t="str">
        <f>'Summary-Co'!C37</f>
        <v>FUG</v>
      </c>
      <c r="D36" s="2472" t="str">
        <f>'Summary-Co'!D37</f>
        <v>FUG</v>
      </c>
      <c r="E36" s="1307" t="str">
        <f>'Summary-NoCo'!E50</f>
        <v>--</v>
      </c>
      <c r="F36" s="1305" t="str">
        <f>'Summary-NoCo'!F50</f>
        <v>--</v>
      </c>
      <c r="G36" s="1307" t="str">
        <f>'Summary-NoCo'!G50</f>
        <v>--</v>
      </c>
      <c r="H36" s="1305" t="str">
        <f>'Summary-NoCo'!H50</f>
        <v>--</v>
      </c>
      <c r="I36" s="1307">
        <f>Fugitive!G39</f>
        <v>88.63844276133257</v>
      </c>
      <c r="J36" s="1305">
        <f>Fugitive!I39</f>
        <v>388.23637929463672</v>
      </c>
      <c r="K36" s="1307" t="str">
        <f>'Summary-NoCo'!K50</f>
        <v>--</v>
      </c>
      <c r="L36" s="1305" t="str">
        <f>'Summary-NoCo'!L50</f>
        <v>--</v>
      </c>
      <c r="M36" s="1307" t="str">
        <f>'Summary-NoCo'!M50</f>
        <v>--</v>
      </c>
      <c r="N36" s="1305" t="str">
        <f>'Summary-NoCo'!N50</f>
        <v>--</v>
      </c>
      <c r="O36" s="1307" t="str">
        <f>'Summary-NoCo'!O50</f>
        <v>--</v>
      </c>
      <c r="P36" s="1305" t="str">
        <f>'Summary-NoCo'!P50</f>
        <v>--</v>
      </c>
      <c r="Q36" s="1307">
        <f>'Sum UC-NoCo11X17'!Q48</f>
        <v>4.03</v>
      </c>
      <c r="R36" s="1308">
        <f>'Sum UC-NoCo11X17'!R48</f>
        <v>17.649999999999999</v>
      </c>
      <c r="S36" s="44"/>
    </row>
    <row r="37" spans="1:67" s="53" customFormat="1" ht="44.25" customHeight="1">
      <c r="A37" s="36"/>
      <c r="B37" s="2473" t="str">
        <f>'Summary-Co'!B38</f>
        <v>Storage Tank SSM Emissions</v>
      </c>
      <c r="C37" s="2474" t="str">
        <f>'Summary-Co'!C38</f>
        <v>SSM</v>
      </c>
      <c r="D37" s="2475" t="str">
        <f>'Summary-Co'!D38</f>
        <v>SSM</v>
      </c>
      <c r="E37" s="2459" t="str">
        <f>'Summary-NoCo'!E51</f>
        <v>--</v>
      </c>
      <c r="F37" s="2460" t="str">
        <f>'Summary-NoCo'!F51</f>
        <v>--</v>
      </c>
      <c r="G37" s="2459" t="str">
        <f>'Summary-NoCo'!G51</f>
        <v>--</v>
      </c>
      <c r="H37" s="2460" t="str">
        <f>'Summary-NoCo'!H51</f>
        <v>--</v>
      </c>
      <c r="I37" s="2459" t="str">
        <f>'Summary-NoCo'!I51</f>
        <v>--</v>
      </c>
      <c r="J37" s="2460">
        <f>'Summary-NoCo'!J51</f>
        <v>10</v>
      </c>
      <c r="K37" s="2459" t="str">
        <f>'Summary-NoCo'!K51</f>
        <v>--</v>
      </c>
      <c r="L37" s="2460" t="str">
        <f>'Summary-NoCo'!L51</f>
        <v>--</v>
      </c>
      <c r="M37" s="2459" t="str">
        <f>'Summary-NoCo'!M51</f>
        <v>--</v>
      </c>
      <c r="N37" s="2460" t="str">
        <f>'Summary-NoCo'!N51</f>
        <v>--</v>
      </c>
      <c r="O37" s="2459" t="str">
        <f>'Summary-NoCo'!O51</f>
        <v>--</v>
      </c>
      <c r="P37" s="2460" t="str">
        <f>'Summary-NoCo'!P51</f>
        <v>--</v>
      </c>
      <c r="Q37" s="2459" t="str">
        <f>'Summary-NoCo'!Q51</f>
        <v>--</v>
      </c>
      <c r="R37" s="2461" t="str">
        <f>'Summary-NoCo'!R51</f>
        <v>--</v>
      </c>
      <c r="S37" s="44"/>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row>
    <row r="38" spans="1:67" ht="44.25" customHeight="1">
      <c r="A38" s="36"/>
      <c r="B38" s="2470" t="str">
        <f>'Summary-Co'!B39</f>
        <v>Haul Road Fugitives</v>
      </c>
      <c r="C38" s="2471" t="str">
        <f>'Summary-Co'!C39</f>
        <v>ROAD</v>
      </c>
      <c r="D38" s="2472" t="str">
        <f>'Summary-Co'!D39</f>
        <v>ROAD</v>
      </c>
      <c r="E38" s="1307" t="str">
        <f>'Summary-NoCo'!E52</f>
        <v>--</v>
      </c>
      <c r="F38" s="1305" t="str">
        <f>'Summary-NoCo'!F52</f>
        <v>--</v>
      </c>
      <c r="G38" s="1307" t="str">
        <f>'Summary-NoCo'!G52</f>
        <v>--</v>
      </c>
      <c r="H38" s="1305" t="str">
        <f>'Summary-NoCo'!H52</f>
        <v>--</v>
      </c>
      <c r="I38" s="1307" t="str">
        <f>'Summary-NoCo'!I52</f>
        <v>--</v>
      </c>
      <c r="J38" s="1305" t="str">
        <f>'Summary-NoCo'!J52</f>
        <v>--</v>
      </c>
      <c r="K38" s="1307" t="str">
        <f>'Summary-NoCo'!K52</f>
        <v>--</v>
      </c>
      <c r="L38" s="1305" t="str">
        <f>'Summary-NoCo'!L52</f>
        <v>--</v>
      </c>
      <c r="M38" s="1307">
        <f>'Summary-NoCo'!M52</f>
        <v>2.7556902133370476</v>
      </c>
      <c r="N38" s="1305">
        <f>'Summary-NoCo'!N52</f>
        <v>8.8254079636430482</v>
      </c>
      <c r="O38" s="1307">
        <f>'Summary-NoCo'!O52</f>
        <v>0.70232409971011567</v>
      </c>
      <c r="P38" s="1305">
        <f>'Summary-NoCo'!P52</f>
        <v>2.2492719510493018</v>
      </c>
      <c r="Q38" s="1307" t="str">
        <f>'Summary-NoCo'!Q52</f>
        <v>--</v>
      </c>
      <c r="R38" s="1308" t="str">
        <f>'Summary-NoCo'!R52</f>
        <v>--</v>
      </c>
      <c r="S38" s="44"/>
    </row>
    <row r="39" spans="1:67" s="53" customFormat="1" ht="44.25" customHeight="1">
      <c r="A39" s="36"/>
      <c r="B39" s="2454" t="str">
        <f>'Summary-Co'!B40</f>
        <v>Produced Water Tank 1</v>
      </c>
      <c r="C39" s="2455" t="str">
        <f>'Summary-Co'!C40</f>
        <v>PWTK1</v>
      </c>
      <c r="D39" s="2456" t="str">
        <f>'Summary-Co'!D40</f>
        <v>PWTK1</v>
      </c>
      <c r="E39" s="2463" t="s">
        <v>445</v>
      </c>
      <c r="F39" s="2464" t="s">
        <v>445</v>
      </c>
      <c r="G39" s="2463" t="s">
        <v>445</v>
      </c>
      <c r="H39" s="2464" t="s">
        <v>445</v>
      </c>
      <c r="I39" s="1307">
        <f>'Tank Summary'!L21</f>
        <v>2.360259684389519E-3</v>
      </c>
      <c r="J39" s="2462">
        <f>'Tank Summary'!M21</f>
        <v>1.0337937417626092E-2</v>
      </c>
      <c r="K39" s="2463" t="s">
        <v>445</v>
      </c>
      <c r="L39" s="2464" t="s">
        <v>445</v>
      </c>
      <c r="M39" s="2463" t="s">
        <v>445</v>
      </c>
      <c r="N39" s="2464" t="s">
        <v>445</v>
      </c>
      <c r="O39" s="2463" t="s">
        <v>445</v>
      </c>
      <c r="P39" s="2464" t="s">
        <v>445</v>
      </c>
      <c r="Q39" s="2463" t="s">
        <v>445</v>
      </c>
      <c r="R39" s="2466" t="s">
        <v>445</v>
      </c>
      <c r="S39" s="44"/>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row>
    <row r="40" spans="1:67" ht="44.25" customHeight="1">
      <c r="A40" s="36"/>
      <c r="B40" s="2454" t="str">
        <f>'Summary-Co'!B41</f>
        <v>Produced Water Tank 2</v>
      </c>
      <c r="C40" s="2455" t="str">
        <f>'Summary-Co'!C41</f>
        <v>PWTK2</v>
      </c>
      <c r="D40" s="2456" t="str">
        <f>'Summary-Co'!D41</f>
        <v>PWTK2</v>
      </c>
      <c r="E40" s="2463" t="s">
        <v>445</v>
      </c>
      <c r="F40" s="2464" t="s">
        <v>445</v>
      </c>
      <c r="G40" s="2463" t="s">
        <v>445</v>
      </c>
      <c r="H40" s="2464" t="s">
        <v>445</v>
      </c>
      <c r="I40" s="1307">
        <f>I39</f>
        <v>2.360259684389519E-3</v>
      </c>
      <c r="J40" s="2462">
        <f>J39</f>
        <v>1.0337937417626092E-2</v>
      </c>
      <c r="K40" s="2463" t="s">
        <v>445</v>
      </c>
      <c r="L40" s="2464" t="s">
        <v>445</v>
      </c>
      <c r="M40" s="2463" t="s">
        <v>445</v>
      </c>
      <c r="N40" s="2464" t="s">
        <v>445</v>
      </c>
      <c r="O40" s="2463" t="s">
        <v>445</v>
      </c>
      <c r="P40" s="2464" t="s">
        <v>445</v>
      </c>
      <c r="Q40" s="2463" t="s">
        <v>445</v>
      </c>
      <c r="R40" s="2466" t="s">
        <v>445</v>
      </c>
      <c r="S40" s="44"/>
    </row>
    <row r="41" spans="1:67" s="53" customFormat="1" ht="44.25" customHeight="1">
      <c r="A41" s="36"/>
      <c r="B41" s="2454" t="str">
        <f>'Summary-Co'!B42</f>
        <v>Produced Water Loading</v>
      </c>
      <c r="C41" s="2455" t="str">
        <f>'Summary-Co'!C42</f>
        <v>PWTL</v>
      </c>
      <c r="D41" s="2456" t="str">
        <f>'Summary-Co'!D42</f>
        <v>PWTL</v>
      </c>
      <c r="E41" s="1307" t="str">
        <f>'Summary-NoCo'!E55</f>
        <v>--</v>
      </c>
      <c r="F41" s="1305" t="str">
        <f>'Summary-NoCo'!F55</f>
        <v>--</v>
      </c>
      <c r="G41" s="1307" t="str">
        <f>'Summary-NoCo'!G55</f>
        <v>--</v>
      </c>
      <c r="H41" s="1305" t="str">
        <f>'Summary-NoCo'!H55</f>
        <v>--</v>
      </c>
      <c r="I41" s="1307">
        <f>'Summary-NoCo'!I55</f>
        <v>0.39339345182963747</v>
      </c>
      <c r="J41" s="1305">
        <f>'Summary-NoCo'!J55</f>
        <v>2.4902276270262185</v>
      </c>
      <c r="K41" s="1307" t="str">
        <f>'Summary-NoCo'!K55</f>
        <v>--</v>
      </c>
      <c r="L41" s="1305" t="str">
        <f>'Summary-NoCo'!L55</f>
        <v>--</v>
      </c>
      <c r="M41" s="1307" t="str">
        <f>'Summary-NoCo'!M55</f>
        <v>--</v>
      </c>
      <c r="N41" s="1305" t="str">
        <f>'Summary-NoCo'!N55</f>
        <v>--</v>
      </c>
      <c r="O41" s="1307" t="str">
        <f>'Summary-NoCo'!O55</f>
        <v>--</v>
      </c>
      <c r="P41" s="1305" t="str">
        <f>'Summary-NoCo'!P55</f>
        <v>--</v>
      </c>
      <c r="Q41" s="1307">
        <f>'Summary-NoCo'!Q55</f>
        <v>1.1042554192857925E-3</v>
      </c>
      <c r="R41" s="2461">
        <f>'Summary-NoCo'!R55</f>
        <v>6.9900689490625953E-3</v>
      </c>
      <c r="S41" s="44"/>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row>
    <row r="42" spans="1:67" s="53" customFormat="1" ht="44.25" customHeight="1">
      <c r="A42" s="36"/>
      <c r="B42" s="2454" t="str">
        <f>'Summary-Co'!B43</f>
        <v>Slop Oil Loading</v>
      </c>
      <c r="C42" s="2455" t="str">
        <f>'Summary-Co'!C43</f>
        <v>OTL</v>
      </c>
      <c r="D42" s="2456" t="str">
        <f>'Summary-Co'!D43</f>
        <v>OTL</v>
      </c>
      <c r="E42" s="1307" t="str">
        <f>'Summary-NoCo'!E56</f>
        <v>--</v>
      </c>
      <c r="F42" s="1305" t="str">
        <f>'Summary-NoCo'!F56</f>
        <v>--</v>
      </c>
      <c r="G42" s="1307" t="str">
        <f>'Summary-NoCo'!G56</f>
        <v>--</v>
      </c>
      <c r="H42" s="1305" t="str">
        <f>'Summary-NoCo'!H56</f>
        <v>--</v>
      </c>
      <c r="I42" s="1307">
        <f>'2-D-Co'!F33</f>
        <v>54.47067380149624</v>
      </c>
      <c r="J42" s="1305">
        <f>'2-D-Co'!G33</f>
        <v>10.321550971628724</v>
      </c>
      <c r="K42" s="1307" t="str">
        <f>'Summary-NoCo'!K56</f>
        <v>--</v>
      </c>
      <c r="L42" s="1305" t="str">
        <f>'Summary-NoCo'!L56</f>
        <v>--</v>
      </c>
      <c r="M42" s="1307" t="str">
        <f>'Summary-NoCo'!M56</f>
        <v>--</v>
      </c>
      <c r="N42" s="1305" t="str">
        <f>'Summary-NoCo'!N56</f>
        <v>--</v>
      </c>
      <c r="O42" s="1307" t="str">
        <f>'Summary-NoCo'!O56</f>
        <v>--</v>
      </c>
      <c r="P42" s="1305" t="str">
        <f>'Summary-NoCo'!P56</f>
        <v>--</v>
      </c>
      <c r="Q42" s="1307">
        <f>'Summary-NoCo'!Q56</f>
        <v>1.9188444012397846E-2</v>
      </c>
      <c r="R42" s="2461">
        <f>'Summary-NoCo'!R56</f>
        <v>3.6359840831410471E-3</v>
      </c>
      <c r="S42" s="44"/>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row>
    <row r="43" spans="1:67" s="53" customFormat="1" ht="44.25" customHeight="1">
      <c r="A43" s="36"/>
      <c r="B43" s="2454" t="str">
        <f>'Summary-Co'!B44</f>
        <v>Amine Unit 1</v>
      </c>
      <c r="C43" s="2455" t="str">
        <f>'Summary-Co'!C44</f>
        <v>AU1</v>
      </c>
      <c r="D43" s="2456" t="str">
        <f>'Summary-Co'!D44</f>
        <v>AU1</v>
      </c>
      <c r="E43" s="2463" t="s">
        <v>445</v>
      </c>
      <c r="F43" s="2464" t="s">
        <v>445</v>
      </c>
      <c r="G43" s="2463" t="s">
        <v>445</v>
      </c>
      <c r="H43" s="2464" t="s">
        <v>445</v>
      </c>
      <c r="I43" s="1307">
        <f>'TO Hrly (TO1-TO3)'!F32</f>
        <v>62.455189452722529</v>
      </c>
      <c r="J43" s="1305">
        <f>'TO Ann (TO1-TO3)'!F32</f>
        <v>273.55372980292469</v>
      </c>
      <c r="K43" s="2463" t="s">
        <v>445</v>
      </c>
      <c r="L43" s="2464" t="s">
        <v>445</v>
      </c>
      <c r="M43" s="2463" t="s">
        <v>445</v>
      </c>
      <c r="N43" s="2464" t="s">
        <v>445</v>
      </c>
      <c r="O43" s="2463" t="s">
        <v>445</v>
      </c>
      <c r="P43" s="2464" t="s">
        <v>445</v>
      </c>
      <c r="Q43" s="2463" t="s">
        <v>445</v>
      </c>
      <c r="R43" s="2465" t="s">
        <v>445</v>
      </c>
      <c r="S43" s="44"/>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row>
    <row r="44" spans="1:67" s="53" customFormat="1" ht="44.25" customHeight="1">
      <c r="A44" s="36"/>
      <c r="B44" s="2454" t="str">
        <f>'Summary-Co'!B45</f>
        <v>Amine Unit 2</v>
      </c>
      <c r="C44" s="2455" t="str">
        <f>'Summary-Co'!C45</f>
        <v>AU2</v>
      </c>
      <c r="D44" s="2456" t="str">
        <f>'Summary-Co'!D45</f>
        <v>AU2</v>
      </c>
      <c r="E44" s="2463" t="s">
        <v>445</v>
      </c>
      <c r="F44" s="2464" t="s">
        <v>445</v>
      </c>
      <c r="G44" s="2463" t="s">
        <v>445</v>
      </c>
      <c r="H44" s="2464" t="s">
        <v>445</v>
      </c>
      <c r="I44" s="1307">
        <f>I43</f>
        <v>62.455189452722529</v>
      </c>
      <c r="J44" s="1305">
        <f>J43</f>
        <v>273.55372980292469</v>
      </c>
      <c r="K44" s="2463" t="s">
        <v>445</v>
      </c>
      <c r="L44" s="2464" t="s">
        <v>445</v>
      </c>
      <c r="M44" s="2463" t="s">
        <v>445</v>
      </c>
      <c r="N44" s="2464" t="s">
        <v>445</v>
      </c>
      <c r="O44" s="2463" t="s">
        <v>445</v>
      </c>
      <c r="P44" s="2464" t="s">
        <v>445</v>
      </c>
      <c r="Q44" s="2463" t="s">
        <v>445</v>
      </c>
      <c r="R44" s="2466" t="s">
        <v>445</v>
      </c>
      <c r="S44" s="44"/>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row>
    <row r="45" spans="1:67" s="53" customFormat="1" ht="44.25" customHeight="1">
      <c r="A45" s="36"/>
      <c r="B45" s="2454" t="str">
        <f>'Summary-Co'!B46</f>
        <v>Amine Unit 3</v>
      </c>
      <c r="C45" s="2455" t="str">
        <f>'Summary-Co'!C46</f>
        <v>AU3</v>
      </c>
      <c r="D45" s="2456" t="str">
        <f>'Summary-Co'!D46</f>
        <v>AU3</v>
      </c>
      <c r="E45" s="2463" t="s">
        <v>445</v>
      </c>
      <c r="F45" s="2464" t="s">
        <v>445</v>
      </c>
      <c r="G45" s="2463" t="s">
        <v>445</v>
      </c>
      <c r="H45" s="2464" t="s">
        <v>445</v>
      </c>
      <c r="I45" s="1307">
        <f>I43</f>
        <v>62.455189452722529</v>
      </c>
      <c r="J45" s="1305">
        <f>J43</f>
        <v>273.55372980292469</v>
      </c>
      <c r="K45" s="2463" t="s">
        <v>445</v>
      </c>
      <c r="L45" s="2464" t="s">
        <v>445</v>
      </c>
      <c r="M45" s="2463" t="s">
        <v>445</v>
      </c>
      <c r="N45" s="2464" t="s">
        <v>445</v>
      </c>
      <c r="O45" s="2463" t="s">
        <v>445</v>
      </c>
      <c r="P45" s="2464" t="s">
        <v>445</v>
      </c>
      <c r="Q45" s="2463" t="s">
        <v>445</v>
      </c>
      <c r="R45" s="2466" t="s">
        <v>445</v>
      </c>
      <c r="S45" s="44"/>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row>
    <row r="46" spans="1:67" s="53" customFormat="1" ht="44.25" customHeight="1">
      <c r="A46" s="36"/>
      <c r="B46" s="2454" t="str">
        <f>'Summary-Co'!B47</f>
        <v>Gunbarrel Tank</v>
      </c>
      <c r="C46" s="2455" t="str">
        <f>'Summary-Co'!C47</f>
        <v>GBS1</v>
      </c>
      <c r="D46" s="2456" t="str">
        <f>'Summary-Co'!D47</f>
        <v>GBS1</v>
      </c>
      <c r="E46" s="2463" t="s">
        <v>445</v>
      </c>
      <c r="F46" s="2464" t="s">
        <v>445</v>
      </c>
      <c r="G46" s="2463" t="s">
        <v>445</v>
      </c>
      <c r="H46" s="2464" t="s">
        <v>445</v>
      </c>
      <c r="I46" s="1307">
        <f>'Tank Summary'!L23</f>
        <v>229.80658100387194</v>
      </c>
      <c r="J46" s="2462">
        <f>'Tank Summary'!M23</f>
        <v>1006.5528247969593</v>
      </c>
      <c r="K46" s="2463" t="s">
        <v>445</v>
      </c>
      <c r="L46" s="2464" t="s">
        <v>445</v>
      </c>
      <c r="M46" s="2463" t="s">
        <v>445</v>
      </c>
      <c r="N46" s="2464" t="s">
        <v>445</v>
      </c>
      <c r="O46" s="2463" t="s">
        <v>445</v>
      </c>
      <c r="P46" s="2464" t="s">
        <v>445</v>
      </c>
      <c r="Q46" s="2463" t="s">
        <v>445</v>
      </c>
      <c r="R46" s="2466" t="s">
        <v>445</v>
      </c>
      <c r="S46" s="44"/>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row>
    <row r="47" spans="1:67" ht="44.25" customHeight="1">
      <c r="A47" s="36"/>
      <c r="B47" s="2454" t="str">
        <f>'Summary-Co'!B48</f>
        <v>Slop Oil Tank</v>
      </c>
      <c r="C47" s="2455" t="str">
        <f>'Summary-Co'!C48</f>
        <v>OTK7</v>
      </c>
      <c r="D47" s="2456" t="str">
        <f>'Summary-Co'!D48</f>
        <v>OTK7</v>
      </c>
      <c r="E47" s="2476" t="s">
        <v>445</v>
      </c>
      <c r="F47" s="2477" t="s">
        <v>445</v>
      </c>
      <c r="G47" s="2476" t="s">
        <v>445</v>
      </c>
      <c r="H47" s="2477" t="s">
        <v>445</v>
      </c>
      <c r="I47" s="2478">
        <f>'Tank Summary'!L24</f>
        <v>23.205544762405538</v>
      </c>
      <c r="J47" s="2479">
        <f>'Tank Summary'!M24</f>
        <v>101.64028605933626</v>
      </c>
      <c r="K47" s="2476" t="s">
        <v>445</v>
      </c>
      <c r="L47" s="2477" t="s">
        <v>445</v>
      </c>
      <c r="M47" s="2476" t="s">
        <v>445</v>
      </c>
      <c r="N47" s="2477" t="s">
        <v>445</v>
      </c>
      <c r="O47" s="2476" t="s">
        <v>445</v>
      </c>
      <c r="P47" s="2477" t="s">
        <v>445</v>
      </c>
      <c r="Q47" s="2476" t="s">
        <v>445</v>
      </c>
      <c r="R47" s="2465" t="s">
        <v>445</v>
      </c>
      <c r="S47" s="44"/>
    </row>
    <row r="48" spans="1:67" s="53" customFormat="1" ht="44.25" customHeight="1">
      <c r="A48" s="36"/>
      <c r="B48" s="2454" t="str">
        <f>'Summary-Co'!B50</f>
        <v>Turbine</v>
      </c>
      <c r="C48" s="2455" t="str">
        <f>'Summary-Co'!C49</f>
        <v>TUR1</v>
      </c>
      <c r="D48" s="2456" t="str">
        <f>'Summary-Co'!D49</f>
        <v>TUR1</v>
      </c>
      <c r="E48" s="2480">
        <v>51.4</v>
      </c>
      <c r="F48" s="2481">
        <f>E48*8760/2000</f>
        <v>225.13200000000001</v>
      </c>
      <c r="G48" s="2482">
        <v>35.1</v>
      </c>
      <c r="H48" s="2481">
        <f>G48*8760/2000</f>
        <v>153.738</v>
      </c>
      <c r="I48" s="2482">
        <v>14.4</v>
      </c>
      <c r="J48" s="2481">
        <f>I48*8760/2000</f>
        <v>63.072000000000003</v>
      </c>
      <c r="K48" s="2483">
        <f>'Cogen-SO2_H2SO4'!F52</f>
        <v>2.1350532104919506</v>
      </c>
      <c r="L48" s="2484">
        <f>K48*8760/2000</f>
        <v>9.3515330619547434</v>
      </c>
      <c r="M48" s="2483">
        <f>'Summary-Co'!O49</f>
        <v>9.1999999999999993</v>
      </c>
      <c r="N48" s="2484">
        <f>'Summary-Co'!N49</f>
        <v>40.295999999999999</v>
      </c>
      <c r="O48" s="2483">
        <f>'Summary-Co'!O49</f>
        <v>9.1999999999999993</v>
      </c>
      <c r="P48" s="2484">
        <f>'Summary-Co'!P49</f>
        <v>40.295999999999999</v>
      </c>
      <c r="Q48" s="2485">
        <f>'COGEN-New'!D23+'COGEN-New'!D24+'COGEN-New'!D25+'COGEN-New'!D26+'COGEN-New'!D27</f>
        <v>1.0060109639999999</v>
      </c>
      <c r="R48" s="2486">
        <f>'COGEN-New'!I23+'COGEN-New'!I24+'COGEN-New'!I25+'COGEN-New'!I26+'COGEN-New'!I27</f>
        <v>4.4063280223199994</v>
      </c>
      <c r="S48" s="44"/>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row>
    <row r="49" spans="1:67" s="53" customFormat="1" ht="44.25" customHeight="1">
      <c r="A49" s="36"/>
      <c r="B49" s="2454" t="str">
        <f>'Summary-Co'!B51</f>
        <v>Turbine</v>
      </c>
      <c r="C49" s="2455" t="str">
        <f>'Summary-Co'!C50</f>
        <v>TUR2</v>
      </c>
      <c r="D49" s="2456" t="str">
        <f>'Summary-Co'!D50</f>
        <v>TUR2</v>
      </c>
      <c r="E49" s="2480">
        <f t="shared" ref="E49:J49" si="1">E48</f>
        <v>51.4</v>
      </c>
      <c r="F49" s="2481">
        <f t="shared" si="1"/>
        <v>225.13200000000001</v>
      </c>
      <c r="G49" s="2482">
        <f t="shared" si="1"/>
        <v>35.1</v>
      </c>
      <c r="H49" s="2481">
        <f t="shared" si="1"/>
        <v>153.738</v>
      </c>
      <c r="I49" s="2482">
        <f t="shared" si="1"/>
        <v>14.4</v>
      </c>
      <c r="J49" s="2481">
        <f t="shared" si="1"/>
        <v>63.072000000000003</v>
      </c>
      <c r="K49" s="2483">
        <f t="shared" ref="K49:R49" si="2">K48</f>
        <v>2.1350532104919506</v>
      </c>
      <c r="L49" s="2484">
        <f t="shared" si="2"/>
        <v>9.3515330619547434</v>
      </c>
      <c r="M49" s="2483">
        <f t="shared" si="2"/>
        <v>9.1999999999999993</v>
      </c>
      <c r="N49" s="2484">
        <f t="shared" si="2"/>
        <v>40.295999999999999</v>
      </c>
      <c r="O49" s="2483">
        <f t="shared" si="2"/>
        <v>9.1999999999999993</v>
      </c>
      <c r="P49" s="2484">
        <f t="shared" si="2"/>
        <v>40.295999999999999</v>
      </c>
      <c r="Q49" s="2485">
        <f t="shared" si="2"/>
        <v>1.0060109639999999</v>
      </c>
      <c r="R49" s="2486">
        <f t="shared" si="2"/>
        <v>4.4063280223199994</v>
      </c>
      <c r="S49" s="44"/>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row>
    <row r="50" spans="1:67" s="53" customFormat="1" ht="44.25" customHeight="1">
      <c r="A50" s="36"/>
      <c r="B50" s="2454" t="str">
        <f>'Summary-Co'!B52</f>
        <v>Turbine</v>
      </c>
      <c r="C50" s="2455" t="str">
        <f>'Summary-Co'!C51</f>
        <v>TUR3</v>
      </c>
      <c r="D50" s="2456" t="str">
        <f>'Summary-Co'!D51</f>
        <v>TUR3</v>
      </c>
      <c r="E50" s="2480">
        <f>E48</f>
        <v>51.4</v>
      </c>
      <c r="F50" s="2481">
        <f>F48</f>
        <v>225.13200000000001</v>
      </c>
      <c r="G50" s="2482">
        <f>G48</f>
        <v>35.1</v>
      </c>
      <c r="H50" s="2481">
        <f>H48</f>
        <v>153.738</v>
      </c>
      <c r="I50" s="2482">
        <f>I48</f>
        <v>14.4</v>
      </c>
      <c r="J50" s="2481">
        <f>J49</f>
        <v>63.072000000000003</v>
      </c>
      <c r="K50" s="2483">
        <f t="shared" ref="K50:R50" si="3">K48</f>
        <v>2.1350532104919506</v>
      </c>
      <c r="L50" s="2484">
        <f t="shared" si="3"/>
        <v>9.3515330619547434</v>
      </c>
      <c r="M50" s="2483">
        <f t="shared" si="3"/>
        <v>9.1999999999999993</v>
      </c>
      <c r="N50" s="2484">
        <f t="shared" si="3"/>
        <v>40.295999999999999</v>
      </c>
      <c r="O50" s="2483">
        <f t="shared" si="3"/>
        <v>9.1999999999999993</v>
      </c>
      <c r="P50" s="2484">
        <f t="shared" si="3"/>
        <v>40.295999999999999</v>
      </c>
      <c r="Q50" s="2485">
        <f t="shared" si="3"/>
        <v>1.0060109639999999</v>
      </c>
      <c r="R50" s="2486">
        <f t="shared" si="3"/>
        <v>4.4063280223199994</v>
      </c>
      <c r="S50" s="44"/>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row>
    <row r="51" spans="1:67" s="53" customFormat="1" ht="44.25" customHeight="1">
      <c r="A51" s="36"/>
      <c r="B51" s="2473" t="str">
        <f>'Summary-Co'!B52</f>
        <v>Turbine</v>
      </c>
      <c r="C51" s="2474" t="str">
        <f>'Summary-Co'!C52</f>
        <v>TUR4</v>
      </c>
      <c r="D51" s="2475" t="str">
        <f>'Summary-Co'!D52</f>
        <v>TUR4</v>
      </c>
      <c r="E51" s="2846">
        <f>E48</f>
        <v>51.4</v>
      </c>
      <c r="F51" s="2847">
        <f>F48</f>
        <v>225.13200000000001</v>
      </c>
      <c r="G51" s="2846">
        <f>G48</f>
        <v>35.1</v>
      </c>
      <c r="H51" s="2847">
        <f>H48</f>
        <v>153.738</v>
      </c>
      <c r="I51" s="2846">
        <f>I48</f>
        <v>14.4</v>
      </c>
      <c r="J51" s="2848">
        <f>J50</f>
        <v>63.072000000000003</v>
      </c>
      <c r="K51" s="2478">
        <f t="shared" ref="K51:R51" si="4">K48</f>
        <v>2.1350532104919506</v>
      </c>
      <c r="L51" s="2872">
        <f t="shared" si="4"/>
        <v>9.3515330619547434</v>
      </c>
      <c r="M51" s="2478">
        <f t="shared" si="4"/>
        <v>9.1999999999999993</v>
      </c>
      <c r="N51" s="2872">
        <f t="shared" si="4"/>
        <v>40.295999999999999</v>
      </c>
      <c r="O51" s="2478">
        <f t="shared" si="4"/>
        <v>9.1999999999999993</v>
      </c>
      <c r="P51" s="2872">
        <f t="shared" si="4"/>
        <v>40.295999999999999</v>
      </c>
      <c r="Q51" s="2846">
        <f t="shared" si="4"/>
        <v>1.0060109639999999</v>
      </c>
      <c r="R51" s="2848">
        <f t="shared" si="4"/>
        <v>4.4063280223199994</v>
      </c>
      <c r="S51" s="44"/>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row>
    <row r="52" spans="1:67" ht="44.25" customHeight="1">
      <c r="A52" s="36"/>
      <c r="B52" s="2470" t="str">
        <f>'Summary-Co'!B53</f>
        <v>Emergency Generator</v>
      </c>
      <c r="C52" s="2640" t="str">
        <f>'Summary-Co'!C53</f>
        <v>GEN1</v>
      </c>
      <c r="D52" s="2641" t="str">
        <f>'Summary-Co'!D53</f>
        <v>GEN1</v>
      </c>
      <c r="E52" s="2463">
        <f>'Summary-Co'!E53</f>
        <v>7.6014109347442673</v>
      </c>
      <c r="F52" s="2464">
        <f>'Summary-Co'!F53</f>
        <v>0.38007054673721336</v>
      </c>
      <c r="G52" s="2463">
        <f>'Summary-Co'!G53</f>
        <v>12.770370370370369</v>
      </c>
      <c r="H52" s="2464">
        <f>'Summary-Co'!H53</f>
        <v>0.63851851851851849</v>
      </c>
      <c r="I52" s="2463">
        <f>'Summary-Co'!I53</f>
        <v>4.887584801621446</v>
      </c>
      <c r="J52" s="2464">
        <f>'Summary-Co'!J53</f>
        <v>0.24437924008107231</v>
      </c>
      <c r="K52" s="2463">
        <f>'Summary-Co'!K53</f>
        <v>5.268486050420168E-2</v>
      </c>
      <c r="L52" s="2464">
        <f>'Summary-Co'!L53</f>
        <v>2.6342430252100841E-3</v>
      </c>
      <c r="M52" s="2463">
        <f>'Summary-Co'!M53</f>
        <v>0.21023717968</v>
      </c>
      <c r="N52" s="2464">
        <f>'Summary-Co'!N53</f>
        <v>1.0511858984E-2</v>
      </c>
      <c r="O52" s="2463">
        <f>'Summary-Co'!O53</f>
        <v>0.21023717968</v>
      </c>
      <c r="P52" s="2464">
        <f>'Summary-Co'!P53</f>
        <v>1.0511858984E-2</v>
      </c>
      <c r="Q52" s="2463">
        <f>'Summary-Co'!Q53</f>
        <v>2.0982598998460671</v>
      </c>
      <c r="R52" s="2466">
        <f>'Summary-Co'!R53</f>
        <v>0.10491299499230333</v>
      </c>
      <c r="S52" s="44"/>
    </row>
    <row r="53" spans="1:67" s="53" customFormat="1" ht="44.25" customHeight="1">
      <c r="A53" s="36"/>
      <c r="B53" s="2473" t="str">
        <f>'Summary-Co'!B55</f>
        <v>Emergency Generator</v>
      </c>
      <c r="C53" s="2474" t="str">
        <f>'Summary-Co'!C54</f>
        <v>GEN2</v>
      </c>
      <c r="D53" s="2475" t="str">
        <f>'Summary-Co'!D54</f>
        <v>GEN2</v>
      </c>
      <c r="E53" s="2476">
        <f>'Summary-Co'!E54</f>
        <v>7.6014109347442673</v>
      </c>
      <c r="F53" s="2477">
        <f>'Summary-Co'!F54</f>
        <v>0.38007054673721336</v>
      </c>
      <c r="G53" s="2476">
        <f>'Summary-Co'!G54</f>
        <v>12.770370370370369</v>
      </c>
      <c r="H53" s="2477">
        <f>'Summary-Co'!H54</f>
        <v>0.63851851851851849</v>
      </c>
      <c r="I53" s="2476">
        <f>'Summary-Co'!I54</f>
        <v>4.887584801621446</v>
      </c>
      <c r="J53" s="2477">
        <f>'Summary-Co'!J54</f>
        <v>0.24437924008107231</v>
      </c>
      <c r="K53" s="2476">
        <f>'Summary-Co'!K54</f>
        <v>5.268486050420168E-2</v>
      </c>
      <c r="L53" s="2477">
        <f>'Summary-Co'!L54</f>
        <v>2.6342430252100841E-3</v>
      </c>
      <c r="M53" s="2476">
        <f>'Summary-Co'!M54</f>
        <v>0.21023717968</v>
      </c>
      <c r="N53" s="2477">
        <f>'Summary-Co'!N54</f>
        <v>1.0511858984E-2</v>
      </c>
      <c r="O53" s="2476">
        <f>'Summary-Co'!O54</f>
        <v>0.21023717968</v>
      </c>
      <c r="P53" s="2477">
        <f>'Summary-Co'!P54</f>
        <v>1.0511858984E-2</v>
      </c>
      <c r="Q53" s="2476">
        <f>'Summary-Co'!Q54</f>
        <v>2.0982598998460671</v>
      </c>
      <c r="R53" s="2465">
        <f>'Summary-Co'!R54</f>
        <v>0.10491299499230333</v>
      </c>
      <c r="S53" s="44"/>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row>
    <row r="54" spans="1:67" s="53" customFormat="1" ht="44.25" customHeight="1">
      <c r="A54" s="36"/>
      <c r="B54" s="2473" t="str">
        <f>'Summary-Co'!B56</f>
        <v>Emergency Generator</v>
      </c>
      <c r="C54" s="2474" t="str">
        <f>'Summary-Co'!C55</f>
        <v>GEN3</v>
      </c>
      <c r="D54" s="2475" t="str">
        <f>'Summary-Co'!D55</f>
        <v>GEN3</v>
      </c>
      <c r="E54" s="2476">
        <f>'Summary-Co'!E55</f>
        <v>7.6014109347442673</v>
      </c>
      <c r="F54" s="2477">
        <f>'Summary-Co'!F55</f>
        <v>0.38007054673721336</v>
      </c>
      <c r="G54" s="2476">
        <f>'Summary-Co'!G55</f>
        <v>12.770370370370369</v>
      </c>
      <c r="H54" s="2477">
        <f>'Summary-Co'!H55</f>
        <v>0.63851851851851849</v>
      </c>
      <c r="I54" s="2476">
        <f>'Summary-Co'!I55</f>
        <v>4.887584801621446</v>
      </c>
      <c r="J54" s="2477">
        <f>'Summary-Co'!J55</f>
        <v>0.24437924008107231</v>
      </c>
      <c r="K54" s="2476">
        <f>'Summary-Co'!K55</f>
        <v>5.268486050420168E-2</v>
      </c>
      <c r="L54" s="2477">
        <f>'Summary-Co'!L55</f>
        <v>2.6342430252100841E-3</v>
      </c>
      <c r="M54" s="2476">
        <f>'Summary-Co'!M55</f>
        <v>0.21023717968</v>
      </c>
      <c r="N54" s="2477">
        <f>'Summary-Co'!N55</f>
        <v>1.0511858984E-2</v>
      </c>
      <c r="O54" s="2476">
        <f>'Summary-Co'!O55</f>
        <v>0.21023717968</v>
      </c>
      <c r="P54" s="2477">
        <f>'Summary-Co'!P55</f>
        <v>1.0511858984E-2</v>
      </c>
      <c r="Q54" s="2476">
        <f>'Summary-Co'!Q55</f>
        <v>2.0982598998460671</v>
      </c>
      <c r="R54" s="2465">
        <f>'Summary-Co'!R55</f>
        <v>0.10491299499230333</v>
      </c>
      <c r="S54" s="44"/>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row>
    <row r="55" spans="1:67" s="53" customFormat="1" ht="44.25" customHeight="1">
      <c r="A55" s="1656"/>
      <c r="B55" s="2473" t="str">
        <f>'Summary-Co'!B57</f>
        <v>Emergency Generator</v>
      </c>
      <c r="C55" s="2474" t="str">
        <f>'Summary-Co'!C56</f>
        <v>GEN4</v>
      </c>
      <c r="D55" s="2475" t="str">
        <f>'Summary-Co'!D56</f>
        <v>GEN4</v>
      </c>
      <c r="E55" s="2476">
        <f>'Summary-Co'!E56</f>
        <v>7.6014109347442673</v>
      </c>
      <c r="F55" s="2477">
        <f>'Summary-Co'!F56</f>
        <v>0.38007054673721336</v>
      </c>
      <c r="G55" s="2476">
        <f>'Summary-Co'!G56</f>
        <v>12.770370370370369</v>
      </c>
      <c r="H55" s="2477">
        <f>'Summary-Co'!H56</f>
        <v>0.63851851851851849</v>
      </c>
      <c r="I55" s="2476">
        <f>'Summary-Co'!I56</f>
        <v>4.887584801621446</v>
      </c>
      <c r="J55" s="2477">
        <f>'Summary-Co'!J56</f>
        <v>0.24437924008107231</v>
      </c>
      <c r="K55" s="2476">
        <f>'Summary-Co'!K56</f>
        <v>5.268486050420168E-2</v>
      </c>
      <c r="L55" s="2477">
        <f>'Summary-Co'!L56</f>
        <v>2.6342430252100841E-3</v>
      </c>
      <c r="M55" s="2476">
        <f>'Summary-Co'!M56</f>
        <v>0.21023717968</v>
      </c>
      <c r="N55" s="2477">
        <f>'Summary-Co'!N56</f>
        <v>1.0511858984E-2</v>
      </c>
      <c r="O55" s="2476">
        <f>'Summary-Co'!O56</f>
        <v>0.21023717968</v>
      </c>
      <c r="P55" s="2477">
        <f>'Summary-Co'!P56</f>
        <v>1.0511858984E-2</v>
      </c>
      <c r="Q55" s="2476">
        <f>'Summary-Co'!Q56</f>
        <v>2.0982598998460671</v>
      </c>
      <c r="R55" s="2465">
        <f>'Summary-Co'!R56</f>
        <v>0.10491299499230333</v>
      </c>
      <c r="S55" s="1655"/>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row>
    <row r="56" spans="1:67" s="53" customFormat="1" ht="44.25" customHeight="1">
      <c r="A56" s="3614"/>
      <c r="B56" s="2473" t="str">
        <f>'Summary-Co'!B57</f>
        <v>Emergency Generator</v>
      </c>
      <c r="C56" s="2474" t="str">
        <f>'Summary-Co'!C57</f>
        <v>GEN5</v>
      </c>
      <c r="D56" s="2475" t="str">
        <f>'Summary-Co'!D57</f>
        <v>GEN5</v>
      </c>
      <c r="E56" s="2476">
        <f>'Summary-Co'!E57</f>
        <v>7.6014109347442673</v>
      </c>
      <c r="F56" s="2477">
        <f>'Summary-Co'!F57</f>
        <v>0.38007054673721336</v>
      </c>
      <c r="G56" s="2476">
        <f>'Summary-Co'!G57</f>
        <v>12.770370370370369</v>
      </c>
      <c r="H56" s="2477">
        <f>'Summary-Co'!H57</f>
        <v>0.63851851851851849</v>
      </c>
      <c r="I56" s="2476">
        <f>'Summary-Co'!I57</f>
        <v>4.887584801621446</v>
      </c>
      <c r="J56" s="2477">
        <f>'Summary-Co'!J57</f>
        <v>0.24437924008107231</v>
      </c>
      <c r="K56" s="2476">
        <f>'Summary-Co'!K57</f>
        <v>5.268486050420168E-2</v>
      </c>
      <c r="L56" s="2477">
        <f>'Summary-Co'!L57</f>
        <v>2.6342430252100841E-3</v>
      </c>
      <c r="M56" s="2476">
        <f>'Summary-Co'!M57</f>
        <v>0.21023717968</v>
      </c>
      <c r="N56" s="2477">
        <f>'Summary-Co'!N57</f>
        <v>1.0511858984E-2</v>
      </c>
      <c r="O56" s="2476">
        <f>'Summary-Co'!O57</f>
        <v>0.21023717968</v>
      </c>
      <c r="P56" s="2477">
        <f>'Summary-Co'!P57</f>
        <v>1.0511858984E-2</v>
      </c>
      <c r="Q56" s="2476">
        <f>'Summary-Co'!Q57</f>
        <v>2.0982598998460671</v>
      </c>
      <c r="R56" s="2465">
        <f>'Summary-Co'!R57</f>
        <v>0.10491299499230333</v>
      </c>
      <c r="S56" s="3615"/>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row>
    <row r="57" spans="1:67" s="53" customFormat="1" ht="44.25" customHeight="1">
      <c r="A57" s="36"/>
      <c r="B57" s="2470" t="str">
        <f>'Summary-Co'!B59</f>
        <v>Emergency Generator</v>
      </c>
      <c r="C57" s="2969" t="str">
        <f>'Summary-Co'!C58</f>
        <v>GEN6</v>
      </c>
      <c r="D57" s="2970" t="str">
        <f>'Summary-Co'!D58</f>
        <v>GEN6</v>
      </c>
      <c r="E57" s="2463">
        <f>'Summary-Co'!E58</f>
        <v>7.6014109347442673</v>
      </c>
      <c r="F57" s="2464">
        <f>'Summary-Co'!F58</f>
        <v>0.38007054673721336</v>
      </c>
      <c r="G57" s="2463">
        <f>'Summary-Co'!G58</f>
        <v>12.770370370370369</v>
      </c>
      <c r="H57" s="2464">
        <f>'Summary-Co'!H58</f>
        <v>0.63851851851851849</v>
      </c>
      <c r="I57" s="2463">
        <f>'Summary-Co'!I58</f>
        <v>4.887584801621446</v>
      </c>
      <c r="J57" s="2464">
        <f>'Summary-Co'!J58</f>
        <v>0.24437924008107231</v>
      </c>
      <c r="K57" s="2463">
        <f>'Summary-Co'!K58</f>
        <v>5.268486050420168E-2</v>
      </c>
      <c r="L57" s="2464">
        <f>'Summary-Co'!L58</f>
        <v>2.6342430252100841E-3</v>
      </c>
      <c r="M57" s="2463">
        <f>'Summary-Co'!M58</f>
        <v>0.21023717968</v>
      </c>
      <c r="N57" s="2464">
        <f>'Summary-Co'!N58</f>
        <v>1.0511858984E-2</v>
      </c>
      <c r="O57" s="2463">
        <f>'Summary-Co'!O58</f>
        <v>0.21023717968</v>
      </c>
      <c r="P57" s="2464">
        <f>'Summary-Co'!P58</f>
        <v>1.0511858984E-2</v>
      </c>
      <c r="Q57" s="2463">
        <f>'Summary-Co'!Q58</f>
        <v>2.0982598998460671</v>
      </c>
      <c r="R57" s="2466">
        <f>'Summary-Co'!R58</f>
        <v>0.10491299499230333</v>
      </c>
      <c r="S57" s="44"/>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row>
    <row r="58" spans="1:67" s="53" customFormat="1" ht="44.25" customHeight="1">
      <c r="A58" s="36"/>
      <c r="B58" s="2473" t="str">
        <f>'Summary-Co'!B60</f>
        <v>Emergency Generator</v>
      </c>
      <c r="C58" s="2474" t="str">
        <f>'Summary-Co'!C59</f>
        <v>GEN7</v>
      </c>
      <c r="D58" s="2475" t="str">
        <f>'Summary-Co'!D59</f>
        <v>GEN7</v>
      </c>
      <c r="E58" s="2476">
        <f>'Summary-Co'!E59</f>
        <v>7.6014109347442673</v>
      </c>
      <c r="F58" s="2477">
        <f>'Summary-Co'!F59</f>
        <v>0.38007054673721336</v>
      </c>
      <c r="G58" s="2476">
        <f>'Summary-Co'!G59</f>
        <v>12.770370370370369</v>
      </c>
      <c r="H58" s="2477">
        <f>'Summary-Co'!H59</f>
        <v>0.63851851851851849</v>
      </c>
      <c r="I58" s="2476">
        <f>'Summary-Co'!I59</f>
        <v>4.887584801621446</v>
      </c>
      <c r="J58" s="2477">
        <f>'Summary-Co'!J59</f>
        <v>0.24437924008107231</v>
      </c>
      <c r="K58" s="2476">
        <f>'Summary-Co'!K59</f>
        <v>5.268486050420168E-2</v>
      </c>
      <c r="L58" s="2477">
        <f>'Summary-Co'!L59</f>
        <v>2.6342430252100841E-3</v>
      </c>
      <c r="M58" s="2476">
        <f>'Summary-Co'!M59</f>
        <v>0.21023717968</v>
      </c>
      <c r="N58" s="2477">
        <f>'Summary-Co'!N59</f>
        <v>1.0511858984E-2</v>
      </c>
      <c r="O58" s="2476">
        <f>'Summary-Co'!O59</f>
        <v>0.21023717968</v>
      </c>
      <c r="P58" s="2477">
        <f>'Summary-Co'!P59</f>
        <v>1.0511858984E-2</v>
      </c>
      <c r="Q58" s="2476">
        <f>'Summary-Co'!Q59</f>
        <v>2.0982598998460671</v>
      </c>
      <c r="R58" s="2465">
        <f>'Summary-Co'!R59</f>
        <v>0.10491299499230333</v>
      </c>
      <c r="S58" s="44"/>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row>
    <row r="59" spans="1:67" s="53" customFormat="1" ht="44.25" customHeight="1" thickBot="1">
      <c r="A59" s="36"/>
      <c r="B59" s="2467" t="str">
        <f>'Summary-Co'!B60</f>
        <v>Emergency Generator</v>
      </c>
      <c r="C59" s="2468" t="str">
        <f>'Summary-Co'!C60</f>
        <v>GEN8</v>
      </c>
      <c r="D59" s="2469" t="str">
        <f>'Summary-Co'!D60</f>
        <v>GEN8</v>
      </c>
      <c r="E59" s="2613">
        <f>'Summary-Co'!E60</f>
        <v>7.6014109347442673</v>
      </c>
      <c r="F59" s="2614">
        <f>'Summary-Co'!F60</f>
        <v>0.38007054673721336</v>
      </c>
      <c r="G59" s="2613">
        <f>'Summary-Co'!G60</f>
        <v>12.770370370370369</v>
      </c>
      <c r="H59" s="2614">
        <f>'Summary-Co'!H60</f>
        <v>0.63851851851851849</v>
      </c>
      <c r="I59" s="2613">
        <f>'Summary-Co'!I60</f>
        <v>4.887584801621446</v>
      </c>
      <c r="J59" s="2614">
        <f>'Summary-Co'!J60</f>
        <v>0.24437924008107231</v>
      </c>
      <c r="K59" s="2613">
        <f>'Summary-Co'!K60</f>
        <v>5.268486050420168E-2</v>
      </c>
      <c r="L59" s="2614">
        <f>'Summary-Co'!L60</f>
        <v>2.6342430252100841E-3</v>
      </c>
      <c r="M59" s="2613">
        <f>'Summary-Co'!M60</f>
        <v>0.21023717968</v>
      </c>
      <c r="N59" s="2614">
        <f>'Summary-Co'!N60</f>
        <v>1.0511858984E-2</v>
      </c>
      <c r="O59" s="2613">
        <f>'Summary-Co'!O60</f>
        <v>0.21023717968</v>
      </c>
      <c r="P59" s="2614">
        <f>'Summary-Co'!P60</f>
        <v>1.0511858984E-2</v>
      </c>
      <c r="Q59" s="2613">
        <f>'Summary-Co'!Q60</f>
        <v>2.0982598998460671</v>
      </c>
      <c r="R59" s="2615">
        <f>'Summary-Co'!R60</f>
        <v>0.10491299499230333</v>
      </c>
      <c r="S59" s="44"/>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row>
    <row r="60" spans="1:67" ht="24" customHeight="1" thickBot="1">
      <c r="A60" s="36"/>
      <c r="B60" s="180"/>
      <c r="C60" s="180"/>
      <c r="D60" s="180"/>
      <c r="E60" s="181"/>
      <c r="F60" s="181"/>
      <c r="G60" s="181"/>
      <c r="H60" s="182"/>
      <c r="I60" s="182"/>
      <c r="J60" s="182"/>
      <c r="K60" s="182"/>
      <c r="L60" s="182"/>
      <c r="M60" s="182"/>
      <c r="N60" s="182"/>
      <c r="O60" s="182"/>
      <c r="P60" s="182"/>
      <c r="Q60" s="182"/>
      <c r="R60" s="182"/>
      <c r="S60" s="44"/>
    </row>
    <row r="61" spans="1:67" s="9" customFormat="1" ht="42" customHeight="1">
      <c r="A61" s="23"/>
      <c r="B61" s="4310" t="s">
        <v>1824</v>
      </c>
      <c r="C61" s="4315"/>
      <c r="D61" s="4316"/>
      <c r="E61" s="4310" t="s">
        <v>21</v>
      </c>
      <c r="F61" s="4316"/>
      <c r="G61" s="4310" t="s">
        <v>0</v>
      </c>
      <c r="H61" s="4311"/>
      <c r="I61" s="4323" t="s">
        <v>283</v>
      </c>
      <c r="J61" s="4324"/>
      <c r="K61" s="4310" t="s">
        <v>1772</v>
      </c>
      <c r="L61" s="4311"/>
      <c r="M61" s="4310" t="s">
        <v>1773</v>
      </c>
      <c r="N61" s="4311"/>
      <c r="O61" s="4325" t="s">
        <v>1773</v>
      </c>
      <c r="P61" s="4316"/>
      <c r="Q61" s="4310" t="s">
        <v>15</v>
      </c>
      <c r="R61" s="4311"/>
      <c r="S61" s="24"/>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row>
    <row r="62" spans="1:67" s="9" customFormat="1" ht="26.25" customHeight="1">
      <c r="A62" s="23"/>
      <c r="B62" s="4317"/>
      <c r="C62" s="4318"/>
      <c r="D62" s="4319"/>
      <c r="E62" s="2490" t="s">
        <v>22</v>
      </c>
      <c r="F62" s="2491" t="s">
        <v>37</v>
      </c>
      <c r="G62" s="2490" t="s">
        <v>22</v>
      </c>
      <c r="H62" s="2492" t="s">
        <v>37</v>
      </c>
      <c r="I62" s="2493" t="s">
        <v>22</v>
      </c>
      <c r="J62" s="2491" t="s">
        <v>37</v>
      </c>
      <c r="K62" s="2490" t="s">
        <v>22</v>
      </c>
      <c r="L62" s="2492" t="s">
        <v>37</v>
      </c>
      <c r="M62" s="2494" t="s">
        <v>22</v>
      </c>
      <c r="N62" s="2495" t="s">
        <v>37</v>
      </c>
      <c r="O62" s="2496" t="s">
        <v>22</v>
      </c>
      <c r="P62" s="2491" t="s">
        <v>37</v>
      </c>
      <c r="Q62" s="2490" t="s">
        <v>22</v>
      </c>
      <c r="R62" s="2492" t="s">
        <v>37</v>
      </c>
      <c r="S62" s="24"/>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row>
    <row r="63" spans="1:67" s="9" customFormat="1" ht="44.25" customHeight="1" thickBot="1">
      <c r="A63" s="23"/>
      <c r="B63" s="4320"/>
      <c r="C63" s="4321"/>
      <c r="D63" s="4322"/>
      <c r="E63" s="3382">
        <f t="shared" ref="E63:R63" si="5">SUM(E12:E59)</f>
        <v>273.00832347795415</v>
      </c>
      <c r="F63" s="3383">
        <f t="shared" si="5"/>
        <v>932.46358205389788</v>
      </c>
      <c r="G63" s="3382">
        <f t="shared" si="5"/>
        <v>246.59036696296286</v>
      </c>
      <c r="H63" s="3383">
        <f t="shared" si="5"/>
        <v>637.70017766814783</v>
      </c>
      <c r="I63" s="3382">
        <f t="shared" si="5"/>
        <v>837.43592824574648</v>
      </c>
      <c r="J63" s="3383">
        <f t="shared" si="5"/>
        <v>3281.1705922172905</v>
      </c>
      <c r="K63" s="3382">
        <f t="shared" si="5"/>
        <v>9.5067211377661263</v>
      </c>
      <c r="L63" s="3383">
        <f t="shared" si="5"/>
        <v>39.814435015550089</v>
      </c>
      <c r="M63" s="3382">
        <f t="shared" si="5"/>
        <v>43.078575886071164</v>
      </c>
      <c r="N63" s="3383">
        <f t="shared" si="5"/>
        <v>178.15703130610319</v>
      </c>
      <c r="O63" s="3382">
        <f t="shared" si="5"/>
        <v>41.025209772444228</v>
      </c>
      <c r="P63" s="3383">
        <f t="shared" si="5"/>
        <v>171.58089529350943</v>
      </c>
      <c r="Q63" s="3382">
        <f t="shared" si="5"/>
        <v>25.587186926362513</v>
      </c>
      <c r="R63" s="2498">
        <f t="shared" si="5"/>
        <v>39.308499836321488</v>
      </c>
      <c r="S63" s="24"/>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row>
    <row r="64" spans="1:67" ht="27.75" customHeight="1" thickBot="1">
      <c r="A64" s="31"/>
      <c r="B64" s="3956"/>
      <c r="C64" s="3956"/>
      <c r="D64" s="3956"/>
      <c r="E64" s="3956"/>
      <c r="F64" s="3956"/>
      <c r="G64" s="3956"/>
      <c r="H64" s="3956"/>
      <c r="I64" s="3956"/>
      <c r="J64" s="3956"/>
      <c r="K64" s="3956"/>
      <c r="L64" s="3956"/>
      <c r="M64" s="3957"/>
      <c r="N64" s="3957"/>
      <c r="O64" s="3956"/>
      <c r="P64" s="3956"/>
      <c r="Q64" s="3956"/>
      <c r="R64" s="3956"/>
      <c r="S64" s="40"/>
    </row>
    <row r="65" spans="2:18">
      <c r="B65" s="6"/>
      <c r="C65" s="6"/>
      <c r="D65" s="6"/>
      <c r="E65" s="6"/>
      <c r="F65" s="6"/>
      <c r="G65" s="6"/>
      <c r="H65" s="6"/>
      <c r="I65" s="6"/>
      <c r="J65" s="6"/>
      <c r="K65" s="6"/>
      <c r="L65" s="6"/>
      <c r="M65" s="5"/>
      <c r="N65" s="5"/>
      <c r="O65" s="5"/>
      <c r="P65" s="5"/>
      <c r="Q65" s="5"/>
      <c r="R65" s="5"/>
    </row>
    <row r="68" spans="2:18">
      <c r="J68" s="8"/>
      <c r="K68" s="8"/>
    </row>
    <row r="71" spans="2:18">
      <c r="M71" s="8"/>
      <c r="O71" s="8"/>
      <c r="R71" s="199"/>
    </row>
    <row r="72" spans="2:18">
      <c r="R72" s="199"/>
    </row>
    <row r="73" spans="2:18">
      <c r="R73" s="199"/>
    </row>
    <row r="74" spans="2:18">
      <c r="J74" s="8"/>
      <c r="R74" s="199"/>
    </row>
    <row r="75" spans="2:18">
      <c r="E75" s="8"/>
      <c r="F75" s="8"/>
      <c r="G75" s="8"/>
      <c r="H75" s="8"/>
      <c r="I75" s="8"/>
      <c r="J75" s="8"/>
      <c r="K75" s="8"/>
      <c r="L75" s="8"/>
      <c r="M75" s="8"/>
      <c r="N75" s="8"/>
      <c r="O75" s="8"/>
      <c r="P75" s="8"/>
      <c r="Q75" s="8"/>
      <c r="R75" s="199"/>
    </row>
    <row r="76" spans="2:18">
      <c r="J76" s="8"/>
      <c r="K76" s="8"/>
      <c r="R76" s="199"/>
    </row>
    <row r="77" spans="2:18">
      <c r="J77" s="8"/>
      <c r="K77" s="8"/>
      <c r="R77" s="8"/>
    </row>
    <row r="78" spans="2:18">
      <c r="J78" s="8"/>
      <c r="K78" s="8"/>
    </row>
    <row r="81" spans="9:18">
      <c r="I81" s="8"/>
      <c r="J81" s="8"/>
      <c r="Q81" s="8"/>
      <c r="R81" s="8"/>
    </row>
  </sheetData>
  <mergeCells count="34">
    <mergeCell ref="C17:C19"/>
    <mergeCell ref="D17:D19"/>
    <mergeCell ref="E20:R20"/>
    <mergeCell ref="E21:R21"/>
    <mergeCell ref="K10:L10"/>
    <mergeCell ref="M10:N10"/>
    <mergeCell ref="E17:R17"/>
    <mergeCell ref="E18:R18"/>
    <mergeCell ref="E19:R19"/>
    <mergeCell ref="B3:R3"/>
    <mergeCell ref="B4:R4"/>
    <mergeCell ref="B5:R5"/>
    <mergeCell ref="A8:S8"/>
    <mergeCell ref="B10:B11"/>
    <mergeCell ref="C10:C11"/>
    <mergeCell ref="D10:D11"/>
    <mergeCell ref="E10:F10"/>
    <mergeCell ref="G10:H10"/>
    <mergeCell ref="I10:J10"/>
    <mergeCell ref="O10:P10"/>
    <mergeCell ref="Q10:R10"/>
    <mergeCell ref="E32:R32"/>
    <mergeCell ref="Q61:R61"/>
    <mergeCell ref="B64:R64"/>
    <mergeCell ref="E34:R34"/>
    <mergeCell ref="E35:R35"/>
    <mergeCell ref="B61:D63"/>
    <mergeCell ref="E61:F61"/>
    <mergeCell ref="G61:H61"/>
    <mergeCell ref="I61:J61"/>
    <mergeCell ref="K61:L61"/>
    <mergeCell ref="M61:N61"/>
    <mergeCell ref="O61:P61"/>
    <mergeCell ref="E33:R33"/>
  </mergeCells>
  <printOptions horizontalCentered="1"/>
  <pageMargins left="0.25" right="0.25" top="0.3" bottom="0.5" header="0.3" footer="0.3"/>
  <pageSetup scale="42" fitToHeight="2" orientation="landscape" r:id="rId1"/>
  <headerFooter alignWithMargins="0">
    <oddFooter>&amp;CCalculations: Page &amp;P</oddFooter>
  </headerFooter>
  <rowBreaks count="2" manualBreakCount="2">
    <brk id="33" max="18" man="1"/>
    <brk id="55"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1"/>
  </sheetPr>
  <dimension ref="A1:Q573"/>
  <sheetViews>
    <sheetView view="pageBreakPreview" topLeftCell="A91" zoomScale="85" zoomScaleNormal="85" zoomScaleSheetLayoutView="85" zoomScalePageLayoutView="70" workbookViewId="0">
      <selection activeCell="E19" sqref="E19:R20"/>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9" width="8.54296875" style="56"/>
    <col min="10" max="10" width="8.54296875" style="56" customWidth="1"/>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1766</v>
      </c>
      <c r="B1" s="3843"/>
      <c r="C1" s="3843"/>
      <c r="D1" s="3843"/>
      <c r="E1" s="3843"/>
      <c r="F1" s="3843"/>
      <c r="G1" s="3843"/>
      <c r="H1" s="3844"/>
      <c r="I1" s="3844"/>
      <c r="J1" s="3844"/>
      <c r="K1" s="3844"/>
      <c r="L1" s="3844"/>
      <c r="M1" s="3844"/>
      <c r="N1" s="55"/>
      <c r="O1" s="55"/>
      <c r="P1" s="55"/>
    </row>
    <row r="2" spans="1:17" ht="17.149999999999999" customHeight="1" thickBot="1">
      <c r="A2" s="3845" t="s">
        <v>1492</v>
      </c>
      <c r="B2" s="3845"/>
      <c r="C2" s="3845"/>
      <c r="D2" s="3845"/>
      <c r="E2" s="3845"/>
      <c r="F2" s="3845"/>
      <c r="G2" s="3845"/>
      <c r="H2" s="3846"/>
      <c r="I2" s="3846"/>
      <c r="J2" s="3846"/>
      <c r="K2" s="3846"/>
      <c r="L2" s="3846"/>
      <c r="M2" s="3846"/>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
        <v>1408</v>
      </c>
      <c r="B7" s="3800" t="s">
        <v>1667</v>
      </c>
      <c r="C7" s="3800" t="s">
        <v>603</v>
      </c>
      <c r="D7" s="3800" t="s">
        <v>133</v>
      </c>
      <c r="E7" s="3800" t="s">
        <v>94</v>
      </c>
      <c r="F7" s="3800" t="s">
        <v>1668</v>
      </c>
      <c r="G7" s="3800" t="s">
        <v>1668</v>
      </c>
      <c r="H7" s="1502" t="s">
        <v>94</v>
      </c>
      <c r="I7" s="567" t="s">
        <v>604</v>
      </c>
      <c r="J7" s="3800">
        <v>31000403</v>
      </c>
      <c r="K7" s="3805" t="s">
        <v>1263</v>
      </c>
      <c r="L7" s="3809" t="s">
        <v>133</v>
      </c>
      <c r="M7" s="3807" t="s">
        <v>133</v>
      </c>
    </row>
    <row r="8" spans="1:17" s="568" customFormat="1" ht="20.25" customHeight="1">
      <c r="A8" s="3799"/>
      <c r="B8" s="3801"/>
      <c r="C8" s="3801"/>
      <c r="D8" s="3801"/>
      <c r="E8" s="3801"/>
      <c r="F8" s="3801"/>
      <c r="G8" s="3801"/>
      <c r="H8" s="569" t="s">
        <v>94</v>
      </c>
      <c r="I8" s="569" t="str">
        <f>A7</f>
        <v>SHTR1</v>
      </c>
      <c r="J8" s="3801"/>
      <c r="K8" s="3806"/>
      <c r="L8" s="3810"/>
      <c r="M8" s="3808"/>
    </row>
    <row r="9" spans="1:17" s="568" customFormat="1" ht="20.25" customHeight="1">
      <c r="A9" s="3798" t="s">
        <v>1409</v>
      </c>
      <c r="B9" s="3800" t="s">
        <v>1667</v>
      </c>
      <c r="C9" s="3800" t="s">
        <v>603</v>
      </c>
      <c r="D9" s="3800" t="s">
        <v>133</v>
      </c>
      <c r="E9" s="3800" t="s">
        <v>94</v>
      </c>
      <c r="F9" s="3800" t="s">
        <v>1668</v>
      </c>
      <c r="G9" s="3800" t="s">
        <v>1668</v>
      </c>
      <c r="H9" s="1502" t="s">
        <v>94</v>
      </c>
      <c r="I9" s="567" t="s">
        <v>604</v>
      </c>
      <c r="J9" s="3800">
        <v>31000403</v>
      </c>
      <c r="K9" s="3805" t="s">
        <v>1263</v>
      </c>
      <c r="L9" s="3809" t="s">
        <v>133</v>
      </c>
      <c r="M9" s="3807" t="s">
        <v>133</v>
      </c>
    </row>
    <row r="10" spans="1:17" s="568" customFormat="1" ht="20.25" customHeight="1">
      <c r="A10" s="3799"/>
      <c r="B10" s="3801"/>
      <c r="C10" s="3801"/>
      <c r="D10" s="3801"/>
      <c r="E10" s="3801"/>
      <c r="F10" s="3801"/>
      <c r="G10" s="3801"/>
      <c r="H10" s="569" t="s">
        <v>94</v>
      </c>
      <c r="I10" s="569" t="str">
        <f>A9</f>
        <v>SHTR2</v>
      </c>
      <c r="J10" s="3801"/>
      <c r="K10" s="3806"/>
      <c r="L10" s="3810"/>
      <c r="M10" s="3808"/>
    </row>
    <row r="11" spans="1:17" s="568" customFormat="1" ht="20.25" customHeight="1">
      <c r="A11" s="3798" t="s">
        <v>1410</v>
      </c>
      <c r="B11" s="3800" t="s">
        <v>1667</v>
      </c>
      <c r="C11" s="3816" t="s">
        <v>603</v>
      </c>
      <c r="D11" s="3800" t="s">
        <v>133</v>
      </c>
      <c r="E11" s="3816" t="s">
        <v>94</v>
      </c>
      <c r="F11" s="3800" t="s">
        <v>1668</v>
      </c>
      <c r="G11" s="3800" t="s">
        <v>1668</v>
      </c>
      <c r="H11" s="1502" t="s">
        <v>94</v>
      </c>
      <c r="I11" s="567" t="s">
        <v>604</v>
      </c>
      <c r="J11" s="3816">
        <v>31000403</v>
      </c>
      <c r="K11" s="3817" t="s">
        <v>1263</v>
      </c>
      <c r="L11" s="3816" t="s">
        <v>133</v>
      </c>
      <c r="M11" s="3828" t="s">
        <v>133</v>
      </c>
    </row>
    <row r="12" spans="1:17" s="568" customFormat="1" ht="20.25" customHeight="1">
      <c r="A12" s="3799"/>
      <c r="B12" s="3801"/>
      <c r="C12" s="3801"/>
      <c r="D12" s="3801"/>
      <c r="E12" s="3801"/>
      <c r="F12" s="3801"/>
      <c r="G12" s="3801"/>
      <c r="H12" s="569" t="s">
        <v>94</v>
      </c>
      <c r="I12" s="569" t="str">
        <f>A11</f>
        <v>SHTR3</v>
      </c>
      <c r="J12" s="3801"/>
      <c r="K12" s="3806"/>
      <c r="L12" s="3801"/>
      <c r="M12" s="3829"/>
    </row>
    <row r="13" spans="1:17" s="568" customFormat="1" ht="20.25" customHeight="1">
      <c r="A13" s="3798" t="s">
        <v>1411</v>
      </c>
      <c r="B13" s="3800" t="s">
        <v>1667</v>
      </c>
      <c r="C13" s="3816" t="s">
        <v>603</v>
      </c>
      <c r="D13" s="3800" t="s">
        <v>133</v>
      </c>
      <c r="E13" s="3816" t="s">
        <v>94</v>
      </c>
      <c r="F13" s="3800" t="s">
        <v>1668</v>
      </c>
      <c r="G13" s="3800" t="s">
        <v>1668</v>
      </c>
      <c r="H13" s="1502" t="s">
        <v>94</v>
      </c>
      <c r="I13" s="567" t="s">
        <v>604</v>
      </c>
      <c r="J13" s="3816">
        <v>31000403</v>
      </c>
      <c r="K13" s="3817" t="s">
        <v>1263</v>
      </c>
      <c r="L13" s="3816" t="s">
        <v>133</v>
      </c>
      <c r="M13" s="3828" t="s">
        <v>133</v>
      </c>
    </row>
    <row r="14" spans="1:17" s="568" customFormat="1" ht="20.25" customHeight="1">
      <c r="A14" s="3799"/>
      <c r="B14" s="3801"/>
      <c r="C14" s="3801"/>
      <c r="D14" s="3801"/>
      <c r="E14" s="3801"/>
      <c r="F14" s="3801"/>
      <c r="G14" s="3801"/>
      <c r="H14" s="569" t="s">
        <v>94</v>
      </c>
      <c r="I14" s="569" t="str">
        <f>A13</f>
        <v>SHTR4</v>
      </c>
      <c r="J14" s="3801"/>
      <c r="K14" s="3806"/>
      <c r="L14" s="3801"/>
      <c r="M14" s="3829"/>
    </row>
    <row r="15" spans="1:17" s="568" customFormat="1" ht="20.25" customHeight="1">
      <c r="A15" s="3798" t="s">
        <v>1412</v>
      </c>
      <c r="B15" s="3800" t="s">
        <v>1667</v>
      </c>
      <c r="C15" s="3816" t="s">
        <v>603</v>
      </c>
      <c r="D15" s="3800" t="s">
        <v>133</v>
      </c>
      <c r="E15" s="3816" t="s">
        <v>94</v>
      </c>
      <c r="F15" s="3800" t="s">
        <v>1668</v>
      </c>
      <c r="G15" s="3800" t="s">
        <v>1668</v>
      </c>
      <c r="H15" s="1502" t="s">
        <v>94</v>
      </c>
      <c r="I15" s="567" t="s">
        <v>604</v>
      </c>
      <c r="J15" s="3816">
        <v>31000403</v>
      </c>
      <c r="K15" s="3817" t="s">
        <v>1263</v>
      </c>
      <c r="L15" s="3816" t="s">
        <v>133</v>
      </c>
      <c r="M15" s="3828" t="s">
        <v>133</v>
      </c>
    </row>
    <row r="16" spans="1:17" s="568" customFormat="1" ht="20.25" customHeight="1">
      <c r="A16" s="3799"/>
      <c r="B16" s="3801"/>
      <c r="C16" s="3801"/>
      <c r="D16" s="3801"/>
      <c r="E16" s="3801"/>
      <c r="F16" s="3801"/>
      <c r="G16" s="3801"/>
      <c r="H16" s="569" t="s">
        <v>94</v>
      </c>
      <c r="I16" s="569" t="str">
        <f>A15</f>
        <v>SHTR5</v>
      </c>
      <c r="J16" s="3801"/>
      <c r="K16" s="3806"/>
      <c r="L16" s="3801"/>
      <c r="M16" s="3829"/>
    </row>
    <row r="17" spans="1:13" s="568" customFormat="1" ht="20.25" customHeight="1">
      <c r="A17" s="3798" t="s">
        <v>1413</v>
      </c>
      <c r="B17" s="3800" t="s">
        <v>1667</v>
      </c>
      <c r="C17" s="3816" t="s">
        <v>603</v>
      </c>
      <c r="D17" s="3800" t="s">
        <v>133</v>
      </c>
      <c r="E17" s="3816" t="s">
        <v>94</v>
      </c>
      <c r="F17" s="3800" t="s">
        <v>1668</v>
      </c>
      <c r="G17" s="3800" t="s">
        <v>1668</v>
      </c>
      <c r="H17" s="1502" t="s">
        <v>94</v>
      </c>
      <c r="I17" s="567" t="s">
        <v>604</v>
      </c>
      <c r="J17" s="3816">
        <v>31000403</v>
      </c>
      <c r="K17" s="3817" t="s">
        <v>1263</v>
      </c>
      <c r="L17" s="3816" t="s">
        <v>133</v>
      </c>
      <c r="M17" s="3828" t="s">
        <v>133</v>
      </c>
    </row>
    <row r="18" spans="1:13" s="568" customFormat="1" ht="20.25" customHeight="1">
      <c r="A18" s="3799"/>
      <c r="B18" s="3801"/>
      <c r="C18" s="3801"/>
      <c r="D18" s="3801"/>
      <c r="E18" s="3801"/>
      <c r="F18" s="3801"/>
      <c r="G18" s="3801"/>
      <c r="H18" s="569" t="s">
        <v>94</v>
      </c>
      <c r="I18" s="569" t="str">
        <f>A17</f>
        <v>SHTR6</v>
      </c>
      <c r="J18" s="3801"/>
      <c r="K18" s="3806"/>
      <c r="L18" s="3801"/>
      <c r="M18" s="3829"/>
    </row>
    <row r="19" spans="1:13" s="568" customFormat="1" ht="20.25" customHeight="1">
      <c r="A19" s="3798" t="s">
        <v>1414</v>
      </c>
      <c r="B19" s="3800" t="s">
        <v>1667</v>
      </c>
      <c r="C19" s="3816" t="s">
        <v>603</v>
      </c>
      <c r="D19" s="3800" t="s">
        <v>133</v>
      </c>
      <c r="E19" s="3816" t="s">
        <v>94</v>
      </c>
      <c r="F19" s="3800" t="s">
        <v>1668</v>
      </c>
      <c r="G19" s="3800" t="s">
        <v>1668</v>
      </c>
      <c r="H19" s="1502" t="s">
        <v>94</v>
      </c>
      <c r="I19" s="567" t="s">
        <v>604</v>
      </c>
      <c r="J19" s="3816">
        <v>31000403</v>
      </c>
      <c r="K19" s="3817" t="s">
        <v>1263</v>
      </c>
      <c r="L19" s="3816" t="s">
        <v>133</v>
      </c>
      <c r="M19" s="3828" t="s">
        <v>133</v>
      </c>
    </row>
    <row r="20" spans="1:13" s="568" customFormat="1" ht="20.25" customHeight="1">
      <c r="A20" s="3799"/>
      <c r="B20" s="3801"/>
      <c r="C20" s="3801"/>
      <c r="D20" s="3801"/>
      <c r="E20" s="3801"/>
      <c r="F20" s="3801"/>
      <c r="G20" s="3801"/>
      <c r="H20" s="569" t="s">
        <v>94</v>
      </c>
      <c r="I20" s="569" t="str">
        <f>A19</f>
        <v>SHTR7</v>
      </c>
      <c r="J20" s="3801"/>
      <c r="K20" s="3806"/>
      <c r="L20" s="3801"/>
      <c r="M20" s="3829"/>
    </row>
    <row r="21" spans="1:13" s="568" customFormat="1" ht="20.25" customHeight="1">
      <c r="A21" s="3798" t="s">
        <v>1415</v>
      </c>
      <c r="B21" s="3800" t="s">
        <v>1667</v>
      </c>
      <c r="C21" s="3816" t="s">
        <v>603</v>
      </c>
      <c r="D21" s="3800" t="s">
        <v>133</v>
      </c>
      <c r="E21" s="3816" t="s">
        <v>94</v>
      </c>
      <c r="F21" s="3800" t="s">
        <v>1668</v>
      </c>
      <c r="G21" s="3800" t="s">
        <v>1668</v>
      </c>
      <c r="H21" s="1502" t="s">
        <v>94</v>
      </c>
      <c r="I21" s="567" t="s">
        <v>604</v>
      </c>
      <c r="J21" s="3816">
        <v>31000403</v>
      </c>
      <c r="K21" s="3817" t="s">
        <v>1263</v>
      </c>
      <c r="L21" s="3816" t="s">
        <v>133</v>
      </c>
      <c r="M21" s="3828" t="s">
        <v>133</v>
      </c>
    </row>
    <row r="22" spans="1:13" s="568" customFormat="1" ht="20.25" customHeight="1">
      <c r="A22" s="3799"/>
      <c r="B22" s="3801"/>
      <c r="C22" s="3801"/>
      <c r="D22" s="3801"/>
      <c r="E22" s="3801"/>
      <c r="F22" s="3801"/>
      <c r="G22" s="3801"/>
      <c r="H22" s="569" t="s">
        <v>94</v>
      </c>
      <c r="I22" s="569" t="str">
        <f>A21</f>
        <v>SHTR8</v>
      </c>
      <c r="J22" s="3801"/>
      <c r="K22" s="3806"/>
      <c r="L22" s="3801"/>
      <c r="M22" s="3829"/>
    </row>
    <row r="23" spans="1:13" s="568" customFormat="1" ht="20.25" customHeight="1">
      <c r="A23" s="3798" t="s">
        <v>1416</v>
      </c>
      <c r="B23" s="3800" t="s">
        <v>1667</v>
      </c>
      <c r="C23" s="3816" t="s">
        <v>603</v>
      </c>
      <c r="D23" s="3800" t="s">
        <v>133</v>
      </c>
      <c r="E23" s="3816" t="s">
        <v>94</v>
      </c>
      <c r="F23" s="3800" t="s">
        <v>1668</v>
      </c>
      <c r="G23" s="3800" t="s">
        <v>1668</v>
      </c>
      <c r="H23" s="1502" t="s">
        <v>94</v>
      </c>
      <c r="I23" s="567" t="s">
        <v>604</v>
      </c>
      <c r="J23" s="3816">
        <v>31000403</v>
      </c>
      <c r="K23" s="3817" t="s">
        <v>1263</v>
      </c>
      <c r="L23" s="3816" t="s">
        <v>133</v>
      </c>
      <c r="M23" s="3828" t="s">
        <v>133</v>
      </c>
    </row>
    <row r="24" spans="1:13" s="568" customFormat="1" ht="20.25" customHeight="1">
      <c r="A24" s="3799"/>
      <c r="B24" s="3801"/>
      <c r="C24" s="3801"/>
      <c r="D24" s="3801"/>
      <c r="E24" s="3801"/>
      <c r="F24" s="3801"/>
      <c r="G24" s="3801"/>
      <c r="H24" s="569" t="s">
        <v>94</v>
      </c>
      <c r="I24" s="569" t="str">
        <f>A23</f>
        <v>SHTR9</v>
      </c>
      <c r="J24" s="3801"/>
      <c r="K24" s="3806"/>
      <c r="L24" s="3801"/>
      <c r="M24" s="3829"/>
    </row>
    <row r="25" spans="1:13" s="568" customFormat="1" ht="20.25" customHeight="1">
      <c r="A25" s="3798" t="s">
        <v>1417</v>
      </c>
      <c r="B25" s="3800" t="s">
        <v>1667</v>
      </c>
      <c r="C25" s="3816" t="s">
        <v>603</v>
      </c>
      <c r="D25" s="3800" t="s">
        <v>133</v>
      </c>
      <c r="E25" s="3816" t="s">
        <v>94</v>
      </c>
      <c r="F25" s="3800" t="s">
        <v>1668</v>
      </c>
      <c r="G25" s="3800" t="s">
        <v>1668</v>
      </c>
      <c r="H25" s="1502" t="s">
        <v>94</v>
      </c>
      <c r="I25" s="567" t="s">
        <v>604</v>
      </c>
      <c r="J25" s="3816">
        <v>31000403</v>
      </c>
      <c r="K25" s="3817" t="s">
        <v>1263</v>
      </c>
      <c r="L25" s="3816" t="s">
        <v>133</v>
      </c>
      <c r="M25" s="3828" t="s">
        <v>133</v>
      </c>
    </row>
    <row r="26" spans="1:13" s="568" customFormat="1" ht="20.25" customHeight="1">
      <c r="A26" s="3799"/>
      <c r="B26" s="3801"/>
      <c r="C26" s="3801"/>
      <c r="D26" s="3801"/>
      <c r="E26" s="3801"/>
      <c r="F26" s="3801"/>
      <c r="G26" s="3801"/>
      <c r="H26" s="569" t="s">
        <v>94</v>
      </c>
      <c r="I26" s="569" t="str">
        <f>A25</f>
        <v>SHTR10</v>
      </c>
      <c r="J26" s="3801"/>
      <c r="K26" s="3806"/>
      <c r="L26" s="3801"/>
      <c r="M26" s="3829"/>
    </row>
    <row r="27" spans="1:13" s="568" customFormat="1" ht="20.25" customHeight="1">
      <c r="A27" s="3798" t="s">
        <v>1418</v>
      </c>
      <c r="B27" s="3800" t="s">
        <v>1667</v>
      </c>
      <c r="C27" s="3816" t="s">
        <v>603</v>
      </c>
      <c r="D27" s="3800" t="s">
        <v>133</v>
      </c>
      <c r="E27" s="3816" t="s">
        <v>94</v>
      </c>
      <c r="F27" s="3800" t="s">
        <v>1668</v>
      </c>
      <c r="G27" s="3800" t="s">
        <v>1668</v>
      </c>
      <c r="H27" s="1502" t="s">
        <v>94</v>
      </c>
      <c r="I27" s="567" t="s">
        <v>604</v>
      </c>
      <c r="J27" s="3816">
        <v>31000403</v>
      </c>
      <c r="K27" s="3817" t="s">
        <v>1263</v>
      </c>
      <c r="L27" s="3816" t="s">
        <v>133</v>
      </c>
      <c r="M27" s="3828" t="s">
        <v>133</v>
      </c>
    </row>
    <row r="28" spans="1:13" s="568" customFormat="1" ht="20.25" customHeight="1">
      <c r="A28" s="3799"/>
      <c r="B28" s="3801"/>
      <c r="C28" s="3801"/>
      <c r="D28" s="3801"/>
      <c r="E28" s="3801"/>
      <c r="F28" s="3801"/>
      <c r="G28" s="3801"/>
      <c r="H28" s="569" t="s">
        <v>94</v>
      </c>
      <c r="I28" s="569" t="str">
        <f>A27</f>
        <v>SHTR11</v>
      </c>
      <c r="J28" s="3801"/>
      <c r="K28" s="3806"/>
      <c r="L28" s="3801"/>
      <c r="M28" s="3829"/>
    </row>
    <row r="29" spans="1:13" s="568" customFormat="1" ht="20.25" customHeight="1">
      <c r="A29" s="3798" t="s">
        <v>1419</v>
      </c>
      <c r="B29" s="3800" t="s">
        <v>1667</v>
      </c>
      <c r="C29" s="3816" t="s">
        <v>603</v>
      </c>
      <c r="D29" s="3800" t="s">
        <v>133</v>
      </c>
      <c r="E29" s="3816" t="s">
        <v>94</v>
      </c>
      <c r="F29" s="3800" t="s">
        <v>1668</v>
      </c>
      <c r="G29" s="3800" t="s">
        <v>1668</v>
      </c>
      <c r="H29" s="1502" t="s">
        <v>94</v>
      </c>
      <c r="I29" s="567" t="s">
        <v>604</v>
      </c>
      <c r="J29" s="3816">
        <v>31000403</v>
      </c>
      <c r="K29" s="3817" t="s">
        <v>1263</v>
      </c>
      <c r="L29" s="3816" t="s">
        <v>133</v>
      </c>
      <c r="M29" s="3828" t="s">
        <v>133</v>
      </c>
    </row>
    <row r="30" spans="1:13" s="568" customFormat="1" ht="20.25" customHeight="1">
      <c r="A30" s="3799"/>
      <c r="B30" s="3801"/>
      <c r="C30" s="3801"/>
      <c r="D30" s="3801"/>
      <c r="E30" s="3801"/>
      <c r="F30" s="3801"/>
      <c r="G30" s="3801"/>
      <c r="H30" s="569" t="s">
        <v>94</v>
      </c>
      <c r="I30" s="569" t="str">
        <f>A29</f>
        <v>SHTR12</v>
      </c>
      <c r="J30" s="3801"/>
      <c r="K30" s="3806"/>
      <c r="L30" s="3801"/>
      <c r="M30" s="3829"/>
    </row>
    <row r="31" spans="1:13" s="568" customFormat="1" ht="20.25" customHeight="1">
      <c r="A31" s="3830" t="s">
        <v>1420</v>
      </c>
      <c r="B31" s="3816" t="s">
        <v>1669</v>
      </c>
      <c r="C31" s="3816" t="s">
        <v>603</v>
      </c>
      <c r="D31" s="3800" t="s">
        <v>133</v>
      </c>
      <c r="E31" s="3816" t="s">
        <v>94</v>
      </c>
      <c r="F31" s="3816" t="s">
        <v>1670</v>
      </c>
      <c r="G31" s="3816" t="s">
        <v>1670</v>
      </c>
      <c r="H31" s="1502" t="s">
        <v>94</v>
      </c>
      <c r="I31" s="567" t="s">
        <v>604</v>
      </c>
      <c r="J31" s="3816">
        <v>31000403</v>
      </c>
      <c r="K31" s="3817" t="s">
        <v>1263</v>
      </c>
      <c r="L31" s="3816" t="s">
        <v>133</v>
      </c>
      <c r="M31" s="3828" t="s">
        <v>133</v>
      </c>
    </row>
    <row r="32" spans="1:13" s="568" customFormat="1" ht="20.25" customHeight="1">
      <c r="A32" s="3831"/>
      <c r="B32" s="3801"/>
      <c r="C32" s="3801"/>
      <c r="D32" s="3801"/>
      <c r="E32" s="3801"/>
      <c r="F32" s="3801"/>
      <c r="G32" s="3801"/>
      <c r="H32" s="569" t="s">
        <v>94</v>
      </c>
      <c r="I32" s="569" t="str">
        <f>A31</f>
        <v>CHTR1</v>
      </c>
      <c r="J32" s="3801"/>
      <c r="K32" s="3806"/>
      <c r="L32" s="3801"/>
      <c r="M32" s="3829"/>
    </row>
    <row r="33" spans="1:13" s="568" customFormat="1" ht="20.25" customHeight="1">
      <c r="A33" s="3830" t="s">
        <v>1421</v>
      </c>
      <c r="B33" s="3816" t="s">
        <v>1669</v>
      </c>
      <c r="C33" s="3816" t="s">
        <v>603</v>
      </c>
      <c r="D33" s="3800" t="s">
        <v>133</v>
      </c>
      <c r="E33" s="3816" t="s">
        <v>94</v>
      </c>
      <c r="F33" s="3816" t="s">
        <v>1670</v>
      </c>
      <c r="G33" s="3816" t="s">
        <v>1670</v>
      </c>
      <c r="H33" s="1502" t="s">
        <v>94</v>
      </c>
      <c r="I33" s="567" t="s">
        <v>604</v>
      </c>
      <c r="J33" s="3816">
        <v>31000403</v>
      </c>
      <c r="K33" s="3817" t="s">
        <v>1263</v>
      </c>
      <c r="L33" s="3816" t="s">
        <v>133</v>
      </c>
      <c r="M33" s="3828" t="s">
        <v>133</v>
      </c>
    </row>
    <row r="34" spans="1:13" s="568" customFormat="1" ht="20.25" customHeight="1">
      <c r="A34" s="3831"/>
      <c r="B34" s="3801"/>
      <c r="C34" s="3801"/>
      <c r="D34" s="3801"/>
      <c r="E34" s="3801"/>
      <c r="F34" s="3801"/>
      <c r="G34" s="3801"/>
      <c r="H34" s="569" t="s">
        <v>94</v>
      </c>
      <c r="I34" s="569" t="str">
        <f>A33</f>
        <v>CHTR2</v>
      </c>
      <c r="J34" s="3801"/>
      <c r="K34" s="3806"/>
      <c r="L34" s="3801"/>
      <c r="M34" s="3829"/>
    </row>
    <row r="35" spans="1:13" s="568" customFormat="1" ht="20.25" customHeight="1">
      <c r="A35" s="3830" t="s">
        <v>1422</v>
      </c>
      <c r="B35" s="3816" t="s">
        <v>1669</v>
      </c>
      <c r="C35" s="3816" t="s">
        <v>603</v>
      </c>
      <c r="D35" s="3800" t="s">
        <v>133</v>
      </c>
      <c r="E35" s="3816" t="s">
        <v>94</v>
      </c>
      <c r="F35" s="3816" t="s">
        <v>1670</v>
      </c>
      <c r="G35" s="3816" t="s">
        <v>1670</v>
      </c>
      <c r="H35" s="1502" t="s">
        <v>94</v>
      </c>
      <c r="I35" s="567" t="s">
        <v>604</v>
      </c>
      <c r="J35" s="3816">
        <v>31000403</v>
      </c>
      <c r="K35" s="3817" t="s">
        <v>1263</v>
      </c>
      <c r="L35" s="3816" t="s">
        <v>133</v>
      </c>
      <c r="M35" s="3828" t="s">
        <v>133</v>
      </c>
    </row>
    <row r="36" spans="1:13" s="568" customFormat="1" ht="20.25" customHeight="1">
      <c r="A36" s="3831"/>
      <c r="B36" s="3801"/>
      <c r="C36" s="3801"/>
      <c r="D36" s="3801"/>
      <c r="E36" s="3801"/>
      <c r="F36" s="3801"/>
      <c r="G36" s="3801"/>
      <c r="H36" s="569" t="s">
        <v>94</v>
      </c>
      <c r="I36" s="569" t="str">
        <f>A35</f>
        <v>CHTR3</v>
      </c>
      <c r="J36" s="3801"/>
      <c r="K36" s="3806"/>
      <c r="L36" s="3801"/>
      <c r="M36" s="3829"/>
    </row>
    <row r="37" spans="1:13" s="568" customFormat="1" ht="20.25" customHeight="1">
      <c r="A37" s="3798" t="s">
        <v>1423</v>
      </c>
      <c r="B37" s="3800" t="s">
        <v>1909</v>
      </c>
      <c r="C37" s="3800" t="s">
        <v>603</v>
      </c>
      <c r="D37" s="3800" t="s">
        <v>133</v>
      </c>
      <c r="E37" s="3800" t="s">
        <v>94</v>
      </c>
      <c r="F37" s="3800" t="s">
        <v>1671</v>
      </c>
      <c r="G37" s="3800" t="s">
        <v>1671</v>
      </c>
      <c r="H37" s="1502" t="s">
        <v>94</v>
      </c>
      <c r="I37" s="567" t="s">
        <v>604</v>
      </c>
      <c r="J37" s="3800">
        <v>31000405</v>
      </c>
      <c r="K37" s="3805" t="s">
        <v>1263</v>
      </c>
      <c r="L37" s="3809" t="s">
        <v>133</v>
      </c>
      <c r="M37" s="3807" t="s">
        <v>133</v>
      </c>
    </row>
    <row r="38" spans="1:13" s="568" customFormat="1" ht="20.25" customHeight="1">
      <c r="A38" s="3799"/>
      <c r="B38" s="3804"/>
      <c r="C38" s="3801"/>
      <c r="D38" s="3801"/>
      <c r="E38" s="3801"/>
      <c r="F38" s="3801"/>
      <c r="G38" s="3801"/>
      <c r="H38" s="569" t="s">
        <v>94</v>
      </c>
      <c r="I38" s="569" t="str">
        <f>A37</f>
        <v>RHTR1</v>
      </c>
      <c r="J38" s="3801"/>
      <c r="K38" s="3806"/>
      <c r="L38" s="3810"/>
      <c r="M38" s="3808"/>
    </row>
    <row r="39" spans="1:13" s="568" customFormat="1" ht="20.25" customHeight="1">
      <c r="A39" s="3798" t="s">
        <v>1424</v>
      </c>
      <c r="B39" s="3800" t="s">
        <v>1910</v>
      </c>
      <c r="C39" s="3800" t="s">
        <v>603</v>
      </c>
      <c r="D39" s="3800" t="s">
        <v>133</v>
      </c>
      <c r="E39" s="3800" t="s">
        <v>94</v>
      </c>
      <c r="F39" s="3800" t="s">
        <v>1671</v>
      </c>
      <c r="G39" s="3800" t="s">
        <v>1671</v>
      </c>
      <c r="H39" s="1502" t="s">
        <v>94</v>
      </c>
      <c r="I39" s="567" t="s">
        <v>604</v>
      </c>
      <c r="J39" s="3800">
        <v>31000405</v>
      </c>
      <c r="K39" s="3805" t="s">
        <v>1263</v>
      </c>
      <c r="L39" s="3809" t="s">
        <v>133</v>
      </c>
      <c r="M39" s="3807" t="s">
        <v>133</v>
      </c>
    </row>
    <row r="40" spans="1:13" s="568" customFormat="1" ht="20.25" customHeight="1">
      <c r="A40" s="3799"/>
      <c r="B40" s="3804"/>
      <c r="C40" s="3801"/>
      <c r="D40" s="3801"/>
      <c r="E40" s="3801"/>
      <c r="F40" s="3801"/>
      <c r="G40" s="3801"/>
      <c r="H40" s="569" t="s">
        <v>94</v>
      </c>
      <c r="I40" s="569" t="str">
        <f>A39</f>
        <v>RHTR2</v>
      </c>
      <c r="J40" s="3801"/>
      <c r="K40" s="3806"/>
      <c r="L40" s="3810"/>
      <c r="M40" s="3808"/>
    </row>
    <row r="41" spans="1:13" s="568" customFormat="1" ht="20.25" customHeight="1">
      <c r="A41" s="3798" t="s">
        <v>1425</v>
      </c>
      <c r="B41" s="3800" t="s">
        <v>1910</v>
      </c>
      <c r="C41" s="3800" t="s">
        <v>603</v>
      </c>
      <c r="D41" s="3800" t="s">
        <v>133</v>
      </c>
      <c r="E41" s="3800" t="s">
        <v>94</v>
      </c>
      <c r="F41" s="3800" t="s">
        <v>1671</v>
      </c>
      <c r="G41" s="3800" t="s">
        <v>1671</v>
      </c>
      <c r="H41" s="1502" t="s">
        <v>94</v>
      </c>
      <c r="I41" s="567" t="s">
        <v>604</v>
      </c>
      <c r="J41" s="3800">
        <v>31000405</v>
      </c>
      <c r="K41" s="3805" t="s">
        <v>1263</v>
      </c>
      <c r="L41" s="3809" t="s">
        <v>133</v>
      </c>
      <c r="M41" s="3807" t="s">
        <v>133</v>
      </c>
    </row>
    <row r="42" spans="1:13" s="568" customFormat="1" ht="20.25" customHeight="1">
      <c r="A42" s="3799"/>
      <c r="B42" s="3804"/>
      <c r="C42" s="3801"/>
      <c r="D42" s="3801"/>
      <c r="E42" s="3801"/>
      <c r="F42" s="3801"/>
      <c r="G42" s="3801"/>
      <c r="H42" s="569" t="s">
        <v>94</v>
      </c>
      <c r="I42" s="569" t="str">
        <f>A41</f>
        <v>RHTR3</v>
      </c>
      <c r="J42" s="3801"/>
      <c r="K42" s="3806"/>
      <c r="L42" s="3810"/>
      <c r="M42" s="3808"/>
    </row>
    <row r="43" spans="1:13" s="568" customFormat="1" ht="20.25" customHeight="1">
      <c r="A43" s="3798" t="s">
        <v>1426</v>
      </c>
      <c r="B43" s="3800" t="s">
        <v>1817</v>
      </c>
      <c r="C43" s="3800" t="s">
        <v>633</v>
      </c>
      <c r="D43" s="3800" t="s">
        <v>133</v>
      </c>
      <c r="E43" s="3800" t="s">
        <v>94</v>
      </c>
      <c r="F43" s="3800" t="s">
        <v>606</v>
      </c>
      <c r="G43" s="3800" t="s">
        <v>606</v>
      </c>
      <c r="H43" s="1502" t="s">
        <v>94</v>
      </c>
      <c r="I43" s="567" t="s">
        <v>604</v>
      </c>
      <c r="J43" s="3811">
        <v>31000160</v>
      </c>
      <c r="K43" s="3805" t="s">
        <v>1263</v>
      </c>
      <c r="L43" s="3809" t="s">
        <v>133</v>
      </c>
      <c r="M43" s="3807" t="s">
        <v>133</v>
      </c>
    </row>
    <row r="44" spans="1:13" s="568" customFormat="1" ht="20.25" customHeight="1">
      <c r="A44" s="3799"/>
      <c r="B44" s="3804"/>
      <c r="C44" s="3801"/>
      <c r="D44" s="3801"/>
      <c r="E44" s="3801"/>
      <c r="F44" s="3804"/>
      <c r="G44" s="3804"/>
      <c r="H44" s="569" t="s">
        <v>94</v>
      </c>
      <c r="I44" s="569" t="str">
        <f>A43</f>
        <v>FL1</v>
      </c>
      <c r="J44" s="3812"/>
      <c r="K44" s="3806"/>
      <c r="L44" s="3810"/>
      <c r="M44" s="3808"/>
    </row>
    <row r="45" spans="1:13" s="568" customFormat="1" ht="20.25" customHeight="1">
      <c r="A45" s="3798" t="s">
        <v>1427</v>
      </c>
      <c r="B45" s="3800" t="s">
        <v>1818</v>
      </c>
      <c r="C45" s="3800" t="s">
        <v>633</v>
      </c>
      <c r="D45" s="3800" t="s">
        <v>133</v>
      </c>
      <c r="E45" s="3800" t="s">
        <v>94</v>
      </c>
      <c r="F45" s="3800" t="s">
        <v>606</v>
      </c>
      <c r="G45" s="3800" t="s">
        <v>606</v>
      </c>
      <c r="H45" s="1502" t="s">
        <v>94</v>
      </c>
      <c r="I45" s="567" t="s">
        <v>604</v>
      </c>
      <c r="J45" s="3811">
        <v>31000160</v>
      </c>
      <c r="K45" s="3805" t="s">
        <v>1263</v>
      </c>
      <c r="L45" s="3809" t="s">
        <v>133</v>
      </c>
      <c r="M45" s="3807" t="s">
        <v>133</v>
      </c>
    </row>
    <row r="46" spans="1:13" s="568" customFormat="1" ht="20.25" customHeight="1">
      <c r="A46" s="3799"/>
      <c r="B46" s="3804"/>
      <c r="C46" s="3801"/>
      <c r="D46" s="3801"/>
      <c r="E46" s="3801"/>
      <c r="F46" s="3804"/>
      <c r="G46" s="3804"/>
      <c r="H46" s="569" t="s">
        <v>94</v>
      </c>
      <c r="I46" s="569" t="str">
        <f>A45</f>
        <v>FL2</v>
      </c>
      <c r="J46" s="3812"/>
      <c r="K46" s="3806"/>
      <c r="L46" s="3810"/>
      <c r="M46" s="3808"/>
    </row>
    <row r="47" spans="1:13" s="568" customFormat="1" ht="20.25" customHeight="1">
      <c r="A47" s="3798" t="s">
        <v>1428</v>
      </c>
      <c r="B47" s="3824" t="s">
        <v>1819</v>
      </c>
      <c r="C47" s="3800" t="s">
        <v>633</v>
      </c>
      <c r="D47" s="3800" t="s">
        <v>133</v>
      </c>
      <c r="E47" s="3800" t="s">
        <v>94</v>
      </c>
      <c r="F47" s="3800" t="s">
        <v>606</v>
      </c>
      <c r="G47" s="3800" t="s">
        <v>606</v>
      </c>
      <c r="H47" s="1502" t="s">
        <v>94</v>
      </c>
      <c r="I47" s="567" t="s">
        <v>604</v>
      </c>
      <c r="J47" s="3811">
        <v>31000160</v>
      </c>
      <c r="K47" s="3805" t="s">
        <v>1263</v>
      </c>
      <c r="L47" s="3809" t="s">
        <v>133</v>
      </c>
      <c r="M47" s="3807" t="s">
        <v>133</v>
      </c>
    </row>
    <row r="48" spans="1:13" s="568" customFormat="1" ht="20.25" customHeight="1">
      <c r="A48" s="3799"/>
      <c r="B48" s="3825"/>
      <c r="C48" s="3801"/>
      <c r="D48" s="3801"/>
      <c r="E48" s="3801"/>
      <c r="F48" s="3804"/>
      <c r="G48" s="3804"/>
      <c r="H48" s="569" t="s">
        <v>94</v>
      </c>
      <c r="I48" s="569" t="str">
        <f>A47</f>
        <v>FL3</v>
      </c>
      <c r="J48" s="3812"/>
      <c r="K48" s="3806"/>
      <c r="L48" s="3810"/>
      <c r="M48" s="3808"/>
    </row>
    <row r="49" spans="1:13" s="568" customFormat="1" ht="20.25" customHeight="1">
      <c r="A49" s="3826" t="s">
        <v>1828</v>
      </c>
      <c r="B49" s="3800" t="s">
        <v>1815</v>
      </c>
      <c r="C49" s="3800" t="s">
        <v>633</v>
      </c>
      <c r="D49" s="3800" t="s">
        <v>133</v>
      </c>
      <c r="E49" s="3800" t="s">
        <v>94</v>
      </c>
      <c r="F49" s="3800" t="s">
        <v>2043</v>
      </c>
      <c r="G49" s="3800" t="str">
        <f>F49</f>
        <v>1.2 MMscfd</v>
      </c>
      <c r="H49" s="2581" t="s">
        <v>94</v>
      </c>
      <c r="I49" s="567" t="s">
        <v>1520</v>
      </c>
      <c r="J49" s="3811">
        <v>31000160</v>
      </c>
      <c r="K49" s="3805" t="s">
        <v>1263</v>
      </c>
      <c r="L49" s="3809" t="s">
        <v>133</v>
      </c>
      <c r="M49" s="3807" t="s">
        <v>133</v>
      </c>
    </row>
    <row r="50" spans="1:13" s="568" customFormat="1" ht="31.5" customHeight="1">
      <c r="A50" s="3827"/>
      <c r="B50" s="3804"/>
      <c r="C50" s="3801"/>
      <c r="D50" s="3801"/>
      <c r="E50" s="3801"/>
      <c r="F50" s="3804"/>
      <c r="G50" s="3804"/>
      <c r="H50" s="569" t="s">
        <v>94</v>
      </c>
      <c r="I50" s="5358" t="str">
        <f>A49</f>
        <v>FL1-FL3OVHD-SSM</v>
      </c>
      <c r="J50" s="3812"/>
      <c r="K50" s="3806"/>
      <c r="L50" s="3810"/>
      <c r="M50" s="3808"/>
    </row>
    <row r="51" spans="1:13" s="568" customFormat="1" ht="20.25" customHeight="1">
      <c r="A51" s="3826" t="s">
        <v>1816</v>
      </c>
      <c r="B51" s="3800" t="s">
        <v>1827</v>
      </c>
      <c r="C51" s="3800" t="s">
        <v>633</v>
      </c>
      <c r="D51" s="3800" t="s">
        <v>133</v>
      </c>
      <c r="E51" s="3800" t="s">
        <v>94</v>
      </c>
      <c r="F51" s="3800" t="s">
        <v>2044</v>
      </c>
      <c r="G51" s="3800" t="str">
        <f>F51</f>
        <v>0.375 MMscfd</v>
      </c>
      <c r="H51" s="2581" t="s">
        <v>94</v>
      </c>
      <c r="I51" s="567" t="s">
        <v>1520</v>
      </c>
      <c r="J51" s="3811">
        <v>31000160</v>
      </c>
      <c r="K51" s="3805" t="s">
        <v>1263</v>
      </c>
      <c r="L51" s="3809" t="s">
        <v>133</v>
      </c>
      <c r="M51" s="3807" t="s">
        <v>133</v>
      </c>
    </row>
    <row r="52" spans="1:13" s="568" customFormat="1" ht="31" customHeight="1">
      <c r="A52" s="3827"/>
      <c r="B52" s="3804"/>
      <c r="C52" s="3801"/>
      <c r="D52" s="3801"/>
      <c r="E52" s="3801"/>
      <c r="F52" s="3804"/>
      <c r="G52" s="3804"/>
      <c r="H52" s="569" t="s">
        <v>94</v>
      </c>
      <c r="I52" s="5358" t="str">
        <f>A51</f>
        <v>FL1-FL3CRYO-SSM</v>
      </c>
      <c r="J52" s="3812"/>
      <c r="K52" s="3806"/>
      <c r="L52" s="3810"/>
      <c r="M52" s="3808"/>
    </row>
    <row r="53" spans="1:13" s="568" customFormat="1" ht="20.25" customHeight="1">
      <c r="A53" s="3798" t="s">
        <v>1429</v>
      </c>
      <c r="B53" s="3800" t="s">
        <v>2024</v>
      </c>
      <c r="C53" s="3800" t="s">
        <v>609</v>
      </c>
      <c r="D53" s="3800" t="s">
        <v>133</v>
      </c>
      <c r="E53" s="3800" t="s">
        <v>94</v>
      </c>
      <c r="F53" s="3800" t="s">
        <v>610</v>
      </c>
      <c r="G53" s="3800" t="s">
        <v>610</v>
      </c>
      <c r="H53" s="1502" t="s">
        <v>94</v>
      </c>
      <c r="I53" s="567" t="s">
        <v>604</v>
      </c>
      <c r="J53" s="3800">
        <v>40400331</v>
      </c>
      <c r="K53" s="3805" t="s">
        <v>1263</v>
      </c>
      <c r="L53" s="3809" t="s">
        <v>133</v>
      </c>
      <c r="M53" s="3807" t="s">
        <v>133</v>
      </c>
    </row>
    <row r="54" spans="1:13" s="568" customFormat="1" ht="20.25" customHeight="1">
      <c r="A54" s="3799"/>
      <c r="B54" s="3804"/>
      <c r="C54" s="3801"/>
      <c r="D54" s="3801"/>
      <c r="E54" s="3801"/>
      <c r="F54" s="3801"/>
      <c r="G54" s="3801"/>
      <c r="H54" s="569" t="s">
        <v>94</v>
      </c>
      <c r="I54" s="569" t="str">
        <f>A53</f>
        <v>IFR1</v>
      </c>
      <c r="J54" s="3804"/>
      <c r="K54" s="3806"/>
      <c r="L54" s="3810"/>
      <c r="M54" s="3808"/>
    </row>
    <row r="55" spans="1:13" s="568" customFormat="1" ht="20.25" customHeight="1">
      <c r="A55" s="3798" t="s">
        <v>1430</v>
      </c>
      <c r="B55" s="3800" t="s">
        <v>2025</v>
      </c>
      <c r="C55" s="3800" t="s">
        <v>609</v>
      </c>
      <c r="D55" s="3800" t="s">
        <v>133</v>
      </c>
      <c r="E55" s="3800" t="s">
        <v>94</v>
      </c>
      <c r="F55" s="3800" t="s">
        <v>610</v>
      </c>
      <c r="G55" s="3800" t="s">
        <v>610</v>
      </c>
      <c r="H55" s="1502" t="s">
        <v>94</v>
      </c>
      <c r="I55" s="567" t="s">
        <v>604</v>
      </c>
      <c r="J55" s="3800">
        <v>40400331</v>
      </c>
      <c r="K55" s="3805" t="s">
        <v>1263</v>
      </c>
      <c r="L55" s="3809" t="s">
        <v>133</v>
      </c>
      <c r="M55" s="3807" t="s">
        <v>133</v>
      </c>
    </row>
    <row r="56" spans="1:13" s="568" customFormat="1" ht="20.25" customHeight="1">
      <c r="A56" s="3799"/>
      <c r="B56" s="3804"/>
      <c r="C56" s="3801"/>
      <c r="D56" s="3801"/>
      <c r="E56" s="3801"/>
      <c r="F56" s="3801"/>
      <c r="G56" s="3801"/>
      <c r="H56" s="569" t="s">
        <v>94</v>
      </c>
      <c r="I56" s="569" t="str">
        <f>A55</f>
        <v>IFR2</v>
      </c>
      <c r="J56" s="3804"/>
      <c r="K56" s="3806"/>
      <c r="L56" s="3810"/>
      <c r="M56" s="3808"/>
    </row>
    <row r="57" spans="1:13" s="568" customFormat="1" ht="20.25" customHeight="1">
      <c r="A57" s="3798" t="s">
        <v>1431</v>
      </c>
      <c r="B57" s="3800" t="s">
        <v>2026</v>
      </c>
      <c r="C57" s="3800" t="s">
        <v>609</v>
      </c>
      <c r="D57" s="3800" t="s">
        <v>133</v>
      </c>
      <c r="E57" s="3800" t="s">
        <v>94</v>
      </c>
      <c r="F57" s="3800" t="s">
        <v>610</v>
      </c>
      <c r="G57" s="3800" t="s">
        <v>610</v>
      </c>
      <c r="H57" s="1502" t="s">
        <v>94</v>
      </c>
      <c r="I57" s="567" t="s">
        <v>604</v>
      </c>
      <c r="J57" s="3800">
        <v>40400331</v>
      </c>
      <c r="K57" s="3805" t="s">
        <v>1263</v>
      </c>
      <c r="L57" s="3809" t="s">
        <v>133</v>
      </c>
      <c r="M57" s="3807" t="s">
        <v>133</v>
      </c>
    </row>
    <row r="58" spans="1:13" s="568" customFormat="1" ht="20.25" customHeight="1">
      <c r="A58" s="3799"/>
      <c r="B58" s="3804"/>
      <c r="C58" s="3801"/>
      <c r="D58" s="3801"/>
      <c r="E58" s="3801"/>
      <c r="F58" s="3801"/>
      <c r="G58" s="3801"/>
      <c r="H58" s="569" t="s">
        <v>94</v>
      </c>
      <c r="I58" s="569" t="str">
        <f>A57</f>
        <v>IFR3</v>
      </c>
      <c r="J58" s="3804"/>
      <c r="K58" s="3806"/>
      <c r="L58" s="3810"/>
      <c r="M58" s="3808"/>
    </row>
    <row r="59" spans="1:13" s="568" customFormat="1" ht="20.25" customHeight="1">
      <c r="A59" s="3798" t="s">
        <v>1432</v>
      </c>
      <c r="B59" s="3800" t="s">
        <v>2027</v>
      </c>
      <c r="C59" s="3800" t="s">
        <v>609</v>
      </c>
      <c r="D59" s="3800" t="s">
        <v>133</v>
      </c>
      <c r="E59" s="3800" t="s">
        <v>94</v>
      </c>
      <c r="F59" s="3800" t="s">
        <v>610</v>
      </c>
      <c r="G59" s="3800" t="s">
        <v>610</v>
      </c>
      <c r="H59" s="1502" t="s">
        <v>94</v>
      </c>
      <c r="I59" s="567" t="s">
        <v>604</v>
      </c>
      <c r="J59" s="3800">
        <v>40400331</v>
      </c>
      <c r="K59" s="3805" t="s">
        <v>1263</v>
      </c>
      <c r="L59" s="3809" t="s">
        <v>133</v>
      </c>
      <c r="M59" s="3807" t="s">
        <v>133</v>
      </c>
    </row>
    <row r="60" spans="1:13" s="568" customFormat="1" ht="20.25" customHeight="1">
      <c r="A60" s="3799"/>
      <c r="B60" s="3804"/>
      <c r="C60" s="3801"/>
      <c r="D60" s="3801"/>
      <c r="E60" s="3801"/>
      <c r="F60" s="3801"/>
      <c r="G60" s="3801"/>
      <c r="H60" s="569" t="s">
        <v>94</v>
      </c>
      <c r="I60" s="569" t="str">
        <f>A59</f>
        <v>IFR4</v>
      </c>
      <c r="J60" s="3804"/>
      <c r="K60" s="3806"/>
      <c r="L60" s="3810"/>
      <c r="M60" s="3808"/>
    </row>
    <row r="61" spans="1:13" s="568" customFormat="1" ht="20.25" customHeight="1">
      <c r="A61" s="3822" t="s">
        <v>1434</v>
      </c>
      <c r="B61" s="3816" t="s">
        <v>611</v>
      </c>
      <c r="C61" s="3816" t="s">
        <v>609</v>
      </c>
      <c r="D61" s="3816" t="s">
        <v>133</v>
      </c>
      <c r="E61" s="3816" t="s">
        <v>94</v>
      </c>
      <c r="F61" s="3816" t="s">
        <v>612</v>
      </c>
      <c r="G61" s="3816" t="s">
        <v>612</v>
      </c>
      <c r="H61" s="2582" t="s">
        <v>94</v>
      </c>
      <c r="I61" s="2440" t="str">
        <f>A73</f>
        <v>ECD1</v>
      </c>
      <c r="J61" s="3816">
        <v>40400311</v>
      </c>
      <c r="K61" s="3817" t="s">
        <v>1263</v>
      </c>
      <c r="L61" s="3818" t="s">
        <v>133</v>
      </c>
      <c r="M61" s="3820" t="s">
        <v>133</v>
      </c>
    </row>
    <row r="62" spans="1:13" s="568" customFormat="1" ht="20.25" customHeight="1">
      <c r="A62" s="3823"/>
      <c r="B62" s="3804"/>
      <c r="C62" s="3801"/>
      <c r="D62" s="3801"/>
      <c r="E62" s="3801"/>
      <c r="F62" s="3801"/>
      <c r="G62" s="3801"/>
      <c r="H62" s="2441" t="s">
        <v>94</v>
      </c>
      <c r="I62" s="2441" t="str">
        <f>I61</f>
        <v>ECD1</v>
      </c>
      <c r="J62" s="3804"/>
      <c r="K62" s="3806"/>
      <c r="L62" s="3819"/>
      <c r="M62" s="3821"/>
    </row>
    <row r="63" spans="1:13" s="568" customFormat="1" ht="20.25" customHeight="1">
      <c r="A63" s="3798" t="s">
        <v>1435</v>
      </c>
      <c r="B63" s="3800" t="s">
        <v>613</v>
      </c>
      <c r="C63" s="3800" t="s">
        <v>609</v>
      </c>
      <c r="D63" s="3800" t="s">
        <v>133</v>
      </c>
      <c r="E63" s="3800" t="s">
        <v>94</v>
      </c>
      <c r="F63" s="3800" t="s">
        <v>612</v>
      </c>
      <c r="G63" s="3800" t="s">
        <v>612</v>
      </c>
      <c r="H63" s="1502" t="s">
        <v>94</v>
      </c>
      <c r="I63" s="567" t="str">
        <f>A73</f>
        <v>ECD1</v>
      </c>
      <c r="J63" s="3800">
        <v>40400311</v>
      </c>
      <c r="K63" s="3805" t="s">
        <v>1263</v>
      </c>
      <c r="L63" s="3809" t="s">
        <v>133</v>
      </c>
      <c r="M63" s="3807" t="s">
        <v>133</v>
      </c>
    </row>
    <row r="64" spans="1:13" s="568" customFormat="1" ht="20.25" customHeight="1">
      <c r="A64" s="3799"/>
      <c r="B64" s="3804"/>
      <c r="C64" s="3801"/>
      <c r="D64" s="3801"/>
      <c r="E64" s="3801"/>
      <c r="F64" s="3801"/>
      <c r="G64" s="3801"/>
      <c r="H64" s="569" t="s">
        <v>94</v>
      </c>
      <c r="I64" s="569" t="str">
        <f>I63</f>
        <v>ECD1</v>
      </c>
      <c r="J64" s="3804"/>
      <c r="K64" s="3806"/>
      <c r="L64" s="3810"/>
      <c r="M64" s="3808"/>
    </row>
    <row r="65" spans="1:13" s="568" customFormat="1" ht="20.25" customHeight="1">
      <c r="A65" s="3798" t="s">
        <v>1433</v>
      </c>
      <c r="B65" s="3800" t="s">
        <v>614</v>
      </c>
      <c r="C65" s="3800" t="s">
        <v>609</v>
      </c>
      <c r="D65" s="3800" t="s">
        <v>133</v>
      </c>
      <c r="E65" s="3800" t="s">
        <v>94</v>
      </c>
      <c r="F65" s="3800" t="s">
        <v>612</v>
      </c>
      <c r="G65" s="3800" t="s">
        <v>612</v>
      </c>
      <c r="H65" s="1502" t="s">
        <v>94</v>
      </c>
      <c r="I65" s="567" t="str">
        <f>A73</f>
        <v>ECD1</v>
      </c>
      <c r="J65" s="3800">
        <v>40400311</v>
      </c>
      <c r="K65" s="3805" t="s">
        <v>1263</v>
      </c>
      <c r="L65" s="3809" t="s">
        <v>133</v>
      </c>
      <c r="M65" s="3807" t="s">
        <v>133</v>
      </c>
    </row>
    <row r="66" spans="1:13" s="568" customFormat="1" ht="20.25" customHeight="1">
      <c r="A66" s="3799"/>
      <c r="B66" s="3804"/>
      <c r="C66" s="3801"/>
      <c r="D66" s="3801"/>
      <c r="E66" s="3801"/>
      <c r="F66" s="3801"/>
      <c r="G66" s="3801"/>
      <c r="H66" s="569" t="s">
        <v>94</v>
      </c>
      <c r="I66" s="569" t="str">
        <f>I65</f>
        <v>ECD1</v>
      </c>
      <c r="J66" s="3804"/>
      <c r="K66" s="3806"/>
      <c r="L66" s="3810"/>
      <c r="M66" s="3808"/>
    </row>
    <row r="67" spans="1:13" s="568" customFormat="1" ht="20.25" customHeight="1">
      <c r="A67" s="3798" t="s">
        <v>1436</v>
      </c>
      <c r="B67" s="3800" t="s">
        <v>615</v>
      </c>
      <c r="C67" s="3800" t="s">
        <v>609</v>
      </c>
      <c r="D67" s="3800" t="s">
        <v>133</v>
      </c>
      <c r="E67" s="3800" t="s">
        <v>94</v>
      </c>
      <c r="F67" s="3800" t="s">
        <v>612</v>
      </c>
      <c r="G67" s="3800" t="s">
        <v>612</v>
      </c>
      <c r="H67" s="1502" t="s">
        <v>94</v>
      </c>
      <c r="I67" s="567" t="str">
        <f>A73</f>
        <v>ECD1</v>
      </c>
      <c r="J67" s="3800">
        <v>40400311</v>
      </c>
      <c r="K67" s="3805" t="s">
        <v>1263</v>
      </c>
      <c r="L67" s="3809" t="s">
        <v>133</v>
      </c>
      <c r="M67" s="3807" t="s">
        <v>133</v>
      </c>
    </row>
    <row r="68" spans="1:13" s="568" customFormat="1" ht="20.25" customHeight="1">
      <c r="A68" s="3799"/>
      <c r="B68" s="3804"/>
      <c r="C68" s="3801"/>
      <c r="D68" s="3801"/>
      <c r="E68" s="3801"/>
      <c r="F68" s="3801"/>
      <c r="G68" s="3801"/>
      <c r="H68" s="569" t="s">
        <v>94</v>
      </c>
      <c r="I68" s="569" t="str">
        <f>I67</f>
        <v>ECD1</v>
      </c>
      <c r="J68" s="3804"/>
      <c r="K68" s="3806"/>
      <c r="L68" s="3810"/>
      <c r="M68" s="3808"/>
    </row>
    <row r="69" spans="1:13" s="568" customFormat="1" ht="20.25" customHeight="1">
      <c r="A69" s="3798" t="s">
        <v>1437</v>
      </c>
      <c r="B69" s="3800" t="s">
        <v>616</v>
      </c>
      <c r="C69" s="3800" t="s">
        <v>609</v>
      </c>
      <c r="D69" s="3800" t="s">
        <v>133</v>
      </c>
      <c r="E69" s="3800" t="s">
        <v>94</v>
      </c>
      <c r="F69" s="3800" t="s">
        <v>612</v>
      </c>
      <c r="G69" s="3800" t="s">
        <v>612</v>
      </c>
      <c r="H69" s="1502" t="s">
        <v>94</v>
      </c>
      <c r="I69" s="567" t="str">
        <f>A73</f>
        <v>ECD1</v>
      </c>
      <c r="J69" s="3800">
        <v>40400311</v>
      </c>
      <c r="K69" s="3805" t="s">
        <v>1263</v>
      </c>
      <c r="L69" s="3809" t="s">
        <v>133</v>
      </c>
      <c r="M69" s="3807" t="s">
        <v>133</v>
      </c>
    </row>
    <row r="70" spans="1:13" s="568" customFormat="1" ht="20.25" customHeight="1">
      <c r="A70" s="3799"/>
      <c r="B70" s="3804"/>
      <c r="C70" s="3801"/>
      <c r="D70" s="3801"/>
      <c r="E70" s="3801"/>
      <c r="F70" s="3801"/>
      <c r="G70" s="3801"/>
      <c r="H70" s="569" t="s">
        <v>94</v>
      </c>
      <c r="I70" s="569" t="str">
        <f>I69</f>
        <v>ECD1</v>
      </c>
      <c r="J70" s="3804"/>
      <c r="K70" s="3806"/>
      <c r="L70" s="3810"/>
      <c r="M70" s="3808"/>
    </row>
    <row r="71" spans="1:13" s="568" customFormat="1" ht="20.25" customHeight="1">
      <c r="A71" s="3798" t="s">
        <v>1438</v>
      </c>
      <c r="B71" s="3800" t="s">
        <v>617</v>
      </c>
      <c r="C71" s="3800" t="s">
        <v>609</v>
      </c>
      <c r="D71" s="3800" t="s">
        <v>133</v>
      </c>
      <c r="E71" s="3800" t="s">
        <v>94</v>
      </c>
      <c r="F71" s="3800" t="s">
        <v>612</v>
      </c>
      <c r="G71" s="3800" t="s">
        <v>612</v>
      </c>
      <c r="H71" s="1502" t="s">
        <v>94</v>
      </c>
      <c r="I71" s="567" t="str">
        <f>A73</f>
        <v>ECD1</v>
      </c>
      <c r="J71" s="3800">
        <v>40400311</v>
      </c>
      <c r="K71" s="3805" t="s">
        <v>1263</v>
      </c>
      <c r="L71" s="3809" t="s">
        <v>133</v>
      </c>
      <c r="M71" s="3807" t="s">
        <v>133</v>
      </c>
    </row>
    <row r="72" spans="1:13" s="568" customFormat="1" ht="20.25" customHeight="1">
      <c r="A72" s="3799"/>
      <c r="B72" s="3804"/>
      <c r="C72" s="3801"/>
      <c r="D72" s="3801"/>
      <c r="E72" s="3801"/>
      <c r="F72" s="3801"/>
      <c r="G72" s="3801"/>
      <c r="H72" s="569" t="s">
        <v>94</v>
      </c>
      <c r="I72" s="569" t="str">
        <f>I71</f>
        <v>ECD1</v>
      </c>
      <c r="J72" s="3804"/>
      <c r="K72" s="3806"/>
      <c r="L72" s="3810"/>
      <c r="M72" s="3808"/>
    </row>
    <row r="73" spans="1:13" s="568" customFormat="1" ht="20.25" customHeight="1">
      <c r="A73" s="3798" t="s">
        <v>909</v>
      </c>
      <c r="B73" s="3800" t="s">
        <v>618</v>
      </c>
      <c r="C73" s="3800" t="s">
        <v>633</v>
      </c>
      <c r="D73" s="3800" t="s">
        <v>133</v>
      </c>
      <c r="E73" s="3800" t="s">
        <v>94</v>
      </c>
      <c r="F73" s="3800" t="s">
        <v>133</v>
      </c>
      <c r="G73" s="3800" t="s">
        <v>133</v>
      </c>
      <c r="H73" s="1502" t="s">
        <v>94</v>
      </c>
      <c r="I73" s="567" t="s">
        <v>604</v>
      </c>
      <c r="J73" s="3811">
        <v>31000209</v>
      </c>
      <c r="K73" s="3805" t="s">
        <v>1263</v>
      </c>
      <c r="L73" s="3809" t="s">
        <v>133</v>
      </c>
      <c r="M73" s="3807" t="s">
        <v>133</v>
      </c>
    </row>
    <row r="74" spans="1:13" s="568" customFormat="1" ht="20.25" customHeight="1">
      <c r="A74" s="3799"/>
      <c r="B74" s="3804"/>
      <c r="C74" s="3801"/>
      <c r="D74" s="3801"/>
      <c r="E74" s="3801"/>
      <c r="F74" s="3801"/>
      <c r="G74" s="3801"/>
      <c r="H74" s="569" t="s">
        <v>94</v>
      </c>
      <c r="I74" s="569" t="str">
        <f>A73</f>
        <v>ECD1</v>
      </c>
      <c r="J74" s="3812"/>
      <c r="K74" s="3806"/>
      <c r="L74" s="3810"/>
      <c r="M74" s="3808"/>
    </row>
    <row r="75" spans="1:13" s="568" customFormat="1" ht="20.25" customHeight="1">
      <c r="A75" s="3798" t="s">
        <v>1439</v>
      </c>
      <c r="B75" s="3800" t="s">
        <v>1279</v>
      </c>
      <c r="C75" s="3800" t="s">
        <v>633</v>
      </c>
      <c r="D75" s="3800" t="s">
        <v>133</v>
      </c>
      <c r="E75" s="3800" t="s">
        <v>94</v>
      </c>
      <c r="F75" s="3800" t="s">
        <v>2041</v>
      </c>
      <c r="G75" s="3800" t="str">
        <f>F75</f>
        <v xml:space="preserve">31.5 MMBtu/hr </v>
      </c>
      <c r="H75" s="1502" t="s">
        <v>94</v>
      </c>
      <c r="I75" s="567" t="s">
        <v>604</v>
      </c>
      <c r="J75" s="3811">
        <v>31000209</v>
      </c>
      <c r="K75" s="3805" t="s">
        <v>1263</v>
      </c>
      <c r="L75" s="3809" t="s">
        <v>133</v>
      </c>
      <c r="M75" s="3807" t="s">
        <v>133</v>
      </c>
    </row>
    <row r="76" spans="1:13" s="568" customFormat="1" ht="20.25" customHeight="1">
      <c r="A76" s="3799"/>
      <c r="B76" s="3804"/>
      <c r="C76" s="3801"/>
      <c r="D76" s="3801"/>
      <c r="E76" s="3801"/>
      <c r="F76" s="3801"/>
      <c r="G76" s="3801"/>
      <c r="H76" s="569" t="s">
        <v>94</v>
      </c>
      <c r="I76" s="569" t="str">
        <f>A75</f>
        <v>TO1</v>
      </c>
      <c r="J76" s="3812"/>
      <c r="K76" s="3806"/>
      <c r="L76" s="3810"/>
      <c r="M76" s="3808"/>
    </row>
    <row r="77" spans="1:13" s="568" customFormat="1" ht="20.25" customHeight="1">
      <c r="A77" s="3798" t="s">
        <v>1440</v>
      </c>
      <c r="B77" s="3800" t="s">
        <v>1279</v>
      </c>
      <c r="C77" s="3800" t="s">
        <v>633</v>
      </c>
      <c r="D77" s="3800" t="s">
        <v>133</v>
      </c>
      <c r="E77" s="3800" t="s">
        <v>94</v>
      </c>
      <c r="F77" s="3800" t="str">
        <f>F75</f>
        <v xml:space="preserve">31.5 MMBtu/hr </v>
      </c>
      <c r="G77" s="3800" t="str">
        <f>F75</f>
        <v xml:space="preserve">31.5 MMBtu/hr </v>
      </c>
      <c r="H77" s="1502" t="s">
        <v>94</v>
      </c>
      <c r="I77" s="567" t="s">
        <v>604</v>
      </c>
      <c r="J77" s="3811">
        <v>31000209</v>
      </c>
      <c r="K77" s="3805" t="s">
        <v>1263</v>
      </c>
      <c r="L77" s="3809" t="s">
        <v>133</v>
      </c>
      <c r="M77" s="3807" t="s">
        <v>133</v>
      </c>
    </row>
    <row r="78" spans="1:13" s="568" customFormat="1" ht="20.25" customHeight="1">
      <c r="A78" s="3799"/>
      <c r="B78" s="3804"/>
      <c r="C78" s="3801"/>
      <c r="D78" s="3801"/>
      <c r="E78" s="3801"/>
      <c r="F78" s="3801"/>
      <c r="G78" s="3801"/>
      <c r="H78" s="569" t="s">
        <v>94</v>
      </c>
      <c r="I78" s="569" t="str">
        <f>A77</f>
        <v>TO2</v>
      </c>
      <c r="J78" s="3815"/>
      <c r="K78" s="3806"/>
      <c r="L78" s="3810"/>
      <c r="M78" s="3808"/>
    </row>
    <row r="79" spans="1:13" s="568" customFormat="1" ht="20.25" customHeight="1">
      <c r="A79" s="3798" t="s">
        <v>1441</v>
      </c>
      <c r="B79" s="3800" t="s">
        <v>1279</v>
      </c>
      <c r="C79" s="3800" t="s">
        <v>633</v>
      </c>
      <c r="D79" s="3800" t="s">
        <v>133</v>
      </c>
      <c r="E79" s="3800" t="s">
        <v>94</v>
      </c>
      <c r="F79" s="3800" t="str">
        <f>F75</f>
        <v xml:space="preserve">31.5 MMBtu/hr </v>
      </c>
      <c r="G79" s="3800" t="str">
        <f>F75</f>
        <v xml:space="preserve">31.5 MMBtu/hr </v>
      </c>
      <c r="H79" s="1502" t="s">
        <v>94</v>
      </c>
      <c r="I79" s="567" t="s">
        <v>604</v>
      </c>
      <c r="J79" s="3811">
        <v>31000209</v>
      </c>
      <c r="K79" s="3805" t="s">
        <v>1263</v>
      </c>
      <c r="L79" s="3809" t="s">
        <v>133</v>
      </c>
      <c r="M79" s="3807" t="s">
        <v>133</v>
      </c>
    </row>
    <row r="80" spans="1:13" s="568" customFormat="1" ht="20.25" customHeight="1">
      <c r="A80" s="3799"/>
      <c r="B80" s="3804"/>
      <c r="C80" s="3801"/>
      <c r="D80" s="3801"/>
      <c r="E80" s="3801"/>
      <c r="F80" s="3801"/>
      <c r="G80" s="3801"/>
      <c r="H80" s="569" t="s">
        <v>94</v>
      </c>
      <c r="I80" s="569" t="str">
        <f>A79</f>
        <v>TO3</v>
      </c>
      <c r="J80" s="3815"/>
      <c r="K80" s="3806"/>
      <c r="L80" s="3810"/>
      <c r="M80" s="3808"/>
    </row>
    <row r="81" spans="1:13" s="568" customFormat="1" ht="20.25" customHeight="1">
      <c r="A81" s="3798" t="s">
        <v>1443</v>
      </c>
      <c r="B81" s="3800" t="s">
        <v>619</v>
      </c>
      <c r="C81" s="3816" t="s">
        <v>133</v>
      </c>
      <c r="D81" s="3816" t="s">
        <v>133</v>
      </c>
      <c r="E81" s="3816" t="s">
        <v>133</v>
      </c>
      <c r="F81" s="3813" t="s">
        <v>133</v>
      </c>
      <c r="G81" s="3813" t="s">
        <v>133</v>
      </c>
      <c r="H81" s="1502" t="s">
        <v>94</v>
      </c>
      <c r="I81" s="567" t="s">
        <v>604</v>
      </c>
      <c r="J81" s="3811">
        <v>31088811</v>
      </c>
      <c r="K81" s="3805" t="s">
        <v>1263</v>
      </c>
      <c r="L81" s="3809" t="s">
        <v>133</v>
      </c>
      <c r="M81" s="3807" t="s">
        <v>133</v>
      </c>
    </row>
    <row r="82" spans="1:13" s="568" customFormat="1" ht="20.25" customHeight="1">
      <c r="A82" s="3799"/>
      <c r="B82" s="3804"/>
      <c r="C82" s="3801"/>
      <c r="D82" s="3801"/>
      <c r="E82" s="3801"/>
      <c r="F82" s="3801"/>
      <c r="G82" s="3801"/>
      <c r="H82" s="569" t="s">
        <v>94</v>
      </c>
      <c r="I82" s="569" t="str">
        <f>A81</f>
        <v>FUG</v>
      </c>
      <c r="J82" s="3812"/>
      <c r="K82" s="3806"/>
      <c r="L82" s="3810"/>
      <c r="M82" s="3808"/>
    </row>
    <row r="83" spans="1:13" s="568" customFormat="1" ht="20.25" customHeight="1">
      <c r="A83" s="3798" t="s">
        <v>1442</v>
      </c>
      <c r="B83" s="3800" t="s">
        <v>1384</v>
      </c>
      <c r="C83" s="3816" t="s">
        <v>133</v>
      </c>
      <c r="D83" s="3816" t="s">
        <v>133</v>
      </c>
      <c r="E83" s="3816" t="s">
        <v>133</v>
      </c>
      <c r="F83" s="3813" t="s">
        <v>133</v>
      </c>
      <c r="G83" s="3813" t="s">
        <v>133</v>
      </c>
      <c r="H83" s="1502" t="s">
        <v>94</v>
      </c>
      <c r="I83" s="567" t="s">
        <v>604</v>
      </c>
      <c r="J83" s="3811">
        <v>31088811</v>
      </c>
      <c r="K83" s="3805" t="s">
        <v>1263</v>
      </c>
      <c r="L83" s="3809" t="s">
        <v>133</v>
      </c>
      <c r="M83" s="3807" t="s">
        <v>133</v>
      </c>
    </row>
    <row r="84" spans="1:13" s="568" customFormat="1" ht="20.25" customHeight="1">
      <c r="A84" s="3799"/>
      <c r="B84" s="3801"/>
      <c r="C84" s="3801"/>
      <c r="D84" s="3801"/>
      <c r="E84" s="3801"/>
      <c r="F84" s="3801"/>
      <c r="G84" s="3801"/>
      <c r="H84" s="569" t="s">
        <v>94</v>
      </c>
      <c r="I84" s="569" t="str">
        <f>A83</f>
        <v>SSM</v>
      </c>
      <c r="J84" s="3812"/>
      <c r="K84" s="3806"/>
      <c r="L84" s="3810"/>
      <c r="M84" s="3808"/>
    </row>
    <row r="85" spans="1:13" s="568" customFormat="1" ht="20.25" customHeight="1">
      <c r="A85" s="3798" t="s">
        <v>1444</v>
      </c>
      <c r="B85" s="3811" t="s">
        <v>620</v>
      </c>
      <c r="C85" s="3816" t="s">
        <v>133</v>
      </c>
      <c r="D85" s="3816" t="s">
        <v>133</v>
      </c>
      <c r="E85" s="3816" t="s">
        <v>133</v>
      </c>
      <c r="F85" s="3813" t="s">
        <v>133</v>
      </c>
      <c r="G85" s="3813" t="s">
        <v>133</v>
      </c>
      <c r="H85" s="1502" t="s">
        <v>94</v>
      </c>
      <c r="I85" s="567" t="s">
        <v>604</v>
      </c>
      <c r="J85" s="3811">
        <v>31088811</v>
      </c>
      <c r="K85" s="3805" t="s">
        <v>1263</v>
      </c>
      <c r="L85" s="3809" t="s">
        <v>133</v>
      </c>
      <c r="M85" s="3807" t="s">
        <v>133</v>
      </c>
    </row>
    <row r="86" spans="1:13" s="568" customFormat="1" ht="20.25" customHeight="1">
      <c r="A86" s="3799"/>
      <c r="B86" s="3815"/>
      <c r="C86" s="3801"/>
      <c r="D86" s="3801"/>
      <c r="E86" s="3801"/>
      <c r="F86" s="3801"/>
      <c r="G86" s="3801"/>
      <c r="H86" s="569" t="s">
        <v>94</v>
      </c>
      <c r="I86" s="569" t="str">
        <f>A85</f>
        <v>ROAD</v>
      </c>
      <c r="J86" s="3812"/>
      <c r="K86" s="3806"/>
      <c r="L86" s="3810"/>
      <c r="M86" s="3808"/>
    </row>
    <row r="87" spans="1:13" s="568" customFormat="1" ht="20.25" customHeight="1">
      <c r="A87" s="3798" t="s">
        <v>1445</v>
      </c>
      <c r="B87" s="3811" t="s">
        <v>621</v>
      </c>
      <c r="C87" s="3800" t="s">
        <v>94</v>
      </c>
      <c r="D87" s="3800" t="s">
        <v>133</v>
      </c>
      <c r="E87" s="3800" t="s">
        <v>94</v>
      </c>
      <c r="F87" s="3813" t="s">
        <v>622</v>
      </c>
      <c r="G87" s="3813" t="s">
        <v>622</v>
      </c>
      <c r="H87" s="1502" t="s">
        <v>94</v>
      </c>
      <c r="I87" s="567" t="str">
        <f>A73</f>
        <v>ECD1</v>
      </c>
      <c r="J87" s="3800">
        <v>40400315</v>
      </c>
      <c r="K87" s="3805" t="s">
        <v>1263</v>
      </c>
      <c r="L87" s="3809" t="s">
        <v>133</v>
      </c>
      <c r="M87" s="3807" t="s">
        <v>133</v>
      </c>
    </row>
    <row r="88" spans="1:13" s="568" customFormat="1" ht="20.25" customHeight="1">
      <c r="A88" s="3799"/>
      <c r="B88" s="3815"/>
      <c r="C88" s="3801"/>
      <c r="D88" s="3801"/>
      <c r="E88" s="3801"/>
      <c r="F88" s="3801"/>
      <c r="G88" s="3801"/>
      <c r="H88" s="569" t="s">
        <v>94</v>
      </c>
      <c r="I88" s="569" t="str">
        <f>I87</f>
        <v>ECD1</v>
      </c>
      <c r="J88" s="3804"/>
      <c r="K88" s="3806"/>
      <c r="L88" s="3810"/>
      <c r="M88" s="3808"/>
    </row>
    <row r="89" spans="1:13" s="568" customFormat="1" ht="20.25" customHeight="1">
      <c r="A89" s="3798" t="s">
        <v>1446</v>
      </c>
      <c r="B89" s="3811" t="s">
        <v>623</v>
      </c>
      <c r="C89" s="3800" t="s">
        <v>94</v>
      </c>
      <c r="D89" s="3800" t="s">
        <v>133</v>
      </c>
      <c r="E89" s="3800" t="s">
        <v>94</v>
      </c>
      <c r="F89" s="3813" t="s">
        <v>622</v>
      </c>
      <c r="G89" s="3813" t="s">
        <v>622</v>
      </c>
      <c r="H89" s="1502" t="s">
        <v>94</v>
      </c>
      <c r="I89" s="567" t="str">
        <f>A73</f>
        <v>ECD1</v>
      </c>
      <c r="J89" s="3800">
        <v>40400315</v>
      </c>
      <c r="K89" s="3805" t="s">
        <v>1263</v>
      </c>
      <c r="L89" s="3809" t="s">
        <v>133</v>
      </c>
      <c r="M89" s="3807" t="s">
        <v>133</v>
      </c>
    </row>
    <row r="90" spans="1:13" s="568" customFormat="1" ht="20.25" customHeight="1">
      <c r="A90" s="3799"/>
      <c r="B90" s="3815"/>
      <c r="C90" s="3801"/>
      <c r="D90" s="3801"/>
      <c r="E90" s="3801"/>
      <c r="F90" s="3801"/>
      <c r="G90" s="3801"/>
      <c r="H90" s="569" t="s">
        <v>94</v>
      </c>
      <c r="I90" s="569" t="str">
        <f>I89</f>
        <v>ECD1</v>
      </c>
      <c r="J90" s="3804"/>
      <c r="K90" s="3806"/>
      <c r="L90" s="3810"/>
      <c r="M90" s="3808"/>
    </row>
    <row r="91" spans="1:13" s="568" customFormat="1" ht="20.25" customHeight="1">
      <c r="A91" s="3798" t="s">
        <v>1447</v>
      </c>
      <c r="B91" s="3811" t="s">
        <v>624</v>
      </c>
      <c r="C91" s="3816" t="s">
        <v>133</v>
      </c>
      <c r="D91" s="3816" t="s">
        <v>133</v>
      </c>
      <c r="E91" s="3816" t="s">
        <v>133</v>
      </c>
      <c r="F91" s="3816" t="s">
        <v>133</v>
      </c>
      <c r="G91" s="3813" t="s">
        <v>1370</v>
      </c>
      <c r="H91" s="1502" t="s">
        <v>94</v>
      </c>
      <c r="I91" s="567" t="s">
        <v>604</v>
      </c>
      <c r="J91" s="3814">
        <v>40400250</v>
      </c>
      <c r="K91" s="3805" t="s">
        <v>1263</v>
      </c>
      <c r="L91" s="3809" t="s">
        <v>133</v>
      </c>
      <c r="M91" s="3807" t="s">
        <v>133</v>
      </c>
    </row>
    <row r="92" spans="1:13" s="568" customFormat="1" ht="20.25" customHeight="1">
      <c r="A92" s="3799"/>
      <c r="B92" s="3815"/>
      <c r="C92" s="3801"/>
      <c r="D92" s="3801"/>
      <c r="E92" s="3801"/>
      <c r="F92" s="3801"/>
      <c r="G92" s="3801"/>
      <c r="H92" s="569" t="s">
        <v>94</v>
      </c>
      <c r="I92" s="569" t="str">
        <f>A91</f>
        <v>PWTL</v>
      </c>
      <c r="J92" s="3815"/>
      <c r="K92" s="3806"/>
      <c r="L92" s="3810"/>
      <c r="M92" s="3808"/>
    </row>
    <row r="93" spans="1:13" s="568" customFormat="1" ht="20.25" customHeight="1">
      <c r="A93" s="3798" t="s">
        <v>1448</v>
      </c>
      <c r="B93" s="3811" t="s">
        <v>1369</v>
      </c>
      <c r="C93" s="3816" t="s">
        <v>133</v>
      </c>
      <c r="D93" s="3816" t="s">
        <v>133</v>
      </c>
      <c r="E93" s="3816" t="s">
        <v>133</v>
      </c>
      <c r="F93" s="3813" t="s">
        <v>1453</v>
      </c>
      <c r="G93" s="3813" t="str">
        <f>F93</f>
        <v>210 bbl/day</v>
      </c>
      <c r="H93" s="1502" t="s">
        <v>94</v>
      </c>
      <c r="I93" s="567" t="s">
        <v>604</v>
      </c>
      <c r="J93" s="3814">
        <v>40400250</v>
      </c>
      <c r="K93" s="3805" t="s">
        <v>1263</v>
      </c>
      <c r="L93" s="3809" t="s">
        <v>133</v>
      </c>
      <c r="M93" s="3807" t="s">
        <v>133</v>
      </c>
    </row>
    <row r="94" spans="1:13" s="568" customFormat="1" ht="20.25" customHeight="1">
      <c r="A94" s="3799"/>
      <c r="B94" s="3815"/>
      <c r="C94" s="3801"/>
      <c r="D94" s="3801"/>
      <c r="E94" s="3801"/>
      <c r="F94" s="3801"/>
      <c r="G94" s="3801"/>
      <c r="H94" s="569" t="s">
        <v>94</v>
      </c>
      <c r="I94" s="569" t="str">
        <f>A93</f>
        <v>OTL</v>
      </c>
      <c r="J94" s="3815"/>
      <c r="K94" s="3806"/>
      <c r="L94" s="3810"/>
      <c r="M94" s="3808"/>
    </row>
    <row r="95" spans="1:13" s="568" customFormat="1" ht="20.25" customHeight="1">
      <c r="A95" s="3798" t="s">
        <v>1449</v>
      </c>
      <c r="B95" s="3800" t="s">
        <v>625</v>
      </c>
      <c r="C95" s="3800" t="s">
        <v>94</v>
      </c>
      <c r="D95" s="3800" t="s">
        <v>133</v>
      </c>
      <c r="E95" s="3800" t="s">
        <v>94</v>
      </c>
      <c r="F95" s="3800" t="s">
        <v>626</v>
      </c>
      <c r="G95" s="3800" t="s">
        <v>626</v>
      </c>
      <c r="H95" s="1502" t="s">
        <v>94</v>
      </c>
      <c r="I95" s="567" t="str">
        <f>A75</f>
        <v>TO1</v>
      </c>
      <c r="J95" s="3811">
        <v>31000305</v>
      </c>
      <c r="K95" s="3805" t="s">
        <v>1263</v>
      </c>
      <c r="L95" s="3809" t="s">
        <v>133</v>
      </c>
      <c r="M95" s="3807" t="s">
        <v>133</v>
      </c>
    </row>
    <row r="96" spans="1:13" s="568" customFormat="1" ht="20.25" customHeight="1">
      <c r="A96" s="3799"/>
      <c r="B96" s="3801"/>
      <c r="C96" s="3801"/>
      <c r="D96" s="3801"/>
      <c r="E96" s="3801"/>
      <c r="F96" s="3801"/>
      <c r="G96" s="3801"/>
      <c r="H96" s="569" t="s">
        <v>94</v>
      </c>
      <c r="I96" s="569" t="str">
        <f>I95</f>
        <v>TO1</v>
      </c>
      <c r="J96" s="3812"/>
      <c r="K96" s="3806"/>
      <c r="L96" s="3810"/>
      <c r="M96" s="3808"/>
    </row>
    <row r="97" spans="1:13" s="568" customFormat="1" ht="20.25" customHeight="1">
      <c r="A97" s="3798" t="s">
        <v>1450</v>
      </c>
      <c r="B97" s="3800" t="s">
        <v>627</v>
      </c>
      <c r="C97" s="3800" t="s">
        <v>94</v>
      </c>
      <c r="D97" s="3800" t="s">
        <v>133</v>
      </c>
      <c r="E97" s="3800" t="s">
        <v>94</v>
      </c>
      <c r="F97" s="3800" t="s">
        <v>626</v>
      </c>
      <c r="G97" s="3800" t="s">
        <v>626</v>
      </c>
      <c r="H97" s="1502" t="s">
        <v>94</v>
      </c>
      <c r="I97" s="567" t="str">
        <f>A77</f>
        <v>TO2</v>
      </c>
      <c r="J97" s="3811">
        <v>31000305</v>
      </c>
      <c r="K97" s="3805" t="s">
        <v>1263</v>
      </c>
      <c r="L97" s="3809" t="s">
        <v>133</v>
      </c>
      <c r="M97" s="3807" t="s">
        <v>133</v>
      </c>
    </row>
    <row r="98" spans="1:13" s="568" customFormat="1" ht="20.25" customHeight="1">
      <c r="A98" s="3799"/>
      <c r="B98" s="3801"/>
      <c r="C98" s="3801"/>
      <c r="D98" s="3801"/>
      <c r="E98" s="3801"/>
      <c r="F98" s="3801"/>
      <c r="G98" s="3801"/>
      <c r="H98" s="569" t="s">
        <v>94</v>
      </c>
      <c r="I98" s="569" t="str">
        <f>I97</f>
        <v>TO2</v>
      </c>
      <c r="J98" s="3812"/>
      <c r="K98" s="3806"/>
      <c r="L98" s="3810"/>
      <c r="M98" s="3808"/>
    </row>
    <row r="99" spans="1:13" s="568" customFormat="1" ht="20.25" customHeight="1">
      <c r="A99" s="3798" t="s">
        <v>1451</v>
      </c>
      <c r="B99" s="3800" t="s">
        <v>628</v>
      </c>
      <c r="C99" s="3800" t="s">
        <v>94</v>
      </c>
      <c r="D99" s="3800" t="s">
        <v>133</v>
      </c>
      <c r="E99" s="3800" t="s">
        <v>94</v>
      </c>
      <c r="F99" s="3800" t="s">
        <v>626</v>
      </c>
      <c r="G99" s="3800" t="s">
        <v>626</v>
      </c>
      <c r="H99" s="1502" t="s">
        <v>94</v>
      </c>
      <c r="I99" s="567" t="str">
        <f>A79</f>
        <v>TO3</v>
      </c>
      <c r="J99" s="3811">
        <v>31000305</v>
      </c>
      <c r="K99" s="3805" t="s">
        <v>1263</v>
      </c>
      <c r="L99" s="3809" t="s">
        <v>133</v>
      </c>
      <c r="M99" s="3807" t="s">
        <v>133</v>
      </c>
    </row>
    <row r="100" spans="1:13" s="568" customFormat="1" ht="20.25" customHeight="1">
      <c r="A100" s="3799"/>
      <c r="B100" s="3801"/>
      <c r="C100" s="3801"/>
      <c r="D100" s="3801"/>
      <c r="E100" s="3801"/>
      <c r="F100" s="3801"/>
      <c r="G100" s="3801"/>
      <c r="H100" s="569" t="s">
        <v>94</v>
      </c>
      <c r="I100" s="569" t="str">
        <f>I99</f>
        <v>TO3</v>
      </c>
      <c r="J100" s="3812"/>
      <c r="K100" s="3806"/>
      <c r="L100" s="3810"/>
      <c r="M100" s="3808"/>
    </row>
    <row r="101" spans="1:13" s="568" customFormat="1" ht="20.25" customHeight="1">
      <c r="A101" s="3798" t="s">
        <v>1470</v>
      </c>
      <c r="B101" s="3800" t="s">
        <v>629</v>
      </c>
      <c r="C101" s="3800" t="s">
        <v>609</v>
      </c>
      <c r="D101" s="3800" t="s">
        <v>133</v>
      </c>
      <c r="E101" s="3800" t="s">
        <v>94</v>
      </c>
      <c r="F101" s="3800" t="s">
        <v>630</v>
      </c>
      <c r="G101" s="3800" t="s">
        <v>630</v>
      </c>
      <c r="H101" s="1502" t="s">
        <v>94</v>
      </c>
      <c r="I101" s="567" t="str">
        <f>A73</f>
        <v>ECD1</v>
      </c>
      <c r="J101" s="3800">
        <v>31000506</v>
      </c>
      <c r="K101" s="3805" t="s">
        <v>1263</v>
      </c>
      <c r="L101" s="3809" t="s">
        <v>133</v>
      </c>
      <c r="M101" s="3807" t="s">
        <v>133</v>
      </c>
    </row>
    <row r="102" spans="1:13" s="568" customFormat="1" ht="20.25" customHeight="1">
      <c r="A102" s="3799"/>
      <c r="B102" s="3801"/>
      <c r="C102" s="3801"/>
      <c r="D102" s="3801"/>
      <c r="E102" s="3801"/>
      <c r="F102" s="3801"/>
      <c r="G102" s="3801"/>
      <c r="H102" s="569" t="s">
        <v>94</v>
      </c>
      <c r="I102" s="569" t="str">
        <f>I101</f>
        <v>ECD1</v>
      </c>
      <c r="J102" s="3804"/>
      <c r="K102" s="3806"/>
      <c r="L102" s="3810"/>
      <c r="M102" s="3808"/>
    </row>
    <row r="103" spans="1:13" s="568" customFormat="1" ht="20.25" customHeight="1">
      <c r="A103" s="3798" t="s">
        <v>1452</v>
      </c>
      <c r="B103" s="3800" t="s">
        <v>631</v>
      </c>
      <c r="C103" s="3800" t="s">
        <v>609</v>
      </c>
      <c r="D103" s="3800" t="s">
        <v>133</v>
      </c>
      <c r="E103" s="3800" t="s">
        <v>94</v>
      </c>
      <c r="F103" s="3800" t="s">
        <v>351</v>
      </c>
      <c r="G103" s="3800" t="s">
        <v>351</v>
      </c>
      <c r="H103" s="1502" t="s">
        <v>94</v>
      </c>
      <c r="I103" s="567" t="str">
        <f>A73</f>
        <v>ECD1</v>
      </c>
      <c r="J103" s="3800">
        <v>40400311</v>
      </c>
      <c r="K103" s="3805" t="s">
        <v>1263</v>
      </c>
      <c r="L103" s="3809" t="s">
        <v>133</v>
      </c>
      <c r="M103" s="3807" t="s">
        <v>133</v>
      </c>
    </row>
    <row r="104" spans="1:13" s="568" customFormat="1" ht="20.25" customHeight="1">
      <c r="A104" s="3799"/>
      <c r="B104" s="3801"/>
      <c r="C104" s="3801"/>
      <c r="D104" s="3801"/>
      <c r="E104" s="3801"/>
      <c r="F104" s="3801"/>
      <c r="G104" s="3801"/>
      <c r="H104" s="569" t="s">
        <v>94</v>
      </c>
      <c r="I104" s="569" t="str">
        <f>I103</f>
        <v>ECD1</v>
      </c>
      <c r="J104" s="3804"/>
      <c r="K104" s="3806"/>
      <c r="L104" s="3810"/>
      <c r="M104" s="3808"/>
    </row>
    <row r="105" spans="1:13" s="60" customFormat="1" ht="17.25" customHeight="1">
      <c r="A105" s="3852" t="s">
        <v>1454</v>
      </c>
      <c r="B105" s="3802" t="s">
        <v>1262</v>
      </c>
      <c r="C105" s="3802" t="s">
        <v>1677</v>
      </c>
      <c r="D105" s="3802" t="s">
        <v>1678</v>
      </c>
      <c r="E105" s="3802" t="s">
        <v>94</v>
      </c>
      <c r="F105" s="3802" t="s">
        <v>1750</v>
      </c>
      <c r="G105" s="3802" t="str">
        <f>F105</f>
        <v>120 MW</v>
      </c>
      <c r="H105" s="1531" t="s">
        <v>94</v>
      </c>
      <c r="I105" s="1703" t="s">
        <v>1504</v>
      </c>
      <c r="J105" s="3854">
        <v>20200203</v>
      </c>
      <c r="K105" s="3805" t="s">
        <v>1263</v>
      </c>
      <c r="L105" s="3794" t="s">
        <v>133</v>
      </c>
      <c r="M105" s="3796" t="s">
        <v>133</v>
      </c>
    </row>
    <row r="106" spans="1:13" s="60" customFormat="1" ht="17.149999999999999" customHeight="1">
      <c r="A106" s="3853"/>
      <c r="B106" s="3803"/>
      <c r="C106" s="3803"/>
      <c r="D106" s="3803"/>
      <c r="E106" s="3803"/>
      <c r="F106" s="3803"/>
      <c r="G106" s="3803"/>
      <c r="H106" s="569" t="s">
        <v>94</v>
      </c>
      <c r="I106" s="545" t="str">
        <f>A105</f>
        <v>TUR1</v>
      </c>
      <c r="J106" s="3855"/>
      <c r="K106" s="3806"/>
      <c r="L106" s="3795"/>
      <c r="M106" s="3797"/>
    </row>
    <row r="107" spans="1:13" s="60" customFormat="1" ht="17.25" customHeight="1">
      <c r="A107" s="3852" t="s">
        <v>1455</v>
      </c>
      <c r="B107" s="3802" t="s">
        <v>1262</v>
      </c>
      <c r="C107" s="3802" t="s">
        <v>1677</v>
      </c>
      <c r="D107" s="3802" t="s">
        <v>1678</v>
      </c>
      <c r="E107" s="3802" t="s">
        <v>94</v>
      </c>
      <c r="F107" s="3802" t="s">
        <v>1750</v>
      </c>
      <c r="G107" s="3802" t="str">
        <f>F107</f>
        <v>120 MW</v>
      </c>
      <c r="H107" s="1531" t="s">
        <v>94</v>
      </c>
      <c r="I107" s="1703" t="s">
        <v>1505</v>
      </c>
      <c r="J107" s="3854">
        <v>20200203</v>
      </c>
      <c r="K107" s="3805" t="s">
        <v>1263</v>
      </c>
      <c r="L107" s="3794" t="s">
        <v>133</v>
      </c>
      <c r="M107" s="3796" t="s">
        <v>133</v>
      </c>
    </row>
    <row r="108" spans="1:13" s="60" customFormat="1" ht="17.149999999999999" customHeight="1">
      <c r="A108" s="3853"/>
      <c r="B108" s="3803"/>
      <c r="C108" s="3803"/>
      <c r="D108" s="3803"/>
      <c r="E108" s="3803"/>
      <c r="F108" s="3803"/>
      <c r="G108" s="3803"/>
      <c r="H108" s="569" t="s">
        <v>94</v>
      </c>
      <c r="I108" s="545" t="str">
        <f>A107</f>
        <v>TUR2</v>
      </c>
      <c r="J108" s="3855"/>
      <c r="K108" s="3806"/>
      <c r="L108" s="3795"/>
      <c r="M108" s="3797"/>
    </row>
    <row r="109" spans="1:13" s="60" customFormat="1" ht="17.25" customHeight="1">
      <c r="A109" s="3852" t="s">
        <v>1456</v>
      </c>
      <c r="B109" s="3802" t="s">
        <v>1262</v>
      </c>
      <c r="C109" s="3802" t="s">
        <v>1677</v>
      </c>
      <c r="D109" s="3802" t="s">
        <v>1678</v>
      </c>
      <c r="E109" s="3802" t="s">
        <v>94</v>
      </c>
      <c r="F109" s="3802" t="s">
        <v>1750</v>
      </c>
      <c r="G109" s="3802" t="str">
        <f>F109</f>
        <v>120 MW</v>
      </c>
      <c r="H109" s="1531" t="s">
        <v>94</v>
      </c>
      <c r="I109" s="1704" t="s">
        <v>1506</v>
      </c>
      <c r="J109" s="3854">
        <v>20200203</v>
      </c>
      <c r="K109" s="3805" t="s">
        <v>1263</v>
      </c>
      <c r="L109" s="3794" t="s">
        <v>133</v>
      </c>
      <c r="M109" s="3796" t="s">
        <v>133</v>
      </c>
    </row>
    <row r="110" spans="1:13" s="60" customFormat="1" ht="17.25" customHeight="1">
      <c r="A110" s="3853"/>
      <c r="B110" s="3803"/>
      <c r="C110" s="3803"/>
      <c r="D110" s="3803"/>
      <c r="E110" s="3803"/>
      <c r="F110" s="3803"/>
      <c r="G110" s="3803"/>
      <c r="H110" s="569" t="s">
        <v>94</v>
      </c>
      <c r="I110" s="272" t="str">
        <f>A109</f>
        <v>TUR3</v>
      </c>
      <c r="J110" s="3855"/>
      <c r="K110" s="3806"/>
      <c r="L110" s="3795"/>
      <c r="M110" s="3797"/>
    </row>
    <row r="111" spans="1:13" s="60" customFormat="1" ht="17.25" customHeight="1">
      <c r="A111" s="3852" t="s">
        <v>1457</v>
      </c>
      <c r="B111" s="3802" t="s">
        <v>1262</v>
      </c>
      <c r="C111" s="3802" t="s">
        <v>1677</v>
      </c>
      <c r="D111" s="3802" t="s">
        <v>1678</v>
      </c>
      <c r="E111" s="3802" t="s">
        <v>94</v>
      </c>
      <c r="F111" s="3802" t="s">
        <v>1750</v>
      </c>
      <c r="G111" s="3802" t="str">
        <f>F111</f>
        <v>120 MW</v>
      </c>
      <c r="H111" s="1531" t="s">
        <v>94</v>
      </c>
      <c r="I111" s="1703" t="s">
        <v>1507</v>
      </c>
      <c r="J111" s="3854">
        <v>20200203</v>
      </c>
      <c r="K111" s="3805" t="s">
        <v>1263</v>
      </c>
      <c r="L111" s="3794" t="s">
        <v>133</v>
      </c>
      <c r="M111" s="3796" t="s">
        <v>133</v>
      </c>
    </row>
    <row r="112" spans="1:13" s="60" customFormat="1" ht="17.149999999999999" customHeight="1">
      <c r="A112" s="3853"/>
      <c r="B112" s="3803"/>
      <c r="C112" s="3803"/>
      <c r="D112" s="3803"/>
      <c r="E112" s="3803"/>
      <c r="F112" s="3803"/>
      <c r="G112" s="3803"/>
      <c r="H112" s="569" t="s">
        <v>94</v>
      </c>
      <c r="I112" s="545" t="str">
        <f>A111</f>
        <v>TUR4</v>
      </c>
      <c r="J112" s="3855"/>
      <c r="K112" s="3806"/>
      <c r="L112" s="3795"/>
      <c r="M112" s="3797"/>
    </row>
    <row r="113" spans="1:13" s="568" customFormat="1" ht="17" customHeight="1">
      <c r="A113" s="3798" t="s">
        <v>1508</v>
      </c>
      <c r="B113" s="3800" t="s">
        <v>653</v>
      </c>
      <c r="C113" s="3800" t="s">
        <v>1176</v>
      </c>
      <c r="D113" s="3800" t="s">
        <v>1888</v>
      </c>
      <c r="E113" s="3800" t="s">
        <v>94</v>
      </c>
      <c r="F113" s="3800" t="s">
        <v>2042</v>
      </c>
      <c r="G113" s="3800" t="s">
        <v>2042</v>
      </c>
      <c r="H113" s="2623" t="s">
        <v>94</v>
      </c>
      <c r="I113" s="567" t="s">
        <v>604</v>
      </c>
      <c r="J113" s="3800">
        <v>20200254</v>
      </c>
      <c r="K113" s="3805" t="s">
        <v>1263</v>
      </c>
      <c r="L113" s="3794" t="s">
        <v>1889</v>
      </c>
      <c r="M113" s="3807" t="s">
        <v>133</v>
      </c>
    </row>
    <row r="114" spans="1:13" s="568" customFormat="1" ht="17" customHeight="1">
      <c r="A114" s="3799"/>
      <c r="B114" s="3801"/>
      <c r="C114" s="3801"/>
      <c r="D114" s="3801"/>
      <c r="E114" s="3801"/>
      <c r="F114" s="3801"/>
      <c r="G114" s="3801"/>
      <c r="H114" s="569" t="s">
        <v>94</v>
      </c>
      <c r="I114" s="569" t="s">
        <v>1508</v>
      </c>
      <c r="J114" s="3804"/>
      <c r="K114" s="3806"/>
      <c r="L114" s="3795"/>
      <c r="M114" s="3808"/>
    </row>
    <row r="115" spans="1:13" s="60" customFormat="1" ht="17" customHeight="1">
      <c r="A115" s="3798" t="s">
        <v>1509</v>
      </c>
      <c r="B115" s="3800" t="s">
        <v>653</v>
      </c>
      <c r="C115" s="3800" t="s">
        <v>1176</v>
      </c>
      <c r="D115" s="3800" t="s">
        <v>1888</v>
      </c>
      <c r="E115" s="3802" t="s">
        <v>94</v>
      </c>
      <c r="F115" s="3800" t="s">
        <v>2042</v>
      </c>
      <c r="G115" s="3800" t="s">
        <v>2042</v>
      </c>
      <c r="H115" s="2623" t="s">
        <v>94</v>
      </c>
      <c r="I115" s="567" t="s">
        <v>604</v>
      </c>
      <c r="J115" s="3800">
        <v>20200254</v>
      </c>
      <c r="K115" s="3805" t="s">
        <v>1263</v>
      </c>
      <c r="L115" s="3794" t="s">
        <v>1889</v>
      </c>
      <c r="M115" s="3796" t="s">
        <v>133</v>
      </c>
    </row>
    <row r="116" spans="1:13" s="60" customFormat="1" ht="17" customHeight="1">
      <c r="A116" s="3799"/>
      <c r="B116" s="3801"/>
      <c r="C116" s="3801"/>
      <c r="D116" s="3801"/>
      <c r="E116" s="3803"/>
      <c r="F116" s="3801"/>
      <c r="G116" s="3801"/>
      <c r="H116" s="569" t="s">
        <v>94</v>
      </c>
      <c r="I116" s="569" t="str">
        <f>A115</f>
        <v>GEN2</v>
      </c>
      <c r="J116" s="3804"/>
      <c r="K116" s="3806"/>
      <c r="L116" s="3795"/>
      <c r="M116" s="3797"/>
    </row>
    <row r="117" spans="1:13" s="60" customFormat="1" ht="17" customHeight="1">
      <c r="A117" s="3798" t="s">
        <v>1510</v>
      </c>
      <c r="B117" s="3800" t="s">
        <v>653</v>
      </c>
      <c r="C117" s="3800" t="s">
        <v>1176</v>
      </c>
      <c r="D117" s="3800" t="s">
        <v>1888</v>
      </c>
      <c r="E117" s="3802" t="s">
        <v>94</v>
      </c>
      <c r="F117" s="3800" t="s">
        <v>2042</v>
      </c>
      <c r="G117" s="3800" t="s">
        <v>2042</v>
      </c>
      <c r="H117" s="2623" t="s">
        <v>94</v>
      </c>
      <c r="I117" s="567" t="s">
        <v>604</v>
      </c>
      <c r="J117" s="3800">
        <v>20200254</v>
      </c>
      <c r="K117" s="3805" t="s">
        <v>1263</v>
      </c>
      <c r="L117" s="3794" t="s">
        <v>1889</v>
      </c>
      <c r="M117" s="3796" t="s">
        <v>133</v>
      </c>
    </row>
    <row r="118" spans="1:13" s="60" customFormat="1" ht="17" customHeight="1">
      <c r="A118" s="3799"/>
      <c r="B118" s="3801"/>
      <c r="C118" s="3801"/>
      <c r="D118" s="3801"/>
      <c r="E118" s="3803"/>
      <c r="F118" s="3801"/>
      <c r="G118" s="3801"/>
      <c r="H118" s="569" t="s">
        <v>94</v>
      </c>
      <c r="I118" s="569" t="str">
        <f>A117</f>
        <v>GEN3</v>
      </c>
      <c r="J118" s="3804"/>
      <c r="K118" s="3806"/>
      <c r="L118" s="3795"/>
      <c r="M118" s="3797"/>
    </row>
    <row r="119" spans="1:13" s="60" customFormat="1" ht="17" customHeight="1">
      <c r="A119" s="3798" t="s">
        <v>1511</v>
      </c>
      <c r="B119" s="3800" t="s">
        <v>653</v>
      </c>
      <c r="C119" s="3800" t="s">
        <v>1176</v>
      </c>
      <c r="D119" s="3800" t="s">
        <v>1888</v>
      </c>
      <c r="E119" s="3802" t="s">
        <v>94</v>
      </c>
      <c r="F119" s="3800" t="s">
        <v>2042</v>
      </c>
      <c r="G119" s="3800" t="s">
        <v>2042</v>
      </c>
      <c r="H119" s="2623" t="s">
        <v>94</v>
      </c>
      <c r="I119" s="567" t="s">
        <v>604</v>
      </c>
      <c r="J119" s="3800">
        <v>20200254</v>
      </c>
      <c r="K119" s="3805" t="s">
        <v>1263</v>
      </c>
      <c r="L119" s="3794" t="s">
        <v>1889</v>
      </c>
      <c r="M119" s="3796" t="s">
        <v>133</v>
      </c>
    </row>
    <row r="120" spans="1:13" s="60" customFormat="1" ht="17" customHeight="1">
      <c r="A120" s="3799"/>
      <c r="B120" s="3801"/>
      <c r="C120" s="3801"/>
      <c r="D120" s="3801"/>
      <c r="E120" s="3803"/>
      <c r="F120" s="3801"/>
      <c r="G120" s="3801"/>
      <c r="H120" s="569" t="s">
        <v>94</v>
      </c>
      <c r="I120" s="569" t="str">
        <f>A119</f>
        <v>GEN4</v>
      </c>
      <c r="J120" s="3804"/>
      <c r="K120" s="3806"/>
      <c r="L120" s="3795"/>
      <c r="M120" s="3797"/>
    </row>
    <row r="121" spans="1:13" s="60" customFormat="1" ht="17" customHeight="1">
      <c r="A121" s="3798" t="s">
        <v>1512</v>
      </c>
      <c r="B121" s="3800" t="s">
        <v>653</v>
      </c>
      <c r="C121" s="3800" t="s">
        <v>1176</v>
      </c>
      <c r="D121" s="3800" t="s">
        <v>1888</v>
      </c>
      <c r="E121" s="3802" t="s">
        <v>94</v>
      </c>
      <c r="F121" s="3800" t="s">
        <v>2042</v>
      </c>
      <c r="G121" s="3800" t="s">
        <v>2042</v>
      </c>
      <c r="H121" s="2623" t="s">
        <v>94</v>
      </c>
      <c r="I121" s="567" t="s">
        <v>604</v>
      </c>
      <c r="J121" s="3800">
        <v>20200254</v>
      </c>
      <c r="K121" s="3805" t="s">
        <v>1263</v>
      </c>
      <c r="L121" s="3794" t="s">
        <v>1889</v>
      </c>
      <c r="M121" s="3796" t="s">
        <v>133</v>
      </c>
    </row>
    <row r="122" spans="1:13" s="60" customFormat="1" ht="17" customHeight="1">
      <c r="A122" s="3799"/>
      <c r="B122" s="3801"/>
      <c r="C122" s="3801"/>
      <c r="D122" s="3801"/>
      <c r="E122" s="3803"/>
      <c r="F122" s="3801"/>
      <c r="G122" s="3801"/>
      <c r="H122" s="569" t="s">
        <v>94</v>
      </c>
      <c r="I122" s="569" t="str">
        <f>A121</f>
        <v>GEN5</v>
      </c>
      <c r="J122" s="3804"/>
      <c r="K122" s="3806"/>
      <c r="L122" s="3795"/>
      <c r="M122" s="3797"/>
    </row>
    <row r="123" spans="1:13" s="60" customFormat="1" ht="17" customHeight="1">
      <c r="A123" s="3798" t="s">
        <v>1921</v>
      </c>
      <c r="B123" s="3800" t="s">
        <v>653</v>
      </c>
      <c r="C123" s="3800" t="s">
        <v>1176</v>
      </c>
      <c r="D123" s="3800" t="s">
        <v>1888</v>
      </c>
      <c r="E123" s="3802" t="s">
        <v>94</v>
      </c>
      <c r="F123" s="3800" t="s">
        <v>2042</v>
      </c>
      <c r="G123" s="3800" t="s">
        <v>2042</v>
      </c>
      <c r="H123" s="2728" t="s">
        <v>94</v>
      </c>
      <c r="I123" s="567" t="s">
        <v>604</v>
      </c>
      <c r="J123" s="3800">
        <v>20200254</v>
      </c>
      <c r="K123" s="3805" t="s">
        <v>1263</v>
      </c>
      <c r="L123" s="3794" t="s">
        <v>1889</v>
      </c>
      <c r="M123" s="3796" t="s">
        <v>133</v>
      </c>
    </row>
    <row r="124" spans="1:13" s="60" customFormat="1" ht="17" customHeight="1">
      <c r="A124" s="3799"/>
      <c r="B124" s="3801"/>
      <c r="C124" s="3801"/>
      <c r="D124" s="3801"/>
      <c r="E124" s="3803"/>
      <c r="F124" s="3801"/>
      <c r="G124" s="3801"/>
      <c r="H124" s="569" t="s">
        <v>94</v>
      </c>
      <c r="I124" s="569" t="str">
        <f>A123</f>
        <v>GEN6</v>
      </c>
      <c r="J124" s="3804"/>
      <c r="K124" s="3806"/>
      <c r="L124" s="3795"/>
      <c r="M124" s="3797"/>
    </row>
    <row r="125" spans="1:13" s="60" customFormat="1" ht="17" customHeight="1">
      <c r="A125" s="3798" t="s">
        <v>1922</v>
      </c>
      <c r="B125" s="3800" t="s">
        <v>653</v>
      </c>
      <c r="C125" s="3800" t="s">
        <v>1176</v>
      </c>
      <c r="D125" s="3800" t="s">
        <v>1888</v>
      </c>
      <c r="E125" s="3802" t="s">
        <v>94</v>
      </c>
      <c r="F125" s="3800" t="s">
        <v>2042</v>
      </c>
      <c r="G125" s="3800" t="s">
        <v>2042</v>
      </c>
      <c r="H125" s="2728" t="s">
        <v>94</v>
      </c>
      <c r="I125" s="567" t="s">
        <v>604</v>
      </c>
      <c r="J125" s="3800">
        <v>20200254</v>
      </c>
      <c r="K125" s="3805" t="s">
        <v>1263</v>
      </c>
      <c r="L125" s="3794" t="s">
        <v>1889</v>
      </c>
      <c r="M125" s="3796" t="s">
        <v>133</v>
      </c>
    </row>
    <row r="126" spans="1:13" s="60" customFormat="1" ht="17" customHeight="1">
      <c r="A126" s="3799"/>
      <c r="B126" s="3801"/>
      <c r="C126" s="3801"/>
      <c r="D126" s="3801"/>
      <c r="E126" s="3803"/>
      <c r="F126" s="3801"/>
      <c r="G126" s="3801"/>
      <c r="H126" s="569" t="s">
        <v>94</v>
      </c>
      <c r="I126" s="569" t="str">
        <f>A125</f>
        <v>GEN7</v>
      </c>
      <c r="J126" s="3804"/>
      <c r="K126" s="3806"/>
      <c r="L126" s="3795"/>
      <c r="M126" s="3797"/>
    </row>
    <row r="127" spans="1:13" s="60" customFormat="1" ht="17" customHeight="1">
      <c r="A127" s="3798" t="s">
        <v>1923</v>
      </c>
      <c r="B127" s="3800" t="s">
        <v>653</v>
      </c>
      <c r="C127" s="3800" t="s">
        <v>1176</v>
      </c>
      <c r="D127" s="3800" t="s">
        <v>1888</v>
      </c>
      <c r="E127" s="3802" t="s">
        <v>94</v>
      </c>
      <c r="F127" s="3800" t="s">
        <v>2042</v>
      </c>
      <c r="G127" s="3800" t="s">
        <v>2042</v>
      </c>
      <c r="H127" s="2728" t="s">
        <v>94</v>
      </c>
      <c r="I127" s="567" t="s">
        <v>604</v>
      </c>
      <c r="J127" s="3800">
        <v>20200254</v>
      </c>
      <c r="K127" s="3805" t="s">
        <v>1263</v>
      </c>
      <c r="L127" s="3794" t="s">
        <v>1889</v>
      </c>
      <c r="M127" s="3796" t="s">
        <v>133</v>
      </c>
    </row>
    <row r="128" spans="1:13" s="60" customFormat="1" ht="17" customHeight="1">
      <c r="A128" s="3799"/>
      <c r="B128" s="3801"/>
      <c r="C128" s="3801"/>
      <c r="D128" s="3801"/>
      <c r="E128" s="3803"/>
      <c r="F128" s="3801"/>
      <c r="G128" s="3801"/>
      <c r="H128" s="569" t="s">
        <v>94</v>
      </c>
      <c r="I128" s="569" t="str">
        <f>A127</f>
        <v>GEN8</v>
      </c>
      <c r="J128" s="3804"/>
      <c r="K128" s="3806"/>
      <c r="L128" s="3795"/>
      <c r="M128" s="3797"/>
    </row>
    <row r="129" spans="1:7" s="62" customFormat="1" ht="11.25" customHeight="1">
      <c r="A129" s="61" t="s">
        <v>134</v>
      </c>
    </row>
    <row r="130" spans="1:7" s="62" customFormat="1" ht="11.25" customHeight="1">
      <c r="A130" s="61" t="s">
        <v>135</v>
      </c>
    </row>
    <row r="131" spans="1:7" s="62" customFormat="1" ht="11.25" customHeight="1">
      <c r="A131" s="61" t="s">
        <v>136</v>
      </c>
    </row>
    <row r="132" spans="1:7" ht="11.25" customHeight="1">
      <c r="A132" s="61" t="s">
        <v>137</v>
      </c>
      <c r="B132" s="56"/>
      <c r="C132" s="56"/>
      <c r="D132" s="56"/>
      <c r="E132" s="56"/>
      <c r="F132" s="56"/>
      <c r="G132" s="56"/>
    </row>
    <row r="133" spans="1:7" ht="20.75" customHeight="1">
      <c r="A133" s="56"/>
      <c r="B133" s="56"/>
      <c r="C133" s="56"/>
      <c r="D133" s="56"/>
      <c r="E133" s="56"/>
      <c r="F133" s="56"/>
      <c r="G133" s="56"/>
    </row>
    <row r="134" spans="1:7" ht="20.75" customHeight="1">
      <c r="A134" s="56"/>
      <c r="B134" s="56"/>
      <c r="C134" s="56"/>
      <c r="D134" s="56"/>
      <c r="E134" s="56"/>
      <c r="F134" s="56"/>
      <c r="G134" s="56"/>
    </row>
    <row r="135" spans="1:7" ht="20.75" customHeight="1">
      <c r="A135" s="56"/>
      <c r="B135" s="56"/>
      <c r="C135" s="56"/>
      <c r="D135" s="56"/>
      <c r="E135" s="56"/>
      <c r="F135" s="56"/>
      <c r="G135" s="56"/>
    </row>
    <row r="136" spans="1:7" ht="20.75" customHeight="1">
      <c r="A136" s="56"/>
      <c r="B136" s="56"/>
      <c r="C136" s="56"/>
      <c r="D136" s="56"/>
      <c r="E136" s="56"/>
      <c r="F136" s="56"/>
      <c r="G136" s="56"/>
    </row>
    <row r="137" spans="1:7" ht="20.75" customHeight="1">
      <c r="A137" s="56"/>
      <c r="B137" s="56"/>
      <c r="C137" s="56"/>
      <c r="D137" s="56"/>
      <c r="E137" s="56"/>
      <c r="F137" s="56"/>
      <c r="G137" s="56"/>
    </row>
    <row r="138" spans="1:7" ht="20.75" customHeight="1">
      <c r="A138" s="56"/>
      <c r="B138" s="56"/>
      <c r="C138" s="56"/>
      <c r="D138" s="56"/>
      <c r="E138" s="56"/>
      <c r="F138" s="56"/>
      <c r="G138" s="56"/>
    </row>
    <row r="139" spans="1:7" ht="20.75" customHeight="1">
      <c r="A139" s="56"/>
      <c r="B139" s="56"/>
      <c r="C139" s="56"/>
      <c r="D139" s="56"/>
      <c r="E139" s="56"/>
      <c r="F139" s="56"/>
      <c r="G139" s="56"/>
    </row>
    <row r="140" spans="1:7" ht="20.75" customHeight="1">
      <c r="A140" s="56"/>
      <c r="B140" s="56"/>
      <c r="C140" s="56"/>
      <c r="D140" s="56"/>
      <c r="E140" s="56"/>
      <c r="F140" s="56"/>
      <c r="G140" s="56"/>
    </row>
    <row r="141" spans="1:7" ht="20.75" customHeight="1">
      <c r="A141" s="56"/>
      <c r="B141" s="56"/>
      <c r="C141" s="56"/>
      <c r="D141" s="56"/>
      <c r="E141" s="56"/>
      <c r="F141" s="56"/>
      <c r="G141" s="56"/>
    </row>
    <row r="142" spans="1:7" ht="20.75" customHeight="1">
      <c r="A142" s="56"/>
      <c r="B142" s="56"/>
      <c r="C142" s="56"/>
      <c r="D142" s="56"/>
      <c r="E142" s="56"/>
      <c r="F142" s="56"/>
      <c r="G142" s="56"/>
    </row>
    <row r="143" spans="1:7" ht="20.75" customHeight="1">
      <c r="A143" s="56"/>
      <c r="B143" s="56"/>
      <c r="C143" s="56"/>
      <c r="D143" s="56"/>
      <c r="E143" s="56"/>
      <c r="F143" s="56"/>
      <c r="G143" s="56"/>
    </row>
    <row r="144" spans="1:7" ht="20.75" customHeight="1">
      <c r="A144" s="56"/>
      <c r="B144" s="56"/>
      <c r="C144" s="56"/>
      <c r="D144" s="56"/>
      <c r="E144" s="56"/>
      <c r="F144" s="56"/>
      <c r="G144" s="56"/>
    </row>
    <row r="145" spans="1:7" ht="20.75" customHeight="1">
      <c r="A145" s="56"/>
      <c r="B145" s="56"/>
      <c r="C145" s="56"/>
      <c r="D145" s="56"/>
      <c r="E145" s="56"/>
      <c r="F145" s="56"/>
      <c r="G145" s="56"/>
    </row>
    <row r="146" spans="1:7" ht="20.75" customHeight="1">
      <c r="A146" s="56"/>
      <c r="B146" s="56"/>
      <c r="C146" s="56"/>
      <c r="D146" s="56"/>
      <c r="E146" s="56"/>
      <c r="F146" s="56"/>
      <c r="G146" s="56"/>
    </row>
    <row r="147" spans="1:7" ht="20.75" customHeight="1">
      <c r="A147" s="56"/>
      <c r="B147" s="56"/>
      <c r="C147" s="56"/>
      <c r="D147" s="56"/>
      <c r="E147" s="56"/>
      <c r="F147" s="56"/>
      <c r="G147" s="56"/>
    </row>
    <row r="148" spans="1:7" ht="20.75" customHeight="1">
      <c r="A148" s="56"/>
      <c r="B148" s="56"/>
      <c r="C148" s="56"/>
      <c r="D148" s="56"/>
      <c r="E148" s="56"/>
      <c r="F148" s="56"/>
      <c r="G148" s="56"/>
    </row>
    <row r="149" spans="1:7" ht="20.75" customHeight="1">
      <c r="A149" s="56"/>
      <c r="B149" s="56"/>
      <c r="C149" s="56"/>
      <c r="D149" s="56"/>
      <c r="E149" s="56"/>
      <c r="F149" s="56"/>
      <c r="G149" s="56"/>
    </row>
    <row r="150" spans="1:7" ht="20.75" customHeight="1">
      <c r="A150" s="56"/>
      <c r="B150" s="56"/>
      <c r="C150" s="56"/>
      <c r="D150" s="56"/>
      <c r="E150" s="56"/>
      <c r="F150" s="56"/>
      <c r="G150" s="56"/>
    </row>
    <row r="151" spans="1:7" ht="20.75" customHeight="1">
      <c r="A151" s="56"/>
      <c r="B151" s="56"/>
      <c r="C151" s="56"/>
      <c r="D151" s="56"/>
      <c r="E151" s="56"/>
      <c r="F151" s="56"/>
      <c r="G151" s="56"/>
    </row>
    <row r="152" spans="1:7" ht="20.75" customHeight="1">
      <c r="A152" s="56"/>
      <c r="B152" s="56"/>
      <c r="C152" s="56"/>
      <c r="D152" s="56"/>
      <c r="E152" s="56"/>
      <c r="F152" s="56"/>
      <c r="G152" s="56"/>
    </row>
    <row r="153" spans="1:7" ht="36" customHeight="1">
      <c r="A153" s="56"/>
      <c r="B153" s="56"/>
      <c r="C153" s="56"/>
      <c r="D153" s="56"/>
      <c r="E153" s="56"/>
      <c r="F153" s="56"/>
      <c r="G153" s="56"/>
    </row>
    <row r="154" spans="1:7">
      <c r="A154" s="56"/>
      <c r="B154" s="56"/>
      <c r="C154" s="56"/>
      <c r="D154" s="56"/>
      <c r="E154" s="56"/>
      <c r="F154" s="56"/>
      <c r="G154" s="56"/>
    </row>
    <row r="155" spans="1:7" ht="20.75" customHeight="1">
      <c r="A155" s="56"/>
      <c r="B155" s="56"/>
      <c r="C155" s="56"/>
      <c r="D155" s="56"/>
      <c r="E155" s="56"/>
      <c r="F155" s="56"/>
      <c r="G155" s="56"/>
    </row>
    <row r="156" spans="1:7" ht="20.75" customHeight="1">
      <c r="A156" s="56"/>
      <c r="B156" s="56"/>
      <c r="C156" s="56"/>
      <c r="D156" s="56"/>
      <c r="E156" s="56"/>
      <c r="F156" s="56"/>
      <c r="G156" s="56"/>
    </row>
    <row r="157" spans="1:7" ht="20.75" customHeight="1">
      <c r="A157" s="56"/>
      <c r="B157" s="56"/>
      <c r="C157" s="56"/>
      <c r="D157" s="56"/>
      <c r="E157" s="56"/>
      <c r="F157" s="56"/>
      <c r="G157" s="56"/>
    </row>
    <row r="158" spans="1:7" ht="20.75" customHeight="1">
      <c r="A158" s="56"/>
      <c r="B158" s="56"/>
      <c r="C158" s="56"/>
      <c r="D158" s="56"/>
      <c r="E158" s="56"/>
      <c r="F158" s="56"/>
      <c r="G158" s="56"/>
    </row>
    <row r="159" spans="1:7" ht="25.25" customHeight="1">
      <c r="A159" s="56"/>
      <c r="B159" s="56"/>
      <c r="C159" s="56"/>
      <c r="D159" s="56"/>
      <c r="E159" s="56"/>
      <c r="F159" s="56"/>
      <c r="G159" s="56"/>
    </row>
    <row r="160" spans="1:7" ht="25.25" customHeight="1">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row r="532" spans="1:7">
      <c r="A532" s="56"/>
      <c r="B532" s="56"/>
      <c r="C532" s="56"/>
      <c r="D532" s="56"/>
      <c r="E532" s="56"/>
      <c r="F532" s="56"/>
      <c r="G532" s="56"/>
    </row>
    <row r="533" spans="1:7">
      <c r="A533" s="56"/>
      <c r="B533" s="56"/>
      <c r="C533" s="56"/>
      <c r="D533" s="56"/>
      <c r="E533" s="56"/>
      <c r="F533" s="56"/>
      <c r="G533" s="56"/>
    </row>
    <row r="534" spans="1:7">
      <c r="A534" s="56"/>
      <c r="B534" s="56"/>
      <c r="C534" s="56"/>
      <c r="D534" s="56"/>
      <c r="E534" s="56"/>
      <c r="F534" s="56"/>
      <c r="G534" s="56"/>
    </row>
    <row r="535" spans="1:7">
      <c r="A535" s="56"/>
      <c r="B535" s="56"/>
      <c r="C535" s="56"/>
      <c r="D535" s="56"/>
      <c r="E535" s="56"/>
      <c r="F535" s="56"/>
      <c r="G535" s="56"/>
    </row>
    <row r="536" spans="1:7">
      <c r="A536" s="56"/>
      <c r="B536" s="56"/>
      <c r="C536" s="56"/>
      <c r="D536" s="56"/>
      <c r="E536" s="56"/>
      <c r="F536" s="56"/>
      <c r="G536" s="56"/>
    </row>
    <row r="537" spans="1:7">
      <c r="A537" s="56"/>
      <c r="B537" s="56"/>
      <c r="C537" s="56"/>
      <c r="D537" s="56"/>
      <c r="E537" s="56"/>
      <c r="F537" s="56"/>
      <c r="G537" s="56"/>
    </row>
    <row r="538" spans="1:7">
      <c r="A538" s="56"/>
      <c r="B538" s="56"/>
      <c r="C538" s="56"/>
      <c r="D538" s="56"/>
      <c r="E538" s="56"/>
      <c r="F538" s="56"/>
      <c r="G538" s="56"/>
    </row>
    <row r="539" spans="1:7">
      <c r="A539" s="56"/>
      <c r="B539" s="56"/>
      <c r="C539" s="56"/>
      <c r="D539" s="56"/>
      <c r="E539" s="56"/>
      <c r="F539" s="56"/>
      <c r="G539" s="56"/>
    </row>
    <row r="540" spans="1:7">
      <c r="A540" s="56"/>
      <c r="B540" s="56"/>
      <c r="C540" s="56"/>
      <c r="D540" s="56"/>
      <c r="E540" s="56"/>
      <c r="F540" s="56"/>
      <c r="G540" s="56"/>
    </row>
    <row r="541" spans="1:7">
      <c r="A541" s="56"/>
      <c r="B541" s="56"/>
      <c r="C541" s="56"/>
      <c r="D541" s="56"/>
      <c r="E541" s="56"/>
      <c r="F541" s="56"/>
      <c r="G541" s="56"/>
    </row>
    <row r="542" spans="1:7">
      <c r="A542" s="56"/>
      <c r="B542" s="56"/>
      <c r="C542" s="56"/>
      <c r="D542" s="56"/>
      <c r="E542" s="56"/>
      <c r="F542" s="56"/>
      <c r="G542" s="56"/>
    </row>
    <row r="543" spans="1:7">
      <c r="A543" s="56"/>
      <c r="B543" s="56"/>
      <c r="C543" s="56"/>
      <c r="D543" s="56"/>
      <c r="E543" s="56"/>
      <c r="F543" s="56"/>
      <c r="G543" s="56"/>
    </row>
    <row r="544" spans="1:7">
      <c r="A544" s="56"/>
      <c r="B544" s="56"/>
      <c r="C544" s="56"/>
      <c r="D544" s="56"/>
      <c r="E544" s="56"/>
      <c r="F544" s="56"/>
      <c r="G544" s="56"/>
    </row>
    <row r="545" spans="1:7">
      <c r="A545" s="56"/>
      <c r="B545" s="56"/>
      <c r="C545" s="56"/>
      <c r="D545" s="56"/>
      <c r="E545" s="56"/>
      <c r="F545" s="56"/>
      <c r="G545" s="56"/>
    </row>
    <row r="546" spans="1:7">
      <c r="A546" s="56"/>
      <c r="B546" s="56"/>
      <c r="C546" s="56"/>
      <c r="D546" s="56"/>
      <c r="E546" s="56"/>
      <c r="F546" s="56"/>
      <c r="G546" s="56"/>
    </row>
    <row r="547" spans="1:7">
      <c r="A547" s="56"/>
      <c r="B547" s="56"/>
      <c r="C547" s="56"/>
      <c r="D547" s="56"/>
      <c r="E547" s="56"/>
      <c r="F547" s="56"/>
      <c r="G547" s="56"/>
    </row>
    <row r="548" spans="1:7">
      <c r="A548" s="56"/>
      <c r="B548" s="56"/>
      <c r="C548" s="56"/>
      <c r="D548" s="56"/>
      <c r="E548" s="56"/>
      <c r="F548" s="56"/>
      <c r="G548" s="56"/>
    </row>
    <row r="549" spans="1:7">
      <c r="A549" s="56"/>
      <c r="B549" s="56"/>
      <c r="C549" s="56"/>
      <c r="D549" s="56"/>
      <c r="E549" s="56"/>
      <c r="F549" s="56"/>
      <c r="G549" s="56"/>
    </row>
    <row r="550" spans="1:7">
      <c r="A550" s="56"/>
      <c r="B550" s="56"/>
      <c r="C550" s="56"/>
      <c r="D550" s="56"/>
      <c r="E550" s="56"/>
      <c r="F550" s="56"/>
      <c r="G550" s="56"/>
    </row>
    <row r="551" spans="1:7">
      <c r="A551" s="56"/>
      <c r="B551" s="56"/>
      <c r="C551" s="56"/>
      <c r="D551" s="56"/>
      <c r="E551" s="56"/>
      <c r="F551" s="56"/>
      <c r="G551" s="56"/>
    </row>
    <row r="552" spans="1:7">
      <c r="A552" s="56"/>
      <c r="B552" s="56"/>
      <c r="C552" s="56"/>
      <c r="D552" s="56"/>
      <c r="E552" s="56"/>
      <c r="F552" s="56"/>
      <c r="G552" s="56"/>
    </row>
    <row r="553" spans="1:7">
      <c r="A553" s="56"/>
      <c r="B553" s="56"/>
      <c r="C553" s="56"/>
      <c r="D553" s="56"/>
      <c r="E553" s="56"/>
      <c r="F553" s="56"/>
      <c r="G553" s="56"/>
    </row>
    <row r="554" spans="1:7">
      <c r="A554" s="56"/>
      <c r="B554" s="56"/>
      <c r="C554" s="56"/>
      <c r="D554" s="56"/>
      <c r="E554" s="56"/>
      <c r="F554" s="56"/>
      <c r="G554" s="56"/>
    </row>
    <row r="555" spans="1:7">
      <c r="A555" s="56"/>
      <c r="B555" s="56"/>
      <c r="C555" s="56"/>
      <c r="D555" s="56"/>
      <c r="E555" s="56"/>
      <c r="F555" s="56"/>
      <c r="G555" s="56"/>
    </row>
    <row r="556" spans="1:7">
      <c r="A556" s="56"/>
      <c r="B556" s="56"/>
      <c r="C556" s="56"/>
      <c r="D556" s="56"/>
      <c r="E556" s="56"/>
      <c r="F556" s="56"/>
      <c r="G556" s="56"/>
    </row>
    <row r="557" spans="1:7">
      <c r="A557" s="56"/>
      <c r="B557" s="56"/>
      <c r="C557" s="56"/>
      <c r="D557" s="56"/>
      <c r="E557" s="56"/>
      <c r="F557" s="56"/>
      <c r="G557" s="56"/>
    </row>
    <row r="558" spans="1:7">
      <c r="A558" s="56"/>
      <c r="B558" s="56"/>
      <c r="C558" s="56"/>
      <c r="D558" s="56"/>
      <c r="E558" s="56"/>
      <c r="F558" s="56"/>
      <c r="G558" s="56"/>
    </row>
    <row r="559" spans="1:7">
      <c r="A559" s="56"/>
      <c r="B559" s="56"/>
      <c r="C559" s="56"/>
      <c r="D559" s="56"/>
      <c r="E559" s="56"/>
      <c r="F559" s="56"/>
      <c r="G559" s="56"/>
    </row>
    <row r="560" spans="1:7">
      <c r="A560" s="56"/>
      <c r="B560" s="56"/>
      <c r="C560" s="56"/>
      <c r="D560" s="56"/>
      <c r="E560" s="56"/>
      <c r="F560" s="56"/>
      <c r="G560" s="56"/>
    </row>
    <row r="561" spans="1:7">
      <c r="A561" s="56"/>
      <c r="B561" s="56"/>
      <c r="C561" s="56"/>
      <c r="D561" s="56"/>
      <c r="E561" s="56"/>
      <c r="F561" s="56"/>
      <c r="G561" s="56"/>
    </row>
    <row r="562" spans="1:7">
      <c r="A562" s="56"/>
      <c r="B562" s="56"/>
      <c r="C562" s="56"/>
      <c r="D562" s="56"/>
      <c r="E562" s="56"/>
      <c r="F562" s="56"/>
      <c r="G562" s="56"/>
    </row>
    <row r="563" spans="1:7">
      <c r="A563" s="56"/>
      <c r="B563" s="56"/>
      <c r="C563" s="56"/>
      <c r="D563" s="56"/>
      <c r="E563" s="56"/>
      <c r="F563" s="56"/>
      <c r="G563" s="56"/>
    </row>
    <row r="564" spans="1:7">
      <c r="A564" s="56"/>
      <c r="B564" s="56"/>
      <c r="C564" s="56"/>
      <c r="D564" s="56"/>
      <c r="E564" s="56"/>
      <c r="F564" s="56"/>
      <c r="G564" s="56"/>
    </row>
    <row r="565" spans="1:7">
      <c r="A565" s="56"/>
      <c r="B565" s="56"/>
      <c r="C565" s="56"/>
      <c r="D565" s="56"/>
      <c r="E565" s="56"/>
      <c r="F565" s="56"/>
      <c r="G565" s="56"/>
    </row>
    <row r="566" spans="1:7">
      <c r="A566" s="56"/>
      <c r="B566" s="56"/>
      <c r="C566" s="56"/>
      <c r="D566" s="56"/>
      <c r="E566" s="56"/>
      <c r="F566" s="56"/>
      <c r="G566" s="56"/>
    </row>
    <row r="567" spans="1:7">
      <c r="A567" s="56"/>
      <c r="B567" s="56"/>
      <c r="C567" s="56"/>
      <c r="D567" s="56"/>
      <c r="E567" s="56"/>
      <c r="F567" s="56"/>
      <c r="G567" s="56"/>
    </row>
    <row r="568" spans="1:7">
      <c r="A568" s="56"/>
      <c r="B568" s="56"/>
      <c r="C568" s="56"/>
      <c r="D568" s="56"/>
      <c r="E568" s="56"/>
      <c r="F568" s="56"/>
      <c r="G568" s="56"/>
    </row>
    <row r="569" spans="1:7">
      <c r="A569" s="56"/>
      <c r="B569" s="56"/>
      <c r="C569" s="56"/>
      <c r="D569" s="56"/>
      <c r="E569" s="56"/>
      <c r="F569" s="56"/>
      <c r="G569" s="56"/>
    </row>
    <row r="570" spans="1:7">
      <c r="A570" s="56"/>
      <c r="B570" s="56"/>
      <c r="C570" s="56"/>
      <c r="D570" s="56"/>
      <c r="E570" s="56"/>
      <c r="F570" s="56"/>
      <c r="G570" s="56"/>
    </row>
    <row r="571" spans="1:7">
      <c r="A571" s="56"/>
      <c r="B571" s="56"/>
      <c r="C571" s="56"/>
      <c r="D571" s="56"/>
      <c r="E571" s="56"/>
      <c r="F571" s="56"/>
      <c r="G571" s="56"/>
    </row>
    <row r="572" spans="1:7">
      <c r="A572" s="56"/>
      <c r="B572" s="56"/>
      <c r="C572" s="56"/>
      <c r="D572" s="56"/>
      <c r="E572" s="56"/>
      <c r="F572" s="56"/>
      <c r="G572" s="56"/>
    </row>
    <row r="573" spans="1:7">
      <c r="A573" s="56"/>
      <c r="B573" s="56"/>
      <c r="C573" s="56"/>
      <c r="D573" s="56"/>
      <c r="E573" s="56"/>
      <c r="F573" s="56"/>
      <c r="G573" s="56"/>
    </row>
  </sheetData>
  <mergeCells count="688">
    <mergeCell ref="L127:L128"/>
    <mergeCell ref="M127:M128"/>
    <mergeCell ref="A127:A128"/>
    <mergeCell ref="B127:B128"/>
    <mergeCell ref="C127:C128"/>
    <mergeCell ref="D127:D128"/>
    <mergeCell ref="E127:E128"/>
    <mergeCell ref="F127:F128"/>
    <mergeCell ref="G127:G128"/>
    <mergeCell ref="J127:J128"/>
    <mergeCell ref="K127:K128"/>
    <mergeCell ref="L123:L124"/>
    <mergeCell ref="M123:M124"/>
    <mergeCell ref="A125:A126"/>
    <mergeCell ref="B125:B126"/>
    <mergeCell ref="C125:C126"/>
    <mergeCell ref="D125:D126"/>
    <mergeCell ref="E125:E126"/>
    <mergeCell ref="F125:F126"/>
    <mergeCell ref="G125:G126"/>
    <mergeCell ref="J125:J126"/>
    <mergeCell ref="K125:K126"/>
    <mergeCell ref="L125:L126"/>
    <mergeCell ref="M125:M126"/>
    <mergeCell ref="A123:A124"/>
    <mergeCell ref="B123:B124"/>
    <mergeCell ref="C123:C124"/>
    <mergeCell ref="D123:D124"/>
    <mergeCell ref="E123:E124"/>
    <mergeCell ref="F123:F124"/>
    <mergeCell ref="G123:G124"/>
    <mergeCell ref="J123:J124"/>
    <mergeCell ref="K123:K124"/>
    <mergeCell ref="L109:L110"/>
    <mergeCell ref="M109:M110"/>
    <mergeCell ref="A111:A112"/>
    <mergeCell ref="B111:B112"/>
    <mergeCell ref="C111:C112"/>
    <mergeCell ref="D111:D112"/>
    <mergeCell ref="E111:E112"/>
    <mergeCell ref="F111:F112"/>
    <mergeCell ref="G111:G112"/>
    <mergeCell ref="J111:J112"/>
    <mergeCell ref="K111:K112"/>
    <mergeCell ref="L111:L112"/>
    <mergeCell ref="M111:M112"/>
    <mergeCell ref="A109:A110"/>
    <mergeCell ref="B109:B110"/>
    <mergeCell ref="C109:C110"/>
    <mergeCell ref="D109:D110"/>
    <mergeCell ref="E109:E110"/>
    <mergeCell ref="F109:F110"/>
    <mergeCell ref="G109:G110"/>
    <mergeCell ref="J109:J110"/>
    <mergeCell ref="K109:K110"/>
    <mergeCell ref="L105:L106"/>
    <mergeCell ref="M105:M106"/>
    <mergeCell ref="A107:A108"/>
    <mergeCell ref="B107:B108"/>
    <mergeCell ref="C107:C108"/>
    <mergeCell ref="D107:D108"/>
    <mergeCell ref="E107:E108"/>
    <mergeCell ref="F107:F108"/>
    <mergeCell ref="G107:G108"/>
    <mergeCell ref="J107:J108"/>
    <mergeCell ref="K107:K108"/>
    <mergeCell ref="L107:L108"/>
    <mergeCell ref="M107:M108"/>
    <mergeCell ref="A105:A106"/>
    <mergeCell ref="B105:B106"/>
    <mergeCell ref="C105:C106"/>
    <mergeCell ref="D105:D106"/>
    <mergeCell ref="E105:E106"/>
    <mergeCell ref="F105:F106"/>
    <mergeCell ref="G105:G106"/>
    <mergeCell ref="J105:J106"/>
    <mergeCell ref="K105:K106"/>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A9:A10"/>
    <mergeCell ref="B9:B10"/>
    <mergeCell ref="C9:C10"/>
    <mergeCell ref="D9:D10"/>
    <mergeCell ref="E9:E10"/>
    <mergeCell ref="A7:A8"/>
    <mergeCell ref="B7:B8"/>
    <mergeCell ref="C7:C8"/>
    <mergeCell ref="D7:D8"/>
    <mergeCell ref="E7:E8"/>
    <mergeCell ref="F9:F10"/>
    <mergeCell ref="G9:G10"/>
    <mergeCell ref="J9:J10"/>
    <mergeCell ref="K9:K10"/>
    <mergeCell ref="L9:L10"/>
    <mergeCell ref="M9:M10"/>
    <mergeCell ref="G7:G8"/>
    <mergeCell ref="J7:J8"/>
    <mergeCell ref="K7:K8"/>
    <mergeCell ref="L7:L8"/>
    <mergeCell ref="M7:M8"/>
    <mergeCell ref="F7:F8"/>
    <mergeCell ref="A13:A14"/>
    <mergeCell ref="B13:B14"/>
    <mergeCell ref="C13:C14"/>
    <mergeCell ref="D13:D14"/>
    <mergeCell ref="E13:E14"/>
    <mergeCell ref="A11:A12"/>
    <mergeCell ref="B11:B12"/>
    <mergeCell ref="C11:C12"/>
    <mergeCell ref="D11:D12"/>
    <mergeCell ref="E11:E12"/>
    <mergeCell ref="F13:F14"/>
    <mergeCell ref="G13:G14"/>
    <mergeCell ref="J13:J14"/>
    <mergeCell ref="K13:K14"/>
    <mergeCell ref="L13:L14"/>
    <mergeCell ref="M13:M14"/>
    <mergeCell ref="G11:G12"/>
    <mergeCell ref="J11:J12"/>
    <mergeCell ref="K11:K12"/>
    <mergeCell ref="L11:L12"/>
    <mergeCell ref="M11:M12"/>
    <mergeCell ref="F11:F12"/>
    <mergeCell ref="A17:A18"/>
    <mergeCell ref="B17:B18"/>
    <mergeCell ref="C17:C18"/>
    <mergeCell ref="D17:D18"/>
    <mergeCell ref="E17:E18"/>
    <mergeCell ref="A15:A16"/>
    <mergeCell ref="B15:B16"/>
    <mergeCell ref="C15:C16"/>
    <mergeCell ref="D15:D16"/>
    <mergeCell ref="E15:E16"/>
    <mergeCell ref="F17:F18"/>
    <mergeCell ref="G17:G18"/>
    <mergeCell ref="J17:J18"/>
    <mergeCell ref="K17:K18"/>
    <mergeCell ref="L17:L18"/>
    <mergeCell ref="M17:M18"/>
    <mergeCell ref="G15:G16"/>
    <mergeCell ref="J15:J16"/>
    <mergeCell ref="K15:K16"/>
    <mergeCell ref="L15:L16"/>
    <mergeCell ref="M15:M16"/>
    <mergeCell ref="F15:F16"/>
    <mergeCell ref="A21:A22"/>
    <mergeCell ref="B21:B22"/>
    <mergeCell ref="C21:C22"/>
    <mergeCell ref="D21:D22"/>
    <mergeCell ref="E21:E22"/>
    <mergeCell ref="A19:A20"/>
    <mergeCell ref="B19:B20"/>
    <mergeCell ref="C19:C20"/>
    <mergeCell ref="D19:D20"/>
    <mergeCell ref="E19:E20"/>
    <mergeCell ref="F21:F22"/>
    <mergeCell ref="G21:G22"/>
    <mergeCell ref="J21:J22"/>
    <mergeCell ref="K21:K22"/>
    <mergeCell ref="L21:L22"/>
    <mergeCell ref="M21:M22"/>
    <mergeCell ref="G19:G20"/>
    <mergeCell ref="J19:J20"/>
    <mergeCell ref="K19:K20"/>
    <mergeCell ref="L19:L20"/>
    <mergeCell ref="M19:M20"/>
    <mergeCell ref="F19:F20"/>
    <mergeCell ref="A25:A26"/>
    <mergeCell ref="B25:B26"/>
    <mergeCell ref="C25:C26"/>
    <mergeCell ref="D25:D26"/>
    <mergeCell ref="E25:E26"/>
    <mergeCell ref="A23:A24"/>
    <mergeCell ref="B23:B24"/>
    <mergeCell ref="C23:C24"/>
    <mergeCell ref="D23:D24"/>
    <mergeCell ref="E23:E24"/>
    <mergeCell ref="F25:F26"/>
    <mergeCell ref="G25:G26"/>
    <mergeCell ref="J25:J26"/>
    <mergeCell ref="K25:K26"/>
    <mergeCell ref="L25:L26"/>
    <mergeCell ref="M25:M26"/>
    <mergeCell ref="G23:G24"/>
    <mergeCell ref="J23:J24"/>
    <mergeCell ref="K23:K24"/>
    <mergeCell ref="L23:L24"/>
    <mergeCell ref="M23:M24"/>
    <mergeCell ref="F23:F24"/>
    <mergeCell ref="A29:A30"/>
    <mergeCell ref="B29:B30"/>
    <mergeCell ref="C29:C30"/>
    <mergeCell ref="D29:D30"/>
    <mergeCell ref="E29:E30"/>
    <mergeCell ref="A27:A28"/>
    <mergeCell ref="B27:B28"/>
    <mergeCell ref="C27:C28"/>
    <mergeCell ref="D27:D28"/>
    <mergeCell ref="E27:E28"/>
    <mergeCell ref="F29:F30"/>
    <mergeCell ref="G29:G30"/>
    <mergeCell ref="J29:J30"/>
    <mergeCell ref="K29:K30"/>
    <mergeCell ref="L29:L30"/>
    <mergeCell ref="M29:M30"/>
    <mergeCell ref="G27:G28"/>
    <mergeCell ref="J27:J28"/>
    <mergeCell ref="K27:K28"/>
    <mergeCell ref="L27:L28"/>
    <mergeCell ref="M27:M28"/>
    <mergeCell ref="F27:F28"/>
    <mergeCell ref="A33:A34"/>
    <mergeCell ref="B33:B34"/>
    <mergeCell ref="C33:C34"/>
    <mergeCell ref="D33:D34"/>
    <mergeCell ref="E33:E34"/>
    <mergeCell ref="A31:A32"/>
    <mergeCell ref="B31:B32"/>
    <mergeCell ref="C31:C32"/>
    <mergeCell ref="D31:D32"/>
    <mergeCell ref="E31:E32"/>
    <mergeCell ref="F33:F34"/>
    <mergeCell ref="G33:G34"/>
    <mergeCell ref="J33:J34"/>
    <mergeCell ref="K33:K34"/>
    <mergeCell ref="L33:L34"/>
    <mergeCell ref="M33:M34"/>
    <mergeCell ref="G31:G32"/>
    <mergeCell ref="J31:J32"/>
    <mergeCell ref="K31:K32"/>
    <mergeCell ref="L31:L32"/>
    <mergeCell ref="M31:M32"/>
    <mergeCell ref="F31:F32"/>
    <mergeCell ref="G35:G36"/>
    <mergeCell ref="J35:J36"/>
    <mergeCell ref="K35:K36"/>
    <mergeCell ref="L35:L36"/>
    <mergeCell ref="M35:M36"/>
    <mergeCell ref="A35:A36"/>
    <mergeCell ref="B35:B36"/>
    <mergeCell ref="C35:C36"/>
    <mergeCell ref="D35:D36"/>
    <mergeCell ref="E35:E36"/>
    <mergeCell ref="F35:F36"/>
    <mergeCell ref="A39:A40"/>
    <mergeCell ref="B39:B40"/>
    <mergeCell ref="C39:C40"/>
    <mergeCell ref="D39:D40"/>
    <mergeCell ref="E39:E40"/>
    <mergeCell ref="A37:A38"/>
    <mergeCell ref="B37:B38"/>
    <mergeCell ref="C37:C38"/>
    <mergeCell ref="D37:D38"/>
    <mergeCell ref="E37:E38"/>
    <mergeCell ref="F39:F40"/>
    <mergeCell ref="G39:G40"/>
    <mergeCell ref="J39:J40"/>
    <mergeCell ref="K39:K40"/>
    <mergeCell ref="L39:L40"/>
    <mergeCell ref="M39:M40"/>
    <mergeCell ref="G37:G38"/>
    <mergeCell ref="J37:J38"/>
    <mergeCell ref="K37:K38"/>
    <mergeCell ref="L37:L38"/>
    <mergeCell ref="M37:M38"/>
    <mergeCell ref="F37:F38"/>
    <mergeCell ref="G41:G42"/>
    <mergeCell ref="J41:J42"/>
    <mergeCell ref="K41:K42"/>
    <mergeCell ref="L41:L42"/>
    <mergeCell ref="M41:M42"/>
    <mergeCell ref="A41:A42"/>
    <mergeCell ref="B41:B42"/>
    <mergeCell ref="C41:C42"/>
    <mergeCell ref="D41:D42"/>
    <mergeCell ref="E41:E42"/>
    <mergeCell ref="F41:F42"/>
    <mergeCell ref="A45:A46"/>
    <mergeCell ref="B45:B46"/>
    <mergeCell ref="C45:C46"/>
    <mergeCell ref="D45:D46"/>
    <mergeCell ref="E45:E46"/>
    <mergeCell ref="A43:A44"/>
    <mergeCell ref="B43:B44"/>
    <mergeCell ref="C43:C44"/>
    <mergeCell ref="D43:D44"/>
    <mergeCell ref="E43:E44"/>
    <mergeCell ref="F45:F46"/>
    <mergeCell ref="G45:G46"/>
    <mergeCell ref="J45:J46"/>
    <mergeCell ref="K45:K46"/>
    <mergeCell ref="L45:L46"/>
    <mergeCell ref="M45:M46"/>
    <mergeCell ref="G43:G44"/>
    <mergeCell ref="J43:J44"/>
    <mergeCell ref="K43:K44"/>
    <mergeCell ref="L43:L44"/>
    <mergeCell ref="M43:M44"/>
    <mergeCell ref="F43:F44"/>
    <mergeCell ref="A53:A54"/>
    <mergeCell ref="B53:B54"/>
    <mergeCell ref="C53:C54"/>
    <mergeCell ref="D53:D54"/>
    <mergeCell ref="E53:E54"/>
    <mergeCell ref="A47:A48"/>
    <mergeCell ref="B47:B48"/>
    <mergeCell ref="C47:C48"/>
    <mergeCell ref="D47:D48"/>
    <mergeCell ref="E47:E48"/>
    <mergeCell ref="A49:A50"/>
    <mergeCell ref="B49:B50"/>
    <mergeCell ref="C49:C50"/>
    <mergeCell ref="D49:D50"/>
    <mergeCell ref="E49:E50"/>
    <mergeCell ref="A51:A52"/>
    <mergeCell ref="B51:B52"/>
    <mergeCell ref="C51:C52"/>
    <mergeCell ref="D51:D52"/>
    <mergeCell ref="E51:E52"/>
    <mergeCell ref="F53:F54"/>
    <mergeCell ref="G53:G54"/>
    <mergeCell ref="J53:J54"/>
    <mergeCell ref="K53:K54"/>
    <mergeCell ref="L53:L54"/>
    <mergeCell ref="M53:M54"/>
    <mergeCell ref="G47:G48"/>
    <mergeCell ref="J47:J48"/>
    <mergeCell ref="K47:K48"/>
    <mergeCell ref="L47:L48"/>
    <mergeCell ref="M47:M48"/>
    <mergeCell ref="F47:F48"/>
    <mergeCell ref="F49:F50"/>
    <mergeCell ref="G49:G50"/>
    <mergeCell ref="J49:J50"/>
    <mergeCell ref="K49:K50"/>
    <mergeCell ref="L49:L50"/>
    <mergeCell ref="M49:M50"/>
    <mergeCell ref="F51:F52"/>
    <mergeCell ref="G51:G52"/>
    <mergeCell ref="J51:J52"/>
    <mergeCell ref="K51:K52"/>
    <mergeCell ref="L51:L52"/>
    <mergeCell ref="M51:M52"/>
    <mergeCell ref="A57:A58"/>
    <mergeCell ref="B57:B58"/>
    <mergeCell ref="C57:C58"/>
    <mergeCell ref="D57:D58"/>
    <mergeCell ref="E57:E58"/>
    <mergeCell ref="A55:A56"/>
    <mergeCell ref="B55:B56"/>
    <mergeCell ref="C55:C56"/>
    <mergeCell ref="D55:D56"/>
    <mergeCell ref="E55:E56"/>
    <mergeCell ref="F57:F58"/>
    <mergeCell ref="G57:G58"/>
    <mergeCell ref="J57:J58"/>
    <mergeCell ref="K57:K58"/>
    <mergeCell ref="L57:L58"/>
    <mergeCell ref="M57:M58"/>
    <mergeCell ref="G55:G56"/>
    <mergeCell ref="J55:J56"/>
    <mergeCell ref="K55:K56"/>
    <mergeCell ref="L55:L56"/>
    <mergeCell ref="M55:M56"/>
    <mergeCell ref="F55:F56"/>
    <mergeCell ref="A61:A62"/>
    <mergeCell ref="B61:B62"/>
    <mergeCell ref="C61:C62"/>
    <mergeCell ref="D61:D62"/>
    <mergeCell ref="E61:E62"/>
    <mergeCell ref="A59:A60"/>
    <mergeCell ref="B59:B60"/>
    <mergeCell ref="C59:C60"/>
    <mergeCell ref="D59:D60"/>
    <mergeCell ref="E59:E60"/>
    <mergeCell ref="F61:F62"/>
    <mergeCell ref="G61:G62"/>
    <mergeCell ref="J61:J62"/>
    <mergeCell ref="K61:K62"/>
    <mergeCell ref="L61:L62"/>
    <mergeCell ref="M61:M62"/>
    <mergeCell ref="G59:G60"/>
    <mergeCell ref="J59:J60"/>
    <mergeCell ref="K59:K60"/>
    <mergeCell ref="L59:L60"/>
    <mergeCell ref="M59:M60"/>
    <mergeCell ref="F59:F60"/>
    <mergeCell ref="A65:A66"/>
    <mergeCell ref="B65:B66"/>
    <mergeCell ref="C65:C66"/>
    <mergeCell ref="D65:D66"/>
    <mergeCell ref="E65:E66"/>
    <mergeCell ref="A63:A64"/>
    <mergeCell ref="B63:B64"/>
    <mergeCell ref="C63:C64"/>
    <mergeCell ref="D63:D64"/>
    <mergeCell ref="E63:E64"/>
    <mergeCell ref="F65:F66"/>
    <mergeCell ref="G65:G66"/>
    <mergeCell ref="J65:J66"/>
    <mergeCell ref="K65:K66"/>
    <mergeCell ref="L65:L66"/>
    <mergeCell ref="M65:M66"/>
    <mergeCell ref="G63:G64"/>
    <mergeCell ref="J63:J64"/>
    <mergeCell ref="K63:K64"/>
    <mergeCell ref="L63:L64"/>
    <mergeCell ref="M63:M64"/>
    <mergeCell ref="F63:F64"/>
    <mergeCell ref="A69:A70"/>
    <mergeCell ref="B69:B70"/>
    <mergeCell ref="C69:C70"/>
    <mergeCell ref="D69:D70"/>
    <mergeCell ref="E69:E70"/>
    <mergeCell ref="A67:A68"/>
    <mergeCell ref="B67:B68"/>
    <mergeCell ref="C67:C68"/>
    <mergeCell ref="D67:D68"/>
    <mergeCell ref="E67:E68"/>
    <mergeCell ref="F69:F70"/>
    <mergeCell ref="G69:G70"/>
    <mergeCell ref="J69:J70"/>
    <mergeCell ref="K69:K70"/>
    <mergeCell ref="L69:L70"/>
    <mergeCell ref="M69:M70"/>
    <mergeCell ref="G67:G68"/>
    <mergeCell ref="J67:J68"/>
    <mergeCell ref="K67:K68"/>
    <mergeCell ref="L67:L68"/>
    <mergeCell ref="M67:M68"/>
    <mergeCell ref="F67:F68"/>
    <mergeCell ref="A73:A74"/>
    <mergeCell ref="B73:B74"/>
    <mergeCell ref="C73:C74"/>
    <mergeCell ref="D73:D74"/>
    <mergeCell ref="E73:E74"/>
    <mergeCell ref="A71:A72"/>
    <mergeCell ref="B71:B72"/>
    <mergeCell ref="C71:C72"/>
    <mergeCell ref="D71:D72"/>
    <mergeCell ref="E71:E72"/>
    <mergeCell ref="F73:F74"/>
    <mergeCell ref="G73:G74"/>
    <mergeCell ref="J73:J74"/>
    <mergeCell ref="K73:K74"/>
    <mergeCell ref="L73:L74"/>
    <mergeCell ref="M73:M74"/>
    <mergeCell ref="G71:G72"/>
    <mergeCell ref="J71:J72"/>
    <mergeCell ref="K71:K72"/>
    <mergeCell ref="L71:L72"/>
    <mergeCell ref="M71:M72"/>
    <mergeCell ref="F71:F72"/>
    <mergeCell ref="F75:F76"/>
    <mergeCell ref="G75:G76"/>
    <mergeCell ref="J75:J76"/>
    <mergeCell ref="K75:K76"/>
    <mergeCell ref="L75:L76"/>
    <mergeCell ref="M75:M76"/>
    <mergeCell ref="A75:A76"/>
    <mergeCell ref="B75:B76"/>
    <mergeCell ref="C75:C76"/>
    <mergeCell ref="D75:D76"/>
    <mergeCell ref="E75:E76"/>
    <mergeCell ref="A79:A80"/>
    <mergeCell ref="B79:B80"/>
    <mergeCell ref="C79:C80"/>
    <mergeCell ref="D79:D80"/>
    <mergeCell ref="E79:E80"/>
    <mergeCell ref="A77:A78"/>
    <mergeCell ref="B77:B78"/>
    <mergeCell ref="C77:C78"/>
    <mergeCell ref="D77:D78"/>
    <mergeCell ref="E77:E78"/>
    <mergeCell ref="F79:F80"/>
    <mergeCell ref="G79:G80"/>
    <mergeCell ref="J79:J80"/>
    <mergeCell ref="K79:K80"/>
    <mergeCell ref="L79:L80"/>
    <mergeCell ref="M79:M80"/>
    <mergeCell ref="G77:G78"/>
    <mergeCell ref="J77:J78"/>
    <mergeCell ref="K77:K78"/>
    <mergeCell ref="L77:L78"/>
    <mergeCell ref="M77:M78"/>
    <mergeCell ref="F77:F78"/>
    <mergeCell ref="F81:F82"/>
    <mergeCell ref="G81:G82"/>
    <mergeCell ref="J81:J82"/>
    <mergeCell ref="K81:K82"/>
    <mergeCell ref="L81:L82"/>
    <mergeCell ref="M81:M82"/>
    <mergeCell ref="A81:A82"/>
    <mergeCell ref="B81:B82"/>
    <mergeCell ref="C81:C82"/>
    <mergeCell ref="D81:D82"/>
    <mergeCell ref="E81:E82"/>
    <mergeCell ref="A85:A86"/>
    <mergeCell ref="B85:B86"/>
    <mergeCell ref="C85:C86"/>
    <mergeCell ref="D85:D86"/>
    <mergeCell ref="E85:E86"/>
    <mergeCell ref="A83:A84"/>
    <mergeCell ref="B83:B84"/>
    <mergeCell ref="C83:C84"/>
    <mergeCell ref="D83:D84"/>
    <mergeCell ref="E83:E84"/>
    <mergeCell ref="F85:F86"/>
    <mergeCell ref="G85:G86"/>
    <mergeCell ref="J85:J86"/>
    <mergeCell ref="K85:K86"/>
    <mergeCell ref="L85:L86"/>
    <mergeCell ref="M85:M86"/>
    <mergeCell ref="G83:G84"/>
    <mergeCell ref="J83:J84"/>
    <mergeCell ref="K83:K84"/>
    <mergeCell ref="L83:L84"/>
    <mergeCell ref="M83:M84"/>
    <mergeCell ref="F83:F84"/>
    <mergeCell ref="A89:A90"/>
    <mergeCell ref="B89:B90"/>
    <mergeCell ref="C89:C90"/>
    <mergeCell ref="D89:D90"/>
    <mergeCell ref="E89:E90"/>
    <mergeCell ref="A87:A88"/>
    <mergeCell ref="B87:B88"/>
    <mergeCell ref="C87:C88"/>
    <mergeCell ref="D87:D88"/>
    <mergeCell ref="E87:E88"/>
    <mergeCell ref="F89:F90"/>
    <mergeCell ref="G89:G90"/>
    <mergeCell ref="J89:J90"/>
    <mergeCell ref="K89:K90"/>
    <mergeCell ref="L89:L90"/>
    <mergeCell ref="M89:M90"/>
    <mergeCell ref="G87:G88"/>
    <mergeCell ref="J87:J88"/>
    <mergeCell ref="K87:K88"/>
    <mergeCell ref="L87:L88"/>
    <mergeCell ref="M87:M88"/>
    <mergeCell ref="F87:F88"/>
    <mergeCell ref="A93:A94"/>
    <mergeCell ref="B93:B94"/>
    <mergeCell ref="C93:C94"/>
    <mergeCell ref="D93:D94"/>
    <mergeCell ref="E93:E94"/>
    <mergeCell ref="A91:A92"/>
    <mergeCell ref="B91:B92"/>
    <mergeCell ref="C91:C92"/>
    <mergeCell ref="D91:D92"/>
    <mergeCell ref="E91:E92"/>
    <mergeCell ref="F93:F94"/>
    <mergeCell ref="G93:G94"/>
    <mergeCell ref="J93:J94"/>
    <mergeCell ref="K93:K94"/>
    <mergeCell ref="L93:L94"/>
    <mergeCell ref="M93:M94"/>
    <mergeCell ref="G91:G92"/>
    <mergeCell ref="J91:J92"/>
    <mergeCell ref="K91:K92"/>
    <mergeCell ref="L91:L92"/>
    <mergeCell ref="M91:M92"/>
    <mergeCell ref="F91:F92"/>
    <mergeCell ref="A97:A98"/>
    <mergeCell ref="B97:B98"/>
    <mergeCell ref="C97:C98"/>
    <mergeCell ref="D97:D98"/>
    <mergeCell ref="E97:E98"/>
    <mergeCell ref="A95:A96"/>
    <mergeCell ref="B95:B96"/>
    <mergeCell ref="C95:C96"/>
    <mergeCell ref="D95:D96"/>
    <mergeCell ref="E95:E96"/>
    <mergeCell ref="F97:F98"/>
    <mergeCell ref="G97:G98"/>
    <mergeCell ref="J97:J98"/>
    <mergeCell ref="K97:K98"/>
    <mergeCell ref="L97:L98"/>
    <mergeCell ref="M97:M98"/>
    <mergeCell ref="G95:G96"/>
    <mergeCell ref="J95:J96"/>
    <mergeCell ref="K95:K96"/>
    <mergeCell ref="L95:L96"/>
    <mergeCell ref="M95:M96"/>
    <mergeCell ref="F95:F96"/>
    <mergeCell ref="G99:G100"/>
    <mergeCell ref="J99:J100"/>
    <mergeCell ref="K99:K100"/>
    <mergeCell ref="L99:L100"/>
    <mergeCell ref="M99:M100"/>
    <mergeCell ref="A99:A100"/>
    <mergeCell ref="B99:B100"/>
    <mergeCell ref="C99:C100"/>
    <mergeCell ref="D99:D100"/>
    <mergeCell ref="E99:E100"/>
    <mergeCell ref="F99:F100"/>
    <mergeCell ref="A103:A104"/>
    <mergeCell ref="B103:B104"/>
    <mergeCell ref="C103:C104"/>
    <mergeCell ref="D103:D104"/>
    <mergeCell ref="E103:E104"/>
    <mergeCell ref="A101:A102"/>
    <mergeCell ref="B101:B102"/>
    <mergeCell ref="C101:C102"/>
    <mergeCell ref="D101:D102"/>
    <mergeCell ref="E101:E102"/>
    <mergeCell ref="F103:F104"/>
    <mergeCell ref="G103:G104"/>
    <mergeCell ref="J103:J104"/>
    <mergeCell ref="K103:K104"/>
    <mergeCell ref="L103:L104"/>
    <mergeCell ref="M103:M104"/>
    <mergeCell ref="G101:G102"/>
    <mergeCell ref="J101:J102"/>
    <mergeCell ref="K101:K102"/>
    <mergeCell ref="L101:L102"/>
    <mergeCell ref="M101:M102"/>
    <mergeCell ref="F101:F102"/>
    <mergeCell ref="L113:L114"/>
    <mergeCell ref="M113:M114"/>
    <mergeCell ref="A115:A116"/>
    <mergeCell ref="B115:B116"/>
    <mergeCell ref="C115:C116"/>
    <mergeCell ref="D115:D116"/>
    <mergeCell ref="E115:E116"/>
    <mergeCell ref="F115:F116"/>
    <mergeCell ref="G115:G116"/>
    <mergeCell ref="J115:J116"/>
    <mergeCell ref="K115:K116"/>
    <mergeCell ref="L115:L116"/>
    <mergeCell ref="M115:M116"/>
    <mergeCell ref="A113:A114"/>
    <mergeCell ref="B113:B114"/>
    <mergeCell ref="C113:C114"/>
    <mergeCell ref="D113:D114"/>
    <mergeCell ref="E113:E114"/>
    <mergeCell ref="F113:F114"/>
    <mergeCell ref="G113:G114"/>
    <mergeCell ref="J113:J114"/>
    <mergeCell ref="K113:K114"/>
    <mergeCell ref="L117:L118"/>
    <mergeCell ref="M117:M118"/>
    <mergeCell ref="A119:A120"/>
    <mergeCell ref="B119:B120"/>
    <mergeCell ref="C119:C120"/>
    <mergeCell ref="D119:D120"/>
    <mergeCell ref="E119:E120"/>
    <mergeCell ref="F119:F120"/>
    <mergeCell ref="G119:G120"/>
    <mergeCell ref="J119:J120"/>
    <mergeCell ref="K119:K120"/>
    <mergeCell ref="L119:L120"/>
    <mergeCell ref="M119:M120"/>
    <mergeCell ref="A117:A118"/>
    <mergeCell ref="B117:B118"/>
    <mergeCell ref="C117:C118"/>
    <mergeCell ref="D117:D118"/>
    <mergeCell ref="E117:E118"/>
    <mergeCell ref="F117:F118"/>
    <mergeCell ref="G117:G118"/>
    <mergeCell ref="J117:J118"/>
    <mergeCell ref="K117:K118"/>
    <mergeCell ref="L121:L122"/>
    <mergeCell ref="M121:M122"/>
    <mergeCell ref="A121:A122"/>
    <mergeCell ref="B121:B122"/>
    <mergeCell ref="C121:C122"/>
    <mergeCell ref="D121:D122"/>
    <mergeCell ref="E121:E122"/>
    <mergeCell ref="F121:F122"/>
    <mergeCell ref="G121:G122"/>
    <mergeCell ref="J121:J122"/>
    <mergeCell ref="K121:K122"/>
  </mergeCells>
  <dataValidations count="1">
    <dataValidation type="list" allowBlank="1" showInputMessage="1" showErrorMessage="1" sqref="L7:L104" xr:uid="{00000000-0002-0000-0300-000000000000}">
      <formula1>$L$130:$L$135</formula1>
    </dataValidation>
  </dataValidations>
  <printOptions horizontalCentered="1" verticalCentered="1"/>
  <pageMargins left="0.5" right="0.5" top="0.5" bottom="0.5" header="0.35" footer="0.35"/>
  <pageSetup scale="80" fitToHeight="4"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5/3/2016&amp;C&amp;8Table 2-A:  Page &amp;P&amp;R&amp;8Printed &amp;D &amp;T</oddFooter>
  </headerFooter>
  <rowBreaks count="4" manualBreakCount="4">
    <brk id="32" max="12" man="1"/>
    <brk id="56" max="12" man="1"/>
    <brk id="82" max="12" man="1"/>
    <brk id="106"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theme="3" tint="-0.249977111117893"/>
  </sheetPr>
  <dimension ref="A1:BT86"/>
  <sheetViews>
    <sheetView view="pageBreakPreview" topLeftCell="A51" zoomScale="40" zoomScaleNormal="40" zoomScaleSheetLayoutView="40" zoomScalePageLayoutView="55" workbookViewId="0">
      <selection activeCell="F64" sqref="F64"/>
    </sheetView>
  </sheetViews>
  <sheetFormatPr defaultColWidth="9.36328125" defaultRowHeight="13"/>
  <cols>
    <col min="1" max="1" width="3.6328125" style="1" customWidth="1"/>
    <col min="2" max="2" width="44.36328125" style="1" customWidth="1"/>
    <col min="3" max="3" width="29.453125" style="13" customWidth="1"/>
    <col min="4" max="4" width="19.453125" style="1" customWidth="1"/>
    <col min="5" max="5" width="14.36328125" style="35" customWidth="1"/>
    <col min="6" max="7" width="15" style="38" customWidth="1"/>
    <col min="8" max="8" width="15" style="35" customWidth="1"/>
    <col min="9" max="9" width="15" style="38" customWidth="1"/>
    <col min="10" max="10" width="15" style="35" customWidth="1"/>
    <col min="11" max="11" width="15" style="38" customWidth="1"/>
    <col min="12" max="12" width="15" style="35" customWidth="1"/>
    <col min="13" max="15" width="15" style="38" customWidth="1"/>
    <col min="16" max="16" width="15" style="35" customWidth="1"/>
    <col min="17" max="17" width="15" style="38" customWidth="1"/>
    <col min="18" max="18" width="15" style="35" customWidth="1"/>
    <col min="19" max="20" width="12.54296875" style="38" customWidth="1"/>
    <col min="21" max="21" width="3.6328125" style="1" customWidth="1"/>
    <col min="22" max="22" width="9.36328125" style="1"/>
    <col min="23" max="23" width="23.6328125" style="1" customWidth="1"/>
    <col min="24" max="16384" width="9.36328125" style="1"/>
  </cols>
  <sheetData>
    <row r="1" spans="1:24" ht="13.5" thickBot="1"/>
    <row r="2" spans="1:24" ht="20.25" customHeight="1" thickBot="1">
      <c r="A2" s="14"/>
      <c r="B2" s="15"/>
      <c r="C2" s="15"/>
      <c r="D2" s="15"/>
      <c r="E2" s="29"/>
      <c r="F2" s="29"/>
      <c r="G2" s="29"/>
      <c r="H2" s="29"/>
      <c r="I2" s="29"/>
      <c r="J2" s="29"/>
      <c r="K2" s="29"/>
      <c r="L2" s="29"/>
      <c r="M2" s="34"/>
      <c r="N2" s="34"/>
      <c r="O2" s="29"/>
      <c r="P2" s="29"/>
      <c r="Q2" s="29"/>
      <c r="R2" s="29"/>
      <c r="S2" s="34"/>
      <c r="T2" s="34"/>
      <c r="U2" s="16"/>
    </row>
    <row r="3" spans="1:24" s="2" customFormat="1" ht="39.75" customHeight="1">
      <c r="A3" s="21"/>
      <c r="B3" s="3931" t="s">
        <v>54</v>
      </c>
      <c r="C3" s="3932"/>
      <c r="D3" s="3932"/>
      <c r="E3" s="3932"/>
      <c r="F3" s="3932"/>
      <c r="G3" s="3932"/>
      <c r="H3" s="3932"/>
      <c r="I3" s="3932"/>
      <c r="J3" s="3932"/>
      <c r="K3" s="3932"/>
      <c r="L3" s="3932"/>
      <c r="M3" s="3932"/>
      <c r="N3" s="3932"/>
      <c r="O3" s="3932"/>
      <c r="P3" s="3932"/>
      <c r="Q3" s="3932"/>
      <c r="R3" s="3932"/>
      <c r="S3" s="3932"/>
      <c r="T3" s="3967"/>
      <c r="U3" s="22"/>
    </row>
    <row r="4" spans="1:24" s="2" customFormat="1" ht="39.75" customHeight="1">
      <c r="A4" s="21"/>
      <c r="B4" s="4326" t="s">
        <v>634</v>
      </c>
      <c r="C4" s="4327"/>
      <c r="D4" s="4327"/>
      <c r="E4" s="4327"/>
      <c r="F4" s="4327"/>
      <c r="G4" s="4327"/>
      <c r="H4" s="4327"/>
      <c r="I4" s="4327"/>
      <c r="J4" s="4327"/>
      <c r="K4" s="4327"/>
      <c r="L4" s="4327"/>
      <c r="M4" s="4327"/>
      <c r="N4" s="4327"/>
      <c r="O4" s="4327"/>
      <c r="P4" s="4327"/>
      <c r="Q4" s="4327"/>
      <c r="R4" s="4327"/>
      <c r="S4" s="4327"/>
      <c r="T4" s="4365"/>
      <c r="U4" s="22"/>
    </row>
    <row r="5" spans="1:24" s="2" customFormat="1" ht="39.75" customHeight="1" thickBot="1">
      <c r="A5" s="21"/>
      <c r="B5" s="4366" t="s">
        <v>1764</v>
      </c>
      <c r="C5" s="4367"/>
      <c r="D5" s="4367"/>
      <c r="E5" s="4367"/>
      <c r="F5" s="4367"/>
      <c r="G5" s="4367"/>
      <c r="H5" s="4367"/>
      <c r="I5" s="4367"/>
      <c r="J5" s="4367"/>
      <c r="K5" s="4367"/>
      <c r="L5" s="4367"/>
      <c r="M5" s="4329"/>
      <c r="N5" s="4329"/>
      <c r="O5" s="4367"/>
      <c r="P5" s="4367"/>
      <c r="Q5" s="4367"/>
      <c r="R5" s="4367"/>
      <c r="S5" s="4367"/>
      <c r="T5" s="4368"/>
      <c r="U5" s="22"/>
    </row>
    <row r="6" spans="1:24" ht="21" customHeight="1" thickBot="1">
      <c r="A6" s="19"/>
      <c r="B6" s="25"/>
      <c r="C6" s="25"/>
      <c r="D6" s="25"/>
      <c r="E6" s="25"/>
      <c r="F6" s="25"/>
      <c r="G6" s="25"/>
      <c r="H6" s="25"/>
      <c r="I6" s="25"/>
      <c r="J6" s="25"/>
      <c r="K6" s="25"/>
      <c r="L6" s="25"/>
      <c r="M6" s="25"/>
      <c r="N6" s="25"/>
      <c r="O6" s="25"/>
      <c r="P6" s="25"/>
      <c r="Q6" s="25"/>
      <c r="R6" s="25"/>
      <c r="S6" s="25"/>
      <c r="T6" s="25"/>
      <c r="U6" s="20"/>
    </row>
    <row r="7" spans="1:24" ht="30.75" customHeight="1">
      <c r="B7" s="4"/>
      <c r="C7" s="4"/>
      <c r="D7" s="4"/>
      <c r="E7" s="4"/>
      <c r="F7" s="4"/>
      <c r="G7" s="4"/>
      <c r="H7" s="4"/>
      <c r="I7" s="4"/>
      <c r="J7" s="4"/>
      <c r="K7" s="4"/>
      <c r="L7" s="4"/>
      <c r="M7" s="4"/>
      <c r="N7" s="4"/>
      <c r="O7" s="4"/>
      <c r="P7" s="4"/>
      <c r="Q7" s="4"/>
      <c r="R7" s="4"/>
      <c r="S7" s="4"/>
      <c r="T7" s="4"/>
    </row>
    <row r="8" spans="1:24" ht="16.5" customHeight="1" thickBot="1">
      <c r="B8" s="4"/>
      <c r="C8" s="4"/>
      <c r="D8" s="4"/>
      <c r="E8" s="4"/>
      <c r="F8" s="4"/>
      <c r="G8" s="4"/>
      <c r="H8" s="4"/>
      <c r="I8" s="4"/>
      <c r="J8" s="4"/>
      <c r="K8" s="4"/>
      <c r="L8" s="4"/>
      <c r="M8" s="4"/>
      <c r="N8" s="4"/>
      <c r="O8" s="4"/>
      <c r="P8" s="4"/>
      <c r="Q8" s="4"/>
      <c r="R8" s="4"/>
      <c r="S8" s="4"/>
      <c r="T8" s="4"/>
    </row>
    <row r="9" spans="1:24" ht="32.25" customHeight="1" thickBot="1">
      <c r="A9" s="4331" t="s">
        <v>309</v>
      </c>
      <c r="B9" s="4332"/>
      <c r="C9" s="4332"/>
      <c r="D9" s="4332"/>
      <c r="E9" s="4332"/>
      <c r="F9" s="4332"/>
      <c r="G9" s="4332"/>
      <c r="H9" s="4332"/>
      <c r="I9" s="4332"/>
      <c r="J9" s="4332"/>
      <c r="K9" s="4332"/>
      <c r="L9" s="4332"/>
      <c r="M9" s="4332"/>
      <c r="N9" s="4332"/>
      <c r="O9" s="4332"/>
      <c r="P9" s="4332"/>
      <c r="Q9" s="4332"/>
      <c r="R9" s="4332"/>
      <c r="S9" s="4332"/>
      <c r="T9" s="4332"/>
      <c r="U9" s="4333"/>
    </row>
    <row r="10" spans="1:24" ht="24" customHeight="1" thickBot="1">
      <c r="A10" s="14"/>
      <c r="B10" s="15"/>
      <c r="C10" s="15"/>
      <c r="D10" s="15"/>
      <c r="E10" s="29"/>
      <c r="F10" s="29"/>
      <c r="G10" s="29"/>
      <c r="H10" s="29"/>
      <c r="I10" s="29"/>
      <c r="J10" s="29"/>
      <c r="K10" s="29"/>
      <c r="L10" s="29"/>
      <c r="M10" s="34"/>
      <c r="N10" s="34"/>
      <c r="O10" s="29"/>
      <c r="P10" s="29"/>
      <c r="Q10" s="29"/>
      <c r="R10" s="29"/>
      <c r="S10" s="34"/>
      <c r="T10" s="34"/>
      <c r="U10" s="16"/>
    </row>
    <row r="11" spans="1:24" ht="42" customHeight="1">
      <c r="A11" s="17"/>
      <c r="B11" s="4334" t="s">
        <v>91</v>
      </c>
      <c r="C11" s="4336" t="s">
        <v>555</v>
      </c>
      <c r="D11" s="4338" t="s">
        <v>556</v>
      </c>
      <c r="E11" s="4325" t="s">
        <v>21</v>
      </c>
      <c r="F11" s="4316"/>
      <c r="G11" s="4310" t="s">
        <v>0</v>
      </c>
      <c r="H11" s="4311"/>
      <c r="I11" s="4323" t="s">
        <v>283</v>
      </c>
      <c r="J11" s="4324"/>
      <c r="K11" s="4310" t="s">
        <v>1772</v>
      </c>
      <c r="L11" s="4311"/>
      <c r="M11" s="4310" t="s">
        <v>1311</v>
      </c>
      <c r="N11" s="4311"/>
      <c r="O11" s="4325" t="s">
        <v>1773</v>
      </c>
      <c r="P11" s="4316"/>
      <c r="Q11" s="4310" t="s">
        <v>15</v>
      </c>
      <c r="R11" s="4311"/>
      <c r="S11" s="4310" t="s">
        <v>273</v>
      </c>
      <c r="T11" s="4311"/>
      <c r="U11" s="18"/>
    </row>
    <row r="12" spans="1:24" s="38" customFormat="1" ht="29.25" customHeight="1" thickBot="1">
      <c r="A12" s="36"/>
      <c r="B12" s="4335"/>
      <c r="C12" s="4337"/>
      <c r="D12" s="4339"/>
      <c r="E12" s="2499" t="s">
        <v>22</v>
      </c>
      <c r="F12" s="2500" t="s">
        <v>37</v>
      </c>
      <c r="G12" s="2501" t="s">
        <v>22</v>
      </c>
      <c r="H12" s="2502" t="s">
        <v>37</v>
      </c>
      <c r="I12" s="2499" t="s">
        <v>22</v>
      </c>
      <c r="J12" s="2500" t="s">
        <v>37</v>
      </c>
      <c r="K12" s="2501" t="s">
        <v>22</v>
      </c>
      <c r="L12" s="2502" t="s">
        <v>37</v>
      </c>
      <c r="M12" s="2499" t="s">
        <v>22</v>
      </c>
      <c r="N12" s="2503" t="s">
        <v>37</v>
      </c>
      <c r="O12" s="2499" t="s">
        <v>22</v>
      </c>
      <c r="P12" s="2500" t="s">
        <v>37</v>
      </c>
      <c r="Q12" s="2501" t="s">
        <v>22</v>
      </c>
      <c r="R12" s="2502" t="s">
        <v>37</v>
      </c>
      <c r="S12" s="4369" t="s">
        <v>37</v>
      </c>
      <c r="T12" s="4370"/>
      <c r="U12" s="37"/>
    </row>
    <row r="13" spans="1:24" s="38" customFormat="1" ht="44" customHeight="1">
      <c r="A13" s="36"/>
      <c r="B13" s="2516" t="str">
        <f>'2-A_4TURB'!B7</f>
        <v>Stabilization Hot Oil Heater
(64.83 MMBtu/hr)</v>
      </c>
      <c r="C13" s="2455" t="str">
        <f>'2-E-Co'!A5</f>
        <v>SHTR1</v>
      </c>
      <c r="D13" s="2517" t="str">
        <f>C13</f>
        <v>SHTR1</v>
      </c>
      <c r="E13" s="2457">
        <f>Burners!M14</f>
        <v>1.730961</v>
      </c>
      <c r="F13" s="2458">
        <f>Burners!R14</f>
        <v>7.5816091799999992</v>
      </c>
      <c r="G13" s="2457">
        <f>Burners!N14</f>
        <v>1.0567289999999998</v>
      </c>
      <c r="H13" s="2561">
        <f>Burners!S14</f>
        <v>4.6284730199999995</v>
      </c>
      <c r="I13" s="2457">
        <f>Burners!O14</f>
        <v>0.414912</v>
      </c>
      <c r="J13" s="2561">
        <f>Burners!T14</f>
        <v>1.81731456</v>
      </c>
      <c r="K13" s="2457">
        <f>Burners!P14</f>
        <v>0.14300735294117647</v>
      </c>
      <c r="L13" s="2561">
        <f>Burners!U14</f>
        <v>0.62637220588235298</v>
      </c>
      <c r="M13" s="2457">
        <f t="shared" ref="M13:N17" si="0">O13</f>
        <v>0.48304705882352933</v>
      </c>
      <c r="N13" s="2561">
        <f t="shared" si="0"/>
        <v>2.1157461176470584</v>
      </c>
      <c r="O13" s="2457">
        <f>Burners!Q14</f>
        <v>0.48304705882352933</v>
      </c>
      <c r="P13" s="2561">
        <f>Burners!V14</f>
        <v>2.1157461176470584</v>
      </c>
      <c r="Q13" s="2457">
        <f>SUM(Burners!M31:Q31)</f>
        <v>0.11959863823529414</v>
      </c>
      <c r="R13" s="2561">
        <f>SUM(Burners!R31:V31)</f>
        <v>0.52384203547058827</v>
      </c>
      <c r="S13" s="4361">
        <f>SHTRGHG!H43</f>
        <v>33256.326587223601</v>
      </c>
      <c r="T13" s="4362"/>
      <c r="U13" s="44"/>
    </row>
    <row r="14" spans="1:24" s="38" customFormat="1" ht="44" customHeight="1">
      <c r="A14" s="36"/>
      <c r="B14" s="2516" t="str">
        <f>'2-A_4TURB'!B9</f>
        <v>Stabilization Hot Oil Heater
(64.83 MMBtu/hr)</v>
      </c>
      <c r="C14" s="2455" t="str">
        <f>'2-E-Co'!A6</f>
        <v>SHTR2</v>
      </c>
      <c r="D14" s="2517" t="str">
        <f>C14</f>
        <v>SHTR2</v>
      </c>
      <c r="E14" s="2524">
        <f t="shared" ref="E14:S14" si="1">E13</f>
        <v>1.730961</v>
      </c>
      <c r="F14" s="2526">
        <f t="shared" si="1"/>
        <v>7.5816091799999992</v>
      </c>
      <c r="G14" s="2524">
        <f t="shared" si="1"/>
        <v>1.0567289999999998</v>
      </c>
      <c r="H14" s="2526">
        <f t="shared" si="1"/>
        <v>4.6284730199999995</v>
      </c>
      <c r="I14" s="2524">
        <f t="shared" si="1"/>
        <v>0.414912</v>
      </c>
      <c r="J14" s="2526">
        <f t="shared" si="1"/>
        <v>1.81731456</v>
      </c>
      <c r="K14" s="2524">
        <f t="shared" si="1"/>
        <v>0.14300735294117647</v>
      </c>
      <c r="L14" s="2526">
        <f t="shared" si="1"/>
        <v>0.62637220588235298</v>
      </c>
      <c r="M14" s="2524">
        <f t="shared" si="0"/>
        <v>0.48304705882352933</v>
      </c>
      <c r="N14" s="2526">
        <f t="shared" si="0"/>
        <v>2.1157461176470584</v>
      </c>
      <c r="O14" s="2524">
        <f t="shared" si="1"/>
        <v>0.48304705882352933</v>
      </c>
      <c r="P14" s="2526">
        <f t="shared" si="1"/>
        <v>2.1157461176470584</v>
      </c>
      <c r="Q14" s="2524">
        <f t="shared" si="1"/>
        <v>0.11959863823529414</v>
      </c>
      <c r="R14" s="2526">
        <f t="shared" si="1"/>
        <v>0.52384203547058827</v>
      </c>
      <c r="S14" s="4356">
        <f t="shared" si="1"/>
        <v>33256.326587223601</v>
      </c>
      <c r="T14" s="4357"/>
      <c r="U14" s="44"/>
    </row>
    <row r="15" spans="1:24" s="38" customFormat="1" ht="44.15" customHeight="1">
      <c r="A15" s="36"/>
      <c r="B15" s="2516" t="str">
        <f>'2-A_4TURB'!B13</f>
        <v>Regen Heater
(39.14 MMBtu/hr)</v>
      </c>
      <c r="C15" s="2455" t="str">
        <f>'2-E-Co'!A7</f>
        <v>RHTR1</v>
      </c>
      <c r="D15" s="2517" t="str">
        <f>C15</f>
        <v>RHTR1</v>
      </c>
      <c r="E15" s="2524">
        <f>Burners!M16</f>
        <v>1.0450380000000001</v>
      </c>
      <c r="F15" s="2526">
        <f>Burners!R16</f>
        <v>4.5772664400000007</v>
      </c>
      <c r="G15" s="2524">
        <f>Burners!N16</f>
        <v>0.63798199999999994</v>
      </c>
      <c r="H15" s="2525">
        <f>Burners!S16</f>
        <v>2.7943611599999998</v>
      </c>
      <c r="I15" s="2524">
        <f>Burners!O16</f>
        <v>0.250496</v>
      </c>
      <c r="J15" s="2525">
        <f>Burners!T16</f>
        <v>1.09717248</v>
      </c>
      <c r="K15" s="2524">
        <f>Burners!P16</f>
        <v>8.633823529411766E-2</v>
      </c>
      <c r="L15" s="2525">
        <f>Burners!U16</f>
        <v>0.37816147058823535</v>
      </c>
      <c r="M15" s="2524">
        <f t="shared" si="0"/>
        <v>0.29163137254901961</v>
      </c>
      <c r="N15" s="2526">
        <f t="shared" si="0"/>
        <v>1.2773454117647058</v>
      </c>
      <c r="O15" s="2524">
        <f>Burners!Q16</f>
        <v>0.29163137254901961</v>
      </c>
      <c r="P15" s="2525">
        <f>Burners!V16</f>
        <v>1.2773454117647058</v>
      </c>
      <c r="Q15" s="2524">
        <f>SUM(Burners!M33:Q33)</f>
        <v>7.2205625490196074E-2</v>
      </c>
      <c r="R15" s="2525">
        <f>SUM(Burners!R33:V33)</f>
        <v>0.31626063964705881</v>
      </c>
      <c r="S15" s="4356">
        <f>RegenGHG!H43</f>
        <v>20077.936489648804</v>
      </c>
      <c r="T15" s="4357"/>
      <c r="U15" s="44"/>
    </row>
    <row r="16" spans="1:24" s="38" customFormat="1" ht="44.15" customHeight="1">
      <c r="A16" s="36"/>
      <c r="B16" s="2516" t="str">
        <f>'2-A_4TURB'!B13</f>
        <v>Regen Heater
(39.14 MMBtu/hr)</v>
      </c>
      <c r="C16" s="2455" t="str">
        <f>'2-E-Co'!A8</f>
        <v>RHTR2</v>
      </c>
      <c r="D16" s="2517" t="str">
        <f>C16</f>
        <v>RHTR2</v>
      </c>
      <c r="E16" s="2524">
        <f>Burners!M17</f>
        <v>1.0450380000000001</v>
      </c>
      <c r="F16" s="2526">
        <f>Burners!R17</f>
        <v>4.5772664400000007</v>
      </c>
      <c r="G16" s="2524">
        <f>Burners!N17</f>
        <v>0.63798199999999994</v>
      </c>
      <c r="H16" s="2525">
        <f>Burners!S17</f>
        <v>2.7943611599999998</v>
      </c>
      <c r="I16" s="2524">
        <f>Burners!O17</f>
        <v>0.250496</v>
      </c>
      <c r="J16" s="2525">
        <f>Burners!T17</f>
        <v>1.09717248</v>
      </c>
      <c r="K16" s="2524">
        <f>Burners!P17</f>
        <v>8.633823529411766E-2</v>
      </c>
      <c r="L16" s="2525">
        <f>Burners!U17</f>
        <v>0.37816147058823535</v>
      </c>
      <c r="M16" s="2524">
        <f t="shared" si="0"/>
        <v>0.29163137254901961</v>
      </c>
      <c r="N16" s="2526">
        <f t="shared" si="0"/>
        <v>1.2773454117647058</v>
      </c>
      <c r="O16" s="2524">
        <f>Burners!Q17</f>
        <v>0.29163137254901961</v>
      </c>
      <c r="P16" s="2525">
        <f>Burners!V17</f>
        <v>1.2773454117647058</v>
      </c>
      <c r="Q16" s="2524">
        <f>SUM(Burners!M34:Q34)</f>
        <v>7.2205625490196074E-2</v>
      </c>
      <c r="R16" s="2525">
        <f>SUM(Burners!R34:V34)</f>
        <v>0.31626063964705881</v>
      </c>
      <c r="S16" s="4356">
        <f>S15</f>
        <v>20077.936489648804</v>
      </c>
      <c r="T16" s="4357"/>
      <c r="U16" s="44"/>
      <c r="W16" s="8"/>
      <c r="X16" s="8"/>
    </row>
    <row r="17" spans="1:24" s="38" customFormat="1" ht="44.15" customHeight="1">
      <c r="A17" s="36"/>
      <c r="B17" s="2516" t="str">
        <f>'2-A_4TURB'!B15</f>
        <v>Regen Heater
(39.14 MMBtu/hr)</v>
      </c>
      <c r="C17" s="2455" t="str">
        <f>'2-E-Co'!A9</f>
        <v>RHTR3</v>
      </c>
      <c r="D17" s="2517" t="str">
        <f t="shared" ref="D17:D52" si="2">C17</f>
        <v>RHTR3</v>
      </c>
      <c r="E17" s="2524">
        <f>Burners!M18</f>
        <v>1.0450380000000001</v>
      </c>
      <c r="F17" s="2526">
        <f>Burners!R18</f>
        <v>4.5772664400000007</v>
      </c>
      <c r="G17" s="2524">
        <f>Burners!N18</f>
        <v>0.63798199999999994</v>
      </c>
      <c r="H17" s="2525">
        <f>Burners!S18</f>
        <v>2.7943611599999998</v>
      </c>
      <c r="I17" s="2524">
        <f>Burners!O18</f>
        <v>0.250496</v>
      </c>
      <c r="J17" s="2525">
        <f>Burners!T18</f>
        <v>1.09717248</v>
      </c>
      <c r="K17" s="2524">
        <f>Burners!P18</f>
        <v>8.633823529411766E-2</v>
      </c>
      <c r="L17" s="2525">
        <f>Burners!U18</f>
        <v>0.37816147058823535</v>
      </c>
      <c r="M17" s="2524">
        <f t="shared" si="0"/>
        <v>0.29163137254901961</v>
      </c>
      <c r="N17" s="2526">
        <f t="shared" si="0"/>
        <v>1.2773454117647058</v>
      </c>
      <c r="O17" s="2524">
        <f>Burners!Q18</f>
        <v>0.29163137254901961</v>
      </c>
      <c r="P17" s="2525">
        <f>Burners!V18</f>
        <v>1.2773454117647058</v>
      </c>
      <c r="Q17" s="2524">
        <f>SUM(Burners!M35:Q35)</f>
        <v>7.2205625490196074E-2</v>
      </c>
      <c r="R17" s="2525">
        <f>SUM(Burners!R35:V35)</f>
        <v>0.31626063964705881</v>
      </c>
      <c r="S17" s="4356">
        <f>S15</f>
        <v>20077.936489648804</v>
      </c>
      <c r="T17" s="4357"/>
      <c r="U17" s="44"/>
    </row>
    <row r="18" spans="1:24" s="38" customFormat="1" ht="44.25" customHeight="1">
      <c r="A18" s="36"/>
      <c r="B18" s="2520" t="s">
        <v>1822</v>
      </c>
      <c r="C18" s="4340" t="s">
        <v>1913</v>
      </c>
      <c r="D18" s="4342" t="s">
        <v>1913</v>
      </c>
      <c r="E18" s="4353">
        <f>'Summary-NoCo'!E31</f>
        <v>2.6783137254439984</v>
      </c>
      <c r="F18" s="4350">
        <f>'Summary-NoCo'!F31</f>
        <v>11.73101411744471</v>
      </c>
      <c r="G18" s="4353">
        <f>'Summary-NoCo'!G31</f>
        <v>5.3469234156508803</v>
      </c>
      <c r="H18" s="4350">
        <f>'Summary-NoCo'!H31</f>
        <v>23.419524560550855</v>
      </c>
      <c r="I18" s="4353">
        <f>'Summary-NoCo'!I31</f>
        <v>0.80398014094115633</v>
      </c>
      <c r="J18" s="4350">
        <f>'Summary-NoCo'!J31</f>
        <v>3.5214330173222645</v>
      </c>
      <c r="K18" s="4353">
        <f>'Summary-NoCo'!K31</f>
        <v>0</v>
      </c>
      <c r="L18" s="4350">
        <f>'Summary-NoCo'!L31</f>
        <v>0</v>
      </c>
      <c r="M18" s="4353">
        <f>'Summary-NoCo'!M31</f>
        <v>0.14460915255310022</v>
      </c>
      <c r="N18" s="4350">
        <f>'Summary-NoCo'!N31</f>
        <v>0.63338808818257897</v>
      </c>
      <c r="O18" s="4353">
        <f>'Summary-NoCo'!O31</f>
        <v>0.14460915255310022</v>
      </c>
      <c r="P18" s="4350">
        <f>'Summary-NoCo'!P31</f>
        <v>0.63338808818257897</v>
      </c>
      <c r="Q18" s="4353">
        <f>'Summary-NoCo'!Q31</f>
        <v>0</v>
      </c>
      <c r="R18" s="4350">
        <f>'Summary-NoCo'!R31</f>
        <v>0</v>
      </c>
      <c r="S18" s="4373">
        <f>'FL PURGE GHG'!H50*3</f>
        <v>0</v>
      </c>
      <c r="T18" s="4374"/>
      <c r="U18" s="44"/>
      <c r="V18" s="8"/>
      <c r="W18" s="8"/>
    </row>
    <row r="19" spans="1:24" s="38" customFormat="1" ht="44" customHeight="1">
      <c r="A19" s="36"/>
      <c r="B19" s="2520" t="s">
        <v>1823</v>
      </c>
      <c r="C19" s="4340"/>
      <c r="D19" s="4342"/>
      <c r="E19" s="4354"/>
      <c r="F19" s="4351"/>
      <c r="G19" s="4354"/>
      <c r="H19" s="4351"/>
      <c r="I19" s="4354"/>
      <c r="J19" s="4351"/>
      <c r="K19" s="4354"/>
      <c r="L19" s="4351"/>
      <c r="M19" s="4354"/>
      <c r="N19" s="4351"/>
      <c r="O19" s="4354"/>
      <c r="P19" s="4351"/>
      <c r="Q19" s="4354"/>
      <c r="R19" s="4351"/>
      <c r="S19" s="4375"/>
      <c r="T19" s="4376"/>
      <c r="U19" s="44"/>
      <c r="X19" s="8"/>
    </row>
    <row r="20" spans="1:24" s="38" customFormat="1" ht="44" customHeight="1">
      <c r="A20" s="36"/>
      <c r="B20" s="2520" t="s">
        <v>1927</v>
      </c>
      <c r="C20" s="4341"/>
      <c r="D20" s="4343"/>
      <c r="E20" s="4355"/>
      <c r="F20" s="4352"/>
      <c r="G20" s="4355"/>
      <c r="H20" s="4352"/>
      <c r="I20" s="4355"/>
      <c r="J20" s="4352"/>
      <c r="K20" s="4355"/>
      <c r="L20" s="4352"/>
      <c r="M20" s="4355"/>
      <c r="N20" s="4352"/>
      <c r="O20" s="4355"/>
      <c r="P20" s="4352"/>
      <c r="Q20" s="4355"/>
      <c r="R20" s="4352"/>
      <c r="S20" s="4377"/>
      <c r="T20" s="4378"/>
      <c r="U20" s="44"/>
      <c r="X20" s="8"/>
    </row>
    <row r="21" spans="1:24" s="38" customFormat="1" ht="44.25" customHeight="1">
      <c r="A21" s="36"/>
      <c r="B21" s="2562" t="str">
        <f>'2-A_4TURB'!B23</f>
        <v>FL1-FL3 Stabilizer Overhead SSM Gas</v>
      </c>
      <c r="C21" s="2455" t="str">
        <f>'2-E-Co'!A13</f>
        <v>FL1-FL3OVHD-SSM</v>
      </c>
      <c r="D21" s="2517" t="s">
        <v>1520</v>
      </c>
      <c r="E21" s="2603">
        <f>'Summary-NoCo'!E34</f>
        <v>61.513056157500003</v>
      </c>
      <c r="F21" s="1305">
        <f>'Summary-NoCo'!F34</f>
        <v>11.195376220665</v>
      </c>
      <c r="G21" s="2603">
        <f>'Summary-NoCo'!G34</f>
        <v>122.80323892312499</v>
      </c>
      <c r="H21" s="1305">
        <f>'Summary-NoCo'!H34</f>
        <v>22.350189484008748</v>
      </c>
      <c r="I21" s="2603">
        <f>'Summary-NoCo'!I34</f>
        <v>404.28661353006083</v>
      </c>
      <c r="J21" s="1305">
        <f>'Summary-NoCo'!J34</f>
        <v>73.580163662471065</v>
      </c>
      <c r="K21" s="2603">
        <f>'Summary-NoCo'!K34</f>
        <v>0</v>
      </c>
      <c r="L21" s="1305">
        <f>'Summary-NoCo'!L34</f>
        <v>0</v>
      </c>
      <c r="M21" s="2603">
        <f>'Summary-NoCo'!M34</f>
        <v>3.3212505455882351</v>
      </c>
      <c r="N21" s="1305">
        <f>'Summary-NoCo'!N34</f>
        <v>0.60446759929705873</v>
      </c>
      <c r="O21" s="2603">
        <f>'Summary-NoCo'!O34</f>
        <v>3.3212505455882351</v>
      </c>
      <c r="P21" s="1305">
        <f>'Summary-NoCo'!P34</f>
        <v>0.60446759929705873</v>
      </c>
      <c r="Q21" s="2603">
        <f>'Summary-NoCo'!Q34</f>
        <v>4.4544709510301175</v>
      </c>
      <c r="R21" s="1305">
        <f>'Summary-NoCo'!R34</f>
        <v>0.81071371308748141</v>
      </c>
      <c r="S21" s="4371">
        <f>'FLOH SSM GHG'!H50</f>
        <v>9440.769835467403</v>
      </c>
      <c r="T21" s="4372"/>
      <c r="U21" s="44"/>
      <c r="X21" s="8"/>
    </row>
    <row r="22" spans="1:24" s="38" customFormat="1" ht="44.25" customHeight="1">
      <c r="A22" s="36"/>
      <c r="B22" s="2562" t="str">
        <f>'2-A_4TURB'!B25</f>
        <v>FL1-FL3 Cryo Blowdown SSM Gas</v>
      </c>
      <c r="C22" s="2455" t="str">
        <f>'2-E-Co'!A16</f>
        <v>FL1-FL3CRYO-SSM</v>
      </c>
      <c r="D22" s="2517" t="str">
        <f>D21</f>
        <v>FL1-FL3</v>
      </c>
      <c r="E22" s="2603">
        <f>'Summary-NoCo'!E35</f>
        <v>102.42580604979864</v>
      </c>
      <c r="F22" s="1305">
        <f>'Summary-NoCo'!F35</f>
        <v>18.641496701063353</v>
      </c>
      <c r="G22" s="2603">
        <f>'Summary-NoCo'!G35</f>
        <v>204.48050410666323</v>
      </c>
      <c r="H22" s="1305">
        <f>'Summary-NoCo'!H35</f>
        <v>37.215451747412708</v>
      </c>
      <c r="I22" s="2603">
        <f>'Summary-NoCo'!I35</f>
        <v>210.13055132600644</v>
      </c>
      <c r="J22" s="1305">
        <f>'Summary-NoCo'!J35</f>
        <v>38.243760341333171</v>
      </c>
      <c r="K22" s="2603">
        <f>'Summary-NoCo'!K35</f>
        <v>5.0643749702923742E-2</v>
      </c>
      <c r="L22" s="1305">
        <f>'Summary-NoCo'!L35</f>
        <v>9.2171624459321221E-3</v>
      </c>
      <c r="M22" s="2603">
        <f>'Summary-NoCo'!M35</f>
        <v>5.2857362398266847</v>
      </c>
      <c r="N22" s="1305">
        <f>'Summary-NoCo'!N35</f>
        <v>0.96200399564845651</v>
      </c>
      <c r="O22" s="2603">
        <f>'Summary-NoCo'!O35</f>
        <v>5.2857362398266847</v>
      </c>
      <c r="P22" s="1305">
        <f>'Summary-NoCo'!P35</f>
        <v>0.96200399564845651</v>
      </c>
      <c r="Q22" s="2603">
        <f>'Summary-NoCo'!Q35</f>
        <v>1.3117788389852012</v>
      </c>
      <c r="R22" s="1305">
        <f>'Summary-NoCo'!R35</f>
        <v>0.2387437486953066</v>
      </c>
      <c r="S22" s="4371">
        <f>'FLCRY SSM GHG'!H50</f>
        <v>16652.240757722175</v>
      </c>
      <c r="T22" s="4372"/>
      <c r="U22" s="44"/>
      <c r="X22" s="8"/>
    </row>
    <row r="23" spans="1:24" s="38" customFormat="1" ht="44.15" customHeight="1">
      <c r="A23" s="36"/>
      <c r="B23" s="2516" t="str">
        <f>'2-A_4TURB'!B27</f>
        <v>Oil Storage 1 (100,000 bbl)</v>
      </c>
      <c r="C23" s="2455" t="str">
        <f>'2-E-Co'!A19</f>
        <v>IFR1</v>
      </c>
      <c r="D23" s="2517" t="str">
        <f t="shared" si="2"/>
        <v>IFR1</v>
      </c>
      <c r="E23" s="2522" t="s">
        <v>445</v>
      </c>
      <c r="F23" s="2523" t="s">
        <v>445</v>
      </c>
      <c r="G23" s="2522" t="s">
        <v>445</v>
      </c>
      <c r="H23" s="2523" t="s">
        <v>445</v>
      </c>
      <c r="I23" s="2524">
        <f>'IFR Tanks (IFR1-IFR4)'!C41</f>
        <v>1.1752020371542549</v>
      </c>
      <c r="J23" s="2525">
        <f>'IFR Tanks (IFR1-IFR4)'!D41</f>
        <v>5.1473849227356343</v>
      </c>
      <c r="K23" s="2522" t="s">
        <v>445</v>
      </c>
      <c r="L23" s="2523" t="s">
        <v>445</v>
      </c>
      <c r="M23" s="2522" t="s">
        <v>445</v>
      </c>
      <c r="N23" s="2523" t="s">
        <v>445</v>
      </c>
      <c r="O23" s="2522" t="s">
        <v>445</v>
      </c>
      <c r="P23" s="2523" t="s">
        <v>445</v>
      </c>
      <c r="Q23" s="2522">
        <f>'IFR Tanks (IFR1-IFR4)'!C42</f>
        <v>6.7739254805280091E-2</v>
      </c>
      <c r="R23" s="2523">
        <f>'IFR Tanks (IFR1-IFR4)'!D42</f>
        <v>0.2966979360471268</v>
      </c>
      <c r="S23" s="4363">
        <f>'IFR Tanks (IFR1-IFR4)'!D16*25</f>
        <v>0</v>
      </c>
      <c r="T23" s="4364"/>
      <c r="U23" s="44"/>
    </row>
    <row r="24" spans="1:24" s="38" customFormat="1" ht="44.15" customHeight="1">
      <c r="A24" s="36"/>
      <c r="B24" s="2516" t="str">
        <f>'2-A_4TURB'!B29</f>
        <v>Oil Storage 2 (100,000 bbl)</v>
      </c>
      <c r="C24" s="2455" t="str">
        <f>'2-E-Co'!A20</f>
        <v>IFR2</v>
      </c>
      <c r="D24" s="2517" t="str">
        <f t="shared" si="2"/>
        <v>IFR2</v>
      </c>
      <c r="E24" s="2522" t="s">
        <v>445</v>
      </c>
      <c r="F24" s="2523" t="s">
        <v>445</v>
      </c>
      <c r="G24" s="2522" t="s">
        <v>445</v>
      </c>
      <c r="H24" s="2523" t="s">
        <v>445</v>
      </c>
      <c r="I24" s="2524">
        <f>I23</f>
        <v>1.1752020371542549</v>
      </c>
      <c r="J24" s="2525">
        <f>J23</f>
        <v>5.1473849227356343</v>
      </c>
      <c r="K24" s="2522" t="s">
        <v>445</v>
      </c>
      <c r="L24" s="2523" t="s">
        <v>445</v>
      </c>
      <c r="M24" s="2522" t="s">
        <v>445</v>
      </c>
      <c r="N24" s="2523" t="s">
        <v>445</v>
      </c>
      <c r="O24" s="2522" t="s">
        <v>445</v>
      </c>
      <c r="P24" s="2523" t="s">
        <v>445</v>
      </c>
      <c r="Q24" s="2522">
        <f>Q23</f>
        <v>6.7739254805280091E-2</v>
      </c>
      <c r="R24" s="2523">
        <f>R23</f>
        <v>0.2966979360471268</v>
      </c>
      <c r="S24" s="4363">
        <f>S23</f>
        <v>0</v>
      </c>
      <c r="T24" s="4364"/>
      <c r="U24" s="44"/>
      <c r="W24" s="8"/>
    </row>
    <row r="25" spans="1:24" s="38" customFormat="1" ht="44.15" customHeight="1">
      <c r="A25" s="36"/>
      <c r="B25" s="2516" t="str">
        <f>'2-A_4TURB'!B31</f>
        <v>Oil Storage 3 (100,000 bbl)</v>
      </c>
      <c r="C25" s="2455" t="str">
        <f>'2-E-Co'!A21</f>
        <v>IFR3</v>
      </c>
      <c r="D25" s="2517" t="str">
        <f t="shared" si="2"/>
        <v>IFR3</v>
      </c>
      <c r="E25" s="2522" t="s">
        <v>445</v>
      </c>
      <c r="F25" s="2523" t="s">
        <v>445</v>
      </c>
      <c r="G25" s="2522" t="s">
        <v>445</v>
      </c>
      <c r="H25" s="2523" t="s">
        <v>445</v>
      </c>
      <c r="I25" s="2524">
        <f>I23</f>
        <v>1.1752020371542549</v>
      </c>
      <c r="J25" s="2525">
        <f>J23</f>
        <v>5.1473849227356343</v>
      </c>
      <c r="K25" s="2522" t="s">
        <v>445</v>
      </c>
      <c r="L25" s="2523" t="s">
        <v>445</v>
      </c>
      <c r="M25" s="2522" t="s">
        <v>445</v>
      </c>
      <c r="N25" s="2523" t="s">
        <v>445</v>
      </c>
      <c r="O25" s="2522" t="s">
        <v>445</v>
      </c>
      <c r="P25" s="2523" t="s">
        <v>445</v>
      </c>
      <c r="Q25" s="2522">
        <f>Q23</f>
        <v>6.7739254805280091E-2</v>
      </c>
      <c r="R25" s="2523">
        <f>R23</f>
        <v>0.2966979360471268</v>
      </c>
      <c r="S25" s="4363">
        <f>S23</f>
        <v>0</v>
      </c>
      <c r="T25" s="4364"/>
      <c r="U25" s="44"/>
    </row>
    <row r="26" spans="1:24" s="38" customFormat="1" ht="44.15" customHeight="1">
      <c r="A26" s="36"/>
      <c r="B26" s="2516" t="str">
        <f>'2-A_4TURB'!B33</f>
        <v>Oil Storage 4 (100,000 bbl)</v>
      </c>
      <c r="C26" s="2455" t="str">
        <f>'2-E-Co'!A22</f>
        <v>IFR4</v>
      </c>
      <c r="D26" s="2517" t="str">
        <f t="shared" si="2"/>
        <v>IFR4</v>
      </c>
      <c r="E26" s="2522" t="s">
        <v>445</v>
      </c>
      <c r="F26" s="2523" t="s">
        <v>445</v>
      </c>
      <c r="G26" s="2522" t="s">
        <v>445</v>
      </c>
      <c r="H26" s="2523" t="s">
        <v>445</v>
      </c>
      <c r="I26" s="2524">
        <f>I23</f>
        <v>1.1752020371542549</v>
      </c>
      <c r="J26" s="2525">
        <f>J23</f>
        <v>5.1473849227356343</v>
      </c>
      <c r="K26" s="2522" t="s">
        <v>445</v>
      </c>
      <c r="L26" s="2523" t="s">
        <v>445</v>
      </c>
      <c r="M26" s="2522" t="s">
        <v>445</v>
      </c>
      <c r="N26" s="2523" t="s">
        <v>445</v>
      </c>
      <c r="O26" s="2522" t="s">
        <v>445</v>
      </c>
      <c r="P26" s="2523" t="s">
        <v>445</v>
      </c>
      <c r="Q26" s="2522">
        <f>Q23</f>
        <v>6.7739254805280091E-2</v>
      </c>
      <c r="R26" s="2523">
        <f>R23</f>
        <v>0.2966979360471268</v>
      </c>
      <c r="S26" s="4363">
        <f>S23</f>
        <v>0</v>
      </c>
      <c r="T26" s="4364"/>
      <c r="U26" s="44"/>
    </row>
    <row r="27" spans="1:24" s="38" customFormat="1" ht="44.15" customHeight="1">
      <c r="A27" s="36"/>
      <c r="B27" s="2516" t="str">
        <f>'2-A_4TURB'!B35</f>
        <v>3rd-Party Oil Storage 1</v>
      </c>
      <c r="C27" s="2455" t="str">
        <f>'2-E-Co'!A23</f>
        <v>OTK1</v>
      </c>
      <c r="D27" s="2517" t="str">
        <f t="shared" si="2"/>
        <v>OTK1</v>
      </c>
      <c r="E27" s="4358" t="s">
        <v>1524</v>
      </c>
      <c r="F27" s="4359"/>
      <c r="G27" s="4359"/>
      <c r="H27" s="4359"/>
      <c r="I27" s="4359"/>
      <c r="J27" s="4359"/>
      <c r="K27" s="4359"/>
      <c r="L27" s="4359"/>
      <c r="M27" s="4308"/>
      <c r="N27" s="4308"/>
      <c r="O27" s="4359"/>
      <c r="P27" s="4359"/>
      <c r="Q27" s="4359"/>
      <c r="R27" s="4359"/>
      <c r="S27" s="4359"/>
      <c r="T27" s="4360"/>
      <c r="U27" s="44"/>
    </row>
    <row r="28" spans="1:24" s="38" customFormat="1" ht="44.15" customHeight="1">
      <c r="A28" s="36"/>
      <c r="B28" s="2516" t="str">
        <f>'2-A_4TURB'!B37</f>
        <v>3rd-Party Oil Storage 2</v>
      </c>
      <c r="C28" s="2455" t="str">
        <f>'2-E-Co'!A24</f>
        <v>OTK2</v>
      </c>
      <c r="D28" s="2517" t="str">
        <f t="shared" si="2"/>
        <v>OTK2</v>
      </c>
      <c r="E28" s="4358" t="str">
        <f>E27</f>
        <v>Emissions represented at ECD1.</v>
      </c>
      <c r="F28" s="4359"/>
      <c r="G28" s="4359"/>
      <c r="H28" s="4359"/>
      <c r="I28" s="4359"/>
      <c r="J28" s="4359"/>
      <c r="K28" s="4359"/>
      <c r="L28" s="4359"/>
      <c r="M28" s="4308"/>
      <c r="N28" s="4308"/>
      <c r="O28" s="4359"/>
      <c r="P28" s="4359"/>
      <c r="Q28" s="4359"/>
      <c r="R28" s="4359"/>
      <c r="S28" s="4359"/>
      <c r="T28" s="4360"/>
      <c r="U28" s="44"/>
      <c r="W28" s="8"/>
      <c r="X28" s="8"/>
    </row>
    <row r="29" spans="1:24" s="38" customFormat="1" ht="44.15" customHeight="1">
      <c r="A29" s="36"/>
      <c r="B29" s="2516" t="str">
        <f>'2-A_4TURB'!B39</f>
        <v>3rd-Party Oil Storage 3</v>
      </c>
      <c r="C29" s="2455" t="str">
        <f>'2-E-Co'!A25</f>
        <v>OTK3</v>
      </c>
      <c r="D29" s="2517" t="str">
        <f t="shared" si="2"/>
        <v>OTK3</v>
      </c>
      <c r="E29" s="4358" t="str">
        <f>E28</f>
        <v>Emissions represented at ECD1.</v>
      </c>
      <c r="F29" s="4359"/>
      <c r="G29" s="4359"/>
      <c r="H29" s="4359"/>
      <c r="I29" s="4359"/>
      <c r="J29" s="4359"/>
      <c r="K29" s="4359"/>
      <c r="L29" s="4359"/>
      <c r="M29" s="4308"/>
      <c r="N29" s="4308"/>
      <c r="O29" s="4359"/>
      <c r="P29" s="4359"/>
      <c r="Q29" s="4359"/>
      <c r="R29" s="4359"/>
      <c r="S29" s="4359"/>
      <c r="T29" s="4360"/>
      <c r="U29" s="44"/>
      <c r="W29" s="8"/>
    </row>
    <row r="30" spans="1:24" s="38" customFormat="1" ht="44.15" customHeight="1">
      <c r="A30" s="36"/>
      <c r="B30" s="2516" t="str">
        <f>'2-A_4TURB'!B41</f>
        <v>3rd-Party Oil Storage 4</v>
      </c>
      <c r="C30" s="2455" t="str">
        <f>'2-E-Co'!A26</f>
        <v>OTK4</v>
      </c>
      <c r="D30" s="2517" t="str">
        <f t="shared" si="2"/>
        <v>OTK4</v>
      </c>
      <c r="E30" s="4358" t="str">
        <f>E29</f>
        <v>Emissions represented at ECD1.</v>
      </c>
      <c r="F30" s="4359"/>
      <c r="G30" s="4359"/>
      <c r="H30" s="4359"/>
      <c r="I30" s="4359"/>
      <c r="J30" s="4359"/>
      <c r="K30" s="4359"/>
      <c r="L30" s="4359"/>
      <c r="M30" s="4308"/>
      <c r="N30" s="4308"/>
      <c r="O30" s="4359"/>
      <c r="P30" s="4359"/>
      <c r="Q30" s="4359"/>
      <c r="R30" s="4359"/>
      <c r="S30" s="4359"/>
      <c r="T30" s="4360"/>
      <c r="U30" s="44"/>
    </row>
    <row r="31" spans="1:24" s="38" customFormat="1" ht="44.15" customHeight="1">
      <c r="A31" s="36"/>
      <c r="B31" s="2516" t="str">
        <f>'2-A_4TURB'!B43</f>
        <v>3rd-Party Oil Storage 5</v>
      </c>
      <c r="C31" s="2455" t="str">
        <f>'2-E-Co'!A27</f>
        <v>OTK5</v>
      </c>
      <c r="D31" s="2517" t="str">
        <f t="shared" si="2"/>
        <v>OTK5</v>
      </c>
      <c r="E31" s="4358" t="str">
        <f>E30</f>
        <v>Emissions represented at ECD1.</v>
      </c>
      <c r="F31" s="4359"/>
      <c r="G31" s="4359"/>
      <c r="H31" s="4359"/>
      <c r="I31" s="4359"/>
      <c r="J31" s="4359"/>
      <c r="K31" s="4359"/>
      <c r="L31" s="4359"/>
      <c r="M31" s="4308"/>
      <c r="N31" s="4308"/>
      <c r="O31" s="4359"/>
      <c r="P31" s="4359"/>
      <c r="Q31" s="4359"/>
      <c r="R31" s="4359"/>
      <c r="S31" s="4359"/>
      <c r="T31" s="4360"/>
      <c r="U31" s="44"/>
      <c r="W31" s="8"/>
      <c r="X31" s="8"/>
    </row>
    <row r="32" spans="1:24" s="38" customFormat="1" ht="44.15" customHeight="1">
      <c r="A32" s="36"/>
      <c r="B32" s="2516" t="str">
        <f>'2-A_4TURB'!B45</f>
        <v>3rd-Party Oil Storage 6</v>
      </c>
      <c r="C32" s="2455" t="str">
        <f>'2-E-Co'!A28</f>
        <v>OTK6</v>
      </c>
      <c r="D32" s="2517" t="str">
        <f t="shared" si="2"/>
        <v>OTK6</v>
      </c>
      <c r="E32" s="4358" t="str">
        <f>E31</f>
        <v>Emissions represented at ECD1.</v>
      </c>
      <c r="F32" s="4359"/>
      <c r="G32" s="4359"/>
      <c r="H32" s="4359"/>
      <c r="I32" s="4359"/>
      <c r="J32" s="4359"/>
      <c r="K32" s="4359"/>
      <c r="L32" s="4359"/>
      <c r="M32" s="4308"/>
      <c r="N32" s="4308"/>
      <c r="O32" s="4359"/>
      <c r="P32" s="4359"/>
      <c r="Q32" s="4359"/>
      <c r="R32" s="4359"/>
      <c r="S32" s="4359"/>
      <c r="T32" s="4360"/>
      <c r="U32" s="44"/>
    </row>
    <row r="33" spans="1:72" s="38" customFormat="1" ht="44.15" customHeight="1">
      <c r="A33" s="36"/>
      <c r="B33" s="2516" t="str">
        <f>'2-A_4TURB'!B47</f>
        <v>Combustor</v>
      </c>
      <c r="C33" s="2455" t="str">
        <f>'2-E-Co'!A29</f>
        <v>ECD1</v>
      </c>
      <c r="D33" s="2517" t="str">
        <f t="shared" si="2"/>
        <v>ECD1</v>
      </c>
      <c r="E33" s="2524">
        <f>'Hrly (ECD1)'!R12</f>
        <v>1.5931460516780505</v>
      </c>
      <c r="F33" s="2526">
        <f>' Ann (ECD1)'!R12</f>
        <v>6.0866344473776257</v>
      </c>
      <c r="G33" s="2524">
        <f>'Hrly (ECD1)'!R13</f>
        <v>3.1805198350529196</v>
      </c>
      <c r="H33" s="2525">
        <f>' Ann (ECD1)'!R13</f>
        <v>12.151215871395186</v>
      </c>
      <c r="I33" s="2524">
        <f>'Hrly (ECD1)'!O41</f>
        <v>7.2766034925122449</v>
      </c>
      <c r="J33" s="2525">
        <f>' Ann (ECD1)'!O41</f>
        <v>28.268593950427899</v>
      </c>
      <c r="K33" s="2524">
        <f>'Hrly (ECD1)'!R14</f>
        <v>0</v>
      </c>
      <c r="L33" s="2525">
        <f>' Ann (ECD1)'!R14</f>
        <v>0</v>
      </c>
      <c r="M33" s="2524">
        <f>O33</f>
        <v>8.6018115890545505E-2</v>
      </c>
      <c r="N33" s="2526">
        <f>P33</f>
        <v>0.12880069625799914</v>
      </c>
      <c r="O33" s="2524">
        <f>'Hrly (ECD1)'!R15</f>
        <v>8.6018115890545505E-2</v>
      </c>
      <c r="P33" s="2525">
        <f>' Ann (ECD1)'!R15</f>
        <v>0.12880069625799914</v>
      </c>
      <c r="Q33" s="2524">
        <f>'Hrly (ECD1)'!O42</f>
        <v>0.27504072721807626</v>
      </c>
      <c r="R33" s="2525">
        <f>' Ann (ECD1)'!O42</f>
        <v>1.0668332259581128</v>
      </c>
      <c r="S33" s="4356">
        <f>'ECD1 GHG'!H50</f>
        <v>4244.370563407545</v>
      </c>
      <c r="T33" s="4357"/>
      <c r="U33" s="44"/>
    </row>
    <row r="34" spans="1:72" s="38" customFormat="1" ht="44.15" customHeight="1">
      <c r="A34" s="36"/>
      <c r="B34" s="2563" t="str">
        <f>'2-A_4TURB'!B49</f>
        <v>Thermal Oxidizer</v>
      </c>
      <c r="C34" s="2455" t="str">
        <f>'2-E-Co'!A30</f>
        <v>TO1</v>
      </c>
      <c r="D34" s="2517" t="str">
        <f t="shared" si="2"/>
        <v>TO1</v>
      </c>
      <c r="E34" s="2527">
        <f>'TO Hrly (TO1-TO3)'!K12</f>
        <v>2.5190885601790693</v>
      </c>
      <c r="F34" s="2528">
        <f>'TO Ann (TO1-TO3)'!K12</f>
        <v>11.033607893584323</v>
      </c>
      <c r="G34" s="2527">
        <f>'TO Hrly (TO1-TO3)'!K13</f>
        <v>2.0880159999999997</v>
      </c>
      <c r="H34" s="2528">
        <f>'TO Ann (TO1-TO3)'!K13</f>
        <v>9.1455100799999975</v>
      </c>
      <c r="I34" s="2527">
        <f>'TO Hrly (TO1-TO3)'!H32</f>
        <v>0.62455189452722593</v>
      </c>
      <c r="J34" s="2528">
        <f>'TO Ann (TO1-TO3)'!H32</f>
        <v>2.7355372980292492</v>
      </c>
      <c r="K34" s="2527">
        <f>'TO Hrly (TO1-TO3)'!K14</f>
        <v>0.86237125715223051</v>
      </c>
      <c r="L34" s="2528">
        <f>'TO Ann (TO1-TO3)'!K14</f>
        <v>3.7771861063267695</v>
      </c>
      <c r="M34" s="2524">
        <f t="shared" ref="M34:N36" si="3">O34</f>
        <v>0.23462099335001135</v>
      </c>
      <c r="N34" s="2461">
        <f t="shared" si="3"/>
        <v>1.0276399508730496</v>
      </c>
      <c r="O34" s="2527">
        <f>'TO Hrly (TO1-TO3)'!K15</f>
        <v>0.23462099335001135</v>
      </c>
      <c r="P34" s="2528">
        <f>'TO Ann (TO1-TO3)'!K15</f>
        <v>1.0276399508730496</v>
      </c>
      <c r="Q34" s="2527">
        <f>'TO Hrly (TO1-TO3)'!H33</f>
        <v>8.0737606029044826E-2</v>
      </c>
      <c r="R34" s="2528">
        <f>'TO Ann (TO1-TO3)'!H33</f>
        <v>0.35363071440721638</v>
      </c>
      <c r="S34" s="4356">
        <f>'TO GHG-Flash '!H50+'TO GHG-Still'!H50</f>
        <v>101557.29956690592</v>
      </c>
      <c r="T34" s="4357"/>
      <c r="U34" s="44"/>
      <c r="W34" s="8"/>
    </row>
    <row r="35" spans="1:72" s="7" customFormat="1" ht="44.25" customHeight="1">
      <c r="A35" s="1656"/>
      <c r="B35" s="2529" t="str">
        <f>'2-A_4TURB'!B51</f>
        <v>Thermal Oxidizer</v>
      </c>
      <c r="C35" s="2474" t="str">
        <f>'2-E-Co'!A31</f>
        <v>TO2</v>
      </c>
      <c r="D35" s="2530" t="str">
        <f t="shared" si="2"/>
        <v>TO2</v>
      </c>
      <c r="E35" s="2459">
        <f>E34</f>
        <v>2.5190885601790693</v>
      </c>
      <c r="F35" s="2460">
        <f>F34</f>
        <v>11.033607893584323</v>
      </c>
      <c r="G35" s="2459">
        <f t="shared" ref="G35:R35" si="4">G34</f>
        <v>2.0880159999999997</v>
      </c>
      <c r="H35" s="2460">
        <f t="shared" si="4"/>
        <v>9.1455100799999975</v>
      </c>
      <c r="I35" s="2459">
        <f t="shared" si="4"/>
        <v>0.62455189452722593</v>
      </c>
      <c r="J35" s="2460">
        <f t="shared" si="4"/>
        <v>2.7355372980292492</v>
      </c>
      <c r="K35" s="2459">
        <f t="shared" si="4"/>
        <v>0.86237125715223051</v>
      </c>
      <c r="L35" s="2460">
        <f t="shared" si="4"/>
        <v>3.7771861063267695</v>
      </c>
      <c r="M35" s="2459">
        <f t="shared" si="3"/>
        <v>0.23462099335001135</v>
      </c>
      <c r="N35" s="2460">
        <f t="shared" si="3"/>
        <v>1.0276399508730496</v>
      </c>
      <c r="O35" s="2459">
        <f t="shared" si="4"/>
        <v>0.23462099335001135</v>
      </c>
      <c r="P35" s="2460">
        <f t="shared" si="4"/>
        <v>1.0276399508730496</v>
      </c>
      <c r="Q35" s="2459">
        <f t="shared" si="4"/>
        <v>8.0737606029044826E-2</v>
      </c>
      <c r="R35" s="2460">
        <f t="shared" si="4"/>
        <v>0.35363071440721638</v>
      </c>
      <c r="S35" s="4371">
        <f>S34</f>
        <v>101557.29956690592</v>
      </c>
      <c r="T35" s="4372"/>
      <c r="U35" s="1655"/>
      <c r="V35" s="8"/>
      <c r="W35" s="8"/>
    </row>
    <row r="36" spans="1:72" s="28" customFormat="1" ht="44.25" customHeight="1">
      <c r="A36" s="36"/>
      <c r="B36" s="2520" t="str">
        <f>'2-A_4TURB'!B53</f>
        <v>Thermal Oxidizer</v>
      </c>
      <c r="C36" s="3593" t="str">
        <f>'2-E-Co'!A32</f>
        <v>TO3</v>
      </c>
      <c r="D36" s="2521" t="str">
        <f t="shared" si="2"/>
        <v>TO3</v>
      </c>
      <c r="E36" s="3598">
        <f>E34</f>
        <v>2.5190885601790693</v>
      </c>
      <c r="F36" s="1305">
        <f>F34</f>
        <v>11.033607893584323</v>
      </c>
      <c r="G36" s="3598">
        <f t="shared" ref="G36:R36" si="5">G34</f>
        <v>2.0880159999999997</v>
      </c>
      <c r="H36" s="1305">
        <f t="shared" si="5"/>
        <v>9.1455100799999975</v>
      </c>
      <c r="I36" s="3598">
        <f t="shared" si="5"/>
        <v>0.62455189452722593</v>
      </c>
      <c r="J36" s="1305">
        <f t="shared" si="5"/>
        <v>2.7355372980292492</v>
      </c>
      <c r="K36" s="3598">
        <f t="shared" si="5"/>
        <v>0.86237125715223051</v>
      </c>
      <c r="L36" s="1305">
        <f t="shared" si="5"/>
        <v>3.7771861063267695</v>
      </c>
      <c r="M36" s="3598">
        <f t="shared" si="3"/>
        <v>0.23462099335001135</v>
      </c>
      <c r="N36" s="1305">
        <f t="shared" si="3"/>
        <v>1.0276399508730496</v>
      </c>
      <c r="O36" s="3598">
        <f t="shared" si="5"/>
        <v>0.23462099335001135</v>
      </c>
      <c r="P36" s="1305">
        <f t="shared" si="5"/>
        <v>1.0276399508730496</v>
      </c>
      <c r="Q36" s="3598">
        <f t="shared" si="5"/>
        <v>8.0737606029044826E-2</v>
      </c>
      <c r="R36" s="1305">
        <f t="shared" si="5"/>
        <v>0.35363071440721638</v>
      </c>
      <c r="S36" s="4377">
        <f>S34</f>
        <v>101557.29956690592</v>
      </c>
      <c r="T36" s="4378"/>
      <c r="U36" s="44"/>
      <c r="X36" s="8"/>
    </row>
    <row r="37" spans="1:72" s="38" customFormat="1" ht="44.25" customHeight="1">
      <c r="A37" s="36"/>
      <c r="B37" s="2520" t="str">
        <f>'2-A_4TURB'!B55</f>
        <v>Fugitives</v>
      </c>
      <c r="C37" s="2471" t="str">
        <f>'2-E-Co'!A33</f>
        <v>FUG</v>
      </c>
      <c r="D37" s="2521" t="str">
        <f t="shared" si="2"/>
        <v>FUG</v>
      </c>
      <c r="E37" s="2485" t="s">
        <v>445</v>
      </c>
      <c r="F37" s="2564" t="s">
        <v>445</v>
      </c>
      <c r="G37" s="2485" t="s">
        <v>445</v>
      </c>
      <c r="H37" s="2564" t="s">
        <v>445</v>
      </c>
      <c r="I37" s="2483">
        <f>Fugitive!G72</f>
        <v>30.616050709592137</v>
      </c>
      <c r="J37" s="2565">
        <f>Fugitive!I72</f>
        <v>134.09830210801351</v>
      </c>
      <c r="K37" s="2485" t="s">
        <v>445</v>
      </c>
      <c r="L37" s="2564" t="s">
        <v>445</v>
      </c>
      <c r="M37" s="2485" t="s">
        <v>445</v>
      </c>
      <c r="N37" s="2564" t="s">
        <v>445</v>
      </c>
      <c r="O37" s="2485" t="s">
        <v>445</v>
      </c>
      <c r="P37" s="2564" t="s">
        <v>445</v>
      </c>
      <c r="Q37" s="2485">
        <f>'Fugitives HAPs'!G39</f>
        <v>1.8349882519246774</v>
      </c>
      <c r="R37" s="2564">
        <f>'Fugitives HAPs'!I39</f>
        <v>8.0372485434300867</v>
      </c>
      <c r="S37" s="4379">
        <f>'2-P_Co'!R36</f>
        <v>355.19068804717892</v>
      </c>
      <c r="T37" s="4380"/>
      <c r="U37" s="44"/>
    </row>
    <row r="38" spans="1:72" s="38" customFormat="1" ht="44.25" customHeight="1">
      <c r="A38" s="36"/>
      <c r="B38" s="2454" t="str">
        <f>'2-A_4TURB'!B57</f>
        <v>Storage Tank SSM Emissions</v>
      </c>
      <c r="C38" s="2455" t="str">
        <f>'2-E-Co'!A34</f>
        <v>SSM</v>
      </c>
      <c r="D38" s="2517" t="str">
        <f t="shared" si="2"/>
        <v>SSM</v>
      </c>
      <c r="E38" s="2522" t="s">
        <v>445</v>
      </c>
      <c r="F38" s="2523" t="s">
        <v>445</v>
      </c>
      <c r="G38" s="2522" t="s">
        <v>445</v>
      </c>
      <c r="H38" s="2523" t="s">
        <v>445</v>
      </c>
      <c r="I38" s="2522" t="s">
        <v>445</v>
      </c>
      <c r="J38" s="2523">
        <v>10</v>
      </c>
      <c r="K38" s="2522" t="s">
        <v>445</v>
      </c>
      <c r="L38" s="2523" t="s">
        <v>445</v>
      </c>
      <c r="M38" s="2522" t="s">
        <v>445</v>
      </c>
      <c r="N38" s="2523" t="s">
        <v>445</v>
      </c>
      <c r="O38" s="2522" t="s">
        <v>445</v>
      </c>
      <c r="P38" s="2523" t="s">
        <v>445</v>
      </c>
      <c r="Q38" s="2522" t="s">
        <v>445</v>
      </c>
      <c r="R38" s="2523" t="s">
        <v>445</v>
      </c>
      <c r="S38" s="4363" t="s">
        <v>445</v>
      </c>
      <c r="T38" s="4364"/>
      <c r="U38" s="44"/>
    </row>
    <row r="39" spans="1:72" s="53" customFormat="1" ht="44.25" customHeight="1">
      <c r="A39" s="36"/>
      <c r="B39" s="2516" t="str">
        <f>'2-A_4TURB'!B59</f>
        <v>Haul Road Fugitives</v>
      </c>
      <c r="C39" s="2455" t="str">
        <f>'2-E-Co'!A35</f>
        <v>ROAD</v>
      </c>
      <c r="D39" s="2517" t="str">
        <f t="shared" si="2"/>
        <v>ROAD</v>
      </c>
      <c r="E39" s="2522" t="s">
        <v>445</v>
      </c>
      <c r="F39" s="2523" t="s">
        <v>445</v>
      </c>
      <c r="G39" s="2522" t="s">
        <v>445</v>
      </c>
      <c r="H39" s="2523" t="s">
        <v>445</v>
      </c>
      <c r="I39" s="2522" t="s">
        <v>445</v>
      </c>
      <c r="J39" s="2523" t="s">
        <v>445</v>
      </c>
      <c r="K39" s="2522" t="s">
        <v>445</v>
      </c>
      <c r="L39" s="2523" t="s">
        <v>445</v>
      </c>
      <c r="M39" s="2482">
        <f>Road!C24</f>
        <v>2.7556902133370476</v>
      </c>
      <c r="N39" s="2481">
        <f>Road!C25</f>
        <v>8.8254079636430482</v>
      </c>
      <c r="O39" s="2482">
        <f>Road!F24</f>
        <v>0.70232409971011567</v>
      </c>
      <c r="P39" s="2481">
        <f>Road!F25</f>
        <v>2.2492719510493018</v>
      </c>
      <c r="Q39" s="2522" t="s">
        <v>445</v>
      </c>
      <c r="R39" s="2523" t="s">
        <v>445</v>
      </c>
      <c r="S39" s="4363" t="s">
        <v>445</v>
      </c>
      <c r="T39" s="4364"/>
      <c r="U39" s="4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s="38" customFormat="1" ht="44.25" customHeight="1">
      <c r="A40" s="36"/>
      <c r="B40" s="2516" t="str">
        <f>'2-A_4TURB'!B61</f>
        <v>Produced Water Tank 1</v>
      </c>
      <c r="C40" s="2455" t="str">
        <f>'2-E-Co'!A36</f>
        <v>PWTK1</v>
      </c>
      <c r="D40" s="2517" t="str">
        <f t="shared" si="2"/>
        <v>PWTK1</v>
      </c>
      <c r="E40" s="4358" t="str">
        <f>E27</f>
        <v>Emissions represented at ECD1.</v>
      </c>
      <c r="F40" s="4359"/>
      <c r="G40" s="4359"/>
      <c r="H40" s="4359"/>
      <c r="I40" s="4359"/>
      <c r="J40" s="4359"/>
      <c r="K40" s="4359"/>
      <c r="L40" s="4359"/>
      <c r="M40" s="4308"/>
      <c r="N40" s="4308"/>
      <c r="O40" s="4359"/>
      <c r="P40" s="4359"/>
      <c r="Q40" s="4359"/>
      <c r="R40" s="4359"/>
      <c r="S40" s="4359"/>
      <c r="T40" s="4360"/>
      <c r="U40" s="44"/>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s="53" customFormat="1" ht="44.25" customHeight="1">
      <c r="A41" s="36"/>
      <c r="B41" s="2516" t="str">
        <f>'2-A_4TURB'!B63</f>
        <v>Produced Water Tank 2</v>
      </c>
      <c r="C41" s="2455" t="str">
        <f>'2-E-Co'!A37</f>
        <v>PWTK2</v>
      </c>
      <c r="D41" s="2517" t="str">
        <f t="shared" si="2"/>
        <v>PWTK2</v>
      </c>
      <c r="E41" s="4358" t="str">
        <f>E40</f>
        <v>Emissions represented at ECD1.</v>
      </c>
      <c r="F41" s="4359"/>
      <c r="G41" s="4359"/>
      <c r="H41" s="4359"/>
      <c r="I41" s="4359"/>
      <c r="J41" s="4359"/>
      <c r="K41" s="4359"/>
      <c r="L41" s="4359"/>
      <c r="M41" s="4308"/>
      <c r="N41" s="4308"/>
      <c r="O41" s="4359"/>
      <c r="P41" s="4359"/>
      <c r="Q41" s="4359"/>
      <c r="R41" s="4359"/>
      <c r="S41" s="4359"/>
      <c r="T41" s="4360"/>
      <c r="U41" s="44"/>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s="38" customFormat="1" ht="44.25" customHeight="1">
      <c r="A42" s="36"/>
      <c r="B42" s="2516" t="str">
        <f>'2-A_4TURB'!B65</f>
        <v>Produced Water Loading</v>
      </c>
      <c r="C42" s="2455" t="str">
        <f>'2-E-Co'!A38</f>
        <v>PWTL</v>
      </c>
      <c r="D42" s="2517" t="str">
        <f t="shared" si="2"/>
        <v>PWTL</v>
      </c>
      <c r="E42" s="2522" t="s">
        <v>445</v>
      </c>
      <c r="F42" s="2523" t="s">
        <v>445</v>
      </c>
      <c r="G42" s="2522" t="s">
        <v>445</v>
      </c>
      <c r="H42" s="2523" t="s">
        <v>445</v>
      </c>
      <c r="I42" s="2524">
        <f>'Load-H2O'!F33</f>
        <v>0.39339345182963747</v>
      </c>
      <c r="J42" s="2525">
        <f>'Load-H2O'!G33</f>
        <v>2.4902276270262185</v>
      </c>
      <c r="K42" s="2522" t="s">
        <v>445</v>
      </c>
      <c r="L42" s="2523" t="s">
        <v>445</v>
      </c>
      <c r="M42" s="2522" t="s">
        <v>445</v>
      </c>
      <c r="N42" s="2523" t="s">
        <v>445</v>
      </c>
      <c r="O42" s="2522" t="s">
        <v>445</v>
      </c>
      <c r="P42" s="2523" t="s">
        <v>445</v>
      </c>
      <c r="Q42" s="2522">
        <f>'Load-H2O'!F37</f>
        <v>1.1042554192857925E-3</v>
      </c>
      <c r="R42" s="2523">
        <f>'Load-H2O'!G37</f>
        <v>6.9900689490625953E-3</v>
      </c>
      <c r="S42" s="4363" t="s">
        <v>445</v>
      </c>
      <c r="T42" s="4364"/>
      <c r="U42" s="44"/>
    </row>
    <row r="43" spans="1:72" s="38" customFormat="1" ht="44.25" customHeight="1">
      <c r="A43" s="36"/>
      <c r="B43" s="2516" t="str">
        <f>'2-A_4TURB'!B67</f>
        <v>Slop Oil Loading</v>
      </c>
      <c r="C43" s="2455" t="str">
        <f>'2-E-Co'!A39</f>
        <v>OTL</v>
      </c>
      <c r="D43" s="2517" t="str">
        <f t="shared" si="2"/>
        <v>OTL</v>
      </c>
      <c r="E43" s="2522" t="s">
        <v>445</v>
      </c>
      <c r="F43" s="2523" t="s">
        <v>445</v>
      </c>
      <c r="G43" s="2522" t="s">
        <v>445</v>
      </c>
      <c r="H43" s="2523" t="s">
        <v>445</v>
      </c>
      <c r="I43" s="2531">
        <f>'Load-Slop Oil'!F43</f>
        <v>0.70811875941945179</v>
      </c>
      <c r="J43" s="2532">
        <f>'Load-Slop Oil'!G43</f>
        <v>0.13418016263117355</v>
      </c>
      <c r="K43" s="2522" t="s">
        <v>445</v>
      </c>
      <c r="L43" s="2523" t="s">
        <v>445</v>
      </c>
      <c r="M43" s="2522" t="s">
        <v>445</v>
      </c>
      <c r="N43" s="2523" t="s">
        <v>445</v>
      </c>
      <c r="O43" s="2522" t="s">
        <v>445</v>
      </c>
      <c r="P43" s="2523" t="s">
        <v>445</v>
      </c>
      <c r="Q43" s="2522">
        <f>'Load-Slop Oil'!F47</f>
        <v>1.9188444012397846E-2</v>
      </c>
      <c r="R43" s="2523">
        <f>'Load-Slop Oil'!G47</f>
        <v>3.6359840831410471E-3</v>
      </c>
      <c r="S43" s="4383">
        <f>'2-P_Co'!R38</f>
        <v>0.16963315170950424</v>
      </c>
      <c r="T43" s="4384"/>
      <c r="U43" s="44"/>
    </row>
    <row r="44" spans="1:72" s="53" customFormat="1" ht="44.25" customHeight="1">
      <c r="A44" s="36"/>
      <c r="B44" s="2516" t="str">
        <f>'2-A_4TURB'!B69</f>
        <v>Amine Unit 1</v>
      </c>
      <c r="C44" s="2455" t="str">
        <f>'2-E-Co'!A40</f>
        <v>AU1</v>
      </c>
      <c r="D44" s="2517" t="str">
        <f t="shared" si="2"/>
        <v>AU1</v>
      </c>
      <c r="E44" s="4358" t="s">
        <v>1459</v>
      </c>
      <c r="F44" s="4359"/>
      <c r="G44" s="4359"/>
      <c r="H44" s="4359"/>
      <c r="I44" s="4359"/>
      <c r="J44" s="4359"/>
      <c r="K44" s="4359"/>
      <c r="L44" s="4359"/>
      <c r="M44" s="4308"/>
      <c r="N44" s="4308"/>
      <c r="O44" s="4359"/>
      <c r="P44" s="4359"/>
      <c r="Q44" s="4359"/>
      <c r="R44" s="4359"/>
      <c r="S44" s="4359"/>
      <c r="T44" s="4360"/>
      <c r="U44" s="44"/>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row>
    <row r="45" spans="1:72" s="53" customFormat="1" ht="44.25" customHeight="1">
      <c r="A45" s="36"/>
      <c r="B45" s="2516" t="str">
        <f>'2-A_4TURB'!B71</f>
        <v>Amine Unit 2</v>
      </c>
      <c r="C45" s="2455" t="str">
        <f>'2-E-Co'!A41</f>
        <v>AU2</v>
      </c>
      <c r="D45" s="2517" t="str">
        <f t="shared" si="2"/>
        <v>AU2</v>
      </c>
      <c r="E45" s="4358" t="s">
        <v>1460</v>
      </c>
      <c r="F45" s="4359"/>
      <c r="G45" s="4359"/>
      <c r="H45" s="4359"/>
      <c r="I45" s="4359"/>
      <c r="J45" s="4359"/>
      <c r="K45" s="4359"/>
      <c r="L45" s="4359"/>
      <c r="M45" s="4308"/>
      <c r="N45" s="4308"/>
      <c r="O45" s="4359"/>
      <c r="P45" s="4359"/>
      <c r="Q45" s="4359"/>
      <c r="R45" s="4359"/>
      <c r="S45" s="4359"/>
      <c r="T45" s="4360"/>
      <c r="U45" s="44"/>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row>
    <row r="46" spans="1:72" s="53" customFormat="1" ht="44.25" customHeight="1">
      <c r="A46" s="36"/>
      <c r="B46" s="2516" t="str">
        <f>'2-A_4TURB'!B73</f>
        <v>Amine Unit 3</v>
      </c>
      <c r="C46" s="2455" t="str">
        <f>'2-E-Co'!A42</f>
        <v>AU3</v>
      </c>
      <c r="D46" s="2517" t="str">
        <f t="shared" si="2"/>
        <v>AU3</v>
      </c>
      <c r="E46" s="4358" t="s">
        <v>1461</v>
      </c>
      <c r="F46" s="4359"/>
      <c r="G46" s="4359"/>
      <c r="H46" s="4359"/>
      <c r="I46" s="4359"/>
      <c r="J46" s="4359"/>
      <c r="K46" s="4359"/>
      <c r="L46" s="4359"/>
      <c r="M46" s="4308"/>
      <c r="N46" s="4308"/>
      <c r="O46" s="4359"/>
      <c r="P46" s="4359"/>
      <c r="Q46" s="4359"/>
      <c r="R46" s="4359"/>
      <c r="S46" s="4359"/>
      <c r="T46" s="4360"/>
      <c r="U46" s="44"/>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row>
    <row r="47" spans="1:72" s="53" customFormat="1" ht="44.25" customHeight="1">
      <c r="A47" s="36"/>
      <c r="B47" s="2516" t="str">
        <f>'2-A_4TURB'!B75</f>
        <v>Gunbarrel Tank</v>
      </c>
      <c r="C47" s="2455" t="str">
        <f>'2-E-Co'!A43</f>
        <v>GBS1</v>
      </c>
      <c r="D47" s="2517" t="str">
        <f t="shared" si="2"/>
        <v>GBS1</v>
      </c>
      <c r="E47" s="4358" t="s">
        <v>1524</v>
      </c>
      <c r="F47" s="4359"/>
      <c r="G47" s="4359"/>
      <c r="H47" s="4359"/>
      <c r="I47" s="4359"/>
      <c r="J47" s="4359"/>
      <c r="K47" s="4359"/>
      <c r="L47" s="4359"/>
      <c r="M47" s="4308"/>
      <c r="N47" s="4308"/>
      <c r="O47" s="4359"/>
      <c r="P47" s="4359"/>
      <c r="Q47" s="4359"/>
      <c r="R47" s="4359"/>
      <c r="S47" s="4359"/>
      <c r="T47" s="4360"/>
      <c r="U47" s="44"/>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row>
    <row r="48" spans="1:72" s="53" customFormat="1" ht="44.25" customHeight="1">
      <c r="A48" s="36"/>
      <c r="B48" s="2566" t="str">
        <f>'2-A_4TURB'!B77</f>
        <v>Slop Oil Tank</v>
      </c>
      <c r="C48" s="2455" t="str">
        <f>'2-E-Co'!A44</f>
        <v>OTK7</v>
      </c>
      <c r="D48" s="2517" t="str">
        <f t="shared" si="2"/>
        <v>OTK7</v>
      </c>
      <c r="E48" s="4358" t="str">
        <f>E47</f>
        <v>Emissions represented at ECD1.</v>
      </c>
      <c r="F48" s="4359"/>
      <c r="G48" s="4359"/>
      <c r="H48" s="4359"/>
      <c r="I48" s="4359"/>
      <c r="J48" s="4359"/>
      <c r="K48" s="4359"/>
      <c r="L48" s="4359"/>
      <c r="M48" s="4308"/>
      <c r="N48" s="4308"/>
      <c r="O48" s="4359"/>
      <c r="P48" s="4359"/>
      <c r="Q48" s="4359"/>
      <c r="R48" s="4359"/>
      <c r="S48" s="4359"/>
      <c r="T48" s="4360"/>
      <c r="U48" s="44"/>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row>
    <row r="49" spans="1:72" s="38" customFormat="1" ht="44.25" customHeight="1">
      <c r="A49" s="36"/>
      <c r="B49" s="2520" t="str">
        <f>'2-A All'!B105</f>
        <v>Turbine</v>
      </c>
      <c r="C49" s="2455" t="str">
        <f>'2-E-Co'!A45</f>
        <v>TUR1</v>
      </c>
      <c r="D49" s="2517" t="str">
        <f t="shared" si="2"/>
        <v>TUR1</v>
      </c>
      <c r="E49" s="2480">
        <v>8.4</v>
      </c>
      <c r="F49" s="2481">
        <f>E49*8760/2000</f>
        <v>36.792000000000002</v>
      </c>
      <c r="G49" s="2482">
        <v>5.0999999999999996</v>
      </c>
      <c r="H49" s="2481">
        <f>G49*8760/2000</f>
        <v>22.338000000000001</v>
      </c>
      <c r="I49" s="2482">
        <f>'Cogen VOC, HAPs'!I10</f>
        <v>9.1999999999999975</v>
      </c>
      <c r="J49" s="2481">
        <f>I49*8760/2000</f>
        <v>40.295999999999992</v>
      </c>
      <c r="K49" s="2482">
        <f>'Cogen-SO2_H2SO4'!F52</f>
        <v>2.1350532104919506</v>
      </c>
      <c r="L49" s="2481">
        <f>'Cogen-SO2_H2SO4'!H53</f>
        <v>9.3515330619547434</v>
      </c>
      <c r="M49" s="2482">
        <f>O49</f>
        <v>9.1999999999999993</v>
      </c>
      <c r="N49" s="2481">
        <f>P49</f>
        <v>40.295999999999999</v>
      </c>
      <c r="O49" s="2482">
        <v>9.1999999999999993</v>
      </c>
      <c r="P49" s="2481">
        <f>O49*8760/2000</f>
        <v>40.295999999999999</v>
      </c>
      <c r="Q49" s="2482">
        <f>'Cogen VOC, HAPs'!I14</f>
        <v>0.57515169285250722</v>
      </c>
      <c r="R49" s="2481">
        <f>'Cogen VOC, HAPs'!J14</f>
        <v>2.5191644146939818</v>
      </c>
      <c r="S49" s="4381">
        <f>'COGEN GHG '!H43</f>
        <v>544368.05460551556</v>
      </c>
      <c r="T49" s="4357"/>
      <c r="U49" s="44"/>
    </row>
    <row r="50" spans="1:72" s="38" customFormat="1" ht="44.25" customHeight="1">
      <c r="A50" s="36"/>
      <c r="B50" s="2520" t="str">
        <f>B49</f>
        <v>Turbine</v>
      </c>
      <c r="C50" s="2455" t="str">
        <f>'2-E-Co'!A46</f>
        <v>TUR2</v>
      </c>
      <c r="D50" s="2517" t="str">
        <f t="shared" si="2"/>
        <v>TUR2</v>
      </c>
      <c r="E50" s="2480">
        <f t="shared" ref="E50:S50" si="6">E49</f>
        <v>8.4</v>
      </c>
      <c r="F50" s="2481">
        <f t="shared" si="6"/>
        <v>36.792000000000002</v>
      </c>
      <c r="G50" s="2482">
        <f t="shared" si="6"/>
        <v>5.0999999999999996</v>
      </c>
      <c r="H50" s="2481">
        <f t="shared" si="6"/>
        <v>22.338000000000001</v>
      </c>
      <c r="I50" s="2482">
        <f t="shared" si="6"/>
        <v>9.1999999999999975</v>
      </c>
      <c r="J50" s="2481">
        <f t="shared" si="6"/>
        <v>40.295999999999992</v>
      </c>
      <c r="K50" s="2482">
        <f t="shared" si="6"/>
        <v>2.1350532104919506</v>
      </c>
      <c r="L50" s="2481">
        <f t="shared" si="6"/>
        <v>9.3515330619547434</v>
      </c>
      <c r="M50" s="2482">
        <f>M49</f>
        <v>9.1999999999999993</v>
      </c>
      <c r="N50" s="2481">
        <f>N49</f>
        <v>40.295999999999999</v>
      </c>
      <c r="O50" s="2482">
        <f t="shared" si="6"/>
        <v>9.1999999999999993</v>
      </c>
      <c r="P50" s="2481">
        <f t="shared" si="6"/>
        <v>40.295999999999999</v>
      </c>
      <c r="Q50" s="2482">
        <f>Q49</f>
        <v>0.57515169285250722</v>
      </c>
      <c r="R50" s="2481">
        <f>R49</f>
        <v>2.5191644146939818</v>
      </c>
      <c r="S50" s="4381">
        <f t="shared" si="6"/>
        <v>544368.05460551556</v>
      </c>
      <c r="T50" s="4357"/>
      <c r="U50" s="44"/>
    </row>
    <row r="51" spans="1:72" s="53" customFormat="1" ht="44.25" customHeight="1">
      <c r="A51" s="36"/>
      <c r="B51" s="2520" t="str">
        <f>B49</f>
        <v>Turbine</v>
      </c>
      <c r="C51" s="2455" t="str">
        <f>'2-E-Co'!A47</f>
        <v>TUR3</v>
      </c>
      <c r="D51" s="2517" t="str">
        <f t="shared" si="2"/>
        <v>TUR3</v>
      </c>
      <c r="E51" s="2480">
        <f>E49</f>
        <v>8.4</v>
      </c>
      <c r="F51" s="2481">
        <f>F49</f>
        <v>36.792000000000002</v>
      </c>
      <c r="G51" s="2482">
        <f>G49</f>
        <v>5.0999999999999996</v>
      </c>
      <c r="H51" s="2481">
        <f>H49</f>
        <v>22.338000000000001</v>
      </c>
      <c r="I51" s="2482">
        <f>I49</f>
        <v>9.1999999999999975</v>
      </c>
      <c r="J51" s="2481">
        <f>J50</f>
        <v>40.295999999999992</v>
      </c>
      <c r="K51" s="2482">
        <f t="shared" ref="K51:S51" si="7">K49</f>
        <v>2.1350532104919506</v>
      </c>
      <c r="L51" s="2481">
        <f t="shared" si="7"/>
        <v>9.3515330619547434</v>
      </c>
      <c r="M51" s="2482">
        <f>M49</f>
        <v>9.1999999999999993</v>
      </c>
      <c r="N51" s="2481">
        <f>N49</f>
        <v>40.295999999999999</v>
      </c>
      <c r="O51" s="2482">
        <f t="shared" si="7"/>
        <v>9.1999999999999993</v>
      </c>
      <c r="P51" s="2481">
        <f t="shared" si="7"/>
        <v>40.295999999999999</v>
      </c>
      <c r="Q51" s="2482">
        <f>Q49</f>
        <v>0.57515169285250722</v>
      </c>
      <c r="R51" s="2481">
        <f>R49</f>
        <v>2.5191644146939818</v>
      </c>
      <c r="S51" s="4381">
        <f t="shared" si="7"/>
        <v>544368.05460551556</v>
      </c>
      <c r="T51" s="4357"/>
      <c r="U51" s="44"/>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row>
    <row r="52" spans="1:72" s="53" customFormat="1" ht="44.25" customHeight="1">
      <c r="A52" s="36"/>
      <c r="B52" s="2529" t="str">
        <f>B49</f>
        <v>Turbine</v>
      </c>
      <c r="C52" s="2474" t="str">
        <f>'2-E-Co'!A48</f>
        <v>TUR4</v>
      </c>
      <c r="D52" s="2530" t="str">
        <f t="shared" si="2"/>
        <v>TUR4</v>
      </c>
      <c r="E52" s="2846">
        <f>E49</f>
        <v>8.4</v>
      </c>
      <c r="F52" s="2847">
        <f>F49</f>
        <v>36.792000000000002</v>
      </c>
      <c r="G52" s="2846">
        <f>G49</f>
        <v>5.0999999999999996</v>
      </c>
      <c r="H52" s="2847">
        <f>H49</f>
        <v>22.338000000000001</v>
      </c>
      <c r="I52" s="2846">
        <f>I49</f>
        <v>9.1999999999999975</v>
      </c>
      <c r="J52" s="2848">
        <f>J51</f>
        <v>40.295999999999992</v>
      </c>
      <c r="K52" s="2846">
        <f t="shared" ref="K52:S52" si="8">K49</f>
        <v>2.1350532104919506</v>
      </c>
      <c r="L52" s="2847">
        <f t="shared" si="8"/>
        <v>9.3515330619547434</v>
      </c>
      <c r="M52" s="2846">
        <f>M49</f>
        <v>9.1999999999999993</v>
      </c>
      <c r="N52" s="2847">
        <f>N49</f>
        <v>40.295999999999999</v>
      </c>
      <c r="O52" s="2846">
        <f t="shared" si="8"/>
        <v>9.1999999999999993</v>
      </c>
      <c r="P52" s="2847">
        <f t="shared" si="8"/>
        <v>40.295999999999999</v>
      </c>
      <c r="Q52" s="2846">
        <f>Q49</f>
        <v>0.57515169285250722</v>
      </c>
      <c r="R52" s="2847">
        <f>R49</f>
        <v>2.5191644146939818</v>
      </c>
      <c r="S52" s="4382">
        <f t="shared" si="8"/>
        <v>544368.05460551556</v>
      </c>
      <c r="T52" s="4372"/>
      <c r="U52" s="44"/>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s="38" customFormat="1" ht="44.25" customHeight="1">
      <c r="A53" s="36"/>
      <c r="B53" s="2520" t="str">
        <f>'2-A All'!B113</f>
        <v>Emergency Generator</v>
      </c>
      <c r="C53" s="2640" t="str">
        <f>'2-A All'!A113</f>
        <v>GEN1</v>
      </c>
      <c r="D53" s="2521" t="str">
        <f t="shared" ref="D53:D60" si="9">C53</f>
        <v>GEN1</v>
      </c>
      <c r="E53" s="2485">
        <f>Generators!O13</f>
        <v>7.6014109347442673</v>
      </c>
      <c r="F53" s="2564">
        <f>Generators!X13</f>
        <v>0.38007054673721336</v>
      </c>
      <c r="G53" s="2485">
        <f>Generators!P13</f>
        <v>12.770370370370369</v>
      </c>
      <c r="H53" s="2564">
        <f>Generators!Y13</f>
        <v>0.63851851851851849</v>
      </c>
      <c r="I53" s="2485">
        <f>Generators!Q13</f>
        <v>4.887584801621446</v>
      </c>
      <c r="J53" s="2564">
        <f>Generators!Z13</f>
        <v>0.24437924008107231</v>
      </c>
      <c r="K53" s="2485">
        <f>Generators!S13</f>
        <v>5.268486050420168E-2</v>
      </c>
      <c r="L53" s="2564">
        <f>Generators!AB13</f>
        <v>2.6342430252100841E-3</v>
      </c>
      <c r="M53" s="2485">
        <f>Generators!T13</f>
        <v>0.21023717968</v>
      </c>
      <c r="N53" s="2564">
        <f>Generators!AC13</f>
        <v>1.0511858984E-2</v>
      </c>
      <c r="O53" s="2485">
        <f t="shared" ref="O53:P60" si="10">M53</f>
        <v>0.21023717968</v>
      </c>
      <c r="P53" s="2564">
        <f t="shared" si="10"/>
        <v>1.0511858984E-2</v>
      </c>
      <c r="Q53" s="2485">
        <f>Generators!W13</f>
        <v>2.0982598998460671</v>
      </c>
      <c r="R53" s="2564">
        <f>Generators!AF13</f>
        <v>0.10491299499230333</v>
      </c>
      <c r="S53" s="4385">
        <f>'Gen GHG'!H44</f>
        <v>157.09885782590544</v>
      </c>
      <c r="T53" s="4378"/>
      <c r="U53" s="44"/>
    </row>
    <row r="54" spans="1:72" s="38" customFormat="1" ht="44.25" customHeight="1">
      <c r="A54" s="36"/>
      <c r="B54" s="2520" t="str">
        <f>'2-A All'!B115</f>
        <v>Emergency Generator</v>
      </c>
      <c r="C54" s="2455" t="str">
        <f>'2-A All'!A115</f>
        <v>GEN2</v>
      </c>
      <c r="D54" s="2517" t="str">
        <f t="shared" si="9"/>
        <v>GEN2</v>
      </c>
      <c r="E54" s="2485">
        <f>Generators!O14</f>
        <v>7.6014109347442673</v>
      </c>
      <c r="F54" s="2564">
        <f>Generators!X14</f>
        <v>0.38007054673721336</v>
      </c>
      <c r="G54" s="2485">
        <f>Generators!P14</f>
        <v>12.770370370370369</v>
      </c>
      <c r="H54" s="2564">
        <f>Generators!Y14</f>
        <v>0.63851851851851849</v>
      </c>
      <c r="I54" s="2485">
        <f>Generators!Q14</f>
        <v>4.887584801621446</v>
      </c>
      <c r="J54" s="2564">
        <f>Generators!Z14</f>
        <v>0.24437924008107231</v>
      </c>
      <c r="K54" s="2485">
        <f>Generators!S14</f>
        <v>5.268486050420168E-2</v>
      </c>
      <c r="L54" s="2564">
        <f>Generators!AB14</f>
        <v>2.6342430252100841E-3</v>
      </c>
      <c r="M54" s="2485">
        <f>Generators!T14</f>
        <v>0.21023717968</v>
      </c>
      <c r="N54" s="2564">
        <f>Generators!AC14</f>
        <v>1.0511858984E-2</v>
      </c>
      <c r="O54" s="2485">
        <f t="shared" si="10"/>
        <v>0.21023717968</v>
      </c>
      <c r="P54" s="2564">
        <f t="shared" si="10"/>
        <v>1.0511858984E-2</v>
      </c>
      <c r="Q54" s="2485">
        <f>Generators!W14</f>
        <v>2.0982598998460671</v>
      </c>
      <c r="R54" s="2564">
        <f>Generators!AF14</f>
        <v>0.10491299499230333</v>
      </c>
      <c r="S54" s="4381">
        <f>S53</f>
        <v>157.09885782590544</v>
      </c>
      <c r="T54" s="4357"/>
      <c r="U54" s="44"/>
    </row>
    <row r="55" spans="1:72" s="53" customFormat="1" ht="44.25" customHeight="1">
      <c r="A55" s="36"/>
      <c r="B55" s="2520" t="str">
        <f>'2-A All'!B117</f>
        <v>Emergency Generator</v>
      </c>
      <c r="C55" s="2455" t="str">
        <f>'2-A All'!A117</f>
        <v>GEN3</v>
      </c>
      <c r="D55" s="2517" t="str">
        <f t="shared" si="9"/>
        <v>GEN3</v>
      </c>
      <c r="E55" s="2485">
        <f>Generators!O15</f>
        <v>7.6014109347442673</v>
      </c>
      <c r="F55" s="2564">
        <f>Generators!X15</f>
        <v>0.38007054673721336</v>
      </c>
      <c r="G55" s="2485">
        <f>Generators!P15</f>
        <v>12.770370370370369</v>
      </c>
      <c r="H55" s="2564">
        <f>Generators!Y15</f>
        <v>0.63851851851851849</v>
      </c>
      <c r="I55" s="2485">
        <f>Generators!Q15</f>
        <v>4.887584801621446</v>
      </c>
      <c r="J55" s="2564">
        <f>Generators!Z15</f>
        <v>0.24437924008107231</v>
      </c>
      <c r="K55" s="2485">
        <f>Generators!S15</f>
        <v>5.268486050420168E-2</v>
      </c>
      <c r="L55" s="2564">
        <f>Generators!AB15</f>
        <v>2.6342430252100841E-3</v>
      </c>
      <c r="M55" s="2485">
        <f>Generators!T15</f>
        <v>0.21023717968</v>
      </c>
      <c r="N55" s="2564">
        <f>Generators!AC15</f>
        <v>1.0511858984E-2</v>
      </c>
      <c r="O55" s="2485">
        <f t="shared" si="10"/>
        <v>0.21023717968</v>
      </c>
      <c r="P55" s="2564">
        <f t="shared" si="10"/>
        <v>1.0511858984E-2</v>
      </c>
      <c r="Q55" s="2485">
        <f>Generators!W15</f>
        <v>2.0982598998460671</v>
      </c>
      <c r="R55" s="2564">
        <f>Generators!AF15</f>
        <v>0.10491299499230333</v>
      </c>
      <c r="S55" s="4381">
        <f>S53</f>
        <v>157.09885782590544</v>
      </c>
      <c r="T55" s="4357"/>
      <c r="U55" s="44"/>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row>
    <row r="56" spans="1:72" s="53" customFormat="1" ht="44.25" customHeight="1">
      <c r="A56" s="1656"/>
      <c r="B56" s="2520" t="str">
        <f>'2-A All'!B119</f>
        <v>Emergency Generator</v>
      </c>
      <c r="C56" s="2474" t="str">
        <f>'2-A All'!A119</f>
        <v>GEN4</v>
      </c>
      <c r="D56" s="2530" t="str">
        <f t="shared" si="9"/>
        <v>GEN4</v>
      </c>
      <c r="E56" s="2485">
        <f>Generators!O16</f>
        <v>7.6014109347442673</v>
      </c>
      <c r="F56" s="2564">
        <f>Generators!X16</f>
        <v>0.38007054673721336</v>
      </c>
      <c r="G56" s="2485">
        <f>Generators!P16</f>
        <v>12.770370370370369</v>
      </c>
      <c r="H56" s="2564">
        <f>Generators!Y16</f>
        <v>0.63851851851851849</v>
      </c>
      <c r="I56" s="2485">
        <f>Generators!Q16</f>
        <v>4.887584801621446</v>
      </c>
      <c r="J56" s="2564">
        <f>Generators!Z16</f>
        <v>0.24437924008107231</v>
      </c>
      <c r="K56" s="2485">
        <f>Generators!S16</f>
        <v>5.268486050420168E-2</v>
      </c>
      <c r="L56" s="2564">
        <f>Generators!AB16</f>
        <v>2.6342430252100841E-3</v>
      </c>
      <c r="M56" s="2485">
        <f>Generators!T16</f>
        <v>0.21023717968</v>
      </c>
      <c r="N56" s="2564">
        <f>Generators!AC16</f>
        <v>1.0511858984E-2</v>
      </c>
      <c r="O56" s="2485">
        <f t="shared" si="10"/>
        <v>0.21023717968</v>
      </c>
      <c r="P56" s="2564">
        <f t="shared" si="10"/>
        <v>1.0511858984E-2</v>
      </c>
      <c r="Q56" s="2485">
        <f>Generators!W16</f>
        <v>2.0982598998460671</v>
      </c>
      <c r="R56" s="2564">
        <f>Generators!AF16</f>
        <v>0.10491299499230333</v>
      </c>
      <c r="S56" s="4382">
        <f>S53</f>
        <v>157.09885782590544</v>
      </c>
      <c r="T56" s="4372"/>
      <c r="U56" s="1655"/>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row>
    <row r="57" spans="1:72" s="53" customFormat="1" ht="44.25" customHeight="1">
      <c r="A57" s="36"/>
      <c r="B57" s="2520" t="str">
        <f>'2-A All'!B121</f>
        <v>Emergency Generator</v>
      </c>
      <c r="C57" s="3593" t="str">
        <f>'2-A All'!A121</f>
        <v>GEN5</v>
      </c>
      <c r="D57" s="3595" t="str">
        <f t="shared" si="9"/>
        <v>GEN5</v>
      </c>
      <c r="E57" s="2485">
        <f>Generators!O17</f>
        <v>7.6014109347442673</v>
      </c>
      <c r="F57" s="2564">
        <f>Generators!X17</f>
        <v>0.38007054673721336</v>
      </c>
      <c r="G57" s="2485">
        <f>Generators!P17</f>
        <v>12.770370370370369</v>
      </c>
      <c r="H57" s="2564">
        <f>Generators!Y17</f>
        <v>0.63851851851851849</v>
      </c>
      <c r="I57" s="2485">
        <f>Generators!Q17</f>
        <v>4.887584801621446</v>
      </c>
      <c r="J57" s="2564">
        <f>Generators!Z17</f>
        <v>0.24437924008107231</v>
      </c>
      <c r="K57" s="2485">
        <f>Generators!S17</f>
        <v>5.268486050420168E-2</v>
      </c>
      <c r="L57" s="2564">
        <f>Generators!AB17</f>
        <v>2.6342430252100841E-3</v>
      </c>
      <c r="M57" s="2485">
        <f>Generators!T17</f>
        <v>0.21023717968</v>
      </c>
      <c r="N57" s="2564">
        <f>Generators!AC17</f>
        <v>1.0511858984E-2</v>
      </c>
      <c r="O57" s="2485">
        <f t="shared" si="10"/>
        <v>0.21023717968</v>
      </c>
      <c r="P57" s="2564">
        <f t="shared" si="10"/>
        <v>1.0511858984E-2</v>
      </c>
      <c r="Q57" s="2485">
        <f>Generators!W17</f>
        <v>2.0982598998460671</v>
      </c>
      <c r="R57" s="2486">
        <f>Generators!AF17</f>
        <v>0.10491299499230333</v>
      </c>
      <c r="S57" s="4385">
        <f>S53</f>
        <v>157.09885782590544</v>
      </c>
      <c r="T57" s="4378"/>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44.25" customHeight="1">
      <c r="A58" s="36"/>
      <c r="B58" s="2520" t="str">
        <f>'2-A All'!B123</f>
        <v>Emergency Generator</v>
      </c>
      <c r="C58" s="2730" t="str">
        <f>'2-A All'!A123</f>
        <v>GEN6</v>
      </c>
      <c r="D58" s="2521" t="str">
        <f t="shared" si="9"/>
        <v>GEN6</v>
      </c>
      <c r="E58" s="2846">
        <f>Generators!O18</f>
        <v>7.6014109347442673</v>
      </c>
      <c r="F58" s="2847">
        <f>Generators!X18</f>
        <v>0.38007054673721336</v>
      </c>
      <c r="G58" s="2846">
        <f>Generators!P18</f>
        <v>12.770370370370369</v>
      </c>
      <c r="H58" s="2847">
        <f>Generators!Y18</f>
        <v>0.63851851851851849</v>
      </c>
      <c r="I58" s="2846">
        <f>Generators!Q18</f>
        <v>4.887584801621446</v>
      </c>
      <c r="J58" s="2847">
        <f>Generators!Z18</f>
        <v>0.24437924008107231</v>
      </c>
      <c r="K58" s="2846">
        <f>Generators!S18</f>
        <v>5.268486050420168E-2</v>
      </c>
      <c r="L58" s="2847">
        <f>Generators!AB18</f>
        <v>2.6342430252100841E-3</v>
      </c>
      <c r="M58" s="2846">
        <f>Generators!T18</f>
        <v>0.21023717968</v>
      </c>
      <c r="N58" s="2847">
        <f>Generators!AC18</f>
        <v>1.0511858984E-2</v>
      </c>
      <c r="O58" s="2846">
        <f t="shared" si="10"/>
        <v>0.21023717968</v>
      </c>
      <c r="P58" s="2847">
        <f t="shared" si="10"/>
        <v>1.0511858984E-2</v>
      </c>
      <c r="Q58" s="2846">
        <f>Generators!W18</f>
        <v>2.0982598998460671</v>
      </c>
      <c r="R58" s="2848">
        <f>Generators!AF18</f>
        <v>0.10491299499230333</v>
      </c>
      <c r="S58" s="4385">
        <f>S54</f>
        <v>157.09885782590544</v>
      </c>
      <c r="T58" s="4378"/>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s="53" customFormat="1" ht="44.25" customHeight="1">
      <c r="A59" s="36"/>
      <c r="B59" s="2520" t="str">
        <f>'2-A All'!B125</f>
        <v>Emergency Generator</v>
      </c>
      <c r="C59" s="2455" t="str">
        <f>'2-A All'!A125</f>
        <v>GEN7</v>
      </c>
      <c r="D59" s="2517" t="str">
        <f t="shared" si="9"/>
        <v>GEN7</v>
      </c>
      <c r="E59" s="2846">
        <f>Generators!O19</f>
        <v>7.6014109347442673</v>
      </c>
      <c r="F59" s="2847">
        <f>Generators!X19</f>
        <v>0.38007054673721336</v>
      </c>
      <c r="G59" s="2846">
        <f>Generators!P19</f>
        <v>12.770370370370369</v>
      </c>
      <c r="H59" s="2847">
        <f>Generators!Y19</f>
        <v>0.63851851851851849</v>
      </c>
      <c r="I59" s="2846">
        <f>Generators!Q19</f>
        <v>4.887584801621446</v>
      </c>
      <c r="J59" s="2847">
        <f>Generators!Z19</f>
        <v>0.24437924008107231</v>
      </c>
      <c r="K59" s="2846">
        <f>Generators!S19</f>
        <v>5.268486050420168E-2</v>
      </c>
      <c r="L59" s="2847">
        <f>Generators!AB19</f>
        <v>2.6342430252100841E-3</v>
      </c>
      <c r="M59" s="2846">
        <f>Generators!T19</f>
        <v>0.21023717968</v>
      </c>
      <c r="N59" s="2847">
        <f>Generators!AC19</f>
        <v>1.0511858984E-2</v>
      </c>
      <c r="O59" s="2846">
        <f t="shared" si="10"/>
        <v>0.21023717968</v>
      </c>
      <c r="P59" s="2847">
        <f t="shared" si="10"/>
        <v>1.0511858984E-2</v>
      </c>
      <c r="Q59" s="2846">
        <f>Generators!W19</f>
        <v>2.0982598998460671</v>
      </c>
      <c r="R59" s="2848">
        <f>Generators!AF19</f>
        <v>0.10491299499230333</v>
      </c>
      <c r="S59" s="4381">
        <f>S53</f>
        <v>157.09885782590544</v>
      </c>
      <c r="T59" s="4357"/>
      <c r="U59" s="44"/>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row>
    <row r="60" spans="1:72" s="53" customFormat="1" ht="44.25" customHeight="1" thickBot="1">
      <c r="A60" s="36"/>
      <c r="B60" s="2567" t="str">
        <f>'2-A All'!B127</f>
        <v>Emergency Generator</v>
      </c>
      <c r="C60" s="2468" t="str">
        <f>'2-A All'!A127</f>
        <v>GEN8</v>
      </c>
      <c r="D60" s="2469" t="str">
        <f t="shared" si="9"/>
        <v>GEN8</v>
      </c>
      <c r="E60" s="2488">
        <f>Generators!O20</f>
        <v>7.6014109347442673</v>
      </c>
      <c r="F60" s="2873">
        <f>Generators!X20</f>
        <v>0.38007054673721336</v>
      </c>
      <c r="G60" s="2488">
        <f>Generators!P20</f>
        <v>12.770370370370369</v>
      </c>
      <c r="H60" s="2873">
        <f>Generators!Y20</f>
        <v>0.63851851851851849</v>
      </c>
      <c r="I60" s="2488">
        <f>Generators!Q20</f>
        <v>4.887584801621446</v>
      </c>
      <c r="J60" s="2873">
        <f>Generators!Z20</f>
        <v>0.24437924008107231</v>
      </c>
      <c r="K60" s="2488">
        <f>Generators!S20</f>
        <v>5.268486050420168E-2</v>
      </c>
      <c r="L60" s="2873">
        <f>Generators!AB20</f>
        <v>2.6342430252100841E-3</v>
      </c>
      <c r="M60" s="2488">
        <f>Generators!T20</f>
        <v>0.21023717968</v>
      </c>
      <c r="N60" s="2873">
        <f>Generators!AC20</f>
        <v>1.0511858984E-2</v>
      </c>
      <c r="O60" s="2488">
        <f t="shared" si="10"/>
        <v>0.21023717968</v>
      </c>
      <c r="P60" s="2873">
        <f t="shared" si="10"/>
        <v>1.0511858984E-2</v>
      </c>
      <c r="Q60" s="2488">
        <f>Generators!W20</f>
        <v>2.0982598998460671</v>
      </c>
      <c r="R60" s="2489">
        <f>Generators!AF20</f>
        <v>0.10491299499230333</v>
      </c>
      <c r="S60" s="4386">
        <f>S54</f>
        <v>157.09885782590544</v>
      </c>
      <c r="T60" s="4387"/>
      <c r="U60" s="4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ht="24" customHeight="1" thickBot="1">
      <c r="A61" s="17"/>
      <c r="B61" s="180"/>
      <c r="C61" s="180"/>
      <c r="D61" s="180"/>
      <c r="E61" s="181"/>
      <c r="F61" s="181"/>
      <c r="G61" s="181"/>
      <c r="H61" s="182"/>
      <c r="I61" s="182"/>
      <c r="J61" s="182"/>
      <c r="K61" s="182"/>
      <c r="L61" s="182"/>
      <c r="M61" s="182"/>
      <c r="N61" s="182"/>
      <c r="O61" s="182"/>
      <c r="P61" s="182"/>
      <c r="Q61" s="182"/>
      <c r="R61" s="182"/>
      <c r="S61" s="182"/>
      <c r="T61" s="182"/>
      <c r="U61" s="18"/>
    </row>
    <row r="62" spans="1:72" s="9" customFormat="1" ht="42" customHeight="1">
      <c r="A62" s="23"/>
      <c r="B62" s="4310" t="s">
        <v>1824</v>
      </c>
      <c r="C62" s="4315"/>
      <c r="D62" s="4316"/>
      <c r="E62" s="4310" t="s">
        <v>21</v>
      </c>
      <c r="F62" s="4316"/>
      <c r="G62" s="4310" t="s">
        <v>0</v>
      </c>
      <c r="H62" s="4311"/>
      <c r="I62" s="4323" t="s">
        <v>283</v>
      </c>
      <c r="J62" s="4324"/>
      <c r="K62" s="4310" t="s">
        <v>1772</v>
      </c>
      <c r="L62" s="4311"/>
      <c r="M62" s="4310" t="s">
        <v>1311</v>
      </c>
      <c r="N62" s="4311"/>
      <c r="O62" s="4325" t="s">
        <v>1773</v>
      </c>
      <c r="P62" s="4316"/>
      <c r="Q62" s="4310" t="s">
        <v>15</v>
      </c>
      <c r="R62" s="4311"/>
      <c r="S62" s="4310" t="s">
        <v>273</v>
      </c>
      <c r="T62" s="4311"/>
      <c r="U62" s="24"/>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row>
    <row r="63" spans="1:72" s="9" customFormat="1" ht="26.25" customHeight="1">
      <c r="A63" s="23"/>
      <c r="B63" s="4317"/>
      <c r="C63" s="4318"/>
      <c r="D63" s="4319"/>
      <c r="E63" s="2490" t="s">
        <v>1915</v>
      </c>
      <c r="F63" s="2491" t="s">
        <v>37</v>
      </c>
      <c r="G63" s="2490" t="s">
        <v>1915</v>
      </c>
      <c r="H63" s="2492" t="s">
        <v>37</v>
      </c>
      <c r="I63" s="2490" t="s">
        <v>1915</v>
      </c>
      <c r="J63" s="2491" t="s">
        <v>37</v>
      </c>
      <c r="K63" s="2490" t="s">
        <v>1915</v>
      </c>
      <c r="L63" s="2492" t="s">
        <v>37</v>
      </c>
      <c r="M63" s="2490" t="s">
        <v>1915</v>
      </c>
      <c r="N63" s="2495" t="s">
        <v>37</v>
      </c>
      <c r="O63" s="2490" t="s">
        <v>1915</v>
      </c>
      <c r="P63" s="2491" t="s">
        <v>37</v>
      </c>
      <c r="Q63" s="2490" t="s">
        <v>1915</v>
      </c>
      <c r="R63" s="2492" t="s">
        <v>37</v>
      </c>
      <c r="S63" s="4348" t="s">
        <v>37</v>
      </c>
      <c r="T63" s="4349"/>
      <c r="U63" s="24"/>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row>
    <row r="64" spans="1:72" s="9" customFormat="1" ht="44.25" customHeight="1" thickBot="1">
      <c r="A64" s="23"/>
      <c r="B64" s="4320"/>
      <c r="C64" s="4321"/>
      <c r="D64" s="4322"/>
      <c r="E64" s="2967">
        <f>E13+E14+E15+E16+E17+E18+E22+E33+E34+E35+E36+E49+E50+E51+E52</f>
        <v>154.45156750745792</v>
      </c>
      <c r="F64" s="2968">
        <f>SUM(F13:F60)</f>
        <v>259.85892722120138</v>
      </c>
      <c r="G64" s="2967">
        <f>G13+G14+G15+G16+G17+G18+G22+G33+G34+G35+G36+G49+G50+G51+G52</f>
        <v>243.69939935736701</v>
      </c>
      <c r="H64" s="2968">
        <f>SUM(H13:H60)</f>
        <v>234.67308957151553</v>
      </c>
      <c r="I64" s="2967">
        <f>I13+I14+I15+I16+I17+I18+I21+I23+I24+I25+I26+I33+I34+I35+I36+I37+I42+I43+I49+I50+I51+I52</f>
        <v>489.04053591655395</v>
      </c>
      <c r="J64" s="2968">
        <f>SUM(J13:J60)</f>
        <v>489.19799293490405</v>
      </c>
      <c r="K64" s="2967">
        <f>K13+K14+K15+K16+K17+K18+K22+K33+K34+K35+K36+K49+K50+K51+K52</f>
        <v>11.722999774892124</v>
      </c>
      <c r="L64" s="2968">
        <f>SUM(L13:L60)</f>
        <v>51.155210496976323</v>
      </c>
      <c r="M64" s="2967">
        <f>M13+M14+M15+M16+M17+M18+M22+M33+M34+M35+M36+M39+M49+M50+M51+M52</f>
        <v>47.616904936951528</v>
      </c>
      <c r="N64" s="2968">
        <f>SUM(N13:N60)</f>
        <v>183.56861153810843</v>
      </c>
      <c r="O64" s="2967">
        <f>O13+O14+O15+O16+O17+O18+O22+O33+O34+O35+O36+O39+O49+O50+O51+O52</f>
        <v>45.563538823324592</v>
      </c>
      <c r="P64" s="2968">
        <f>SUM(P13:P60)</f>
        <v>176.99247552551469</v>
      </c>
      <c r="Q64" s="2967">
        <f>Q13+Q14+Q15+Q16+Q17+Q18+Q23+Q24+Q25+Q26+Q33+Q34+Q35+Q36+Q37+Q42+Q43+Q49+Q50+Q51+Q52+Q53+Q54+Q55+Q56+Q57+Q58+Q59+Q60</f>
        <v>22.185991639002431</v>
      </c>
      <c r="R64" s="2968">
        <f>SUM(R13:R60)</f>
        <v>25.324276780210063</v>
      </c>
      <c r="S64" s="4346">
        <f>SUM(S13:S60)</f>
        <v>2640840.1121065784</v>
      </c>
      <c r="T64" s="4347">
        <f>SUM(T13:T48)</f>
        <v>0</v>
      </c>
      <c r="U64" s="24"/>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row>
    <row r="65" spans="1:23" s="38" customFormat="1" ht="42.65" customHeight="1">
      <c r="A65" s="2951">
        <v>1</v>
      </c>
      <c r="B65" s="4345" t="s">
        <v>1914</v>
      </c>
      <c r="C65" s="4345"/>
      <c r="D65" s="4345"/>
      <c r="E65" s="4345"/>
      <c r="F65" s="4345"/>
      <c r="G65" s="4345"/>
      <c r="H65" s="4345"/>
      <c r="I65" s="4345"/>
      <c r="J65" s="4345"/>
      <c r="K65" s="4345"/>
      <c r="L65" s="4345"/>
      <c r="M65" s="4345"/>
      <c r="N65" s="4345"/>
      <c r="O65" s="4345"/>
      <c r="P65" s="4345"/>
      <c r="Q65" s="4345"/>
      <c r="R65" s="4345"/>
      <c r="S65" s="4345"/>
      <c r="T65" s="4345"/>
      <c r="U65" s="44"/>
    </row>
    <row r="66" spans="1:23" s="38" customFormat="1" ht="33.65" customHeight="1" thickBot="1">
      <c r="A66" s="2952">
        <v>2</v>
      </c>
      <c r="B66" s="4344" t="s">
        <v>1916</v>
      </c>
      <c r="C66" s="4344"/>
      <c r="D66" s="4344"/>
      <c r="E66" s="4344"/>
      <c r="F66" s="4344"/>
      <c r="G66" s="4344"/>
      <c r="H66" s="4344"/>
      <c r="I66" s="4344"/>
      <c r="J66" s="4344"/>
      <c r="K66" s="4344"/>
      <c r="L66" s="4344"/>
      <c r="M66" s="4344"/>
      <c r="N66" s="4344"/>
      <c r="O66" s="4344"/>
      <c r="P66" s="4344"/>
      <c r="Q66" s="4344"/>
      <c r="R66" s="4344"/>
      <c r="S66" s="4344"/>
      <c r="T66" s="4344"/>
      <c r="U66" s="1664"/>
    </row>
    <row r="67" spans="1:23" s="38" customFormat="1" ht="13.5" thickBot="1">
      <c r="A67" s="2960"/>
      <c r="B67" s="2961"/>
      <c r="C67" s="2961"/>
      <c r="D67" s="2961"/>
      <c r="E67" s="2961"/>
      <c r="F67" s="2961"/>
      <c r="G67" s="2961"/>
      <c r="H67" s="2961"/>
      <c r="I67" s="2961"/>
      <c r="J67" s="2961"/>
      <c r="K67" s="2961"/>
      <c r="L67" s="2961"/>
      <c r="M67" s="2961"/>
      <c r="N67" s="2961"/>
      <c r="O67" s="2961"/>
      <c r="P67" s="2961"/>
      <c r="Q67" s="2961"/>
      <c r="R67" s="2961"/>
      <c r="S67" s="2961"/>
      <c r="T67" s="2961"/>
      <c r="U67" s="2962"/>
    </row>
    <row r="68" spans="1:23" ht="44.15" customHeight="1" thickBot="1">
      <c r="B68" s="4020" t="s">
        <v>1132</v>
      </c>
      <c r="C68" s="4021"/>
      <c r="D68" s="4022"/>
      <c r="E68" s="1202" t="s">
        <v>22</v>
      </c>
      <c r="F68" s="1304" t="s">
        <v>37</v>
      </c>
      <c r="G68" s="1306" t="s">
        <v>22</v>
      </c>
      <c r="H68" s="1203" t="s">
        <v>37</v>
      </c>
      <c r="I68" s="1202" t="s">
        <v>22</v>
      </c>
      <c r="J68" s="1304" t="s">
        <v>37</v>
      </c>
      <c r="K68" s="1306" t="s">
        <v>22</v>
      </c>
      <c r="L68" s="1203" t="s">
        <v>37</v>
      </c>
      <c r="M68" s="1202" t="s">
        <v>22</v>
      </c>
      <c r="N68" s="1203" t="s">
        <v>37</v>
      </c>
      <c r="O68" s="1202" t="s">
        <v>22</v>
      </c>
      <c r="P68" s="1203" t="s">
        <v>37</v>
      </c>
    </row>
    <row r="69" spans="1:23" ht="44.15" customHeight="1">
      <c r="B69" s="4391" t="s">
        <v>1746</v>
      </c>
      <c r="C69" s="4392"/>
      <c r="D69" s="4393"/>
      <c r="E69" s="1607">
        <f t="shared" ref="E69:P69" si="11">SUM(E13:E17)</f>
        <v>6.5970360000000001</v>
      </c>
      <c r="F69" s="575">
        <f t="shared" si="11"/>
        <v>28.895017680000002</v>
      </c>
      <c r="G69" s="574">
        <f t="shared" si="11"/>
        <v>4.0274039999999998</v>
      </c>
      <c r="H69" s="1564">
        <f t="shared" si="11"/>
        <v>17.640029519999999</v>
      </c>
      <c r="I69" s="1607">
        <f t="shared" si="11"/>
        <v>1.5813120000000001</v>
      </c>
      <c r="J69" s="575">
        <f t="shared" si="11"/>
        <v>6.9261465600000003</v>
      </c>
      <c r="K69" s="574">
        <f t="shared" si="11"/>
        <v>0.54502941176470587</v>
      </c>
      <c r="L69" s="1564">
        <f t="shared" si="11"/>
        <v>2.3872288235294121</v>
      </c>
      <c r="M69" s="1607">
        <f t="shared" si="11"/>
        <v>1.8409882352941174</v>
      </c>
      <c r="N69" s="1526">
        <f t="shared" si="11"/>
        <v>8.0635284705882349</v>
      </c>
      <c r="O69" s="1607">
        <f t="shared" si="11"/>
        <v>1.8409882352941174</v>
      </c>
      <c r="P69" s="1526">
        <f t="shared" si="11"/>
        <v>8.0635284705882349</v>
      </c>
      <c r="Q69" s="1029"/>
      <c r="R69" s="1029"/>
      <c r="S69" s="1029"/>
      <c r="T69" s="1029"/>
    </row>
    <row r="70" spans="1:23" ht="44.15" customHeight="1">
      <c r="B70" s="4394" t="s">
        <v>1747</v>
      </c>
      <c r="C70" s="4395"/>
      <c r="D70" s="4396"/>
      <c r="E70" s="1608">
        <f>E13+E14+E33</f>
        <v>5.0550680516780506</v>
      </c>
      <c r="F70" s="1609">
        <f>F13+F14+F33</f>
        <v>21.249852807377625</v>
      </c>
      <c r="G70" s="1608">
        <f>G13+G14+G33</f>
        <v>5.2939778350529192</v>
      </c>
      <c r="H70" s="1609">
        <f>H13+H14+H33</f>
        <v>21.408161911395183</v>
      </c>
      <c r="I70" s="1608">
        <f>I13+I14+I23+I24+I25+I26+I33+I37+I42+I43</f>
        <v>44.524798561970485</v>
      </c>
      <c r="J70" s="1609">
        <f>J13+J14+J23+J24+J25+J26+J33+J37+J42+J43</f>
        <v>189.21547265904135</v>
      </c>
      <c r="K70" s="1608">
        <f t="shared" ref="K70:P70" si="12">K13+K14+K33</f>
        <v>0.28601470588235295</v>
      </c>
      <c r="L70" s="1609">
        <f t="shared" si="12"/>
        <v>1.252744411764706</v>
      </c>
      <c r="M70" s="1608">
        <f t="shared" si="12"/>
        <v>1.0521122335376041</v>
      </c>
      <c r="N70" s="1609">
        <f t="shared" si="12"/>
        <v>4.3602929315521157</v>
      </c>
      <c r="O70" s="1608">
        <f t="shared" si="12"/>
        <v>1.0521122335376041</v>
      </c>
      <c r="P70" s="1609">
        <f t="shared" si="12"/>
        <v>4.3602929315521157</v>
      </c>
      <c r="Q70" s="1029"/>
      <c r="R70" s="1029"/>
      <c r="S70" s="1029"/>
      <c r="T70" s="1029"/>
    </row>
    <row r="71" spans="1:23" s="38" customFormat="1" ht="44.15" customHeight="1" thickBot="1">
      <c r="B71" s="4388" t="s">
        <v>1748</v>
      </c>
      <c r="C71" s="4389"/>
      <c r="D71" s="4390"/>
      <c r="E71" s="1610">
        <f t="shared" ref="E71:P71" si="13">SUM(E49:E52)</f>
        <v>33.6</v>
      </c>
      <c r="F71" s="1611">
        <f t="shared" si="13"/>
        <v>147.16800000000001</v>
      </c>
      <c r="G71" s="1610">
        <f t="shared" si="13"/>
        <v>20.399999999999999</v>
      </c>
      <c r="H71" s="1612">
        <f t="shared" si="13"/>
        <v>89.352000000000004</v>
      </c>
      <c r="I71" s="1610">
        <f t="shared" si="13"/>
        <v>36.79999999999999</v>
      </c>
      <c r="J71" s="1612">
        <f t="shared" si="13"/>
        <v>161.18399999999997</v>
      </c>
      <c r="K71" s="1610">
        <f t="shared" si="13"/>
        <v>8.5402128419678025</v>
      </c>
      <c r="L71" s="1612">
        <f t="shared" si="13"/>
        <v>37.406132247818974</v>
      </c>
      <c r="M71" s="1610">
        <f>SUM(M49:M52)</f>
        <v>36.799999999999997</v>
      </c>
      <c r="N71" s="1612">
        <f>SUM(N49:N52)</f>
        <v>161.184</v>
      </c>
      <c r="O71" s="1610">
        <f t="shared" si="13"/>
        <v>36.799999999999997</v>
      </c>
      <c r="P71" s="1612">
        <f t="shared" si="13"/>
        <v>161.184</v>
      </c>
      <c r="Q71" s="1029"/>
      <c r="R71" s="1029"/>
      <c r="S71" s="1029"/>
      <c r="T71" s="1029"/>
    </row>
    <row r="72" spans="1:23" ht="18.649999999999999" customHeight="1">
      <c r="A72" s="1615"/>
      <c r="B72" s="4032"/>
      <c r="C72" s="4032"/>
      <c r="D72" s="4032"/>
      <c r="E72" s="1616"/>
      <c r="F72" s="1617"/>
      <c r="G72" s="1616"/>
      <c r="H72" s="1617"/>
      <c r="I72" s="1616"/>
      <c r="J72" s="1617"/>
      <c r="K72" s="1616"/>
      <c r="L72" s="1617"/>
      <c r="M72" s="1616"/>
      <c r="N72" s="1617"/>
      <c r="O72" s="1616"/>
      <c r="P72" s="1617"/>
      <c r="Q72" s="1615"/>
      <c r="R72" s="1615"/>
      <c r="S72" s="1615"/>
      <c r="T72" s="1615"/>
      <c r="U72" s="1615"/>
      <c r="W72" s="1037"/>
    </row>
    <row r="73" spans="1:23" ht="29.25" customHeight="1">
      <c r="D73" s="1216"/>
      <c r="E73" s="38"/>
      <c r="F73" s="1213"/>
      <c r="G73" s="1427"/>
      <c r="H73" s="1428"/>
      <c r="I73" s="1429"/>
      <c r="J73" s="38"/>
      <c r="K73" s="1216"/>
      <c r="L73" s="1216"/>
      <c r="P73" s="38"/>
    </row>
    <row r="74" spans="1:23" ht="26.25" customHeight="1">
      <c r="D74" s="1209"/>
      <c r="E74" s="1211"/>
      <c r="F74" s="1212"/>
      <c r="G74" s="1430"/>
      <c r="H74" s="1431"/>
      <c r="I74" s="1432"/>
      <c r="J74" s="1210"/>
      <c r="K74" s="1210"/>
      <c r="L74" s="1344"/>
      <c r="M74" s="8"/>
      <c r="O74" s="8"/>
      <c r="R74" s="199"/>
    </row>
    <row r="75" spans="1:23" s="1029" customFormat="1" ht="26.25" customHeight="1">
      <c r="D75" s="1209"/>
      <c r="E75" s="1211"/>
      <c r="F75" s="1212"/>
      <c r="G75" s="1433"/>
      <c r="H75" s="1434"/>
      <c r="I75" s="1432"/>
      <c r="J75" s="1210"/>
      <c r="K75" s="1210"/>
      <c r="L75" s="1344"/>
      <c r="M75" s="8"/>
      <c r="O75" s="8"/>
      <c r="R75" s="1035"/>
      <c r="S75" s="1036"/>
      <c r="T75" s="1036"/>
    </row>
    <row r="76" spans="1:23" s="1029" customFormat="1" ht="23.5">
      <c r="D76" s="1209"/>
      <c r="E76" s="1211"/>
      <c r="F76" s="1212"/>
      <c r="G76" s="1433"/>
      <c r="H76" s="1435"/>
      <c r="I76" s="1434"/>
      <c r="J76" s="1210"/>
      <c r="K76" s="1210"/>
      <c r="L76" s="1344"/>
      <c r="M76" s="8"/>
      <c r="O76" s="8"/>
      <c r="R76" s="1035"/>
      <c r="T76" s="1036"/>
    </row>
    <row r="77" spans="1:23" s="1029" customFormat="1" ht="23.5">
      <c r="D77" s="1209"/>
      <c r="E77" s="1210"/>
      <c r="F77" s="1213"/>
      <c r="G77" s="1211"/>
      <c r="H77" s="1210"/>
      <c r="I77" s="1210"/>
      <c r="J77" s="1210"/>
      <c r="K77" s="1210"/>
      <c r="L77" s="1036"/>
      <c r="R77" s="1035"/>
      <c r="T77" s="1036"/>
    </row>
    <row r="78" spans="1:23" ht="23.5">
      <c r="D78" s="1216"/>
      <c r="E78" s="38"/>
      <c r="F78" s="1213"/>
      <c r="G78" s="8"/>
      <c r="H78" s="1210"/>
      <c r="I78" s="1210"/>
      <c r="J78" s="1210"/>
      <c r="K78" s="1210"/>
      <c r="L78" s="1029"/>
      <c r="M78" s="1029"/>
      <c r="N78" s="8"/>
      <c r="O78" s="1029"/>
      <c r="P78" s="8"/>
      <c r="Q78" s="8"/>
      <c r="R78" s="199"/>
      <c r="S78" s="8"/>
      <c r="T78" s="8"/>
    </row>
    <row r="79" spans="1:23" ht="23.5">
      <c r="D79" s="1209"/>
      <c r="E79" s="1211"/>
      <c r="F79" s="1212"/>
      <c r="G79" s="1211"/>
      <c r="H79" s="1210"/>
      <c r="I79" s="1210"/>
      <c r="J79" s="1211"/>
      <c r="K79" s="1210"/>
      <c r="L79" s="1036"/>
      <c r="M79" s="1029"/>
      <c r="O79" s="1029"/>
      <c r="R79" s="199"/>
      <c r="T79" s="8"/>
    </row>
    <row r="80" spans="1:23" ht="23.5">
      <c r="D80" s="1209"/>
      <c r="E80" s="1210"/>
      <c r="F80" s="1213"/>
      <c r="G80" s="1211"/>
      <c r="H80" s="1211"/>
      <c r="I80" s="1211"/>
      <c r="J80" s="1211"/>
      <c r="K80" s="1211"/>
      <c r="L80" s="8"/>
      <c r="M80" s="8"/>
      <c r="O80" s="8"/>
      <c r="R80" s="8"/>
    </row>
    <row r="81" spans="4:18" ht="23.5">
      <c r="D81" s="1216"/>
      <c r="E81" s="38"/>
      <c r="F81" s="1213"/>
      <c r="G81" s="8"/>
      <c r="H81" s="1210"/>
      <c r="I81" s="1210"/>
      <c r="J81" s="1211"/>
      <c r="K81" s="1211"/>
      <c r="L81" s="38"/>
    </row>
    <row r="82" spans="4:18" ht="23.5">
      <c r="D82" s="1209"/>
      <c r="E82" s="1211"/>
      <c r="F82" s="1212"/>
      <c r="G82" s="1211"/>
      <c r="H82" s="1210"/>
      <c r="I82" s="1210"/>
      <c r="J82" s="1211"/>
      <c r="K82" s="1211"/>
      <c r="L82" s="38"/>
    </row>
    <row r="83" spans="4:18" ht="23.5">
      <c r="D83" s="1209"/>
      <c r="E83" s="1210"/>
      <c r="F83" s="1213"/>
      <c r="G83" s="1211"/>
      <c r="H83" s="1210"/>
      <c r="I83" s="1210"/>
      <c r="J83" s="1211"/>
      <c r="K83" s="1211"/>
      <c r="L83" s="38"/>
    </row>
    <row r="84" spans="4:18" ht="20.5">
      <c r="D84" s="1216"/>
      <c r="E84" s="38"/>
      <c r="F84" s="1213"/>
      <c r="G84" s="8"/>
      <c r="H84" s="38"/>
      <c r="J84" s="38"/>
      <c r="L84" s="38"/>
      <c r="Q84" s="8"/>
      <c r="R84" s="8"/>
    </row>
    <row r="85" spans="4:18" ht="23.5">
      <c r="D85" s="1209"/>
      <c r="E85" s="1211"/>
      <c r="F85" s="1212"/>
      <c r="G85" s="1211"/>
      <c r="H85" s="38"/>
      <c r="J85" s="38"/>
      <c r="L85" s="38"/>
    </row>
    <row r="86" spans="4:18" ht="23.5">
      <c r="D86" s="1209"/>
      <c r="E86" s="1210"/>
      <c r="F86" s="1213"/>
      <c r="G86" s="1211"/>
      <c r="H86" s="38"/>
      <c r="I86" s="8"/>
      <c r="J86" s="8"/>
      <c r="L86" s="38"/>
    </row>
  </sheetData>
  <mergeCells count="96">
    <mergeCell ref="B72:D72"/>
    <mergeCell ref="S39:T39"/>
    <mergeCell ref="E40:T40"/>
    <mergeCell ref="E41:T41"/>
    <mergeCell ref="E44:T44"/>
    <mergeCell ref="E45:T45"/>
    <mergeCell ref="B62:D64"/>
    <mergeCell ref="E47:T47"/>
    <mergeCell ref="S42:T42"/>
    <mergeCell ref="S49:T49"/>
    <mergeCell ref="S50:T50"/>
    <mergeCell ref="I62:J62"/>
    <mergeCell ref="B71:D71"/>
    <mergeCell ref="B69:D69"/>
    <mergeCell ref="B70:D70"/>
    <mergeCell ref="B68:D68"/>
    <mergeCell ref="S51:T51"/>
    <mergeCell ref="S52:T52"/>
    <mergeCell ref="S43:T43"/>
    <mergeCell ref="E62:F62"/>
    <mergeCell ref="Q62:R62"/>
    <mergeCell ref="O62:P62"/>
    <mergeCell ref="G62:H62"/>
    <mergeCell ref="S53:T53"/>
    <mergeCell ref="S58:T58"/>
    <mergeCell ref="S59:T59"/>
    <mergeCell ref="S60:T60"/>
    <mergeCell ref="S54:T54"/>
    <mergeCell ref="S55:T55"/>
    <mergeCell ref="S57:T57"/>
    <mergeCell ref="S56:T56"/>
    <mergeCell ref="S38:T38"/>
    <mergeCell ref="S36:T36"/>
    <mergeCell ref="S37:T37"/>
    <mergeCell ref="E46:T46"/>
    <mergeCell ref="E48:T48"/>
    <mergeCell ref="S33:T33"/>
    <mergeCell ref="E28:T28"/>
    <mergeCell ref="G18:G20"/>
    <mergeCell ref="S35:T35"/>
    <mergeCell ref="S18:T20"/>
    <mergeCell ref="S21:T21"/>
    <mergeCell ref="S22:T22"/>
    <mergeCell ref="B3:T3"/>
    <mergeCell ref="B4:T4"/>
    <mergeCell ref="B5:T5"/>
    <mergeCell ref="S14:T14"/>
    <mergeCell ref="A9:U9"/>
    <mergeCell ref="K11:L11"/>
    <mergeCell ref="I11:J11"/>
    <mergeCell ref="G11:H11"/>
    <mergeCell ref="E11:F11"/>
    <mergeCell ref="Q11:R11"/>
    <mergeCell ref="O11:P11"/>
    <mergeCell ref="B11:B12"/>
    <mergeCell ref="S11:T11"/>
    <mergeCell ref="S12:T12"/>
    <mergeCell ref="C11:C12"/>
    <mergeCell ref="D11:D12"/>
    <mergeCell ref="M11:N11"/>
    <mergeCell ref="M62:N62"/>
    <mergeCell ref="S17:T17"/>
    <mergeCell ref="E30:T30"/>
    <mergeCell ref="E29:T29"/>
    <mergeCell ref="S16:T16"/>
    <mergeCell ref="S13:T13"/>
    <mergeCell ref="S26:T26"/>
    <mergeCell ref="S15:T15"/>
    <mergeCell ref="S25:T25"/>
    <mergeCell ref="S24:T24"/>
    <mergeCell ref="S23:T23"/>
    <mergeCell ref="E18:E20"/>
    <mergeCell ref="F18:F20"/>
    <mergeCell ref="E31:T31"/>
    <mergeCell ref="E32:T32"/>
    <mergeCell ref="C18:C20"/>
    <mergeCell ref="D18:D20"/>
    <mergeCell ref="S63:T63"/>
    <mergeCell ref="H18:H20"/>
    <mergeCell ref="I18:I20"/>
    <mergeCell ref="J18:J20"/>
    <mergeCell ref="K18:K20"/>
    <mergeCell ref="L18:L20"/>
    <mergeCell ref="M18:M20"/>
    <mergeCell ref="N18:N20"/>
    <mergeCell ref="O18:O20"/>
    <mergeCell ref="P18:P20"/>
    <mergeCell ref="Q18:Q20"/>
    <mergeCell ref="R18:R20"/>
    <mergeCell ref="S34:T34"/>
    <mergeCell ref="E27:T27"/>
    <mergeCell ref="B66:T66"/>
    <mergeCell ref="B65:T65"/>
    <mergeCell ref="S64:T64"/>
    <mergeCell ref="K62:L62"/>
    <mergeCell ref="S62:T62"/>
  </mergeCells>
  <conditionalFormatting sqref="M70:N70">
    <cfRule type="cellIs" dxfId="4" priority="1" operator="greaterThan">
      <formula>100</formula>
    </cfRule>
  </conditionalFormatting>
  <printOptions horizontalCentered="1"/>
  <pageMargins left="0.25" right="0.25" top="0.3" bottom="0.5" header="0.3" footer="0.3"/>
  <pageSetup scale="39" fitToHeight="2" orientation="landscape" r:id="rId1"/>
  <headerFooter alignWithMargins="0">
    <oddFooter>&amp;CCalculations: Page &amp;P</oddFooter>
  </headerFooter>
  <rowBreaks count="2" manualBreakCount="2">
    <brk id="35" max="20" man="1"/>
    <brk id="56"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3">
    <tabColor theme="3" tint="-0.249977111117893"/>
    <pageSetUpPr fitToPage="1"/>
  </sheetPr>
  <dimension ref="A1:X30"/>
  <sheetViews>
    <sheetView view="pageLayout" topLeftCell="A7" zoomScale="55" zoomScaleNormal="53" zoomScaleSheetLayoutView="70" zoomScalePageLayoutView="55" workbookViewId="0">
      <selection activeCell="E18" sqref="E18:R20"/>
    </sheetView>
  </sheetViews>
  <sheetFormatPr defaultColWidth="9.36328125" defaultRowHeight="13"/>
  <cols>
    <col min="1" max="1" width="3.6328125" style="38" customWidth="1"/>
    <col min="2" max="2" width="11.453125" style="38" customWidth="1"/>
    <col min="3" max="3" width="30.453125" style="38" customWidth="1"/>
    <col min="4" max="4" width="18.36328125" style="38" customWidth="1"/>
    <col min="5" max="8" width="13.6328125" style="38" customWidth="1"/>
    <col min="9" max="10" width="15" style="38" customWidth="1"/>
    <col min="11" max="18" width="13.6328125" style="38" customWidth="1"/>
    <col min="19" max="19" width="3.6328125" style="38" customWidth="1"/>
    <col min="20" max="20" width="9.36328125" style="38"/>
    <col min="21" max="21" width="23.6328125" style="38" customWidth="1"/>
    <col min="22" max="16384" width="9.36328125" style="38"/>
  </cols>
  <sheetData>
    <row r="1" spans="1:21" ht="13.5" thickBot="1"/>
    <row r="2" spans="1:21" ht="20.25" customHeight="1" thickBot="1">
      <c r="A2" s="33"/>
      <c r="B2" s="34"/>
      <c r="C2" s="34"/>
      <c r="D2" s="34"/>
      <c r="E2" s="34"/>
      <c r="F2" s="34"/>
      <c r="G2" s="34"/>
      <c r="H2" s="34"/>
      <c r="I2" s="34"/>
      <c r="J2" s="34"/>
      <c r="K2" s="34"/>
      <c r="L2" s="34"/>
      <c r="M2" s="34"/>
      <c r="N2" s="34"/>
      <c r="O2" s="34"/>
      <c r="P2" s="34"/>
      <c r="Q2" s="34"/>
      <c r="R2" s="34"/>
      <c r="S2" s="32"/>
    </row>
    <row r="3" spans="1:21" s="2" customFormat="1" ht="39.75" customHeight="1">
      <c r="A3" s="54"/>
      <c r="B3" s="3931" t="s">
        <v>54</v>
      </c>
      <c r="C3" s="3932"/>
      <c r="D3" s="3932"/>
      <c r="E3" s="3932"/>
      <c r="F3" s="3932"/>
      <c r="G3" s="3932"/>
      <c r="H3" s="3932"/>
      <c r="I3" s="3932"/>
      <c r="J3" s="3932"/>
      <c r="K3" s="3932"/>
      <c r="L3" s="3932"/>
      <c r="M3" s="3932"/>
      <c r="N3" s="3932"/>
      <c r="O3" s="3932"/>
      <c r="P3" s="3932"/>
      <c r="Q3" s="3932"/>
      <c r="R3" s="3967"/>
      <c r="S3" s="22"/>
    </row>
    <row r="4" spans="1:21" s="2" customFormat="1" ht="39.75" customHeight="1">
      <c r="A4" s="54"/>
      <c r="B4" s="4326" t="s">
        <v>634</v>
      </c>
      <c r="C4" s="4327"/>
      <c r="D4" s="4327"/>
      <c r="E4" s="4327"/>
      <c r="F4" s="4327"/>
      <c r="G4" s="4327"/>
      <c r="H4" s="4327"/>
      <c r="I4" s="4327"/>
      <c r="J4" s="4327"/>
      <c r="K4" s="4327"/>
      <c r="L4" s="4327"/>
      <c r="M4" s="4327"/>
      <c r="N4" s="4327"/>
      <c r="O4" s="4327"/>
      <c r="P4" s="4327"/>
      <c r="Q4" s="4327"/>
      <c r="R4" s="4365"/>
      <c r="S4" s="22"/>
    </row>
    <row r="5" spans="1:21" s="2" customFormat="1" ht="48.65" customHeight="1" thickBot="1">
      <c r="A5" s="54"/>
      <c r="B5" s="4408" t="s">
        <v>1674</v>
      </c>
      <c r="C5" s="4409"/>
      <c r="D5" s="4409"/>
      <c r="E5" s="4409"/>
      <c r="F5" s="4409"/>
      <c r="G5" s="4409"/>
      <c r="H5" s="4409"/>
      <c r="I5" s="4409"/>
      <c r="J5" s="4409"/>
      <c r="K5" s="4409"/>
      <c r="L5" s="4409"/>
      <c r="M5" s="4409"/>
      <c r="N5" s="4409"/>
      <c r="O5" s="4409"/>
      <c r="P5" s="4409"/>
      <c r="Q5" s="4409"/>
      <c r="R5" s="4410"/>
      <c r="S5" s="22"/>
    </row>
    <row r="6" spans="1:21" ht="21" customHeight="1" thickBot="1">
      <c r="A6" s="31"/>
      <c r="B6" s="25"/>
      <c r="C6" s="25"/>
      <c r="D6" s="25"/>
      <c r="E6" s="25"/>
      <c r="F6" s="25"/>
      <c r="G6" s="25"/>
      <c r="H6" s="25"/>
      <c r="I6" s="25"/>
      <c r="J6" s="25"/>
      <c r="K6" s="25"/>
      <c r="L6" s="25"/>
      <c r="M6" s="25"/>
      <c r="N6" s="25"/>
      <c r="O6" s="25"/>
      <c r="P6" s="25"/>
      <c r="Q6" s="25"/>
      <c r="R6" s="25"/>
      <c r="S6" s="40"/>
    </row>
    <row r="7" spans="1:21" ht="23.75" customHeight="1" thickBot="1">
      <c r="A7" s="3937"/>
      <c r="B7" s="3938"/>
      <c r="C7" s="3938"/>
      <c r="D7" s="3938"/>
      <c r="E7" s="3938"/>
      <c r="F7" s="3938"/>
      <c r="G7" s="3938"/>
      <c r="H7" s="3938"/>
      <c r="I7" s="3938"/>
      <c r="J7" s="3938"/>
      <c r="K7" s="3938"/>
      <c r="L7" s="3938"/>
      <c r="M7" s="3938"/>
      <c r="N7" s="3938"/>
      <c r="O7" s="3938"/>
      <c r="P7" s="3938"/>
      <c r="Q7" s="3938"/>
      <c r="R7" s="3938"/>
      <c r="S7" s="3939"/>
    </row>
    <row r="8" spans="1:21" ht="24" customHeight="1" thickBot="1">
      <c r="A8" s="33"/>
      <c r="B8" s="34"/>
      <c r="C8" s="34"/>
      <c r="D8" s="34"/>
      <c r="E8" s="34"/>
      <c r="F8" s="34"/>
      <c r="G8" s="34"/>
      <c r="H8" s="34"/>
      <c r="I8" s="34"/>
      <c r="J8" s="34"/>
      <c r="K8" s="34"/>
      <c r="L8" s="34"/>
      <c r="M8" s="34"/>
      <c r="N8" s="34"/>
      <c r="O8" s="34"/>
      <c r="P8" s="34"/>
      <c r="Q8" s="34"/>
      <c r="R8" s="34"/>
      <c r="S8" s="32"/>
    </row>
    <row r="9" spans="1:21" ht="44.15" customHeight="1" thickBot="1">
      <c r="A9" s="819"/>
      <c r="B9" s="4413" t="s">
        <v>1523</v>
      </c>
      <c r="C9" s="4414"/>
      <c r="D9" s="4415"/>
      <c r="E9" s="4310" t="s">
        <v>21</v>
      </c>
      <c r="F9" s="4316"/>
      <c r="G9" s="4310" t="s">
        <v>0</v>
      </c>
      <c r="H9" s="4311"/>
      <c r="I9" s="4323" t="s">
        <v>283</v>
      </c>
      <c r="J9" s="4324"/>
      <c r="K9" s="4310" t="s">
        <v>1772</v>
      </c>
      <c r="L9" s="4311"/>
      <c r="M9" s="4310" t="s">
        <v>1311</v>
      </c>
      <c r="N9" s="4311"/>
      <c r="O9" s="4411" t="s">
        <v>1773</v>
      </c>
      <c r="P9" s="4412"/>
      <c r="Q9" s="4419" t="s">
        <v>1673</v>
      </c>
      <c r="R9" s="4420"/>
      <c r="S9" s="819"/>
    </row>
    <row r="10" spans="1:21" ht="44.15" customHeight="1" thickBot="1">
      <c r="A10" s="36"/>
      <c r="B10" s="4416"/>
      <c r="C10" s="4417"/>
      <c r="D10" s="4418"/>
      <c r="E10" s="2505" t="s">
        <v>22</v>
      </c>
      <c r="F10" s="2506" t="s">
        <v>37</v>
      </c>
      <c r="G10" s="2507" t="s">
        <v>22</v>
      </c>
      <c r="H10" s="2508" t="s">
        <v>37</v>
      </c>
      <c r="I10" s="2505" t="s">
        <v>22</v>
      </c>
      <c r="J10" s="2506" t="s">
        <v>37</v>
      </c>
      <c r="K10" s="2507" t="s">
        <v>22</v>
      </c>
      <c r="L10" s="2508" t="s">
        <v>37</v>
      </c>
      <c r="M10" s="2505" t="s">
        <v>22</v>
      </c>
      <c r="N10" s="2508" t="s">
        <v>37</v>
      </c>
      <c r="O10" s="2505" t="s">
        <v>22</v>
      </c>
      <c r="P10" s="2508" t="s">
        <v>37</v>
      </c>
      <c r="Q10" s="2509" t="s">
        <v>22</v>
      </c>
      <c r="R10" s="2510" t="s">
        <v>37</v>
      </c>
      <c r="S10" s="44"/>
    </row>
    <row r="11" spans="1:21" ht="62.15" customHeight="1">
      <c r="A11" s="36"/>
      <c r="B11" s="4404" t="s">
        <v>1746</v>
      </c>
      <c r="C11" s="4405"/>
      <c r="D11" s="4406"/>
      <c r="E11" s="1201">
        <f>SUM('Summary-Co'!E13:E17)</f>
        <v>6.5970360000000001</v>
      </c>
      <c r="F11" s="1204">
        <f>SUM('Summary-Co'!F13:F17)</f>
        <v>28.895017680000002</v>
      </c>
      <c r="G11" s="1201">
        <f>SUM('Summary-Co'!G13:G17)</f>
        <v>4.0274039999999998</v>
      </c>
      <c r="H11" s="1204">
        <f>SUM('Summary-Co'!H13:H17)</f>
        <v>17.640029519999999</v>
      </c>
      <c r="I11" s="1201">
        <f>SUM('Summary-Co'!I13:I17)</f>
        <v>1.5813120000000001</v>
      </c>
      <c r="J11" s="1204">
        <f>SUM('Summary-Co'!J13:J17)</f>
        <v>6.9261465600000003</v>
      </c>
      <c r="K11" s="1201">
        <f>SUM('Summary-Co'!K13:K17)</f>
        <v>0.54502941176470587</v>
      </c>
      <c r="L11" s="1204">
        <f>SUM('Summary-Co'!L13:L17)</f>
        <v>2.3872288235294121</v>
      </c>
      <c r="M11" s="1201">
        <f>SUM('Summary-Co'!M13:M17)</f>
        <v>1.8409882352941174</v>
      </c>
      <c r="N11" s="1204">
        <f>SUM('Summary-Co'!N13:N17)</f>
        <v>8.0635284705882349</v>
      </c>
      <c r="O11" s="1201">
        <f>SUM('Summary-Co'!O13:O17)</f>
        <v>1.8409882352941174</v>
      </c>
      <c r="P11" s="1204">
        <f>SUM('Summary-Co'!P13:P17)</f>
        <v>8.0635284705882349</v>
      </c>
      <c r="Q11" s="2512" t="s">
        <v>17</v>
      </c>
      <c r="R11" s="2513" t="s">
        <v>17</v>
      </c>
      <c r="S11" s="44"/>
    </row>
    <row r="12" spans="1:21" ht="62.15" customHeight="1">
      <c r="A12" s="36"/>
      <c r="B12" s="4397" t="s">
        <v>1747</v>
      </c>
      <c r="C12" s="4398"/>
      <c r="D12" s="4399"/>
      <c r="E12" s="1450">
        <f>'Summary-Co'!E13+'Summary-Co'!E14+'Summary-Co'!E33</f>
        <v>5.0550680516780506</v>
      </c>
      <c r="F12" s="1451">
        <f>'Summary-Co'!F13+'Summary-Co'!F14+'Summary-Co'!F33</f>
        <v>21.249852807377625</v>
      </c>
      <c r="G12" s="1450">
        <f>'Summary-Co'!G13+'Summary-Co'!G14+'Summary-Co'!G33</f>
        <v>5.2939778350529192</v>
      </c>
      <c r="H12" s="1451">
        <f>'Summary-Co'!H13+'Summary-Co'!H14+'Summary-Co'!H33</f>
        <v>21.408161911395183</v>
      </c>
      <c r="I12" s="1450">
        <f>SUM('Summary-Co'!I13+'Summary-Co'!I14+'Summary-Co'!I23+'Summary-Co'!I24+'Summary-Co'!I25+'Summary-Co'!I26+'Summary-Co'!I33+'Summary-Co'!I37+'Summary-Co'!I42+'Summary-Co'!I43)</f>
        <v>44.524798561970485</v>
      </c>
      <c r="J12" s="1451">
        <f>'Summary-Co'!J13+'Summary-Co'!J14+'Summary-Co'!J23+'Summary-Co'!J24+'Summary-Co'!J25+'Summary-Co'!J26+'Summary-Co'!J33+'Summary-Co'!J37+'Summary-Co'!J42+'Summary-Co'!J43</f>
        <v>189.21547265904135</v>
      </c>
      <c r="K12" s="1450">
        <f>'Summary-Co'!K13+'Summary-Co'!K14+'Summary-Co'!K33</f>
        <v>0.28601470588235295</v>
      </c>
      <c r="L12" s="1451">
        <f>'Summary-Co'!L13+'Summary-Co'!L14+'Summary-Co'!L36</f>
        <v>5.0299305180914757</v>
      </c>
      <c r="M12" s="1450">
        <f>'Summary-Co'!M13+'Summary-Co'!M14+'Summary-Co'!M33</f>
        <v>1.0521122335376041</v>
      </c>
      <c r="N12" s="1451">
        <f>'Summary-Co'!N13+'Summary-Co'!N14+'Summary-Co'!N36</f>
        <v>5.2591321861671663</v>
      </c>
      <c r="O12" s="1450">
        <f>'Summary-Co'!O13+'Summary-Co'!O14+'Summary-Co'!O33</f>
        <v>1.0521122335376041</v>
      </c>
      <c r="P12" s="1451">
        <f>'Summary-Co'!P13+'Summary-Co'!P14+'Summary-Co'!P36</f>
        <v>5.2591321861671663</v>
      </c>
      <c r="Q12" s="1450" t="s">
        <v>17</v>
      </c>
      <c r="R12" s="1451" t="s">
        <v>17</v>
      </c>
      <c r="S12" s="44"/>
    </row>
    <row r="13" spans="1:21" ht="62.15" customHeight="1" thickBot="1">
      <c r="A13" s="36"/>
      <c r="B13" s="4400" t="s">
        <v>1748</v>
      </c>
      <c r="C13" s="4401"/>
      <c r="D13" s="4402"/>
      <c r="E13" s="2568">
        <f>SUM('Summary-Co'!E49:E52)</f>
        <v>33.6</v>
      </c>
      <c r="F13" s="2498">
        <f>SUM('Summary-Co'!F49:F52)</f>
        <v>147.16800000000001</v>
      </c>
      <c r="G13" s="2568">
        <f>SUM('Summary-Co'!G49:G52)</f>
        <v>20.399999999999999</v>
      </c>
      <c r="H13" s="2569">
        <f>SUM('Summary-Co'!H49:H52)</f>
        <v>89.352000000000004</v>
      </c>
      <c r="I13" s="2568">
        <f>SUM('Summary-Co'!I49:I52)</f>
        <v>36.79999999999999</v>
      </c>
      <c r="J13" s="2498">
        <f>SUM('Summary-Co'!J49:J52)</f>
        <v>161.18399999999997</v>
      </c>
      <c r="K13" s="2568">
        <f>SUM('Summary-Co'!K49:K52)</f>
        <v>8.5402128419678025</v>
      </c>
      <c r="L13" s="2569">
        <f>SUM('Summary-Co'!L49:L52)</f>
        <v>37.406132247818974</v>
      </c>
      <c r="M13" s="2568">
        <f>SUM('Summary-Co'!M49:M52)</f>
        <v>36.799999999999997</v>
      </c>
      <c r="N13" s="2498">
        <f>SUM('Summary-Co'!N49:N52)</f>
        <v>161.184</v>
      </c>
      <c r="O13" s="2568">
        <f>SUM('Summary-Co'!O49:O52)</f>
        <v>36.799999999999997</v>
      </c>
      <c r="P13" s="2570">
        <f>SUM('Summary-Co'!P49:P52)</f>
        <v>161.184</v>
      </c>
      <c r="Q13" s="2487">
        <f>'Cogen-SO2_H2SO4'!I49</f>
        <v>3.2917741442969084</v>
      </c>
      <c r="R13" s="2514">
        <f>'Cogen-SO2_H2SO4'!I50</f>
        <v>14.417970752020459</v>
      </c>
      <c r="S13" s="44"/>
    </row>
    <row r="14" spans="1:21" ht="24" customHeight="1" thickBot="1">
      <c r="A14" s="1663"/>
      <c r="B14" s="4407" t="s">
        <v>1675</v>
      </c>
      <c r="C14" s="4407"/>
      <c r="D14" s="4407"/>
      <c r="E14" s="4407"/>
      <c r="F14" s="4407"/>
      <c r="G14" s="4407"/>
      <c r="H14" s="4407"/>
      <c r="I14" s="4407"/>
      <c r="J14" s="4407"/>
      <c r="K14" s="4407"/>
      <c r="L14" s="4407"/>
      <c r="M14" s="4407"/>
      <c r="N14" s="4407"/>
      <c r="O14" s="4407"/>
      <c r="P14" s="4407"/>
      <c r="Q14" s="4407"/>
      <c r="R14" s="4407"/>
      <c r="S14" s="1664"/>
    </row>
    <row r="15" spans="1:21" ht="27.65" customHeight="1">
      <c r="A15" s="1615"/>
      <c r="B15" s="4403"/>
      <c r="C15" s="4403"/>
      <c r="D15" s="1659"/>
      <c r="E15" s="1660"/>
      <c r="F15" s="1659"/>
      <c r="G15" s="1660"/>
      <c r="H15" s="1659"/>
      <c r="I15" s="1660"/>
      <c r="J15" s="1659"/>
      <c r="K15" s="1660"/>
      <c r="L15" s="1659"/>
      <c r="M15" s="1660"/>
      <c r="N15" s="1659"/>
      <c r="O15" s="1660"/>
      <c r="P15" s="1615"/>
      <c r="Q15" s="1660"/>
      <c r="R15" s="1615"/>
      <c r="S15" s="1615"/>
      <c r="U15" s="1037"/>
    </row>
    <row r="16" spans="1:21" ht="29.25" customHeight="1"/>
    <row r="17" spans="11:24" ht="26.25" customHeight="1">
      <c r="K17" s="1216"/>
      <c r="L17" s="1216"/>
      <c r="N17" s="1213"/>
      <c r="O17" s="1427"/>
      <c r="P17" s="1428"/>
      <c r="Q17" s="1427"/>
      <c r="R17" s="1428"/>
      <c r="T17" s="1216"/>
      <c r="U17" s="1216"/>
    </row>
    <row r="18" spans="11:24" s="1029" customFormat="1" ht="26.25" customHeight="1">
      <c r="K18" s="1209"/>
      <c r="L18" s="1209"/>
      <c r="M18" s="1211"/>
      <c r="N18" s="1212"/>
      <c r="O18" s="1430"/>
      <c r="P18" s="1431"/>
      <c r="Q18" s="1430"/>
      <c r="R18" s="1431"/>
      <c r="S18" s="1210"/>
      <c r="T18" s="1210"/>
      <c r="U18" s="1344"/>
      <c r="V18" s="8"/>
      <c r="W18" s="38"/>
      <c r="X18" s="8"/>
    </row>
    <row r="19" spans="11:24" s="1029" customFormat="1" ht="23.5">
      <c r="K19" s="1209"/>
      <c r="L19" s="1209"/>
      <c r="M19" s="1211"/>
      <c r="N19" s="1212"/>
      <c r="O19" s="1433"/>
      <c r="P19" s="1434"/>
      <c r="Q19" s="1433"/>
      <c r="R19" s="1434"/>
      <c r="S19" s="1210"/>
      <c r="T19" s="1210"/>
      <c r="U19" s="1344"/>
      <c r="V19" s="8"/>
      <c r="X19" s="8"/>
    </row>
    <row r="20" spans="11:24" s="1029" customFormat="1" ht="23.5">
      <c r="K20" s="1209"/>
      <c r="L20" s="1209"/>
      <c r="M20" s="1211"/>
      <c r="N20" s="1212"/>
      <c r="O20" s="1433"/>
      <c r="P20" s="1435"/>
      <c r="Q20" s="1433"/>
      <c r="R20" s="1435"/>
      <c r="S20" s="1210"/>
      <c r="T20" s="1210"/>
      <c r="U20" s="1344"/>
      <c r="V20" s="8"/>
      <c r="X20" s="8"/>
    </row>
    <row r="21" spans="11:24" ht="23.5">
      <c r="K21" s="1209"/>
      <c r="L21" s="1209"/>
      <c r="M21" s="1210"/>
      <c r="N21" s="1213"/>
      <c r="O21" s="1211"/>
      <c r="P21" s="1210"/>
      <c r="Q21" s="1211"/>
      <c r="R21" s="1210"/>
      <c r="S21" s="1210"/>
      <c r="T21" s="1210"/>
      <c r="U21" s="1036"/>
      <c r="V21" s="1029"/>
      <c r="W21" s="1029"/>
      <c r="X21" s="1029"/>
    </row>
    <row r="22" spans="11:24" ht="23.5">
      <c r="K22" s="1216"/>
      <c r="L22" s="1216"/>
      <c r="N22" s="1213"/>
      <c r="O22" s="8"/>
      <c r="P22" s="1210"/>
      <c r="Q22" s="8"/>
      <c r="R22" s="1210"/>
      <c r="S22" s="1210"/>
      <c r="T22" s="1210"/>
      <c r="U22" s="1029"/>
      <c r="V22" s="1029"/>
      <c r="W22" s="8"/>
      <c r="X22" s="1029"/>
    </row>
    <row r="23" spans="11:24" ht="23.5">
      <c r="K23" s="1209"/>
      <c r="L23" s="1209"/>
      <c r="M23" s="1211"/>
      <c r="N23" s="1212"/>
      <c r="O23" s="1211"/>
      <c r="P23" s="1210"/>
      <c r="Q23" s="1211"/>
      <c r="R23" s="1210"/>
      <c r="S23" s="1211"/>
      <c r="T23" s="1210"/>
      <c r="U23" s="1036"/>
      <c r="V23" s="1029"/>
      <c r="X23" s="1029"/>
    </row>
    <row r="24" spans="11:24" ht="23.5">
      <c r="K24" s="1209"/>
      <c r="L24" s="1209"/>
      <c r="M24" s="1210"/>
      <c r="N24" s="1213"/>
      <c r="O24" s="1211"/>
      <c r="P24" s="1211"/>
      <c r="Q24" s="1211"/>
      <c r="R24" s="1211"/>
      <c r="S24" s="1211"/>
      <c r="T24" s="1211"/>
      <c r="U24" s="8"/>
      <c r="V24" s="8"/>
      <c r="X24" s="8"/>
    </row>
    <row r="25" spans="11:24" ht="23.5">
      <c r="K25" s="1216"/>
      <c r="L25" s="1216"/>
      <c r="N25" s="1213"/>
      <c r="O25" s="8"/>
      <c r="P25" s="1210"/>
      <c r="Q25" s="8"/>
      <c r="R25" s="1210"/>
      <c r="S25" s="1211"/>
      <c r="T25" s="1211"/>
    </row>
    <row r="26" spans="11:24" ht="23.5">
      <c r="K26" s="1209"/>
      <c r="L26" s="1209"/>
      <c r="M26" s="1211"/>
      <c r="N26" s="1212"/>
      <c r="O26" s="1211"/>
      <c r="P26" s="1210"/>
      <c r="Q26" s="1211"/>
      <c r="R26" s="1210"/>
      <c r="S26" s="1211"/>
      <c r="T26" s="1211"/>
    </row>
    <row r="27" spans="11:24" ht="23.5">
      <c r="K27" s="1209"/>
      <c r="L27" s="1209"/>
      <c r="M27" s="1210"/>
      <c r="N27" s="1213"/>
      <c r="O27" s="1211"/>
      <c r="P27" s="1210"/>
      <c r="Q27" s="1211"/>
      <c r="R27" s="1210"/>
      <c r="S27" s="1211"/>
      <c r="T27" s="1211"/>
    </row>
    <row r="28" spans="11:24" ht="20.5">
      <c r="K28" s="1216"/>
      <c r="L28" s="1216"/>
      <c r="N28" s="1213"/>
      <c r="O28" s="8"/>
      <c r="Q28" s="8"/>
    </row>
    <row r="29" spans="11:24" ht="23.5">
      <c r="K29" s="1209"/>
      <c r="L29" s="1209"/>
      <c r="M29" s="1211"/>
      <c r="N29" s="1212"/>
      <c r="O29" s="1211"/>
      <c r="Q29" s="1211"/>
    </row>
    <row r="30" spans="11:24" ht="23.5">
      <c r="K30" s="1209"/>
      <c r="L30" s="1209"/>
      <c r="M30" s="1210"/>
      <c r="N30" s="1213"/>
      <c r="O30" s="1211"/>
      <c r="Q30" s="1211"/>
      <c r="S30" s="8"/>
    </row>
  </sheetData>
  <mergeCells count="17">
    <mergeCell ref="B3:R3"/>
    <mergeCell ref="B4:R4"/>
    <mergeCell ref="B5:R5"/>
    <mergeCell ref="M9:N9"/>
    <mergeCell ref="O9:P9"/>
    <mergeCell ref="B9:D10"/>
    <mergeCell ref="E9:F9"/>
    <mergeCell ref="G9:H9"/>
    <mergeCell ref="I9:J9"/>
    <mergeCell ref="K9:L9"/>
    <mergeCell ref="A7:S7"/>
    <mergeCell ref="Q9:R9"/>
    <mergeCell ref="B12:D12"/>
    <mergeCell ref="B13:D13"/>
    <mergeCell ref="B15:C15"/>
    <mergeCell ref="B11:D11"/>
    <mergeCell ref="B14:R14"/>
  </mergeCells>
  <printOptions horizontalCentered="1"/>
  <pageMargins left="0.25" right="0.25" top="0.5" bottom="0.5" header="0.3" footer="0.3"/>
  <pageSetup scale="40" fitToHeight="3" orientation="portrait" r:id="rId1"/>
  <headerFooter alignWithMargins="0">
    <oddFooter>&amp;CCalculations: 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
    <tabColor theme="3" tint="-0.249977111117893"/>
  </sheetPr>
  <dimension ref="A1:BQ91"/>
  <sheetViews>
    <sheetView view="pageBreakPreview" topLeftCell="B28" zoomScale="55" zoomScaleNormal="25" zoomScaleSheetLayoutView="55" zoomScalePageLayoutView="40" workbookViewId="0">
      <selection activeCell="E19" sqref="E19:R19"/>
    </sheetView>
  </sheetViews>
  <sheetFormatPr defaultColWidth="9.36328125" defaultRowHeight="13"/>
  <cols>
    <col min="1" max="1" width="3.6328125" style="38" customWidth="1"/>
    <col min="2" max="2" width="60.54296875" style="38" customWidth="1"/>
    <col min="3" max="3" width="22.36328125" style="38" customWidth="1"/>
    <col min="4" max="4" width="19.453125" style="38" customWidth="1"/>
    <col min="5" max="18" width="15" style="38" customWidth="1"/>
    <col min="19" max="19" width="3.6328125" style="38" customWidth="1"/>
    <col min="20" max="16384" width="9.36328125" style="38"/>
  </cols>
  <sheetData>
    <row r="1" spans="1:19" ht="13.5" thickBot="1">
      <c r="S1" s="2869"/>
    </row>
    <row r="2" spans="1:19" ht="20.25" customHeight="1" thickBot="1">
      <c r="A2" s="33"/>
      <c r="B2" s="34"/>
      <c r="C2" s="34"/>
      <c r="D2" s="34"/>
      <c r="E2" s="34"/>
      <c r="F2" s="34"/>
      <c r="G2" s="34"/>
      <c r="H2" s="34"/>
      <c r="I2" s="34"/>
      <c r="J2" s="34"/>
      <c r="K2" s="34"/>
      <c r="L2" s="34"/>
      <c r="M2" s="34"/>
      <c r="N2" s="34"/>
      <c r="O2" s="34"/>
      <c r="P2" s="34"/>
      <c r="Q2" s="34"/>
      <c r="R2" s="34"/>
      <c r="S2" s="44"/>
    </row>
    <row r="3" spans="1:19" s="2" customFormat="1" ht="39.75" customHeight="1">
      <c r="A3" s="54"/>
      <c r="B3" s="3931" t="s">
        <v>54</v>
      </c>
      <c r="C3" s="3932"/>
      <c r="D3" s="3932"/>
      <c r="E3" s="3932"/>
      <c r="F3" s="3932"/>
      <c r="G3" s="3932"/>
      <c r="H3" s="3932"/>
      <c r="I3" s="3932"/>
      <c r="J3" s="3932"/>
      <c r="K3" s="3932"/>
      <c r="L3" s="3932"/>
      <c r="M3" s="3932"/>
      <c r="N3" s="3932"/>
      <c r="O3" s="3932"/>
      <c r="P3" s="3932"/>
      <c r="Q3" s="3932"/>
      <c r="R3" s="3967"/>
      <c r="S3" s="22"/>
    </row>
    <row r="4" spans="1:19" s="2" customFormat="1" ht="39.75" customHeight="1">
      <c r="A4" s="54"/>
      <c r="B4" s="4326" t="s">
        <v>634</v>
      </c>
      <c r="C4" s="4327"/>
      <c r="D4" s="4327"/>
      <c r="E4" s="4327"/>
      <c r="F4" s="4327"/>
      <c r="G4" s="4327"/>
      <c r="H4" s="4327"/>
      <c r="I4" s="4327"/>
      <c r="J4" s="4327"/>
      <c r="K4" s="4327"/>
      <c r="L4" s="4327"/>
      <c r="M4" s="4327"/>
      <c r="N4" s="4327"/>
      <c r="O4" s="4327"/>
      <c r="P4" s="4327"/>
      <c r="Q4" s="4327"/>
      <c r="R4" s="4365"/>
      <c r="S4" s="22"/>
    </row>
    <row r="5" spans="1:19" s="2" customFormat="1" ht="39.75" customHeight="1" thickBot="1">
      <c r="A5" s="54"/>
      <c r="B5" s="4328" t="s">
        <v>2036</v>
      </c>
      <c r="C5" s="4329"/>
      <c r="D5" s="4329"/>
      <c r="E5" s="4329"/>
      <c r="F5" s="4329"/>
      <c r="G5" s="4329"/>
      <c r="H5" s="4329"/>
      <c r="I5" s="4329"/>
      <c r="J5" s="4329"/>
      <c r="K5" s="4329"/>
      <c r="L5" s="4329"/>
      <c r="M5" s="4329"/>
      <c r="N5" s="4329"/>
      <c r="O5" s="4329"/>
      <c r="P5" s="4329"/>
      <c r="Q5" s="4329"/>
      <c r="R5" s="4330"/>
      <c r="S5" s="22"/>
    </row>
    <row r="6" spans="1:19" ht="21" customHeight="1" thickBot="1">
      <c r="A6" s="31"/>
      <c r="B6" s="25"/>
      <c r="C6" s="25"/>
      <c r="D6" s="25"/>
      <c r="E6" s="25"/>
      <c r="F6" s="25"/>
      <c r="G6" s="25"/>
      <c r="H6" s="25"/>
      <c r="I6" s="25"/>
      <c r="J6" s="25"/>
      <c r="K6" s="25"/>
      <c r="L6" s="25"/>
      <c r="M6" s="25"/>
      <c r="N6" s="25"/>
      <c r="O6" s="25"/>
      <c r="P6" s="25"/>
      <c r="Q6" s="25"/>
      <c r="R6" s="25"/>
      <c r="S6" s="1664"/>
    </row>
    <row r="7" spans="1:19" ht="30.75" customHeight="1">
      <c r="B7" s="4"/>
      <c r="C7" s="4"/>
      <c r="D7" s="4"/>
      <c r="E7" s="4"/>
      <c r="F7" s="4"/>
      <c r="G7" s="4"/>
      <c r="H7" s="4"/>
      <c r="I7" s="4"/>
      <c r="J7" s="4"/>
      <c r="K7" s="4"/>
      <c r="L7" s="4"/>
      <c r="M7" s="4"/>
      <c r="N7" s="4"/>
      <c r="O7" s="4"/>
      <c r="P7" s="4"/>
      <c r="Q7" s="4"/>
      <c r="R7" s="4"/>
      <c r="S7" s="2870"/>
    </row>
    <row r="8" spans="1:19" ht="16.5" customHeight="1" thickBot="1">
      <c r="B8" s="4"/>
      <c r="C8" s="4"/>
      <c r="D8" s="4"/>
      <c r="E8" s="4"/>
      <c r="F8" s="4"/>
      <c r="G8" s="4"/>
      <c r="H8" s="4"/>
      <c r="I8" s="4"/>
      <c r="J8" s="4"/>
      <c r="K8" s="4"/>
      <c r="L8" s="4"/>
      <c r="M8" s="4"/>
      <c r="N8" s="4"/>
      <c r="O8" s="4"/>
      <c r="P8" s="4"/>
      <c r="Q8" s="4"/>
      <c r="R8" s="4"/>
      <c r="S8" s="2871"/>
    </row>
    <row r="9" spans="1:19" ht="32.25" customHeight="1" thickBot="1">
      <c r="A9" s="4331" t="s">
        <v>1368</v>
      </c>
      <c r="B9" s="4332"/>
      <c r="C9" s="4332"/>
      <c r="D9" s="4332"/>
      <c r="E9" s="4332"/>
      <c r="F9" s="4332"/>
      <c r="G9" s="4332"/>
      <c r="H9" s="4332"/>
      <c r="I9" s="4332"/>
      <c r="J9" s="4332"/>
      <c r="K9" s="4332"/>
      <c r="L9" s="4332"/>
      <c r="M9" s="4332"/>
      <c r="N9" s="4332"/>
      <c r="O9" s="4332"/>
      <c r="P9" s="4332"/>
      <c r="Q9" s="4332"/>
      <c r="R9" s="4332"/>
      <c r="S9" s="2871"/>
    </row>
    <row r="10" spans="1:19" ht="24" customHeight="1" thickBot="1">
      <c r="A10" s="33"/>
      <c r="B10" s="34"/>
      <c r="C10" s="34"/>
      <c r="D10" s="34"/>
      <c r="E10" s="34"/>
      <c r="F10" s="34"/>
      <c r="G10" s="34"/>
      <c r="H10" s="34"/>
      <c r="I10" s="34"/>
      <c r="J10" s="34"/>
      <c r="K10" s="34"/>
      <c r="L10" s="34"/>
      <c r="M10" s="34"/>
      <c r="N10" s="34"/>
      <c r="O10" s="34"/>
      <c r="P10" s="34"/>
      <c r="Q10" s="34"/>
      <c r="R10" s="34"/>
      <c r="S10" s="44"/>
    </row>
    <row r="11" spans="1:19" ht="42" customHeight="1">
      <c r="A11" s="36"/>
      <c r="B11" s="3940" t="s">
        <v>91</v>
      </c>
      <c r="C11" s="3942" t="s">
        <v>555</v>
      </c>
      <c r="D11" s="3944" t="s">
        <v>556</v>
      </c>
      <c r="E11" s="3946" t="s">
        <v>21</v>
      </c>
      <c r="F11" s="3947"/>
      <c r="G11" s="3948" t="s">
        <v>0</v>
      </c>
      <c r="H11" s="3949"/>
      <c r="I11" s="3950" t="s">
        <v>103</v>
      </c>
      <c r="J11" s="3951"/>
      <c r="K11" s="3948" t="s">
        <v>51</v>
      </c>
      <c r="L11" s="3949"/>
      <c r="M11" s="3948" t="s">
        <v>1311</v>
      </c>
      <c r="N11" s="3949"/>
      <c r="O11" s="3946" t="s">
        <v>52</v>
      </c>
      <c r="P11" s="3947"/>
      <c r="Q11" s="3948" t="s">
        <v>15</v>
      </c>
      <c r="R11" s="3949"/>
      <c r="S11" s="44"/>
    </row>
    <row r="12" spans="1:19" ht="29.25" customHeight="1" thickBot="1">
      <c r="A12" s="36"/>
      <c r="B12" s="3941"/>
      <c r="C12" s="3943"/>
      <c r="D12" s="3945"/>
      <c r="E12" s="46" t="s">
        <v>22</v>
      </c>
      <c r="F12" s="804" t="s">
        <v>37</v>
      </c>
      <c r="G12" s="803" t="s">
        <v>22</v>
      </c>
      <c r="H12" s="45" t="s">
        <v>37</v>
      </c>
      <c r="I12" s="46" t="s">
        <v>22</v>
      </c>
      <c r="J12" s="804" t="s">
        <v>37</v>
      </c>
      <c r="K12" s="803" t="s">
        <v>22</v>
      </c>
      <c r="L12" s="45" t="s">
        <v>37</v>
      </c>
      <c r="M12" s="46" t="s">
        <v>22</v>
      </c>
      <c r="N12" s="1387" t="s">
        <v>37</v>
      </c>
      <c r="O12" s="46" t="s">
        <v>22</v>
      </c>
      <c r="P12" s="804" t="s">
        <v>37</v>
      </c>
      <c r="Q12" s="803" t="s">
        <v>22</v>
      </c>
      <c r="R12" s="45" t="s">
        <v>37</v>
      </c>
      <c r="S12" s="44"/>
    </row>
    <row r="13" spans="1:19" ht="44.25" customHeight="1">
      <c r="A13" s="36"/>
      <c r="B13" s="2454" t="str">
        <f>'Summary-NoCo'!B13</f>
        <v>Stabilization Hot Oil Heater
(64.83 MMBtu/hr)</v>
      </c>
      <c r="C13" s="2455" t="str">
        <f>'Summary-NoCo'!C13</f>
        <v>SHTR1</v>
      </c>
      <c r="D13" s="2456" t="str">
        <f>'Summary-NoCo'!D13</f>
        <v>SHTR1</v>
      </c>
      <c r="E13" s="2457">
        <f>'Summary-NoCo'!E13</f>
        <v>1.730961</v>
      </c>
      <c r="F13" s="2458">
        <f>'Summary-NoCo'!F13</f>
        <v>7.5816091799999992</v>
      </c>
      <c r="G13" s="2457">
        <f>'Summary-NoCo'!G13</f>
        <v>1.0567289999999998</v>
      </c>
      <c r="H13" s="2561">
        <f>'Summary-NoCo'!H13</f>
        <v>4.6284730199999995</v>
      </c>
      <c r="I13" s="2457">
        <f>'Summary-NoCo'!I13</f>
        <v>0.414912</v>
      </c>
      <c r="J13" s="2561">
        <f>'Summary-NoCo'!J13</f>
        <v>1.81731456</v>
      </c>
      <c r="K13" s="2457">
        <f>'Summary-NoCo'!K13</f>
        <v>0.14300735294117647</v>
      </c>
      <c r="L13" s="2561">
        <f>'Summary-NoCo'!L13</f>
        <v>0.62637220588235298</v>
      </c>
      <c r="M13" s="2457">
        <f>'Summary-NoCo'!M13</f>
        <v>0.48304705882352933</v>
      </c>
      <c r="N13" s="2561">
        <f>'Summary-NoCo'!N13</f>
        <v>2.1157461176470584</v>
      </c>
      <c r="O13" s="2457">
        <f>'Summary-NoCo'!O13</f>
        <v>0.48304705882352933</v>
      </c>
      <c r="P13" s="2561">
        <f>'Summary-NoCo'!P13</f>
        <v>2.1157461176470584</v>
      </c>
      <c r="Q13" s="2457">
        <f>'Summary-NoCo'!Q13</f>
        <v>0.1196558411764706</v>
      </c>
      <c r="R13" s="2561">
        <f>'Summary-NoCo'!R13</f>
        <v>0.52409258435294115</v>
      </c>
      <c r="S13" s="44"/>
    </row>
    <row r="14" spans="1:19" ht="44.15" customHeight="1">
      <c r="A14" s="36"/>
      <c r="B14" s="2454" t="str">
        <f>'Summary-NoCo'!B14</f>
        <v>Stabilization Hot Oil Heater
(64.83 MMBtu/hr)</v>
      </c>
      <c r="C14" s="2455" t="str">
        <f>'Summary-NoCo'!C14</f>
        <v>SHTR2</v>
      </c>
      <c r="D14" s="2456" t="str">
        <f>'Summary-NoCo'!D14</f>
        <v>SHTR2</v>
      </c>
      <c r="E14" s="2606">
        <f>'Summary-NoCo'!E14</f>
        <v>1.730961</v>
      </c>
      <c r="F14" s="1305">
        <f>'Summary-NoCo'!F14</f>
        <v>7.5816091799999992</v>
      </c>
      <c r="G14" s="2606">
        <f>'Summary-NoCo'!G14</f>
        <v>1.0567289999999998</v>
      </c>
      <c r="H14" s="2462">
        <f>'Summary-NoCo'!H14</f>
        <v>4.6284730199999995</v>
      </c>
      <c r="I14" s="2606">
        <f>'Summary-NoCo'!I14</f>
        <v>0.414912</v>
      </c>
      <c r="J14" s="2462">
        <f>'Summary-NoCo'!J14</f>
        <v>1.81731456</v>
      </c>
      <c r="K14" s="2606">
        <f>'Summary-NoCo'!K14</f>
        <v>0.14300735294117647</v>
      </c>
      <c r="L14" s="2462">
        <f>'Summary-NoCo'!L14</f>
        <v>0.62637220588235298</v>
      </c>
      <c r="M14" s="2606">
        <f>'Summary-NoCo'!M14</f>
        <v>0.48304705882352933</v>
      </c>
      <c r="N14" s="2462">
        <f>'Summary-NoCo'!N14</f>
        <v>2.1157461176470584</v>
      </c>
      <c r="O14" s="2606">
        <f>'Summary-NoCo'!O14</f>
        <v>0.48304705882352933</v>
      </c>
      <c r="P14" s="2462">
        <f>'Summary-NoCo'!P14</f>
        <v>2.1157461176470584</v>
      </c>
      <c r="Q14" s="2606">
        <f>'Summary-NoCo'!Q14</f>
        <v>0.11959863823529414</v>
      </c>
      <c r="R14" s="2462">
        <f>'Summary-NoCo'!R14</f>
        <v>0.52384203547058827</v>
      </c>
      <c r="S14" s="44"/>
    </row>
    <row r="15" spans="1:19" ht="44.15" customHeight="1">
      <c r="A15" s="36"/>
      <c r="B15" s="2454" t="str">
        <f>'Summary-NoCo'!B15</f>
        <v>Stabilization Hot Oil Heater
(64.83 MMBtu/hr)</v>
      </c>
      <c r="C15" s="2455" t="str">
        <f>'Summary-NoCo'!C15</f>
        <v>SHTR3</v>
      </c>
      <c r="D15" s="2456" t="str">
        <f>'Summary-NoCo'!D15</f>
        <v>SHTR3</v>
      </c>
      <c r="E15" s="2606">
        <f>'Summary-NoCo'!E15</f>
        <v>1.730961</v>
      </c>
      <c r="F15" s="1305">
        <f>'Summary-NoCo'!F15</f>
        <v>7.5816091799999992</v>
      </c>
      <c r="G15" s="2606">
        <f>'Summary-NoCo'!G15</f>
        <v>1.0567289999999998</v>
      </c>
      <c r="H15" s="2462">
        <f>'Summary-NoCo'!H15</f>
        <v>4.6284730199999995</v>
      </c>
      <c r="I15" s="2606">
        <f>'Summary-NoCo'!I15</f>
        <v>0.414912</v>
      </c>
      <c r="J15" s="2462">
        <f>'Summary-NoCo'!J15</f>
        <v>1.81731456</v>
      </c>
      <c r="K15" s="2606">
        <f>'Summary-NoCo'!K15</f>
        <v>0.14300735294117647</v>
      </c>
      <c r="L15" s="2462">
        <f>'Summary-NoCo'!L15</f>
        <v>0.62637220588235298</v>
      </c>
      <c r="M15" s="2606">
        <f>'Summary-NoCo'!M15</f>
        <v>0.48304705882352933</v>
      </c>
      <c r="N15" s="2462">
        <f>'Summary-NoCo'!N15</f>
        <v>2.1157461176470584</v>
      </c>
      <c r="O15" s="2606">
        <f>'Summary-NoCo'!O15</f>
        <v>0.48304705882352933</v>
      </c>
      <c r="P15" s="2462">
        <f>'Summary-NoCo'!P15</f>
        <v>2.1157461176470584</v>
      </c>
      <c r="Q15" s="2606">
        <f>'Summary-NoCo'!Q15</f>
        <v>0.11959863823529414</v>
      </c>
      <c r="R15" s="2462">
        <f>'Summary-NoCo'!R15</f>
        <v>0.52384203547058827</v>
      </c>
      <c r="S15" s="44"/>
    </row>
    <row r="16" spans="1:19" ht="44.15" customHeight="1">
      <c r="A16" s="36"/>
      <c r="B16" s="2454" t="str">
        <f>'Summary-NoCo'!B16</f>
        <v>Stabilization Hot Oil Heater
(64.83 MMBtu/hr)</v>
      </c>
      <c r="C16" s="2455" t="str">
        <f>'Summary-NoCo'!C16</f>
        <v>SHTR4</v>
      </c>
      <c r="D16" s="2456" t="str">
        <f>'Summary-NoCo'!D16</f>
        <v>SHTR4</v>
      </c>
      <c r="E16" s="2606">
        <f>'Summary-NoCo'!E16</f>
        <v>1.730961</v>
      </c>
      <c r="F16" s="1305">
        <f>'Summary-NoCo'!F16</f>
        <v>7.5816091799999992</v>
      </c>
      <c r="G16" s="2606">
        <f>'Summary-NoCo'!G16</f>
        <v>1.0567289999999998</v>
      </c>
      <c r="H16" s="2462">
        <f>'Summary-NoCo'!H16</f>
        <v>4.6284730199999995</v>
      </c>
      <c r="I16" s="2606">
        <f>'Summary-NoCo'!I16</f>
        <v>0.414912</v>
      </c>
      <c r="J16" s="2462">
        <f>'Summary-NoCo'!J16</f>
        <v>1.81731456</v>
      </c>
      <c r="K16" s="2606">
        <f>'Summary-NoCo'!K16</f>
        <v>0.14300735294117647</v>
      </c>
      <c r="L16" s="2462">
        <f>'Summary-NoCo'!L16</f>
        <v>0.62637220588235298</v>
      </c>
      <c r="M16" s="2606">
        <f>'Summary-NoCo'!M16</f>
        <v>0.48304705882352933</v>
      </c>
      <c r="N16" s="2462">
        <f>'Summary-NoCo'!N16</f>
        <v>2.1157461176470584</v>
      </c>
      <c r="O16" s="2606">
        <f>'Summary-NoCo'!O16</f>
        <v>0.48304705882352933</v>
      </c>
      <c r="P16" s="2462">
        <f>'Summary-NoCo'!P16</f>
        <v>2.1157461176470584</v>
      </c>
      <c r="Q16" s="2606">
        <f>'Summary-NoCo'!Q16</f>
        <v>0.11959863823529414</v>
      </c>
      <c r="R16" s="2462">
        <f>'Summary-NoCo'!R16</f>
        <v>0.52384203547058827</v>
      </c>
      <c r="S16" s="44"/>
    </row>
    <row r="17" spans="1:19" ht="44.15" customHeight="1">
      <c r="A17" s="36"/>
      <c r="B17" s="2454" t="str">
        <f>'Summary-NoCo'!B17</f>
        <v>Stabilization Hot Oil Heater
(64.83 MMBtu/hr)</v>
      </c>
      <c r="C17" s="2455" t="str">
        <f>'Summary-NoCo'!C17</f>
        <v>SHTR5</v>
      </c>
      <c r="D17" s="2456" t="str">
        <f>'Summary-NoCo'!D17</f>
        <v>SHTR5</v>
      </c>
      <c r="E17" s="2606">
        <f>'Summary-NoCo'!E17</f>
        <v>1.730961</v>
      </c>
      <c r="F17" s="1305">
        <f>'Summary-NoCo'!F17</f>
        <v>7.5816091799999992</v>
      </c>
      <c r="G17" s="2606">
        <f>'Summary-NoCo'!G17</f>
        <v>1.0567289999999998</v>
      </c>
      <c r="H17" s="2462">
        <f>'Summary-NoCo'!H17</f>
        <v>4.6284730199999995</v>
      </c>
      <c r="I17" s="2606">
        <f>'Summary-NoCo'!I17</f>
        <v>0.414912</v>
      </c>
      <c r="J17" s="2462">
        <f>'Summary-NoCo'!J17</f>
        <v>1.81731456</v>
      </c>
      <c r="K17" s="2606">
        <f>'Summary-NoCo'!K17</f>
        <v>0.14300735294117647</v>
      </c>
      <c r="L17" s="2462">
        <f>'Summary-NoCo'!L17</f>
        <v>0.62637220588235298</v>
      </c>
      <c r="M17" s="2606">
        <f>'Summary-NoCo'!M17</f>
        <v>0.48304705882352933</v>
      </c>
      <c r="N17" s="2462">
        <f>'Summary-NoCo'!N17</f>
        <v>2.1157461176470584</v>
      </c>
      <c r="O17" s="2606">
        <f>'Summary-NoCo'!O17</f>
        <v>0.48304705882352933</v>
      </c>
      <c r="P17" s="2462">
        <f>'Summary-NoCo'!P17</f>
        <v>2.1157461176470584</v>
      </c>
      <c r="Q17" s="2606">
        <f>'Summary-NoCo'!Q17</f>
        <v>0.11959863823529414</v>
      </c>
      <c r="R17" s="2462">
        <f>'Summary-NoCo'!R17</f>
        <v>0.52384203547058827</v>
      </c>
      <c r="S17" s="44"/>
    </row>
    <row r="18" spans="1:19" ht="44.15" customHeight="1">
      <c r="A18" s="36"/>
      <c r="B18" s="2454" t="str">
        <f>'Summary-NoCo'!B18</f>
        <v>Stabilization Hot Oil Heater
(64.83 MMBtu/hr)</v>
      </c>
      <c r="C18" s="2455" t="str">
        <f>'Summary-NoCo'!C18</f>
        <v>SHTR6</v>
      </c>
      <c r="D18" s="2456" t="str">
        <f>'Summary-NoCo'!D18</f>
        <v>SHTR6</v>
      </c>
      <c r="E18" s="2606">
        <f>'Summary-NoCo'!E18</f>
        <v>1.730961</v>
      </c>
      <c r="F18" s="1305">
        <f>'Summary-NoCo'!F18</f>
        <v>7.5816091799999992</v>
      </c>
      <c r="G18" s="2606">
        <f>'Summary-NoCo'!G18</f>
        <v>1.0567289999999998</v>
      </c>
      <c r="H18" s="2462">
        <f>'Summary-NoCo'!H18</f>
        <v>4.6284730199999995</v>
      </c>
      <c r="I18" s="2606">
        <f>'Summary-NoCo'!I18</f>
        <v>0.414912</v>
      </c>
      <c r="J18" s="2462">
        <f>'Summary-NoCo'!J18</f>
        <v>1.81731456</v>
      </c>
      <c r="K18" s="2606">
        <f>'Summary-NoCo'!K18</f>
        <v>0.14300735294117647</v>
      </c>
      <c r="L18" s="2462">
        <f>'Summary-NoCo'!L18</f>
        <v>0.62637220588235298</v>
      </c>
      <c r="M18" s="2606">
        <f>'Summary-NoCo'!M18</f>
        <v>0.48304705882352933</v>
      </c>
      <c r="N18" s="2462">
        <f>'Summary-NoCo'!N18</f>
        <v>2.1157461176470584</v>
      </c>
      <c r="O18" s="2606">
        <f>'Summary-NoCo'!O18</f>
        <v>0.48304705882352933</v>
      </c>
      <c r="P18" s="2462">
        <f>'Summary-NoCo'!P18</f>
        <v>2.1157461176470584</v>
      </c>
      <c r="Q18" s="2606">
        <f>'Summary-NoCo'!Q18</f>
        <v>0.11959863823529414</v>
      </c>
      <c r="R18" s="2462">
        <f>'Summary-NoCo'!R18</f>
        <v>0.52384203547058827</v>
      </c>
      <c r="S18" s="44"/>
    </row>
    <row r="19" spans="1:19" ht="44.15" customHeight="1">
      <c r="A19" s="36"/>
      <c r="B19" s="2454" t="str">
        <f>'Summary-NoCo'!B19</f>
        <v>Stabilization Hot Oil Heater
(64.83 MMBtu/hr)</v>
      </c>
      <c r="C19" s="2455" t="str">
        <f>'Summary-NoCo'!C19</f>
        <v>SHTR7</v>
      </c>
      <c r="D19" s="2456" t="str">
        <f>'Summary-NoCo'!D19</f>
        <v>SHTR7</v>
      </c>
      <c r="E19" s="2606">
        <f>'Summary-NoCo'!E19</f>
        <v>1.730961</v>
      </c>
      <c r="F19" s="1305">
        <f>'Summary-NoCo'!F19</f>
        <v>7.5816091799999992</v>
      </c>
      <c r="G19" s="2606">
        <f>'Summary-NoCo'!G19</f>
        <v>1.0567289999999998</v>
      </c>
      <c r="H19" s="2462">
        <f>'Summary-NoCo'!H19</f>
        <v>4.6284730199999995</v>
      </c>
      <c r="I19" s="2606">
        <f>'Summary-NoCo'!I19</f>
        <v>0.414912</v>
      </c>
      <c r="J19" s="2462">
        <f>'Summary-NoCo'!J19</f>
        <v>1.81731456</v>
      </c>
      <c r="K19" s="2606">
        <f>'Summary-NoCo'!K19</f>
        <v>0.14300735294117647</v>
      </c>
      <c r="L19" s="2462">
        <f>'Summary-NoCo'!L19</f>
        <v>0.62637220588235298</v>
      </c>
      <c r="M19" s="2606">
        <f>'Summary-NoCo'!M19</f>
        <v>0.48304705882352933</v>
      </c>
      <c r="N19" s="2462">
        <f>'Summary-NoCo'!N19</f>
        <v>2.1157461176470584</v>
      </c>
      <c r="O19" s="2606">
        <f>'Summary-NoCo'!O19</f>
        <v>0.48304705882352933</v>
      </c>
      <c r="P19" s="2462">
        <f>'Summary-NoCo'!P19</f>
        <v>2.1157461176470584</v>
      </c>
      <c r="Q19" s="2606">
        <f>'Summary-NoCo'!Q19</f>
        <v>0.11959863823529414</v>
      </c>
      <c r="R19" s="2462">
        <f>'Summary-NoCo'!R19</f>
        <v>0.52384203547058827</v>
      </c>
      <c r="S19" s="44"/>
    </row>
    <row r="20" spans="1:19" ht="44.15" customHeight="1">
      <c r="A20" s="36"/>
      <c r="B20" s="2454" t="str">
        <f>'Summary-NoCo'!B20</f>
        <v>Stabilization Hot Oil Heater
(64.83 MMBtu/hr)</v>
      </c>
      <c r="C20" s="2455" t="str">
        <f>'Summary-NoCo'!C20</f>
        <v>SHTR8</v>
      </c>
      <c r="D20" s="2456" t="str">
        <f>'Summary-NoCo'!D20</f>
        <v>SHTR8</v>
      </c>
      <c r="E20" s="2606">
        <f>'Summary-NoCo'!E20</f>
        <v>1.730961</v>
      </c>
      <c r="F20" s="1305">
        <f>'Summary-NoCo'!F20</f>
        <v>7.5816091799999992</v>
      </c>
      <c r="G20" s="2606">
        <f>'Summary-NoCo'!G20</f>
        <v>1.0567289999999998</v>
      </c>
      <c r="H20" s="2462">
        <f>'Summary-NoCo'!H20</f>
        <v>4.6284730199999995</v>
      </c>
      <c r="I20" s="2606">
        <f>'Summary-NoCo'!I20</f>
        <v>0.414912</v>
      </c>
      <c r="J20" s="2462">
        <f>'Summary-NoCo'!J20</f>
        <v>1.81731456</v>
      </c>
      <c r="K20" s="2606">
        <f>'Summary-NoCo'!K20</f>
        <v>0.14300735294117647</v>
      </c>
      <c r="L20" s="2462">
        <f>'Summary-NoCo'!L20</f>
        <v>0.62637220588235298</v>
      </c>
      <c r="M20" s="2606">
        <f>'Summary-NoCo'!M20</f>
        <v>0.48304705882352933</v>
      </c>
      <c r="N20" s="2462">
        <f>'Summary-NoCo'!N20</f>
        <v>2.1157461176470584</v>
      </c>
      <c r="O20" s="2606">
        <f>'Summary-NoCo'!O20</f>
        <v>0.48304705882352933</v>
      </c>
      <c r="P20" s="2462">
        <f>'Summary-NoCo'!P20</f>
        <v>2.1157461176470584</v>
      </c>
      <c r="Q20" s="2606">
        <f>'Summary-NoCo'!Q20</f>
        <v>0.11959863823529414</v>
      </c>
      <c r="R20" s="2462">
        <f>'Summary-NoCo'!R20</f>
        <v>0.52384203547058827</v>
      </c>
      <c r="S20" s="44"/>
    </row>
    <row r="21" spans="1:19" ht="44.15" customHeight="1">
      <c r="A21" s="36"/>
      <c r="B21" s="2454" t="str">
        <f>'Summary-NoCo'!B21</f>
        <v>Stabilization Hot Oil Heater
(64.83 MMBtu/hr)</v>
      </c>
      <c r="C21" s="2455" t="str">
        <f>'Summary-NoCo'!C21</f>
        <v>SHTR9</v>
      </c>
      <c r="D21" s="2456" t="str">
        <f>'Summary-NoCo'!D21</f>
        <v>SHTR9</v>
      </c>
      <c r="E21" s="2606">
        <f>'Summary-NoCo'!E21</f>
        <v>1.730961</v>
      </c>
      <c r="F21" s="1305">
        <f>'Summary-NoCo'!F21</f>
        <v>7.5816091799999992</v>
      </c>
      <c r="G21" s="2606">
        <f>'Summary-NoCo'!G21</f>
        <v>1.0567289999999998</v>
      </c>
      <c r="H21" s="2462">
        <f>'Summary-NoCo'!H21</f>
        <v>4.6284730199999995</v>
      </c>
      <c r="I21" s="2606">
        <f>'Summary-NoCo'!I21</f>
        <v>0.414912</v>
      </c>
      <c r="J21" s="2462">
        <f>'Summary-NoCo'!J21</f>
        <v>1.81731456</v>
      </c>
      <c r="K21" s="2606">
        <f>'Summary-NoCo'!K21</f>
        <v>0.14300735294117647</v>
      </c>
      <c r="L21" s="2462">
        <f>'Summary-NoCo'!L21</f>
        <v>0.62637220588235298</v>
      </c>
      <c r="M21" s="2606">
        <f>'Summary-NoCo'!M21</f>
        <v>0.48304705882352933</v>
      </c>
      <c r="N21" s="2462">
        <f>'Summary-NoCo'!N21</f>
        <v>2.1157461176470584</v>
      </c>
      <c r="O21" s="2606">
        <f>'Summary-NoCo'!O21</f>
        <v>0.48304705882352933</v>
      </c>
      <c r="P21" s="2462">
        <f>'Summary-NoCo'!P21</f>
        <v>2.1157461176470584</v>
      </c>
      <c r="Q21" s="2606">
        <f>'Summary-NoCo'!Q21</f>
        <v>0.11959863823529414</v>
      </c>
      <c r="R21" s="2462">
        <f>'Summary-NoCo'!R21</f>
        <v>0.52384203547058827</v>
      </c>
      <c r="S21" s="44"/>
    </row>
    <row r="22" spans="1:19" ht="44.15" customHeight="1">
      <c r="A22" s="36"/>
      <c r="B22" s="2454" t="str">
        <f>'Summary-NoCo'!B22</f>
        <v>Stabilization Hot Oil Heater
(64.83 MMBtu/hr)</v>
      </c>
      <c r="C22" s="2455" t="str">
        <f>'Summary-NoCo'!C22</f>
        <v>SHTR10</v>
      </c>
      <c r="D22" s="2456" t="str">
        <f>'Summary-NoCo'!D22</f>
        <v>SHTR10</v>
      </c>
      <c r="E22" s="2606">
        <f>'Summary-NoCo'!E22</f>
        <v>1.730961</v>
      </c>
      <c r="F22" s="1305">
        <f>'Summary-NoCo'!F22</f>
        <v>7.5816091799999992</v>
      </c>
      <c r="G22" s="2606">
        <f>'Summary-NoCo'!G22</f>
        <v>1.0567289999999998</v>
      </c>
      <c r="H22" s="2462">
        <f>'Summary-NoCo'!H22</f>
        <v>4.6284730199999995</v>
      </c>
      <c r="I22" s="2606">
        <f>'Summary-NoCo'!I22</f>
        <v>0.414912</v>
      </c>
      <c r="J22" s="2462">
        <f>'Summary-NoCo'!J22</f>
        <v>1.81731456</v>
      </c>
      <c r="K22" s="2606">
        <f>'Summary-NoCo'!K22</f>
        <v>0.14300735294117647</v>
      </c>
      <c r="L22" s="2462">
        <f>'Summary-NoCo'!L22</f>
        <v>0.62637220588235298</v>
      </c>
      <c r="M22" s="2606">
        <f>'Summary-NoCo'!M22</f>
        <v>0.48304705882352933</v>
      </c>
      <c r="N22" s="2462">
        <f>'Summary-NoCo'!N22</f>
        <v>2.1157461176470584</v>
      </c>
      <c r="O22" s="2606">
        <f>'Summary-NoCo'!O22</f>
        <v>0.48304705882352933</v>
      </c>
      <c r="P22" s="2462">
        <f>'Summary-NoCo'!P22</f>
        <v>2.1157461176470584</v>
      </c>
      <c r="Q22" s="2606">
        <f>'Summary-NoCo'!Q22</f>
        <v>0.11959863823529414</v>
      </c>
      <c r="R22" s="2462">
        <f>'Summary-NoCo'!R22</f>
        <v>0.52384203547058827</v>
      </c>
      <c r="S22" s="44"/>
    </row>
    <row r="23" spans="1:19" ht="44.15" customHeight="1">
      <c r="A23" s="36"/>
      <c r="B23" s="2454" t="str">
        <f>'Summary-NoCo'!B23</f>
        <v>Stabilization Hot Oil Heater
(64.83 MMBtu/hr)</v>
      </c>
      <c r="C23" s="2455" t="str">
        <f>'Summary-NoCo'!C23</f>
        <v>SHTR11</v>
      </c>
      <c r="D23" s="2456" t="str">
        <f>'Summary-NoCo'!D23</f>
        <v>SHTR11</v>
      </c>
      <c r="E23" s="2606">
        <f>'Summary-NoCo'!E23</f>
        <v>1.730961</v>
      </c>
      <c r="F23" s="1305">
        <f>'Summary-NoCo'!F23</f>
        <v>7.5816091799999992</v>
      </c>
      <c r="G23" s="2606">
        <f>'Summary-NoCo'!G23</f>
        <v>1.0567289999999998</v>
      </c>
      <c r="H23" s="2462">
        <f>'Summary-NoCo'!H23</f>
        <v>4.6284730199999995</v>
      </c>
      <c r="I23" s="2606">
        <f>'Summary-NoCo'!I23</f>
        <v>0.414912</v>
      </c>
      <c r="J23" s="2462">
        <f>'Summary-NoCo'!J23</f>
        <v>1.81731456</v>
      </c>
      <c r="K23" s="2606">
        <f>'Summary-NoCo'!K23</f>
        <v>0.14300735294117647</v>
      </c>
      <c r="L23" s="2462">
        <f>'Summary-NoCo'!L23</f>
        <v>0.62637220588235298</v>
      </c>
      <c r="M23" s="2606">
        <f>'Summary-NoCo'!M23</f>
        <v>0.48304705882352933</v>
      </c>
      <c r="N23" s="2462">
        <f>'Summary-NoCo'!N23</f>
        <v>2.1157461176470584</v>
      </c>
      <c r="O23" s="2606">
        <f>'Summary-NoCo'!O23</f>
        <v>0.48304705882352933</v>
      </c>
      <c r="P23" s="2462">
        <f>'Summary-NoCo'!P23</f>
        <v>2.1157461176470584</v>
      </c>
      <c r="Q23" s="2606">
        <f>'Summary-NoCo'!Q23</f>
        <v>0.11959863823529414</v>
      </c>
      <c r="R23" s="2462">
        <f>'Summary-NoCo'!R23</f>
        <v>0.52384203547058827</v>
      </c>
      <c r="S23" s="44"/>
    </row>
    <row r="24" spans="1:19" ht="44.15" customHeight="1">
      <c r="A24" s="36"/>
      <c r="B24" s="2454" t="str">
        <f>'Summary-NoCo'!B24</f>
        <v>Stabilization Hot Oil Heater
(64.83 MMBtu/hr)</v>
      </c>
      <c r="C24" s="2455" t="str">
        <f>'Summary-NoCo'!C24</f>
        <v>SHTR12</v>
      </c>
      <c r="D24" s="2456" t="str">
        <f>'Summary-NoCo'!D24</f>
        <v>SHTR12</v>
      </c>
      <c r="E24" s="2606">
        <f>'Summary-NoCo'!E24</f>
        <v>1.730961</v>
      </c>
      <c r="F24" s="1305">
        <f>'Summary-NoCo'!F24</f>
        <v>7.5816091799999992</v>
      </c>
      <c r="G24" s="2606">
        <f>'Summary-NoCo'!G24</f>
        <v>1.0567289999999998</v>
      </c>
      <c r="H24" s="2462">
        <f>'Summary-NoCo'!H24</f>
        <v>4.6284730199999995</v>
      </c>
      <c r="I24" s="2606">
        <f>'Summary-NoCo'!I24</f>
        <v>0.414912</v>
      </c>
      <c r="J24" s="2462">
        <f>'Summary-NoCo'!J24</f>
        <v>1.81731456</v>
      </c>
      <c r="K24" s="2606">
        <f>'Summary-NoCo'!K24</f>
        <v>0.14300735294117647</v>
      </c>
      <c r="L24" s="2462">
        <f>'Summary-NoCo'!L24</f>
        <v>0.62637220588235298</v>
      </c>
      <c r="M24" s="2606">
        <f>'Summary-NoCo'!M24</f>
        <v>0.48304705882352933</v>
      </c>
      <c r="N24" s="2462">
        <f>'Summary-NoCo'!N24</f>
        <v>2.1157461176470584</v>
      </c>
      <c r="O24" s="2606">
        <f>'Summary-NoCo'!O24</f>
        <v>0.48304705882352933</v>
      </c>
      <c r="P24" s="2462">
        <f>'Summary-NoCo'!P24</f>
        <v>2.1157461176470584</v>
      </c>
      <c r="Q24" s="2606">
        <f>'Summary-NoCo'!Q24</f>
        <v>0.11959863823529414</v>
      </c>
      <c r="R24" s="2462">
        <f>'Summary-NoCo'!R24</f>
        <v>0.52384203547058827</v>
      </c>
      <c r="S24" s="44"/>
    </row>
    <row r="25" spans="1:19" ht="44.25" customHeight="1">
      <c r="A25" s="36"/>
      <c r="B25" s="2454" t="str">
        <f>'Summary-NoCo'!B25</f>
        <v>Cryo Hot Oil Heater
(103.99 MMBtu/hr)</v>
      </c>
      <c r="C25" s="2455" t="str">
        <f>'Summary-NoCo'!C25</f>
        <v>CHTR1</v>
      </c>
      <c r="D25" s="2456" t="str">
        <f>'Summary-NoCo'!D25</f>
        <v>CHTR1</v>
      </c>
      <c r="E25" s="2606">
        <f>'Summary-NoCo'!E25</f>
        <v>3.4732659999999997</v>
      </c>
      <c r="F25" s="1305">
        <f>'Summary-NoCo'!F25</f>
        <v>15.212905079999999</v>
      </c>
      <c r="G25" s="2606">
        <f>'Summary-NoCo'!G25</f>
        <v>1.6950369999999997</v>
      </c>
      <c r="H25" s="2462">
        <f>'Summary-NoCo'!H25</f>
        <v>7.4242620599999984</v>
      </c>
      <c r="I25" s="2606">
        <f>'Summary-NoCo'!I25</f>
        <v>0.66553600000000002</v>
      </c>
      <c r="J25" s="2462">
        <f>'Summary-NoCo'!J25</f>
        <v>2.9150476800000003</v>
      </c>
      <c r="K25" s="2606">
        <f>'Summary-NoCo'!K25</f>
        <v>0.22938970588235294</v>
      </c>
      <c r="L25" s="2462">
        <f>'Summary-NoCo'!L25</f>
        <v>1.0047269117647057</v>
      </c>
      <c r="M25" s="2606">
        <f>'Summary-NoCo'!M25</f>
        <v>0.77482745098039207</v>
      </c>
      <c r="N25" s="2462">
        <f>'Summary-NoCo'!N25</f>
        <v>3.393744235294117</v>
      </c>
      <c r="O25" s="2606">
        <f>'Summary-NoCo'!O25</f>
        <v>0.77482745098039207</v>
      </c>
      <c r="P25" s="2462">
        <f>'Summary-NoCo'!P25</f>
        <v>3.393744235294117</v>
      </c>
      <c r="Q25" s="2606">
        <f>'Summary-NoCo'!Q25</f>
        <v>0.19184115980392158</v>
      </c>
      <c r="R25" s="2462">
        <f>'Summary-NoCo'!R25</f>
        <v>0.84026427994117647</v>
      </c>
      <c r="S25" s="44"/>
    </row>
    <row r="26" spans="1:19" ht="44.25" customHeight="1">
      <c r="A26" s="36"/>
      <c r="B26" s="2454" t="str">
        <f>'Summary-NoCo'!B26</f>
        <v>Cryo Hot Oil Heater
(103.99 MMBtu/hr)</v>
      </c>
      <c r="C26" s="2455" t="str">
        <f>'Summary-NoCo'!C26</f>
        <v>CHTR2</v>
      </c>
      <c r="D26" s="2456" t="str">
        <f>'Summary-NoCo'!D26</f>
        <v>CHTR2</v>
      </c>
      <c r="E26" s="2606">
        <f>'Summary-NoCo'!E26</f>
        <v>3.4732659999999997</v>
      </c>
      <c r="F26" s="1305">
        <f>'Summary-NoCo'!F26</f>
        <v>15.212905079999999</v>
      </c>
      <c r="G26" s="2606">
        <f>'Summary-NoCo'!G26</f>
        <v>1.6950369999999997</v>
      </c>
      <c r="H26" s="2462">
        <f>'Summary-NoCo'!H26</f>
        <v>7.4242620599999984</v>
      </c>
      <c r="I26" s="2606">
        <f>'Summary-NoCo'!I26</f>
        <v>0.66553600000000002</v>
      </c>
      <c r="J26" s="2462">
        <f>'Summary-NoCo'!J26</f>
        <v>2.9150476800000003</v>
      </c>
      <c r="K26" s="2606">
        <f>'Summary-NoCo'!K26</f>
        <v>0.22938970588235294</v>
      </c>
      <c r="L26" s="2462">
        <f>'Summary-NoCo'!L26</f>
        <v>1.0047269117647057</v>
      </c>
      <c r="M26" s="2606">
        <f>'Summary-NoCo'!M26</f>
        <v>0.77482745098039207</v>
      </c>
      <c r="N26" s="2462">
        <f>'Summary-NoCo'!N26</f>
        <v>3.393744235294117</v>
      </c>
      <c r="O26" s="2606">
        <f>'Summary-NoCo'!O26</f>
        <v>0.77482745098039207</v>
      </c>
      <c r="P26" s="2462">
        <f>'Summary-NoCo'!P26</f>
        <v>3.393744235294117</v>
      </c>
      <c r="Q26" s="2606">
        <f>'Summary-NoCo'!Q26</f>
        <v>0.19184115980392158</v>
      </c>
      <c r="R26" s="2462">
        <f>'Summary-NoCo'!R26</f>
        <v>0.84026427994117647</v>
      </c>
      <c r="S26" s="44"/>
    </row>
    <row r="27" spans="1:19" ht="44.15" customHeight="1">
      <c r="A27" s="36"/>
      <c r="B27" s="2454" t="str">
        <f>'Summary-NoCo'!B27</f>
        <v>Cryo Hot Oil Heater
(103.99 MMBtu/hr)</v>
      </c>
      <c r="C27" s="2455" t="str">
        <f>'Summary-NoCo'!C27</f>
        <v>CHTR3</v>
      </c>
      <c r="D27" s="2456" t="str">
        <f>'Summary-NoCo'!D27</f>
        <v>CHTR3</v>
      </c>
      <c r="E27" s="2606">
        <f>'Summary-NoCo'!E27</f>
        <v>3.4732659999999997</v>
      </c>
      <c r="F27" s="1305">
        <f>'Summary-NoCo'!F27</f>
        <v>15.212905079999999</v>
      </c>
      <c r="G27" s="2606">
        <f>'Summary-NoCo'!G27</f>
        <v>1.6950369999999997</v>
      </c>
      <c r="H27" s="2462">
        <f>'Summary-NoCo'!H27</f>
        <v>7.4242620599999984</v>
      </c>
      <c r="I27" s="2606">
        <f>'Summary-NoCo'!I27</f>
        <v>0.66553600000000002</v>
      </c>
      <c r="J27" s="2462">
        <f>'Summary-NoCo'!J27</f>
        <v>2.9150476800000003</v>
      </c>
      <c r="K27" s="2606">
        <f>'Summary-NoCo'!K27</f>
        <v>0.22938970588235294</v>
      </c>
      <c r="L27" s="2462">
        <f>'Summary-NoCo'!L27</f>
        <v>1.0047269117647057</v>
      </c>
      <c r="M27" s="2606">
        <f>'Summary-NoCo'!M27</f>
        <v>0.77482745098039207</v>
      </c>
      <c r="N27" s="2462">
        <f>'Summary-NoCo'!N27</f>
        <v>3.393744235294117</v>
      </c>
      <c r="O27" s="2606">
        <f>'Summary-NoCo'!O27</f>
        <v>0.77482745098039207</v>
      </c>
      <c r="P27" s="2462">
        <f>'Summary-NoCo'!P27</f>
        <v>3.393744235294117</v>
      </c>
      <c r="Q27" s="2606">
        <f>'Summary-NoCo'!Q27</f>
        <v>0.19184115980392158</v>
      </c>
      <c r="R27" s="2462">
        <f>'Summary-NoCo'!R27</f>
        <v>0.84026427994117647</v>
      </c>
      <c r="S27" s="44"/>
    </row>
    <row r="28" spans="1:19" ht="44.15" customHeight="1">
      <c r="A28" s="36"/>
      <c r="B28" s="2454" t="str">
        <f>'Summary-NoCo'!B28</f>
        <v>Regen Heater 
(39.14 MMBtu/hr)</v>
      </c>
      <c r="C28" s="2455" t="str">
        <f>'Summary-NoCo'!C28</f>
        <v>RHTR1</v>
      </c>
      <c r="D28" s="2456" t="str">
        <f>'Summary-NoCo'!D28</f>
        <v>RHTR1</v>
      </c>
      <c r="E28" s="2606">
        <f>'Summary-NoCo'!E28</f>
        <v>1.0450380000000001</v>
      </c>
      <c r="F28" s="1305">
        <f>'Summary-NoCo'!F28</f>
        <v>4.5772664400000007</v>
      </c>
      <c r="G28" s="2606">
        <f>'Summary-NoCo'!G28</f>
        <v>0.63798199999999994</v>
      </c>
      <c r="H28" s="2462">
        <f>'Summary-NoCo'!H28</f>
        <v>2.7943611599999998</v>
      </c>
      <c r="I28" s="2606">
        <f>'Summary-NoCo'!I28</f>
        <v>0.250496</v>
      </c>
      <c r="J28" s="2462">
        <f>'Summary-NoCo'!J28</f>
        <v>1.09717248</v>
      </c>
      <c r="K28" s="2606">
        <f>'Summary-NoCo'!K28</f>
        <v>8.633823529411766E-2</v>
      </c>
      <c r="L28" s="2462">
        <f>'Summary-NoCo'!L28</f>
        <v>0.37816147058823535</v>
      </c>
      <c r="M28" s="2606">
        <f>'Summary-NoCo'!M28</f>
        <v>0.29163137254901961</v>
      </c>
      <c r="N28" s="2462">
        <f>'Summary-NoCo'!N28</f>
        <v>1.2773454117647058</v>
      </c>
      <c r="O28" s="2606">
        <f>'Summary-NoCo'!O28</f>
        <v>0.29163137254901961</v>
      </c>
      <c r="P28" s="2462">
        <f>'Summary-NoCo'!P28</f>
        <v>1.2773454117647058</v>
      </c>
      <c r="Q28" s="2606">
        <f>'Summary-NoCo'!Q28</f>
        <v>7.2205625490196074E-2</v>
      </c>
      <c r="R28" s="2462">
        <f>'Summary-NoCo'!R28</f>
        <v>0.31626063964705881</v>
      </c>
      <c r="S28" s="44"/>
    </row>
    <row r="29" spans="1:19" ht="44.15" customHeight="1">
      <c r="A29" s="36"/>
      <c r="B29" s="2454" t="str">
        <f>'Summary-NoCo'!B29</f>
        <v>Regen Heater
(39.14 MMBtu/hr)</v>
      </c>
      <c r="C29" s="2455" t="str">
        <f>'Summary-NoCo'!C29</f>
        <v>RHTR2</v>
      </c>
      <c r="D29" s="2456" t="str">
        <f>'Summary-NoCo'!D29</f>
        <v>RHTR2</v>
      </c>
      <c r="E29" s="2606">
        <f>'Summary-NoCo'!E29</f>
        <v>1.0450380000000001</v>
      </c>
      <c r="F29" s="1305">
        <f>'Summary-NoCo'!F29</f>
        <v>4.5772664400000007</v>
      </c>
      <c r="G29" s="2606">
        <f>'Summary-NoCo'!G29</f>
        <v>0.63798199999999994</v>
      </c>
      <c r="H29" s="2462">
        <f>'Summary-NoCo'!H29</f>
        <v>2.7943611599999998</v>
      </c>
      <c r="I29" s="2606">
        <f>'Summary-NoCo'!I29</f>
        <v>0.250496</v>
      </c>
      <c r="J29" s="2462">
        <f>'Summary-NoCo'!J29</f>
        <v>1.09717248</v>
      </c>
      <c r="K29" s="2606">
        <f>'Summary-NoCo'!K29</f>
        <v>8.633823529411766E-2</v>
      </c>
      <c r="L29" s="2462">
        <f>'Summary-NoCo'!L29</f>
        <v>0.37816147058823535</v>
      </c>
      <c r="M29" s="2606">
        <f>'Summary-NoCo'!M29</f>
        <v>0.29163137254901961</v>
      </c>
      <c r="N29" s="2462">
        <f>'Summary-NoCo'!N29</f>
        <v>1.2773454117647058</v>
      </c>
      <c r="O29" s="2606">
        <f>'Summary-NoCo'!O29</f>
        <v>0.29163137254901961</v>
      </c>
      <c r="P29" s="2462">
        <f>'Summary-NoCo'!P29</f>
        <v>1.2773454117647058</v>
      </c>
      <c r="Q29" s="2606">
        <f>'Summary-NoCo'!Q29</f>
        <v>7.2205625490196074E-2</v>
      </c>
      <c r="R29" s="2462">
        <f>'Summary-NoCo'!R29</f>
        <v>0.31626063964705881</v>
      </c>
      <c r="S29" s="44"/>
    </row>
    <row r="30" spans="1:19" ht="44.15" customHeight="1" thickBot="1">
      <c r="A30" s="1663"/>
      <c r="B30" s="2467" t="str">
        <f>'Summary-NoCo'!B30</f>
        <v>Regen Heater
(39.14 MMBtu/hr)</v>
      </c>
      <c r="C30" s="2468" t="str">
        <f>'Summary-NoCo'!C30</f>
        <v>RHTR3</v>
      </c>
      <c r="D30" s="2469" t="str">
        <f>'Summary-NoCo'!D30</f>
        <v>RHTR3</v>
      </c>
      <c r="E30" s="2518">
        <f>'Summary-NoCo'!E30</f>
        <v>1.0450380000000001</v>
      </c>
      <c r="F30" s="2519">
        <f>'Summary-NoCo'!F30</f>
        <v>4.5772664400000007</v>
      </c>
      <c r="G30" s="2518">
        <f>'Summary-NoCo'!G30</f>
        <v>0.63798199999999994</v>
      </c>
      <c r="H30" s="2612">
        <f>'Summary-NoCo'!H30</f>
        <v>2.7943611599999998</v>
      </c>
      <c r="I30" s="2518">
        <f>'Summary-NoCo'!I30</f>
        <v>0.250496</v>
      </c>
      <c r="J30" s="2612">
        <f>'Summary-NoCo'!J30</f>
        <v>1.09717248</v>
      </c>
      <c r="K30" s="2518">
        <f>'Summary-NoCo'!K30</f>
        <v>8.633823529411766E-2</v>
      </c>
      <c r="L30" s="2612">
        <f>'Summary-NoCo'!L30</f>
        <v>0.37816147058823535</v>
      </c>
      <c r="M30" s="2518">
        <f>'Summary-NoCo'!M30</f>
        <v>0.29163137254901961</v>
      </c>
      <c r="N30" s="2612">
        <f>'Summary-NoCo'!N30</f>
        <v>1.2773454117647058</v>
      </c>
      <c r="O30" s="2518">
        <f>'Summary-NoCo'!O30</f>
        <v>0.29163137254901961</v>
      </c>
      <c r="P30" s="2612">
        <f>'Summary-NoCo'!P30</f>
        <v>1.2773454117647058</v>
      </c>
      <c r="Q30" s="2518">
        <f>'Summary-NoCo'!Q30</f>
        <v>7.2205625490196074E-2</v>
      </c>
      <c r="R30" s="2612">
        <f>'Summary-NoCo'!R30</f>
        <v>0.31626063964705881</v>
      </c>
      <c r="S30" s="44"/>
    </row>
    <row r="31" spans="1:19" ht="44.15" customHeight="1">
      <c r="A31" s="36"/>
      <c r="B31" s="2470" t="str">
        <f>'Summary-Co'!B18</f>
        <v>SSM/Emergency Flare 1 
(Dual Tip Flare) - Pilot/Purge</v>
      </c>
      <c r="C31" s="4340" t="s">
        <v>1913</v>
      </c>
      <c r="D31" s="4342" t="s">
        <v>1913</v>
      </c>
      <c r="E31" s="4312" t="s">
        <v>1371</v>
      </c>
      <c r="F31" s="4313"/>
      <c r="G31" s="4313"/>
      <c r="H31" s="4313"/>
      <c r="I31" s="4313"/>
      <c r="J31" s="4313"/>
      <c r="K31" s="4313"/>
      <c r="L31" s="4313"/>
      <c r="M31" s="4313"/>
      <c r="N31" s="4313"/>
      <c r="O31" s="4313"/>
      <c r="P31" s="4313"/>
      <c r="Q31" s="4313"/>
      <c r="R31" s="4314"/>
      <c r="S31" s="44"/>
    </row>
    <row r="32" spans="1:19" ht="44.15" customHeight="1">
      <c r="A32" s="36"/>
      <c r="B32" s="2454" t="str">
        <f>'Summary-Co'!B19</f>
        <v>SSM/Emergency Flare 2 
(Dual Tip Flare) - Pilot/Purge</v>
      </c>
      <c r="C32" s="4340"/>
      <c r="D32" s="4342"/>
      <c r="E32" s="4307" t="s">
        <v>1371</v>
      </c>
      <c r="F32" s="4308"/>
      <c r="G32" s="4308"/>
      <c r="H32" s="4308"/>
      <c r="I32" s="4308"/>
      <c r="J32" s="4308"/>
      <c r="K32" s="4308"/>
      <c r="L32" s="4308"/>
      <c r="M32" s="4308"/>
      <c r="N32" s="4308"/>
      <c r="O32" s="4308"/>
      <c r="P32" s="4308"/>
      <c r="Q32" s="4308"/>
      <c r="R32" s="4309"/>
      <c r="S32" s="44"/>
    </row>
    <row r="33" spans="1:19" ht="44.15" customHeight="1">
      <c r="A33" s="36"/>
      <c r="B33" s="2454" t="str">
        <f>'Summary-Co'!B20</f>
        <v>Backup SSM/Emergency Flare (Dual Tip Flare) - Pilot/Purge</v>
      </c>
      <c r="C33" s="4341"/>
      <c r="D33" s="4343"/>
      <c r="E33" s="4307" t="s">
        <v>1371</v>
      </c>
      <c r="F33" s="4308"/>
      <c r="G33" s="4308"/>
      <c r="H33" s="4308"/>
      <c r="I33" s="4308"/>
      <c r="J33" s="4308"/>
      <c r="K33" s="4308"/>
      <c r="L33" s="4308"/>
      <c r="M33" s="4308"/>
      <c r="N33" s="4308"/>
      <c r="O33" s="4308"/>
      <c r="P33" s="4308"/>
      <c r="Q33" s="4308"/>
      <c r="R33" s="4309"/>
      <c r="S33" s="44"/>
    </row>
    <row r="34" spans="1:19" ht="44.15" customHeight="1">
      <c r="A34" s="36"/>
      <c r="B34" s="2473" t="s">
        <v>1815</v>
      </c>
      <c r="C34" s="2474" t="str">
        <f>'2-A All'!A49</f>
        <v>FL1-FL3OVHD-SSM</v>
      </c>
      <c r="D34" s="3619" t="s">
        <v>1520</v>
      </c>
      <c r="E34" s="4307" t="s">
        <v>1371</v>
      </c>
      <c r="F34" s="4308"/>
      <c r="G34" s="4308"/>
      <c r="H34" s="4308"/>
      <c r="I34" s="4308"/>
      <c r="J34" s="4308"/>
      <c r="K34" s="4308"/>
      <c r="L34" s="4308"/>
      <c r="M34" s="4308"/>
      <c r="N34" s="4308"/>
      <c r="O34" s="4308"/>
      <c r="P34" s="4308"/>
      <c r="Q34" s="4308"/>
      <c r="R34" s="4309"/>
      <c r="S34" s="44"/>
    </row>
    <row r="35" spans="1:19" ht="44.15" customHeight="1">
      <c r="A35" s="36"/>
      <c r="B35" s="2473" t="s">
        <v>1827</v>
      </c>
      <c r="C35" s="2474" t="str">
        <f>'2-A All'!A51</f>
        <v>FL1-FL3CRYO-SSM</v>
      </c>
      <c r="D35" s="3618" t="str">
        <f>D34</f>
        <v>FL1-FL3</v>
      </c>
      <c r="E35" s="4307" t="s">
        <v>1371</v>
      </c>
      <c r="F35" s="4308"/>
      <c r="G35" s="4308"/>
      <c r="H35" s="4308"/>
      <c r="I35" s="4308"/>
      <c r="J35" s="4308"/>
      <c r="K35" s="4308"/>
      <c r="L35" s="4308"/>
      <c r="M35" s="4308"/>
      <c r="N35" s="4308"/>
      <c r="O35" s="4308"/>
      <c r="P35" s="4308"/>
      <c r="Q35" s="4308"/>
      <c r="R35" s="4309"/>
      <c r="S35" s="44"/>
    </row>
    <row r="36" spans="1:19" ht="44.15" customHeight="1">
      <c r="A36" s="36"/>
      <c r="B36" s="2454" t="str">
        <f>'Summary-NoCo'!B36</f>
        <v>Oil Storage 1 (100,000 bbl)</v>
      </c>
      <c r="C36" s="2455" t="str">
        <f>'Summary-NoCo'!C36</f>
        <v>IFR1</v>
      </c>
      <c r="D36" s="2456" t="str">
        <f>'Summary-NoCo'!D36</f>
        <v>IFR1</v>
      </c>
      <c r="E36" s="2606" t="str">
        <f>'Summary-NoCo'!E36</f>
        <v>--</v>
      </c>
      <c r="F36" s="1305" t="str">
        <f>'Summary-NoCo'!F36</f>
        <v>--</v>
      </c>
      <c r="G36" s="2606" t="str">
        <f>'Summary-NoCo'!G36</f>
        <v>--</v>
      </c>
      <c r="H36" s="2462" t="str">
        <f>'Summary-NoCo'!H36</f>
        <v>--</v>
      </c>
      <c r="I36" s="2606">
        <f>'Summary-NoCo'!I36</f>
        <v>1.1752020371542549</v>
      </c>
      <c r="J36" s="2462">
        <f>'Summary-NoCo'!J36</f>
        <v>5.1473849227356343</v>
      </c>
      <c r="K36" s="2606" t="str">
        <f>'Summary-NoCo'!K36</f>
        <v>--</v>
      </c>
      <c r="L36" s="2462" t="str">
        <f>'Summary-NoCo'!L36</f>
        <v>--</v>
      </c>
      <c r="M36" s="2606" t="str">
        <f>'Summary-NoCo'!M36</f>
        <v>--</v>
      </c>
      <c r="N36" s="2462" t="str">
        <f>'Summary-NoCo'!N36</f>
        <v>--</v>
      </c>
      <c r="O36" s="2606" t="str">
        <f>'Summary-NoCo'!O36</f>
        <v>--</v>
      </c>
      <c r="P36" s="2462" t="str">
        <f>'Summary-NoCo'!P36</f>
        <v>--</v>
      </c>
      <c r="Q36" s="2606">
        <f>'Summary-NoCo'!Q36</f>
        <v>6.7739254805280091E-2</v>
      </c>
      <c r="R36" s="2462">
        <f>'Summary-NoCo'!R36</f>
        <v>0.2966979360471268</v>
      </c>
      <c r="S36" s="44"/>
    </row>
    <row r="37" spans="1:19" ht="44.15" customHeight="1">
      <c r="A37" s="36"/>
      <c r="B37" s="2454" t="str">
        <f>'Summary-NoCo'!B37</f>
        <v>Oil Storage 2 (100,000 bbl)</v>
      </c>
      <c r="C37" s="2455" t="str">
        <f>'Summary-NoCo'!C37</f>
        <v>IFR2</v>
      </c>
      <c r="D37" s="2456" t="str">
        <f>'Summary-NoCo'!D37</f>
        <v>IFR2</v>
      </c>
      <c r="E37" s="2606" t="str">
        <f>'Summary-NoCo'!E37</f>
        <v>--</v>
      </c>
      <c r="F37" s="1305" t="str">
        <f>'Summary-NoCo'!F37</f>
        <v>--</v>
      </c>
      <c r="G37" s="2606" t="str">
        <f>'Summary-NoCo'!G37</f>
        <v>--</v>
      </c>
      <c r="H37" s="2462" t="str">
        <f>'Summary-NoCo'!H37</f>
        <v>--</v>
      </c>
      <c r="I37" s="2606">
        <f>'Summary-NoCo'!I37</f>
        <v>1.1752020371542549</v>
      </c>
      <c r="J37" s="2462">
        <f>'Summary-NoCo'!J37</f>
        <v>5.1473849227356343</v>
      </c>
      <c r="K37" s="2606" t="str">
        <f>'Summary-NoCo'!K37</f>
        <v>--</v>
      </c>
      <c r="L37" s="2462" t="str">
        <f>'Summary-NoCo'!L37</f>
        <v>--</v>
      </c>
      <c r="M37" s="2606" t="str">
        <f>'Summary-NoCo'!M37</f>
        <v>--</v>
      </c>
      <c r="N37" s="2462" t="str">
        <f>'Summary-NoCo'!N37</f>
        <v>--</v>
      </c>
      <c r="O37" s="2606" t="str">
        <f>'Summary-NoCo'!O37</f>
        <v>--</v>
      </c>
      <c r="P37" s="2462" t="str">
        <f>'Summary-NoCo'!P37</f>
        <v>--</v>
      </c>
      <c r="Q37" s="2606">
        <f>'Summary-NoCo'!Q37</f>
        <v>6.7739254805280091E-2</v>
      </c>
      <c r="R37" s="2462">
        <f>'Summary-NoCo'!R37</f>
        <v>0.2966979360471268</v>
      </c>
      <c r="S37" s="44"/>
    </row>
    <row r="38" spans="1:19" ht="44.15" customHeight="1">
      <c r="A38" s="36"/>
      <c r="B38" s="2454" t="str">
        <f>'Summary-NoCo'!B38</f>
        <v>Oil Storage 3 (100,000 bbl)</v>
      </c>
      <c r="C38" s="2455" t="str">
        <f>'Summary-NoCo'!C38</f>
        <v>IFR3</v>
      </c>
      <c r="D38" s="2456" t="str">
        <f>'Summary-NoCo'!D38</f>
        <v>IFR3</v>
      </c>
      <c r="E38" s="2606" t="str">
        <f>'Summary-NoCo'!E38</f>
        <v>--</v>
      </c>
      <c r="F38" s="1305" t="str">
        <f>'Summary-NoCo'!F38</f>
        <v>--</v>
      </c>
      <c r="G38" s="2606" t="str">
        <f>'Summary-NoCo'!G38</f>
        <v>--</v>
      </c>
      <c r="H38" s="2462" t="str">
        <f>'Summary-NoCo'!H38</f>
        <v>--</v>
      </c>
      <c r="I38" s="2606">
        <f>'Summary-NoCo'!I38</f>
        <v>1.1752020371542549</v>
      </c>
      <c r="J38" s="2462">
        <f>'Summary-NoCo'!J38</f>
        <v>5.1473849227356343</v>
      </c>
      <c r="K38" s="2606" t="str">
        <f>'Summary-NoCo'!K38</f>
        <v>--</v>
      </c>
      <c r="L38" s="2462" t="str">
        <f>'Summary-NoCo'!L38</f>
        <v>--</v>
      </c>
      <c r="M38" s="2606" t="str">
        <f>'Summary-NoCo'!M38</f>
        <v>--</v>
      </c>
      <c r="N38" s="2462" t="str">
        <f>'Summary-NoCo'!N38</f>
        <v>--</v>
      </c>
      <c r="O38" s="2606" t="str">
        <f>'Summary-NoCo'!O38</f>
        <v>--</v>
      </c>
      <c r="P38" s="2462" t="str">
        <f>'Summary-NoCo'!P38</f>
        <v>--</v>
      </c>
      <c r="Q38" s="2606">
        <f>'Summary-NoCo'!Q38</f>
        <v>6.7739254805280091E-2</v>
      </c>
      <c r="R38" s="2462">
        <f>'Summary-NoCo'!R38</f>
        <v>0.2966979360471268</v>
      </c>
      <c r="S38" s="44"/>
    </row>
    <row r="39" spans="1:19" ht="44.15" customHeight="1">
      <c r="A39" s="36"/>
      <c r="B39" s="2454" t="str">
        <f>'Summary-NoCo'!B39</f>
        <v>Oil Storage 4 (100,000 bbl)</v>
      </c>
      <c r="C39" s="2455" t="str">
        <f>'Summary-NoCo'!C39</f>
        <v>IFR4</v>
      </c>
      <c r="D39" s="2456" t="str">
        <f>'Summary-NoCo'!D39</f>
        <v>IFR4</v>
      </c>
      <c r="E39" s="2606" t="str">
        <f>'Summary-NoCo'!E39</f>
        <v>--</v>
      </c>
      <c r="F39" s="1305" t="str">
        <f>'Summary-NoCo'!F39</f>
        <v>--</v>
      </c>
      <c r="G39" s="2606" t="str">
        <f>'Summary-NoCo'!G39</f>
        <v>--</v>
      </c>
      <c r="H39" s="2462" t="str">
        <f>'Summary-NoCo'!H39</f>
        <v>--</v>
      </c>
      <c r="I39" s="2606">
        <f>'Summary-NoCo'!I39</f>
        <v>1.1752020371542549</v>
      </c>
      <c r="J39" s="2462">
        <f>'Summary-NoCo'!J39</f>
        <v>5.1473849227356343</v>
      </c>
      <c r="K39" s="2606" t="str">
        <f>'Summary-NoCo'!K39</f>
        <v>--</v>
      </c>
      <c r="L39" s="2462" t="str">
        <f>'Summary-NoCo'!L39</f>
        <v>--</v>
      </c>
      <c r="M39" s="2606" t="str">
        <f>'Summary-NoCo'!M39</f>
        <v>--</v>
      </c>
      <c r="N39" s="2462" t="str">
        <f>'Summary-NoCo'!N39</f>
        <v>--</v>
      </c>
      <c r="O39" s="2606" t="str">
        <f>'Summary-NoCo'!O39</f>
        <v>--</v>
      </c>
      <c r="P39" s="2462" t="str">
        <f>'Summary-NoCo'!P39</f>
        <v>--</v>
      </c>
      <c r="Q39" s="2606">
        <f>'Summary-NoCo'!Q39</f>
        <v>6.7739254805280091E-2</v>
      </c>
      <c r="R39" s="2462">
        <f>'Summary-NoCo'!R39</f>
        <v>0.2966979360471268</v>
      </c>
      <c r="S39" s="44"/>
    </row>
    <row r="40" spans="1:19" ht="44.15" customHeight="1">
      <c r="A40" s="36"/>
      <c r="B40" s="2454" t="str">
        <f>'Summary-NoCo'!B40</f>
        <v>3rd-Party Oil Storage 1</v>
      </c>
      <c r="C40" s="2455" t="str">
        <f>'Summary-NoCo'!C40</f>
        <v>OTK1</v>
      </c>
      <c r="D40" s="2456" t="str">
        <f>'Summary-NoCo'!D40</f>
        <v>OTK1</v>
      </c>
      <c r="E40" s="2463" t="s">
        <v>445</v>
      </c>
      <c r="F40" s="2464" t="s">
        <v>445</v>
      </c>
      <c r="G40" s="2463" t="s">
        <v>445</v>
      </c>
      <c r="H40" s="2464" t="s">
        <v>445</v>
      </c>
      <c r="I40" s="2606">
        <f>'Tank Summary'!L15</f>
        <v>25.094700837614305</v>
      </c>
      <c r="J40" s="2462">
        <f>'Tank Summary'!M15</f>
        <v>109.91478966875064</v>
      </c>
      <c r="K40" s="2463" t="s">
        <v>445</v>
      </c>
      <c r="L40" s="2464" t="s">
        <v>445</v>
      </c>
      <c r="M40" s="2463" t="s">
        <v>445</v>
      </c>
      <c r="N40" s="2464" t="s">
        <v>445</v>
      </c>
      <c r="O40" s="2463" t="s">
        <v>445</v>
      </c>
      <c r="P40" s="2464" t="s">
        <v>445</v>
      </c>
      <c r="Q40" s="2463" t="s">
        <v>445</v>
      </c>
      <c r="R40" s="2465" t="s">
        <v>445</v>
      </c>
      <c r="S40" s="44"/>
    </row>
    <row r="41" spans="1:19" ht="44.15" customHeight="1">
      <c r="A41" s="36"/>
      <c r="B41" s="2454" t="str">
        <f>'Summary-NoCo'!B41</f>
        <v>3rd-Party Oil Storage 2</v>
      </c>
      <c r="C41" s="2455" t="str">
        <f>'Summary-NoCo'!C41</f>
        <v>OTK2</v>
      </c>
      <c r="D41" s="2456" t="str">
        <f>'Summary-NoCo'!D41</f>
        <v>OTK2</v>
      </c>
      <c r="E41" s="2463" t="s">
        <v>445</v>
      </c>
      <c r="F41" s="2464" t="s">
        <v>445</v>
      </c>
      <c r="G41" s="2463" t="s">
        <v>445</v>
      </c>
      <c r="H41" s="2464" t="s">
        <v>445</v>
      </c>
      <c r="I41" s="2606">
        <f t="shared" ref="I41:J45" si="0">I40</f>
        <v>25.094700837614305</v>
      </c>
      <c r="J41" s="2462">
        <f t="shared" si="0"/>
        <v>109.91478966875064</v>
      </c>
      <c r="K41" s="2463" t="s">
        <v>445</v>
      </c>
      <c r="L41" s="2464" t="s">
        <v>445</v>
      </c>
      <c r="M41" s="2463" t="s">
        <v>445</v>
      </c>
      <c r="N41" s="2464" t="s">
        <v>445</v>
      </c>
      <c r="O41" s="2463" t="s">
        <v>445</v>
      </c>
      <c r="P41" s="2464" t="s">
        <v>445</v>
      </c>
      <c r="Q41" s="2463" t="s">
        <v>445</v>
      </c>
      <c r="R41" s="2466" t="s">
        <v>445</v>
      </c>
      <c r="S41" s="44"/>
    </row>
    <row r="42" spans="1:19" ht="44.15" customHeight="1">
      <c r="A42" s="36"/>
      <c r="B42" s="2454" t="str">
        <f>'Summary-NoCo'!B42</f>
        <v>3rd-Party Oil Storage 3</v>
      </c>
      <c r="C42" s="2455" t="str">
        <f>'Summary-NoCo'!C42</f>
        <v>OTK3</v>
      </c>
      <c r="D42" s="2456" t="str">
        <f>'Summary-NoCo'!D42</f>
        <v>OTK3</v>
      </c>
      <c r="E42" s="2463" t="s">
        <v>445</v>
      </c>
      <c r="F42" s="2464" t="s">
        <v>445</v>
      </c>
      <c r="G42" s="2463" t="s">
        <v>445</v>
      </c>
      <c r="H42" s="2464" t="s">
        <v>445</v>
      </c>
      <c r="I42" s="2606">
        <f t="shared" si="0"/>
        <v>25.094700837614305</v>
      </c>
      <c r="J42" s="2462">
        <f t="shared" si="0"/>
        <v>109.91478966875064</v>
      </c>
      <c r="K42" s="2463" t="s">
        <v>445</v>
      </c>
      <c r="L42" s="2464" t="s">
        <v>445</v>
      </c>
      <c r="M42" s="2463" t="s">
        <v>445</v>
      </c>
      <c r="N42" s="2464" t="s">
        <v>445</v>
      </c>
      <c r="O42" s="2463" t="s">
        <v>445</v>
      </c>
      <c r="P42" s="2464" t="s">
        <v>445</v>
      </c>
      <c r="Q42" s="2463" t="s">
        <v>445</v>
      </c>
      <c r="R42" s="2466" t="s">
        <v>445</v>
      </c>
      <c r="S42" s="44"/>
    </row>
    <row r="43" spans="1:19" ht="44.25" customHeight="1">
      <c r="A43" s="36"/>
      <c r="B43" s="2454" t="str">
        <f>'Summary-NoCo'!B43</f>
        <v>3rd-Party Oil Storage 4</v>
      </c>
      <c r="C43" s="2455" t="str">
        <f>'Summary-NoCo'!C43</f>
        <v>OTK4</v>
      </c>
      <c r="D43" s="2456" t="str">
        <f>'Summary-NoCo'!D43</f>
        <v>OTK4</v>
      </c>
      <c r="E43" s="2463" t="s">
        <v>445</v>
      </c>
      <c r="F43" s="2464" t="s">
        <v>445</v>
      </c>
      <c r="G43" s="2463" t="s">
        <v>445</v>
      </c>
      <c r="H43" s="2464" t="s">
        <v>445</v>
      </c>
      <c r="I43" s="2606">
        <f t="shared" si="0"/>
        <v>25.094700837614305</v>
      </c>
      <c r="J43" s="2462">
        <f t="shared" si="0"/>
        <v>109.91478966875064</v>
      </c>
      <c r="K43" s="2463" t="s">
        <v>445</v>
      </c>
      <c r="L43" s="2464" t="s">
        <v>445</v>
      </c>
      <c r="M43" s="2463" t="s">
        <v>445</v>
      </c>
      <c r="N43" s="2464" t="s">
        <v>445</v>
      </c>
      <c r="O43" s="2463" t="s">
        <v>445</v>
      </c>
      <c r="P43" s="2464" t="s">
        <v>445</v>
      </c>
      <c r="Q43" s="2463" t="s">
        <v>445</v>
      </c>
      <c r="R43" s="2466" t="s">
        <v>445</v>
      </c>
      <c r="S43" s="44"/>
    </row>
    <row r="44" spans="1:19" ht="44.25" customHeight="1">
      <c r="A44" s="36"/>
      <c r="B44" s="2454" t="str">
        <f>'Summary-NoCo'!B44</f>
        <v>3rd-Party Oil Storage 5</v>
      </c>
      <c r="C44" s="2455" t="str">
        <f>'Summary-NoCo'!C44</f>
        <v>OTK5</v>
      </c>
      <c r="D44" s="2456" t="str">
        <f>'Summary-NoCo'!D44</f>
        <v>OTK5</v>
      </c>
      <c r="E44" s="2463" t="s">
        <v>445</v>
      </c>
      <c r="F44" s="2464" t="s">
        <v>445</v>
      </c>
      <c r="G44" s="2463" t="s">
        <v>445</v>
      </c>
      <c r="H44" s="2464" t="s">
        <v>445</v>
      </c>
      <c r="I44" s="2606">
        <f t="shared" si="0"/>
        <v>25.094700837614305</v>
      </c>
      <c r="J44" s="2462">
        <f t="shared" si="0"/>
        <v>109.91478966875064</v>
      </c>
      <c r="K44" s="2463" t="s">
        <v>445</v>
      </c>
      <c r="L44" s="2464" t="s">
        <v>445</v>
      </c>
      <c r="M44" s="2463" t="s">
        <v>445</v>
      </c>
      <c r="N44" s="2464" t="s">
        <v>445</v>
      </c>
      <c r="O44" s="2463" t="s">
        <v>445</v>
      </c>
      <c r="P44" s="2464" t="s">
        <v>445</v>
      </c>
      <c r="Q44" s="2463" t="s">
        <v>445</v>
      </c>
      <c r="R44" s="2466" t="s">
        <v>445</v>
      </c>
      <c r="S44" s="44"/>
    </row>
    <row r="45" spans="1:19" ht="44.25" customHeight="1">
      <c r="A45" s="819"/>
      <c r="B45" s="2454" t="str">
        <f>'Summary-NoCo'!B45</f>
        <v>3rd-Party Oil Storage 6</v>
      </c>
      <c r="C45" s="2455" t="str">
        <f>'Summary-NoCo'!C45</f>
        <v>OTK6</v>
      </c>
      <c r="D45" s="2456" t="str">
        <f>'Summary-NoCo'!D45</f>
        <v>OTK6</v>
      </c>
      <c r="E45" s="2463" t="s">
        <v>445</v>
      </c>
      <c r="F45" s="2464" t="s">
        <v>445</v>
      </c>
      <c r="G45" s="2463" t="s">
        <v>445</v>
      </c>
      <c r="H45" s="2464" t="s">
        <v>445</v>
      </c>
      <c r="I45" s="2606">
        <f t="shared" si="0"/>
        <v>25.094700837614305</v>
      </c>
      <c r="J45" s="2462">
        <f t="shared" si="0"/>
        <v>109.91478966875064</v>
      </c>
      <c r="K45" s="2463" t="s">
        <v>445</v>
      </c>
      <c r="L45" s="2464" t="s">
        <v>445</v>
      </c>
      <c r="M45" s="2463" t="s">
        <v>445</v>
      </c>
      <c r="N45" s="2464" t="s">
        <v>445</v>
      </c>
      <c r="O45" s="2463" t="s">
        <v>445</v>
      </c>
      <c r="P45" s="2464" t="s">
        <v>445</v>
      </c>
      <c r="Q45" s="2463" t="s">
        <v>445</v>
      </c>
      <c r="R45" s="2466" t="s">
        <v>445</v>
      </c>
      <c r="S45" s="44"/>
    </row>
    <row r="46" spans="1:19" ht="44.25" customHeight="1">
      <c r="A46" s="36"/>
      <c r="B46" s="2454" t="s">
        <v>1462</v>
      </c>
      <c r="C46" s="2455" t="str">
        <f>'Summary-NoCo'!C46</f>
        <v>ECD1</v>
      </c>
      <c r="D46" s="2456" t="str">
        <f>'Summary-NoCo'!D46</f>
        <v>ECD1</v>
      </c>
      <c r="E46" s="4307" t="s">
        <v>1371</v>
      </c>
      <c r="F46" s="4308"/>
      <c r="G46" s="4308"/>
      <c r="H46" s="4308"/>
      <c r="I46" s="4308"/>
      <c r="J46" s="4308"/>
      <c r="K46" s="4308"/>
      <c r="L46" s="4308"/>
      <c r="M46" s="4308"/>
      <c r="N46" s="4308"/>
      <c r="O46" s="4308"/>
      <c r="P46" s="4308"/>
      <c r="Q46" s="4308"/>
      <c r="R46" s="4309"/>
      <c r="S46" s="44"/>
    </row>
    <row r="47" spans="1:19" ht="44.25" customHeight="1">
      <c r="A47" s="36"/>
      <c r="B47" s="2454" t="str">
        <f>'Summary-NoCo'!B47</f>
        <v>Thermal Oxidizer</v>
      </c>
      <c r="C47" s="2455" t="str">
        <f>'Summary-NoCo'!C47</f>
        <v>TO1</v>
      </c>
      <c r="D47" s="2456" t="str">
        <f>'Summary-NoCo'!D47</f>
        <v>TO1</v>
      </c>
      <c r="E47" s="4307" t="s">
        <v>1371</v>
      </c>
      <c r="F47" s="4308"/>
      <c r="G47" s="4308"/>
      <c r="H47" s="4308"/>
      <c r="I47" s="4308"/>
      <c r="J47" s="4308"/>
      <c r="K47" s="4308"/>
      <c r="L47" s="4308"/>
      <c r="M47" s="4308"/>
      <c r="N47" s="4308"/>
      <c r="O47" s="4308"/>
      <c r="P47" s="4308"/>
      <c r="Q47" s="4308"/>
      <c r="R47" s="4309"/>
      <c r="S47" s="44"/>
    </row>
    <row r="48" spans="1:19" ht="44.25" customHeight="1">
      <c r="A48" s="36"/>
      <c r="B48" s="2454" t="str">
        <f>'Summary-NoCo'!B48</f>
        <v>Thermal Oxidizer</v>
      </c>
      <c r="C48" s="2455" t="str">
        <f>'Summary-NoCo'!C48</f>
        <v>TO2</v>
      </c>
      <c r="D48" s="2456" t="str">
        <f>'Summary-NoCo'!D48</f>
        <v>TO2</v>
      </c>
      <c r="E48" s="4307" t="s">
        <v>1371</v>
      </c>
      <c r="F48" s="4308"/>
      <c r="G48" s="4308"/>
      <c r="H48" s="4308"/>
      <c r="I48" s="4308"/>
      <c r="J48" s="4308"/>
      <c r="K48" s="4308"/>
      <c r="L48" s="4308"/>
      <c r="M48" s="4308"/>
      <c r="N48" s="4308"/>
      <c r="O48" s="4308"/>
      <c r="P48" s="4308"/>
      <c r="Q48" s="4308"/>
      <c r="R48" s="4309"/>
      <c r="S48" s="44"/>
    </row>
    <row r="49" spans="1:69" ht="44.25" customHeight="1">
      <c r="A49" s="36"/>
      <c r="B49" s="2454" t="str">
        <f>'Summary-NoCo'!B49</f>
        <v>Thermal Oxidizer</v>
      </c>
      <c r="C49" s="2455" t="str">
        <f>'Summary-NoCo'!C49</f>
        <v>TO3</v>
      </c>
      <c r="D49" s="2456" t="str">
        <f>'Summary-NoCo'!D49</f>
        <v>TO3</v>
      </c>
      <c r="E49" s="4307" t="s">
        <v>1371</v>
      </c>
      <c r="F49" s="4308"/>
      <c r="G49" s="4308"/>
      <c r="H49" s="4308"/>
      <c r="I49" s="4308"/>
      <c r="J49" s="4308"/>
      <c r="K49" s="4308"/>
      <c r="L49" s="4308"/>
      <c r="M49" s="4308"/>
      <c r="N49" s="4308"/>
      <c r="O49" s="4308"/>
      <c r="P49" s="4308"/>
      <c r="Q49" s="4308"/>
      <c r="R49" s="4309"/>
      <c r="S49" s="44"/>
    </row>
    <row r="50" spans="1:69" ht="44.25" customHeight="1">
      <c r="A50" s="36"/>
      <c r="B50" s="2454" t="str">
        <f>'Summary-NoCo'!B50</f>
        <v>Fugitives</v>
      </c>
      <c r="C50" s="2455" t="str">
        <f>'Summary-NoCo'!C50</f>
        <v>FUG</v>
      </c>
      <c r="D50" s="2456" t="str">
        <f>'Summary-NoCo'!D50</f>
        <v>FUG</v>
      </c>
      <c r="E50" s="2606" t="str">
        <f>'Summary-NoCo'!E50</f>
        <v>--</v>
      </c>
      <c r="F50" s="1305" t="str">
        <f>'Summary-NoCo'!F50</f>
        <v>--</v>
      </c>
      <c r="G50" s="2606" t="str">
        <f>'Summary-NoCo'!G50</f>
        <v>--</v>
      </c>
      <c r="H50" s="1305" t="str">
        <f>'Summary-NoCo'!H50</f>
        <v>--</v>
      </c>
      <c r="I50" s="2606">
        <f>Fugitive!G39</f>
        <v>88.63844276133257</v>
      </c>
      <c r="J50" s="1305">
        <f>Fugitive!I39</f>
        <v>388.23637929463672</v>
      </c>
      <c r="K50" s="2606" t="str">
        <f>'Summary-NoCo'!K50</f>
        <v>--</v>
      </c>
      <c r="L50" s="1305" t="str">
        <f>'Summary-NoCo'!L50</f>
        <v>--</v>
      </c>
      <c r="M50" s="2606" t="str">
        <f>'Summary-NoCo'!M50</f>
        <v>--</v>
      </c>
      <c r="N50" s="1305" t="str">
        <f>'Summary-NoCo'!N50</f>
        <v>--</v>
      </c>
      <c r="O50" s="2606" t="str">
        <f>'Summary-NoCo'!O50</f>
        <v>--</v>
      </c>
      <c r="P50" s="1305" t="str">
        <f>'Summary-NoCo'!P50</f>
        <v>--</v>
      </c>
      <c r="Q50" s="2606">
        <v>4.03</v>
      </c>
      <c r="R50" s="2461">
        <v>17.649999999999999</v>
      </c>
      <c r="S50" s="44"/>
    </row>
    <row r="51" spans="1:69" s="53" customFormat="1" ht="44.25" customHeight="1" thickBot="1">
      <c r="A51" s="1663"/>
      <c r="B51" s="2467" t="str">
        <f>'Summary-NoCo'!B51</f>
        <v>Storage Tank SSM Emissions</v>
      </c>
      <c r="C51" s="2468" t="str">
        <f>'Summary-NoCo'!C51</f>
        <v>SSM</v>
      </c>
      <c r="D51" s="2469" t="str">
        <f>'Summary-NoCo'!D51</f>
        <v>SSM</v>
      </c>
      <c r="E51" s="2518" t="str">
        <f>'Summary-NoCo'!E51</f>
        <v>--</v>
      </c>
      <c r="F51" s="2519" t="str">
        <f>'Summary-NoCo'!F51</f>
        <v>--</v>
      </c>
      <c r="G51" s="2518" t="str">
        <f>'Summary-NoCo'!G51</f>
        <v>--</v>
      </c>
      <c r="H51" s="2519" t="str">
        <f>'Summary-NoCo'!H51</f>
        <v>--</v>
      </c>
      <c r="I51" s="2518" t="str">
        <f>'Summary-NoCo'!I51</f>
        <v>--</v>
      </c>
      <c r="J51" s="2519">
        <f>'Summary-NoCo'!J51</f>
        <v>10</v>
      </c>
      <c r="K51" s="2518" t="str">
        <f>'Summary-NoCo'!K51</f>
        <v>--</v>
      </c>
      <c r="L51" s="2519" t="str">
        <f>'Summary-NoCo'!L51</f>
        <v>--</v>
      </c>
      <c r="M51" s="2518" t="str">
        <f>'Summary-NoCo'!M51</f>
        <v>--</v>
      </c>
      <c r="N51" s="2519" t="str">
        <f>'Summary-NoCo'!N51</f>
        <v>--</v>
      </c>
      <c r="O51" s="2518" t="str">
        <f>'Summary-NoCo'!O51</f>
        <v>--</v>
      </c>
      <c r="P51" s="2519" t="str">
        <f>'Summary-NoCo'!P51</f>
        <v>--</v>
      </c>
      <c r="Q51" s="2518" t="str">
        <f>'Summary-NoCo'!Q51</f>
        <v>--</v>
      </c>
      <c r="R51" s="2406" t="str">
        <f>'Summary-NoCo'!R51</f>
        <v>--</v>
      </c>
      <c r="S51" s="44"/>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1:69" ht="44.25" customHeight="1">
      <c r="A52" s="36"/>
      <c r="B52" s="2470" t="str">
        <f>'Summary-NoCo'!B52</f>
        <v>Haul Road Fugitives</v>
      </c>
      <c r="C52" s="2607" t="str">
        <f>'Summary-NoCo'!C52</f>
        <v>ROAD</v>
      </c>
      <c r="D52" s="2608" t="str">
        <f>'Summary-NoCo'!D52</f>
        <v>ROAD</v>
      </c>
      <c r="E52" s="2606" t="str">
        <f>'Summary-NoCo'!E52</f>
        <v>--</v>
      </c>
      <c r="F52" s="1305" t="str">
        <f>'Summary-NoCo'!F52</f>
        <v>--</v>
      </c>
      <c r="G52" s="2606" t="str">
        <f>'Summary-NoCo'!G52</f>
        <v>--</v>
      </c>
      <c r="H52" s="1305" t="str">
        <f>'Summary-NoCo'!H52</f>
        <v>--</v>
      </c>
      <c r="I52" s="2606" t="str">
        <f>'Summary-NoCo'!I52</f>
        <v>--</v>
      </c>
      <c r="J52" s="1305" t="str">
        <f>'Summary-NoCo'!J52</f>
        <v>--</v>
      </c>
      <c r="K52" s="2606" t="str">
        <f>'Summary-NoCo'!K52</f>
        <v>--</v>
      </c>
      <c r="L52" s="1305" t="str">
        <f>'Summary-NoCo'!L52</f>
        <v>--</v>
      </c>
      <c r="M52" s="2606">
        <f>'Summary-NoCo'!M52</f>
        <v>2.7556902133370476</v>
      </c>
      <c r="N52" s="1305">
        <f>'Summary-NoCo'!N52</f>
        <v>8.8254079636430482</v>
      </c>
      <c r="O52" s="2606">
        <f>'Summary-NoCo'!O52</f>
        <v>0.70232409971011567</v>
      </c>
      <c r="P52" s="1305">
        <f>'Summary-NoCo'!P52</f>
        <v>2.2492719510493018</v>
      </c>
      <c r="Q52" s="2606" t="str">
        <f>'Summary-NoCo'!Q52</f>
        <v>--</v>
      </c>
      <c r="R52" s="2605" t="str">
        <f>'Summary-NoCo'!R52</f>
        <v>--</v>
      </c>
      <c r="S52" s="44"/>
    </row>
    <row r="53" spans="1:69" s="53" customFormat="1" ht="44.25" customHeight="1">
      <c r="A53" s="36"/>
      <c r="B53" s="2454" t="str">
        <f>'Summary-NoCo'!B53</f>
        <v>Produced Water Tank 1</v>
      </c>
      <c r="C53" s="2455" t="str">
        <f>'Summary-NoCo'!C53</f>
        <v>PWTK1</v>
      </c>
      <c r="D53" s="2456" t="str">
        <f>'Summary-NoCo'!D53</f>
        <v>PWTK1</v>
      </c>
      <c r="E53" s="2463" t="s">
        <v>445</v>
      </c>
      <c r="F53" s="2464" t="s">
        <v>445</v>
      </c>
      <c r="G53" s="2463" t="s">
        <v>445</v>
      </c>
      <c r="H53" s="2464" t="s">
        <v>445</v>
      </c>
      <c r="I53" s="2606">
        <f>'Tank Summary'!L21</f>
        <v>2.360259684389519E-3</v>
      </c>
      <c r="J53" s="2462">
        <f>'Tank Summary'!M21</f>
        <v>1.0337937417626092E-2</v>
      </c>
      <c r="K53" s="2463" t="s">
        <v>445</v>
      </c>
      <c r="L53" s="2464" t="s">
        <v>445</v>
      </c>
      <c r="M53" s="2463" t="s">
        <v>445</v>
      </c>
      <c r="N53" s="2464" t="s">
        <v>445</v>
      </c>
      <c r="O53" s="2463" t="s">
        <v>445</v>
      </c>
      <c r="P53" s="2464" t="s">
        <v>445</v>
      </c>
      <c r="Q53" s="2463" t="s">
        <v>445</v>
      </c>
      <c r="R53" s="2466" t="s">
        <v>445</v>
      </c>
      <c r="S53" s="44"/>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1:69" ht="44.25" customHeight="1">
      <c r="A54" s="36"/>
      <c r="B54" s="2454" t="str">
        <f>'Summary-NoCo'!B54</f>
        <v>Produced Water Tank 2</v>
      </c>
      <c r="C54" s="2455" t="str">
        <f>'Summary-NoCo'!C54</f>
        <v>PWTK2</v>
      </c>
      <c r="D54" s="2456" t="str">
        <f>'Summary-NoCo'!D54</f>
        <v>PWTK2</v>
      </c>
      <c r="E54" s="2463" t="s">
        <v>445</v>
      </c>
      <c r="F54" s="2464" t="s">
        <v>445</v>
      </c>
      <c r="G54" s="2463" t="s">
        <v>445</v>
      </c>
      <c r="H54" s="2464" t="s">
        <v>445</v>
      </c>
      <c r="I54" s="2606">
        <f>I53</f>
        <v>2.360259684389519E-3</v>
      </c>
      <c r="J54" s="2462">
        <f>J53</f>
        <v>1.0337937417626092E-2</v>
      </c>
      <c r="K54" s="2463" t="s">
        <v>445</v>
      </c>
      <c r="L54" s="2464" t="s">
        <v>445</v>
      </c>
      <c r="M54" s="2463" t="s">
        <v>445</v>
      </c>
      <c r="N54" s="2464" t="s">
        <v>445</v>
      </c>
      <c r="O54" s="2463" t="s">
        <v>445</v>
      </c>
      <c r="P54" s="2464" t="s">
        <v>445</v>
      </c>
      <c r="Q54" s="2463" t="s">
        <v>445</v>
      </c>
      <c r="R54" s="2466" t="s">
        <v>445</v>
      </c>
      <c r="S54" s="44"/>
    </row>
    <row r="55" spans="1:69" s="53" customFormat="1" ht="44.25" customHeight="1">
      <c r="A55" s="36"/>
      <c r="B55" s="2454" t="str">
        <f>'Summary-NoCo'!B55</f>
        <v>Produced Water Loading</v>
      </c>
      <c r="C55" s="2455" t="str">
        <f>'Summary-NoCo'!C55</f>
        <v>PWTL</v>
      </c>
      <c r="D55" s="2456" t="str">
        <f>'Summary-NoCo'!D55</f>
        <v>PWTL</v>
      </c>
      <c r="E55" s="2606" t="str">
        <f>'Summary-NoCo'!E55</f>
        <v>--</v>
      </c>
      <c r="F55" s="1305" t="str">
        <f>'Summary-NoCo'!F55</f>
        <v>--</v>
      </c>
      <c r="G55" s="2606" t="str">
        <f>'Summary-NoCo'!G55</f>
        <v>--</v>
      </c>
      <c r="H55" s="1305" t="str">
        <f>'Summary-NoCo'!H55</f>
        <v>--</v>
      </c>
      <c r="I55" s="2606">
        <f>'Summary-NoCo'!I55</f>
        <v>0.39339345182963747</v>
      </c>
      <c r="J55" s="1305">
        <f>'Summary-NoCo'!J55</f>
        <v>2.4902276270262185</v>
      </c>
      <c r="K55" s="2606" t="str">
        <f>'Summary-NoCo'!K55</f>
        <v>--</v>
      </c>
      <c r="L55" s="1305" t="str">
        <f>'Summary-NoCo'!L55</f>
        <v>--</v>
      </c>
      <c r="M55" s="2606" t="str">
        <f>'Summary-NoCo'!M55</f>
        <v>--</v>
      </c>
      <c r="N55" s="1305" t="str">
        <f>'Summary-NoCo'!N55</f>
        <v>--</v>
      </c>
      <c r="O55" s="2606" t="str">
        <f>'Summary-NoCo'!O55</f>
        <v>--</v>
      </c>
      <c r="P55" s="1305" t="str">
        <f>'Summary-NoCo'!P55</f>
        <v>--</v>
      </c>
      <c r="Q55" s="2606">
        <f>'Summary-NoCo'!Q55</f>
        <v>1.1042554192857925E-3</v>
      </c>
      <c r="R55" s="2461">
        <f>'Summary-NoCo'!R55</f>
        <v>6.9900689490625953E-3</v>
      </c>
      <c r="S55" s="44"/>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1:69" s="53" customFormat="1" ht="44.25" customHeight="1">
      <c r="A56" s="36"/>
      <c r="B56" s="2454" t="str">
        <f>'Summary-NoCo'!B56</f>
        <v>Slop Oil Loading</v>
      </c>
      <c r="C56" s="2455" t="str">
        <f>'Summary-NoCo'!C56</f>
        <v>OTL</v>
      </c>
      <c r="D56" s="2456" t="str">
        <f>'Summary-NoCo'!D56</f>
        <v>OTL</v>
      </c>
      <c r="E56" s="2606" t="str">
        <f>'Summary-NoCo'!E56</f>
        <v>--</v>
      </c>
      <c r="F56" s="1305" t="str">
        <f>'Summary-NoCo'!F56</f>
        <v>--</v>
      </c>
      <c r="G56" s="2606" t="str">
        <f>'Summary-NoCo'!G56</f>
        <v>--</v>
      </c>
      <c r="H56" s="1305" t="str">
        <f>'Summary-NoCo'!H56</f>
        <v>--</v>
      </c>
      <c r="I56" s="2606">
        <f>'Load-Slop Oil'!F34*'Load-Slop Oil'!I20/100</f>
        <v>54.47067380149624</v>
      </c>
      <c r="J56" s="1305">
        <f>'Load-Slop Oil'!G34*'Load-Slop Oil'!I20/100</f>
        <v>10.321550971628724</v>
      </c>
      <c r="K56" s="2606" t="str">
        <f>'Summary-NoCo'!K56</f>
        <v>--</v>
      </c>
      <c r="L56" s="1305" t="str">
        <f>'Summary-NoCo'!L56</f>
        <v>--</v>
      </c>
      <c r="M56" s="2606" t="str">
        <f>'Summary-NoCo'!M56</f>
        <v>--</v>
      </c>
      <c r="N56" s="1305" t="str">
        <f>'Summary-NoCo'!N56</f>
        <v>--</v>
      </c>
      <c r="O56" s="2606" t="str">
        <f>'Summary-NoCo'!O56</f>
        <v>--</v>
      </c>
      <c r="P56" s="1305" t="str">
        <f>'Summary-NoCo'!P56</f>
        <v>--</v>
      </c>
      <c r="Q56" s="2606">
        <f>'Load-Slop Oil'!F38</f>
        <v>1.6636182131504844</v>
      </c>
      <c r="R56" s="2461">
        <f>'Load-Slop Oil'!G38</f>
        <v>0.31523605246628983</v>
      </c>
      <c r="S56" s="44"/>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1:69" s="53" customFormat="1" ht="44.25" customHeight="1">
      <c r="A57" s="36"/>
      <c r="B57" s="2454" t="str">
        <f>'Summary-NoCo'!B57</f>
        <v>Amine Unit 1</v>
      </c>
      <c r="C57" s="2455" t="str">
        <f>'Summary-NoCo'!C57</f>
        <v>AU1</v>
      </c>
      <c r="D57" s="2456" t="str">
        <f>'Summary-NoCo'!D57</f>
        <v>AU1</v>
      </c>
      <c r="E57" s="2463" t="s">
        <v>445</v>
      </c>
      <c r="F57" s="2464" t="s">
        <v>445</v>
      </c>
      <c r="G57" s="2463" t="s">
        <v>445</v>
      </c>
      <c r="H57" s="2464" t="s">
        <v>445</v>
      </c>
      <c r="I57" s="2606">
        <f>'TO Hrly (TO1-TO3)'!F32</f>
        <v>62.455189452722529</v>
      </c>
      <c r="J57" s="1305">
        <f>'TO Ann (TO1-TO3)'!F32</f>
        <v>273.55372980292469</v>
      </c>
      <c r="K57" s="2463" t="s">
        <v>445</v>
      </c>
      <c r="L57" s="2464" t="s">
        <v>445</v>
      </c>
      <c r="M57" s="2463" t="s">
        <v>445</v>
      </c>
      <c r="N57" s="2464" t="s">
        <v>445</v>
      </c>
      <c r="O57" s="2463" t="s">
        <v>445</v>
      </c>
      <c r="P57" s="2464" t="s">
        <v>445</v>
      </c>
      <c r="Q57" s="2463" t="s">
        <v>445</v>
      </c>
      <c r="R57" s="2465" t="s">
        <v>445</v>
      </c>
      <c r="S57" s="44"/>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1:69" s="53" customFormat="1" ht="44.25" customHeight="1">
      <c r="A58" s="36"/>
      <c r="B58" s="2454" t="str">
        <f>'Summary-NoCo'!B58</f>
        <v>Amine Unit 2</v>
      </c>
      <c r="C58" s="2455" t="str">
        <f>'Summary-NoCo'!C58</f>
        <v>AU2</v>
      </c>
      <c r="D58" s="2456" t="str">
        <f>'Summary-NoCo'!D58</f>
        <v>AU2</v>
      </c>
      <c r="E58" s="2463" t="s">
        <v>445</v>
      </c>
      <c r="F58" s="2464" t="s">
        <v>445</v>
      </c>
      <c r="G58" s="2463" t="s">
        <v>445</v>
      </c>
      <c r="H58" s="2464" t="s">
        <v>445</v>
      </c>
      <c r="I58" s="2606">
        <f>I57</f>
        <v>62.455189452722529</v>
      </c>
      <c r="J58" s="1305">
        <f>J57</f>
        <v>273.55372980292469</v>
      </c>
      <c r="K58" s="2463" t="s">
        <v>445</v>
      </c>
      <c r="L58" s="2464" t="s">
        <v>445</v>
      </c>
      <c r="M58" s="2463" t="s">
        <v>445</v>
      </c>
      <c r="N58" s="2464" t="s">
        <v>445</v>
      </c>
      <c r="O58" s="2463" t="s">
        <v>445</v>
      </c>
      <c r="P58" s="2464" t="s">
        <v>445</v>
      </c>
      <c r="Q58" s="2463" t="s">
        <v>445</v>
      </c>
      <c r="R58" s="2466" t="s">
        <v>445</v>
      </c>
      <c r="S58" s="44"/>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1:69" s="53" customFormat="1" ht="44.25" customHeight="1">
      <c r="A59" s="36"/>
      <c r="B59" s="2454" t="str">
        <f>'Summary-NoCo'!B59</f>
        <v>Amine Unit 3</v>
      </c>
      <c r="C59" s="2455" t="str">
        <f>'Summary-NoCo'!C59</f>
        <v>AU3</v>
      </c>
      <c r="D59" s="2456" t="str">
        <f>'Summary-NoCo'!D59</f>
        <v>AU3</v>
      </c>
      <c r="E59" s="2463" t="s">
        <v>445</v>
      </c>
      <c r="F59" s="2464" t="s">
        <v>445</v>
      </c>
      <c r="G59" s="2463" t="s">
        <v>445</v>
      </c>
      <c r="H59" s="2464" t="s">
        <v>445</v>
      </c>
      <c r="I59" s="2606">
        <f>I57</f>
        <v>62.455189452722529</v>
      </c>
      <c r="J59" s="1305">
        <f>J57</f>
        <v>273.55372980292469</v>
      </c>
      <c r="K59" s="2463" t="s">
        <v>445</v>
      </c>
      <c r="L59" s="2464" t="s">
        <v>445</v>
      </c>
      <c r="M59" s="2463" t="s">
        <v>445</v>
      </c>
      <c r="N59" s="2464" t="s">
        <v>445</v>
      </c>
      <c r="O59" s="2463" t="s">
        <v>445</v>
      </c>
      <c r="P59" s="2464" t="s">
        <v>445</v>
      </c>
      <c r="Q59" s="2463" t="s">
        <v>445</v>
      </c>
      <c r="R59" s="2466" t="s">
        <v>445</v>
      </c>
      <c r="S59" s="44"/>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1:69" s="53" customFormat="1" ht="44.25" customHeight="1">
      <c r="A60" s="36"/>
      <c r="B60" s="2454" t="str">
        <f>'Summary-NoCo'!B60</f>
        <v>Gunbarrel Tank</v>
      </c>
      <c r="C60" s="2455" t="str">
        <f>'Summary-NoCo'!C60</f>
        <v>GBS1</v>
      </c>
      <c r="D60" s="2456" t="str">
        <f>'Summary-NoCo'!D60</f>
        <v>GBS1</v>
      </c>
      <c r="E60" s="2463" t="s">
        <v>445</v>
      </c>
      <c r="F60" s="2464" t="s">
        <v>445</v>
      </c>
      <c r="G60" s="2463" t="s">
        <v>445</v>
      </c>
      <c r="H60" s="2464" t="s">
        <v>445</v>
      </c>
      <c r="I60" s="2606">
        <f>'Tank Summary'!L23</f>
        <v>229.80658100387194</v>
      </c>
      <c r="J60" s="2462">
        <f>'Tank Summary'!M23</f>
        <v>1006.5528247969593</v>
      </c>
      <c r="K60" s="2463" t="s">
        <v>445</v>
      </c>
      <c r="L60" s="2464" t="s">
        <v>445</v>
      </c>
      <c r="M60" s="2463" t="s">
        <v>445</v>
      </c>
      <c r="N60" s="2464" t="s">
        <v>445</v>
      </c>
      <c r="O60" s="2463" t="s">
        <v>445</v>
      </c>
      <c r="P60" s="2464" t="s">
        <v>445</v>
      </c>
      <c r="Q60" s="2463" t="s">
        <v>445</v>
      </c>
      <c r="R60" s="2466" t="s">
        <v>445</v>
      </c>
      <c r="S60" s="44"/>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1:69" ht="44.25" customHeight="1">
      <c r="A61" s="36"/>
      <c r="B61" s="2859" t="str">
        <f>'Summary-NoCo'!B61</f>
        <v>Slop Oil Tank</v>
      </c>
      <c r="C61" s="2642" t="str">
        <f>'Summary-NoCo'!C61</f>
        <v>OTK7</v>
      </c>
      <c r="D61" s="2643" t="str">
        <f>'Summary-NoCo'!D61</f>
        <v>OTK7</v>
      </c>
      <c r="E61" s="2860" t="s">
        <v>445</v>
      </c>
      <c r="F61" s="2861" t="s">
        <v>445</v>
      </c>
      <c r="G61" s="2860" t="s">
        <v>445</v>
      </c>
      <c r="H61" s="2861" t="s">
        <v>445</v>
      </c>
      <c r="I61" s="2644">
        <f>'Tank Summary'!L24</f>
        <v>23.205544762405538</v>
      </c>
      <c r="J61" s="2862">
        <f>'Tank Summary'!M24</f>
        <v>101.64028605933626</v>
      </c>
      <c r="K61" s="2860" t="s">
        <v>445</v>
      </c>
      <c r="L61" s="2861" t="s">
        <v>445</v>
      </c>
      <c r="M61" s="2860" t="s">
        <v>445</v>
      </c>
      <c r="N61" s="2861" t="s">
        <v>445</v>
      </c>
      <c r="O61" s="2860" t="s">
        <v>445</v>
      </c>
      <c r="P61" s="2861" t="s">
        <v>445</v>
      </c>
      <c r="Q61" s="2860" t="s">
        <v>445</v>
      </c>
      <c r="R61" s="2863" t="s">
        <v>445</v>
      </c>
      <c r="S61" s="44"/>
    </row>
    <row r="62" spans="1:69" s="53" customFormat="1" ht="44.25" customHeight="1">
      <c r="A62" s="36"/>
      <c r="B62" s="2529" t="str">
        <f>'2-A All'!B113</f>
        <v>Emergency Generator</v>
      </c>
      <c r="C62" s="2474" t="str">
        <f>'2-A All'!A113</f>
        <v>GEN1</v>
      </c>
      <c r="D62" s="2530" t="str">
        <f t="shared" ref="D62:D69" si="1">C62</f>
        <v>GEN1</v>
      </c>
      <c r="E62" s="2555">
        <f>'Summary-NoCo'!E62</f>
        <v>7.6014109347442673</v>
      </c>
      <c r="F62" s="2556">
        <f>'Summary-NoCo'!F62</f>
        <v>0.38007054673721336</v>
      </c>
      <c r="G62" s="2555">
        <f>'Summary-NoCo'!G62</f>
        <v>12.770370370370369</v>
      </c>
      <c r="H62" s="2556">
        <f>'Summary-NoCo'!H62</f>
        <v>0.63851851851851849</v>
      </c>
      <c r="I62" s="2555">
        <f>'Summary-NoCo'!I62</f>
        <v>4.887584801621446</v>
      </c>
      <c r="J62" s="2556">
        <f>'Summary-NoCo'!J62</f>
        <v>0.24437924008107231</v>
      </c>
      <c r="K62" s="2555">
        <f>'Summary-NoCo'!K62</f>
        <v>5.268486050420168E-2</v>
      </c>
      <c r="L62" s="2556">
        <f>'Summary-NoCo'!L62</f>
        <v>2.6342430252100841E-3</v>
      </c>
      <c r="M62" s="2555">
        <f>'Summary-NoCo'!M62</f>
        <v>0.21023717968</v>
      </c>
      <c r="N62" s="2556">
        <f>'Summary-NoCo'!N62</f>
        <v>1.0511858984E-2</v>
      </c>
      <c r="O62" s="2555">
        <f>'Summary-NoCo'!O62</f>
        <v>0.21023717968</v>
      </c>
      <c r="P62" s="2556">
        <f>'Summary-NoCo'!P62</f>
        <v>1.0511858984E-2</v>
      </c>
      <c r="Q62" s="2555">
        <f>'Summary-NoCo'!Q62</f>
        <v>2.0982598998460671</v>
      </c>
      <c r="R62" s="2864">
        <f>'Summary-NoCo'!R62</f>
        <v>0.10491299499230333</v>
      </c>
      <c r="S62" s="44"/>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row>
    <row r="63" spans="1:69" s="53" customFormat="1" ht="44.25" customHeight="1">
      <c r="A63" s="36"/>
      <c r="B63" s="2520" t="str">
        <f>'2-A All'!B115</f>
        <v>Emergency Generator</v>
      </c>
      <c r="C63" s="2474" t="str">
        <f>'2-A All'!A115</f>
        <v>GEN2</v>
      </c>
      <c r="D63" s="2530" t="str">
        <f t="shared" si="1"/>
        <v>GEN2</v>
      </c>
      <c r="E63" s="2555">
        <f>'Summary-NoCo'!E63</f>
        <v>7.6014109347442673</v>
      </c>
      <c r="F63" s="2556">
        <f>'Summary-NoCo'!F63</f>
        <v>0.38007054673721336</v>
      </c>
      <c r="G63" s="2555">
        <f>'Summary-NoCo'!G63</f>
        <v>12.770370370370369</v>
      </c>
      <c r="H63" s="2556">
        <f>'Summary-NoCo'!H63</f>
        <v>0.63851851851851849</v>
      </c>
      <c r="I63" s="2555">
        <f>'Summary-NoCo'!I63</f>
        <v>4.887584801621446</v>
      </c>
      <c r="J63" s="2556">
        <f>'Summary-NoCo'!J63</f>
        <v>0.24437924008107231</v>
      </c>
      <c r="K63" s="2555">
        <f>'Summary-NoCo'!K63</f>
        <v>5.268486050420168E-2</v>
      </c>
      <c r="L63" s="2556">
        <f>'Summary-NoCo'!L63</f>
        <v>2.6342430252100841E-3</v>
      </c>
      <c r="M63" s="2555">
        <f>'Summary-NoCo'!M63</f>
        <v>0.21023717968</v>
      </c>
      <c r="N63" s="2556">
        <f>'Summary-NoCo'!N63</f>
        <v>1.0511858984E-2</v>
      </c>
      <c r="O63" s="2555">
        <f>'Summary-NoCo'!O63</f>
        <v>0.21023717968</v>
      </c>
      <c r="P63" s="2556">
        <f>'Summary-NoCo'!P63</f>
        <v>1.0511858984E-2</v>
      </c>
      <c r="Q63" s="2555">
        <f>'Summary-NoCo'!Q63</f>
        <v>2.0982598998460671</v>
      </c>
      <c r="R63" s="2864">
        <f>'Summary-NoCo'!R63</f>
        <v>0.10491299499230333</v>
      </c>
      <c r="S63" s="44"/>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row>
    <row r="64" spans="1:69" s="53" customFormat="1" ht="44.25" customHeight="1">
      <c r="A64" s="36"/>
      <c r="B64" s="2520" t="str">
        <f>'2-A All'!B117</f>
        <v>Emergency Generator</v>
      </c>
      <c r="C64" s="2474" t="str">
        <f>'2-A All'!A117</f>
        <v>GEN3</v>
      </c>
      <c r="D64" s="2530" t="str">
        <f t="shared" si="1"/>
        <v>GEN3</v>
      </c>
      <c r="E64" s="2555">
        <f>'Summary-NoCo'!E64</f>
        <v>7.6014109347442673</v>
      </c>
      <c r="F64" s="2556">
        <f>'Summary-NoCo'!F64</f>
        <v>0.38007054673721336</v>
      </c>
      <c r="G64" s="2555">
        <f>'Summary-NoCo'!G64</f>
        <v>12.770370370370369</v>
      </c>
      <c r="H64" s="2556">
        <f>'Summary-NoCo'!H64</f>
        <v>0.63851851851851849</v>
      </c>
      <c r="I64" s="2555">
        <f>'Summary-NoCo'!I64</f>
        <v>4.887584801621446</v>
      </c>
      <c r="J64" s="2556">
        <f>'Summary-NoCo'!J64</f>
        <v>0.24437924008107231</v>
      </c>
      <c r="K64" s="2555">
        <f>'Summary-NoCo'!K64</f>
        <v>5.268486050420168E-2</v>
      </c>
      <c r="L64" s="2556">
        <f>'Summary-NoCo'!L64</f>
        <v>2.6342430252100841E-3</v>
      </c>
      <c r="M64" s="2555">
        <f>'Summary-NoCo'!M64</f>
        <v>0.21023717968</v>
      </c>
      <c r="N64" s="2556">
        <f>'Summary-NoCo'!N64</f>
        <v>1.0511858984E-2</v>
      </c>
      <c r="O64" s="2555">
        <f>'Summary-NoCo'!O64</f>
        <v>0.21023717968</v>
      </c>
      <c r="P64" s="2556">
        <f>'Summary-NoCo'!P64</f>
        <v>1.0511858984E-2</v>
      </c>
      <c r="Q64" s="2555">
        <f>'Summary-NoCo'!Q64</f>
        <v>2.0982598998460671</v>
      </c>
      <c r="R64" s="2864">
        <f>'Summary-NoCo'!R64</f>
        <v>0.10491299499230333</v>
      </c>
      <c r="S64" s="44"/>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row>
    <row r="65" spans="1:69" s="53" customFormat="1" ht="44.25" customHeight="1">
      <c r="A65" s="36"/>
      <c r="B65" s="2520" t="str">
        <f>'2-A All'!B119</f>
        <v>Emergency Generator</v>
      </c>
      <c r="C65" s="2474" t="str">
        <f>'2-A All'!A119</f>
        <v>GEN4</v>
      </c>
      <c r="D65" s="2855" t="str">
        <f t="shared" si="1"/>
        <v>GEN4</v>
      </c>
      <c r="E65" s="2555">
        <f>'Summary-NoCo'!E65</f>
        <v>7.6014109347442673</v>
      </c>
      <c r="F65" s="2556">
        <f>'Summary-NoCo'!F65</f>
        <v>0.38007054673721336</v>
      </c>
      <c r="G65" s="2555">
        <f>'Summary-NoCo'!G65</f>
        <v>12.770370370370369</v>
      </c>
      <c r="H65" s="2556">
        <f>'Summary-NoCo'!H65</f>
        <v>0.63851851851851849</v>
      </c>
      <c r="I65" s="2555">
        <f>'Summary-NoCo'!I65</f>
        <v>4.887584801621446</v>
      </c>
      <c r="J65" s="2556">
        <f>'Summary-NoCo'!J65</f>
        <v>0.24437924008107231</v>
      </c>
      <c r="K65" s="2555">
        <f>'Summary-NoCo'!K65</f>
        <v>5.268486050420168E-2</v>
      </c>
      <c r="L65" s="2556">
        <f>'Summary-NoCo'!L65</f>
        <v>2.6342430252100841E-3</v>
      </c>
      <c r="M65" s="2555">
        <f>'Summary-NoCo'!M65</f>
        <v>0.21023717968</v>
      </c>
      <c r="N65" s="2556">
        <f>'Summary-NoCo'!N65</f>
        <v>1.0511858984E-2</v>
      </c>
      <c r="O65" s="2555">
        <f>'Summary-NoCo'!O65</f>
        <v>0.21023717968</v>
      </c>
      <c r="P65" s="2556">
        <f>'Summary-NoCo'!P65</f>
        <v>1.0511858984E-2</v>
      </c>
      <c r="Q65" s="2555">
        <f>'Summary-NoCo'!Q65</f>
        <v>2.0982598998460671</v>
      </c>
      <c r="R65" s="2864">
        <f>'Summary-NoCo'!R65</f>
        <v>0.10491299499230333</v>
      </c>
      <c r="S65" s="44"/>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row>
    <row r="66" spans="1:69" s="53" customFormat="1" ht="44.25" customHeight="1">
      <c r="A66" s="36"/>
      <c r="B66" s="2610" t="str">
        <f>'2-A All'!B121</f>
        <v>Emergency Generator</v>
      </c>
      <c r="C66" s="2971" t="str">
        <f>'2-A All'!A121</f>
        <v>GEN5</v>
      </c>
      <c r="D66" s="2988" t="str">
        <f t="shared" si="1"/>
        <v>GEN5</v>
      </c>
      <c r="E66" s="2989">
        <f>'Summary-NoCo'!E66</f>
        <v>7.6014109347442673</v>
      </c>
      <c r="F66" s="2990">
        <f>'Summary-NoCo'!F66</f>
        <v>0.38007054673721336</v>
      </c>
      <c r="G66" s="2989">
        <f>'Summary-NoCo'!G66</f>
        <v>12.770370370370369</v>
      </c>
      <c r="H66" s="2990">
        <f>'Summary-NoCo'!H66</f>
        <v>0.63851851851851849</v>
      </c>
      <c r="I66" s="2989">
        <f>'Summary-NoCo'!I66</f>
        <v>4.887584801621446</v>
      </c>
      <c r="J66" s="2990">
        <f>'Summary-NoCo'!J66</f>
        <v>0.24437924008107231</v>
      </c>
      <c r="K66" s="2989">
        <f>'Summary-NoCo'!K66</f>
        <v>5.268486050420168E-2</v>
      </c>
      <c r="L66" s="2990">
        <f>'Summary-NoCo'!L66</f>
        <v>2.6342430252100841E-3</v>
      </c>
      <c r="M66" s="2989">
        <f>'Summary-NoCo'!M66</f>
        <v>0.21023717968</v>
      </c>
      <c r="N66" s="2990">
        <f>'Summary-NoCo'!N66</f>
        <v>1.0511858984E-2</v>
      </c>
      <c r="O66" s="2989">
        <f>'Summary-NoCo'!O66</f>
        <v>0.21023717968</v>
      </c>
      <c r="P66" s="2990">
        <f>'Summary-NoCo'!P66</f>
        <v>1.0511858984E-2</v>
      </c>
      <c r="Q66" s="2989">
        <f>'Summary-NoCo'!Q66</f>
        <v>2.0982598998460671</v>
      </c>
      <c r="R66" s="2991">
        <f>'Summary-NoCo'!R66</f>
        <v>0.10491299499230333</v>
      </c>
      <c r="S66" s="44"/>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row>
    <row r="67" spans="1:69" s="53" customFormat="1" ht="44.25" customHeight="1">
      <c r="A67" s="36"/>
      <c r="B67" s="2529" t="str">
        <f>'2-A All'!B121</f>
        <v>Emergency Generator</v>
      </c>
      <c r="C67" s="2474" t="str">
        <f>'2-A All'!A123</f>
        <v>GEN6</v>
      </c>
      <c r="D67" s="2530" t="str">
        <f t="shared" si="1"/>
        <v>GEN6</v>
      </c>
      <c r="E67" s="2555">
        <f>'Summary-NoCo'!E67</f>
        <v>7.6014109347442673</v>
      </c>
      <c r="F67" s="2556">
        <f>'Summary-NoCo'!F67</f>
        <v>0.38007054673721336</v>
      </c>
      <c r="G67" s="2555">
        <f>'Summary-NoCo'!G67</f>
        <v>12.770370370370369</v>
      </c>
      <c r="H67" s="2556">
        <f>'Summary-NoCo'!H67</f>
        <v>0.63851851851851849</v>
      </c>
      <c r="I67" s="2555">
        <f>'Summary-NoCo'!I67</f>
        <v>4.887584801621446</v>
      </c>
      <c r="J67" s="2556">
        <f>'Summary-NoCo'!J67</f>
        <v>0.24437924008107231</v>
      </c>
      <c r="K67" s="2555">
        <f>'Summary-NoCo'!K67</f>
        <v>5.268486050420168E-2</v>
      </c>
      <c r="L67" s="2556">
        <f>'Summary-NoCo'!L67</f>
        <v>2.6342430252100841E-3</v>
      </c>
      <c r="M67" s="2555">
        <f>'Summary-NoCo'!M67</f>
        <v>0.21023717968</v>
      </c>
      <c r="N67" s="2556">
        <f>'Summary-NoCo'!N67</f>
        <v>1.0511858984E-2</v>
      </c>
      <c r="O67" s="2555">
        <f>'Summary-NoCo'!O67</f>
        <v>0.21023717968</v>
      </c>
      <c r="P67" s="2556">
        <f>'Summary-NoCo'!P67</f>
        <v>1.0511858984E-2</v>
      </c>
      <c r="Q67" s="2555">
        <f>'Summary-NoCo'!Q67</f>
        <v>2.0982598998460671</v>
      </c>
      <c r="R67" s="2864">
        <f>'Summary-NoCo'!R67</f>
        <v>0.10491299499230333</v>
      </c>
      <c r="S67" s="44"/>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row>
    <row r="68" spans="1:69" s="53" customFormat="1" ht="44.25" customHeight="1">
      <c r="A68" s="36"/>
      <c r="B68" s="2520" t="str">
        <f>'2-A All'!B123</f>
        <v>Emergency Generator</v>
      </c>
      <c r="C68" s="2474" t="str">
        <f>'2-A All'!A125</f>
        <v>GEN7</v>
      </c>
      <c r="D68" s="2855" t="str">
        <f t="shared" si="1"/>
        <v>GEN7</v>
      </c>
      <c r="E68" s="2555">
        <f>'Summary-NoCo'!E68</f>
        <v>7.6014109347442673</v>
      </c>
      <c r="F68" s="2556">
        <f>'Summary-NoCo'!F68</f>
        <v>0.38007054673721336</v>
      </c>
      <c r="G68" s="2555">
        <f>'Summary-NoCo'!G68</f>
        <v>12.770370370370369</v>
      </c>
      <c r="H68" s="2556">
        <f>'Summary-NoCo'!H68</f>
        <v>0.63851851851851849</v>
      </c>
      <c r="I68" s="2555">
        <f>'Summary-NoCo'!I68</f>
        <v>4.887584801621446</v>
      </c>
      <c r="J68" s="2556">
        <f>'Summary-NoCo'!J68</f>
        <v>0.24437924008107231</v>
      </c>
      <c r="K68" s="2555">
        <f>'Summary-NoCo'!K68</f>
        <v>5.268486050420168E-2</v>
      </c>
      <c r="L68" s="2556">
        <f>'Summary-NoCo'!L68</f>
        <v>2.6342430252100841E-3</v>
      </c>
      <c r="M68" s="2555">
        <f>'Summary-NoCo'!M68</f>
        <v>0.21023717968</v>
      </c>
      <c r="N68" s="2556">
        <f>'Summary-NoCo'!N68</f>
        <v>1.0511858984E-2</v>
      </c>
      <c r="O68" s="2555">
        <f>'Summary-NoCo'!O68</f>
        <v>0.21023717968</v>
      </c>
      <c r="P68" s="2556">
        <f>'Summary-NoCo'!P68</f>
        <v>1.0511858984E-2</v>
      </c>
      <c r="Q68" s="2555">
        <f>'Summary-NoCo'!Q68</f>
        <v>2.0982598998460671</v>
      </c>
      <c r="R68" s="2864">
        <f>'Summary-NoCo'!R68</f>
        <v>0.10491299499230333</v>
      </c>
      <c r="S68" s="44"/>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row>
    <row r="69" spans="1:69" s="53" customFormat="1" ht="44.25" customHeight="1" thickBot="1">
      <c r="A69" s="36"/>
      <c r="B69" s="2534" t="str">
        <f>'2-A All'!B125</f>
        <v>Emergency Generator</v>
      </c>
      <c r="C69" s="2468" t="str">
        <f>'2-A All'!A127</f>
        <v>GEN8</v>
      </c>
      <c r="D69" s="2865" t="str">
        <f t="shared" si="1"/>
        <v>GEN8</v>
      </c>
      <c r="E69" s="2866">
        <f>'Summary-NoCo'!E69</f>
        <v>7.6014109347442673</v>
      </c>
      <c r="F69" s="2867">
        <f>'Summary-NoCo'!F69</f>
        <v>0.38007054673721336</v>
      </c>
      <c r="G69" s="2866">
        <f>'Summary-NoCo'!G69</f>
        <v>12.770370370370369</v>
      </c>
      <c r="H69" s="2867">
        <f>'Summary-NoCo'!H69</f>
        <v>0.63851851851851849</v>
      </c>
      <c r="I69" s="2866">
        <f>'Summary-NoCo'!I69</f>
        <v>4.887584801621446</v>
      </c>
      <c r="J69" s="2867">
        <f>'Summary-NoCo'!J69</f>
        <v>0.24437924008107231</v>
      </c>
      <c r="K69" s="2866">
        <f>'Summary-NoCo'!K69</f>
        <v>5.268486050420168E-2</v>
      </c>
      <c r="L69" s="2867">
        <f>'Summary-NoCo'!L69</f>
        <v>2.6342430252100841E-3</v>
      </c>
      <c r="M69" s="2866">
        <f>'Summary-NoCo'!M69</f>
        <v>0.21023717968</v>
      </c>
      <c r="N69" s="2867">
        <f>'Summary-NoCo'!N69</f>
        <v>1.0511858984E-2</v>
      </c>
      <c r="O69" s="2866">
        <f>'Summary-NoCo'!O69</f>
        <v>0.21023717968</v>
      </c>
      <c r="P69" s="2867">
        <f>'Summary-NoCo'!P69</f>
        <v>1.0511858984E-2</v>
      </c>
      <c r="Q69" s="2866">
        <f>'Summary-NoCo'!Q69</f>
        <v>2.0982598998460671</v>
      </c>
      <c r="R69" s="2868">
        <f>'Summary-NoCo'!R69</f>
        <v>0.10491299499230333</v>
      </c>
      <c r="S69" s="44"/>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row>
    <row r="70" spans="1:69" ht="24" customHeight="1" thickBot="1">
      <c r="A70" s="36"/>
      <c r="B70" s="2616"/>
      <c r="C70" s="2616"/>
      <c r="D70" s="2616"/>
      <c r="E70" s="2617"/>
      <c r="F70" s="2617"/>
      <c r="G70" s="2617"/>
      <c r="H70" s="2618"/>
      <c r="I70" s="2618"/>
      <c r="J70" s="2618"/>
      <c r="K70" s="2618"/>
      <c r="L70" s="2618"/>
      <c r="M70" s="2618"/>
      <c r="N70" s="2618"/>
      <c r="O70" s="2618"/>
      <c r="P70" s="2618"/>
      <c r="Q70" s="2618"/>
      <c r="R70" s="2618"/>
      <c r="S70" s="44"/>
    </row>
    <row r="71" spans="1:69" s="9" customFormat="1" ht="42" customHeight="1">
      <c r="A71" s="23"/>
      <c r="B71" s="4310" t="s">
        <v>1824</v>
      </c>
      <c r="C71" s="4315"/>
      <c r="D71" s="4316"/>
      <c r="E71" s="4310" t="s">
        <v>21</v>
      </c>
      <c r="F71" s="4316"/>
      <c r="G71" s="4310" t="s">
        <v>0</v>
      </c>
      <c r="H71" s="4311"/>
      <c r="I71" s="4323" t="s">
        <v>283</v>
      </c>
      <c r="J71" s="4324"/>
      <c r="K71" s="4310" t="s">
        <v>1772</v>
      </c>
      <c r="L71" s="4311"/>
      <c r="M71" s="4310" t="s">
        <v>1773</v>
      </c>
      <c r="N71" s="4311"/>
      <c r="O71" s="4325" t="s">
        <v>1773</v>
      </c>
      <c r="P71" s="4316"/>
      <c r="Q71" s="4310" t="s">
        <v>15</v>
      </c>
      <c r="R71" s="4311"/>
      <c r="S71" s="44"/>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1:69" s="9" customFormat="1" ht="26.25" customHeight="1">
      <c r="A72" s="23"/>
      <c r="B72" s="4317"/>
      <c r="C72" s="4318"/>
      <c r="D72" s="4319"/>
      <c r="E72" s="2490" t="s">
        <v>22</v>
      </c>
      <c r="F72" s="2491" t="s">
        <v>37</v>
      </c>
      <c r="G72" s="2490" t="s">
        <v>22</v>
      </c>
      <c r="H72" s="2492" t="s">
        <v>37</v>
      </c>
      <c r="I72" s="2493" t="s">
        <v>22</v>
      </c>
      <c r="J72" s="2491" t="s">
        <v>37</v>
      </c>
      <c r="K72" s="2490" t="s">
        <v>22</v>
      </c>
      <c r="L72" s="2492" t="s">
        <v>37</v>
      </c>
      <c r="M72" s="2494" t="s">
        <v>22</v>
      </c>
      <c r="N72" s="2495" t="s">
        <v>37</v>
      </c>
      <c r="O72" s="2493" t="s">
        <v>22</v>
      </c>
      <c r="P72" s="2491" t="s">
        <v>37</v>
      </c>
      <c r="Q72" s="2490" t="s">
        <v>22</v>
      </c>
      <c r="R72" s="2492" t="s">
        <v>37</v>
      </c>
      <c r="S72" s="44"/>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1:69" s="9" customFormat="1" ht="44.25" customHeight="1" thickBot="1">
      <c r="A73" s="23"/>
      <c r="B73" s="4320"/>
      <c r="C73" s="4321"/>
      <c r="D73" s="4322"/>
      <c r="E73" s="3382">
        <f t="shared" ref="E73:R73" si="2">SUM(E13:E69)</f>
        <v>95.137731477954119</v>
      </c>
      <c r="F73" s="2497">
        <f t="shared" si="2"/>
        <v>153.39038909389768</v>
      </c>
      <c r="G73" s="3382">
        <f t="shared" si="2"/>
        <v>121.84276796296298</v>
      </c>
      <c r="H73" s="3383">
        <f t="shared" si="2"/>
        <v>91.305694048148183</v>
      </c>
      <c r="I73" s="3382">
        <f t="shared" si="2"/>
        <v>785.98165624574654</v>
      </c>
      <c r="J73" s="3383">
        <f t="shared" si="2"/>
        <v>3055.8008808572899</v>
      </c>
      <c r="K73" s="3382">
        <f t="shared" si="2"/>
        <v>3.0847509428571436</v>
      </c>
      <c r="L73" s="3383">
        <f t="shared" si="2"/>
        <v>11.686205561848734</v>
      </c>
      <c r="M73" s="3382">
        <f t="shared" si="2"/>
        <v>13.433528827247633</v>
      </c>
      <c r="N73" s="3383">
        <f t="shared" si="2"/>
        <v>48.311725188456251</v>
      </c>
      <c r="O73" s="3382">
        <f t="shared" si="2"/>
        <v>11.380162713620702</v>
      </c>
      <c r="P73" s="3383">
        <f t="shared" si="2"/>
        <v>41.735589175862501</v>
      </c>
      <c r="Q73" s="3382">
        <f t="shared" si="2"/>
        <v>24.97913990420648</v>
      </c>
      <c r="R73" s="2498">
        <f t="shared" si="2"/>
        <v>29.754251558836405</v>
      </c>
      <c r="S73" s="44"/>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row>
    <row r="74" spans="1:69" ht="27.75" customHeight="1" thickBot="1">
      <c r="A74" s="31"/>
      <c r="B74" s="3956"/>
      <c r="C74" s="3956"/>
      <c r="D74" s="3956"/>
      <c r="E74" s="3956"/>
      <c r="F74" s="3956"/>
      <c r="G74" s="3956"/>
      <c r="H74" s="3956"/>
      <c r="I74" s="3956"/>
      <c r="J74" s="3956"/>
      <c r="K74" s="3956"/>
      <c r="L74" s="3956"/>
      <c r="M74" s="3957"/>
      <c r="N74" s="3957"/>
      <c r="O74" s="3956"/>
      <c r="P74" s="3956"/>
      <c r="Q74" s="3956"/>
      <c r="R74" s="3956"/>
      <c r="S74" s="44"/>
    </row>
    <row r="75" spans="1:69">
      <c r="B75" s="6"/>
      <c r="C75" s="6"/>
      <c r="D75" s="6"/>
      <c r="E75" s="6"/>
      <c r="F75" s="6"/>
      <c r="G75" s="6"/>
      <c r="H75" s="6"/>
      <c r="I75" s="6"/>
      <c r="J75" s="6"/>
      <c r="K75" s="6"/>
      <c r="L75" s="6"/>
      <c r="M75" s="5"/>
      <c r="N75" s="5"/>
      <c r="O75" s="5"/>
      <c r="P75" s="5"/>
      <c r="Q75" s="5"/>
      <c r="R75" s="5"/>
    </row>
    <row r="78" spans="1:69">
      <c r="J78" s="8"/>
      <c r="K78" s="8"/>
    </row>
    <row r="81" spans="5:18">
      <c r="M81" s="8"/>
      <c r="O81" s="8"/>
      <c r="R81" s="199"/>
    </row>
    <row r="82" spans="5:18">
      <c r="R82" s="199"/>
    </row>
    <row r="83" spans="5:18">
      <c r="R83" s="199"/>
    </row>
    <row r="84" spans="5:18">
      <c r="J84" s="8"/>
      <c r="R84" s="199"/>
    </row>
    <row r="85" spans="5:18">
      <c r="E85" s="8"/>
      <c r="F85" s="8"/>
      <c r="G85" s="8"/>
      <c r="H85" s="8"/>
      <c r="I85" s="8"/>
      <c r="J85" s="8"/>
      <c r="K85" s="8"/>
      <c r="L85" s="8"/>
      <c r="M85" s="8"/>
      <c r="N85" s="8"/>
      <c r="O85" s="8"/>
      <c r="P85" s="8"/>
      <c r="Q85" s="8"/>
      <c r="R85" s="199"/>
    </row>
    <row r="86" spans="5:18">
      <c r="J86" s="8"/>
      <c r="K86" s="8"/>
      <c r="R86" s="199"/>
    </row>
    <row r="87" spans="5:18">
      <c r="J87" s="8"/>
      <c r="K87" s="8"/>
      <c r="R87" s="8"/>
    </row>
    <row r="88" spans="5:18">
      <c r="J88" s="8"/>
      <c r="K88" s="8"/>
    </row>
    <row r="91" spans="5:18">
      <c r="I91" s="8"/>
      <c r="J91" s="8"/>
      <c r="Q91" s="8"/>
      <c r="R91" s="8"/>
    </row>
  </sheetData>
  <mergeCells count="34">
    <mergeCell ref="B3:R3"/>
    <mergeCell ref="B4:R4"/>
    <mergeCell ref="B5:R5"/>
    <mergeCell ref="A9:R9"/>
    <mergeCell ref="B11:B12"/>
    <mergeCell ref="C11:C12"/>
    <mergeCell ref="D11:D12"/>
    <mergeCell ref="E11:F11"/>
    <mergeCell ref="G11:H11"/>
    <mergeCell ref="I11:J11"/>
    <mergeCell ref="K11:L11"/>
    <mergeCell ref="M11:N11"/>
    <mergeCell ref="O11:P11"/>
    <mergeCell ref="Q11:R11"/>
    <mergeCell ref="Q71:R71"/>
    <mergeCell ref="B74:R74"/>
    <mergeCell ref="B71:D73"/>
    <mergeCell ref="E71:F71"/>
    <mergeCell ref="G71:H71"/>
    <mergeCell ref="I71:J71"/>
    <mergeCell ref="K71:L71"/>
    <mergeCell ref="O71:P71"/>
    <mergeCell ref="M71:N71"/>
    <mergeCell ref="E47:R47"/>
    <mergeCell ref="E48:R48"/>
    <mergeCell ref="E34:R34"/>
    <mergeCell ref="E35:R35"/>
    <mergeCell ref="E49:R49"/>
    <mergeCell ref="E46:R46"/>
    <mergeCell ref="C31:C33"/>
    <mergeCell ref="D31:D33"/>
    <mergeCell ref="E31:R31"/>
    <mergeCell ref="E32:R32"/>
    <mergeCell ref="E33:R33"/>
  </mergeCells>
  <printOptions horizontalCentered="1"/>
  <pageMargins left="0.25" right="0.25" top="0.3" bottom="0.5" header="0.3" footer="0.3"/>
  <pageSetup scale="42" fitToHeight="3" orientation="landscape" r:id="rId1"/>
  <headerFooter alignWithMargins="0">
    <oddFooter>&amp;CCalculations: Page &amp;P</oddFooter>
  </headerFooter>
  <rowBreaks count="2" manualBreakCount="2">
    <brk id="30" max="18" man="1"/>
    <brk id="51" max="1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theme="3" tint="-0.249977111117893"/>
  </sheetPr>
  <dimension ref="A1:BT95"/>
  <sheetViews>
    <sheetView view="pageBreakPreview" topLeftCell="A67" zoomScale="55" zoomScaleNormal="55" zoomScaleSheetLayoutView="55" zoomScalePageLayoutView="40" workbookViewId="0">
      <selection activeCell="E65" sqref="E65"/>
    </sheetView>
  </sheetViews>
  <sheetFormatPr defaultColWidth="9.36328125" defaultRowHeight="13"/>
  <cols>
    <col min="1" max="1" width="3.6328125" style="38" customWidth="1"/>
    <col min="2" max="2" width="44.36328125" style="38" customWidth="1"/>
    <col min="3" max="3" width="16" style="38" customWidth="1"/>
    <col min="4" max="4" width="15.36328125" style="38" customWidth="1"/>
    <col min="5" max="18" width="13.453125" style="38" customWidth="1"/>
    <col min="19" max="20" width="10.36328125" style="38" customWidth="1"/>
    <col min="21" max="21" width="3.6328125" style="38" customWidth="1"/>
    <col min="22" max="22" width="9.36328125" style="38"/>
    <col min="23" max="23" width="23.6328125" style="38" customWidth="1"/>
    <col min="24" max="16384" width="9.36328125" style="38"/>
  </cols>
  <sheetData>
    <row r="1" spans="1:23" ht="13.5" thickBot="1"/>
    <row r="2" spans="1:23" ht="20.25" customHeight="1" thickBot="1">
      <c r="A2" s="33"/>
      <c r="B2" s="34"/>
      <c r="C2" s="34"/>
      <c r="D2" s="34"/>
      <c r="E2" s="34"/>
      <c r="F2" s="34"/>
      <c r="G2" s="34"/>
      <c r="H2" s="34"/>
      <c r="I2" s="34"/>
      <c r="J2" s="34"/>
      <c r="K2" s="34"/>
      <c r="L2" s="34"/>
      <c r="M2" s="34"/>
      <c r="N2" s="34"/>
      <c r="O2" s="34"/>
      <c r="P2" s="34"/>
      <c r="Q2" s="34"/>
      <c r="R2" s="34"/>
      <c r="S2" s="34"/>
      <c r="T2" s="34"/>
      <c r="U2" s="32"/>
    </row>
    <row r="3" spans="1:23"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3" s="2" customFormat="1" ht="39.75" customHeight="1">
      <c r="A4" s="54"/>
      <c r="B4" s="4326" t="s">
        <v>634</v>
      </c>
      <c r="C4" s="4327"/>
      <c r="D4" s="4327"/>
      <c r="E4" s="4327"/>
      <c r="F4" s="4327"/>
      <c r="G4" s="4327"/>
      <c r="H4" s="4327"/>
      <c r="I4" s="4327"/>
      <c r="J4" s="4327"/>
      <c r="K4" s="4327"/>
      <c r="L4" s="4327"/>
      <c r="M4" s="4327"/>
      <c r="N4" s="4327"/>
      <c r="O4" s="4327"/>
      <c r="P4" s="4327"/>
      <c r="Q4" s="4327"/>
      <c r="R4" s="4327"/>
      <c r="S4" s="4327"/>
      <c r="T4" s="4365"/>
      <c r="U4" s="22"/>
    </row>
    <row r="5" spans="1:23" s="2" customFormat="1" ht="39.75" customHeight="1" thickBot="1">
      <c r="A5" s="54"/>
      <c r="B5" s="4366" t="s">
        <v>2037</v>
      </c>
      <c r="C5" s="4367"/>
      <c r="D5" s="4367"/>
      <c r="E5" s="4367"/>
      <c r="F5" s="4367"/>
      <c r="G5" s="4367"/>
      <c r="H5" s="4367"/>
      <c r="I5" s="4367"/>
      <c r="J5" s="4367"/>
      <c r="K5" s="4367"/>
      <c r="L5" s="4367"/>
      <c r="M5" s="4367"/>
      <c r="N5" s="4367"/>
      <c r="O5" s="4367"/>
      <c r="P5" s="4367"/>
      <c r="Q5" s="4367"/>
      <c r="R5" s="4367"/>
      <c r="S5" s="4367"/>
      <c r="T5" s="4368"/>
      <c r="U5" s="22"/>
    </row>
    <row r="6" spans="1:23" ht="21" customHeight="1" thickBot="1">
      <c r="A6" s="31"/>
      <c r="B6" s="25"/>
      <c r="C6" s="25"/>
      <c r="D6" s="25"/>
      <c r="E6" s="25"/>
      <c r="F6" s="25"/>
      <c r="G6" s="25"/>
      <c r="H6" s="25"/>
      <c r="I6" s="25"/>
      <c r="J6" s="25"/>
      <c r="K6" s="25"/>
      <c r="L6" s="25"/>
      <c r="M6" s="25"/>
      <c r="N6" s="25"/>
      <c r="O6" s="25"/>
      <c r="P6" s="25"/>
      <c r="Q6" s="25"/>
      <c r="R6" s="25"/>
      <c r="S6" s="25"/>
      <c r="T6" s="25"/>
      <c r="U6" s="40"/>
    </row>
    <row r="7" spans="1:23" ht="30.75" customHeight="1">
      <c r="B7" s="4"/>
      <c r="C7" s="4"/>
      <c r="D7" s="4"/>
      <c r="E7" s="4"/>
      <c r="F7" s="4"/>
      <c r="G7" s="4"/>
      <c r="H7" s="4"/>
      <c r="I7" s="4"/>
      <c r="J7" s="4"/>
      <c r="K7" s="4"/>
      <c r="L7" s="4"/>
      <c r="M7" s="4"/>
      <c r="N7" s="4"/>
      <c r="O7" s="4"/>
      <c r="P7" s="4"/>
      <c r="Q7" s="4"/>
      <c r="R7" s="4"/>
      <c r="S7" s="4"/>
      <c r="T7" s="4"/>
    </row>
    <row r="8" spans="1:23" ht="16.5" customHeight="1" thickBot="1">
      <c r="B8" s="4"/>
      <c r="C8" s="4"/>
      <c r="D8" s="4"/>
      <c r="E8" s="4"/>
      <c r="F8" s="4"/>
      <c r="G8" s="4"/>
      <c r="H8" s="4"/>
      <c r="I8" s="4"/>
      <c r="J8" s="4"/>
      <c r="K8" s="4"/>
      <c r="L8" s="4"/>
      <c r="M8" s="4"/>
      <c r="N8" s="4"/>
      <c r="O8" s="4"/>
      <c r="P8" s="4"/>
      <c r="Q8" s="4"/>
      <c r="R8" s="4"/>
      <c r="S8" s="4"/>
      <c r="T8" s="4"/>
    </row>
    <row r="9" spans="1:23" ht="32.25" customHeight="1" thickBot="1">
      <c r="A9" s="4331" t="s">
        <v>309</v>
      </c>
      <c r="B9" s="4332"/>
      <c r="C9" s="4332"/>
      <c r="D9" s="4332"/>
      <c r="E9" s="4332"/>
      <c r="F9" s="4332"/>
      <c r="G9" s="4332"/>
      <c r="H9" s="4332"/>
      <c r="I9" s="4332"/>
      <c r="J9" s="4332"/>
      <c r="K9" s="4332"/>
      <c r="L9" s="4332"/>
      <c r="M9" s="4332"/>
      <c r="N9" s="4332"/>
      <c r="O9" s="4332"/>
      <c r="P9" s="4332"/>
      <c r="Q9" s="4332"/>
      <c r="R9" s="4332"/>
      <c r="S9" s="4332"/>
      <c r="T9" s="4332"/>
      <c r="U9" s="4333"/>
    </row>
    <row r="10" spans="1:23" ht="24" customHeight="1" thickBot="1">
      <c r="A10" s="33"/>
      <c r="B10" s="34"/>
      <c r="C10" s="34"/>
      <c r="D10" s="34"/>
      <c r="E10" s="34"/>
      <c r="F10" s="34"/>
      <c r="G10" s="34"/>
      <c r="H10" s="34"/>
      <c r="I10" s="34"/>
      <c r="J10" s="34"/>
      <c r="K10" s="34"/>
      <c r="L10" s="34"/>
      <c r="M10" s="34"/>
      <c r="N10" s="34"/>
      <c r="O10" s="34"/>
      <c r="P10" s="34"/>
      <c r="Q10" s="34"/>
      <c r="R10" s="34"/>
      <c r="S10" s="34"/>
      <c r="T10" s="34"/>
      <c r="U10" s="32"/>
    </row>
    <row r="11" spans="1:23" ht="62.15" customHeight="1">
      <c r="A11" s="36"/>
      <c r="B11" s="4334" t="s">
        <v>91</v>
      </c>
      <c r="C11" s="4336" t="s">
        <v>1385</v>
      </c>
      <c r="D11" s="4338" t="s">
        <v>556</v>
      </c>
      <c r="E11" s="4323" t="s">
        <v>21</v>
      </c>
      <c r="F11" s="4324"/>
      <c r="G11" s="4336" t="s">
        <v>0</v>
      </c>
      <c r="H11" s="4338"/>
      <c r="I11" s="4323" t="s">
        <v>283</v>
      </c>
      <c r="J11" s="4324"/>
      <c r="K11" s="4336" t="s">
        <v>1772</v>
      </c>
      <c r="L11" s="4338"/>
      <c r="M11" s="4336" t="s">
        <v>1311</v>
      </c>
      <c r="N11" s="4338"/>
      <c r="O11" s="4323" t="s">
        <v>1773</v>
      </c>
      <c r="P11" s="4324"/>
      <c r="Q11" s="4336" t="s">
        <v>15</v>
      </c>
      <c r="R11" s="4338"/>
      <c r="S11" s="4336" t="s">
        <v>273</v>
      </c>
      <c r="T11" s="4338"/>
      <c r="U11" s="44"/>
    </row>
    <row r="12" spans="1:23" ht="29.25" customHeight="1" thickBot="1">
      <c r="A12" s="36"/>
      <c r="B12" s="4335"/>
      <c r="C12" s="4337"/>
      <c r="D12" s="4339"/>
      <c r="E12" s="2536" t="s">
        <v>22</v>
      </c>
      <c r="F12" s="2537" t="s">
        <v>37</v>
      </c>
      <c r="G12" s="2536" t="s">
        <v>22</v>
      </c>
      <c r="H12" s="2538" t="s">
        <v>37</v>
      </c>
      <c r="I12" s="2539" t="s">
        <v>22</v>
      </c>
      <c r="J12" s="2537" t="s">
        <v>37</v>
      </c>
      <c r="K12" s="2536" t="s">
        <v>22</v>
      </c>
      <c r="L12" s="2538" t="s">
        <v>37</v>
      </c>
      <c r="M12" s="2539" t="s">
        <v>22</v>
      </c>
      <c r="N12" s="2538" t="s">
        <v>37</v>
      </c>
      <c r="O12" s="2539" t="s">
        <v>22</v>
      </c>
      <c r="P12" s="2537" t="s">
        <v>37</v>
      </c>
      <c r="Q12" s="2536" t="s">
        <v>22</v>
      </c>
      <c r="R12" s="2538" t="s">
        <v>37</v>
      </c>
      <c r="S12" s="4461" t="s">
        <v>37</v>
      </c>
      <c r="T12" s="4462"/>
      <c r="U12" s="44"/>
    </row>
    <row r="13" spans="1:23" ht="44.25" customHeight="1">
      <c r="A13" s="36"/>
      <c r="B13" s="2516" t="str">
        <f>'2-A All'!B7</f>
        <v>Stabilization Hot Oil Heater
(64.83 MMBtu/hr)</v>
      </c>
      <c r="C13" s="2455" t="str">
        <f>'2-A All'!A7</f>
        <v>SHTR1</v>
      </c>
      <c r="D13" s="2517" t="str">
        <f>C13</f>
        <v>SHTR1</v>
      </c>
      <c r="E13" s="2540">
        <f>'Burners No Cogen'!M13</f>
        <v>1.730961</v>
      </c>
      <c r="F13" s="2541">
        <f>'Burners No Cogen'!R13</f>
        <v>7.5816091799999992</v>
      </c>
      <c r="G13" s="2540">
        <f>'Burners No Cogen'!N13</f>
        <v>1.0567289999999998</v>
      </c>
      <c r="H13" s="2542">
        <f>'Burners No Cogen'!S13</f>
        <v>4.6284730199999995</v>
      </c>
      <c r="I13" s="2540">
        <f>'Burners No Cogen'!O13</f>
        <v>0.414912</v>
      </c>
      <c r="J13" s="2542">
        <f>'Burners No Cogen'!T13</f>
        <v>1.81731456</v>
      </c>
      <c r="K13" s="2540">
        <f>'Burners No Cogen'!P13</f>
        <v>0.14300735294117647</v>
      </c>
      <c r="L13" s="2542">
        <f>'Burners No Cogen'!U13</f>
        <v>0.62637220588235298</v>
      </c>
      <c r="M13" s="2540">
        <f>O13</f>
        <v>0.48304705882352933</v>
      </c>
      <c r="N13" s="2542">
        <f>P13</f>
        <v>2.1157461176470584</v>
      </c>
      <c r="O13" s="2540">
        <f>'Burners No Cogen'!Q13</f>
        <v>0.48304705882352933</v>
      </c>
      <c r="P13" s="2542">
        <f>'Burners No Cogen'!V13</f>
        <v>2.1157461176470584</v>
      </c>
      <c r="Q13" s="2540">
        <f>'Burners No Cogen'!M48+'Burners No Cogen'!N48+'Burners No Cogen'!O48+'Burners No Cogen'!P48+'Burners No Cogen'!Q48</f>
        <v>0.1196558411764706</v>
      </c>
      <c r="R13" s="2542">
        <f>'Burners No Cogen'!R48+'Burners No Cogen'!S48+'Burners No Cogen'!T48+'Burners No Cogen'!U48+'Burners No Cogen'!V48</f>
        <v>0.52409258435294115</v>
      </c>
      <c r="S13" s="4459">
        <f>SHTRGHG!H43</f>
        <v>33256.326587223601</v>
      </c>
      <c r="T13" s="4460"/>
      <c r="U13" s="44"/>
    </row>
    <row r="14" spans="1:23" ht="44.15" customHeight="1">
      <c r="A14" s="36"/>
      <c r="B14" s="2516" t="str">
        <f>'2-A All'!B9</f>
        <v>Stabilization Hot Oil Heater
(64.83 MMBtu/hr)</v>
      </c>
      <c r="C14" s="2455" t="str">
        <f>'2-A All'!A9</f>
        <v>SHTR2</v>
      </c>
      <c r="D14" s="2517" t="str">
        <f>C14</f>
        <v>SHTR2</v>
      </c>
      <c r="E14" s="2543">
        <f>'Burners No Cogen'!M14</f>
        <v>1.730961</v>
      </c>
      <c r="F14" s="2544">
        <f>'Burners No Cogen'!R14</f>
        <v>7.5816091799999992</v>
      </c>
      <c r="G14" s="2543">
        <f>'Burners No Cogen'!N14</f>
        <v>1.0567289999999998</v>
      </c>
      <c r="H14" s="2545">
        <f>'Burners No Cogen'!S14</f>
        <v>4.6284730199999995</v>
      </c>
      <c r="I14" s="2543">
        <f>'Burners No Cogen'!O14</f>
        <v>0.414912</v>
      </c>
      <c r="J14" s="2545">
        <f>'Burners No Cogen'!T14</f>
        <v>1.81731456</v>
      </c>
      <c r="K14" s="2543">
        <f>'Burners No Cogen'!P14</f>
        <v>0.14300735294117647</v>
      </c>
      <c r="L14" s="2545">
        <f>'Burners No Cogen'!U14</f>
        <v>0.62637220588235298</v>
      </c>
      <c r="M14" s="2543">
        <f>O14</f>
        <v>0.48304705882352933</v>
      </c>
      <c r="N14" s="2545">
        <f>P14</f>
        <v>2.1157461176470584</v>
      </c>
      <c r="O14" s="2543">
        <f>'Burners No Cogen'!Q14</f>
        <v>0.48304705882352933</v>
      </c>
      <c r="P14" s="2545">
        <f>'Burners No Cogen'!V14</f>
        <v>2.1157461176470584</v>
      </c>
      <c r="Q14" s="2543">
        <f>'Burners No Cogen'!M49+'Burners No Cogen'!N49+'Burners No Cogen'!O49+'Burners No Cogen'!P49+'Burners No Cogen'!Q49</f>
        <v>0.11959863823529414</v>
      </c>
      <c r="R14" s="2545">
        <f>'Burners No Cogen'!R49+'Burners No Cogen'!S49+'Burners No Cogen'!T49+'Burners No Cogen'!U49+'Burners No Cogen'!V49</f>
        <v>0.52384203547058827</v>
      </c>
      <c r="S14" s="4444">
        <f>S13</f>
        <v>33256.326587223601</v>
      </c>
      <c r="T14" s="4445"/>
      <c r="U14" s="44"/>
    </row>
    <row r="15" spans="1:23" ht="44.15" customHeight="1">
      <c r="A15" s="36"/>
      <c r="B15" s="2516" t="str">
        <f>'2-A All'!B11</f>
        <v>Stabilization Hot Oil Heater
(64.83 MMBtu/hr)</v>
      </c>
      <c r="C15" s="2455" t="str">
        <f>'2-A All'!A11</f>
        <v>SHTR3</v>
      </c>
      <c r="D15" s="2517" t="str">
        <f t="shared" ref="D15:D59" si="0">C15</f>
        <v>SHTR3</v>
      </c>
      <c r="E15" s="2543">
        <f>'Burners No Cogen'!M15</f>
        <v>1.730961</v>
      </c>
      <c r="F15" s="2544">
        <f>'Burners No Cogen'!R15</f>
        <v>7.5816091799999992</v>
      </c>
      <c r="G15" s="2543">
        <f>'Burners No Cogen'!N15</f>
        <v>1.0567289999999998</v>
      </c>
      <c r="H15" s="2545">
        <f>'Burners No Cogen'!S15</f>
        <v>4.6284730199999995</v>
      </c>
      <c r="I15" s="2543">
        <f>'Burners No Cogen'!O15</f>
        <v>0.414912</v>
      </c>
      <c r="J15" s="2545">
        <f>'Burners No Cogen'!T15</f>
        <v>1.81731456</v>
      </c>
      <c r="K15" s="2543">
        <f>'Burners No Cogen'!P15</f>
        <v>0.14300735294117647</v>
      </c>
      <c r="L15" s="2545">
        <f>'Burners No Cogen'!U15</f>
        <v>0.62637220588235298</v>
      </c>
      <c r="M15" s="2543">
        <f t="shared" ref="M15:M30" si="1">O15</f>
        <v>0.48304705882352933</v>
      </c>
      <c r="N15" s="2545">
        <f t="shared" ref="N15:N30" si="2">P15</f>
        <v>2.1157461176470584</v>
      </c>
      <c r="O15" s="2543">
        <f>'Burners No Cogen'!Q15</f>
        <v>0.48304705882352933</v>
      </c>
      <c r="P15" s="2545">
        <f>'Burners No Cogen'!V15</f>
        <v>2.1157461176470584</v>
      </c>
      <c r="Q15" s="2543">
        <f>'Burners No Cogen'!M50+'Burners No Cogen'!N50+'Burners No Cogen'!O50+'Burners No Cogen'!P50+'Burners No Cogen'!Q50</f>
        <v>0.11959863823529414</v>
      </c>
      <c r="R15" s="2545">
        <f>'Burners No Cogen'!R50+'Burners No Cogen'!S50+'Burners No Cogen'!T50+'Burners No Cogen'!U50+'Burners No Cogen'!V50</f>
        <v>0.52384203547058827</v>
      </c>
      <c r="S15" s="4444">
        <f>S13</f>
        <v>33256.326587223601</v>
      </c>
      <c r="T15" s="4445"/>
      <c r="U15" s="44"/>
    </row>
    <row r="16" spans="1:23" ht="44.15" customHeight="1">
      <c r="A16" s="36"/>
      <c r="B16" s="2516" t="str">
        <f>'2-A All'!B13</f>
        <v>Stabilization Hot Oil Heater
(64.83 MMBtu/hr)</v>
      </c>
      <c r="C16" s="2455" t="str">
        <f>'2-A All'!A13</f>
        <v>SHTR4</v>
      </c>
      <c r="D16" s="2517" t="str">
        <f t="shared" si="0"/>
        <v>SHTR4</v>
      </c>
      <c r="E16" s="2543">
        <f>'Burners No Cogen'!M16</f>
        <v>1.730961</v>
      </c>
      <c r="F16" s="2544">
        <f>'Burners No Cogen'!R16</f>
        <v>7.5816091799999992</v>
      </c>
      <c r="G16" s="2543">
        <f>'Burners No Cogen'!N16</f>
        <v>1.0567289999999998</v>
      </c>
      <c r="H16" s="2545">
        <f>'Burners No Cogen'!S16</f>
        <v>4.6284730199999995</v>
      </c>
      <c r="I16" s="2543">
        <f>'Burners No Cogen'!O16</f>
        <v>0.414912</v>
      </c>
      <c r="J16" s="2545">
        <f>'Burners No Cogen'!T16</f>
        <v>1.81731456</v>
      </c>
      <c r="K16" s="2543">
        <f>'Burners No Cogen'!P16</f>
        <v>0.14300735294117647</v>
      </c>
      <c r="L16" s="2545">
        <f>'Burners No Cogen'!U16</f>
        <v>0.62637220588235298</v>
      </c>
      <c r="M16" s="2543">
        <f t="shared" si="1"/>
        <v>0.48304705882352933</v>
      </c>
      <c r="N16" s="2545">
        <f t="shared" si="2"/>
        <v>2.1157461176470584</v>
      </c>
      <c r="O16" s="2543">
        <f>'Burners No Cogen'!Q16</f>
        <v>0.48304705882352933</v>
      </c>
      <c r="P16" s="2545">
        <f>'Burners No Cogen'!V16</f>
        <v>2.1157461176470584</v>
      </c>
      <c r="Q16" s="2543">
        <f>'Burners No Cogen'!M51+'Burners No Cogen'!N51+'Burners No Cogen'!O51+'Burners No Cogen'!P51+'Burners No Cogen'!Q51</f>
        <v>0.11959863823529414</v>
      </c>
      <c r="R16" s="2545">
        <f>'Burners No Cogen'!R51+'Burners No Cogen'!S51+'Burners No Cogen'!T51+'Burners No Cogen'!U51+'Burners No Cogen'!V51</f>
        <v>0.52384203547058827</v>
      </c>
      <c r="S16" s="4454">
        <f>S13</f>
        <v>33256.326587223601</v>
      </c>
      <c r="T16" s="4455"/>
      <c r="U16" s="44"/>
      <c r="W16" s="8"/>
    </row>
    <row r="17" spans="1:24" ht="44.25" customHeight="1">
      <c r="A17" s="36"/>
      <c r="B17" s="2516" t="str">
        <f>'2-A All'!B15</f>
        <v>Stabilization Hot Oil Heater
(64.83 MMBtu/hr)</v>
      </c>
      <c r="C17" s="2455" t="str">
        <f>'2-A All'!A15</f>
        <v>SHTR5</v>
      </c>
      <c r="D17" s="2517" t="str">
        <f t="shared" ref="D17:D24" si="3">C17</f>
        <v>SHTR5</v>
      </c>
      <c r="E17" s="2543">
        <f>'Burners No Cogen'!M17</f>
        <v>1.730961</v>
      </c>
      <c r="F17" s="2544">
        <f>'Burners No Cogen'!R17</f>
        <v>7.5816091799999992</v>
      </c>
      <c r="G17" s="2543">
        <f>'Burners No Cogen'!N17</f>
        <v>1.0567289999999998</v>
      </c>
      <c r="H17" s="2545">
        <f>'Burners No Cogen'!S17</f>
        <v>4.6284730199999995</v>
      </c>
      <c r="I17" s="2543">
        <f>'Burners No Cogen'!O17</f>
        <v>0.414912</v>
      </c>
      <c r="J17" s="2545">
        <f>'Burners No Cogen'!T17</f>
        <v>1.81731456</v>
      </c>
      <c r="K17" s="2543">
        <f>'Burners No Cogen'!P17</f>
        <v>0.14300735294117647</v>
      </c>
      <c r="L17" s="2545">
        <f>'Burners No Cogen'!U17</f>
        <v>0.62637220588235298</v>
      </c>
      <c r="M17" s="2543">
        <f t="shared" si="1"/>
        <v>0.48304705882352933</v>
      </c>
      <c r="N17" s="2545">
        <f t="shared" si="2"/>
        <v>2.1157461176470584</v>
      </c>
      <c r="O17" s="2543">
        <f>'Burners No Cogen'!Q17</f>
        <v>0.48304705882352933</v>
      </c>
      <c r="P17" s="2545">
        <f>'Burners No Cogen'!V17</f>
        <v>2.1157461176470584</v>
      </c>
      <c r="Q17" s="2543">
        <f>'Burners No Cogen'!M52+'Burners No Cogen'!N52+'Burners No Cogen'!O52+'Burners No Cogen'!P52+'Burners No Cogen'!Q52</f>
        <v>0.11959863823529414</v>
      </c>
      <c r="R17" s="2545">
        <f>'Burners No Cogen'!R52+'Burners No Cogen'!S52+'Burners No Cogen'!T52+'Burners No Cogen'!U52+'Burners No Cogen'!V52</f>
        <v>0.52384203547058827</v>
      </c>
      <c r="S17" s="4452">
        <f>S13</f>
        <v>33256.326587223601</v>
      </c>
      <c r="T17" s="4453"/>
      <c r="U17" s="44"/>
    </row>
    <row r="18" spans="1:24" ht="44.15" customHeight="1">
      <c r="A18" s="36"/>
      <c r="B18" s="2516" t="str">
        <f>'2-A All'!B17</f>
        <v>Stabilization Hot Oil Heater
(64.83 MMBtu/hr)</v>
      </c>
      <c r="C18" s="2455" t="str">
        <f>'2-A All'!A17</f>
        <v>SHTR6</v>
      </c>
      <c r="D18" s="2517" t="str">
        <f t="shared" si="3"/>
        <v>SHTR6</v>
      </c>
      <c r="E18" s="2543">
        <f>'Burners No Cogen'!M18</f>
        <v>1.730961</v>
      </c>
      <c r="F18" s="2544">
        <f>'Burners No Cogen'!R18</f>
        <v>7.5816091799999992</v>
      </c>
      <c r="G18" s="2543">
        <f>'Burners No Cogen'!N18</f>
        <v>1.0567289999999998</v>
      </c>
      <c r="H18" s="2545">
        <f>'Burners No Cogen'!S18</f>
        <v>4.6284730199999995</v>
      </c>
      <c r="I18" s="2543">
        <f>'Burners No Cogen'!O18</f>
        <v>0.414912</v>
      </c>
      <c r="J18" s="2545">
        <f>'Burners No Cogen'!T18</f>
        <v>1.81731456</v>
      </c>
      <c r="K18" s="2543">
        <f>'Burners No Cogen'!P18</f>
        <v>0.14300735294117647</v>
      </c>
      <c r="L18" s="2545">
        <f>'Burners No Cogen'!U18</f>
        <v>0.62637220588235298</v>
      </c>
      <c r="M18" s="2543">
        <f t="shared" si="1"/>
        <v>0.48304705882352933</v>
      </c>
      <c r="N18" s="2545">
        <f t="shared" si="2"/>
        <v>2.1157461176470584</v>
      </c>
      <c r="O18" s="2543">
        <f>'Burners No Cogen'!Q18</f>
        <v>0.48304705882352933</v>
      </c>
      <c r="P18" s="2545">
        <f>'Burners No Cogen'!V18</f>
        <v>2.1157461176470584</v>
      </c>
      <c r="Q18" s="2543">
        <f>'Burners No Cogen'!M53+'Burners No Cogen'!N53+'Burners No Cogen'!O53+'Burners No Cogen'!P53+'Burners No Cogen'!Q53</f>
        <v>0.11959863823529414</v>
      </c>
      <c r="R18" s="2545">
        <f>'Burners No Cogen'!R53+'Burners No Cogen'!S53+'Burners No Cogen'!T53+'Burners No Cogen'!U53+'Burners No Cogen'!V53</f>
        <v>0.52384203547058827</v>
      </c>
      <c r="S18" s="4444">
        <f>S17</f>
        <v>33256.326587223601</v>
      </c>
      <c r="T18" s="4445"/>
      <c r="U18" s="44"/>
    </row>
    <row r="19" spans="1:24" ht="44.15" customHeight="1">
      <c r="A19" s="36"/>
      <c r="B19" s="2516" t="str">
        <f>'2-A All'!B19</f>
        <v>Stabilization Hot Oil Heater
(64.83 MMBtu/hr)</v>
      </c>
      <c r="C19" s="2455" t="str">
        <f>'2-A All'!A19</f>
        <v>SHTR7</v>
      </c>
      <c r="D19" s="2517" t="str">
        <f t="shared" si="3"/>
        <v>SHTR7</v>
      </c>
      <c r="E19" s="2543">
        <f>'Burners No Cogen'!M19</f>
        <v>1.730961</v>
      </c>
      <c r="F19" s="2544">
        <f>'Burners No Cogen'!R19</f>
        <v>7.5816091799999992</v>
      </c>
      <c r="G19" s="2543">
        <f>'Burners No Cogen'!N19</f>
        <v>1.0567289999999998</v>
      </c>
      <c r="H19" s="2545">
        <f>'Burners No Cogen'!S19</f>
        <v>4.6284730199999995</v>
      </c>
      <c r="I19" s="2543">
        <f>'Burners No Cogen'!O19</f>
        <v>0.414912</v>
      </c>
      <c r="J19" s="2545">
        <f>'Burners No Cogen'!T19</f>
        <v>1.81731456</v>
      </c>
      <c r="K19" s="2543">
        <f>'Burners No Cogen'!P19</f>
        <v>0.14300735294117647</v>
      </c>
      <c r="L19" s="2545">
        <f>'Burners No Cogen'!U19</f>
        <v>0.62637220588235298</v>
      </c>
      <c r="M19" s="2543">
        <f t="shared" si="1"/>
        <v>0.48304705882352933</v>
      </c>
      <c r="N19" s="2545">
        <f t="shared" si="2"/>
        <v>2.1157461176470584</v>
      </c>
      <c r="O19" s="2543">
        <f>'Burners No Cogen'!Q19</f>
        <v>0.48304705882352933</v>
      </c>
      <c r="P19" s="2545">
        <f>'Burners No Cogen'!V19</f>
        <v>2.1157461176470584</v>
      </c>
      <c r="Q19" s="2543">
        <f>'Burners No Cogen'!M54+'Burners No Cogen'!N54+'Burners No Cogen'!O54+'Burners No Cogen'!P54+'Burners No Cogen'!Q54</f>
        <v>0.11959863823529414</v>
      </c>
      <c r="R19" s="2545">
        <f>'Burners No Cogen'!R54+'Burners No Cogen'!S54+'Burners No Cogen'!T54+'Burners No Cogen'!U54+'Burners No Cogen'!V54</f>
        <v>0.52384203547058827</v>
      </c>
      <c r="S19" s="4444">
        <f>S17</f>
        <v>33256.326587223601</v>
      </c>
      <c r="T19" s="4445"/>
      <c r="U19" s="44"/>
    </row>
    <row r="20" spans="1:24" ht="44.15" customHeight="1">
      <c r="A20" s="36"/>
      <c r="B20" s="2516" t="str">
        <f>'2-A All'!B21</f>
        <v>Stabilization Hot Oil Heater
(64.83 MMBtu/hr)</v>
      </c>
      <c r="C20" s="2455" t="str">
        <f>'2-A All'!A21</f>
        <v>SHTR8</v>
      </c>
      <c r="D20" s="2517" t="str">
        <f t="shared" si="3"/>
        <v>SHTR8</v>
      </c>
      <c r="E20" s="2543">
        <f>'Burners No Cogen'!M20</f>
        <v>1.730961</v>
      </c>
      <c r="F20" s="2544">
        <f>'Burners No Cogen'!R20</f>
        <v>7.5816091799999992</v>
      </c>
      <c r="G20" s="2543">
        <f>'Burners No Cogen'!N20</f>
        <v>1.0567289999999998</v>
      </c>
      <c r="H20" s="2545">
        <f>'Burners No Cogen'!S20</f>
        <v>4.6284730199999995</v>
      </c>
      <c r="I20" s="2543">
        <f>'Burners No Cogen'!O20</f>
        <v>0.414912</v>
      </c>
      <c r="J20" s="2545">
        <f>'Burners No Cogen'!T20</f>
        <v>1.81731456</v>
      </c>
      <c r="K20" s="2543">
        <f>'Burners No Cogen'!P20</f>
        <v>0.14300735294117647</v>
      </c>
      <c r="L20" s="2545">
        <f>'Burners No Cogen'!U20</f>
        <v>0.62637220588235298</v>
      </c>
      <c r="M20" s="2543">
        <f t="shared" si="1"/>
        <v>0.48304705882352933</v>
      </c>
      <c r="N20" s="2545">
        <f t="shared" si="2"/>
        <v>2.1157461176470584</v>
      </c>
      <c r="O20" s="2543">
        <f>'Burners No Cogen'!Q20</f>
        <v>0.48304705882352933</v>
      </c>
      <c r="P20" s="2545">
        <f>'Burners No Cogen'!V20</f>
        <v>2.1157461176470584</v>
      </c>
      <c r="Q20" s="2543">
        <f>'Burners No Cogen'!M55+'Burners No Cogen'!N55+'Burners No Cogen'!O55+'Burners No Cogen'!P55+'Burners No Cogen'!Q55</f>
        <v>0.11959863823529414</v>
      </c>
      <c r="R20" s="2545">
        <f>'Burners No Cogen'!R55+'Burners No Cogen'!S55+'Burners No Cogen'!T55+'Burners No Cogen'!U55+'Burners No Cogen'!V55</f>
        <v>0.52384203547058827</v>
      </c>
      <c r="S20" s="4444">
        <f>S17</f>
        <v>33256.326587223601</v>
      </c>
      <c r="T20" s="4445"/>
      <c r="U20" s="44"/>
      <c r="W20" s="8"/>
    </row>
    <row r="21" spans="1:24" ht="44.25" customHeight="1">
      <c r="A21" s="36"/>
      <c r="B21" s="2516" t="str">
        <f>'2-A All'!B23</f>
        <v>Stabilization Hot Oil Heater
(64.83 MMBtu/hr)</v>
      </c>
      <c r="C21" s="2455" t="str">
        <f>'2-A All'!A23</f>
        <v>SHTR9</v>
      </c>
      <c r="D21" s="2517" t="str">
        <f t="shared" si="3"/>
        <v>SHTR9</v>
      </c>
      <c r="E21" s="2543">
        <f>'Burners No Cogen'!M21</f>
        <v>1.730961</v>
      </c>
      <c r="F21" s="2544">
        <f>'Burners No Cogen'!R21</f>
        <v>7.5816091799999992</v>
      </c>
      <c r="G21" s="2543">
        <f>'Burners No Cogen'!N21</f>
        <v>1.0567289999999998</v>
      </c>
      <c r="H21" s="2545">
        <f>'Burners No Cogen'!S21</f>
        <v>4.6284730199999995</v>
      </c>
      <c r="I21" s="2543">
        <f>'Burners No Cogen'!O21</f>
        <v>0.414912</v>
      </c>
      <c r="J21" s="2545">
        <f>'Burners No Cogen'!T21</f>
        <v>1.81731456</v>
      </c>
      <c r="K21" s="2543">
        <f>'Burners No Cogen'!P21</f>
        <v>0.14300735294117647</v>
      </c>
      <c r="L21" s="2545">
        <f>'Burners No Cogen'!U21</f>
        <v>0.62637220588235298</v>
      </c>
      <c r="M21" s="2543">
        <f t="shared" si="1"/>
        <v>0.48304705882352933</v>
      </c>
      <c r="N21" s="2545">
        <f t="shared" si="2"/>
        <v>2.1157461176470584</v>
      </c>
      <c r="O21" s="2543">
        <f>'Burners No Cogen'!Q21</f>
        <v>0.48304705882352933</v>
      </c>
      <c r="P21" s="2545">
        <f>'Burners No Cogen'!V21</f>
        <v>2.1157461176470584</v>
      </c>
      <c r="Q21" s="2543">
        <f>'Burners No Cogen'!M56+'Burners No Cogen'!N56+'Burners No Cogen'!O56+'Burners No Cogen'!P56+'Burners No Cogen'!Q56</f>
        <v>0.11959863823529414</v>
      </c>
      <c r="R21" s="2545">
        <f>'Burners No Cogen'!R56+'Burners No Cogen'!S56+'Burners No Cogen'!T56+'Burners No Cogen'!U56+'Burners No Cogen'!V56</f>
        <v>0.52384203547058827</v>
      </c>
      <c r="S21" s="4452">
        <f>S17</f>
        <v>33256.326587223601</v>
      </c>
      <c r="T21" s="4453"/>
      <c r="U21" s="44"/>
    </row>
    <row r="22" spans="1:24" ht="44.15" customHeight="1">
      <c r="A22" s="36"/>
      <c r="B22" s="2516" t="str">
        <f>'2-A All'!B25</f>
        <v>Stabilization Hot Oil Heater
(64.83 MMBtu/hr)</v>
      </c>
      <c r="C22" s="2455" t="str">
        <f>'2-A All'!A25</f>
        <v>SHTR10</v>
      </c>
      <c r="D22" s="2517" t="str">
        <f t="shared" si="3"/>
        <v>SHTR10</v>
      </c>
      <c r="E22" s="2543">
        <f>'Burners No Cogen'!M22</f>
        <v>1.730961</v>
      </c>
      <c r="F22" s="2544">
        <f>'Burners No Cogen'!R22</f>
        <v>7.5816091799999992</v>
      </c>
      <c r="G22" s="2543">
        <f>'Burners No Cogen'!N22</f>
        <v>1.0567289999999998</v>
      </c>
      <c r="H22" s="2545">
        <f>'Burners No Cogen'!S22</f>
        <v>4.6284730199999995</v>
      </c>
      <c r="I22" s="2543">
        <f>'Burners No Cogen'!O22</f>
        <v>0.414912</v>
      </c>
      <c r="J22" s="2545">
        <f>'Burners No Cogen'!T22</f>
        <v>1.81731456</v>
      </c>
      <c r="K22" s="2543">
        <f>'Burners No Cogen'!P22</f>
        <v>0.14300735294117647</v>
      </c>
      <c r="L22" s="2545">
        <f>'Burners No Cogen'!U22</f>
        <v>0.62637220588235298</v>
      </c>
      <c r="M22" s="2543">
        <f t="shared" si="1"/>
        <v>0.48304705882352933</v>
      </c>
      <c r="N22" s="2545">
        <f t="shared" si="2"/>
        <v>2.1157461176470584</v>
      </c>
      <c r="O22" s="2543">
        <f>'Burners No Cogen'!Q22</f>
        <v>0.48304705882352933</v>
      </c>
      <c r="P22" s="2545">
        <f>'Burners No Cogen'!V22</f>
        <v>2.1157461176470584</v>
      </c>
      <c r="Q22" s="2543">
        <f>'Burners No Cogen'!M57+'Burners No Cogen'!N57+'Burners No Cogen'!O57+'Burners No Cogen'!P57+'Burners No Cogen'!Q57</f>
        <v>0.11959863823529414</v>
      </c>
      <c r="R22" s="2545">
        <f>'Burners No Cogen'!R57+'Burners No Cogen'!S57+'Burners No Cogen'!T57+'Burners No Cogen'!U57+'Burners No Cogen'!V57</f>
        <v>0.52384203547058827</v>
      </c>
      <c r="S22" s="4444">
        <f>S21</f>
        <v>33256.326587223601</v>
      </c>
      <c r="T22" s="4445"/>
      <c r="U22" s="44"/>
    </row>
    <row r="23" spans="1:24" ht="44.15" customHeight="1">
      <c r="A23" s="36"/>
      <c r="B23" s="2516" t="str">
        <f>'2-A All'!B27</f>
        <v>Stabilization Hot Oil Heater
(64.83 MMBtu/hr)</v>
      </c>
      <c r="C23" s="2455" t="str">
        <f>'2-A All'!A27</f>
        <v>SHTR11</v>
      </c>
      <c r="D23" s="2517" t="str">
        <f t="shared" si="3"/>
        <v>SHTR11</v>
      </c>
      <c r="E23" s="2543">
        <f>'Burners No Cogen'!M23</f>
        <v>1.730961</v>
      </c>
      <c r="F23" s="2544">
        <f>'Burners No Cogen'!R23</f>
        <v>7.5816091799999992</v>
      </c>
      <c r="G23" s="2543">
        <f>'Burners No Cogen'!N23</f>
        <v>1.0567289999999998</v>
      </c>
      <c r="H23" s="2545">
        <f>'Burners No Cogen'!S23</f>
        <v>4.6284730199999995</v>
      </c>
      <c r="I23" s="2543">
        <f>'Burners No Cogen'!O23</f>
        <v>0.414912</v>
      </c>
      <c r="J23" s="2545">
        <f>'Burners No Cogen'!T23</f>
        <v>1.81731456</v>
      </c>
      <c r="K23" s="2543">
        <f>'Burners No Cogen'!P23</f>
        <v>0.14300735294117647</v>
      </c>
      <c r="L23" s="2545">
        <f>'Burners No Cogen'!U23</f>
        <v>0.62637220588235298</v>
      </c>
      <c r="M23" s="2543">
        <f t="shared" si="1"/>
        <v>0.48304705882352933</v>
      </c>
      <c r="N23" s="2545">
        <f t="shared" si="2"/>
        <v>2.1157461176470584</v>
      </c>
      <c r="O23" s="2543">
        <f>'Burners No Cogen'!Q23</f>
        <v>0.48304705882352933</v>
      </c>
      <c r="P23" s="2545">
        <f>'Burners No Cogen'!V23</f>
        <v>2.1157461176470584</v>
      </c>
      <c r="Q23" s="2543">
        <f>'Burners No Cogen'!M58+'Burners No Cogen'!N58+'Burners No Cogen'!O58+'Burners No Cogen'!P58+'Burners No Cogen'!Q58</f>
        <v>0.11959863823529414</v>
      </c>
      <c r="R23" s="2545">
        <f>'Burners No Cogen'!R58+'Burners No Cogen'!S58+'Burners No Cogen'!T58+'Burners No Cogen'!U58+'Burners No Cogen'!V58</f>
        <v>0.52384203547058827</v>
      </c>
      <c r="S23" s="4444">
        <f>S21</f>
        <v>33256.326587223601</v>
      </c>
      <c r="T23" s="4445"/>
      <c r="U23" s="44"/>
    </row>
    <row r="24" spans="1:24" ht="44.15" customHeight="1">
      <c r="A24" s="36"/>
      <c r="B24" s="2516" t="str">
        <f>'2-A All'!B29</f>
        <v>Stabilization Hot Oil Heater
(64.83 MMBtu/hr)</v>
      </c>
      <c r="C24" s="2455" t="str">
        <f>'2-A All'!A29</f>
        <v>SHTR12</v>
      </c>
      <c r="D24" s="2517" t="str">
        <f t="shared" si="3"/>
        <v>SHTR12</v>
      </c>
      <c r="E24" s="2540">
        <f>'Burners No Cogen'!M24</f>
        <v>1.730961</v>
      </c>
      <c r="F24" s="2541">
        <f>'Burners No Cogen'!R24</f>
        <v>7.5816091799999992</v>
      </c>
      <c r="G24" s="2540">
        <f>'Burners No Cogen'!N24</f>
        <v>1.0567289999999998</v>
      </c>
      <c r="H24" s="2542">
        <f>'Burners No Cogen'!S24</f>
        <v>4.6284730199999995</v>
      </c>
      <c r="I24" s="2540">
        <f>'Burners No Cogen'!O24</f>
        <v>0.414912</v>
      </c>
      <c r="J24" s="2542">
        <f>'Burners No Cogen'!T24</f>
        <v>1.81731456</v>
      </c>
      <c r="K24" s="2540">
        <f>'Burners No Cogen'!P24</f>
        <v>0.14300735294117647</v>
      </c>
      <c r="L24" s="2542">
        <f>'Burners No Cogen'!U24</f>
        <v>0.62637220588235298</v>
      </c>
      <c r="M24" s="2543">
        <f t="shared" si="1"/>
        <v>0.48304705882352933</v>
      </c>
      <c r="N24" s="2545">
        <f t="shared" si="2"/>
        <v>2.1157461176470584</v>
      </c>
      <c r="O24" s="2540">
        <f>'Burners No Cogen'!Q24</f>
        <v>0.48304705882352933</v>
      </c>
      <c r="P24" s="2542">
        <f>'Burners No Cogen'!V24</f>
        <v>2.1157461176470584</v>
      </c>
      <c r="Q24" s="2540">
        <f>'Burners No Cogen'!M59+'Burners No Cogen'!N59+'Burners No Cogen'!O59+'Burners No Cogen'!P59+'Burners No Cogen'!Q59</f>
        <v>0.11959863823529414</v>
      </c>
      <c r="R24" s="2542">
        <f>'Burners No Cogen'!R59+'Burners No Cogen'!S59+'Burners No Cogen'!T59+'Burners No Cogen'!U59+'Burners No Cogen'!V59</f>
        <v>0.52384203547058827</v>
      </c>
      <c r="S24" s="4444">
        <f>S21</f>
        <v>33256.326587223601</v>
      </c>
      <c r="T24" s="4445"/>
      <c r="U24" s="44"/>
      <c r="W24" s="8"/>
    </row>
    <row r="25" spans="1:24" ht="44.15" customHeight="1">
      <c r="A25" s="36"/>
      <c r="B25" s="2516" t="str">
        <f>'2-A All'!B31</f>
        <v>Cryo Hot Oil Heater
(103.99 MMBtu/hr)</v>
      </c>
      <c r="C25" s="2455" t="str">
        <f>'2-A All'!A31</f>
        <v>CHTR1</v>
      </c>
      <c r="D25" s="2517" t="str">
        <f t="shared" si="0"/>
        <v>CHTR1</v>
      </c>
      <c r="E25" s="2540">
        <f>'Burners No Cogen'!M25</f>
        <v>3.4732659999999997</v>
      </c>
      <c r="F25" s="2541">
        <f>'Burners No Cogen'!R25</f>
        <v>15.212905079999999</v>
      </c>
      <c r="G25" s="2540">
        <f>'Burners No Cogen'!N25</f>
        <v>1.6950369999999997</v>
      </c>
      <c r="H25" s="2542">
        <f>'Burners No Cogen'!S25</f>
        <v>7.4242620599999984</v>
      </c>
      <c r="I25" s="2540">
        <f>'Burners No Cogen'!O25</f>
        <v>0.66553600000000002</v>
      </c>
      <c r="J25" s="2542">
        <f>'Burners No Cogen'!T25</f>
        <v>2.9150476800000003</v>
      </c>
      <c r="K25" s="2540">
        <f>'Burners No Cogen'!P25</f>
        <v>0.22938970588235294</v>
      </c>
      <c r="L25" s="2542">
        <f>'Burners No Cogen'!U25</f>
        <v>1.0047269117647057</v>
      </c>
      <c r="M25" s="2543">
        <f t="shared" si="1"/>
        <v>0.77482745098039207</v>
      </c>
      <c r="N25" s="2545">
        <f t="shared" si="2"/>
        <v>3.393744235294117</v>
      </c>
      <c r="O25" s="2540">
        <f>'Burners No Cogen'!Q25</f>
        <v>0.77482745098039207</v>
      </c>
      <c r="P25" s="2542">
        <f>'Burners No Cogen'!V25</f>
        <v>3.393744235294117</v>
      </c>
      <c r="Q25" s="2540">
        <f>'Burners No Cogen'!M60+'Burners No Cogen'!N60+'Burners No Cogen'!O60+'Burners No Cogen'!P60+'Burners No Cogen'!Q60</f>
        <v>0.19184115980392158</v>
      </c>
      <c r="R25" s="2542">
        <f>'Burners No Cogen'!R60+'Burners No Cogen'!S60+'Burners No Cogen'!T60+'Burners No Cogen'!U60+'Burners No Cogen'!V60</f>
        <v>0.84026427994117647</v>
      </c>
      <c r="S25" s="4444">
        <f>CHTRGHG!H43</f>
        <v>53344.522625410798</v>
      </c>
      <c r="T25" s="4445"/>
      <c r="U25" s="44"/>
      <c r="W25" s="8"/>
      <c r="X25" s="8"/>
    </row>
    <row r="26" spans="1:24" ht="44.15" customHeight="1">
      <c r="A26" s="36"/>
      <c r="B26" s="2516" t="str">
        <f>'2-A All'!B33</f>
        <v>Cryo Hot Oil Heater
(103.99 MMBtu/hr)</v>
      </c>
      <c r="C26" s="2455" t="str">
        <f>'2-A All'!A33</f>
        <v>CHTR2</v>
      </c>
      <c r="D26" s="2517" t="str">
        <f t="shared" si="0"/>
        <v>CHTR2</v>
      </c>
      <c r="E26" s="2540">
        <f>'Burners No Cogen'!M26</f>
        <v>3.4732659999999997</v>
      </c>
      <c r="F26" s="2541">
        <f>'Burners No Cogen'!R26</f>
        <v>15.212905079999999</v>
      </c>
      <c r="G26" s="2540">
        <f>'Burners No Cogen'!N26</f>
        <v>1.6950369999999997</v>
      </c>
      <c r="H26" s="2542">
        <f>'Burners No Cogen'!S26</f>
        <v>7.4242620599999984</v>
      </c>
      <c r="I26" s="2540">
        <f>'Burners No Cogen'!O26</f>
        <v>0.66553600000000002</v>
      </c>
      <c r="J26" s="2542">
        <f>'Burners No Cogen'!T26</f>
        <v>2.9150476800000003</v>
      </c>
      <c r="K26" s="2540">
        <f>'Burners No Cogen'!P26</f>
        <v>0.22938970588235294</v>
      </c>
      <c r="L26" s="2542">
        <f>'Burners No Cogen'!U26</f>
        <v>1.0047269117647057</v>
      </c>
      <c r="M26" s="2543">
        <f t="shared" si="1"/>
        <v>0.77482745098039207</v>
      </c>
      <c r="N26" s="2545">
        <f t="shared" si="2"/>
        <v>3.393744235294117</v>
      </c>
      <c r="O26" s="2540">
        <f>'Burners No Cogen'!Q26</f>
        <v>0.77482745098039207</v>
      </c>
      <c r="P26" s="2542">
        <f>'Burners No Cogen'!V26</f>
        <v>3.393744235294117</v>
      </c>
      <c r="Q26" s="2540">
        <f>'Burners No Cogen'!M61+'Burners No Cogen'!N61+'Burners No Cogen'!O61+'Burners No Cogen'!P61+'Burners No Cogen'!Q61</f>
        <v>0.19184115980392158</v>
      </c>
      <c r="R26" s="2542">
        <f>'Burners No Cogen'!R61+'Burners No Cogen'!S61+'Burners No Cogen'!T61+'Burners No Cogen'!U61+'Burners No Cogen'!V61</f>
        <v>0.84026427994117647</v>
      </c>
      <c r="S26" s="4444">
        <f>CHTRGHG!H43</f>
        <v>53344.522625410798</v>
      </c>
      <c r="T26" s="4445"/>
      <c r="U26" s="44"/>
      <c r="W26" s="8" t="e">
        <f>SUM(#REF!)</f>
        <v>#REF!</v>
      </c>
    </row>
    <row r="27" spans="1:24" ht="44.15" customHeight="1">
      <c r="A27" s="36"/>
      <c r="B27" s="2516" t="str">
        <f>'2-A All'!B35</f>
        <v>Cryo Hot Oil Heater
(103.99 MMBtu/hr)</v>
      </c>
      <c r="C27" s="2455" t="str">
        <f>'2-A All'!A35</f>
        <v>CHTR3</v>
      </c>
      <c r="D27" s="2517" t="str">
        <f t="shared" si="0"/>
        <v>CHTR3</v>
      </c>
      <c r="E27" s="2540">
        <f>'Burners No Cogen'!M27</f>
        <v>3.4732659999999997</v>
      </c>
      <c r="F27" s="2541">
        <f>'Burners No Cogen'!R27</f>
        <v>15.212905079999999</v>
      </c>
      <c r="G27" s="2540">
        <f>'Burners No Cogen'!N27</f>
        <v>1.6950369999999997</v>
      </c>
      <c r="H27" s="2542">
        <f>'Burners No Cogen'!S27</f>
        <v>7.4242620599999984</v>
      </c>
      <c r="I27" s="2540">
        <f>'Burners No Cogen'!O27</f>
        <v>0.66553600000000002</v>
      </c>
      <c r="J27" s="2542">
        <f>'Burners No Cogen'!T27</f>
        <v>2.9150476800000003</v>
      </c>
      <c r="K27" s="2540">
        <f>'Burners No Cogen'!P27</f>
        <v>0.22938970588235294</v>
      </c>
      <c r="L27" s="2542">
        <f>'Burners No Cogen'!U27</f>
        <v>1.0047269117647057</v>
      </c>
      <c r="M27" s="2543">
        <f t="shared" si="1"/>
        <v>0.77482745098039207</v>
      </c>
      <c r="N27" s="2545">
        <f t="shared" si="2"/>
        <v>3.393744235294117</v>
      </c>
      <c r="O27" s="2540">
        <f>'Burners No Cogen'!Q27</f>
        <v>0.77482745098039207</v>
      </c>
      <c r="P27" s="2542">
        <f>'Burners No Cogen'!V27</f>
        <v>3.393744235294117</v>
      </c>
      <c r="Q27" s="2540">
        <f>'Burners No Cogen'!M62+'Burners No Cogen'!N62+'Burners No Cogen'!O62+'Burners No Cogen'!P62+'Burners No Cogen'!Q62</f>
        <v>0.19184115980392158</v>
      </c>
      <c r="R27" s="2542">
        <f>'Burners No Cogen'!R62+'Burners No Cogen'!S62+'Burners No Cogen'!T62+'Burners No Cogen'!U62+'Burners No Cogen'!V62</f>
        <v>0.84026427994117647</v>
      </c>
      <c r="S27" s="4444">
        <f>CHTRGHG!H43</f>
        <v>53344.522625410798</v>
      </c>
      <c r="T27" s="4445"/>
      <c r="U27" s="44"/>
    </row>
    <row r="28" spans="1:24" ht="44.15" customHeight="1">
      <c r="A28" s="36"/>
      <c r="B28" s="2516" t="str">
        <f>'2-A All'!B37</f>
        <v>Regen Heater 
(39.14 MMBtu/hr)</v>
      </c>
      <c r="C28" s="2455" t="str">
        <f>'2-A All'!A37</f>
        <v>RHTR1</v>
      </c>
      <c r="D28" s="2517" t="str">
        <f>C28</f>
        <v>RHTR1</v>
      </c>
      <c r="E28" s="2540">
        <f>'Burners No Cogen'!M28</f>
        <v>1.0450380000000001</v>
      </c>
      <c r="F28" s="2541">
        <f>'Burners No Cogen'!R28</f>
        <v>4.5772664400000007</v>
      </c>
      <c r="G28" s="2540">
        <f>'Burners No Cogen'!N28</f>
        <v>0.63798199999999994</v>
      </c>
      <c r="H28" s="2542">
        <f>'Burners No Cogen'!S28</f>
        <v>2.7943611599999998</v>
      </c>
      <c r="I28" s="2540">
        <f>'Burners No Cogen'!O28</f>
        <v>0.250496</v>
      </c>
      <c r="J28" s="2542">
        <f>'Burners No Cogen'!T28</f>
        <v>1.09717248</v>
      </c>
      <c r="K28" s="2540">
        <f>'Burners No Cogen'!P28</f>
        <v>8.633823529411766E-2</v>
      </c>
      <c r="L28" s="2542">
        <f>'Burners No Cogen'!U28</f>
        <v>0.37816147058823535</v>
      </c>
      <c r="M28" s="2543">
        <f>O28</f>
        <v>0.29163137254901961</v>
      </c>
      <c r="N28" s="2545">
        <f>P28</f>
        <v>1.2773454117647058</v>
      </c>
      <c r="O28" s="2540">
        <f>'Burners No Cogen'!Q28</f>
        <v>0.29163137254901961</v>
      </c>
      <c r="P28" s="2542">
        <f>'Burners No Cogen'!V28</f>
        <v>1.2773454117647058</v>
      </c>
      <c r="Q28" s="2540">
        <f>'Burners No Cogen'!M63+'Burners No Cogen'!N63+'Burners No Cogen'!O63+'Burners No Cogen'!P63+'Burners No Cogen'!Q63</f>
        <v>7.2205625490196074E-2</v>
      </c>
      <c r="R28" s="2542">
        <f>'Burners No Cogen'!R63+'Burners No Cogen'!S63+'Burners No Cogen'!T63+'Burners No Cogen'!U63+'Burners No Cogen'!V63</f>
        <v>0.31626063964705881</v>
      </c>
      <c r="S28" s="4444">
        <f>RegenGHG!H43</f>
        <v>20077.936489648804</v>
      </c>
      <c r="T28" s="4445"/>
      <c r="U28" s="44"/>
      <c r="W28" s="8">
        <f>S28+S29</f>
        <v>40155.872979297608</v>
      </c>
      <c r="X28" s="8"/>
    </row>
    <row r="29" spans="1:24" ht="44.15" customHeight="1">
      <c r="A29" s="36"/>
      <c r="B29" s="2529" t="str">
        <f>'2-A All'!B39</f>
        <v>Regen Heater
(39.14 MMBtu/hr)</v>
      </c>
      <c r="C29" s="2474" t="str">
        <f>'2-A All'!A39</f>
        <v>RHTR2</v>
      </c>
      <c r="D29" s="2530" t="str">
        <f t="shared" si="0"/>
        <v>RHTR2</v>
      </c>
      <c r="E29" s="2543">
        <f>'Burners No Cogen'!M29</f>
        <v>1.0450380000000001</v>
      </c>
      <c r="F29" s="2544">
        <f>'Burners No Cogen'!R29</f>
        <v>4.5772664400000007</v>
      </c>
      <c r="G29" s="2543">
        <f>'Burners No Cogen'!N29</f>
        <v>0.63798199999999994</v>
      </c>
      <c r="H29" s="2545">
        <f>'Burners No Cogen'!S29</f>
        <v>2.7943611599999998</v>
      </c>
      <c r="I29" s="2543">
        <f>'Burners No Cogen'!O29</f>
        <v>0.250496</v>
      </c>
      <c r="J29" s="2545">
        <f>'Burners No Cogen'!T29</f>
        <v>1.09717248</v>
      </c>
      <c r="K29" s="2543">
        <f>'Burners No Cogen'!P29</f>
        <v>8.633823529411766E-2</v>
      </c>
      <c r="L29" s="2545">
        <f>'Burners No Cogen'!U29</f>
        <v>0.37816147058823535</v>
      </c>
      <c r="M29" s="2543">
        <f t="shared" si="1"/>
        <v>0.29163137254901961</v>
      </c>
      <c r="N29" s="2545">
        <f t="shared" si="2"/>
        <v>1.2773454117647058</v>
      </c>
      <c r="O29" s="2543">
        <f>'Burners No Cogen'!Q29</f>
        <v>0.29163137254901961</v>
      </c>
      <c r="P29" s="2545">
        <f>'Burners No Cogen'!V29</f>
        <v>1.2773454117647058</v>
      </c>
      <c r="Q29" s="2543">
        <f>'Burners No Cogen'!M64+'Burners No Cogen'!N64+'Burners No Cogen'!O64+'Burners No Cogen'!P64+'Burners No Cogen'!Q64</f>
        <v>7.2205625490196074E-2</v>
      </c>
      <c r="R29" s="2545">
        <f>'Burners No Cogen'!R64+'Burners No Cogen'!S64+'Burners No Cogen'!T64+'Burners No Cogen'!U64+'Burners No Cogen'!V64</f>
        <v>0.31626063964705881</v>
      </c>
      <c r="S29" s="4433">
        <f>S28</f>
        <v>20077.936489648804</v>
      </c>
      <c r="T29" s="4434"/>
      <c r="U29" s="44"/>
      <c r="W29" s="8">
        <f>S29+S30</f>
        <v>40155.872979297608</v>
      </c>
      <c r="X29" s="8"/>
    </row>
    <row r="30" spans="1:24" ht="44.15" customHeight="1">
      <c r="A30" s="36"/>
      <c r="B30" s="2529" t="str">
        <f>'2-A All'!B41</f>
        <v>Regen Heater
(39.14 MMBtu/hr)</v>
      </c>
      <c r="C30" s="2474" t="str">
        <f>'2-A All'!A41</f>
        <v>RHTR3</v>
      </c>
      <c r="D30" s="2530" t="str">
        <f t="shared" si="0"/>
        <v>RHTR3</v>
      </c>
      <c r="E30" s="2543">
        <f>'Burners No Cogen'!M30</f>
        <v>1.0450380000000001</v>
      </c>
      <c r="F30" s="2544">
        <f>'Burners No Cogen'!R30</f>
        <v>4.5772664400000007</v>
      </c>
      <c r="G30" s="2543">
        <f>'Burners No Cogen'!N30</f>
        <v>0.63798199999999994</v>
      </c>
      <c r="H30" s="2545">
        <f>'Burners No Cogen'!S30</f>
        <v>2.7943611599999998</v>
      </c>
      <c r="I30" s="2543">
        <f>'Burners No Cogen'!O30</f>
        <v>0.250496</v>
      </c>
      <c r="J30" s="2545">
        <f>'Burners No Cogen'!T30</f>
        <v>1.09717248</v>
      </c>
      <c r="K30" s="2543">
        <f>'Burners No Cogen'!P30</f>
        <v>8.633823529411766E-2</v>
      </c>
      <c r="L30" s="2545">
        <f>'Burners No Cogen'!U30</f>
        <v>0.37816147058823535</v>
      </c>
      <c r="M30" s="2543">
        <f t="shared" si="1"/>
        <v>0.29163137254901961</v>
      </c>
      <c r="N30" s="2545">
        <f t="shared" si="2"/>
        <v>1.2773454117647058</v>
      </c>
      <c r="O30" s="2543">
        <f>'Burners No Cogen'!Q30</f>
        <v>0.29163137254901961</v>
      </c>
      <c r="P30" s="2545">
        <f>'Burners No Cogen'!V30</f>
        <v>1.2773454117647058</v>
      </c>
      <c r="Q30" s="2543">
        <f>'Burners No Cogen'!M65+'Burners No Cogen'!N65+'Burners No Cogen'!O65+'Burners No Cogen'!P65+'Burners No Cogen'!Q65</f>
        <v>7.2205625490196074E-2</v>
      </c>
      <c r="R30" s="2545">
        <f>'Burners No Cogen'!R65+'Burners No Cogen'!S65+'Burners No Cogen'!T65+'Burners No Cogen'!U65+'Burners No Cogen'!V65</f>
        <v>0.31626063964705881</v>
      </c>
      <c r="S30" s="4433">
        <f>S28</f>
        <v>20077.936489648804</v>
      </c>
      <c r="T30" s="4434"/>
      <c r="U30" s="44"/>
    </row>
    <row r="31" spans="1:24" ht="44.25" customHeight="1">
      <c r="A31" s="36"/>
      <c r="B31" s="2520" t="str">
        <f>'Summary-Co'!B18</f>
        <v>SSM/Emergency Flare 1 
(Dual Tip Flare) - Pilot/Purge</v>
      </c>
      <c r="C31" s="4340" t="s">
        <v>1913</v>
      </c>
      <c r="D31" s="4342" t="s">
        <v>1913</v>
      </c>
      <c r="E31" s="4425">
        <f>'Flare Summary'!C16+'Flare Summary'!C17</f>
        <v>2.6783137254439984</v>
      </c>
      <c r="F31" s="4446">
        <f>'Flare Summary'!E16+'Flare Summary'!E17</f>
        <v>11.73101411744471</v>
      </c>
      <c r="G31" s="4425">
        <f>'Flare Summary'!F16+'Flare Summary'!F17</f>
        <v>5.3469234156508803</v>
      </c>
      <c r="H31" s="4446">
        <f>'Flare Summary'!H16+'Flare Summary'!H17</f>
        <v>23.419524560550855</v>
      </c>
      <c r="I31" s="4425">
        <f>'Flare Summary'!I16+'Flare Summary'!I17</f>
        <v>0.80398014094115633</v>
      </c>
      <c r="J31" s="4446">
        <f>'Flare Summary'!K16+'Flare Summary'!K17</f>
        <v>3.5214330173222645</v>
      </c>
      <c r="K31" s="4425">
        <f>'Flare Summary'!L16+'Flare Summary'!L17</f>
        <v>0</v>
      </c>
      <c r="L31" s="4446">
        <f>'Flare Summary'!M16+'Flare Summary'!M17</f>
        <v>0</v>
      </c>
      <c r="M31" s="4425">
        <f>'Flare Summary'!O16+'Flare Summary'!O17</f>
        <v>0.14460915255310022</v>
      </c>
      <c r="N31" s="4446">
        <f>'Flare Summary'!Q16+'Flare Summary'!Q17</f>
        <v>0.63338808818257897</v>
      </c>
      <c r="O31" s="4425">
        <f>M31</f>
        <v>0.14460915255310022</v>
      </c>
      <c r="P31" s="4446">
        <f>N31</f>
        <v>0.63338808818257897</v>
      </c>
      <c r="Q31" s="4425">
        <f>'Flare Summary'!R16+'Flare Summary'!R17</f>
        <v>0</v>
      </c>
      <c r="R31" s="4446">
        <f>'Flare Summary'!T16+'Flare Summary'!T17</f>
        <v>0</v>
      </c>
      <c r="S31" s="4448">
        <f>'FL PURGE GHG'!H50</f>
        <v>0</v>
      </c>
      <c r="T31" s="4449"/>
      <c r="U31" s="44"/>
      <c r="V31" s="8"/>
      <c r="W31" s="8"/>
      <c r="X31" s="8"/>
    </row>
    <row r="32" spans="1:24" ht="44.25" customHeight="1">
      <c r="A32" s="36"/>
      <c r="B32" s="2520" t="str">
        <f>'Summary-Co'!B19</f>
        <v>SSM/Emergency Flare 2 
(Dual Tip Flare) - Pilot/Purge</v>
      </c>
      <c r="C32" s="4340"/>
      <c r="D32" s="4342"/>
      <c r="E32" s="4425"/>
      <c r="F32" s="4446"/>
      <c r="G32" s="4425"/>
      <c r="H32" s="4446"/>
      <c r="I32" s="4425"/>
      <c r="J32" s="4446"/>
      <c r="K32" s="4425"/>
      <c r="L32" s="4446"/>
      <c r="M32" s="4425"/>
      <c r="N32" s="4446"/>
      <c r="O32" s="4425"/>
      <c r="P32" s="4446"/>
      <c r="Q32" s="4425"/>
      <c r="R32" s="4446"/>
      <c r="S32" s="4450"/>
      <c r="T32" s="4451"/>
      <c r="U32" s="44"/>
      <c r="X32" s="8"/>
    </row>
    <row r="33" spans="1:24" ht="44.15" customHeight="1">
      <c r="A33" s="1656"/>
      <c r="B33" s="2473" t="str">
        <f>'Summary-Co'!B20</f>
        <v>Backup SSM/Emergency Flare (Dual Tip Flare) - Pilot/Purge</v>
      </c>
      <c r="C33" s="4341"/>
      <c r="D33" s="4343"/>
      <c r="E33" s="4426"/>
      <c r="F33" s="4447"/>
      <c r="G33" s="4426"/>
      <c r="H33" s="4447"/>
      <c r="I33" s="4426"/>
      <c r="J33" s="4447"/>
      <c r="K33" s="4426"/>
      <c r="L33" s="4447"/>
      <c r="M33" s="4426"/>
      <c r="N33" s="4447"/>
      <c r="O33" s="4426"/>
      <c r="P33" s="4447"/>
      <c r="Q33" s="4426"/>
      <c r="R33" s="4447"/>
      <c r="S33" s="4452"/>
      <c r="T33" s="4453"/>
      <c r="U33" s="1655"/>
    </row>
    <row r="34" spans="1:24" ht="44.25" customHeight="1">
      <c r="A34" s="36"/>
      <c r="B34" s="3605" t="s">
        <v>1815</v>
      </c>
      <c r="C34" s="3606" t="str">
        <f>'2-A All'!A49</f>
        <v>FL1-FL3OVHD-SSM</v>
      </c>
      <c r="D34" s="3594" t="s">
        <v>1520</v>
      </c>
      <c r="E34" s="3596">
        <f>'Flare Summary'!C14</f>
        <v>61.513056157500003</v>
      </c>
      <c r="F34" s="3597">
        <f>'Flare Summary'!E14</f>
        <v>11.195376220665</v>
      </c>
      <c r="G34" s="3596">
        <f>'Flare Summary'!F14</f>
        <v>122.80323892312499</v>
      </c>
      <c r="H34" s="3597">
        <f>'Flare Summary'!H14</f>
        <v>22.350189484008748</v>
      </c>
      <c r="I34" s="3596">
        <f>'Flare Summary'!I14</f>
        <v>404.28661353006083</v>
      </c>
      <c r="J34" s="3597">
        <f>'Flare Summary'!K14</f>
        <v>73.580163662471065</v>
      </c>
      <c r="K34" s="3596">
        <f>'Flare Summary'!L14</f>
        <v>0</v>
      </c>
      <c r="L34" s="3597">
        <f>'Flare Summary'!N14</f>
        <v>0</v>
      </c>
      <c r="M34" s="3596">
        <f>'Flare Summary'!O14</f>
        <v>3.3212505455882351</v>
      </c>
      <c r="N34" s="3597">
        <f>'Flare Summary'!Q14</f>
        <v>0.60446759929705873</v>
      </c>
      <c r="O34" s="3596">
        <f>M34</f>
        <v>3.3212505455882351</v>
      </c>
      <c r="P34" s="3597">
        <f>N34</f>
        <v>0.60446759929705873</v>
      </c>
      <c r="Q34" s="3596">
        <f>'Flare Summary'!R14</f>
        <v>4.4544709510301175</v>
      </c>
      <c r="R34" s="3597">
        <f>'Flare Summary'!T14</f>
        <v>0.81071371308748141</v>
      </c>
      <c r="S34" s="4452">
        <f>'Summary-Co'!S21:T21</f>
        <v>9440.769835467403</v>
      </c>
      <c r="T34" s="4453"/>
      <c r="U34" s="44"/>
      <c r="V34" s="8"/>
      <c r="W34" s="8"/>
      <c r="X34" s="8"/>
    </row>
    <row r="35" spans="1:24" ht="44.25" customHeight="1">
      <c r="A35" s="36"/>
      <c r="B35" s="2611" t="s">
        <v>1827</v>
      </c>
      <c r="C35" s="2619" t="str">
        <f>'2-A All'!A51</f>
        <v>FL1-FL3CRYO-SSM</v>
      </c>
      <c r="D35" s="2609" t="str">
        <f>D34</f>
        <v>FL1-FL3</v>
      </c>
      <c r="E35" s="2601">
        <f>'Flare Summary'!C15</f>
        <v>102.42580604979864</v>
      </c>
      <c r="F35" s="2602">
        <f>'Flare Summary'!E15</f>
        <v>18.641496701063353</v>
      </c>
      <c r="G35" s="2601">
        <f>'Flare Summary'!F15</f>
        <v>204.48050410666323</v>
      </c>
      <c r="H35" s="2602">
        <f>'Flare Summary'!H15</f>
        <v>37.215451747412708</v>
      </c>
      <c r="I35" s="2601">
        <f>'Flare Summary'!I15</f>
        <v>210.13055132600644</v>
      </c>
      <c r="J35" s="2602">
        <f>'Flare Summary'!K15</f>
        <v>38.243760341333171</v>
      </c>
      <c r="K35" s="2601">
        <f>'Flare Summary'!L15</f>
        <v>5.0643749702923742E-2</v>
      </c>
      <c r="L35" s="2602">
        <f>'Flare Summary'!N15</f>
        <v>9.2171624459321221E-3</v>
      </c>
      <c r="M35" s="2601">
        <f>'Flare Summary'!O15</f>
        <v>5.2857362398266847</v>
      </c>
      <c r="N35" s="2602">
        <f>'Flare Summary'!Q15</f>
        <v>0.96200399564845651</v>
      </c>
      <c r="O35" s="2601">
        <f>M35</f>
        <v>5.2857362398266847</v>
      </c>
      <c r="P35" s="2602">
        <f>N35</f>
        <v>0.96200399564845651</v>
      </c>
      <c r="Q35" s="2601">
        <f>'Flare Summary'!R15</f>
        <v>1.3117788389852012</v>
      </c>
      <c r="R35" s="2602">
        <f>'Flare Summary'!T15</f>
        <v>0.2387437486953066</v>
      </c>
      <c r="S35" s="4452">
        <f>'Summary-Co'!S22:T22</f>
        <v>16652.240757722175</v>
      </c>
      <c r="T35" s="4453"/>
      <c r="U35" s="44"/>
      <c r="V35" s="8"/>
      <c r="W35" s="8"/>
      <c r="X35" s="8"/>
    </row>
    <row r="36" spans="1:24" ht="44.15" customHeight="1">
      <c r="A36" s="36"/>
      <c r="B36" s="2520" t="str">
        <f>'2-A All'!B53</f>
        <v>Oil Storage 1 (100,000 bbl)</v>
      </c>
      <c r="C36" s="2471" t="str">
        <f>'2-A All'!A53</f>
        <v>IFR1</v>
      </c>
      <c r="D36" s="2517" t="str">
        <f t="shared" si="0"/>
        <v>IFR1</v>
      </c>
      <c r="E36" s="2546" t="s">
        <v>445</v>
      </c>
      <c r="F36" s="2547" t="s">
        <v>445</v>
      </c>
      <c r="G36" s="2546" t="s">
        <v>445</v>
      </c>
      <c r="H36" s="2547" t="s">
        <v>445</v>
      </c>
      <c r="I36" s="2548">
        <f>'IFR Tanks (IFR1-IFR4)'!C41</f>
        <v>1.1752020371542549</v>
      </c>
      <c r="J36" s="2549">
        <f>'IFR Tanks (IFR1-IFR4)'!D41</f>
        <v>5.1473849227356343</v>
      </c>
      <c r="K36" s="2546" t="s">
        <v>445</v>
      </c>
      <c r="L36" s="2547" t="s">
        <v>445</v>
      </c>
      <c r="M36" s="2546" t="s">
        <v>445</v>
      </c>
      <c r="N36" s="2547" t="s">
        <v>445</v>
      </c>
      <c r="O36" s="2546" t="s">
        <v>445</v>
      </c>
      <c r="P36" s="2547" t="s">
        <v>445</v>
      </c>
      <c r="Q36" s="2546">
        <f>'IFR Tanks (IFR1-IFR4)'!C42</f>
        <v>6.7739254805280091E-2</v>
      </c>
      <c r="R36" s="2547">
        <f>'IFR Tanks (IFR1-IFR4)'!D42</f>
        <v>0.2966979360471268</v>
      </c>
      <c r="S36" s="4437">
        <f>'Summary-Co'!S23:T23</f>
        <v>0</v>
      </c>
      <c r="T36" s="4438"/>
      <c r="U36" s="44"/>
    </row>
    <row r="37" spans="1:24" ht="44.15" customHeight="1">
      <c r="A37" s="36"/>
      <c r="B37" s="2520" t="str">
        <f>'2-A All'!B55</f>
        <v>Oil Storage 2 (100,000 bbl)</v>
      </c>
      <c r="C37" s="2455" t="str">
        <f>'2-A All'!A55</f>
        <v>IFR2</v>
      </c>
      <c r="D37" s="2517" t="str">
        <f t="shared" si="0"/>
        <v>IFR2</v>
      </c>
      <c r="E37" s="2546" t="s">
        <v>445</v>
      </c>
      <c r="F37" s="2547" t="s">
        <v>445</v>
      </c>
      <c r="G37" s="2546" t="s">
        <v>445</v>
      </c>
      <c r="H37" s="2547" t="s">
        <v>445</v>
      </c>
      <c r="I37" s="2548">
        <f>I36</f>
        <v>1.1752020371542549</v>
      </c>
      <c r="J37" s="2549">
        <f>J36</f>
        <v>5.1473849227356343</v>
      </c>
      <c r="K37" s="2546" t="s">
        <v>445</v>
      </c>
      <c r="L37" s="2547" t="s">
        <v>445</v>
      </c>
      <c r="M37" s="2546" t="s">
        <v>445</v>
      </c>
      <c r="N37" s="2547" t="s">
        <v>445</v>
      </c>
      <c r="O37" s="2546" t="s">
        <v>445</v>
      </c>
      <c r="P37" s="2547" t="s">
        <v>445</v>
      </c>
      <c r="Q37" s="2546">
        <f>Q36</f>
        <v>6.7739254805280091E-2</v>
      </c>
      <c r="R37" s="2547">
        <f>R36</f>
        <v>0.2966979360471268</v>
      </c>
      <c r="S37" s="4437">
        <f>'Summary-Co'!S24:T24</f>
        <v>0</v>
      </c>
      <c r="T37" s="4438"/>
      <c r="U37" s="44"/>
      <c r="W37" s="8"/>
    </row>
    <row r="38" spans="1:24" ht="44.15" customHeight="1">
      <c r="A38" s="36"/>
      <c r="B38" s="2520" t="str">
        <f>'2-A All'!B57</f>
        <v>Oil Storage 3 (100,000 bbl)</v>
      </c>
      <c r="C38" s="2455" t="str">
        <f>'2-A All'!A57</f>
        <v>IFR3</v>
      </c>
      <c r="D38" s="2517" t="str">
        <f t="shared" si="0"/>
        <v>IFR3</v>
      </c>
      <c r="E38" s="2546" t="s">
        <v>445</v>
      </c>
      <c r="F38" s="2547" t="s">
        <v>445</v>
      </c>
      <c r="G38" s="2546" t="s">
        <v>445</v>
      </c>
      <c r="H38" s="2547" t="s">
        <v>445</v>
      </c>
      <c r="I38" s="2548">
        <f>I36</f>
        <v>1.1752020371542549</v>
      </c>
      <c r="J38" s="2549">
        <f>J36</f>
        <v>5.1473849227356343</v>
      </c>
      <c r="K38" s="2546" t="s">
        <v>445</v>
      </c>
      <c r="L38" s="2547" t="s">
        <v>445</v>
      </c>
      <c r="M38" s="2546" t="s">
        <v>445</v>
      </c>
      <c r="N38" s="2547" t="s">
        <v>445</v>
      </c>
      <c r="O38" s="2546" t="s">
        <v>445</v>
      </c>
      <c r="P38" s="2547" t="s">
        <v>445</v>
      </c>
      <c r="Q38" s="2546">
        <f>Q36</f>
        <v>6.7739254805280091E-2</v>
      </c>
      <c r="R38" s="2547">
        <f>R36</f>
        <v>0.2966979360471268</v>
      </c>
      <c r="S38" s="4437">
        <f>'Summary-Co'!S25:T25</f>
        <v>0</v>
      </c>
      <c r="T38" s="4438"/>
      <c r="U38" s="44"/>
    </row>
    <row r="39" spans="1:24" ht="44.15" customHeight="1">
      <c r="A39" s="36"/>
      <c r="B39" s="2520" t="str">
        <f>'2-A All'!B59</f>
        <v>Oil Storage 4 (100,000 bbl)</v>
      </c>
      <c r="C39" s="2455" t="str">
        <f>'2-A All'!A59</f>
        <v>IFR4</v>
      </c>
      <c r="D39" s="2517" t="str">
        <f t="shared" si="0"/>
        <v>IFR4</v>
      </c>
      <c r="E39" s="2546" t="s">
        <v>445</v>
      </c>
      <c r="F39" s="2547" t="s">
        <v>445</v>
      </c>
      <c r="G39" s="2546" t="s">
        <v>445</v>
      </c>
      <c r="H39" s="2547" t="s">
        <v>445</v>
      </c>
      <c r="I39" s="2548">
        <f>I36</f>
        <v>1.1752020371542549</v>
      </c>
      <c r="J39" s="2549">
        <f>J36</f>
        <v>5.1473849227356343</v>
      </c>
      <c r="K39" s="2546" t="s">
        <v>445</v>
      </c>
      <c r="L39" s="2547" t="s">
        <v>445</v>
      </c>
      <c r="M39" s="2546" t="s">
        <v>445</v>
      </c>
      <c r="N39" s="2547" t="s">
        <v>445</v>
      </c>
      <c r="O39" s="2546" t="s">
        <v>445</v>
      </c>
      <c r="P39" s="2547" t="s">
        <v>445</v>
      </c>
      <c r="Q39" s="2546">
        <f>Q36</f>
        <v>6.7739254805280091E-2</v>
      </c>
      <c r="R39" s="2547">
        <f>R36</f>
        <v>0.2966979360471268</v>
      </c>
      <c r="S39" s="4437">
        <f>'Summary-Co'!S26:T26</f>
        <v>0</v>
      </c>
      <c r="T39" s="4438"/>
      <c r="U39" s="44"/>
    </row>
    <row r="40" spans="1:24" ht="44.15" customHeight="1">
      <c r="A40" s="36"/>
      <c r="B40" s="2520" t="str">
        <f>'2-A All'!B61</f>
        <v>3rd-Party Oil Storage 1</v>
      </c>
      <c r="C40" s="2455" t="str">
        <f>'2-A All'!A61</f>
        <v>OTK1</v>
      </c>
      <c r="D40" s="2517" t="str">
        <f t="shared" si="0"/>
        <v>OTK1</v>
      </c>
      <c r="E40" s="4427" t="s">
        <v>1524</v>
      </c>
      <c r="F40" s="4428"/>
      <c r="G40" s="4428"/>
      <c r="H40" s="4428"/>
      <c r="I40" s="4428"/>
      <c r="J40" s="4428"/>
      <c r="K40" s="4428"/>
      <c r="L40" s="4428"/>
      <c r="M40" s="4429"/>
      <c r="N40" s="4429"/>
      <c r="O40" s="4428"/>
      <c r="P40" s="4428"/>
      <c r="Q40" s="4428"/>
      <c r="R40" s="4428"/>
      <c r="S40" s="4428"/>
      <c r="T40" s="4430"/>
      <c r="U40" s="44"/>
    </row>
    <row r="41" spans="1:24" ht="44.15" customHeight="1">
      <c r="A41" s="36"/>
      <c r="B41" s="2520" t="str">
        <f>'2-A All'!B63</f>
        <v>3rd-Party Oil Storage 2</v>
      </c>
      <c r="C41" s="2455" t="str">
        <f>'2-A All'!A63</f>
        <v>OTK2</v>
      </c>
      <c r="D41" s="2517" t="str">
        <f t="shared" si="0"/>
        <v>OTK2</v>
      </c>
      <c r="E41" s="4427" t="str">
        <f>E40</f>
        <v>Emissions represented at ECD1.</v>
      </c>
      <c r="F41" s="4428"/>
      <c r="G41" s="4428"/>
      <c r="H41" s="4428"/>
      <c r="I41" s="4428"/>
      <c r="J41" s="4428"/>
      <c r="K41" s="4428"/>
      <c r="L41" s="4428"/>
      <c r="M41" s="4429"/>
      <c r="N41" s="4429"/>
      <c r="O41" s="4428"/>
      <c r="P41" s="4428"/>
      <c r="Q41" s="4428"/>
      <c r="R41" s="4428"/>
      <c r="S41" s="4428"/>
      <c r="T41" s="4430"/>
      <c r="U41" s="44"/>
      <c r="W41" s="8"/>
      <c r="X41" s="8"/>
    </row>
    <row r="42" spans="1:24" ht="44.15" customHeight="1">
      <c r="A42" s="36"/>
      <c r="B42" s="2520" t="str">
        <f>'2-A All'!B65</f>
        <v>3rd-Party Oil Storage 3</v>
      </c>
      <c r="C42" s="2455" t="str">
        <f>'2-A All'!A65</f>
        <v>OTK3</v>
      </c>
      <c r="D42" s="2517" t="str">
        <f t="shared" si="0"/>
        <v>OTK3</v>
      </c>
      <c r="E42" s="4427" t="str">
        <f>E40</f>
        <v>Emissions represented at ECD1.</v>
      </c>
      <c r="F42" s="4428"/>
      <c r="G42" s="4428"/>
      <c r="H42" s="4428"/>
      <c r="I42" s="4428"/>
      <c r="J42" s="4428"/>
      <c r="K42" s="4428"/>
      <c r="L42" s="4428"/>
      <c r="M42" s="4429"/>
      <c r="N42" s="4429"/>
      <c r="O42" s="4428"/>
      <c r="P42" s="4428"/>
      <c r="Q42" s="4428"/>
      <c r="R42" s="4428"/>
      <c r="S42" s="4428"/>
      <c r="T42" s="4430"/>
      <c r="U42" s="44"/>
      <c r="W42" s="8">
        <f>SUM(S13:T42)</f>
        <v>645436.3069850516</v>
      </c>
    </row>
    <row r="43" spans="1:24" ht="44.15" customHeight="1">
      <c r="A43" s="36"/>
      <c r="B43" s="2520" t="str">
        <f>'2-A All'!B67</f>
        <v>3rd-Party Oil Storage 4</v>
      </c>
      <c r="C43" s="2455" t="str">
        <f>'2-A All'!A67</f>
        <v>OTK4</v>
      </c>
      <c r="D43" s="2517" t="str">
        <f t="shared" si="0"/>
        <v>OTK4</v>
      </c>
      <c r="E43" s="4427" t="str">
        <f>E40</f>
        <v>Emissions represented at ECD1.</v>
      </c>
      <c r="F43" s="4428"/>
      <c r="G43" s="4428"/>
      <c r="H43" s="4428"/>
      <c r="I43" s="4428"/>
      <c r="J43" s="4428"/>
      <c r="K43" s="4428"/>
      <c r="L43" s="4428"/>
      <c r="M43" s="4429"/>
      <c r="N43" s="4429"/>
      <c r="O43" s="4428"/>
      <c r="P43" s="4428"/>
      <c r="Q43" s="4428"/>
      <c r="R43" s="4428"/>
      <c r="S43" s="4428"/>
      <c r="T43" s="4430"/>
      <c r="U43" s="44"/>
    </row>
    <row r="44" spans="1:24" ht="44.15" customHeight="1">
      <c r="A44" s="36"/>
      <c r="B44" s="2520" t="str">
        <f>'2-A All'!B69</f>
        <v>3rd-Party Oil Storage 5</v>
      </c>
      <c r="C44" s="2455" t="str">
        <f>'2-A All'!A69</f>
        <v>OTK5</v>
      </c>
      <c r="D44" s="2517" t="str">
        <f>C44</f>
        <v>OTK5</v>
      </c>
      <c r="E44" s="4427" t="str">
        <f>E40</f>
        <v>Emissions represented at ECD1.</v>
      </c>
      <c r="F44" s="4428"/>
      <c r="G44" s="4428"/>
      <c r="H44" s="4428"/>
      <c r="I44" s="4428"/>
      <c r="J44" s="4428"/>
      <c r="K44" s="4428"/>
      <c r="L44" s="4428"/>
      <c r="M44" s="4429"/>
      <c r="N44" s="4429"/>
      <c r="O44" s="4428"/>
      <c r="P44" s="4428"/>
      <c r="Q44" s="4428"/>
      <c r="R44" s="4428"/>
      <c r="S44" s="4428"/>
      <c r="T44" s="4430"/>
      <c r="U44" s="44"/>
    </row>
    <row r="45" spans="1:24" ht="44.15" customHeight="1">
      <c r="A45" s="36"/>
      <c r="B45" s="2520" t="str">
        <f>'2-A All'!B71</f>
        <v>3rd-Party Oil Storage 6</v>
      </c>
      <c r="C45" s="2455" t="str">
        <f>'2-A All'!A71</f>
        <v>OTK6</v>
      </c>
      <c r="D45" s="2517" t="str">
        <f t="shared" si="0"/>
        <v>OTK6</v>
      </c>
      <c r="E45" s="4427" t="str">
        <f>E40</f>
        <v>Emissions represented at ECD1.</v>
      </c>
      <c r="F45" s="4428"/>
      <c r="G45" s="4428"/>
      <c r="H45" s="4428"/>
      <c r="I45" s="4428"/>
      <c r="J45" s="4428"/>
      <c r="K45" s="4428"/>
      <c r="L45" s="4428"/>
      <c r="M45" s="4429"/>
      <c r="N45" s="4429"/>
      <c r="O45" s="4428"/>
      <c r="P45" s="4428"/>
      <c r="Q45" s="4428"/>
      <c r="R45" s="4428"/>
      <c r="S45" s="4428"/>
      <c r="T45" s="4430"/>
      <c r="U45" s="44"/>
      <c r="W45" s="8" t="e">
        <f>S45+#REF!</f>
        <v>#REF!</v>
      </c>
      <c r="X45" s="8"/>
    </row>
    <row r="46" spans="1:24" ht="44.15" customHeight="1">
      <c r="A46" s="36"/>
      <c r="B46" s="2520" t="str">
        <f>'2-A All'!B73</f>
        <v>Combustor</v>
      </c>
      <c r="C46" s="2455" t="str">
        <f>'2-A All'!A73</f>
        <v>ECD1</v>
      </c>
      <c r="D46" s="2517" t="str">
        <f t="shared" si="0"/>
        <v>ECD1</v>
      </c>
      <c r="E46" s="2548">
        <f>'Hrly (ECD1)'!R12</f>
        <v>1.5931460516780505</v>
      </c>
      <c r="F46" s="2550">
        <f>' Ann (ECD1)'!R12</f>
        <v>6.0866344473776257</v>
      </c>
      <c r="G46" s="2548">
        <f>'Hrly (ECD1)'!R13</f>
        <v>3.1805198350529196</v>
      </c>
      <c r="H46" s="2549">
        <f>' Ann (ECD1)'!R13</f>
        <v>12.151215871395186</v>
      </c>
      <c r="I46" s="2548">
        <f>'Hrly (ECD1)'!O41</f>
        <v>7.2766034925122449</v>
      </c>
      <c r="J46" s="2549">
        <f>' Ann (ECD1)'!O41</f>
        <v>28.268593950427899</v>
      </c>
      <c r="K46" s="2548">
        <f>'Hrly (ECD1)'!R14</f>
        <v>0</v>
      </c>
      <c r="L46" s="2549">
        <f>' Ann (ECD1)'!R14</f>
        <v>0</v>
      </c>
      <c r="M46" s="2548">
        <f>O46</f>
        <v>8.6018115890545505E-2</v>
      </c>
      <c r="N46" s="2549">
        <f>P46</f>
        <v>0.12880069625799914</v>
      </c>
      <c r="O46" s="2548">
        <f>'Hrly (ECD1)'!R15</f>
        <v>8.6018115890545505E-2</v>
      </c>
      <c r="P46" s="2549">
        <f>' Ann (ECD1)'!R15</f>
        <v>0.12880069625799914</v>
      </c>
      <c r="Q46" s="2548">
        <f>'Hrly (ECD1)'!O42</f>
        <v>0.27504072721807626</v>
      </c>
      <c r="R46" s="2549">
        <f>' Ann (ECD1)'!O42</f>
        <v>1.0668332259581128</v>
      </c>
      <c r="S46" s="4444">
        <f>'ECD1 GHG'!H50</f>
        <v>4244.370563407545</v>
      </c>
      <c r="T46" s="4445"/>
      <c r="U46" s="44"/>
    </row>
    <row r="47" spans="1:24" ht="44.15" customHeight="1">
      <c r="A47" s="36"/>
      <c r="B47" s="2520" t="str">
        <f>'2-A All'!B75</f>
        <v>Thermal Oxidizer</v>
      </c>
      <c r="C47" s="2455" t="str">
        <f>'2-A All'!A75</f>
        <v>TO1</v>
      </c>
      <c r="D47" s="2517" t="str">
        <f t="shared" si="0"/>
        <v>TO1</v>
      </c>
      <c r="E47" s="2551">
        <f>'TO Hrly (TO1-TO3)'!K12</f>
        <v>2.5190885601790693</v>
      </c>
      <c r="F47" s="2552">
        <f>'TO Ann (TO1-TO3)'!K12</f>
        <v>11.033607893584323</v>
      </c>
      <c r="G47" s="2551">
        <f>'TO Hrly (TO1-TO3)'!K13</f>
        <v>2.0880159999999997</v>
      </c>
      <c r="H47" s="2552">
        <f>'TO Ann (TO1-TO3)'!K13</f>
        <v>9.1455100799999975</v>
      </c>
      <c r="I47" s="2551">
        <f>'TO Hrly (TO1-TO3)'!H32</f>
        <v>0.62455189452722593</v>
      </c>
      <c r="J47" s="2552">
        <f>'TO Ann (TO1-TO3)'!H32</f>
        <v>2.7355372980292492</v>
      </c>
      <c r="K47" s="2551">
        <f>'TO Hrly (TO1-TO3)'!K14</f>
        <v>0.86237125715223051</v>
      </c>
      <c r="L47" s="2552">
        <f>'TO Ann (TO1-TO3)'!K14</f>
        <v>3.7771861063267695</v>
      </c>
      <c r="M47" s="2551">
        <f>O47</f>
        <v>0.23462099335001135</v>
      </c>
      <c r="N47" s="2552">
        <f>P47</f>
        <v>1.0276399508730496</v>
      </c>
      <c r="O47" s="2551">
        <f>'TO Hrly (TO1-TO3)'!K15</f>
        <v>0.23462099335001135</v>
      </c>
      <c r="P47" s="2552">
        <f>'TO Ann (TO1-TO3)'!K15</f>
        <v>1.0276399508730496</v>
      </c>
      <c r="Q47" s="2551">
        <f>'TO Hrly (TO1-TO3)'!H33</f>
        <v>8.0737606029044826E-2</v>
      </c>
      <c r="R47" s="2552">
        <f>'TO Ann (TO1-TO3)'!H33</f>
        <v>0.35363071440721638</v>
      </c>
      <c r="S47" s="4444">
        <f>'TO GHG-Flash '!H50+'TO GHG-Still'!H50</f>
        <v>101557.29956690592</v>
      </c>
      <c r="T47" s="4445"/>
      <c r="U47" s="44"/>
      <c r="W47" s="8"/>
    </row>
    <row r="48" spans="1:24" ht="44.25" customHeight="1">
      <c r="A48" s="36"/>
      <c r="B48" s="2520" t="str">
        <f>'2-A All'!B77</f>
        <v>Thermal Oxidizer</v>
      </c>
      <c r="C48" s="2455" t="str">
        <f>'2-A All'!A77</f>
        <v>TO2</v>
      </c>
      <c r="D48" s="2517" t="str">
        <f t="shared" si="0"/>
        <v>TO2</v>
      </c>
      <c r="E48" s="2548">
        <f>E47</f>
        <v>2.5190885601790693</v>
      </c>
      <c r="F48" s="2550">
        <f>F47</f>
        <v>11.033607893584323</v>
      </c>
      <c r="G48" s="2548">
        <f t="shared" ref="G48:R48" si="4">G47</f>
        <v>2.0880159999999997</v>
      </c>
      <c r="H48" s="2550">
        <f t="shared" si="4"/>
        <v>9.1455100799999975</v>
      </c>
      <c r="I48" s="2548">
        <f t="shared" si="4"/>
        <v>0.62455189452722593</v>
      </c>
      <c r="J48" s="2550">
        <f t="shared" si="4"/>
        <v>2.7355372980292492</v>
      </c>
      <c r="K48" s="2548">
        <f t="shared" si="4"/>
        <v>0.86237125715223051</v>
      </c>
      <c r="L48" s="2550">
        <f t="shared" si="4"/>
        <v>3.7771861063267695</v>
      </c>
      <c r="M48" s="2548">
        <f>M47</f>
        <v>0.23462099335001135</v>
      </c>
      <c r="N48" s="2550">
        <f>N47</f>
        <v>1.0276399508730496</v>
      </c>
      <c r="O48" s="2548">
        <f t="shared" si="4"/>
        <v>0.23462099335001135</v>
      </c>
      <c r="P48" s="2550">
        <f t="shared" si="4"/>
        <v>1.0276399508730496</v>
      </c>
      <c r="Q48" s="2548">
        <f t="shared" si="4"/>
        <v>8.0737606029044826E-2</v>
      </c>
      <c r="R48" s="2550">
        <f t="shared" si="4"/>
        <v>0.35363071440721638</v>
      </c>
      <c r="S48" s="4444">
        <f>S47</f>
        <v>101557.29956690592</v>
      </c>
      <c r="T48" s="4445"/>
      <c r="U48" s="44"/>
      <c r="V48" s="8"/>
      <c r="W48" s="8"/>
    </row>
    <row r="49" spans="1:72" ht="44.25" customHeight="1">
      <c r="A49" s="36"/>
      <c r="B49" s="2529" t="str">
        <f>'2-A All'!B79</f>
        <v>Thermal Oxidizer</v>
      </c>
      <c r="C49" s="2474" t="str">
        <f>'2-A All'!A79</f>
        <v>TO3</v>
      </c>
      <c r="D49" s="2530" t="str">
        <f t="shared" si="0"/>
        <v>TO3</v>
      </c>
      <c r="E49" s="2543">
        <f>E47</f>
        <v>2.5190885601790693</v>
      </c>
      <c r="F49" s="2544">
        <f>F47</f>
        <v>11.033607893584323</v>
      </c>
      <c r="G49" s="2543">
        <f t="shared" ref="G49:R49" si="5">G47</f>
        <v>2.0880159999999997</v>
      </c>
      <c r="H49" s="2544">
        <f t="shared" si="5"/>
        <v>9.1455100799999975</v>
      </c>
      <c r="I49" s="2543">
        <f t="shared" si="5"/>
        <v>0.62455189452722593</v>
      </c>
      <c r="J49" s="2544">
        <f t="shared" si="5"/>
        <v>2.7355372980292492</v>
      </c>
      <c r="K49" s="2543">
        <f t="shared" si="5"/>
        <v>0.86237125715223051</v>
      </c>
      <c r="L49" s="2544">
        <f t="shared" si="5"/>
        <v>3.7771861063267695</v>
      </c>
      <c r="M49" s="2543">
        <f>M47</f>
        <v>0.23462099335001135</v>
      </c>
      <c r="N49" s="2544">
        <f>N47</f>
        <v>1.0276399508730496</v>
      </c>
      <c r="O49" s="2543">
        <f t="shared" si="5"/>
        <v>0.23462099335001135</v>
      </c>
      <c r="P49" s="2544">
        <f t="shared" si="5"/>
        <v>1.0276399508730496</v>
      </c>
      <c r="Q49" s="2543">
        <f t="shared" si="5"/>
        <v>8.0737606029044826E-2</v>
      </c>
      <c r="R49" s="2544">
        <f t="shared" si="5"/>
        <v>0.35363071440721638</v>
      </c>
      <c r="S49" s="4433">
        <f>S47</f>
        <v>101557.29956690592</v>
      </c>
      <c r="T49" s="4434"/>
      <c r="U49" s="44"/>
      <c r="X49" s="8"/>
    </row>
    <row r="50" spans="1:72" ht="44.25" customHeight="1">
      <c r="A50" s="36"/>
      <c r="B50" s="2520" t="str">
        <f>'2-A All'!B81</f>
        <v>Fugitives</v>
      </c>
      <c r="C50" s="2471" t="str">
        <f>'2-A All'!A81</f>
        <v>FUG</v>
      </c>
      <c r="D50" s="2521" t="str">
        <f t="shared" si="0"/>
        <v>FUG</v>
      </c>
      <c r="E50" s="2553" t="s">
        <v>445</v>
      </c>
      <c r="F50" s="2554" t="s">
        <v>445</v>
      </c>
      <c r="G50" s="2553" t="s">
        <v>445</v>
      </c>
      <c r="H50" s="2554" t="s">
        <v>445</v>
      </c>
      <c r="I50" s="2540">
        <f>Fugitive!G72</f>
        <v>30.616050709592137</v>
      </c>
      <c r="J50" s="2542">
        <f>Fugitive!I72</f>
        <v>134.09830210801351</v>
      </c>
      <c r="K50" s="2553" t="s">
        <v>445</v>
      </c>
      <c r="L50" s="2554" t="s">
        <v>445</v>
      </c>
      <c r="M50" s="2553" t="s">
        <v>445</v>
      </c>
      <c r="N50" s="2554" t="s">
        <v>445</v>
      </c>
      <c r="O50" s="2553" t="s">
        <v>445</v>
      </c>
      <c r="P50" s="2554" t="s">
        <v>445</v>
      </c>
      <c r="Q50" s="2553">
        <f>'Fugitives HAPs'!G39</f>
        <v>1.8349882519246774</v>
      </c>
      <c r="R50" s="2554">
        <f>'Fugitives HAPs'!I39</f>
        <v>8.0372485434300867</v>
      </c>
      <c r="S50" s="4435">
        <f>'2-P_NoCo'!R30</f>
        <v>355.19068804717892</v>
      </c>
      <c r="T50" s="4436"/>
      <c r="U50" s="44"/>
    </row>
    <row r="51" spans="1:72" ht="44.25" customHeight="1">
      <c r="A51" s="36"/>
      <c r="B51" s="2520" t="str">
        <f>'2-A All'!B83</f>
        <v>Storage Tank SSM Emissions</v>
      </c>
      <c r="C51" s="2455" t="str">
        <f>'2-A All'!A83</f>
        <v>SSM</v>
      </c>
      <c r="D51" s="2517" t="str">
        <f t="shared" si="0"/>
        <v>SSM</v>
      </c>
      <c r="E51" s="2546" t="s">
        <v>445</v>
      </c>
      <c r="F51" s="2547" t="s">
        <v>445</v>
      </c>
      <c r="G51" s="2546" t="s">
        <v>445</v>
      </c>
      <c r="H51" s="2547" t="s">
        <v>445</v>
      </c>
      <c r="I51" s="2546" t="s">
        <v>445</v>
      </c>
      <c r="J51" s="2549">
        <v>10</v>
      </c>
      <c r="K51" s="2546" t="s">
        <v>445</v>
      </c>
      <c r="L51" s="2547" t="s">
        <v>445</v>
      </c>
      <c r="M51" s="2546" t="s">
        <v>445</v>
      </c>
      <c r="N51" s="2547" t="s">
        <v>445</v>
      </c>
      <c r="O51" s="2546" t="s">
        <v>445</v>
      </c>
      <c r="P51" s="2547" t="s">
        <v>445</v>
      </c>
      <c r="Q51" s="2546" t="s">
        <v>445</v>
      </c>
      <c r="R51" s="2547" t="s">
        <v>445</v>
      </c>
      <c r="S51" s="4437" t="s">
        <v>445</v>
      </c>
      <c r="T51" s="4438"/>
      <c r="U51" s="44"/>
    </row>
    <row r="52" spans="1:72" s="53" customFormat="1" ht="44.25" customHeight="1">
      <c r="A52" s="1656"/>
      <c r="B52" s="2529" t="str">
        <f>'2-A All'!B85</f>
        <v>Haul Road Fugitives</v>
      </c>
      <c r="C52" s="2474" t="str">
        <f>'2-A All'!A85</f>
        <v>ROAD</v>
      </c>
      <c r="D52" s="2530" t="str">
        <f t="shared" si="0"/>
        <v>ROAD</v>
      </c>
      <c r="E52" s="2555" t="s">
        <v>445</v>
      </c>
      <c r="F52" s="2556" t="s">
        <v>445</v>
      </c>
      <c r="G52" s="2555" t="s">
        <v>445</v>
      </c>
      <c r="H52" s="2556" t="s">
        <v>445</v>
      </c>
      <c r="I52" s="2555" t="s">
        <v>445</v>
      </c>
      <c r="J52" s="2556" t="s">
        <v>445</v>
      </c>
      <c r="K52" s="2555" t="s">
        <v>445</v>
      </c>
      <c r="L52" s="2556" t="s">
        <v>445</v>
      </c>
      <c r="M52" s="2557">
        <f>Road!C24</f>
        <v>2.7556902133370476</v>
      </c>
      <c r="N52" s="2558">
        <f>Road!C25</f>
        <v>8.8254079636430482</v>
      </c>
      <c r="O52" s="2557">
        <f>Road!F24</f>
        <v>0.70232409971011567</v>
      </c>
      <c r="P52" s="2558">
        <f>Road!F25</f>
        <v>2.2492719510493018</v>
      </c>
      <c r="Q52" s="2555" t="s">
        <v>445</v>
      </c>
      <c r="R52" s="2556" t="s">
        <v>445</v>
      </c>
      <c r="S52" s="4439" t="s">
        <v>445</v>
      </c>
      <c r="T52" s="4440"/>
      <c r="U52" s="1655"/>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ht="44.25" customHeight="1">
      <c r="A53" s="36"/>
      <c r="B53" s="2520" t="str">
        <f>'2-A All'!B87</f>
        <v>Produced Water Tank 1</v>
      </c>
      <c r="C53" s="2471" t="str">
        <f>'2-A All'!A87</f>
        <v>PWTK1</v>
      </c>
      <c r="D53" s="2521" t="str">
        <f t="shared" si="0"/>
        <v>PWTK1</v>
      </c>
      <c r="E53" s="4441" t="str">
        <f>E40</f>
        <v>Emissions represented at ECD1.</v>
      </c>
      <c r="F53" s="4442"/>
      <c r="G53" s="4442"/>
      <c r="H53" s="4442"/>
      <c r="I53" s="4442"/>
      <c r="J53" s="4442"/>
      <c r="K53" s="4442"/>
      <c r="L53" s="4442"/>
      <c r="M53" s="4442"/>
      <c r="N53" s="4442"/>
      <c r="O53" s="4442"/>
      <c r="P53" s="4442"/>
      <c r="Q53" s="4442"/>
      <c r="R53" s="4442"/>
      <c r="S53" s="4442"/>
      <c r="T53" s="4443"/>
      <c r="U53" s="44"/>
    </row>
    <row r="54" spans="1:72" s="53" customFormat="1" ht="44.25" customHeight="1">
      <c r="A54" s="36"/>
      <c r="B54" s="2520" t="str">
        <f>'2-A All'!B89</f>
        <v>Produced Water Tank 2</v>
      </c>
      <c r="C54" s="2471" t="str">
        <f>'2-A All'!A89</f>
        <v>PWTK2</v>
      </c>
      <c r="D54" s="2521" t="str">
        <f t="shared" si="0"/>
        <v>PWTK2</v>
      </c>
      <c r="E54" s="4441" t="str">
        <f>E53</f>
        <v>Emissions represented at ECD1.</v>
      </c>
      <c r="F54" s="4442"/>
      <c r="G54" s="4442"/>
      <c r="H54" s="4442"/>
      <c r="I54" s="4442"/>
      <c r="J54" s="4442"/>
      <c r="K54" s="4442"/>
      <c r="L54" s="4442"/>
      <c r="M54" s="4442"/>
      <c r="N54" s="4442"/>
      <c r="O54" s="4442"/>
      <c r="P54" s="4442"/>
      <c r="Q54" s="4442"/>
      <c r="R54" s="4442"/>
      <c r="S54" s="4442"/>
      <c r="T54" s="4443"/>
      <c r="U54" s="44"/>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row>
    <row r="55" spans="1:72" ht="44.25" customHeight="1">
      <c r="A55" s="36"/>
      <c r="B55" s="2520" t="str">
        <f>'2-A All'!B91</f>
        <v>Produced Water Loading</v>
      </c>
      <c r="C55" s="2455" t="str">
        <f>'2-A All'!A91</f>
        <v>PWTL</v>
      </c>
      <c r="D55" s="2517" t="str">
        <f t="shared" si="0"/>
        <v>PWTL</v>
      </c>
      <c r="E55" s="2546" t="s">
        <v>445</v>
      </c>
      <c r="F55" s="2547" t="s">
        <v>445</v>
      </c>
      <c r="G55" s="2546" t="s">
        <v>445</v>
      </c>
      <c r="H55" s="2547" t="s">
        <v>445</v>
      </c>
      <c r="I55" s="2548">
        <f>'Load-H2O'!F33</f>
        <v>0.39339345182963747</v>
      </c>
      <c r="J55" s="2549">
        <f>'Load-H2O'!G33</f>
        <v>2.4902276270262185</v>
      </c>
      <c r="K55" s="2546" t="s">
        <v>445</v>
      </c>
      <c r="L55" s="2547" t="s">
        <v>445</v>
      </c>
      <c r="M55" s="2546" t="s">
        <v>445</v>
      </c>
      <c r="N55" s="2547" t="s">
        <v>445</v>
      </c>
      <c r="O55" s="2546" t="s">
        <v>445</v>
      </c>
      <c r="P55" s="2547" t="s">
        <v>445</v>
      </c>
      <c r="Q55" s="2546">
        <f>'Load-H2O'!F37</f>
        <v>1.1042554192857925E-3</v>
      </c>
      <c r="R55" s="2547">
        <f>'Load-H2O'!G37</f>
        <v>6.9900689490625953E-3</v>
      </c>
      <c r="S55" s="4437" t="s">
        <v>445</v>
      </c>
      <c r="T55" s="4438"/>
      <c r="U55" s="44"/>
    </row>
    <row r="56" spans="1:72" ht="44.25" customHeight="1">
      <c r="A56" s="36"/>
      <c r="B56" s="2520" t="str">
        <f>'2-A All'!B93</f>
        <v>Slop Oil Loading</v>
      </c>
      <c r="C56" s="2455" t="str">
        <f>'2-A All'!A93</f>
        <v>OTL</v>
      </c>
      <c r="D56" s="2517" t="str">
        <f>C56</f>
        <v>OTL</v>
      </c>
      <c r="E56" s="2546" t="s">
        <v>445</v>
      </c>
      <c r="F56" s="2547" t="s">
        <v>445</v>
      </c>
      <c r="G56" s="2546" t="s">
        <v>445</v>
      </c>
      <c r="H56" s="2547" t="s">
        <v>445</v>
      </c>
      <c r="I56" s="2559">
        <f>'Load-Slop Oil'!F43</f>
        <v>0.70811875941945179</v>
      </c>
      <c r="J56" s="2560">
        <f>'Load-Slop Oil'!G43</f>
        <v>0.13418016263117355</v>
      </c>
      <c r="K56" s="2546" t="s">
        <v>445</v>
      </c>
      <c r="L56" s="2547" t="s">
        <v>445</v>
      </c>
      <c r="M56" s="2546" t="s">
        <v>445</v>
      </c>
      <c r="N56" s="2547" t="s">
        <v>445</v>
      </c>
      <c r="O56" s="2546" t="s">
        <v>445</v>
      </c>
      <c r="P56" s="2547" t="s">
        <v>445</v>
      </c>
      <c r="Q56" s="2546">
        <f>'Load-Slop Oil'!F47</f>
        <v>1.9188444012397846E-2</v>
      </c>
      <c r="R56" s="2547">
        <f>'Load-Slop Oil'!G47</f>
        <v>3.6359840831410471E-3</v>
      </c>
      <c r="S56" s="4437" t="s">
        <v>445</v>
      </c>
      <c r="T56" s="4438"/>
      <c r="U56" s="44"/>
    </row>
    <row r="57" spans="1:72" s="53" customFormat="1" ht="44.25" customHeight="1">
      <c r="A57" s="36"/>
      <c r="B57" s="2520" t="str">
        <f>'2-A All'!B95</f>
        <v>Amine Unit 1</v>
      </c>
      <c r="C57" s="2455" t="str">
        <f>'2-A All'!A95</f>
        <v>AU1</v>
      </c>
      <c r="D57" s="2517" t="str">
        <f t="shared" si="0"/>
        <v>AU1</v>
      </c>
      <c r="E57" s="4427" t="s">
        <v>1459</v>
      </c>
      <c r="F57" s="4428"/>
      <c r="G57" s="4428"/>
      <c r="H57" s="4428"/>
      <c r="I57" s="4428"/>
      <c r="J57" s="4428"/>
      <c r="K57" s="4428"/>
      <c r="L57" s="4428"/>
      <c r="M57" s="4429"/>
      <c r="N57" s="4429"/>
      <c r="O57" s="4428"/>
      <c r="P57" s="4428"/>
      <c r="Q57" s="4428"/>
      <c r="R57" s="4428"/>
      <c r="S57" s="4428"/>
      <c r="T57" s="4430"/>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44.25" customHeight="1">
      <c r="A58" s="36"/>
      <c r="B58" s="2520" t="str">
        <f>'2-A All'!B97</f>
        <v>Amine Unit 2</v>
      </c>
      <c r="C58" s="2455" t="str">
        <f>'2-A All'!A97</f>
        <v>AU2</v>
      </c>
      <c r="D58" s="2517" t="str">
        <f t="shared" si="0"/>
        <v>AU2</v>
      </c>
      <c r="E58" s="4427" t="s">
        <v>1460</v>
      </c>
      <c r="F58" s="4428"/>
      <c r="G58" s="4428"/>
      <c r="H58" s="4428"/>
      <c r="I58" s="4428"/>
      <c r="J58" s="4428"/>
      <c r="K58" s="4428"/>
      <c r="L58" s="4428"/>
      <c r="M58" s="4429"/>
      <c r="N58" s="4429"/>
      <c r="O58" s="4428"/>
      <c r="P58" s="4428"/>
      <c r="Q58" s="4428"/>
      <c r="R58" s="4428"/>
      <c r="S58" s="4428"/>
      <c r="T58" s="4430"/>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s="53" customFormat="1" ht="44.25" customHeight="1">
      <c r="A59" s="36"/>
      <c r="B59" s="2520" t="str">
        <f>'2-A All'!B99</f>
        <v>Amine Unit 3</v>
      </c>
      <c r="C59" s="2455" t="str">
        <f>'2-A All'!A99</f>
        <v>AU3</v>
      </c>
      <c r="D59" s="2517" t="str">
        <f t="shared" si="0"/>
        <v>AU3</v>
      </c>
      <c r="E59" s="4427" t="s">
        <v>1461</v>
      </c>
      <c r="F59" s="4428"/>
      <c r="G59" s="4428"/>
      <c r="H59" s="4428"/>
      <c r="I59" s="4428"/>
      <c r="J59" s="4428"/>
      <c r="K59" s="4428"/>
      <c r="L59" s="4428"/>
      <c r="M59" s="4429"/>
      <c r="N59" s="4429"/>
      <c r="O59" s="4428"/>
      <c r="P59" s="4428"/>
      <c r="Q59" s="4428"/>
      <c r="R59" s="4428"/>
      <c r="S59" s="4428"/>
      <c r="T59" s="4430"/>
      <c r="U59" s="44"/>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row>
    <row r="60" spans="1:72" s="53" customFormat="1" ht="44.25" customHeight="1">
      <c r="A60" s="36"/>
      <c r="B60" s="2520" t="str">
        <f>'2-A All'!B101</f>
        <v>Gunbarrel Tank</v>
      </c>
      <c r="C60" s="2455" t="str">
        <f>'2-A All'!A101</f>
        <v>GBS1</v>
      </c>
      <c r="D60" s="2533" t="str">
        <f t="shared" ref="D60:D69" si="6">C60</f>
        <v>GBS1</v>
      </c>
      <c r="E60" s="4427" t="str">
        <f>E53</f>
        <v>Emissions represented at ECD1.</v>
      </c>
      <c r="F60" s="4428"/>
      <c r="G60" s="4428"/>
      <c r="H60" s="4428"/>
      <c r="I60" s="4428"/>
      <c r="J60" s="4428"/>
      <c r="K60" s="4428"/>
      <c r="L60" s="4428"/>
      <c r="M60" s="4429"/>
      <c r="N60" s="4429"/>
      <c r="O60" s="4428"/>
      <c r="P60" s="4428"/>
      <c r="Q60" s="4428"/>
      <c r="R60" s="4428"/>
      <c r="S60" s="4428"/>
      <c r="T60" s="4430"/>
      <c r="U60" s="44"/>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row>
    <row r="61" spans="1:72" s="53" customFormat="1" ht="44.25" customHeight="1">
      <c r="A61" s="36"/>
      <c r="B61" s="2854" t="str">
        <f>'2-A All'!B103</f>
        <v>Slop Oil Tank</v>
      </c>
      <c r="C61" s="2474" t="str">
        <f>'2-A All'!A103</f>
        <v>OTK7</v>
      </c>
      <c r="D61" s="2855" t="str">
        <f t="shared" si="6"/>
        <v>OTK7</v>
      </c>
      <c r="E61" s="4431" t="str">
        <f>E54</f>
        <v>Emissions represented at ECD1.</v>
      </c>
      <c r="F61" s="4429"/>
      <c r="G61" s="4429"/>
      <c r="H61" s="4429"/>
      <c r="I61" s="4429"/>
      <c r="J61" s="4429"/>
      <c r="K61" s="4429"/>
      <c r="L61" s="4429"/>
      <c r="M61" s="4429"/>
      <c r="N61" s="4429"/>
      <c r="O61" s="4429"/>
      <c r="P61" s="4429"/>
      <c r="Q61" s="4429"/>
      <c r="R61" s="4429"/>
      <c r="S61" s="4429"/>
      <c r="T61" s="4432"/>
      <c r="U61" s="44"/>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row>
    <row r="62" spans="1:72" s="53" customFormat="1" ht="44.25" customHeight="1">
      <c r="A62" s="36"/>
      <c r="B62" s="2520" t="str">
        <f>'2-A All'!B113</f>
        <v>Emergency Generator</v>
      </c>
      <c r="C62" s="2640" t="str">
        <f>'2-A All'!A113</f>
        <v>GEN1</v>
      </c>
      <c r="D62" s="2521" t="str">
        <f t="shared" si="6"/>
        <v>GEN1</v>
      </c>
      <c r="E62" s="2546">
        <f>'Summary-Co'!E53</f>
        <v>7.6014109347442673</v>
      </c>
      <c r="F62" s="2547">
        <f>'Summary-Co'!F53</f>
        <v>0.38007054673721336</v>
      </c>
      <c r="G62" s="2546">
        <f>'Summary-Co'!G53</f>
        <v>12.770370370370369</v>
      </c>
      <c r="H62" s="2547">
        <f>'Summary-Co'!H53</f>
        <v>0.63851851851851849</v>
      </c>
      <c r="I62" s="2546">
        <f>'Summary-Co'!I53</f>
        <v>4.887584801621446</v>
      </c>
      <c r="J62" s="2547">
        <f>'Summary-Co'!J53</f>
        <v>0.24437924008107231</v>
      </c>
      <c r="K62" s="2546">
        <f>'Summary-Co'!K53</f>
        <v>5.268486050420168E-2</v>
      </c>
      <c r="L62" s="2547">
        <f>'Summary-Co'!L53</f>
        <v>2.6342430252100841E-3</v>
      </c>
      <c r="M62" s="2546">
        <f>'Summary-Co'!M53</f>
        <v>0.21023717968</v>
      </c>
      <c r="N62" s="2547">
        <f>'Summary-Co'!N53</f>
        <v>1.0511858984E-2</v>
      </c>
      <c r="O62" s="2546">
        <f>'Summary-Co'!O53</f>
        <v>0.21023717968</v>
      </c>
      <c r="P62" s="2547">
        <f>'Summary-Co'!P53</f>
        <v>1.0511858984E-2</v>
      </c>
      <c r="Q62" s="2546">
        <f>'Summary-Co'!Q53</f>
        <v>2.0982598998460671</v>
      </c>
      <c r="R62" s="2547">
        <f>'Summary-Co'!R53</f>
        <v>0.10491299499230333</v>
      </c>
      <c r="S62" s="4421">
        <f>'Summary-Co'!S53:T53</f>
        <v>157.09885782590544</v>
      </c>
      <c r="T62" s="4422"/>
      <c r="U62" s="44"/>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row>
    <row r="63" spans="1:72" s="53" customFormat="1" ht="44.25" customHeight="1">
      <c r="A63" s="36"/>
      <c r="B63" s="2520" t="str">
        <f>'2-A All'!B115</f>
        <v>Emergency Generator</v>
      </c>
      <c r="C63" s="2455" t="str">
        <f>'2-A All'!A115</f>
        <v>GEN2</v>
      </c>
      <c r="D63" s="2517" t="str">
        <f t="shared" si="6"/>
        <v>GEN2</v>
      </c>
      <c r="E63" s="2546">
        <f>'Summary-Co'!E54</f>
        <v>7.6014109347442673</v>
      </c>
      <c r="F63" s="2547">
        <f>'Summary-Co'!F54</f>
        <v>0.38007054673721336</v>
      </c>
      <c r="G63" s="2546">
        <f>'Summary-Co'!G54</f>
        <v>12.770370370370369</v>
      </c>
      <c r="H63" s="2547">
        <f>'Summary-Co'!H54</f>
        <v>0.63851851851851849</v>
      </c>
      <c r="I63" s="2546">
        <f>'Summary-Co'!I54</f>
        <v>4.887584801621446</v>
      </c>
      <c r="J63" s="2547">
        <f>'Summary-Co'!J54</f>
        <v>0.24437924008107231</v>
      </c>
      <c r="K63" s="2546">
        <f>'Summary-Co'!K54</f>
        <v>5.268486050420168E-2</v>
      </c>
      <c r="L63" s="2547">
        <f>'Summary-Co'!L54</f>
        <v>2.6342430252100841E-3</v>
      </c>
      <c r="M63" s="2546">
        <f>'Summary-Co'!M54</f>
        <v>0.21023717968</v>
      </c>
      <c r="N63" s="2547">
        <f>'Summary-Co'!N54</f>
        <v>1.0511858984E-2</v>
      </c>
      <c r="O63" s="2546">
        <f>'Summary-Co'!O54</f>
        <v>0.21023717968</v>
      </c>
      <c r="P63" s="2547">
        <f>'Summary-Co'!P54</f>
        <v>1.0511858984E-2</v>
      </c>
      <c r="Q63" s="2546">
        <f>'Summary-Co'!Q54</f>
        <v>2.0982598998460671</v>
      </c>
      <c r="R63" s="2547">
        <f>'Summary-Co'!R54</f>
        <v>0.10491299499230333</v>
      </c>
      <c r="S63" s="4421">
        <f>'Summary-Co'!S54:T54</f>
        <v>157.09885782590544</v>
      </c>
      <c r="T63" s="4422"/>
      <c r="U63" s="44"/>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row>
    <row r="64" spans="1:72" s="53" customFormat="1" ht="44.25" customHeight="1">
      <c r="A64" s="36"/>
      <c r="B64" s="2520" t="str">
        <f>'2-A All'!B117</f>
        <v>Emergency Generator</v>
      </c>
      <c r="C64" s="2455" t="str">
        <f>'2-A All'!A117</f>
        <v>GEN3</v>
      </c>
      <c r="D64" s="2517" t="str">
        <f t="shared" si="6"/>
        <v>GEN3</v>
      </c>
      <c r="E64" s="2546">
        <f>'Summary-Co'!E55</f>
        <v>7.6014109347442673</v>
      </c>
      <c r="F64" s="2547">
        <f>'Summary-Co'!F55</f>
        <v>0.38007054673721336</v>
      </c>
      <c r="G64" s="2546">
        <f>'Summary-Co'!G55</f>
        <v>12.770370370370369</v>
      </c>
      <c r="H64" s="2547">
        <f>'Summary-Co'!H55</f>
        <v>0.63851851851851849</v>
      </c>
      <c r="I64" s="2546">
        <f>'Summary-Co'!I55</f>
        <v>4.887584801621446</v>
      </c>
      <c r="J64" s="2547">
        <f>'Summary-Co'!J55</f>
        <v>0.24437924008107231</v>
      </c>
      <c r="K64" s="2546">
        <f>'Summary-Co'!K55</f>
        <v>5.268486050420168E-2</v>
      </c>
      <c r="L64" s="2547">
        <f>'Summary-Co'!L55</f>
        <v>2.6342430252100841E-3</v>
      </c>
      <c r="M64" s="2546">
        <f>'Summary-Co'!M55</f>
        <v>0.21023717968</v>
      </c>
      <c r="N64" s="2547">
        <f>'Summary-Co'!N55</f>
        <v>1.0511858984E-2</v>
      </c>
      <c r="O64" s="2546">
        <f>'Summary-Co'!O55</f>
        <v>0.21023717968</v>
      </c>
      <c r="P64" s="2547">
        <f>'Summary-Co'!P55</f>
        <v>1.0511858984E-2</v>
      </c>
      <c r="Q64" s="2546">
        <f>'Summary-Co'!Q55</f>
        <v>2.0982598998460671</v>
      </c>
      <c r="R64" s="2547">
        <f>'Summary-Co'!R55</f>
        <v>0.10491299499230333</v>
      </c>
      <c r="S64" s="4421">
        <f>'Summary-Co'!S55:T55</f>
        <v>157.09885782590544</v>
      </c>
      <c r="T64" s="4422"/>
      <c r="U64" s="44"/>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row>
    <row r="65" spans="1:72" s="53" customFormat="1" ht="44.25" customHeight="1">
      <c r="A65" s="36"/>
      <c r="B65" s="2520" t="str">
        <f>'2-A All'!B119</f>
        <v>Emergency Generator</v>
      </c>
      <c r="C65" s="2455" t="str">
        <f>'2-A All'!A119</f>
        <v>GEN4</v>
      </c>
      <c r="D65" s="2533" t="str">
        <f t="shared" si="6"/>
        <v>GEN4</v>
      </c>
      <c r="E65" s="2546">
        <f>'Summary-Co'!E56</f>
        <v>7.6014109347442673</v>
      </c>
      <c r="F65" s="2547">
        <f>'Summary-Co'!F56</f>
        <v>0.38007054673721336</v>
      </c>
      <c r="G65" s="2546">
        <f>'Summary-Co'!G56</f>
        <v>12.770370370370369</v>
      </c>
      <c r="H65" s="2547">
        <f>'Summary-Co'!H56</f>
        <v>0.63851851851851849</v>
      </c>
      <c r="I65" s="2546">
        <f>'Summary-Co'!I56</f>
        <v>4.887584801621446</v>
      </c>
      <c r="J65" s="2547">
        <f>'Summary-Co'!J56</f>
        <v>0.24437924008107231</v>
      </c>
      <c r="K65" s="2546">
        <f>'Summary-Co'!K56</f>
        <v>5.268486050420168E-2</v>
      </c>
      <c r="L65" s="2547">
        <f>'Summary-Co'!L56</f>
        <v>2.6342430252100841E-3</v>
      </c>
      <c r="M65" s="2546">
        <f>'Summary-Co'!M56</f>
        <v>0.21023717968</v>
      </c>
      <c r="N65" s="2547">
        <f>'Summary-Co'!N56</f>
        <v>1.0511858984E-2</v>
      </c>
      <c r="O65" s="2546">
        <f>'Summary-Co'!O56</f>
        <v>0.21023717968</v>
      </c>
      <c r="P65" s="2547">
        <f>'Summary-Co'!P56</f>
        <v>1.0511858984E-2</v>
      </c>
      <c r="Q65" s="2546">
        <f>'Summary-Co'!Q56</f>
        <v>2.0982598998460671</v>
      </c>
      <c r="R65" s="2547">
        <f>'Summary-Co'!R56</f>
        <v>0.10491299499230333</v>
      </c>
      <c r="S65" s="4421">
        <f>'Summary-Co'!S56:T56</f>
        <v>157.09885782590544</v>
      </c>
      <c r="T65" s="4422"/>
      <c r="U65" s="44"/>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row>
    <row r="66" spans="1:72" s="53" customFormat="1" ht="44.25" customHeight="1">
      <c r="A66" s="36"/>
      <c r="B66" s="2854" t="str">
        <f>'2-A All'!B121</f>
        <v>Emergency Generator</v>
      </c>
      <c r="C66" s="2474" t="str">
        <f>'2-A All'!A121</f>
        <v>GEN5</v>
      </c>
      <c r="D66" s="2855" t="str">
        <f t="shared" si="6"/>
        <v>GEN5</v>
      </c>
      <c r="E66" s="2555">
        <f>'Summary-Co'!E57</f>
        <v>7.6014109347442673</v>
      </c>
      <c r="F66" s="2556">
        <f>'Summary-Co'!F57</f>
        <v>0.38007054673721336</v>
      </c>
      <c r="G66" s="2555">
        <f>'Summary-Co'!G57</f>
        <v>12.770370370370369</v>
      </c>
      <c r="H66" s="2556">
        <f>'Summary-Co'!H57</f>
        <v>0.63851851851851849</v>
      </c>
      <c r="I66" s="2555">
        <f>'Summary-Co'!I57</f>
        <v>4.887584801621446</v>
      </c>
      <c r="J66" s="2556">
        <f>'Summary-Co'!J57</f>
        <v>0.24437924008107231</v>
      </c>
      <c r="K66" s="2555">
        <f>'Summary-Co'!K57</f>
        <v>5.268486050420168E-2</v>
      </c>
      <c r="L66" s="2556">
        <f>'Summary-Co'!L57</f>
        <v>2.6342430252100841E-3</v>
      </c>
      <c r="M66" s="2555">
        <f>'Summary-Co'!M57</f>
        <v>0.21023717968</v>
      </c>
      <c r="N66" s="2556">
        <f>'Summary-Co'!N57</f>
        <v>1.0511858984E-2</v>
      </c>
      <c r="O66" s="2555">
        <f>'Summary-Co'!O57</f>
        <v>0.21023717968</v>
      </c>
      <c r="P66" s="2556">
        <f>'Summary-Co'!P57</f>
        <v>1.0511858984E-2</v>
      </c>
      <c r="Q66" s="2555">
        <f>'Summary-Co'!Q57</f>
        <v>2.0982598998460671</v>
      </c>
      <c r="R66" s="2556">
        <f>'Summary-Co'!R57</f>
        <v>0.10491299499230333</v>
      </c>
      <c r="S66" s="4421">
        <f>'Summary-Co'!S57:T57</f>
        <v>157.09885782590544</v>
      </c>
      <c r="T66" s="4422"/>
      <c r="U66" s="44"/>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row>
    <row r="67" spans="1:72" s="53" customFormat="1" ht="44.25" customHeight="1">
      <c r="A67" s="36"/>
      <c r="B67" s="2520" t="str">
        <f>'2-A All'!B123</f>
        <v>Emergency Generator</v>
      </c>
      <c r="C67" s="2969" t="str">
        <f>'2-A All'!A123</f>
        <v>GEN6</v>
      </c>
      <c r="D67" s="2521" t="str">
        <f t="shared" si="6"/>
        <v>GEN6</v>
      </c>
      <c r="E67" s="2553">
        <f>'Summary-Co'!E58</f>
        <v>7.6014109347442673</v>
      </c>
      <c r="F67" s="2554">
        <f>'Summary-Co'!F58</f>
        <v>0.38007054673721336</v>
      </c>
      <c r="G67" s="2553">
        <f>'Summary-Co'!G58</f>
        <v>12.770370370370369</v>
      </c>
      <c r="H67" s="2554">
        <f>'Summary-Co'!H58</f>
        <v>0.63851851851851849</v>
      </c>
      <c r="I67" s="2553">
        <f>'Summary-Co'!I58</f>
        <v>4.887584801621446</v>
      </c>
      <c r="J67" s="2554">
        <f>'Summary-Co'!J58</f>
        <v>0.24437924008107231</v>
      </c>
      <c r="K67" s="2553">
        <f>'Summary-Co'!K58</f>
        <v>5.268486050420168E-2</v>
      </c>
      <c r="L67" s="2554">
        <f>'Summary-Co'!L58</f>
        <v>2.6342430252100841E-3</v>
      </c>
      <c r="M67" s="2553">
        <f>'Summary-Co'!M58</f>
        <v>0.21023717968</v>
      </c>
      <c r="N67" s="2554">
        <f>'Summary-Co'!N58</f>
        <v>1.0511858984E-2</v>
      </c>
      <c r="O67" s="2553">
        <f>'Summary-Co'!O58</f>
        <v>0.21023717968</v>
      </c>
      <c r="P67" s="2554">
        <f>'Summary-Co'!P58</f>
        <v>1.0511858984E-2</v>
      </c>
      <c r="Q67" s="2553">
        <f>'Summary-Co'!Q58</f>
        <v>2.0982598998460671</v>
      </c>
      <c r="R67" s="2554">
        <f>'Summary-Co'!R58</f>
        <v>0.10491299499230333</v>
      </c>
      <c r="S67" s="4421">
        <f>'Summary-Co'!S58:T58</f>
        <v>157.09885782590544</v>
      </c>
      <c r="T67" s="4422"/>
      <c r="U67" s="44"/>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row>
    <row r="68" spans="1:72" s="53" customFormat="1" ht="44.25" customHeight="1">
      <c r="A68" s="36"/>
      <c r="B68" s="2520" t="str">
        <f>'2-A All'!B125</f>
        <v>Emergency Generator</v>
      </c>
      <c r="C68" s="2455" t="str">
        <f>'2-A All'!A125</f>
        <v>GEN7</v>
      </c>
      <c r="D68" s="2533" t="str">
        <f t="shared" si="6"/>
        <v>GEN7</v>
      </c>
      <c r="E68" s="2546">
        <f>'Summary-Co'!E59</f>
        <v>7.6014109347442673</v>
      </c>
      <c r="F68" s="2547">
        <f>'Summary-Co'!F59</f>
        <v>0.38007054673721336</v>
      </c>
      <c r="G68" s="2546">
        <f>'Summary-Co'!G59</f>
        <v>12.770370370370369</v>
      </c>
      <c r="H68" s="2547">
        <f>'Summary-Co'!H59</f>
        <v>0.63851851851851849</v>
      </c>
      <c r="I68" s="2546">
        <f>'Summary-Co'!I59</f>
        <v>4.887584801621446</v>
      </c>
      <c r="J68" s="2547">
        <f>'Summary-Co'!J59</f>
        <v>0.24437924008107231</v>
      </c>
      <c r="K68" s="2546">
        <f>'Summary-Co'!K59</f>
        <v>5.268486050420168E-2</v>
      </c>
      <c r="L68" s="2547">
        <f>'Summary-Co'!L59</f>
        <v>2.6342430252100841E-3</v>
      </c>
      <c r="M68" s="2546">
        <f>'Summary-Co'!M59</f>
        <v>0.21023717968</v>
      </c>
      <c r="N68" s="2547">
        <f>'Summary-Co'!N59</f>
        <v>1.0511858984E-2</v>
      </c>
      <c r="O68" s="2546">
        <f>'Summary-Co'!O59</f>
        <v>0.21023717968</v>
      </c>
      <c r="P68" s="2547">
        <f>'Summary-Co'!P59</f>
        <v>1.0511858984E-2</v>
      </c>
      <c r="Q68" s="2546">
        <f>'Summary-Co'!Q59</f>
        <v>2.0982598998460671</v>
      </c>
      <c r="R68" s="2547">
        <f>'Summary-Co'!R59</f>
        <v>0.10491299499230333</v>
      </c>
      <c r="S68" s="4421">
        <f>'Summary-Co'!S59:T59</f>
        <v>157.09885782590544</v>
      </c>
      <c r="T68" s="4422"/>
      <c r="U68" s="44"/>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row>
    <row r="69" spans="1:72" s="53" customFormat="1" ht="44.25" customHeight="1" thickBot="1">
      <c r="A69" s="36"/>
      <c r="B69" s="2534" t="str">
        <f>'2-A All'!B127</f>
        <v>Emergency Generator</v>
      </c>
      <c r="C69" s="2468" t="str">
        <f>'2-A All'!A127</f>
        <v>GEN8</v>
      </c>
      <c r="D69" s="2535" t="str">
        <f t="shared" si="6"/>
        <v>GEN8</v>
      </c>
      <c r="E69" s="2866">
        <f>'Summary-Co'!E60</f>
        <v>7.6014109347442673</v>
      </c>
      <c r="F69" s="2867">
        <f>'Summary-Co'!F60</f>
        <v>0.38007054673721336</v>
      </c>
      <c r="G69" s="2866">
        <f>'Summary-Co'!G60</f>
        <v>12.770370370370369</v>
      </c>
      <c r="H69" s="2867">
        <f>'Summary-Co'!H60</f>
        <v>0.63851851851851849</v>
      </c>
      <c r="I69" s="2866">
        <f>'Summary-Co'!I60</f>
        <v>4.887584801621446</v>
      </c>
      <c r="J69" s="2867">
        <f>'Summary-Co'!J60</f>
        <v>0.24437924008107231</v>
      </c>
      <c r="K69" s="2866">
        <f>'Summary-Co'!K60</f>
        <v>5.268486050420168E-2</v>
      </c>
      <c r="L69" s="2867">
        <f>'Summary-Co'!L60</f>
        <v>2.6342430252100841E-3</v>
      </c>
      <c r="M69" s="2866">
        <f>'Summary-Co'!M60</f>
        <v>0.21023717968</v>
      </c>
      <c r="N69" s="2867">
        <f>'Summary-Co'!N60</f>
        <v>1.0511858984E-2</v>
      </c>
      <c r="O69" s="2866">
        <f>'Summary-Co'!O60</f>
        <v>0.21023717968</v>
      </c>
      <c r="P69" s="2867">
        <f>'Summary-Co'!P60</f>
        <v>1.0511858984E-2</v>
      </c>
      <c r="Q69" s="2866">
        <f>'Summary-Co'!Q60</f>
        <v>2.0982598998460671</v>
      </c>
      <c r="R69" s="2867">
        <f>'Summary-Co'!R60</f>
        <v>0.10491299499230333</v>
      </c>
      <c r="S69" s="4423">
        <f>'Summary-Co'!S60:T60</f>
        <v>157.09885782590544</v>
      </c>
      <c r="T69" s="4424"/>
      <c r="U69" s="44"/>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row>
    <row r="70" spans="1:72" ht="24" customHeight="1" thickBot="1">
      <c r="A70" s="36"/>
      <c r="B70" s="180"/>
      <c r="C70" s="180"/>
      <c r="D70" s="180"/>
      <c r="E70" s="181"/>
      <c r="F70" s="181"/>
      <c r="G70" s="181"/>
      <c r="H70" s="182"/>
      <c r="I70" s="182"/>
      <c r="J70" s="182"/>
      <c r="K70" s="182"/>
      <c r="L70" s="182"/>
      <c r="M70" s="182"/>
      <c r="N70" s="182"/>
      <c r="O70" s="182"/>
      <c r="P70" s="182"/>
      <c r="Q70" s="182"/>
      <c r="R70" s="182"/>
      <c r="S70" s="182"/>
      <c r="T70" s="182"/>
      <c r="U70" s="44"/>
    </row>
    <row r="71" spans="1:72" s="9" customFormat="1" ht="58.5" customHeight="1">
      <c r="A71" s="23"/>
      <c r="B71" s="4310" t="s">
        <v>1824</v>
      </c>
      <c r="C71" s="4315"/>
      <c r="D71" s="4316"/>
      <c r="E71" s="4310" t="s">
        <v>21</v>
      </c>
      <c r="F71" s="4316"/>
      <c r="G71" s="4310" t="s">
        <v>0</v>
      </c>
      <c r="H71" s="4311"/>
      <c r="I71" s="4323" t="s">
        <v>283</v>
      </c>
      <c r="J71" s="4324"/>
      <c r="K71" s="4310" t="s">
        <v>1772</v>
      </c>
      <c r="L71" s="4311"/>
      <c r="M71" s="4310" t="s">
        <v>1311</v>
      </c>
      <c r="N71" s="4311"/>
      <c r="O71" s="4325" t="s">
        <v>1773</v>
      </c>
      <c r="P71" s="4316"/>
      <c r="Q71" s="4310" t="s">
        <v>15</v>
      </c>
      <c r="R71" s="4311"/>
      <c r="S71" s="4310" t="s">
        <v>273</v>
      </c>
      <c r="T71" s="4311"/>
      <c r="U71" s="24"/>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row>
    <row r="72" spans="1:72" s="9" customFormat="1" ht="26" customHeight="1">
      <c r="A72" s="23"/>
      <c r="B72" s="4317"/>
      <c r="C72" s="4318"/>
      <c r="D72" s="4319"/>
      <c r="E72" s="2490" t="s">
        <v>1915</v>
      </c>
      <c r="F72" s="2491" t="s">
        <v>37</v>
      </c>
      <c r="G72" s="2490" t="s">
        <v>1915</v>
      </c>
      <c r="H72" s="2492" t="s">
        <v>37</v>
      </c>
      <c r="I72" s="2490" t="s">
        <v>1915</v>
      </c>
      <c r="J72" s="2491" t="s">
        <v>37</v>
      </c>
      <c r="K72" s="2490" t="s">
        <v>1915</v>
      </c>
      <c r="L72" s="2492" t="s">
        <v>37</v>
      </c>
      <c r="M72" s="2490" t="s">
        <v>1915</v>
      </c>
      <c r="N72" s="2495" t="s">
        <v>37</v>
      </c>
      <c r="O72" s="2490" t="s">
        <v>1915</v>
      </c>
      <c r="P72" s="2491" t="s">
        <v>37</v>
      </c>
      <c r="Q72" s="2490" t="s">
        <v>1915</v>
      </c>
      <c r="R72" s="2492" t="s">
        <v>37</v>
      </c>
      <c r="S72" s="4348" t="s">
        <v>37</v>
      </c>
      <c r="T72" s="4349"/>
      <c r="U72" s="24"/>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row>
    <row r="73" spans="1:72" s="9" customFormat="1" ht="44.25" customHeight="1" thickBot="1">
      <c r="A73" s="23"/>
      <c r="B73" s="4320"/>
      <c r="C73" s="4321"/>
      <c r="D73" s="4322"/>
      <c r="E73" s="2967">
        <f>E13+E14+E15+E16+E17+E18+E19+E20+E21+E22+E23+E24+E25+E26+E27+E28+E29+E30+E31+E35+E46+E47+E48+E49</f>
        <v>148.58097550745785</v>
      </c>
      <c r="F73" s="2968">
        <f>SUM(F13:F69)</f>
        <v>234.14573426120137</v>
      </c>
      <c r="G73" s="2967">
        <f>G13+G14+G15+G16+G17+G18+G19+G20+G21+G22+G23+G24+G25+G26+G27+G28+G29+G30+G31+G35+G46+G47+G48+G49</f>
        <v>238.95180035736709</v>
      </c>
      <c r="H73" s="2968">
        <f>SUM(H13:H69)</f>
        <v>213.8786059515156</v>
      </c>
      <c r="I73" s="2967">
        <f>I13+I14+I15+I16+I17+I18+I19+I20+I21+I22+I23+I24+I25+I26+I27+I28+I29+I30+I31+I34+I36+I37+I38+I39+I46+I47+I48+I49+I50+I55+I56</f>
        <v>458.38626391655401</v>
      </c>
      <c r="J73" s="2968">
        <f>SUM(J13:J69)</f>
        <v>354.9322815749041</v>
      </c>
      <c r="K73" s="2967">
        <f>K13+K14+K15+K16+K17+K18+K19+K20+K21+K22+K23+K24+K25+K26+K27+K28+K29+K30+K31+K35+K46+K47+K48+K49</f>
        <v>5.3010295799831439</v>
      </c>
      <c r="L73" s="2968">
        <f>SUM(L13:L69)</f>
        <v>23.026981043274976</v>
      </c>
      <c r="M73" s="2967">
        <f>M13+M14+M15+M16+M17+M18+M19+M20+M21+M22+M23+M24+M25+M26+M27+M28+M29+M30+M31+M35+M46+M47+M48+M49+M52</f>
        <v>17.971857878127999</v>
      </c>
      <c r="N73" s="2968">
        <f>SUM(N13:N69)</f>
        <v>53.7233054204615</v>
      </c>
      <c r="O73" s="2967">
        <f>O13+O14+O15+O16+O17+O18+O19+O20+O21+O22+O23+O24+O25+O26+O27+O28+O29+O30+O31+O35+O46+O47+O48+O49+O52</f>
        <v>15.918491764501066</v>
      </c>
      <c r="P73" s="2968">
        <f>SUM(P13:P69)</f>
        <v>47.14716940786775</v>
      </c>
      <c r="Q73" s="2967">
        <f>Q69+Q68+Q67+Q66+Q65+Q64+Q63+Q62+Q56+Q55+Q50+Q49+Q48+Q47+Q46+Q39+Q38+Q37+Q36+Q31+Q30+Q29+Q28+Q27+Q26+Q25+Q24+Q23+Q22+Q21+Q20+Q19+Q18+Q17+Q16+Q15+Q14+Q13</f>
        <v>21.656951932298298</v>
      </c>
      <c r="R73" s="2968">
        <f>SUM(R13:R69)</f>
        <v>23.007082864845895</v>
      </c>
      <c r="S73" s="4346">
        <f>SUM(S13:S69)</f>
        <v>955964.55779983103</v>
      </c>
      <c r="T73" s="4347">
        <f>SUM(T13:T61)</f>
        <v>0</v>
      </c>
      <c r="U73" s="24"/>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row>
    <row r="74" spans="1:72" ht="43.25" customHeight="1">
      <c r="A74" s="2951">
        <v>1</v>
      </c>
      <c r="B74" s="4345" t="s">
        <v>1914</v>
      </c>
      <c r="C74" s="4345"/>
      <c r="D74" s="4345"/>
      <c r="E74" s="4345"/>
      <c r="F74" s="4345"/>
      <c r="G74" s="4345"/>
      <c r="H74" s="4345"/>
      <c r="I74" s="4345"/>
      <c r="J74" s="4345"/>
      <c r="K74" s="4345"/>
      <c r="L74" s="4345"/>
      <c r="M74" s="4345"/>
      <c r="N74" s="4345"/>
      <c r="O74" s="4345"/>
      <c r="P74" s="4345"/>
      <c r="Q74" s="4345"/>
      <c r="R74" s="4345"/>
      <c r="S74" s="4345"/>
      <c r="T74" s="4345"/>
      <c r="U74" s="44"/>
    </row>
    <row r="75" spans="1:72" ht="42.5" customHeight="1" thickBot="1">
      <c r="A75" s="2952">
        <v>2</v>
      </c>
      <c r="B75" s="4344" t="s">
        <v>1916</v>
      </c>
      <c r="C75" s="4344"/>
      <c r="D75" s="4344"/>
      <c r="E75" s="4344"/>
      <c r="F75" s="4344"/>
      <c r="G75" s="4344"/>
      <c r="H75" s="4344"/>
      <c r="I75" s="4344"/>
      <c r="J75" s="4344"/>
      <c r="K75" s="4344"/>
      <c r="L75" s="4344"/>
      <c r="M75" s="4344"/>
      <c r="N75" s="4344"/>
      <c r="O75" s="4344"/>
      <c r="P75" s="4344"/>
      <c r="Q75" s="4344"/>
      <c r="R75" s="4344"/>
      <c r="S75" s="4344"/>
      <c r="T75" s="4344"/>
      <c r="U75" s="1664"/>
    </row>
    <row r="76" spans="1:72" ht="13.5" thickBot="1">
      <c r="A76" s="2960"/>
      <c r="B76" s="2961"/>
      <c r="C76" s="2961"/>
      <c r="D76" s="2961"/>
      <c r="E76" s="2961"/>
      <c r="F76" s="2961"/>
      <c r="G76" s="2961"/>
      <c r="H76" s="2961"/>
      <c r="I76" s="2961"/>
      <c r="J76" s="2961"/>
      <c r="K76" s="2961"/>
      <c r="L76" s="2961"/>
      <c r="M76" s="2961"/>
      <c r="N76" s="2961"/>
      <c r="O76" s="2961"/>
      <c r="P76" s="2961"/>
      <c r="Q76" s="2961"/>
      <c r="R76" s="2961"/>
      <c r="S76" s="2961"/>
      <c r="T76" s="2961"/>
      <c r="U76" s="2962"/>
    </row>
    <row r="77" spans="1:72" ht="44.15" customHeight="1" thickBot="1">
      <c r="B77" s="4456" t="s">
        <v>1132</v>
      </c>
      <c r="C77" s="4457"/>
      <c r="D77" s="4458"/>
      <c r="E77" s="2956" t="s">
        <v>22</v>
      </c>
      <c r="F77" s="2957" t="s">
        <v>37</v>
      </c>
      <c r="G77" s="2958" t="s">
        <v>22</v>
      </c>
      <c r="H77" s="2957" t="s">
        <v>37</v>
      </c>
      <c r="I77" s="2958" t="s">
        <v>22</v>
      </c>
      <c r="J77" s="2957" t="s">
        <v>37</v>
      </c>
      <c r="K77" s="2958" t="s">
        <v>22</v>
      </c>
      <c r="L77" s="2957" t="s">
        <v>37</v>
      </c>
      <c r="M77" s="2958" t="s">
        <v>22</v>
      </c>
      <c r="N77" s="2957" t="s">
        <v>37</v>
      </c>
      <c r="O77" s="2959" t="s">
        <v>22</v>
      </c>
      <c r="P77" s="2957" t="s">
        <v>37</v>
      </c>
    </row>
    <row r="78" spans="1:72" ht="44.15" customHeight="1">
      <c r="B78" s="4391" t="s">
        <v>1746</v>
      </c>
      <c r="C78" s="4392"/>
      <c r="D78" s="4392"/>
      <c r="E78" s="1307">
        <f t="shared" ref="E78:P78" si="7">SUM(E13:E30)</f>
        <v>34.326443999999995</v>
      </c>
      <c r="F78" s="1308">
        <f t="shared" si="7"/>
        <v>150.34982471999996</v>
      </c>
      <c r="G78" s="1201">
        <f t="shared" si="7"/>
        <v>19.679805000000002</v>
      </c>
      <c r="H78" s="1308">
        <f t="shared" si="7"/>
        <v>86.197545899999994</v>
      </c>
      <c r="I78" s="1201">
        <f t="shared" si="7"/>
        <v>7.7270400000000024</v>
      </c>
      <c r="J78" s="1308">
        <f t="shared" si="7"/>
        <v>33.844435199999999</v>
      </c>
      <c r="K78" s="1201">
        <f t="shared" si="7"/>
        <v>2.6632720588235288</v>
      </c>
      <c r="L78" s="1308">
        <f t="shared" si="7"/>
        <v>11.665131617647059</v>
      </c>
      <c r="M78" s="1201">
        <f t="shared" si="7"/>
        <v>8.9959411764705859</v>
      </c>
      <c r="N78" s="1204">
        <f t="shared" si="7"/>
        <v>39.402222352941173</v>
      </c>
      <c r="O78" s="1359">
        <f t="shared" si="7"/>
        <v>8.9959411764705859</v>
      </c>
      <c r="P78" s="1204">
        <f t="shared" si="7"/>
        <v>39.402222352941173</v>
      </c>
      <c r="Q78" s="1029"/>
      <c r="R78" s="1029"/>
      <c r="S78" s="1029"/>
      <c r="T78" s="1029"/>
    </row>
    <row r="79" spans="1:72" ht="44.15" customHeight="1" thickBot="1">
      <c r="B79" s="4388" t="s">
        <v>1747</v>
      </c>
      <c r="C79" s="4389"/>
      <c r="D79" s="4389"/>
      <c r="E79" s="2405">
        <f>SUM(E13:E24)+E46</f>
        <v>22.364678051678055</v>
      </c>
      <c r="F79" s="2406">
        <f>SUM(F13:F24)+F46</f>
        <v>97.065944607377617</v>
      </c>
      <c r="G79" s="2405">
        <f>SUM(G13:G24)+G46</f>
        <v>15.861267835052921</v>
      </c>
      <c r="H79" s="2406">
        <f>SUM(H13:H24)+H46</f>
        <v>67.692892111395196</v>
      </c>
      <c r="I79" s="2407">
        <f>I13+I14+I15+I36+I37+I38+I39+I46+I50+I55</f>
        <v>44.231591802551037</v>
      </c>
      <c r="J79" s="2406">
        <f>J13+J14+J15+J16+J17+J18+J19+J20+J21+J22+J23+J24+J36+J37+J38+J39+J46+J50+J55+J56</f>
        <v>207.38861825904135</v>
      </c>
      <c r="K79" s="2405">
        <f t="shared" ref="K79:P79" si="8">SUM(K13:K24)+K46</f>
        <v>1.7160882352941174</v>
      </c>
      <c r="L79" s="2406">
        <f t="shared" si="8"/>
        <v>7.5164664705882354</v>
      </c>
      <c r="M79" s="2405">
        <f t="shared" si="8"/>
        <v>5.8825828217728962</v>
      </c>
      <c r="N79" s="2406">
        <f t="shared" si="8"/>
        <v>25.517754108022707</v>
      </c>
      <c r="O79" s="2405">
        <f t="shared" si="8"/>
        <v>5.8825828217728962</v>
      </c>
      <c r="P79" s="2406">
        <f t="shared" si="8"/>
        <v>25.517754108022707</v>
      </c>
      <c r="Q79" s="1029"/>
      <c r="R79" s="1029"/>
      <c r="S79" s="1029"/>
      <c r="T79" s="1029"/>
    </row>
    <row r="81" spans="1:20" ht="55.25" customHeight="1">
      <c r="M81" s="8"/>
      <c r="O81" s="8"/>
      <c r="R81" s="199"/>
    </row>
    <row r="82" spans="1:20" s="1029" customFormat="1" ht="23.5">
      <c r="D82" s="1216"/>
      <c r="E82" s="38"/>
      <c r="F82" s="1213"/>
      <c r="G82" s="1427"/>
      <c r="H82" s="1428"/>
      <c r="I82" s="1429"/>
      <c r="J82" s="38"/>
      <c r="K82" s="1216"/>
      <c r="L82" s="1216"/>
      <c r="M82" s="38"/>
      <c r="N82" s="38"/>
      <c r="O82" s="38"/>
      <c r="R82" s="1035"/>
      <c r="S82" s="1036"/>
      <c r="T82" s="1036"/>
    </row>
    <row r="83" spans="1:20" s="1029" customFormat="1" ht="23.5">
      <c r="D83" s="1209"/>
      <c r="E83" s="1211"/>
      <c r="F83" s="1212"/>
      <c r="G83" s="1430"/>
      <c r="H83" s="1431"/>
      <c r="I83" s="1432"/>
      <c r="J83" s="1210"/>
      <c r="K83" s="1210"/>
      <c r="L83" s="1344"/>
      <c r="M83" s="8"/>
      <c r="N83" s="38"/>
      <c r="O83" s="8"/>
      <c r="R83" s="1035"/>
      <c r="T83" s="1036"/>
    </row>
    <row r="84" spans="1:20" s="1029" customFormat="1" ht="23.5">
      <c r="A84" s="38"/>
      <c r="B84" s="38"/>
      <c r="C84" s="38"/>
      <c r="D84" s="1209"/>
      <c r="E84" s="1210"/>
      <c r="F84" s="1213"/>
      <c r="G84" s="1430"/>
      <c r="H84" s="1434"/>
      <c r="I84" s="1432"/>
      <c r="J84" s="1210"/>
      <c r="K84" s="1210"/>
      <c r="L84" s="1344"/>
      <c r="M84" s="8"/>
      <c r="O84" s="8"/>
      <c r="R84" s="1035"/>
      <c r="T84" s="1036"/>
    </row>
    <row r="85" spans="1:20" ht="23.5">
      <c r="D85" s="1216"/>
      <c r="F85" s="1213"/>
      <c r="G85" s="1211"/>
      <c r="H85" s="1435"/>
      <c r="I85" s="1434"/>
      <c r="J85" s="1210"/>
      <c r="K85" s="1210"/>
      <c r="L85" s="1344"/>
      <c r="M85" s="8"/>
      <c r="N85" s="1029"/>
      <c r="O85" s="8"/>
      <c r="P85" s="8"/>
      <c r="Q85" s="8"/>
      <c r="R85" s="199"/>
      <c r="S85" s="8"/>
      <c r="T85" s="8"/>
    </row>
    <row r="86" spans="1:20" ht="23.5">
      <c r="D86" s="1209"/>
      <c r="E86" s="1211"/>
      <c r="F86" s="1212"/>
      <c r="G86" s="8"/>
      <c r="H86" s="1210"/>
      <c r="I86" s="1210"/>
      <c r="J86" s="1210"/>
      <c r="K86" s="1210"/>
      <c r="L86" s="1036"/>
      <c r="M86" s="1029"/>
      <c r="N86" s="1029"/>
      <c r="O86" s="1029"/>
      <c r="R86" s="199"/>
      <c r="T86" s="8"/>
    </row>
    <row r="87" spans="1:20" ht="23.5">
      <c r="D87" s="1209"/>
      <c r="E87" s="1210"/>
      <c r="F87" s="1213"/>
      <c r="G87" s="1211"/>
      <c r="H87" s="1210"/>
      <c r="I87" s="1210"/>
      <c r="J87" s="1210"/>
      <c r="K87" s="1210"/>
      <c r="L87" s="1029"/>
      <c r="M87" s="1029"/>
      <c r="N87" s="8"/>
      <c r="O87" s="1029"/>
      <c r="R87" s="8"/>
    </row>
    <row r="88" spans="1:20" ht="23.5">
      <c r="D88" s="1216"/>
      <c r="F88" s="1213"/>
      <c r="G88" s="1211"/>
      <c r="H88" s="1210"/>
      <c r="I88" s="1210"/>
      <c r="J88" s="1211"/>
      <c r="K88" s="1210"/>
      <c r="L88" s="1036"/>
      <c r="M88" s="1029"/>
      <c r="O88" s="1029"/>
    </row>
    <row r="89" spans="1:20" ht="23.5">
      <c r="D89" s="1209"/>
      <c r="E89" s="1211"/>
      <c r="F89" s="1212"/>
      <c r="G89" s="8"/>
      <c r="H89" s="1211"/>
      <c r="I89" s="1211"/>
      <c r="J89" s="1211"/>
      <c r="K89" s="1211"/>
      <c r="L89" s="8"/>
      <c r="M89" s="8"/>
      <c r="O89" s="8"/>
    </row>
    <row r="90" spans="1:20" ht="23.5">
      <c r="D90" s="1209"/>
      <c r="E90" s="1210"/>
      <c r="F90" s="1213"/>
      <c r="G90" s="1211"/>
      <c r="H90" s="1210"/>
      <c r="I90" s="1210"/>
      <c r="J90" s="1211"/>
      <c r="K90" s="1211"/>
    </row>
    <row r="91" spans="1:20" ht="23.5">
      <c r="D91" s="1216"/>
      <c r="F91" s="1213"/>
      <c r="G91" s="1211"/>
      <c r="H91" s="1210"/>
      <c r="I91" s="1210"/>
      <c r="J91" s="1211"/>
      <c r="K91" s="1211"/>
      <c r="Q91" s="8"/>
      <c r="R91" s="8"/>
    </row>
    <row r="92" spans="1:20" ht="23.5">
      <c r="D92" s="1209"/>
      <c r="E92" s="1211"/>
      <c r="F92" s="1212"/>
      <c r="G92" s="8"/>
      <c r="H92" s="1210"/>
      <c r="I92" s="1210"/>
      <c r="J92" s="1211"/>
      <c r="K92" s="1211"/>
    </row>
    <row r="93" spans="1:20" ht="23.5">
      <c r="D93" s="1209"/>
      <c r="E93" s="1210"/>
      <c r="F93" s="1213"/>
      <c r="G93" s="1211"/>
    </row>
    <row r="94" spans="1:20" ht="23.5">
      <c r="G94" s="1211"/>
    </row>
    <row r="95" spans="1:20">
      <c r="I95" s="8"/>
      <c r="J95" s="8"/>
    </row>
  </sheetData>
  <mergeCells count="103">
    <mergeCell ref="M11:N11"/>
    <mergeCell ref="M71:N71"/>
    <mergeCell ref="S13:T13"/>
    <mergeCell ref="B3:T3"/>
    <mergeCell ref="B4:T4"/>
    <mergeCell ref="B5:T5"/>
    <mergeCell ref="A9:U9"/>
    <mergeCell ref="B11:B12"/>
    <mergeCell ref="C11:C12"/>
    <mergeCell ref="D11:D12"/>
    <mergeCell ref="E11:F11"/>
    <mergeCell ref="G11:H11"/>
    <mergeCell ref="I11:J11"/>
    <mergeCell ref="K11:L11"/>
    <mergeCell ref="O11:P11"/>
    <mergeCell ref="Q11:R11"/>
    <mergeCell ref="S11:T11"/>
    <mergeCell ref="S12:T12"/>
    <mergeCell ref="S27:T27"/>
    <mergeCell ref="S21:T21"/>
    <mergeCell ref="S22:T22"/>
    <mergeCell ref="S23:T23"/>
    <mergeCell ref="S24:T24"/>
    <mergeCell ref="S14:T14"/>
    <mergeCell ref="S15:T15"/>
    <mergeCell ref="S16:T16"/>
    <mergeCell ref="S25:T25"/>
    <mergeCell ref="S26:T26"/>
    <mergeCell ref="B78:D78"/>
    <mergeCell ref="B79:D79"/>
    <mergeCell ref="S17:T17"/>
    <mergeCell ref="S18:T18"/>
    <mergeCell ref="S19:T19"/>
    <mergeCell ref="S20:T20"/>
    <mergeCell ref="Q71:R71"/>
    <mergeCell ref="S71:T71"/>
    <mergeCell ref="S72:T72"/>
    <mergeCell ref="S73:T73"/>
    <mergeCell ref="B77:D77"/>
    <mergeCell ref="B71:D73"/>
    <mergeCell ref="E71:F71"/>
    <mergeCell ref="G71:H71"/>
    <mergeCell ref="I71:J71"/>
    <mergeCell ref="K71:L71"/>
    <mergeCell ref="S56:T56"/>
    <mergeCell ref="S46:T46"/>
    <mergeCell ref="S47:T47"/>
    <mergeCell ref="S48:T48"/>
    <mergeCell ref="E42:T42"/>
    <mergeCell ref="E43:T43"/>
    <mergeCell ref="S28:T28"/>
    <mergeCell ref="E31:E33"/>
    <mergeCell ref="F31:F33"/>
    <mergeCell ref="H31:H33"/>
    <mergeCell ref="I31:I33"/>
    <mergeCell ref="J31:J33"/>
    <mergeCell ref="K31:K33"/>
    <mergeCell ref="L31:L33"/>
    <mergeCell ref="M31:M33"/>
    <mergeCell ref="N31:N33"/>
    <mergeCell ref="O31:O33"/>
    <mergeCell ref="P31:P33"/>
    <mergeCell ref="Q31:Q33"/>
    <mergeCell ref="R31:R33"/>
    <mergeCell ref="S29:T29"/>
    <mergeCell ref="S30:T30"/>
    <mergeCell ref="S31:T33"/>
    <mergeCell ref="S34:T34"/>
    <mergeCell ref="S35:T35"/>
    <mergeCell ref="C31:C33"/>
    <mergeCell ref="D31:D33"/>
    <mergeCell ref="G31:G33"/>
    <mergeCell ref="O71:P71"/>
    <mergeCell ref="E59:T59"/>
    <mergeCell ref="E60:T60"/>
    <mergeCell ref="E61:T61"/>
    <mergeCell ref="S49:T49"/>
    <mergeCell ref="E58:T58"/>
    <mergeCell ref="S50:T50"/>
    <mergeCell ref="S51:T51"/>
    <mergeCell ref="S52:T52"/>
    <mergeCell ref="E53:T53"/>
    <mergeCell ref="E54:T54"/>
    <mergeCell ref="S55:T55"/>
    <mergeCell ref="E57:T57"/>
    <mergeCell ref="E45:T45"/>
    <mergeCell ref="E44:T44"/>
    <mergeCell ref="S39:T39"/>
    <mergeCell ref="S36:T36"/>
    <mergeCell ref="S37:T37"/>
    <mergeCell ref="S38:T38"/>
    <mergeCell ref="E40:T40"/>
    <mergeCell ref="E41:T41"/>
    <mergeCell ref="B75:T75"/>
    <mergeCell ref="S62:T62"/>
    <mergeCell ref="S63:T63"/>
    <mergeCell ref="S64:T64"/>
    <mergeCell ref="S65:T65"/>
    <mergeCell ref="S66:T66"/>
    <mergeCell ref="B74:T74"/>
    <mergeCell ref="S67:T67"/>
    <mergeCell ref="S68:T68"/>
    <mergeCell ref="S69:T69"/>
  </mergeCells>
  <printOptions horizontalCentered="1"/>
  <pageMargins left="0.25" right="0.25" top="0.3" bottom="0.5" header="0.3" footer="0.3"/>
  <pageSetup scale="40" fitToHeight="3" orientation="landscape" r:id="rId1"/>
  <headerFooter alignWithMargins="0">
    <oddFooter>&amp;CCalculations: Page &amp;P</oddFooter>
  </headerFooter>
  <rowBreaks count="2" manualBreakCount="2">
    <brk id="33" max="20" man="1"/>
    <brk id="52"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0">
    <tabColor theme="3" tint="-0.249977111117893"/>
    <pageSetUpPr fitToPage="1"/>
  </sheetPr>
  <dimension ref="A1:X29"/>
  <sheetViews>
    <sheetView view="pageBreakPreview" topLeftCell="A13" zoomScale="55" zoomScaleNormal="53" zoomScaleSheetLayoutView="55" zoomScalePageLayoutView="55" workbookViewId="0">
      <selection activeCell="E19" sqref="E19:R19"/>
    </sheetView>
  </sheetViews>
  <sheetFormatPr defaultColWidth="9.36328125" defaultRowHeight="13"/>
  <cols>
    <col min="1" max="1" width="3.6328125" style="38" customWidth="1"/>
    <col min="2" max="2" width="11.453125" style="38" customWidth="1"/>
    <col min="3" max="3" width="30.453125" style="38" customWidth="1"/>
    <col min="4" max="4" width="18.36328125" style="38" customWidth="1"/>
    <col min="5" max="8" width="13.6328125" style="38" customWidth="1"/>
    <col min="9" max="10" width="15" style="38" customWidth="1"/>
    <col min="11" max="18" width="13.6328125" style="38" customWidth="1"/>
    <col min="19" max="19" width="3.6328125" style="38" customWidth="1"/>
    <col min="20" max="20" width="9.36328125" style="38"/>
    <col min="21" max="21" width="23.6328125" style="38" customWidth="1"/>
    <col min="22" max="16384" width="9.36328125" style="38"/>
  </cols>
  <sheetData>
    <row r="1" spans="1:21" ht="13.5" thickBot="1"/>
    <row r="2" spans="1:21" ht="20.25" customHeight="1" thickBot="1">
      <c r="A2" s="33"/>
      <c r="B2" s="34"/>
      <c r="C2" s="34"/>
      <c r="D2" s="34"/>
      <c r="E2" s="34"/>
      <c r="F2" s="34"/>
      <c r="G2" s="34"/>
      <c r="H2" s="34"/>
      <c r="I2" s="34"/>
      <c r="J2" s="34"/>
      <c r="K2" s="34"/>
      <c r="L2" s="34"/>
      <c r="M2" s="34"/>
      <c r="N2" s="34"/>
      <c r="O2" s="34"/>
      <c r="P2" s="34"/>
      <c r="Q2" s="34"/>
      <c r="R2" s="34"/>
      <c r="S2" s="32"/>
    </row>
    <row r="3" spans="1:21" s="2" customFormat="1" ht="39.75" customHeight="1">
      <c r="A3" s="54"/>
      <c r="B3" s="3931" t="s">
        <v>54</v>
      </c>
      <c r="C3" s="3932"/>
      <c r="D3" s="3932"/>
      <c r="E3" s="3932"/>
      <c r="F3" s="3932"/>
      <c r="G3" s="3932"/>
      <c r="H3" s="3932"/>
      <c r="I3" s="3932"/>
      <c r="J3" s="3932"/>
      <c r="K3" s="3932"/>
      <c r="L3" s="3932"/>
      <c r="M3" s="3932"/>
      <c r="N3" s="3932"/>
      <c r="O3" s="3932"/>
      <c r="P3" s="3932"/>
      <c r="Q3" s="3932"/>
      <c r="R3" s="3967"/>
      <c r="S3" s="22"/>
    </row>
    <row r="4" spans="1:21" s="2" customFormat="1" ht="39.75" customHeight="1">
      <c r="A4" s="54"/>
      <c r="B4" s="4326" t="s">
        <v>634</v>
      </c>
      <c r="C4" s="4327"/>
      <c r="D4" s="4327"/>
      <c r="E4" s="4327"/>
      <c r="F4" s="4327"/>
      <c r="G4" s="4327"/>
      <c r="H4" s="4327"/>
      <c r="I4" s="4327"/>
      <c r="J4" s="4327"/>
      <c r="K4" s="4327"/>
      <c r="L4" s="4327"/>
      <c r="M4" s="4327"/>
      <c r="N4" s="4327"/>
      <c r="O4" s="4327"/>
      <c r="P4" s="4327"/>
      <c r="Q4" s="4327"/>
      <c r="R4" s="4365"/>
      <c r="S4" s="22"/>
    </row>
    <row r="5" spans="1:21" s="2" customFormat="1" ht="48.65" customHeight="1" thickBot="1">
      <c r="A5" s="54"/>
      <c r="B5" s="4408" t="s">
        <v>1674</v>
      </c>
      <c r="C5" s="4409"/>
      <c r="D5" s="4409"/>
      <c r="E5" s="4409"/>
      <c r="F5" s="4409"/>
      <c r="G5" s="4409"/>
      <c r="H5" s="4409"/>
      <c r="I5" s="4409"/>
      <c r="J5" s="4409"/>
      <c r="K5" s="4409"/>
      <c r="L5" s="4409"/>
      <c r="M5" s="4409"/>
      <c r="N5" s="4409"/>
      <c r="O5" s="4409"/>
      <c r="P5" s="4409"/>
      <c r="Q5" s="4409"/>
      <c r="R5" s="4410"/>
      <c r="S5" s="22"/>
    </row>
    <row r="6" spans="1:21" ht="21" customHeight="1" thickBot="1">
      <c r="A6" s="31"/>
      <c r="B6" s="25"/>
      <c r="C6" s="25"/>
      <c r="D6" s="25"/>
      <c r="E6" s="25"/>
      <c r="F6" s="25"/>
      <c r="G6" s="25"/>
      <c r="H6" s="25"/>
      <c r="I6" s="25"/>
      <c r="J6" s="25"/>
      <c r="K6" s="25"/>
      <c r="L6" s="25"/>
      <c r="M6" s="25"/>
      <c r="N6" s="25"/>
      <c r="O6" s="25"/>
      <c r="P6" s="25"/>
      <c r="Q6" s="25"/>
      <c r="R6" s="25"/>
      <c r="S6" s="40"/>
    </row>
    <row r="7" spans="1:21" ht="23.75" customHeight="1" thickBot="1">
      <c r="A7" s="3937"/>
      <c r="B7" s="3938"/>
      <c r="C7" s="3938"/>
      <c r="D7" s="3938"/>
      <c r="E7" s="3938"/>
      <c r="F7" s="3938"/>
      <c r="G7" s="3938"/>
      <c r="H7" s="3938"/>
      <c r="I7" s="3938"/>
      <c r="J7" s="3938"/>
      <c r="K7" s="3938"/>
      <c r="L7" s="3938"/>
      <c r="M7" s="3938"/>
      <c r="N7" s="3938"/>
      <c r="O7" s="3938"/>
      <c r="P7" s="3938"/>
      <c r="Q7" s="3938"/>
      <c r="R7" s="3938"/>
      <c r="S7" s="3939"/>
    </row>
    <row r="8" spans="1:21" ht="24" customHeight="1" thickBot="1">
      <c r="A8" s="33"/>
      <c r="B8" s="34"/>
      <c r="C8" s="34"/>
      <c r="D8" s="34"/>
      <c r="E8" s="34"/>
      <c r="F8" s="34"/>
      <c r="G8" s="34"/>
      <c r="H8" s="34"/>
      <c r="I8" s="34"/>
      <c r="J8" s="34"/>
      <c r="K8" s="34"/>
      <c r="L8" s="34"/>
      <c r="M8" s="34"/>
      <c r="N8" s="34"/>
      <c r="O8" s="34"/>
      <c r="P8" s="34"/>
      <c r="Q8" s="34"/>
      <c r="R8" s="34"/>
      <c r="S8" s="32"/>
    </row>
    <row r="9" spans="1:21" ht="44.15" customHeight="1" thickBot="1">
      <c r="A9" s="36"/>
      <c r="B9" s="4413" t="s">
        <v>1523</v>
      </c>
      <c r="C9" s="4414"/>
      <c r="D9" s="4415"/>
      <c r="E9" s="4310" t="s">
        <v>21</v>
      </c>
      <c r="F9" s="4316"/>
      <c r="G9" s="4310" t="s">
        <v>0</v>
      </c>
      <c r="H9" s="4311"/>
      <c r="I9" s="4323" t="s">
        <v>283</v>
      </c>
      <c r="J9" s="4324"/>
      <c r="K9" s="4310" t="s">
        <v>1772</v>
      </c>
      <c r="L9" s="4311"/>
      <c r="M9" s="4310" t="s">
        <v>1311</v>
      </c>
      <c r="N9" s="4311"/>
      <c r="O9" s="4411" t="s">
        <v>1773</v>
      </c>
      <c r="P9" s="4412"/>
      <c r="Q9" s="4419" t="s">
        <v>1673</v>
      </c>
      <c r="R9" s="4420"/>
      <c r="S9" s="44"/>
    </row>
    <row r="10" spans="1:21" ht="44.15" customHeight="1" thickBot="1">
      <c r="A10" s="36"/>
      <c r="B10" s="4416"/>
      <c r="C10" s="4417"/>
      <c r="D10" s="4418"/>
      <c r="E10" s="2505" t="s">
        <v>22</v>
      </c>
      <c r="F10" s="2506" t="s">
        <v>37</v>
      </c>
      <c r="G10" s="2507" t="s">
        <v>22</v>
      </c>
      <c r="H10" s="2508" t="s">
        <v>37</v>
      </c>
      <c r="I10" s="2505" t="s">
        <v>22</v>
      </c>
      <c r="J10" s="2506" t="s">
        <v>37</v>
      </c>
      <c r="K10" s="2507" t="s">
        <v>22</v>
      </c>
      <c r="L10" s="2508" t="s">
        <v>37</v>
      </c>
      <c r="M10" s="2505" t="s">
        <v>22</v>
      </c>
      <c r="N10" s="2508" t="s">
        <v>37</v>
      </c>
      <c r="O10" s="2505" t="s">
        <v>22</v>
      </c>
      <c r="P10" s="2508" t="s">
        <v>37</v>
      </c>
      <c r="Q10" s="2509" t="s">
        <v>22</v>
      </c>
      <c r="R10" s="2510" t="s">
        <v>37</v>
      </c>
      <c r="S10" s="44"/>
    </row>
    <row r="11" spans="1:21" ht="63" customHeight="1">
      <c r="A11" s="36"/>
      <c r="B11" s="4404" t="s">
        <v>1746</v>
      </c>
      <c r="C11" s="4405"/>
      <c r="D11" s="4406"/>
      <c r="E11" s="1201">
        <f>SUM('Summary-NoCo'!E13:E30)</f>
        <v>34.326443999999995</v>
      </c>
      <c r="F11" s="2511">
        <f>SUM('Summary-NoCo'!F13:F30)</f>
        <v>150.34982471999996</v>
      </c>
      <c r="G11" s="1201">
        <f>SUM('Summary-NoCo'!G13:G30)</f>
        <v>19.679805000000002</v>
      </c>
      <c r="H11" s="1204">
        <f>SUM('Summary-NoCo'!H13:H30)</f>
        <v>86.197545899999994</v>
      </c>
      <c r="I11" s="1201">
        <f>SUM('Summary-NoCo'!I13:I30)</f>
        <v>7.7270400000000024</v>
      </c>
      <c r="J11" s="1204">
        <f>SUM('Summary-NoCo'!J13:J30)</f>
        <v>33.844435199999999</v>
      </c>
      <c r="K11" s="1201">
        <f>SUM('Summary-NoCo'!K13:K30)</f>
        <v>2.6632720588235288</v>
      </c>
      <c r="L11" s="1204">
        <f>SUM('Summary-NoCo'!L13:L30)</f>
        <v>11.665131617647059</v>
      </c>
      <c r="M11" s="1201">
        <f>SUM('Summary-NoCo'!M13:M30)</f>
        <v>8.9959411764705859</v>
      </c>
      <c r="N11" s="1204">
        <f>SUM('Summary-NoCo'!N13:N30)</f>
        <v>39.402222352941173</v>
      </c>
      <c r="O11" s="1201">
        <f>SUM('Summary-NoCo'!O13:O30)</f>
        <v>8.9959411764705859</v>
      </c>
      <c r="P11" s="1204">
        <f>SUM('Summary-NoCo'!P13:P30)</f>
        <v>39.402222352941173</v>
      </c>
      <c r="Q11" s="2512" t="s">
        <v>17</v>
      </c>
      <c r="R11" s="2513" t="s">
        <v>17</v>
      </c>
      <c r="S11" s="44"/>
    </row>
    <row r="12" spans="1:21" ht="68.75" customHeight="1" thickBot="1">
      <c r="A12" s="36"/>
      <c r="B12" s="4397" t="s">
        <v>1747</v>
      </c>
      <c r="C12" s="4398"/>
      <c r="D12" s="4399"/>
      <c r="E12" s="1450">
        <f>SUM('Summary-NoCo'!E13:E24)+'Summary-NoCo'!E46</f>
        <v>22.364678051678055</v>
      </c>
      <c r="F12" s="1451">
        <f>SUM('Summary-NoCo'!F13:F24)+'Summary-NoCo'!F46</f>
        <v>97.065944607377617</v>
      </c>
      <c r="G12" s="1450">
        <f>SUM('Summary-NoCo'!G13:G24)+'Summary-NoCo'!G46</f>
        <v>15.861267835052921</v>
      </c>
      <c r="H12" s="2514">
        <f>SUM('Summary-NoCo'!H13:H24)+'Summary-NoCo'!H46</f>
        <v>67.692892111395196</v>
      </c>
      <c r="I12" s="1450">
        <f>SUM('Summary-NoCo'!I13:I24)+'Summary-NoCo'!I36+'Summary-NoCo'!I37+'Summary-NoCo'!I38+'Summary-NoCo'!I39+'Summary-NoCo'!I46+'Summary-NoCo'!I50+'Summary-NoCo'!I55+'Summary-NoCo'!I56</f>
        <v>48.673918561970495</v>
      </c>
      <c r="J12" s="2515">
        <f>SUM('Summary-NoCo'!J13:J24)+'Summary-NoCo'!J36+'Summary-NoCo'!J37+'Summary-NoCo'!J38+'Summary-NoCo'!J39+'Summary-NoCo'!J46+'Summary-NoCo'!J50+'Summary-NoCo'!J55+'Summary-NoCo'!J56</f>
        <v>207.38861825904135</v>
      </c>
      <c r="K12" s="1450">
        <f>SUM('Summary-NoCo'!K13:K24)+'Summary-NoCo'!K46</f>
        <v>1.7160882352941174</v>
      </c>
      <c r="L12" s="1451">
        <f>SUM('Summary-NoCo'!L13:L24)+'Summary-NoCo'!L46</f>
        <v>7.5164664705882354</v>
      </c>
      <c r="M12" s="1450">
        <f>SUM('Summary-NoCo'!M13:M24)+'Summary-NoCo'!M46</f>
        <v>5.8825828217728962</v>
      </c>
      <c r="N12" s="1451">
        <f>SUM('Summary-NoCo'!N13:N24)+'Summary-NoCo'!N46</f>
        <v>25.517754108022707</v>
      </c>
      <c r="O12" s="1450">
        <f>SUM('Summary-NoCo'!O13:O24)+'Summary-NoCo'!O46</f>
        <v>5.8825828217728962</v>
      </c>
      <c r="P12" s="1451">
        <f>SUM('Summary-NoCo'!P13:P24)+'Summary-NoCo'!P46</f>
        <v>25.517754108022707</v>
      </c>
      <c r="Q12" s="1450" t="s">
        <v>17</v>
      </c>
      <c r="R12" s="1451" t="s">
        <v>17</v>
      </c>
      <c r="S12" s="44"/>
    </row>
    <row r="13" spans="1:21" ht="24" customHeight="1" thickBot="1">
      <c r="A13" s="1663"/>
      <c r="B13" s="4407" t="s">
        <v>1774</v>
      </c>
      <c r="C13" s="4407"/>
      <c r="D13" s="4407"/>
      <c r="E13" s="4407"/>
      <c r="F13" s="4407"/>
      <c r="G13" s="4407"/>
      <c r="H13" s="4407"/>
      <c r="I13" s="4407"/>
      <c r="J13" s="4407"/>
      <c r="K13" s="4407"/>
      <c r="L13" s="4407"/>
      <c r="M13" s="4407"/>
      <c r="N13" s="4407"/>
      <c r="O13" s="4407"/>
      <c r="P13" s="4407"/>
      <c r="Q13" s="4407"/>
      <c r="R13" s="4407"/>
      <c r="S13" s="1664"/>
    </row>
    <row r="14" spans="1:21" ht="27.65" customHeight="1">
      <c r="A14" s="1615"/>
      <c r="B14" s="4403"/>
      <c r="C14" s="4403"/>
      <c r="D14" s="1659"/>
      <c r="E14" s="1660"/>
      <c r="F14" s="1659"/>
      <c r="G14" s="1660"/>
      <c r="H14" s="1659"/>
      <c r="I14" s="1660"/>
      <c r="J14" s="1659"/>
      <c r="K14" s="1660"/>
      <c r="L14" s="1659"/>
      <c r="M14" s="1660"/>
      <c r="N14" s="1659"/>
      <c r="O14" s="1660"/>
      <c r="P14" s="1615"/>
      <c r="Q14" s="1660"/>
      <c r="R14" s="1615"/>
      <c r="S14" s="1615"/>
      <c r="U14" s="1037"/>
    </row>
    <row r="15" spans="1:21" ht="29.25" customHeight="1"/>
    <row r="16" spans="1:21" ht="26.25" customHeight="1">
      <c r="K16" s="1216"/>
      <c r="L16" s="1216"/>
      <c r="N16" s="1213"/>
      <c r="O16" s="1427"/>
      <c r="P16" s="1428"/>
      <c r="Q16" s="1427"/>
      <c r="R16" s="1428"/>
      <c r="T16" s="1216"/>
      <c r="U16" s="1216"/>
    </row>
    <row r="17" spans="11:24" s="1029" customFormat="1" ht="26.25" customHeight="1">
      <c r="K17" s="1209"/>
      <c r="L17" s="1209"/>
      <c r="M17" s="1211"/>
      <c r="N17" s="1212"/>
      <c r="O17" s="1430"/>
      <c r="P17" s="1431"/>
      <c r="Q17" s="1430"/>
      <c r="R17" s="1431"/>
      <c r="S17" s="1210"/>
      <c r="T17" s="1210"/>
      <c r="U17" s="1344"/>
      <c r="V17" s="8"/>
      <c r="W17" s="38"/>
      <c r="X17" s="8"/>
    </row>
    <row r="18" spans="11:24" s="1029" customFormat="1" ht="23.5">
      <c r="K18" s="1209"/>
      <c r="L18" s="1209"/>
      <c r="M18" s="1211"/>
      <c r="N18" s="1212"/>
      <c r="O18" s="1433"/>
      <c r="P18" s="1434"/>
      <c r="Q18" s="1433"/>
      <c r="R18" s="1434"/>
      <c r="S18" s="1210"/>
      <c r="T18" s="1210"/>
      <c r="U18" s="1344"/>
      <c r="V18" s="8"/>
      <c r="X18" s="8"/>
    </row>
    <row r="19" spans="11:24" s="1029" customFormat="1" ht="23.5">
      <c r="K19" s="1209"/>
      <c r="L19" s="1209"/>
      <c r="M19" s="1211"/>
      <c r="N19" s="1212"/>
      <c r="O19" s="1433"/>
      <c r="P19" s="1435"/>
      <c r="Q19" s="1433"/>
      <c r="R19" s="1435"/>
      <c r="S19" s="1210"/>
      <c r="T19" s="1210"/>
      <c r="U19" s="1344"/>
      <c r="V19" s="8"/>
      <c r="X19" s="8"/>
    </row>
    <row r="20" spans="11:24" ht="23.5">
      <c r="K20" s="1209"/>
      <c r="L20" s="1209"/>
      <c r="M20" s="1210"/>
      <c r="N20" s="1213"/>
      <c r="O20" s="1211"/>
      <c r="P20" s="1210"/>
      <c r="Q20" s="1211"/>
      <c r="R20" s="1210"/>
      <c r="S20" s="1210"/>
      <c r="T20" s="1210"/>
      <c r="U20" s="1036"/>
      <c r="V20" s="1029"/>
      <c r="W20" s="1029"/>
      <c r="X20" s="1029"/>
    </row>
    <row r="21" spans="11:24" ht="23.5">
      <c r="K21" s="1216"/>
      <c r="L21" s="1216"/>
      <c r="N21" s="1213"/>
      <c r="O21" s="8"/>
      <c r="P21" s="1210"/>
      <c r="Q21" s="8"/>
      <c r="R21" s="1210"/>
      <c r="S21" s="1210"/>
      <c r="T21" s="1210"/>
      <c r="U21" s="1029"/>
      <c r="V21" s="1029"/>
      <c r="W21" s="8"/>
      <c r="X21" s="1029"/>
    </row>
    <row r="22" spans="11:24" ht="23.5">
      <c r="K22" s="1209"/>
      <c r="L22" s="1209"/>
      <c r="M22" s="1211"/>
      <c r="N22" s="1212"/>
      <c r="O22" s="1211"/>
      <c r="P22" s="1210"/>
      <c r="Q22" s="1211"/>
      <c r="R22" s="1210"/>
      <c r="S22" s="1211"/>
      <c r="T22" s="1210"/>
      <c r="U22" s="1036"/>
      <c r="V22" s="1029"/>
      <c r="X22" s="1029"/>
    </row>
    <row r="23" spans="11:24" ht="23.5">
      <c r="K23" s="1209"/>
      <c r="L23" s="1209"/>
      <c r="M23" s="1210"/>
      <c r="N23" s="1213"/>
      <c r="O23" s="1211"/>
      <c r="P23" s="1211"/>
      <c r="Q23" s="1211"/>
      <c r="R23" s="1211"/>
      <c r="S23" s="1211"/>
      <c r="T23" s="1211"/>
      <c r="U23" s="8"/>
      <c r="V23" s="8"/>
      <c r="X23" s="8"/>
    </row>
    <row r="24" spans="11:24" ht="23.5">
      <c r="K24" s="1216"/>
      <c r="L24" s="1216"/>
      <c r="N24" s="1213"/>
      <c r="O24" s="8"/>
      <c r="P24" s="1210"/>
      <c r="Q24" s="8"/>
      <c r="R24" s="1210"/>
      <c r="S24" s="1211"/>
      <c r="T24" s="1211"/>
    </row>
    <row r="25" spans="11:24" ht="23.5">
      <c r="K25" s="1209"/>
      <c r="L25" s="1209"/>
      <c r="M25" s="1211"/>
      <c r="N25" s="1212"/>
      <c r="O25" s="1211"/>
      <c r="P25" s="1210"/>
      <c r="Q25" s="1211"/>
      <c r="R25" s="1210"/>
      <c r="S25" s="1211"/>
      <c r="T25" s="1211"/>
    </row>
    <row r="26" spans="11:24" ht="23.5">
      <c r="K26" s="1209"/>
      <c r="L26" s="1209"/>
      <c r="M26" s="1210"/>
      <c r="N26" s="1213"/>
      <c r="O26" s="1211"/>
      <c r="P26" s="1210"/>
      <c r="Q26" s="1211"/>
      <c r="R26" s="1210"/>
      <c r="S26" s="1211"/>
      <c r="T26" s="1211"/>
    </row>
    <row r="27" spans="11:24" ht="20.5">
      <c r="K27" s="1216"/>
      <c r="L27" s="1216"/>
      <c r="N27" s="1213"/>
      <c r="O27" s="8"/>
      <c r="Q27" s="8"/>
    </row>
    <row r="28" spans="11:24" ht="23.5">
      <c r="K28" s="1209"/>
      <c r="L28" s="1209"/>
      <c r="M28" s="1211"/>
      <c r="N28" s="1212"/>
      <c r="O28" s="1211"/>
      <c r="Q28" s="1211"/>
    </row>
    <row r="29" spans="11:24" ht="23.5">
      <c r="K29" s="1209"/>
      <c r="L29" s="1209"/>
      <c r="M29" s="1210"/>
      <c r="N29" s="1213"/>
      <c r="O29" s="1211"/>
      <c r="Q29" s="1211"/>
      <c r="S29" s="8"/>
    </row>
  </sheetData>
  <mergeCells count="16">
    <mergeCell ref="B3:R3"/>
    <mergeCell ref="B4:R4"/>
    <mergeCell ref="B5:R5"/>
    <mergeCell ref="B14:C14"/>
    <mergeCell ref="B9:D10"/>
    <mergeCell ref="E9:F9"/>
    <mergeCell ref="G9:H9"/>
    <mergeCell ref="I9:J9"/>
    <mergeCell ref="A7:S7"/>
    <mergeCell ref="Q9:R9"/>
    <mergeCell ref="B11:D11"/>
    <mergeCell ref="B12:D12"/>
    <mergeCell ref="B13:R13"/>
    <mergeCell ref="K9:L9"/>
    <mergeCell ref="M9:N9"/>
    <mergeCell ref="O9:P9"/>
  </mergeCells>
  <printOptions horizontalCentered="1"/>
  <pageMargins left="0.25" right="0.25" top="0.5" bottom="0.5" header="0.3" footer="0.3"/>
  <pageSetup scale="40" fitToHeight="3" orientation="portrait" r:id="rId1"/>
  <headerFooter alignWithMargins="0">
    <oddFooter>&amp;CCalculations: Page &amp;P</oddFooter>
  </headerFooter>
  <rowBreaks count="1" manualBreakCount="1">
    <brk id="7" max="1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theme="3" tint="-0.249977111117893"/>
  </sheetPr>
  <dimension ref="A1:W61"/>
  <sheetViews>
    <sheetView tabSelected="1" view="pageBreakPreview" topLeftCell="A10" zoomScale="85" zoomScaleNormal="100" zoomScaleSheetLayoutView="85" workbookViewId="0">
      <selection activeCell="C10" sqref="C10:E10"/>
    </sheetView>
  </sheetViews>
  <sheetFormatPr defaultColWidth="8.6328125" defaultRowHeight="12.5"/>
  <cols>
    <col min="1" max="1" width="3.36328125" style="48" customWidth="1"/>
    <col min="2" max="2" width="33.54296875" style="48" customWidth="1"/>
    <col min="3" max="4" width="8.54296875" style="48" customWidth="1"/>
    <col min="5" max="5" width="9.6328125" style="48" customWidth="1"/>
    <col min="6" max="6" width="8.54296875" style="48" customWidth="1"/>
    <col min="7" max="7" width="10" style="48" customWidth="1"/>
    <col min="8" max="14" width="8.54296875" style="48" customWidth="1"/>
    <col min="15" max="15" width="3" style="48" customWidth="1"/>
    <col min="16" max="16384" width="8.6328125" style="48"/>
  </cols>
  <sheetData>
    <row r="1" spans="1:15" ht="13" thickBot="1">
      <c r="A1" s="584"/>
      <c r="B1" s="585"/>
      <c r="C1" s="585"/>
      <c r="D1" s="585"/>
      <c r="E1" s="585"/>
      <c r="F1" s="585"/>
      <c r="G1" s="585"/>
      <c r="H1" s="585"/>
      <c r="I1" s="585"/>
      <c r="J1" s="585"/>
      <c r="K1" s="585"/>
      <c r="L1" s="585"/>
      <c r="M1" s="585"/>
      <c r="N1" s="585"/>
      <c r="O1" s="586"/>
    </row>
    <row r="2" spans="1:15" ht="18">
      <c r="A2" s="587"/>
      <c r="B2" s="4480" t="s">
        <v>54</v>
      </c>
      <c r="C2" s="4481"/>
      <c r="D2" s="4481"/>
      <c r="E2" s="4481"/>
      <c r="F2" s="4481"/>
      <c r="G2" s="4481"/>
      <c r="H2" s="4481"/>
      <c r="I2" s="4481"/>
      <c r="J2" s="4481"/>
      <c r="K2" s="4481"/>
      <c r="L2" s="4481"/>
      <c r="M2" s="4481"/>
      <c r="N2" s="4482"/>
      <c r="O2" s="588"/>
    </row>
    <row r="3" spans="1:15" ht="18">
      <c r="A3" s="587"/>
      <c r="B3" s="4483" t="s">
        <v>634</v>
      </c>
      <c r="C3" s="4484"/>
      <c r="D3" s="4484"/>
      <c r="E3" s="4484"/>
      <c r="F3" s="4484"/>
      <c r="G3" s="4484"/>
      <c r="H3" s="4484"/>
      <c r="I3" s="4484"/>
      <c r="J3" s="4484"/>
      <c r="K3" s="4484"/>
      <c r="L3" s="4484"/>
      <c r="M3" s="4484"/>
      <c r="N3" s="4485"/>
      <c r="O3" s="588"/>
    </row>
    <row r="4" spans="1:15" ht="18.5" thickBot="1">
      <c r="A4" s="587"/>
      <c r="B4" s="4486" t="s">
        <v>1829</v>
      </c>
      <c r="C4" s="4487"/>
      <c r="D4" s="4487"/>
      <c r="E4" s="4487"/>
      <c r="F4" s="4487"/>
      <c r="G4" s="4487"/>
      <c r="H4" s="4487"/>
      <c r="I4" s="4487"/>
      <c r="J4" s="4487"/>
      <c r="K4" s="4487"/>
      <c r="L4" s="4487"/>
      <c r="M4" s="4487"/>
      <c r="N4" s="4488"/>
      <c r="O4" s="588"/>
    </row>
    <row r="5" spans="1:15" ht="13.5" thickBot="1">
      <c r="A5" s="1575"/>
      <c r="B5" s="1411"/>
      <c r="C5" s="1411"/>
      <c r="D5" s="1411"/>
      <c r="E5" s="1411"/>
      <c r="F5" s="1411"/>
      <c r="G5" s="1411"/>
      <c r="H5" s="1411"/>
      <c r="I5" s="1411"/>
      <c r="J5" s="1411"/>
      <c r="K5" s="1411"/>
      <c r="L5" s="1411"/>
      <c r="M5" s="1411"/>
      <c r="N5" s="1411"/>
      <c r="O5" s="1777"/>
    </row>
    <row r="6" spans="1:15" s="50" customFormat="1" ht="13.5" thickBot="1">
      <c r="A6" s="2662"/>
      <c r="B6" s="2663"/>
      <c r="C6" s="2663"/>
      <c r="D6" s="2663"/>
      <c r="E6" s="2663"/>
      <c r="F6" s="2663"/>
      <c r="G6" s="2663"/>
      <c r="H6" s="2663"/>
      <c r="I6" s="2663"/>
      <c r="J6" s="2663"/>
      <c r="K6" s="2663"/>
      <c r="L6" s="2663"/>
      <c r="M6" s="2663"/>
      <c r="N6" s="2663"/>
      <c r="O6" s="2363"/>
    </row>
    <row r="7" spans="1:15" ht="16" thickBot="1">
      <c r="A7" s="4489" t="s">
        <v>1830</v>
      </c>
      <c r="B7" s="4490"/>
      <c r="C7" s="4490"/>
      <c r="D7" s="4490"/>
      <c r="E7" s="4490"/>
      <c r="F7" s="4490"/>
      <c r="G7" s="4490"/>
      <c r="H7" s="4490"/>
      <c r="I7" s="4490"/>
      <c r="J7" s="4490"/>
      <c r="K7" s="4490"/>
      <c r="L7" s="4490"/>
      <c r="M7" s="4490"/>
      <c r="N7" s="4490"/>
      <c r="O7" s="4491"/>
    </row>
    <row r="8" spans="1:15" ht="20.5">
      <c r="A8" s="2052"/>
      <c r="B8" s="2053"/>
      <c r="C8" s="2053"/>
      <c r="D8" s="2053"/>
      <c r="E8" s="2053"/>
      <c r="F8" s="2053"/>
      <c r="G8" s="2053"/>
      <c r="H8" s="2053"/>
      <c r="I8" s="2053"/>
      <c r="J8" s="2053"/>
      <c r="K8" s="2053"/>
      <c r="L8" s="2053"/>
      <c r="M8" s="2053"/>
      <c r="N8" s="2053"/>
      <c r="O8" s="2648"/>
    </row>
    <row r="9" spans="1:15" ht="4.5" customHeight="1" thickBot="1">
      <c r="A9" s="2052"/>
      <c r="B9" s="2647"/>
      <c r="C9" s="2053"/>
      <c r="D9" s="2053"/>
      <c r="E9" s="2053"/>
      <c r="F9" s="2053"/>
      <c r="G9" s="2053"/>
      <c r="H9" s="2053"/>
      <c r="I9" s="2053"/>
      <c r="J9" s="2053"/>
      <c r="K9" s="2053"/>
      <c r="L9" s="2053"/>
      <c r="M9" s="2053"/>
      <c r="N9" s="2053"/>
      <c r="O9" s="2648"/>
    </row>
    <row r="10" spans="1:15" ht="30" customHeight="1" thickBot="1">
      <c r="A10" s="2052"/>
      <c r="B10" s="2649" t="s">
        <v>1831</v>
      </c>
      <c r="C10" s="4492">
        <f>SUM(E52+H52+K52+N52)</f>
        <v>487.63633690139432</v>
      </c>
      <c r="D10" s="4493"/>
      <c r="E10" s="4494"/>
      <c r="F10" s="2053"/>
      <c r="G10" s="2053"/>
      <c r="H10" s="2053"/>
      <c r="I10" s="2053"/>
      <c r="J10" s="2053"/>
      <c r="K10" s="2053"/>
      <c r="L10" s="2053"/>
      <c r="M10" s="2053"/>
      <c r="N10" s="2053"/>
      <c r="O10" s="2648"/>
    </row>
    <row r="11" spans="1:15" ht="5.25" customHeight="1" thickBot="1">
      <c r="A11" s="2052"/>
      <c r="B11" s="2650"/>
      <c r="C11" s="2053"/>
      <c r="D11" s="2053"/>
      <c r="E11" s="2053"/>
      <c r="F11" s="2053"/>
      <c r="G11" s="2053"/>
      <c r="H11" s="2053"/>
      <c r="I11" s="2053"/>
      <c r="J11" s="2053"/>
      <c r="K11" s="2053"/>
      <c r="L11" s="2053"/>
      <c r="M11" s="2053"/>
      <c r="N11" s="2053"/>
      <c r="O11" s="2648"/>
    </row>
    <row r="12" spans="1:15" ht="21" thickBot="1">
      <c r="A12" s="2052"/>
      <c r="B12" s="2649" t="s">
        <v>1832</v>
      </c>
      <c r="C12" s="4469" t="s">
        <v>1833</v>
      </c>
      <c r="D12" s="4470"/>
      <c r="E12" s="2651" t="s">
        <v>1834</v>
      </c>
      <c r="F12" s="2053"/>
      <c r="G12" s="2053"/>
      <c r="H12" s="2053"/>
      <c r="I12" s="2053"/>
      <c r="J12" s="2053"/>
      <c r="K12" s="2053"/>
      <c r="L12" s="2053"/>
      <c r="M12" s="2053"/>
      <c r="N12" s="2053"/>
      <c r="O12" s="2648"/>
    </row>
    <row r="13" spans="1:15" ht="11.75" customHeight="1">
      <c r="A13" s="2052"/>
      <c r="B13" s="4495" t="s">
        <v>1223</v>
      </c>
      <c r="C13" s="4497">
        <v>50.57</v>
      </c>
      <c r="D13" s="4498"/>
      <c r="E13" s="4501">
        <f>$C$10/C13</f>
        <v>9.6427988313504915</v>
      </c>
      <c r="F13" s="2053"/>
      <c r="G13" s="2053"/>
      <c r="H13" s="2053"/>
      <c r="I13" s="2053"/>
      <c r="J13" s="2053"/>
      <c r="K13" s="2053"/>
      <c r="L13" s="2053"/>
      <c r="M13" s="2053"/>
      <c r="N13" s="2053"/>
      <c r="O13" s="2648"/>
    </row>
    <row r="14" spans="1:15" ht="11.75" customHeight="1">
      <c r="A14" s="2052"/>
      <c r="B14" s="4496"/>
      <c r="C14" s="4499"/>
      <c r="D14" s="4500"/>
      <c r="E14" s="4502"/>
      <c r="F14" s="2053"/>
      <c r="G14" s="2053"/>
      <c r="H14" s="2053"/>
      <c r="I14" s="2053"/>
      <c r="J14" s="2053"/>
      <c r="K14" s="2053"/>
      <c r="L14" s="2053"/>
      <c r="M14" s="2053"/>
      <c r="N14" s="2053"/>
      <c r="O14" s="2648"/>
    </row>
    <row r="15" spans="1:15" ht="11.75" customHeight="1">
      <c r="A15" s="587"/>
      <c r="B15" s="4503" t="s">
        <v>1224</v>
      </c>
      <c r="C15" s="4504">
        <v>92.8</v>
      </c>
      <c r="D15" s="4505"/>
      <c r="E15" s="4506">
        <f>$C$10/C15</f>
        <v>5.2547019062650255</v>
      </c>
      <c r="F15" s="657"/>
      <c r="G15" s="657"/>
      <c r="H15" s="657"/>
      <c r="I15" s="657"/>
      <c r="J15" s="657"/>
      <c r="K15" s="657"/>
      <c r="L15" s="657"/>
      <c r="M15" s="657"/>
      <c r="N15" s="657"/>
      <c r="O15" s="51"/>
    </row>
    <row r="16" spans="1:15" ht="11.75" customHeight="1">
      <c r="A16" s="587"/>
      <c r="B16" s="4496"/>
      <c r="C16" s="4499"/>
      <c r="D16" s="4500"/>
      <c r="E16" s="4502"/>
      <c r="F16" s="657"/>
      <c r="G16" s="657"/>
      <c r="H16" s="657"/>
      <c r="I16" s="657"/>
      <c r="J16" s="657"/>
      <c r="K16" s="657"/>
      <c r="L16" s="657"/>
      <c r="M16" s="657"/>
      <c r="N16" s="657"/>
      <c r="O16" s="51"/>
    </row>
    <row r="17" spans="1:19" ht="11.75" customHeight="1">
      <c r="A17" s="587"/>
      <c r="B17" s="4503" t="s">
        <v>1225</v>
      </c>
      <c r="C17" s="4504">
        <v>135.6</v>
      </c>
      <c r="D17" s="4505"/>
      <c r="E17" s="4506">
        <f>$C$10/C17</f>
        <v>3.5961381777388963</v>
      </c>
      <c r="F17" s="657"/>
      <c r="G17" s="657"/>
      <c r="H17" s="657"/>
      <c r="I17" s="657"/>
      <c r="J17" s="657"/>
      <c r="K17" s="657"/>
      <c r="L17" s="657"/>
      <c r="M17" s="657"/>
      <c r="N17" s="657"/>
      <c r="O17" s="51"/>
    </row>
    <row r="18" spans="1:19" ht="11.75" customHeight="1">
      <c r="A18" s="587"/>
      <c r="B18" s="4496"/>
      <c r="C18" s="4499"/>
      <c r="D18" s="4500"/>
      <c r="E18" s="4502"/>
      <c r="F18" s="657"/>
      <c r="G18" s="657"/>
      <c r="H18" s="657"/>
      <c r="I18" s="657"/>
      <c r="J18" s="657"/>
      <c r="K18" s="657"/>
      <c r="L18" s="657"/>
      <c r="M18" s="657"/>
      <c r="N18" s="657"/>
      <c r="O18" s="51"/>
    </row>
    <row r="19" spans="1:19" ht="11.75" customHeight="1">
      <c r="A19" s="587"/>
      <c r="B19" s="4503" t="s">
        <v>1226</v>
      </c>
      <c r="C19" s="4504">
        <v>200.7</v>
      </c>
      <c r="D19" s="4505"/>
      <c r="E19" s="4506">
        <f>$C$10/C19</f>
        <v>2.4296778121643965</v>
      </c>
      <c r="F19" s="657"/>
      <c r="G19" s="657"/>
      <c r="H19" s="657"/>
      <c r="I19" s="657"/>
      <c r="J19" s="657"/>
      <c r="K19" s="657"/>
      <c r="L19" s="657"/>
      <c r="M19" s="657"/>
      <c r="N19" s="657"/>
      <c r="O19" s="51"/>
    </row>
    <row r="20" spans="1:19" ht="11.75" customHeight="1" thickBot="1">
      <c r="A20" s="587"/>
      <c r="B20" s="4507"/>
      <c r="C20" s="4508"/>
      <c r="D20" s="4509"/>
      <c r="E20" s="4510"/>
      <c r="F20" s="657"/>
      <c r="G20" s="657"/>
      <c r="H20" s="657"/>
      <c r="I20" s="657"/>
      <c r="J20" s="657"/>
      <c r="K20" s="657"/>
      <c r="L20" s="657"/>
      <c r="M20" s="657"/>
      <c r="N20" s="657"/>
      <c r="O20" s="51"/>
    </row>
    <row r="21" spans="1:19" ht="13.5" thickBot="1">
      <c r="A21" s="587"/>
      <c r="B21" s="657"/>
      <c r="C21" s="657"/>
      <c r="D21" s="657"/>
      <c r="E21" s="657"/>
      <c r="F21" s="657"/>
      <c r="G21" s="657"/>
      <c r="H21" s="657"/>
      <c r="I21" s="657"/>
      <c r="J21" s="657"/>
      <c r="K21" s="657"/>
      <c r="L21" s="657"/>
      <c r="M21" s="657"/>
      <c r="N21" s="657"/>
      <c r="O21" s="51"/>
    </row>
    <row r="22" spans="1:19" ht="24.5" customHeight="1">
      <c r="A22" s="587"/>
      <c r="B22" s="4514" t="s">
        <v>1810</v>
      </c>
      <c r="C22" s="4516" t="s">
        <v>21</v>
      </c>
      <c r="D22" s="4517"/>
      <c r="E22" s="4518"/>
      <c r="F22" s="4516" t="s">
        <v>1836</v>
      </c>
      <c r="G22" s="4517"/>
      <c r="H22" s="4518"/>
      <c r="I22" s="4516" t="s">
        <v>51</v>
      </c>
      <c r="J22" s="4517"/>
      <c r="K22" s="4518"/>
      <c r="L22" s="4516" t="s">
        <v>52</v>
      </c>
      <c r="M22" s="4517"/>
      <c r="N22" s="4518"/>
      <c r="O22" s="51"/>
    </row>
    <row r="23" spans="1:19" ht="24.5" customHeight="1" thickBot="1">
      <c r="A23" s="587"/>
      <c r="B23" s="4515"/>
      <c r="C23" s="2652" t="s">
        <v>22</v>
      </c>
      <c r="D23" s="2653" t="s">
        <v>1301</v>
      </c>
      <c r="E23" s="2654" t="s">
        <v>37</v>
      </c>
      <c r="F23" s="2652" t="s">
        <v>22</v>
      </c>
      <c r="G23" s="2653" t="s">
        <v>1301</v>
      </c>
      <c r="H23" s="2654" t="s">
        <v>37</v>
      </c>
      <c r="I23" s="2652" t="s">
        <v>22</v>
      </c>
      <c r="J23" s="2653" t="s">
        <v>1301</v>
      </c>
      <c r="K23" s="2654" t="s">
        <v>37</v>
      </c>
      <c r="L23" s="2652" t="s">
        <v>22</v>
      </c>
      <c r="M23" s="2653" t="s">
        <v>1301</v>
      </c>
      <c r="N23" s="2654" t="s">
        <v>37</v>
      </c>
      <c r="O23" s="51"/>
    </row>
    <row r="24" spans="1:19" ht="30.75" customHeight="1">
      <c r="A24" s="587"/>
      <c r="B24" s="2645" t="str">
        <f>'Summary-Co'!B13</f>
        <v>Stabilization Hot Oil Heater
(64.83 MMBtu/hr)</v>
      </c>
      <c r="C24" s="2921">
        <f>'Summary-Co'!E13</f>
        <v>1.730961</v>
      </c>
      <c r="D24" s="2922">
        <f t="shared" ref="D24:D29" si="0">C24*24</f>
        <v>41.543064000000001</v>
      </c>
      <c r="E24" s="2923">
        <f t="shared" ref="E24:E29" si="1">D24*365/2000</f>
        <v>7.5816091800000001</v>
      </c>
      <c r="F24" s="2921">
        <v>0</v>
      </c>
      <c r="G24" s="2924">
        <f t="shared" ref="G24:G29" si="2">F24*24</f>
        <v>0</v>
      </c>
      <c r="H24" s="1831">
        <f t="shared" ref="H24:H29" si="3">G24*365/2000</f>
        <v>0</v>
      </c>
      <c r="I24" s="2921">
        <f>'Summary-Co'!K13</f>
        <v>0.14300735294117647</v>
      </c>
      <c r="J24" s="2924">
        <f t="shared" ref="J24:J29" si="4">I24*24</f>
        <v>3.4321764705882352</v>
      </c>
      <c r="K24" s="1831">
        <f t="shared" ref="K24:K29" si="5">J24*365/2000</f>
        <v>0.62637220588235287</v>
      </c>
      <c r="L24" s="2921">
        <f>'Summary-Co'!O13</f>
        <v>0.48304705882352933</v>
      </c>
      <c r="M24" s="2924">
        <f t="shared" ref="M24:M29" si="6">L24*24</f>
        <v>11.593129411764703</v>
      </c>
      <c r="N24" s="1836">
        <f t="shared" ref="N24:N29" si="7">M24*365/2000</f>
        <v>2.1157461176470584</v>
      </c>
      <c r="O24" s="51"/>
      <c r="Q24" s="582"/>
      <c r="S24" s="582">
        <v>227.57569255651384</v>
      </c>
    </row>
    <row r="25" spans="1:19" ht="31">
      <c r="A25" s="587"/>
      <c r="B25" s="2917" t="str">
        <f>'Summary-Co'!B14</f>
        <v>Stabilization Hot Oil Heater
(64.83 MMBtu/hr)</v>
      </c>
      <c r="C25" s="2925">
        <f>'Summary-Co'!E14</f>
        <v>1.730961</v>
      </c>
      <c r="D25" s="2926">
        <f t="shared" si="0"/>
        <v>41.543064000000001</v>
      </c>
      <c r="E25" s="2919">
        <f t="shared" si="1"/>
        <v>7.5816091800000001</v>
      </c>
      <c r="F25" s="2925">
        <v>0</v>
      </c>
      <c r="G25" s="2927">
        <f t="shared" si="2"/>
        <v>0</v>
      </c>
      <c r="H25" s="1858">
        <f t="shared" si="3"/>
        <v>0</v>
      </c>
      <c r="I25" s="2925">
        <f>'Summary-Co'!K14</f>
        <v>0.14300735294117647</v>
      </c>
      <c r="J25" s="2927">
        <f t="shared" si="4"/>
        <v>3.4321764705882352</v>
      </c>
      <c r="K25" s="1858">
        <f t="shared" si="5"/>
        <v>0.62637220588235287</v>
      </c>
      <c r="L25" s="2925">
        <f>'Summary-Co'!O14</f>
        <v>0.48304705882352933</v>
      </c>
      <c r="M25" s="2927">
        <f t="shared" si="6"/>
        <v>11.593129411764703</v>
      </c>
      <c r="N25" s="1854">
        <f t="shared" si="7"/>
        <v>2.1157461176470584</v>
      </c>
      <c r="O25" s="51"/>
      <c r="Q25" s="582"/>
    </row>
    <row r="26" spans="1:19" ht="30.75" customHeight="1">
      <c r="A26" s="587"/>
      <c r="B26" s="2655" t="str">
        <f>'Summary-Co'!B15</f>
        <v>Regen Heater
(39.14 MMBtu/hr)</v>
      </c>
      <c r="C26" s="2925">
        <f>'Summary-Co'!E15</f>
        <v>1.0450380000000001</v>
      </c>
      <c r="D26" s="2926">
        <f t="shared" si="0"/>
        <v>25.080912000000005</v>
      </c>
      <c r="E26" s="2919">
        <f t="shared" si="1"/>
        <v>4.5772664400000016</v>
      </c>
      <c r="F26" s="2925">
        <v>0</v>
      </c>
      <c r="G26" s="2927">
        <f t="shared" si="2"/>
        <v>0</v>
      </c>
      <c r="H26" s="1858">
        <f t="shared" si="3"/>
        <v>0</v>
      </c>
      <c r="I26" s="2925">
        <f>'Summary-Co'!K15</f>
        <v>8.633823529411766E-2</v>
      </c>
      <c r="J26" s="2927">
        <f t="shared" si="4"/>
        <v>2.0721176470588238</v>
      </c>
      <c r="K26" s="1858">
        <f t="shared" si="5"/>
        <v>0.37816147058823535</v>
      </c>
      <c r="L26" s="2925">
        <f>'Summary-Co'!O15</f>
        <v>0.29163137254901961</v>
      </c>
      <c r="M26" s="2927">
        <f t="shared" si="6"/>
        <v>6.9991529411764706</v>
      </c>
      <c r="N26" s="1854">
        <f t="shared" si="7"/>
        <v>1.2773454117647058</v>
      </c>
      <c r="O26" s="51"/>
      <c r="Q26" s="582"/>
      <c r="S26" s="582">
        <v>227.57569255651384</v>
      </c>
    </row>
    <row r="27" spans="1:19" ht="31">
      <c r="A27" s="587"/>
      <c r="B27" s="2917" t="str">
        <f>'Summary-Co'!B16</f>
        <v>Regen Heater
(39.14 MMBtu/hr)</v>
      </c>
      <c r="C27" s="2925">
        <f>'Summary-Co'!E16</f>
        <v>1.0450380000000001</v>
      </c>
      <c r="D27" s="2926">
        <f t="shared" si="0"/>
        <v>25.080912000000005</v>
      </c>
      <c r="E27" s="2919">
        <f t="shared" si="1"/>
        <v>4.5772664400000016</v>
      </c>
      <c r="F27" s="2925">
        <v>0</v>
      </c>
      <c r="G27" s="2927">
        <f t="shared" si="2"/>
        <v>0</v>
      </c>
      <c r="H27" s="1858">
        <f t="shared" si="3"/>
        <v>0</v>
      </c>
      <c r="I27" s="2925">
        <f>'Summary-Co'!K16</f>
        <v>8.633823529411766E-2</v>
      </c>
      <c r="J27" s="2927">
        <f t="shared" si="4"/>
        <v>2.0721176470588238</v>
      </c>
      <c r="K27" s="1858">
        <f t="shared" si="5"/>
        <v>0.37816147058823535</v>
      </c>
      <c r="L27" s="2925">
        <f>'Summary-Co'!O16</f>
        <v>0.29163137254901961</v>
      </c>
      <c r="M27" s="2927">
        <f t="shared" si="6"/>
        <v>6.9991529411764706</v>
      </c>
      <c r="N27" s="1854">
        <f t="shared" si="7"/>
        <v>1.2773454117647058</v>
      </c>
      <c r="O27" s="51"/>
      <c r="Q27" s="582"/>
    </row>
    <row r="28" spans="1:19" ht="31">
      <c r="A28" s="587"/>
      <c r="B28" s="2917" t="str">
        <f>'Summary-Co'!B17</f>
        <v>Regen Heater
(39.14 MMBtu/hr)</v>
      </c>
      <c r="C28" s="2925">
        <f>'Summary-Co'!E17</f>
        <v>1.0450380000000001</v>
      </c>
      <c r="D28" s="2926">
        <f t="shared" si="0"/>
        <v>25.080912000000005</v>
      </c>
      <c r="E28" s="2919">
        <f t="shared" si="1"/>
        <v>4.5772664400000016</v>
      </c>
      <c r="F28" s="2925">
        <v>0</v>
      </c>
      <c r="G28" s="2927">
        <f t="shared" si="2"/>
        <v>0</v>
      </c>
      <c r="H28" s="1858">
        <f t="shared" si="3"/>
        <v>0</v>
      </c>
      <c r="I28" s="2925">
        <f>'Summary-Co'!K17</f>
        <v>8.633823529411766E-2</v>
      </c>
      <c r="J28" s="2927">
        <f t="shared" si="4"/>
        <v>2.0721176470588238</v>
      </c>
      <c r="K28" s="1858">
        <f t="shared" si="5"/>
        <v>0.37816147058823535</v>
      </c>
      <c r="L28" s="2925">
        <f>'Summary-Co'!O17</f>
        <v>0.29163137254901961</v>
      </c>
      <c r="M28" s="2927">
        <f t="shared" si="6"/>
        <v>6.9991529411764706</v>
      </c>
      <c r="N28" s="1854">
        <f t="shared" si="7"/>
        <v>1.2773454117647058</v>
      </c>
      <c r="O28" s="51"/>
      <c r="Q28" s="582"/>
    </row>
    <row r="29" spans="1:19" ht="31">
      <c r="A29" s="587"/>
      <c r="B29" s="2917" t="str">
        <f>'Summary-Co'!B18</f>
        <v>SSM/Emergency Flare 1 
(Dual Tip Flare) - Pilot/Purge</v>
      </c>
      <c r="C29" s="4471">
        <f>'Summary-Co'!E18</f>
        <v>2.6783137254439984</v>
      </c>
      <c r="D29" s="4474">
        <f t="shared" si="0"/>
        <v>64.279529410655954</v>
      </c>
      <c r="E29" s="4477">
        <f t="shared" si="1"/>
        <v>11.73101411744471</v>
      </c>
      <c r="F29" s="4471">
        <v>0</v>
      </c>
      <c r="G29" s="4522">
        <f t="shared" si="2"/>
        <v>0</v>
      </c>
      <c r="H29" s="4525">
        <f t="shared" si="3"/>
        <v>0</v>
      </c>
      <c r="I29" s="4471">
        <f>'Summary-Co'!K18</f>
        <v>0</v>
      </c>
      <c r="J29" s="4522">
        <f t="shared" si="4"/>
        <v>0</v>
      </c>
      <c r="K29" s="4525">
        <f t="shared" si="5"/>
        <v>0</v>
      </c>
      <c r="L29" s="4471">
        <f>'Summary-Co'!O18</f>
        <v>0.14460915255310022</v>
      </c>
      <c r="M29" s="4522">
        <f t="shared" si="6"/>
        <v>3.4706196612744051</v>
      </c>
      <c r="N29" s="4525">
        <f t="shared" si="7"/>
        <v>0.63338808818257897</v>
      </c>
      <c r="O29" s="51"/>
      <c r="Q29" s="582"/>
    </row>
    <row r="30" spans="1:19" ht="31">
      <c r="A30" s="587"/>
      <c r="B30" s="2917" t="str">
        <f>'Summary-Co'!B19</f>
        <v>SSM/Emergency Flare 2 
(Dual Tip Flare) - Pilot/Purge</v>
      </c>
      <c r="C30" s="4472"/>
      <c r="D30" s="4475"/>
      <c r="E30" s="4478"/>
      <c r="F30" s="4472"/>
      <c r="G30" s="4523"/>
      <c r="H30" s="4526"/>
      <c r="I30" s="4472"/>
      <c r="J30" s="4523"/>
      <c r="K30" s="4526"/>
      <c r="L30" s="4472"/>
      <c r="M30" s="4523"/>
      <c r="N30" s="4526"/>
      <c r="O30" s="51"/>
      <c r="Q30" s="582"/>
    </row>
    <row r="31" spans="1:19" ht="31">
      <c r="A31" s="587"/>
      <c r="B31" s="2917" t="str">
        <f>'Summary-Co'!B20</f>
        <v>Backup SSM/Emergency Flare (Dual Tip Flare) - Pilot/Purge</v>
      </c>
      <c r="C31" s="4473"/>
      <c r="D31" s="4476"/>
      <c r="E31" s="4479"/>
      <c r="F31" s="4473"/>
      <c r="G31" s="4524"/>
      <c r="H31" s="4527"/>
      <c r="I31" s="4473"/>
      <c r="J31" s="4524"/>
      <c r="K31" s="4527"/>
      <c r="L31" s="4473"/>
      <c r="M31" s="4524"/>
      <c r="N31" s="4527"/>
      <c r="O31" s="51"/>
      <c r="Q31" s="582"/>
    </row>
    <row r="32" spans="1:19" ht="31">
      <c r="A32" s="587"/>
      <c r="B32" s="2917" t="str">
        <f>'Summary-Co'!B21</f>
        <v>FL1-FL3 Stabilizer Overhead SSM Gas</v>
      </c>
      <c r="C32" s="4463" t="s">
        <v>1944</v>
      </c>
      <c r="D32" s="4464"/>
      <c r="E32" s="4464"/>
      <c r="F32" s="4464"/>
      <c r="G32" s="4464"/>
      <c r="H32" s="4464"/>
      <c r="I32" s="4464"/>
      <c r="J32" s="4464"/>
      <c r="K32" s="4464"/>
      <c r="L32" s="4464"/>
      <c r="M32" s="4464"/>
      <c r="N32" s="4465"/>
      <c r="O32" s="51"/>
      <c r="Q32" s="582"/>
    </row>
    <row r="33" spans="1:23" ht="31">
      <c r="A33" s="587"/>
      <c r="B33" s="2917" t="s">
        <v>1825</v>
      </c>
      <c r="C33" s="1852">
        <f>'Hrly (FL1-FL3CRYO-SSM)'!I12</f>
        <v>102.42580604979864</v>
      </c>
      <c r="D33" s="2918">
        <f>C33*2</f>
        <v>204.85161209959728</v>
      </c>
      <c r="E33" s="2919">
        <f t="shared" ref="E33:E51" si="8">D33*365/2000</f>
        <v>37.385419208176501</v>
      </c>
      <c r="F33" s="1852">
        <v>0</v>
      </c>
      <c r="G33" s="2920">
        <v>0</v>
      </c>
      <c r="H33" s="1858">
        <f t="shared" ref="H33:H51" si="9">G33*365/2000</f>
        <v>0</v>
      </c>
      <c r="I33" s="1852">
        <f>'Summary-Co'!K22</f>
        <v>5.0643749702923742E-2</v>
      </c>
      <c r="J33" s="2920">
        <f>I33*2</f>
        <v>0.10128749940584748</v>
      </c>
      <c r="K33" s="1858">
        <f t="shared" ref="K33:K51" si="10">J33*365/2000</f>
        <v>1.8484968641567165E-2</v>
      </c>
      <c r="L33" s="1852">
        <f>'Summary-Co'!O22</f>
        <v>5.2857362398266847</v>
      </c>
      <c r="M33" s="2920">
        <f>L33*2</f>
        <v>10.571472479653369</v>
      </c>
      <c r="N33" s="1854">
        <f t="shared" ref="N33:N51" si="11">M33*365/2000</f>
        <v>1.9292937275367399</v>
      </c>
      <c r="O33" s="51"/>
      <c r="Q33" s="582"/>
    </row>
    <row r="34" spans="1:23" ht="15.5">
      <c r="A34" s="587"/>
      <c r="B34" s="2917" t="str">
        <f>'Summary-Co'!B33</f>
        <v>Combustor</v>
      </c>
      <c r="C34" s="1852">
        <f>'Summary-Co'!E33</f>
        <v>1.5931460516780505</v>
      </c>
      <c r="D34" s="2918">
        <f t="shared" ref="D34:D41" si="12">C34*24</f>
        <v>38.235505240273213</v>
      </c>
      <c r="E34" s="2919">
        <f t="shared" si="8"/>
        <v>6.9779797063498616</v>
      </c>
      <c r="F34" s="1852">
        <v>0</v>
      </c>
      <c r="G34" s="2920">
        <v>0</v>
      </c>
      <c r="H34" s="1858">
        <f t="shared" si="9"/>
        <v>0</v>
      </c>
      <c r="I34" s="1852">
        <f>'Summary-Co'!K33</f>
        <v>0</v>
      </c>
      <c r="J34" s="2920">
        <f t="shared" ref="J34:J41" si="13">I34*24</f>
        <v>0</v>
      </c>
      <c r="K34" s="1858">
        <f t="shared" si="10"/>
        <v>0</v>
      </c>
      <c r="L34" s="1852">
        <f>'Summary-Co'!M33</f>
        <v>8.6018115890545505E-2</v>
      </c>
      <c r="M34" s="2920">
        <f t="shared" ref="M34:M41" si="14">L34*24</f>
        <v>2.0644347813730919</v>
      </c>
      <c r="N34" s="1854">
        <f t="shared" si="11"/>
        <v>0.37675934760058927</v>
      </c>
      <c r="O34" s="51"/>
      <c r="Q34" s="582"/>
    </row>
    <row r="35" spans="1:23" ht="15.5">
      <c r="A35" s="587"/>
      <c r="B35" s="2917" t="str">
        <f>'Summary-Co'!B34</f>
        <v>Thermal Oxidizer</v>
      </c>
      <c r="C35" s="1852">
        <f>'Summary-Co'!E34</f>
        <v>2.5190885601790693</v>
      </c>
      <c r="D35" s="2918">
        <f t="shared" si="12"/>
        <v>60.458125444297664</v>
      </c>
      <c r="E35" s="2919">
        <f t="shared" si="8"/>
        <v>11.033607893584323</v>
      </c>
      <c r="F35" s="1852">
        <v>0</v>
      </c>
      <c r="G35" s="2920">
        <v>0</v>
      </c>
      <c r="H35" s="1858">
        <f t="shared" si="9"/>
        <v>0</v>
      </c>
      <c r="I35" s="1852">
        <f>'Summary-Co'!K34</f>
        <v>0.86237125715223051</v>
      </c>
      <c r="J35" s="2920">
        <f t="shared" si="13"/>
        <v>20.696910171653531</v>
      </c>
      <c r="K35" s="1858">
        <f t="shared" si="10"/>
        <v>3.7771861063267691</v>
      </c>
      <c r="L35" s="1852">
        <f>'Summary-Co'!O34</f>
        <v>0.23462099335001135</v>
      </c>
      <c r="M35" s="2920">
        <f t="shared" si="14"/>
        <v>5.630903840400272</v>
      </c>
      <c r="N35" s="1854">
        <f t="shared" si="11"/>
        <v>1.0276399508730496</v>
      </c>
      <c r="O35" s="51"/>
      <c r="Q35" s="582"/>
    </row>
    <row r="36" spans="1:23" ht="15.5">
      <c r="A36" s="587"/>
      <c r="B36" s="2917" t="str">
        <f>'Summary-Co'!B35</f>
        <v>Thermal Oxidizer</v>
      </c>
      <c r="C36" s="1852">
        <f>'Summary-Co'!E35</f>
        <v>2.5190885601790693</v>
      </c>
      <c r="D36" s="2918">
        <f t="shared" si="12"/>
        <v>60.458125444297664</v>
      </c>
      <c r="E36" s="2919">
        <f t="shared" si="8"/>
        <v>11.033607893584323</v>
      </c>
      <c r="F36" s="1852">
        <v>0</v>
      </c>
      <c r="G36" s="2920">
        <v>0</v>
      </c>
      <c r="H36" s="1858">
        <f t="shared" si="9"/>
        <v>0</v>
      </c>
      <c r="I36" s="1852">
        <f>'Summary-Co'!K35</f>
        <v>0.86237125715223051</v>
      </c>
      <c r="J36" s="2920">
        <f t="shared" si="13"/>
        <v>20.696910171653531</v>
      </c>
      <c r="K36" s="1858">
        <f t="shared" si="10"/>
        <v>3.7771861063267691</v>
      </c>
      <c r="L36" s="1852">
        <f>'Summary-Co'!O35</f>
        <v>0.23462099335001135</v>
      </c>
      <c r="M36" s="2920">
        <f t="shared" si="14"/>
        <v>5.630903840400272</v>
      </c>
      <c r="N36" s="1854">
        <f t="shared" si="11"/>
        <v>1.0276399508730496</v>
      </c>
      <c r="O36" s="51"/>
      <c r="Q36" s="582"/>
    </row>
    <row r="37" spans="1:23" ht="15.5">
      <c r="A37" s="587"/>
      <c r="B37" s="2917" t="str">
        <f>'Summary-Co'!B36</f>
        <v>Thermal Oxidizer</v>
      </c>
      <c r="C37" s="1852">
        <f>'TO Hrly (TO1-TO3)'!C38*'TO Hrly (TO1-TO3)'!L12</f>
        <v>1.9059237226428665</v>
      </c>
      <c r="D37" s="2918">
        <f t="shared" si="12"/>
        <v>45.742169343428799</v>
      </c>
      <c r="E37" s="2919">
        <f t="shared" si="8"/>
        <v>8.3479459051757541</v>
      </c>
      <c r="F37" s="1852">
        <v>0</v>
      </c>
      <c r="G37" s="2920">
        <v>0</v>
      </c>
      <c r="H37" s="1858">
        <f t="shared" si="9"/>
        <v>0</v>
      </c>
      <c r="I37" s="1852">
        <f>'TO Hrly (TO1-TO3)'!C36</f>
        <v>0</v>
      </c>
      <c r="J37" s="2920">
        <f t="shared" si="13"/>
        <v>0</v>
      </c>
      <c r="K37" s="1858">
        <f t="shared" si="10"/>
        <v>0</v>
      </c>
      <c r="L37" s="1852">
        <f>'TO Hrly (TO1-TO3)'!C37/10^6*'TO Hrly (TO1-TO3)'!L16</f>
        <v>0.17541554205601159</v>
      </c>
      <c r="M37" s="2920">
        <f t="shared" si="14"/>
        <v>4.209973009344278</v>
      </c>
      <c r="N37" s="1854">
        <f t="shared" si="11"/>
        <v>0.76832007420533066</v>
      </c>
      <c r="O37" s="51"/>
      <c r="P37" s="2986" t="s">
        <v>1926</v>
      </c>
      <c r="Q37" s="2987"/>
      <c r="R37" s="2986"/>
      <c r="S37" s="2986"/>
      <c r="T37" s="2986"/>
      <c r="U37" s="2986"/>
      <c r="V37" s="2986"/>
      <c r="W37" s="2986"/>
    </row>
    <row r="38" spans="1:23" ht="15.5">
      <c r="A38" s="587"/>
      <c r="B38" s="2917" t="str">
        <f>'Summary-Co'!B49</f>
        <v>Turbine</v>
      </c>
      <c r="C38" s="1852">
        <f>'Summary-Co'!E49</f>
        <v>8.4</v>
      </c>
      <c r="D38" s="2918">
        <f t="shared" si="12"/>
        <v>201.60000000000002</v>
      </c>
      <c r="E38" s="2919">
        <f t="shared" si="8"/>
        <v>36.792000000000009</v>
      </c>
      <c r="F38" s="1852">
        <f>'Cogen-SO2_H2SO4'!H49</f>
        <v>0.8229435360742271</v>
      </c>
      <c r="G38" s="2927">
        <f>F38*24</f>
        <v>19.75064486578145</v>
      </c>
      <c r="H38" s="1858">
        <f t="shared" si="9"/>
        <v>3.6044926880051142</v>
      </c>
      <c r="I38" s="1852">
        <f>'Summary-Co'!K49</f>
        <v>2.1350532104919506</v>
      </c>
      <c r="J38" s="2920">
        <f t="shared" si="13"/>
        <v>51.241277051806819</v>
      </c>
      <c r="K38" s="1858">
        <f t="shared" si="10"/>
        <v>9.3515330619547434</v>
      </c>
      <c r="L38" s="1852">
        <f>'Summary-Co'!O49</f>
        <v>9.1999999999999993</v>
      </c>
      <c r="M38" s="2920">
        <f t="shared" si="14"/>
        <v>220.79999999999998</v>
      </c>
      <c r="N38" s="1854">
        <f t="shared" si="11"/>
        <v>40.295999999999999</v>
      </c>
      <c r="O38" s="51"/>
      <c r="Q38" s="582"/>
    </row>
    <row r="39" spans="1:23" ht="15.5">
      <c r="A39" s="587"/>
      <c r="B39" s="2917" t="str">
        <f>'Summary-Co'!B50</f>
        <v>Turbine</v>
      </c>
      <c r="C39" s="1852">
        <f>'Summary-Co'!E50</f>
        <v>8.4</v>
      </c>
      <c r="D39" s="2918">
        <f t="shared" si="12"/>
        <v>201.60000000000002</v>
      </c>
      <c r="E39" s="2919">
        <f t="shared" si="8"/>
        <v>36.792000000000009</v>
      </c>
      <c r="F39" s="1852">
        <f>F38</f>
        <v>0.8229435360742271</v>
      </c>
      <c r="G39" s="2927">
        <f>F39*24</f>
        <v>19.75064486578145</v>
      </c>
      <c r="H39" s="1858">
        <f t="shared" si="9"/>
        <v>3.6044926880051142</v>
      </c>
      <c r="I39" s="1852">
        <f>'Summary-Co'!K50</f>
        <v>2.1350532104919506</v>
      </c>
      <c r="J39" s="2920">
        <f t="shared" si="13"/>
        <v>51.241277051806819</v>
      </c>
      <c r="K39" s="1858">
        <f t="shared" si="10"/>
        <v>9.3515330619547434</v>
      </c>
      <c r="L39" s="1852">
        <f>'Summary-Co'!O50</f>
        <v>9.1999999999999993</v>
      </c>
      <c r="M39" s="2920">
        <f t="shared" si="14"/>
        <v>220.79999999999998</v>
      </c>
      <c r="N39" s="1854">
        <f t="shared" si="11"/>
        <v>40.295999999999999</v>
      </c>
      <c r="O39" s="51"/>
      <c r="Q39" s="582"/>
    </row>
    <row r="40" spans="1:23" ht="15.5">
      <c r="A40" s="587"/>
      <c r="B40" s="2917" t="str">
        <f>'Summary-Co'!B51</f>
        <v>Turbine</v>
      </c>
      <c r="C40" s="1852">
        <f>'Summary-Co'!E51</f>
        <v>8.4</v>
      </c>
      <c r="D40" s="2918">
        <f t="shared" si="12"/>
        <v>201.60000000000002</v>
      </c>
      <c r="E40" s="2919">
        <f t="shared" si="8"/>
        <v>36.792000000000009</v>
      </c>
      <c r="F40" s="1852">
        <f>F38</f>
        <v>0.8229435360742271</v>
      </c>
      <c r="G40" s="2927">
        <f>F40*24</f>
        <v>19.75064486578145</v>
      </c>
      <c r="H40" s="1858">
        <f t="shared" si="9"/>
        <v>3.6044926880051142</v>
      </c>
      <c r="I40" s="1852">
        <f>'Summary-Co'!K51</f>
        <v>2.1350532104919506</v>
      </c>
      <c r="J40" s="2920">
        <f t="shared" si="13"/>
        <v>51.241277051806819</v>
      </c>
      <c r="K40" s="1858">
        <f t="shared" si="10"/>
        <v>9.3515330619547434</v>
      </c>
      <c r="L40" s="1852">
        <f>'Summary-Co'!O51</f>
        <v>9.1999999999999993</v>
      </c>
      <c r="M40" s="2920">
        <f t="shared" si="14"/>
        <v>220.79999999999998</v>
      </c>
      <c r="N40" s="1854">
        <f t="shared" si="11"/>
        <v>40.295999999999999</v>
      </c>
      <c r="O40" s="51"/>
      <c r="Q40" s="582"/>
    </row>
    <row r="41" spans="1:23" ht="15.5">
      <c r="A41" s="587"/>
      <c r="B41" s="2917" t="str">
        <f>'Summary-Co'!B52</f>
        <v>Turbine</v>
      </c>
      <c r="C41" s="1852">
        <f>'Summary-Co'!E52</f>
        <v>8.4</v>
      </c>
      <c r="D41" s="2918">
        <f t="shared" si="12"/>
        <v>201.60000000000002</v>
      </c>
      <c r="E41" s="2919">
        <f t="shared" si="8"/>
        <v>36.792000000000009</v>
      </c>
      <c r="F41" s="1852">
        <f>F38</f>
        <v>0.8229435360742271</v>
      </c>
      <c r="G41" s="2927">
        <f>F41*24</f>
        <v>19.75064486578145</v>
      </c>
      <c r="H41" s="1858">
        <f t="shared" si="9"/>
        <v>3.6044926880051142</v>
      </c>
      <c r="I41" s="1852">
        <f>'Summary-Co'!K52</f>
        <v>2.1350532104919506</v>
      </c>
      <c r="J41" s="2920">
        <f t="shared" si="13"/>
        <v>51.241277051806819</v>
      </c>
      <c r="K41" s="1858">
        <f t="shared" si="10"/>
        <v>9.3515330619547434</v>
      </c>
      <c r="L41" s="1852">
        <f>'Summary-Co'!O52</f>
        <v>9.1999999999999993</v>
      </c>
      <c r="M41" s="2920">
        <f t="shared" si="14"/>
        <v>220.79999999999998</v>
      </c>
      <c r="N41" s="1854">
        <f t="shared" si="11"/>
        <v>40.295999999999999</v>
      </c>
      <c r="O41" s="51"/>
      <c r="Q41" s="582"/>
    </row>
    <row r="42" spans="1:23" ht="15.5">
      <c r="A42" s="587"/>
      <c r="B42" s="2917" t="str">
        <f>'Summary-Co'!B53</f>
        <v>Emergency Generator</v>
      </c>
      <c r="C42" s="4463" t="s">
        <v>1936</v>
      </c>
      <c r="D42" s="4464"/>
      <c r="E42" s="4464"/>
      <c r="F42" s="4464"/>
      <c r="G42" s="4464"/>
      <c r="H42" s="4464"/>
      <c r="I42" s="4464"/>
      <c r="J42" s="4464"/>
      <c r="K42" s="4464"/>
      <c r="L42" s="4464"/>
      <c r="M42" s="4464"/>
      <c r="N42" s="4465"/>
      <c r="O42" s="51"/>
      <c r="Q42" s="582"/>
    </row>
    <row r="43" spans="1:23" ht="15.5">
      <c r="A43" s="587"/>
      <c r="B43" s="2917" t="str">
        <f>'Summary-Co'!B54</f>
        <v>Emergency Generator</v>
      </c>
      <c r="C43" s="4463" t="s">
        <v>1936</v>
      </c>
      <c r="D43" s="4464"/>
      <c r="E43" s="4464"/>
      <c r="F43" s="4464"/>
      <c r="G43" s="4464"/>
      <c r="H43" s="4464"/>
      <c r="I43" s="4464"/>
      <c r="J43" s="4464"/>
      <c r="K43" s="4464"/>
      <c r="L43" s="4464"/>
      <c r="M43" s="4464"/>
      <c r="N43" s="4465"/>
      <c r="O43" s="51"/>
      <c r="Q43" s="582"/>
    </row>
    <row r="44" spans="1:23" ht="15.5">
      <c r="A44" s="587"/>
      <c r="B44" s="2917" t="str">
        <f>'Summary-Co'!B55</f>
        <v>Emergency Generator</v>
      </c>
      <c r="C44" s="4463" t="s">
        <v>1936</v>
      </c>
      <c r="D44" s="4464"/>
      <c r="E44" s="4464"/>
      <c r="F44" s="4464"/>
      <c r="G44" s="4464"/>
      <c r="H44" s="4464"/>
      <c r="I44" s="4464"/>
      <c r="J44" s="4464"/>
      <c r="K44" s="4464"/>
      <c r="L44" s="4464"/>
      <c r="M44" s="4464"/>
      <c r="N44" s="4465"/>
      <c r="O44" s="51"/>
      <c r="Q44" s="582"/>
    </row>
    <row r="45" spans="1:23" ht="15.5">
      <c r="A45" s="587"/>
      <c r="B45" s="2917" t="str">
        <f>'Summary-Co'!B56</f>
        <v>Emergency Generator</v>
      </c>
      <c r="C45" s="4463" t="s">
        <v>1936</v>
      </c>
      <c r="D45" s="4464"/>
      <c r="E45" s="4464"/>
      <c r="F45" s="4464"/>
      <c r="G45" s="4464"/>
      <c r="H45" s="4464"/>
      <c r="I45" s="4464"/>
      <c r="J45" s="4464"/>
      <c r="K45" s="4464"/>
      <c r="L45" s="4464"/>
      <c r="M45" s="4464"/>
      <c r="N45" s="4465"/>
      <c r="O45" s="51"/>
      <c r="Q45" s="582"/>
    </row>
    <row r="46" spans="1:23" ht="15.5">
      <c r="A46" s="587"/>
      <c r="B46" s="2917" t="str">
        <f>'Summary-Co'!B57</f>
        <v>Emergency Generator</v>
      </c>
      <c r="C46" s="4463" t="s">
        <v>1936</v>
      </c>
      <c r="D46" s="4464"/>
      <c r="E46" s="4464"/>
      <c r="F46" s="4464"/>
      <c r="G46" s="4464"/>
      <c r="H46" s="4464"/>
      <c r="I46" s="4464"/>
      <c r="J46" s="4464"/>
      <c r="K46" s="4464"/>
      <c r="L46" s="4464"/>
      <c r="M46" s="4464"/>
      <c r="N46" s="4465"/>
      <c r="O46" s="51"/>
      <c r="Q46" s="582"/>
    </row>
    <row r="47" spans="1:23" ht="15.5">
      <c r="A47" s="587"/>
      <c r="B47" s="2985" t="str">
        <f>'Summary-Co'!B58</f>
        <v>Emergency Generator</v>
      </c>
      <c r="C47" s="4463" t="s">
        <v>1936</v>
      </c>
      <c r="D47" s="4464"/>
      <c r="E47" s="4464"/>
      <c r="F47" s="4464"/>
      <c r="G47" s="4464"/>
      <c r="H47" s="4464"/>
      <c r="I47" s="4464"/>
      <c r="J47" s="4464"/>
      <c r="K47" s="4464"/>
      <c r="L47" s="4464"/>
      <c r="M47" s="4464"/>
      <c r="N47" s="4465"/>
      <c r="O47" s="51"/>
      <c r="Q47" s="582"/>
    </row>
    <row r="48" spans="1:23" ht="15.5">
      <c r="A48" s="587"/>
      <c r="B48" s="2917" t="str">
        <f>'Summary-Co'!B59</f>
        <v>Emergency Generator</v>
      </c>
      <c r="C48" s="4463" t="s">
        <v>1936</v>
      </c>
      <c r="D48" s="4464"/>
      <c r="E48" s="4464"/>
      <c r="F48" s="4464"/>
      <c r="G48" s="4464"/>
      <c r="H48" s="4464"/>
      <c r="I48" s="4464"/>
      <c r="J48" s="4464"/>
      <c r="K48" s="4464"/>
      <c r="L48" s="4464"/>
      <c r="M48" s="4464"/>
      <c r="N48" s="4465"/>
      <c r="O48" s="51"/>
      <c r="Q48" s="582"/>
    </row>
    <row r="49" spans="1:17" ht="16" thickBot="1">
      <c r="A49" s="587"/>
      <c r="B49" s="2656" t="str">
        <f>'Summary-Co'!B60</f>
        <v>Emergency Generator</v>
      </c>
      <c r="C49" s="4466" t="s">
        <v>1936</v>
      </c>
      <c r="D49" s="4467"/>
      <c r="E49" s="4467"/>
      <c r="F49" s="4467"/>
      <c r="G49" s="4467"/>
      <c r="H49" s="4467"/>
      <c r="I49" s="4467"/>
      <c r="J49" s="4467"/>
      <c r="K49" s="4467"/>
      <c r="L49" s="4467"/>
      <c r="M49" s="4467"/>
      <c r="N49" s="4468"/>
      <c r="O49" s="51"/>
      <c r="Q49" s="582"/>
    </row>
    <row r="50" spans="1:17" ht="30" customHeight="1">
      <c r="A50" s="587"/>
      <c r="B50" s="2928" t="s">
        <v>1912</v>
      </c>
      <c r="C50" s="2929">
        <f>C24+C25+C26+C27+C28+C34+C35+C36+C37+C38+C39+C40+C41</f>
        <v>48.734282894679055</v>
      </c>
      <c r="D50" s="2930">
        <f>C50*24</f>
        <v>1169.6227894722974</v>
      </c>
      <c r="E50" s="2931">
        <f t="shared" si="8"/>
        <v>213.45615907869427</v>
      </c>
      <c r="F50" s="2929">
        <f>F24+F25+F26+F27+F28+F34+F35+F36+F37+F38+F39+F40+F41</f>
        <v>3.2917741442969084</v>
      </c>
      <c r="G50" s="2930">
        <f>F50*24</f>
        <v>79.002579463125798</v>
      </c>
      <c r="H50" s="2931">
        <f t="shared" si="9"/>
        <v>14.417970752020457</v>
      </c>
      <c r="I50" s="2929">
        <f>I24+I25+I26+I27+I28+I29+I34+I35+I36+I37+I38+I39+I40+I41</f>
        <v>10.809984768036969</v>
      </c>
      <c r="J50" s="2930">
        <f>I50*24</f>
        <v>259.43963443288726</v>
      </c>
      <c r="K50" s="2931">
        <f t="shared" si="10"/>
        <v>47.347733284001926</v>
      </c>
      <c r="L50" s="2929">
        <f>L24+L25+L26+L27+L28+L29+L34+L35+L36+L37+L38+L39+L40+L41</f>
        <v>39.516273032493793</v>
      </c>
      <c r="M50" s="2930">
        <f>L50*24</f>
        <v>948.39055277985108</v>
      </c>
      <c r="N50" s="2972">
        <f>M50*365/2000</f>
        <v>173.08127588232284</v>
      </c>
      <c r="O50" s="51"/>
    </row>
    <row r="51" spans="1:17" ht="27.75" customHeight="1" thickBot="1">
      <c r="A51" s="587"/>
      <c r="B51" s="2932" t="s">
        <v>1911</v>
      </c>
      <c r="C51" s="2933">
        <f>C33</f>
        <v>102.42580604979864</v>
      </c>
      <c r="D51" s="2934">
        <f>C51*2</f>
        <v>204.85161209959728</v>
      </c>
      <c r="E51" s="2935">
        <f t="shared" si="8"/>
        <v>37.385419208176501</v>
      </c>
      <c r="F51" s="2933">
        <f>F33</f>
        <v>0</v>
      </c>
      <c r="G51" s="2934">
        <f>F51*2</f>
        <v>0</v>
      </c>
      <c r="H51" s="2935">
        <f t="shared" si="9"/>
        <v>0</v>
      </c>
      <c r="I51" s="2933">
        <f>I33</f>
        <v>5.0643749702923742E-2</v>
      </c>
      <c r="J51" s="2934">
        <f>I51*2</f>
        <v>0.10128749940584748</v>
      </c>
      <c r="K51" s="2935">
        <f t="shared" si="10"/>
        <v>1.8484968641567165E-2</v>
      </c>
      <c r="L51" s="2933">
        <f>L33</f>
        <v>5.2857362398266847</v>
      </c>
      <c r="M51" s="2934">
        <f>L51*2</f>
        <v>10.571472479653369</v>
      </c>
      <c r="N51" s="2973">
        <f t="shared" si="11"/>
        <v>1.9292937275367399</v>
      </c>
      <c r="O51" s="51"/>
    </row>
    <row r="52" spans="1:17" ht="27.75" customHeight="1" thickBot="1">
      <c r="A52" s="587"/>
      <c r="B52" s="2646" t="s">
        <v>1920</v>
      </c>
      <c r="C52" s="3037">
        <f t="shared" ref="C52:N52" si="15">SUM(C50:C51)</f>
        <v>151.16008894447771</v>
      </c>
      <c r="D52" s="3038">
        <f t="shared" si="15"/>
        <v>1374.4744015718948</v>
      </c>
      <c r="E52" s="3039">
        <f t="shared" si="15"/>
        <v>250.84157828687077</v>
      </c>
      <c r="F52" s="3040">
        <f t="shared" si="15"/>
        <v>3.2917741442969084</v>
      </c>
      <c r="G52" s="3038">
        <f t="shared" si="15"/>
        <v>79.002579463125798</v>
      </c>
      <c r="H52" s="3041">
        <f t="shared" si="15"/>
        <v>14.417970752020457</v>
      </c>
      <c r="I52" s="3040">
        <f t="shared" si="15"/>
        <v>10.860628517739894</v>
      </c>
      <c r="J52" s="3038">
        <f t="shared" si="15"/>
        <v>259.54092193229309</v>
      </c>
      <c r="K52" s="3041">
        <f t="shared" si="15"/>
        <v>47.366218252643492</v>
      </c>
      <c r="L52" s="3040">
        <f t="shared" si="15"/>
        <v>44.802009272320475</v>
      </c>
      <c r="M52" s="3038">
        <f t="shared" si="15"/>
        <v>958.96202525950446</v>
      </c>
      <c r="N52" s="3041">
        <f t="shared" si="15"/>
        <v>175.01056960985957</v>
      </c>
      <c r="O52" s="51"/>
    </row>
    <row r="53" spans="1:17" ht="13.5" thickBot="1">
      <c r="A53" s="587"/>
      <c r="B53" s="2657"/>
      <c r="C53" s="2658"/>
      <c r="D53" s="2658"/>
      <c r="E53" s="3036"/>
      <c r="F53" s="3036"/>
      <c r="G53" s="2658"/>
      <c r="H53" s="2658"/>
      <c r="I53" s="2658"/>
      <c r="J53" s="2658"/>
      <c r="K53" s="2658"/>
      <c r="L53" s="2658"/>
      <c r="M53" s="2658"/>
      <c r="N53" s="2658"/>
      <c r="O53" s="1574"/>
    </row>
    <row r="54" spans="1:17" ht="13">
      <c r="A54" s="587"/>
      <c r="B54" s="661" t="s">
        <v>698</v>
      </c>
      <c r="C54" s="662"/>
      <c r="D54" s="663"/>
      <c r="E54" s="663"/>
      <c r="F54" s="663"/>
      <c r="G54" s="2659"/>
      <c r="H54" s="2659"/>
      <c r="I54" s="2659"/>
      <c r="J54" s="2659"/>
      <c r="K54" s="2659"/>
      <c r="L54" s="2659"/>
      <c r="M54" s="2659"/>
      <c r="N54" s="2660"/>
      <c r="O54" s="1574"/>
    </row>
    <row r="55" spans="1:17" ht="28.25" customHeight="1">
      <c r="A55" s="587"/>
      <c r="B55" s="4519" t="s">
        <v>1835</v>
      </c>
      <c r="C55" s="4520"/>
      <c r="D55" s="4520"/>
      <c r="E55" s="4520"/>
      <c r="F55" s="4520"/>
      <c r="G55" s="4520"/>
      <c r="H55" s="4520"/>
      <c r="I55" s="4520"/>
      <c r="J55" s="4520"/>
      <c r="K55" s="4520"/>
      <c r="L55" s="4520"/>
      <c r="M55" s="4520"/>
      <c r="N55" s="4521"/>
      <c r="O55" s="1574"/>
    </row>
    <row r="56" spans="1:17" ht="14.75" customHeight="1">
      <c r="A56" s="587"/>
      <c r="B56" s="4519" t="s">
        <v>1919</v>
      </c>
      <c r="C56" s="4520"/>
      <c r="D56" s="4520"/>
      <c r="E56" s="4520"/>
      <c r="F56" s="4520"/>
      <c r="G56" s="4520"/>
      <c r="H56" s="4520"/>
      <c r="I56" s="4520"/>
      <c r="J56" s="4520"/>
      <c r="K56" s="4520"/>
      <c r="L56" s="4520"/>
      <c r="M56" s="4520"/>
      <c r="N56" s="4521"/>
      <c r="O56" s="1574"/>
    </row>
    <row r="57" spans="1:17" ht="18.75" customHeight="1" thickBot="1">
      <c r="A57" s="587"/>
      <c r="B57" s="4511" t="s">
        <v>1924</v>
      </c>
      <c r="C57" s="4512"/>
      <c r="D57" s="4512"/>
      <c r="E57" s="4512"/>
      <c r="F57" s="4512"/>
      <c r="G57" s="4512"/>
      <c r="H57" s="4512"/>
      <c r="I57" s="4512"/>
      <c r="J57" s="4512"/>
      <c r="K57" s="4512"/>
      <c r="L57" s="4512"/>
      <c r="M57" s="4512"/>
      <c r="N57" s="4513"/>
      <c r="O57" s="1574"/>
    </row>
    <row r="58" spans="1:17" ht="13">
      <c r="A58" s="587"/>
      <c r="B58" s="2658"/>
      <c r="C58" s="2658"/>
      <c r="D58" s="2658"/>
      <c r="E58" s="2658"/>
      <c r="F58" s="2658"/>
      <c r="G58" s="2658"/>
      <c r="H58" s="2658"/>
      <c r="I58" s="2658"/>
      <c r="J58" s="2658"/>
      <c r="K58" s="2658"/>
      <c r="L58" s="2658"/>
      <c r="M58" s="2658"/>
      <c r="N58" s="2658"/>
      <c r="O58" s="1574"/>
    </row>
    <row r="59" spans="1:17" ht="13.5" thickBot="1">
      <c r="A59" s="1575"/>
      <c r="B59" s="2661"/>
      <c r="C59" s="2661"/>
      <c r="D59" s="2661"/>
      <c r="E59" s="2661"/>
      <c r="F59" s="2661"/>
      <c r="G59" s="2661"/>
      <c r="H59" s="2661"/>
      <c r="I59" s="2661"/>
      <c r="J59" s="2661"/>
      <c r="K59" s="2661"/>
      <c r="L59" s="2661"/>
      <c r="M59" s="2661"/>
      <c r="N59" s="2661"/>
      <c r="O59" s="1577"/>
    </row>
    <row r="60" spans="1:17" ht="13" thickBot="1"/>
    <row r="61" spans="1:17" ht="15.5">
      <c r="E61" s="2929"/>
    </row>
  </sheetData>
  <mergeCells count="47">
    <mergeCell ref="B57:N57"/>
    <mergeCell ref="B22:B23"/>
    <mergeCell ref="C22:E22"/>
    <mergeCell ref="F22:H22"/>
    <mergeCell ref="I22:K22"/>
    <mergeCell ref="L22:N22"/>
    <mergeCell ref="B55:N55"/>
    <mergeCell ref="G29:G31"/>
    <mergeCell ref="H29:H31"/>
    <mergeCell ref="I29:I31"/>
    <mergeCell ref="J29:J31"/>
    <mergeCell ref="K29:K31"/>
    <mergeCell ref="L29:L31"/>
    <mergeCell ref="M29:M31"/>
    <mergeCell ref="N29:N31"/>
    <mergeCell ref="B56:N56"/>
    <mergeCell ref="B17:B18"/>
    <mergeCell ref="C17:D18"/>
    <mergeCell ref="E17:E18"/>
    <mergeCell ref="B19:B20"/>
    <mergeCell ref="C19:D20"/>
    <mergeCell ref="E19:E20"/>
    <mergeCell ref="B13:B14"/>
    <mergeCell ref="C13:D14"/>
    <mergeCell ref="E13:E14"/>
    <mergeCell ref="B15:B16"/>
    <mergeCell ref="C15:D16"/>
    <mergeCell ref="E15:E16"/>
    <mergeCell ref="B2:N2"/>
    <mergeCell ref="B3:N3"/>
    <mergeCell ref="B4:N4"/>
    <mergeCell ref="A7:O7"/>
    <mergeCell ref="C10:E10"/>
    <mergeCell ref="C12:D12"/>
    <mergeCell ref="C29:C31"/>
    <mergeCell ref="D29:D31"/>
    <mergeCell ref="E29:E31"/>
    <mergeCell ref="F29:F31"/>
    <mergeCell ref="C32:N32"/>
    <mergeCell ref="C47:N47"/>
    <mergeCell ref="C48:N48"/>
    <mergeCell ref="C49:N49"/>
    <mergeCell ref="C42:N42"/>
    <mergeCell ref="C43:N43"/>
    <mergeCell ref="C44:N44"/>
    <mergeCell ref="C45:N45"/>
    <mergeCell ref="C46:N46"/>
  </mergeCells>
  <pageMargins left="0.7" right="0.7" top="0.75" bottom="0.75" header="0.3" footer="0.3"/>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A1:AF59"/>
  <sheetViews>
    <sheetView view="pageLayout" topLeftCell="A59" zoomScaleNormal="85" workbookViewId="0">
      <selection activeCell="E19" sqref="E19:R19"/>
    </sheetView>
  </sheetViews>
  <sheetFormatPr defaultColWidth="8.6328125" defaultRowHeight="14.5"/>
  <cols>
    <col min="1" max="1" width="4.6328125" style="2060" customWidth="1"/>
    <col min="2" max="2" width="15.6328125" style="2060" customWidth="1"/>
    <col min="3" max="3" width="15.54296875" style="2060" customWidth="1"/>
    <col min="4" max="4" width="22.54296875" style="2060" customWidth="1"/>
    <col min="5" max="5" width="12.54296875" style="2060" customWidth="1"/>
    <col min="6" max="6" width="11.36328125" style="2060" customWidth="1"/>
    <col min="7" max="7" width="12" style="2060" bestFit="1" customWidth="1"/>
    <col min="8" max="8" width="15.453125" style="2060" customWidth="1"/>
    <col min="9" max="9" width="22.6328125" style="2060" customWidth="1"/>
    <col min="10" max="10" width="6.453125" style="2060" customWidth="1"/>
    <col min="11" max="11" width="14.54296875" style="2060" customWidth="1"/>
    <col min="12" max="12" width="20.6328125" style="2060" customWidth="1"/>
    <col min="13" max="13" width="8.6328125" style="2061"/>
    <col min="14" max="14" width="13.6328125" style="2060" customWidth="1"/>
    <col min="15" max="15" width="9.453125" style="2060" bestFit="1" customWidth="1"/>
    <col min="16" max="16" width="9.453125" style="2060" customWidth="1"/>
    <col min="17" max="17" width="16.54296875" style="2060" bestFit="1" customWidth="1"/>
    <col min="18" max="18" width="8.6328125" style="2060"/>
    <col min="19" max="19" width="13.6328125" style="2060" customWidth="1"/>
    <col min="20" max="20" width="9.453125" style="2060" bestFit="1" customWidth="1"/>
    <col min="21" max="21" width="8.6328125" style="2060"/>
    <col min="22" max="22" width="13.6328125" style="2060" customWidth="1"/>
    <col min="23" max="23" width="9.453125" style="2060" bestFit="1" customWidth="1"/>
    <col min="24" max="24" width="8.6328125" style="2060"/>
    <col min="25" max="25" width="13.6328125" style="2060" customWidth="1"/>
    <col min="26" max="26" width="9.453125" style="2060" bestFit="1" customWidth="1"/>
    <col min="27" max="27" width="8.6328125" style="2060"/>
    <col min="28" max="28" width="13.6328125" style="2060" customWidth="1"/>
    <col min="29" max="29" width="9.453125" style="2060" bestFit="1" customWidth="1"/>
    <col min="30" max="30" width="8.6328125" style="2060"/>
    <col min="31" max="31" width="13.6328125" style="2060" customWidth="1"/>
    <col min="32" max="32" width="9.453125" style="2060" bestFit="1" customWidth="1"/>
    <col min="33" max="16384" width="8.6328125" style="2060"/>
  </cols>
  <sheetData>
    <row r="1" spans="1:32" s="520" customFormat="1" ht="13.5" thickBot="1">
      <c r="A1" s="517"/>
      <c r="B1" s="518"/>
      <c r="C1" s="518"/>
      <c r="D1" s="518"/>
      <c r="E1" s="518"/>
      <c r="F1" s="518"/>
      <c r="G1" s="518"/>
      <c r="H1" s="518"/>
      <c r="I1" s="518"/>
      <c r="J1" s="519"/>
      <c r="N1" s="4537"/>
      <c r="O1" s="4537"/>
      <c r="P1" s="4537"/>
      <c r="Q1" s="4537"/>
      <c r="R1" s="4537"/>
      <c r="S1" s="4537"/>
      <c r="T1" s="4537"/>
      <c r="U1" s="4537"/>
      <c r="V1" s="4537"/>
      <c r="W1" s="4537"/>
    </row>
    <row r="2" spans="1:32" s="522" customFormat="1" ht="21" customHeight="1">
      <c r="A2" s="521"/>
      <c r="B2" s="4542" t="str">
        <f>'Summary-Co'!B4</f>
        <v>HUSKY CDP</v>
      </c>
      <c r="C2" s="4543"/>
      <c r="D2" s="4543"/>
      <c r="E2" s="4543"/>
      <c r="F2" s="4543"/>
      <c r="G2" s="4543"/>
      <c r="H2" s="4543"/>
      <c r="I2" s="4544"/>
      <c r="J2" s="51"/>
      <c r="N2" s="4537"/>
      <c r="O2" s="4537"/>
      <c r="P2" s="4537"/>
      <c r="Q2" s="4537"/>
      <c r="R2" s="4537"/>
      <c r="S2" s="4537"/>
      <c r="T2" s="4537"/>
      <c r="U2" s="4537"/>
      <c r="V2" s="4537"/>
      <c r="W2" s="4537"/>
    </row>
    <row r="3" spans="1:32" s="522" customFormat="1" ht="21" customHeight="1">
      <c r="A3" s="521"/>
      <c r="B3" s="4545" t="s">
        <v>1657</v>
      </c>
      <c r="C3" s="4546"/>
      <c r="D3" s="4546"/>
      <c r="E3" s="4546"/>
      <c r="F3" s="4546"/>
      <c r="G3" s="4546"/>
      <c r="H3" s="4546"/>
      <c r="I3" s="4547"/>
      <c r="J3" s="51"/>
      <c r="N3" s="4537"/>
      <c r="O3" s="4537"/>
      <c r="P3" s="4537"/>
      <c r="Q3" s="4537"/>
      <c r="R3" s="4537"/>
      <c r="S3" s="4537"/>
      <c r="T3" s="4537"/>
      <c r="U3" s="4537"/>
      <c r="V3" s="4537"/>
      <c r="W3" s="4537"/>
    </row>
    <row r="4" spans="1:32" s="522" customFormat="1" ht="21" customHeight="1" thickBot="1">
      <c r="A4" s="521"/>
      <c r="B4" s="4548" t="s">
        <v>1658</v>
      </c>
      <c r="C4" s="4549"/>
      <c r="D4" s="4549"/>
      <c r="E4" s="4549"/>
      <c r="F4" s="4549"/>
      <c r="G4" s="4549"/>
      <c r="H4" s="4549"/>
      <c r="I4" s="4550"/>
      <c r="J4" s="51"/>
      <c r="N4" s="4537"/>
      <c r="O4" s="4537"/>
      <c r="P4" s="4537"/>
      <c r="Q4" s="4537"/>
      <c r="R4" s="4537"/>
      <c r="S4" s="4537"/>
      <c r="T4" s="4537"/>
      <c r="U4" s="4537"/>
      <c r="V4" s="4537"/>
      <c r="W4" s="4537"/>
    </row>
    <row r="5" spans="1:32" s="522" customFormat="1" ht="12" customHeight="1" thickBot="1">
      <c r="A5" s="521"/>
      <c r="B5" s="1917"/>
      <c r="C5" s="1917"/>
      <c r="D5" s="1917"/>
      <c r="E5" s="1917"/>
      <c r="F5" s="1917"/>
      <c r="G5" s="1917"/>
      <c r="H5" s="1917"/>
      <c r="I5" s="1917"/>
      <c r="J5" s="51"/>
      <c r="N5" s="4537"/>
      <c r="O5" s="4537"/>
      <c r="P5" s="4537"/>
      <c r="Q5" s="4537"/>
      <c r="R5" s="4537"/>
      <c r="S5" s="4537"/>
      <c r="T5" s="4537"/>
      <c r="U5" s="4537"/>
      <c r="V5" s="4537"/>
      <c r="W5" s="4537"/>
    </row>
    <row r="6" spans="1:32" s="2058" customFormat="1" ht="15.75" customHeight="1">
      <c r="A6" s="2093"/>
      <c r="B6" s="2098"/>
      <c r="C6" s="2099"/>
      <c r="D6" s="2099"/>
      <c r="E6" s="2099"/>
      <c r="F6" s="2099"/>
      <c r="G6" s="2099"/>
      <c r="H6" s="2099"/>
      <c r="I6" s="2100"/>
      <c r="J6" s="2089"/>
      <c r="M6" s="2057"/>
      <c r="N6" s="4537"/>
      <c r="O6" s="4537"/>
      <c r="P6" s="4537"/>
      <c r="Q6" s="4537"/>
      <c r="R6" s="4537"/>
      <c r="S6" s="4537"/>
      <c r="T6" s="4537"/>
      <c r="U6" s="4537"/>
      <c r="V6" s="4537"/>
      <c r="W6" s="4537"/>
      <c r="AA6" s="2057"/>
    </row>
    <row r="7" spans="1:32">
      <c r="A7" s="2094"/>
      <c r="B7" s="2101"/>
      <c r="C7" s="2102"/>
      <c r="D7" s="2102"/>
      <c r="E7" s="2102"/>
      <c r="F7" s="2102"/>
      <c r="G7" s="2102"/>
      <c r="H7" s="2102"/>
      <c r="I7" s="2103"/>
      <c r="J7" s="2090"/>
    </row>
    <row r="8" spans="1:32">
      <c r="A8" s="2094"/>
      <c r="B8" s="2104" t="s">
        <v>1532</v>
      </c>
      <c r="C8" s="2102"/>
      <c r="D8" s="2102"/>
      <c r="E8" s="2102"/>
      <c r="F8" s="2102"/>
      <c r="G8" s="2102"/>
      <c r="H8" s="2102"/>
      <c r="I8" s="2103"/>
      <c r="J8" s="2090"/>
    </row>
    <row r="9" spans="1:32">
      <c r="A9" s="2094"/>
      <c r="B9" s="2101"/>
      <c r="C9" s="2102"/>
      <c r="D9" s="2102"/>
      <c r="E9" s="2102"/>
      <c r="F9" s="2102"/>
      <c r="G9" s="2102"/>
      <c r="H9" s="2102"/>
      <c r="I9" s="2103"/>
      <c r="J9" s="2090"/>
    </row>
    <row r="10" spans="1:32">
      <c r="A10" s="2094"/>
      <c r="B10" s="2101"/>
      <c r="C10" s="2102"/>
      <c r="D10" s="2102"/>
      <c r="E10" s="2102"/>
      <c r="F10" s="2107" t="s">
        <v>1665</v>
      </c>
      <c r="G10" s="2107" t="s">
        <v>1662</v>
      </c>
      <c r="H10" s="2107" t="s">
        <v>1663</v>
      </c>
      <c r="I10" s="2108" t="s">
        <v>1664</v>
      </c>
      <c r="J10" s="2090"/>
      <c r="R10" s="2062"/>
      <c r="S10" s="2062"/>
      <c r="T10" s="2062"/>
      <c r="U10" s="2062"/>
      <c r="V10" s="2062"/>
      <c r="W10" s="2062"/>
      <c r="Y10" s="2062"/>
      <c r="Z10" s="2062"/>
      <c r="AB10" s="2062"/>
      <c r="AC10" s="2062"/>
      <c r="AE10" s="2062"/>
      <c r="AF10" s="2062"/>
    </row>
    <row r="11" spans="1:32">
      <c r="A11" s="2094"/>
      <c r="B11" s="2109" t="s">
        <v>1891</v>
      </c>
      <c r="C11" s="2110"/>
      <c r="D11" s="2110"/>
      <c r="E11" s="2110"/>
      <c r="F11" s="2111">
        <v>0.75</v>
      </c>
      <c r="G11" s="2107">
        <f>F11/7000</f>
        <v>1.0714285714285714E-4</v>
      </c>
      <c r="H11" s="2107">
        <f>G11/F13</f>
        <v>3.3414270120959659E-6</v>
      </c>
      <c r="I11" s="2108">
        <f>H11/G13</f>
        <v>9.7989061938298115E-8</v>
      </c>
      <c r="J11" s="2090"/>
      <c r="R11" s="2062"/>
      <c r="S11" s="2062"/>
      <c r="T11" s="2062"/>
      <c r="U11" s="2062"/>
      <c r="V11" s="2063"/>
      <c r="W11" s="2062"/>
      <c r="Y11" s="2063"/>
      <c r="Z11" s="2062"/>
      <c r="AB11" s="2063"/>
      <c r="AC11" s="2062"/>
      <c r="AE11" s="2063"/>
      <c r="AF11" s="2062"/>
    </row>
    <row r="12" spans="1:32">
      <c r="A12" s="2094"/>
      <c r="B12" s="2101"/>
      <c r="C12" s="2102"/>
      <c r="D12" s="2102"/>
      <c r="E12" s="2102"/>
      <c r="F12" s="2107" t="s">
        <v>1533</v>
      </c>
      <c r="G12" s="2107" t="s">
        <v>1534</v>
      </c>
      <c r="H12" s="2107" t="s">
        <v>1535</v>
      </c>
      <c r="I12" s="2108" t="s">
        <v>1536</v>
      </c>
      <c r="J12" s="2091"/>
      <c r="K12" s="2064"/>
    </row>
    <row r="13" spans="1:32">
      <c r="A13" s="2094"/>
      <c r="B13" s="2101"/>
      <c r="C13" s="2102"/>
      <c r="D13" s="2102"/>
      <c r="E13" s="2102"/>
      <c r="F13" s="2107">
        <v>32.064999999999998</v>
      </c>
      <c r="G13" s="2107">
        <v>34.1</v>
      </c>
      <c r="H13" s="2112">
        <v>64.066000000000003</v>
      </c>
      <c r="I13" s="2113">
        <v>98.078999999999994</v>
      </c>
      <c r="J13" s="2091"/>
      <c r="K13" s="2064"/>
    </row>
    <row r="14" spans="1:32">
      <c r="A14" s="2094"/>
      <c r="B14" s="2105" t="s">
        <v>1537</v>
      </c>
      <c r="C14" s="2106"/>
      <c r="D14" s="2106"/>
      <c r="E14" s="2121" t="s">
        <v>568</v>
      </c>
      <c r="F14" s="2114">
        <v>850</v>
      </c>
      <c r="G14" s="2102"/>
      <c r="H14" s="2115"/>
      <c r="I14" s="2116"/>
      <c r="J14" s="2091"/>
      <c r="K14" s="2064"/>
    </row>
    <row r="15" spans="1:32">
      <c r="A15" s="2094"/>
      <c r="B15" s="2109" t="s">
        <v>1538</v>
      </c>
      <c r="C15" s="2110"/>
      <c r="D15" s="2110"/>
      <c r="E15" s="2123"/>
      <c r="F15" s="2117">
        <v>1.1000000000000001</v>
      </c>
      <c r="G15" s="2102"/>
      <c r="H15" s="2115"/>
      <c r="I15" s="2116"/>
      <c r="J15" s="2091"/>
      <c r="K15" s="2064"/>
    </row>
    <row r="16" spans="1:32">
      <c r="A16" s="2094"/>
      <c r="B16" s="2101"/>
      <c r="C16" s="2102"/>
      <c r="D16" s="2102"/>
      <c r="E16" s="2102"/>
      <c r="F16" s="2118"/>
      <c r="G16" s="2102"/>
      <c r="H16" s="2115"/>
      <c r="I16" s="2116"/>
      <c r="J16" s="2091"/>
      <c r="K16" s="2064"/>
    </row>
    <row r="17" spans="1:13">
      <c r="A17" s="2094"/>
      <c r="B17" s="2119" t="s">
        <v>1539</v>
      </c>
      <c r="C17" s="2102"/>
      <c r="D17" s="4529" t="s">
        <v>1770</v>
      </c>
      <c r="E17" s="4529"/>
      <c r="F17" s="4529"/>
      <c r="G17" s="4529"/>
      <c r="H17" s="4529"/>
      <c r="I17" s="4530"/>
      <c r="J17" s="2091"/>
      <c r="K17" s="2064"/>
    </row>
    <row r="18" spans="1:13">
      <c r="A18" s="2094"/>
      <c r="B18" s="2101"/>
      <c r="C18" s="2102"/>
      <c r="D18" s="4529"/>
      <c r="E18" s="4529"/>
      <c r="F18" s="4529"/>
      <c r="G18" s="4529"/>
      <c r="H18" s="4529"/>
      <c r="I18" s="4530"/>
      <c r="J18" s="2091"/>
      <c r="K18" s="2064"/>
    </row>
    <row r="19" spans="1:13">
      <c r="A19" s="2094"/>
      <c r="B19" s="2101"/>
      <c r="C19" s="2102"/>
      <c r="D19" s="2102"/>
      <c r="E19" s="2102"/>
      <c r="F19" s="2115"/>
      <c r="G19" s="2102"/>
      <c r="H19" s="2102"/>
      <c r="I19" s="2103"/>
      <c r="J19" s="2090"/>
    </row>
    <row r="20" spans="1:13" ht="29.25" customHeight="1">
      <c r="A20" s="2094"/>
      <c r="B20" s="2101"/>
      <c r="C20" s="2102"/>
      <c r="D20" s="2102"/>
      <c r="E20" s="2102"/>
      <c r="F20" s="2124" t="s">
        <v>1546</v>
      </c>
      <c r="G20" s="2125"/>
      <c r="H20" s="2126"/>
      <c r="I20" s="2127"/>
      <c r="J20" s="2090"/>
      <c r="M20" s="2060"/>
    </row>
    <row r="21" spans="1:13">
      <c r="A21" s="2094"/>
      <c r="B21" s="2101"/>
      <c r="C21" s="2102"/>
      <c r="D21" s="2102"/>
      <c r="E21" s="2102"/>
      <c r="F21" s="2128" t="s">
        <v>1547</v>
      </c>
      <c r="G21" s="2128" t="s">
        <v>1548</v>
      </c>
      <c r="H21" s="2174" t="s">
        <v>1549</v>
      </c>
      <c r="I21" s="2161" t="s">
        <v>1550</v>
      </c>
      <c r="J21" s="2090"/>
      <c r="M21" s="2060"/>
    </row>
    <row r="22" spans="1:13">
      <c r="A22" s="2094"/>
      <c r="B22" s="2129" t="s">
        <v>1551</v>
      </c>
      <c r="C22" s="2130"/>
      <c r="D22" s="2131"/>
      <c r="E22" s="2112" t="s">
        <v>656</v>
      </c>
      <c r="F22" s="2156">
        <v>96200</v>
      </c>
      <c r="G22" s="2146"/>
      <c r="H22" s="2175"/>
      <c r="I22" s="2162"/>
      <c r="J22" s="2090"/>
      <c r="M22" s="2060"/>
    </row>
    <row r="23" spans="1:13">
      <c r="A23" s="2094"/>
      <c r="B23" s="2129" t="s">
        <v>1552</v>
      </c>
      <c r="C23" s="2130"/>
      <c r="D23" s="2131"/>
      <c r="E23" s="2112" t="s">
        <v>1553</v>
      </c>
      <c r="F23" s="2156">
        <v>9165</v>
      </c>
      <c r="G23" s="2146"/>
      <c r="H23" s="2175"/>
      <c r="I23" s="2162"/>
      <c r="J23" s="2090"/>
      <c r="M23" s="2060"/>
    </row>
    <row r="24" spans="1:13">
      <c r="A24" s="2094"/>
      <c r="B24" s="2129" t="s">
        <v>1554</v>
      </c>
      <c r="C24" s="2130"/>
      <c r="D24" s="2131"/>
      <c r="E24" s="2112" t="s">
        <v>566</v>
      </c>
      <c r="F24" s="2157">
        <f>F22*F23/1000000</f>
        <v>881.673</v>
      </c>
      <c r="G24" s="2156">
        <v>179.52</v>
      </c>
      <c r="H24" s="2176">
        <f>F24+G24</f>
        <v>1061.193</v>
      </c>
      <c r="I24" s="2163">
        <f>H24*4</f>
        <v>4244.7719999999999</v>
      </c>
      <c r="J24" s="2090"/>
      <c r="M24" s="2060"/>
    </row>
    <row r="25" spans="1:13">
      <c r="A25" s="2094"/>
      <c r="B25" s="2129" t="s">
        <v>1555</v>
      </c>
      <c r="C25" s="2130"/>
      <c r="D25" s="2131"/>
      <c r="E25" s="2112" t="s">
        <v>1556</v>
      </c>
      <c r="F25" s="2158">
        <f>F24*1000000/$F$14</f>
        <v>1037262.3529411765</v>
      </c>
      <c r="G25" s="2158">
        <f>G24*1000000/$F$14</f>
        <v>211200</v>
      </c>
      <c r="H25" s="2177">
        <f>F25+G25</f>
        <v>1248462.3529411764</v>
      </c>
      <c r="I25" s="2164"/>
      <c r="J25" s="2090"/>
      <c r="M25" s="2060"/>
    </row>
    <row r="26" spans="1:13">
      <c r="A26" s="2094"/>
      <c r="B26" s="2129" t="s">
        <v>1557</v>
      </c>
      <c r="C26" s="2130"/>
      <c r="D26" s="2131"/>
      <c r="E26" s="2112" t="s">
        <v>1660</v>
      </c>
      <c r="F26" s="2158">
        <v>8760</v>
      </c>
      <c r="G26" s="2158">
        <v>8760</v>
      </c>
      <c r="H26" s="2177">
        <f>G26</f>
        <v>8760</v>
      </c>
      <c r="I26" s="2165">
        <f>H26</f>
        <v>8760</v>
      </c>
      <c r="J26" s="2090"/>
      <c r="M26" s="2060"/>
    </row>
    <row r="27" spans="1:13">
      <c r="A27" s="2094"/>
      <c r="B27" s="2129" t="s">
        <v>1558</v>
      </c>
      <c r="C27" s="2130"/>
      <c r="D27" s="2131"/>
      <c r="E27" s="2146" t="s">
        <v>672</v>
      </c>
      <c r="F27" s="2133">
        <f>$H11/100*F25</f>
        <v>3.4659364447478663E-2</v>
      </c>
      <c r="G27" s="2133">
        <f>$H11/100*G25</f>
        <v>7.0570938495466799E-3</v>
      </c>
      <c r="H27" s="2178">
        <f>F27+G27</f>
        <v>4.1716458297025347E-2</v>
      </c>
      <c r="I27" s="2166">
        <f>H27*4</f>
        <v>0.16686583318810139</v>
      </c>
      <c r="J27" s="2090"/>
      <c r="M27" s="2060"/>
    </row>
    <row r="28" spans="1:13">
      <c r="A28" s="2094"/>
      <c r="B28" s="2105" t="s">
        <v>1560</v>
      </c>
      <c r="C28" s="2106"/>
      <c r="D28" s="2121"/>
      <c r="E28" s="2146" t="s">
        <v>672</v>
      </c>
      <c r="F28" s="2133">
        <f>F27</f>
        <v>3.4659364447478663E-2</v>
      </c>
      <c r="G28" s="2133">
        <f>G27</f>
        <v>7.0570938495466799E-3</v>
      </c>
      <c r="H28" s="2178">
        <f t="shared" ref="H28:H38" si="0">F28+G28</f>
        <v>4.1716458297025347E-2</v>
      </c>
      <c r="I28" s="2166">
        <f>H28*4</f>
        <v>0.16686583318810139</v>
      </c>
      <c r="J28" s="2090"/>
      <c r="M28" s="2060"/>
    </row>
    <row r="29" spans="1:13">
      <c r="A29" s="2094"/>
      <c r="B29" s="2101"/>
      <c r="C29" s="2102"/>
      <c r="D29" s="2134"/>
      <c r="E29" s="2112" t="s">
        <v>22</v>
      </c>
      <c r="F29" s="2133">
        <f>F28*$H13</f>
        <v>2.2204868426921682</v>
      </c>
      <c r="G29" s="2133">
        <f>G28*$H13</f>
        <v>0.45211977456505759</v>
      </c>
      <c r="H29" s="2178">
        <f t="shared" si="0"/>
        <v>2.6726066172572258</v>
      </c>
      <c r="I29" s="2166">
        <f>H29*4</f>
        <v>10.690426469028903</v>
      </c>
      <c r="J29" s="2090"/>
      <c r="M29" s="2060"/>
    </row>
    <row r="30" spans="1:13">
      <c r="A30" s="2094"/>
      <c r="B30" s="2109"/>
      <c r="C30" s="2110"/>
      <c r="D30" s="2123"/>
      <c r="E30" s="2112" t="s">
        <v>23</v>
      </c>
      <c r="F30" s="2133">
        <f>F29*F$26/2000</f>
        <v>9.7257323709916967</v>
      </c>
      <c r="G30" s="2133">
        <f>G29*G$26/2000</f>
        <v>1.9802846125949523</v>
      </c>
      <c r="H30" s="2178">
        <f t="shared" si="0"/>
        <v>11.706016983586649</v>
      </c>
      <c r="I30" s="2166">
        <f>H30*4</f>
        <v>46.824067934346594</v>
      </c>
      <c r="J30" s="2090"/>
      <c r="M30" s="2060"/>
    </row>
    <row r="31" spans="1:13">
      <c r="A31" s="2094"/>
      <c r="B31" s="2129" t="s">
        <v>1561</v>
      </c>
      <c r="C31" s="2130"/>
      <c r="D31" s="2131"/>
      <c r="E31" s="2112"/>
      <c r="F31" s="2159">
        <v>0.1</v>
      </c>
      <c r="G31" s="2159">
        <v>0.1</v>
      </c>
      <c r="H31" s="2179"/>
      <c r="I31" s="2167"/>
      <c r="J31" s="2090"/>
      <c r="M31" s="2060"/>
    </row>
    <row r="32" spans="1:13">
      <c r="A32" s="2094"/>
      <c r="B32" s="2135" t="s">
        <v>1562</v>
      </c>
      <c r="C32" s="2106"/>
      <c r="D32" s="2121"/>
      <c r="E32" s="2146" t="s">
        <v>672</v>
      </c>
      <c r="F32" s="2160">
        <f>F28*F31</f>
        <v>3.4659364447478663E-3</v>
      </c>
      <c r="G32" s="2160">
        <f>G28*G31</f>
        <v>7.0570938495466808E-4</v>
      </c>
      <c r="H32" s="2178">
        <f t="shared" si="0"/>
        <v>4.171645829702534E-3</v>
      </c>
      <c r="I32" s="2166">
        <f>H32*4</f>
        <v>1.6686583318810136E-2</v>
      </c>
      <c r="J32" s="2090"/>
      <c r="M32" s="2060"/>
    </row>
    <row r="33" spans="1:13">
      <c r="A33" s="2094"/>
      <c r="B33" s="2136"/>
      <c r="C33" s="2102"/>
      <c r="D33" s="2134"/>
      <c r="E33" s="2112" t="s">
        <v>22</v>
      </c>
      <c r="F33" s="2137">
        <f>F32*$I13</f>
        <v>0.33993558056442597</v>
      </c>
      <c r="G33" s="2137">
        <f>G32*$I13</f>
        <v>6.9215270766968887E-2</v>
      </c>
      <c r="H33" s="2178">
        <f t="shared" si="0"/>
        <v>0.40915085133139484</v>
      </c>
      <c r="I33" s="2166">
        <f>H33*4</f>
        <v>1.6366034053255794</v>
      </c>
      <c r="J33" s="2090"/>
      <c r="M33" s="2060"/>
    </row>
    <row r="34" spans="1:13">
      <c r="A34" s="2094"/>
      <c r="B34" s="2138"/>
      <c r="C34" s="2110"/>
      <c r="D34" s="2123"/>
      <c r="E34" s="2112" t="s">
        <v>23</v>
      </c>
      <c r="F34" s="2137">
        <f>F33*F$26/2000</f>
        <v>1.4889178428721856</v>
      </c>
      <c r="G34" s="2137">
        <f>G33*G$26/2000</f>
        <v>0.30316288595932372</v>
      </c>
      <c r="H34" s="2178">
        <f t="shared" si="0"/>
        <v>1.7920807288315093</v>
      </c>
      <c r="I34" s="2166">
        <f>H34*4</f>
        <v>7.168322915326037</v>
      </c>
      <c r="J34" s="2090"/>
      <c r="M34" s="2060"/>
    </row>
    <row r="35" spans="1:13">
      <c r="A35" s="2094"/>
      <c r="B35" s="2129" t="s">
        <v>1563</v>
      </c>
      <c r="C35" s="2130"/>
      <c r="D35" s="2131"/>
      <c r="E35" s="2112"/>
      <c r="F35" s="2159">
        <v>0.05</v>
      </c>
      <c r="G35" s="2159">
        <v>0</v>
      </c>
      <c r="H35" s="2180"/>
      <c r="I35" s="2168"/>
      <c r="J35" s="2090"/>
      <c r="M35" s="2060"/>
    </row>
    <row r="36" spans="1:13">
      <c r="A36" s="2094"/>
      <c r="B36" s="2135" t="s">
        <v>1562</v>
      </c>
      <c r="C36" s="2106"/>
      <c r="D36" s="2121"/>
      <c r="E36" s="2146" t="s">
        <v>672</v>
      </c>
      <c r="F36" s="2160">
        <f>(F28-F32)*F35</f>
        <v>1.5596714001365399E-3</v>
      </c>
      <c r="G36" s="2160">
        <f>G32*G35</f>
        <v>0</v>
      </c>
      <c r="H36" s="2178">
        <f t="shared" si="0"/>
        <v>1.5596714001365399E-3</v>
      </c>
      <c r="I36" s="2166">
        <f>H36*4</f>
        <v>6.2386856005461596E-3</v>
      </c>
      <c r="J36" s="2090"/>
      <c r="M36" s="2060"/>
    </row>
    <row r="37" spans="1:13">
      <c r="A37" s="2094"/>
      <c r="B37" s="2136"/>
      <c r="C37" s="2102"/>
      <c r="D37" s="2134"/>
      <c r="E37" s="2112" t="s">
        <v>22</v>
      </c>
      <c r="F37" s="2137">
        <f>F36*$I13</f>
        <v>0.15297101125399168</v>
      </c>
      <c r="G37" s="2137">
        <f>G36*$I13</f>
        <v>0</v>
      </c>
      <c r="H37" s="2178">
        <f t="shared" si="0"/>
        <v>0.15297101125399168</v>
      </c>
      <c r="I37" s="2166">
        <f>H37*4</f>
        <v>0.61188404501596672</v>
      </c>
      <c r="J37" s="2090"/>
      <c r="M37" s="2060"/>
    </row>
    <row r="38" spans="1:13">
      <c r="A38" s="2094"/>
      <c r="B38" s="2138"/>
      <c r="C38" s="2110"/>
      <c r="D38" s="2123"/>
      <c r="E38" s="2112" t="s">
        <v>23</v>
      </c>
      <c r="F38" s="2137">
        <f>F37*8760/2000</f>
        <v>0.67001302929248352</v>
      </c>
      <c r="G38" s="2137">
        <f>G37*8760/2000</f>
        <v>0</v>
      </c>
      <c r="H38" s="2178">
        <f t="shared" si="0"/>
        <v>0.67001302929248352</v>
      </c>
      <c r="I38" s="2166">
        <f>H38*4</f>
        <v>2.6800521171699341</v>
      </c>
      <c r="J38" s="2090"/>
      <c r="M38" s="2060"/>
    </row>
    <row r="39" spans="1:13">
      <c r="A39" s="2094"/>
      <c r="B39" s="2129" t="s">
        <v>1564</v>
      </c>
      <c r="C39" s="2130"/>
      <c r="D39" s="2131"/>
      <c r="E39" s="2112"/>
      <c r="F39" s="4538">
        <v>0.02</v>
      </c>
      <c r="G39" s="4539" t="e">
        <f>#REF!</f>
        <v>#REF!</v>
      </c>
      <c r="H39" s="2181"/>
      <c r="I39" s="2139"/>
      <c r="J39" s="2090"/>
      <c r="M39" s="2060"/>
    </row>
    <row r="40" spans="1:13">
      <c r="A40" s="2094"/>
      <c r="B40" s="2135" t="s">
        <v>1562</v>
      </c>
      <c r="C40" s="2106"/>
      <c r="D40" s="2121"/>
      <c r="E40" s="2146" t="s">
        <v>672</v>
      </c>
      <c r="F40" s="4540">
        <f>(F28+G28-F32-G32-F36-G36)*F39</f>
        <v>7.1970282134372536E-4</v>
      </c>
      <c r="G40" s="4541"/>
      <c r="H40" s="2182">
        <f>F40</f>
        <v>7.1970282134372536E-4</v>
      </c>
      <c r="I40" s="2169">
        <f>H40*4</f>
        <v>2.8788112853749014E-3</v>
      </c>
      <c r="J40" s="2090"/>
      <c r="M40" s="2060"/>
    </row>
    <row r="41" spans="1:13">
      <c r="A41" s="2094"/>
      <c r="B41" s="2136"/>
      <c r="C41" s="2102"/>
      <c r="D41" s="2134"/>
      <c r="E41" s="2112" t="s">
        <v>22</v>
      </c>
      <c r="F41" s="4531">
        <f>F40*$I13</f>
        <v>7.0587733014571233E-2</v>
      </c>
      <c r="G41" s="4532"/>
      <c r="H41" s="2182">
        <f t="shared" ref="H41:H53" si="1">F41</f>
        <v>7.0587733014571233E-2</v>
      </c>
      <c r="I41" s="2169">
        <f>H41*4</f>
        <v>0.28235093205828493</v>
      </c>
      <c r="J41" s="2090"/>
      <c r="M41" s="2060"/>
    </row>
    <row r="42" spans="1:13">
      <c r="A42" s="2094"/>
      <c r="B42" s="2138"/>
      <c r="C42" s="2110"/>
      <c r="D42" s="2123"/>
      <c r="E42" s="2112" t="s">
        <v>23</v>
      </c>
      <c r="F42" s="4540">
        <f>F41*F$26/2000</f>
        <v>0.30917427060382197</v>
      </c>
      <c r="G42" s="4541"/>
      <c r="H42" s="2182">
        <f t="shared" si="1"/>
        <v>0.30917427060382197</v>
      </c>
      <c r="I42" s="2169">
        <f>H42*4</f>
        <v>1.2366970824152879</v>
      </c>
      <c r="J42" s="2090"/>
      <c r="M42" s="2060"/>
    </row>
    <row r="43" spans="1:13">
      <c r="A43" s="2094"/>
      <c r="B43" s="2129" t="s">
        <v>1565</v>
      </c>
      <c r="C43" s="2130"/>
      <c r="D43" s="2131"/>
      <c r="E43" s="2112"/>
      <c r="F43" s="4540">
        <v>5.5E-2</v>
      </c>
      <c r="G43" s="4541"/>
      <c r="H43" s="2182"/>
      <c r="I43" s="2169"/>
      <c r="J43" s="2090"/>
      <c r="M43" s="2060"/>
    </row>
    <row r="44" spans="1:13">
      <c r="A44" s="2094"/>
      <c r="B44" s="2135" t="s">
        <v>1562</v>
      </c>
      <c r="C44" s="2106"/>
      <c r="D44" s="2121"/>
      <c r="E44" s="2146" t="s">
        <v>672</v>
      </c>
      <c r="F44" s="4533">
        <f>(F28+G28-F32-G32-F36-G36-F40)*F43</f>
        <v>1.9395991035213399E-3</v>
      </c>
      <c r="G44" s="4534"/>
      <c r="H44" s="2182">
        <f t="shared" si="1"/>
        <v>1.9395991035213399E-3</v>
      </c>
      <c r="I44" s="2169">
        <f>H44*4</f>
        <v>7.7583964140853596E-3</v>
      </c>
      <c r="J44" s="2090"/>
      <c r="M44" s="2060"/>
    </row>
    <row r="45" spans="1:13">
      <c r="A45" s="2094"/>
      <c r="B45" s="2136"/>
      <c r="C45" s="2102"/>
      <c r="D45" s="2134"/>
      <c r="E45" s="2112" t="s">
        <v>22</v>
      </c>
      <c r="F45" s="4531">
        <f>F44*$I13</f>
        <v>0.19023394047426948</v>
      </c>
      <c r="G45" s="4532"/>
      <c r="H45" s="2182">
        <f t="shared" si="1"/>
        <v>0.19023394047426948</v>
      </c>
      <c r="I45" s="2169">
        <f>H45*4</f>
        <v>0.7609357618970779</v>
      </c>
      <c r="J45" s="2090"/>
      <c r="M45" s="2060"/>
    </row>
    <row r="46" spans="1:13">
      <c r="A46" s="2094"/>
      <c r="B46" s="2138"/>
      <c r="C46" s="2110"/>
      <c r="D46" s="2123"/>
      <c r="E46" s="2112" t="s">
        <v>23</v>
      </c>
      <c r="F46" s="4533">
        <f>F45*F$26/2000</f>
        <v>0.83322465927730027</v>
      </c>
      <c r="G46" s="4534"/>
      <c r="H46" s="2182">
        <f t="shared" si="1"/>
        <v>0.83322465927730027</v>
      </c>
      <c r="I46" s="2169">
        <f>H46*4</f>
        <v>3.3328986371092011</v>
      </c>
      <c r="J46" s="2090"/>
      <c r="M46" s="2060"/>
    </row>
    <row r="47" spans="1:13">
      <c r="A47" s="2094"/>
      <c r="B47" s="2140" t="s">
        <v>1566</v>
      </c>
      <c r="C47" s="2130"/>
      <c r="D47" s="2131"/>
      <c r="E47" s="2112"/>
      <c r="F47" s="2141"/>
      <c r="G47" s="2142"/>
      <c r="H47" s="2183"/>
      <c r="I47" s="2169"/>
      <c r="J47" s="2090"/>
      <c r="M47" s="2060"/>
    </row>
    <row r="48" spans="1:13">
      <c r="A48" s="2094"/>
      <c r="B48" s="2143" t="s">
        <v>1567</v>
      </c>
      <c r="C48" s="2106"/>
      <c r="D48" s="2121"/>
      <c r="E48" s="2146" t="s">
        <v>672</v>
      </c>
      <c r="F48" s="4533">
        <f>F32+G32+F36+G36+F40+F44</f>
        <v>8.3906191547041386E-3</v>
      </c>
      <c r="G48" s="4534"/>
      <c r="H48" s="2182">
        <f t="shared" si="1"/>
        <v>8.3906191547041386E-3</v>
      </c>
      <c r="I48" s="2169">
        <f t="shared" ref="I48:I53" si="2">H48*4</f>
        <v>3.3562476618816554E-2</v>
      </c>
      <c r="J48" s="2090"/>
      <c r="M48" s="2060"/>
    </row>
    <row r="49" spans="1:13">
      <c r="A49" s="2094"/>
      <c r="B49" s="2144"/>
      <c r="C49" s="2102"/>
      <c r="D49" s="2134"/>
      <c r="E49" s="2112" t="s">
        <v>22</v>
      </c>
      <c r="F49" s="4531">
        <f>F48*$I13</f>
        <v>0.8229435360742271</v>
      </c>
      <c r="G49" s="4532"/>
      <c r="H49" s="2182">
        <f t="shared" si="1"/>
        <v>0.8229435360742271</v>
      </c>
      <c r="I49" s="2169">
        <f t="shared" si="2"/>
        <v>3.2917741442969084</v>
      </c>
      <c r="J49" s="2090"/>
      <c r="M49" s="2060"/>
    </row>
    <row r="50" spans="1:13">
      <c r="A50" s="2094"/>
      <c r="B50" s="2145"/>
      <c r="C50" s="2110"/>
      <c r="D50" s="2123"/>
      <c r="E50" s="2112" t="s">
        <v>23</v>
      </c>
      <c r="F50" s="4533">
        <f>F49*F$26/2000</f>
        <v>3.6044926880051147</v>
      </c>
      <c r="G50" s="4534"/>
      <c r="H50" s="2182">
        <f t="shared" si="1"/>
        <v>3.6044926880051147</v>
      </c>
      <c r="I50" s="2170">
        <f t="shared" si="2"/>
        <v>14.417970752020459</v>
      </c>
      <c r="J50" s="2090"/>
      <c r="M50" s="2060"/>
    </row>
    <row r="51" spans="1:13">
      <c r="A51" s="2094"/>
      <c r="B51" s="2143" t="s">
        <v>1568</v>
      </c>
      <c r="C51" s="2106"/>
      <c r="D51" s="2121"/>
      <c r="E51" s="2146" t="s">
        <v>672</v>
      </c>
      <c r="F51" s="4533">
        <f>F28+G28-F48</f>
        <v>3.3325839142321206E-2</v>
      </c>
      <c r="G51" s="4534"/>
      <c r="H51" s="2182">
        <f t="shared" si="1"/>
        <v>3.3325839142321206E-2</v>
      </c>
      <c r="I51" s="2171">
        <f t="shared" si="2"/>
        <v>0.13330335656928483</v>
      </c>
      <c r="J51" s="2090"/>
      <c r="M51" s="2060"/>
    </row>
    <row r="52" spans="1:13">
      <c r="A52" s="2094"/>
      <c r="B52" s="2144"/>
      <c r="C52" s="2102"/>
      <c r="D52" s="2134"/>
      <c r="E52" s="2112" t="s">
        <v>22</v>
      </c>
      <c r="F52" s="4531">
        <f>F51*$H13</f>
        <v>2.1350532104919506</v>
      </c>
      <c r="G52" s="4532">
        <f>G51*$H13</f>
        <v>0</v>
      </c>
      <c r="H52" s="2182">
        <f t="shared" si="1"/>
        <v>2.1350532104919506</v>
      </c>
      <c r="I52" s="2171">
        <f t="shared" si="2"/>
        <v>8.5402128419678025</v>
      </c>
      <c r="J52" s="2090"/>
      <c r="M52" s="2060"/>
    </row>
    <row r="53" spans="1:13" ht="15" thickBot="1">
      <c r="A53" s="2094"/>
      <c r="B53" s="2449"/>
      <c r="C53" s="2148"/>
      <c r="D53" s="2450"/>
      <c r="E53" s="2451" t="s">
        <v>23</v>
      </c>
      <c r="F53" s="4535">
        <f>F52*F$26/2000</f>
        <v>9.3515330619547434</v>
      </c>
      <c r="G53" s="4536">
        <f>G52*8760/2000</f>
        <v>0</v>
      </c>
      <c r="H53" s="2452">
        <f t="shared" si="1"/>
        <v>9.3515330619547434</v>
      </c>
      <c r="I53" s="2453">
        <f t="shared" si="2"/>
        <v>37.406132247818974</v>
      </c>
      <c r="J53" s="2090"/>
      <c r="M53" s="2060"/>
    </row>
    <row r="54" spans="1:13" ht="15" thickBot="1">
      <c r="A54" s="2094"/>
      <c r="B54" s="2150"/>
      <c r="C54" s="2150"/>
      <c r="D54" s="2150"/>
      <c r="E54" s="2150"/>
      <c r="F54" s="2150"/>
      <c r="G54" s="2150"/>
      <c r="H54" s="2150"/>
      <c r="I54" s="2150"/>
      <c r="J54" s="2092"/>
      <c r="K54" s="2066"/>
      <c r="L54" s="2068"/>
    </row>
    <row r="55" spans="1:13">
      <c r="A55" s="2094"/>
      <c r="B55" s="2151" t="s">
        <v>1012</v>
      </c>
      <c r="C55" s="2152"/>
      <c r="D55" s="2152"/>
      <c r="E55" s="2152"/>
      <c r="F55" s="2152"/>
      <c r="G55" s="2152"/>
      <c r="H55" s="2152"/>
      <c r="I55" s="2153"/>
      <c r="J55" s="2090"/>
    </row>
    <row r="56" spans="1:13">
      <c r="A56" s="2094"/>
      <c r="B56" s="2101" t="s">
        <v>1569</v>
      </c>
      <c r="C56" s="2102"/>
      <c r="D56" s="2102"/>
      <c r="E56" s="2102"/>
      <c r="F56" s="2102"/>
      <c r="G56" s="2102"/>
      <c r="H56" s="2102"/>
      <c r="I56" s="2103"/>
      <c r="J56" s="2090"/>
    </row>
    <row r="57" spans="1:13" ht="30" customHeight="1">
      <c r="A57" s="2094"/>
      <c r="B57" s="4528" t="s">
        <v>1570</v>
      </c>
      <c r="C57" s="4529"/>
      <c r="D57" s="4529"/>
      <c r="E57" s="4529"/>
      <c r="F57" s="4529"/>
      <c r="G57" s="4529"/>
      <c r="H57" s="4529"/>
      <c r="I57" s="4530"/>
      <c r="J57" s="2090"/>
    </row>
    <row r="58" spans="1:13" ht="15" thickBot="1">
      <c r="A58" s="2094"/>
      <c r="B58" s="2155" t="s">
        <v>1659</v>
      </c>
      <c r="C58" s="2148"/>
      <c r="D58" s="2148"/>
      <c r="E58" s="2148"/>
      <c r="F58" s="2148"/>
      <c r="G58" s="2148"/>
      <c r="H58" s="2148"/>
      <c r="I58" s="2154"/>
      <c r="J58" s="2090"/>
    </row>
    <row r="59" spans="1:13" ht="15" thickBot="1">
      <c r="A59" s="2095"/>
      <c r="B59" s="2096"/>
      <c r="C59" s="2096"/>
      <c r="D59" s="2096"/>
      <c r="E59" s="2096"/>
      <c r="F59" s="2096"/>
      <c r="G59" s="2096"/>
      <c r="H59" s="2096"/>
      <c r="I59" s="2096"/>
      <c r="J59" s="2097"/>
    </row>
  </sheetData>
  <mergeCells count="20">
    <mergeCell ref="N1:W6"/>
    <mergeCell ref="F39:G39"/>
    <mergeCell ref="F41:G41"/>
    <mergeCell ref="F40:G40"/>
    <mergeCell ref="F43:G43"/>
    <mergeCell ref="F42:G42"/>
    <mergeCell ref="B2:I2"/>
    <mergeCell ref="B3:I3"/>
    <mergeCell ref="B4:I4"/>
    <mergeCell ref="D17:I18"/>
    <mergeCell ref="B57:I57"/>
    <mergeCell ref="F45:G45"/>
    <mergeCell ref="F44:G44"/>
    <mergeCell ref="F49:G49"/>
    <mergeCell ref="F48:G48"/>
    <mergeCell ref="F46:G46"/>
    <mergeCell ref="F50:G50"/>
    <mergeCell ref="F53:G53"/>
    <mergeCell ref="F52:G52"/>
    <mergeCell ref="F51:G51"/>
  </mergeCells>
  <pageMargins left="0.7" right="0.7" top="0.75" bottom="0.75" header="0.3" footer="0.3"/>
  <pageSetup scale="65" orientation="portrait" r:id="rId1"/>
  <headerFooter>
    <oddFooter>&amp;CCalculations: Page &amp;P</oddFooter>
  </headerFooter>
  <colBreaks count="1" manualBreakCount="1">
    <brk id="12"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X114"/>
  <sheetViews>
    <sheetView view="pageLayout" topLeftCell="A4" zoomScale="70" zoomScaleNormal="70" zoomScaleSheetLayoutView="70" zoomScalePageLayoutView="70" workbookViewId="0">
      <selection activeCell="E19" sqref="E19:R19"/>
    </sheetView>
  </sheetViews>
  <sheetFormatPr defaultColWidth="8.6328125" defaultRowHeight="14.5"/>
  <cols>
    <col min="1" max="1" width="5.36328125" style="2060" customWidth="1"/>
    <col min="2" max="2" width="27.54296875" style="2060" customWidth="1"/>
    <col min="3" max="3" width="15.54296875" style="2060" customWidth="1"/>
    <col min="4" max="4" width="12.54296875" style="2060" customWidth="1"/>
    <col min="5" max="5" width="16.453125" style="2060" customWidth="1"/>
    <col min="6" max="7" width="12.54296875" style="2060" customWidth="1"/>
    <col min="8" max="8" width="10.453125" style="2060" customWidth="1"/>
    <col min="9" max="12" width="10.6328125" style="2060" customWidth="1"/>
    <col min="13" max="13" width="5.36328125" style="2060" customWidth="1"/>
    <col min="14" max="14" width="12.54296875" style="2060" customWidth="1"/>
    <col min="15" max="16384" width="8.6328125" style="2060"/>
  </cols>
  <sheetData>
    <row r="1" spans="1:24" s="520" customFormat="1" ht="15" thickBot="1">
      <c r="A1" s="517"/>
      <c r="B1" s="2185"/>
      <c r="C1" s="2185"/>
      <c r="D1" s="2185"/>
      <c r="E1" s="2185"/>
      <c r="F1" s="2185"/>
      <c r="G1" s="2185"/>
      <c r="H1" s="518"/>
      <c r="I1" s="2185"/>
      <c r="J1" s="2185"/>
      <c r="K1" s="2185"/>
      <c r="L1" s="2185"/>
      <c r="M1" s="519"/>
      <c r="O1" s="2060"/>
      <c r="P1" s="2060"/>
      <c r="Q1" s="2060"/>
      <c r="R1" s="2060"/>
      <c r="S1" s="2060"/>
      <c r="T1" s="2060"/>
      <c r="U1" s="2060"/>
      <c r="V1" s="2060"/>
      <c r="W1" s="2060"/>
      <c r="X1" s="2060"/>
    </row>
    <row r="2" spans="1:24" s="522" customFormat="1" ht="21" customHeight="1">
      <c r="A2" s="521"/>
      <c r="B2" s="4542" t="str">
        <f>'Summary-Co'!B4</f>
        <v>HUSKY CDP</v>
      </c>
      <c r="C2" s="4543"/>
      <c r="D2" s="4543"/>
      <c r="E2" s="4543"/>
      <c r="F2" s="4543"/>
      <c r="G2" s="4543"/>
      <c r="H2" s="4543"/>
      <c r="I2" s="4543"/>
      <c r="J2" s="4543"/>
      <c r="K2" s="4543"/>
      <c r="L2" s="4544"/>
      <c r="M2" s="51"/>
      <c r="O2" s="2060"/>
      <c r="P2" s="2060"/>
      <c r="Q2" s="2060"/>
      <c r="R2" s="2060"/>
      <c r="S2" s="2060"/>
      <c r="T2" s="2060"/>
      <c r="U2" s="2060"/>
      <c r="V2" s="2060"/>
      <c r="W2" s="2060"/>
      <c r="X2" s="2060"/>
    </row>
    <row r="3" spans="1:24" s="522" customFormat="1" ht="21" customHeight="1">
      <c r="A3" s="521"/>
      <c r="B3" s="4545" t="s">
        <v>1657</v>
      </c>
      <c r="C3" s="4546"/>
      <c r="D3" s="4546"/>
      <c r="E3" s="4546"/>
      <c r="F3" s="4546"/>
      <c r="G3" s="4546"/>
      <c r="H3" s="4546"/>
      <c r="I3" s="4546"/>
      <c r="J3" s="4546"/>
      <c r="K3" s="4546"/>
      <c r="L3" s="4547"/>
      <c r="M3" s="51"/>
      <c r="O3" s="2060"/>
      <c r="P3" s="2060"/>
      <c r="Q3" s="2060"/>
      <c r="R3" s="2060"/>
      <c r="S3" s="2060"/>
      <c r="T3" s="2060"/>
      <c r="U3" s="2060"/>
      <c r="V3" s="2060"/>
      <c r="W3" s="2060"/>
      <c r="X3" s="2060"/>
    </row>
    <row r="4" spans="1:24" s="522" customFormat="1" ht="21" customHeight="1" thickBot="1">
      <c r="A4" s="521"/>
      <c r="B4" s="4551" t="s">
        <v>1672</v>
      </c>
      <c r="C4" s="4552"/>
      <c r="D4" s="4552"/>
      <c r="E4" s="4552"/>
      <c r="F4" s="4552"/>
      <c r="G4" s="4552"/>
      <c r="H4" s="4552"/>
      <c r="I4" s="4552"/>
      <c r="J4" s="4552"/>
      <c r="K4" s="4552"/>
      <c r="L4" s="4553"/>
      <c r="M4" s="51"/>
      <c r="O4" s="2060"/>
      <c r="P4" s="2060"/>
      <c r="Q4" s="2060"/>
      <c r="R4" s="2060"/>
      <c r="S4" s="2060"/>
      <c r="T4" s="2060"/>
      <c r="U4" s="2060"/>
      <c r="V4" s="2060"/>
      <c r="W4" s="2060"/>
      <c r="X4" s="2060"/>
    </row>
    <row r="5" spans="1:24" s="522" customFormat="1" ht="12" customHeight="1" thickBot="1">
      <c r="A5" s="521"/>
      <c r="B5" s="1917"/>
      <c r="C5" s="1917"/>
      <c r="D5" s="1917"/>
      <c r="E5" s="1917"/>
      <c r="F5" s="1917"/>
      <c r="G5" s="1917"/>
      <c r="H5" s="2326"/>
      <c r="I5" s="2326"/>
      <c r="J5" s="2326"/>
      <c r="K5" s="2326"/>
      <c r="L5" s="2326"/>
      <c r="M5" s="51"/>
      <c r="O5" s="2060"/>
      <c r="P5" s="2060"/>
      <c r="Q5" s="2060"/>
      <c r="R5" s="2060"/>
      <c r="S5" s="2060"/>
      <c r="T5" s="2060"/>
      <c r="U5" s="2060"/>
      <c r="V5" s="2060"/>
      <c r="W5" s="2060"/>
      <c r="X5" s="2060"/>
    </row>
    <row r="6" spans="1:24" ht="15" customHeight="1" thickBot="1">
      <c r="A6" s="2292"/>
      <c r="B6" s="2297"/>
      <c r="C6" s="2085"/>
      <c r="D6" s="2085"/>
      <c r="E6" s="2085"/>
      <c r="F6" s="2085"/>
      <c r="G6" s="2085"/>
      <c r="H6" s="2085"/>
      <c r="I6" s="2085"/>
      <c r="J6" s="2085"/>
      <c r="K6" s="2085"/>
      <c r="L6" s="2298"/>
      <c r="M6" s="2293"/>
    </row>
    <row r="7" spans="1:24" ht="15" customHeight="1" thickBot="1">
      <c r="A7" s="2292"/>
      <c r="B7" s="4554" t="s">
        <v>1572</v>
      </c>
      <c r="C7" s="4555"/>
      <c r="D7" s="4555"/>
      <c r="E7" s="4555"/>
      <c r="F7" s="4555"/>
      <c r="G7" s="4555"/>
      <c r="H7" s="4555"/>
      <c r="I7" s="4555"/>
      <c r="J7" s="4555"/>
      <c r="K7" s="4555"/>
      <c r="L7" s="4556"/>
      <c r="M7" s="2294"/>
    </row>
    <row r="8" spans="1:24" ht="15" customHeight="1" thickBot="1">
      <c r="A8" s="2292"/>
      <c r="B8" s="2311"/>
      <c r="C8" s="4557" t="s">
        <v>1573</v>
      </c>
      <c r="D8" s="4558"/>
      <c r="E8" s="4558"/>
      <c r="F8" s="4558"/>
      <c r="G8" s="4559"/>
      <c r="H8" s="4557" t="s">
        <v>1574</v>
      </c>
      <c r="I8" s="4558"/>
      <c r="J8" s="4558"/>
      <c r="K8" s="4558"/>
      <c r="L8" s="4559"/>
      <c r="M8" s="2294"/>
    </row>
    <row r="9" spans="1:24" ht="30.65" customHeight="1">
      <c r="A9" s="2292"/>
      <c r="B9" s="2187" t="s">
        <v>466</v>
      </c>
      <c r="C9" s="2578" t="s">
        <v>1676</v>
      </c>
      <c r="D9" s="2579" t="s">
        <v>22</v>
      </c>
      <c r="E9" s="2579" t="s">
        <v>1656</v>
      </c>
      <c r="F9" s="2579" t="s">
        <v>1575</v>
      </c>
      <c r="G9" s="2580" t="s">
        <v>1576</v>
      </c>
      <c r="H9" s="2578" t="s">
        <v>1676</v>
      </c>
      <c r="I9" s="2579" t="s">
        <v>22</v>
      </c>
      <c r="J9" s="2579" t="s">
        <v>1656</v>
      </c>
      <c r="K9" s="2579" t="s">
        <v>1575</v>
      </c>
      <c r="L9" s="2580" t="s">
        <v>1576</v>
      </c>
      <c r="M9" s="2294"/>
    </row>
    <row r="10" spans="1:24" ht="15" customHeight="1">
      <c r="A10" s="2292"/>
      <c r="B10" s="2074" t="s">
        <v>1765</v>
      </c>
      <c r="C10" s="2337">
        <f>(D10/(30.031/1)/C37)*1000000*(20.9-15)/(20.9-(100*E35))</f>
        <v>5.1822710510390317</v>
      </c>
      <c r="D10" s="2339">
        <f>H51+H74</f>
        <v>14.518281843933687</v>
      </c>
      <c r="E10" s="2338">
        <f t="shared" ref="E10:E15" si="0">D10*8760/2000</f>
        <v>63.59007447642955</v>
      </c>
      <c r="F10" s="2338">
        <f t="shared" ref="F10:F15" si="1">D10*453.592/60/60</f>
        <v>1.8292712494871024</v>
      </c>
      <c r="G10" s="2357">
        <f t="shared" ref="G10:G15" si="2">D10/2.2046</f>
        <v>6.5854494438599689</v>
      </c>
      <c r="H10" s="2075">
        <f>(I10/30.013/C44)*1000000*((20.9-15)/(20.9-(E42*100)))</f>
        <v>3.2849797099997735</v>
      </c>
      <c r="I10" s="2188">
        <f>D10*(100-C29)/100</f>
        <v>9.1999999999999975</v>
      </c>
      <c r="J10" s="2189">
        <f t="shared" ref="J10:J15" si="3">I10*8760/2000</f>
        <v>40.295999999999992</v>
      </c>
      <c r="K10" s="2189">
        <f t="shared" ref="K10:K15" si="4">I10*453.592/60/60</f>
        <v>1.1591795555555551</v>
      </c>
      <c r="L10" s="2360">
        <f t="shared" ref="L10:L15" si="5">I10/2.2046</f>
        <v>4.1730926245123818</v>
      </c>
      <c r="M10" s="2090"/>
      <c r="N10" s="2076"/>
      <c r="O10" s="2077"/>
      <c r="P10" s="2078"/>
      <c r="Q10" s="2078"/>
    </row>
    <row r="11" spans="1:24" ht="15" customHeight="1">
      <c r="A11" s="2292"/>
      <c r="B11" s="2079" t="s">
        <v>1577</v>
      </c>
      <c r="C11" s="2337">
        <f>(D11/30.031/C37)*1000000*(20.9-15)/(20.9-(100*E35))</f>
        <v>0.22815679039662179</v>
      </c>
      <c r="D11" s="2339">
        <f>H57+H92</f>
        <v>0.63918783000000001</v>
      </c>
      <c r="E11" s="2338">
        <f t="shared" si="0"/>
        <v>2.7996426953999998</v>
      </c>
      <c r="F11" s="2338">
        <f t="shared" si="1"/>
        <v>8.0536246162599995E-2</v>
      </c>
      <c r="G11" s="2357">
        <f t="shared" si="2"/>
        <v>0.28993369772294292</v>
      </c>
      <c r="H11" s="2075">
        <f>(I11/30.013/C44)*1000000*((20.9-15)/(20.9-(E42*100)))</f>
        <v>7.6091992617364879E-2</v>
      </c>
      <c r="I11" s="2339">
        <f>D11*(100-C30)/100</f>
        <v>0.21310522252200001</v>
      </c>
      <c r="J11" s="2189">
        <f t="shared" si="3"/>
        <v>0.93340087464636012</v>
      </c>
      <c r="K11" s="2189">
        <f t="shared" si="4"/>
        <v>2.6850784470610841E-2</v>
      </c>
      <c r="L11" s="2360">
        <f t="shared" si="5"/>
        <v>9.6663894820829169E-2</v>
      </c>
      <c r="M11" s="2090"/>
      <c r="N11" s="2080"/>
      <c r="O11" s="2081"/>
    </row>
    <row r="12" spans="1:24" ht="15" customHeight="1">
      <c r="A12" s="2292"/>
      <c r="B12" s="2079" t="s">
        <v>1760</v>
      </c>
      <c r="C12" s="2190" t="s">
        <v>17</v>
      </c>
      <c r="D12" s="2339">
        <f>D14-D13-D11</f>
        <v>0.57037517868999998</v>
      </c>
      <c r="E12" s="2338">
        <f t="shared" si="0"/>
        <v>2.4982432826621999</v>
      </c>
      <c r="F12" s="2338">
        <f t="shared" si="1"/>
        <v>7.1866005014542905E-2</v>
      </c>
      <c r="G12" s="2357">
        <f t="shared" si="2"/>
        <v>0.25872048384740992</v>
      </c>
      <c r="H12" s="2075"/>
      <c r="I12" s="2339">
        <f>D12*(100-C29)/100</f>
        <v>0.36143751033050725</v>
      </c>
      <c r="J12" s="2189">
        <f t="shared" si="3"/>
        <v>1.5830962952476217</v>
      </c>
      <c r="K12" s="2189">
        <f t="shared" si="4"/>
        <v>4.5540323107176511E-2</v>
      </c>
      <c r="L12" s="2360">
        <f t="shared" si="5"/>
        <v>0.16394697919373458</v>
      </c>
      <c r="M12" s="2090"/>
      <c r="N12" s="2080"/>
      <c r="O12" s="2081"/>
    </row>
    <row r="13" spans="1:24" ht="15" customHeight="1">
      <c r="A13" s="2292"/>
      <c r="B13" s="2079" t="s">
        <v>1578</v>
      </c>
      <c r="C13" s="2190" t="s">
        <v>17</v>
      </c>
      <c r="D13" s="2339">
        <f>SUM(H99,H100:H103,H104:H105,H107)</f>
        <v>6.0896000000000008E-4</v>
      </c>
      <c r="E13" s="2338">
        <f t="shared" si="0"/>
        <v>2.6672448000000003E-3</v>
      </c>
      <c r="F13" s="2338">
        <f t="shared" si="1"/>
        <v>7.6727606755555561E-5</v>
      </c>
      <c r="G13" s="2357">
        <f t="shared" si="2"/>
        <v>2.7622244398076753E-4</v>
      </c>
      <c r="H13" s="2075"/>
      <c r="I13" s="2339">
        <f>D13</f>
        <v>6.0896000000000008E-4</v>
      </c>
      <c r="J13" s="2189">
        <f t="shared" si="3"/>
        <v>2.6672448000000003E-3</v>
      </c>
      <c r="K13" s="2189">
        <f t="shared" si="4"/>
        <v>7.6727606755555561E-5</v>
      </c>
      <c r="L13" s="2360">
        <f t="shared" si="5"/>
        <v>2.7622244398076753E-4</v>
      </c>
      <c r="M13" s="2090"/>
      <c r="N13" s="2080"/>
      <c r="O13" s="2081"/>
    </row>
    <row r="14" spans="1:24" ht="15" customHeight="1">
      <c r="A14" s="2292"/>
      <c r="B14" s="2079" t="s">
        <v>1579</v>
      </c>
      <c r="C14" s="2190" t="s">
        <v>17</v>
      </c>
      <c r="D14" s="2358">
        <f>SUM(H52:H60)+SUM(H75:H86,H87:H89,H90:H95,H96,H97:H99,H100:H103,H104:H105,H107)</f>
        <v>1.2101719686900001</v>
      </c>
      <c r="E14" s="2338">
        <f t="shared" si="0"/>
        <v>5.3005532228622005</v>
      </c>
      <c r="F14" s="2338">
        <f t="shared" si="1"/>
        <v>0.15247897878389846</v>
      </c>
      <c r="G14" s="2357">
        <f t="shared" si="2"/>
        <v>0.54893040401433368</v>
      </c>
      <c r="H14" s="2075"/>
      <c r="I14" s="2339">
        <f>I11+I12+I13</f>
        <v>0.57515169285250722</v>
      </c>
      <c r="J14" s="2189">
        <f t="shared" si="3"/>
        <v>2.5191644146939818</v>
      </c>
      <c r="K14" s="2189">
        <f t="shared" si="4"/>
        <v>7.2467835184542903E-2</v>
      </c>
      <c r="L14" s="2360">
        <f t="shared" si="5"/>
        <v>0.26088709645854452</v>
      </c>
      <c r="M14" s="2090"/>
      <c r="O14" s="2082"/>
      <c r="P14" s="2081"/>
    </row>
    <row r="15" spans="1:24" ht="15" customHeight="1" thickBot="1">
      <c r="A15" s="2292"/>
      <c r="B15" s="2083" t="s">
        <v>1580</v>
      </c>
      <c r="C15" s="2191" t="s">
        <v>17</v>
      </c>
      <c r="D15" s="2192">
        <f>H50+SUM(H73,H99:H107)</f>
        <v>1.08416E-3</v>
      </c>
      <c r="E15" s="2193">
        <f t="shared" si="0"/>
        <v>4.7486208000000005E-3</v>
      </c>
      <c r="F15" s="2193">
        <f t="shared" si="1"/>
        <v>1.3660175075555554E-4</v>
      </c>
      <c r="G15" s="2359">
        <f t="shared" si="2"/>
        <v>4.9177174997732016E-4</v>
      </c>
      <c r="H15" s="2084"/>
      <c r="I15" s="2192">
        <f>D15</f>
        <v>1.08416E-3</v>
      </c>
      <c r="J15" s="2193">
        <f t="shared" si="3"/>
        <v>4.7486208000000005E-3</v>
      </c>
      <c r="K15" s="2193">
        <f t="shared" si="4"/>
        <v>1.3660175075555554E-4</v>
      </c>
      <c r="L15" s="2359">
        <f t="shared" si="5"/>
        <v>4.9177174997732016E-4</v>
      </c>
      <c r="M15" s="2090"/>
      <c r="N15" s="2080"/>
      <c r="O15" s="2081"/>
    </row>
    <row r="16" spans="1:24" ht="15" customHeight="1">
      <c r="A16" s="2292"/>
      <c r="B16" s="2187"/>
      <c r="C16" s="2299"/>
      <c r="D16" s="2299"/>
      <c r="E16" s="2299"/>
      <c r="F16" s="2299"/>
      <c r="G16" s="2299"/>
      <c r="H16" s="2299"/>
      <c r="I16" s="2299"/>
      <c r="J16" s="2299"/>
      <c r="K16" s="2310"/>
      <c r="L16" s="2361"/>
      <c r="M16" s="2295"/>
    </row>
    <row r="17" spans="1:15" ht="15" customHeight="1" thickBot="1">
      <c r="A17" s="2292"/>
      <c r="B17" s="2187"/>
      <c r="C17" s="2299"/>
      <c r="D17" s="2299"/>
      <c r="E17" s="2299"/>
      <c r="F17" s="2299"/>
      <c r="G17" s="2299"/>
      <c r="H17" s="2299"/>
      <c r="I17" s="2299"/>
      <c r="J17" s="2299"/>
      <c r="K17" s="2299"/>
      <c r="L17" s="2300"/>
      <c r="M17" s="2295"/>
    </row>
    <row r="18" spans="1:15" ht="15" customHeight="1" thickBot="1">
      <c r="A18" s="2292"/>
      <c r="B18" s="2345" t="s">
        <v>1581</v>
      </c>
      <c r="C18" s="2346"/>
      <c r="D18" s="2347"/>
      <c r="E18" s="2347"/>
      <c r="F18" s="2348"/>
      <c r="G18" s="2200"/>
      <c r="H18" s="4560" t="s">
        <v>1681</v>
      </c>
      <c r="I18" s="4560"/>
      <c r="J18" s="4560"/>
      <c r="K18" s="2200"/>
      <c r="L18" s="2301"/>
      <c r="M18" s="2293"/>
    </row>
    <row r="19" spans="1:15" ht="15.5">
      <c r="A19" s="2094"/>
      <c r="B19" s="2302" t="s">
        <v>1582</v>
      </c>
      <c r="C19" s="2194"/>
      <c r="D19" s="2194"/>
      <c r="E19" s="2195" t="s">
        <v>568</v>
      </c>
      <c r="F19" s="2342">
        <v>850</v>
      </c>
      <c r="G19" s="2303"/>
      <c r="H19" s="4569" t="s">
        <v>1335</v>
      </c>
      <c r="I19" s="4570"/>
      <c r="J19" s="4570"/>
      <c r="K19" s="2351">
        <v>185</v>
      </c>
      <c r="L19" s="2352" t="s">
        <v>1680</v>
      </c>
      <c r="M19" s="2090"/>
      <c r="O19" s="2061"/>
    </row>
    <row r="20" spans="1:15" ht="15.5">
      <c r="A20" s="2094"/>
      <c r="B20" s="2306" t="s">
        <v>1538</v>
      </c>
      <c r="C20" s="2196"/>
      <c r="D20" s="2196"/>
      <c r="E20" s="2197"/>
      <c r="F20" s="2198">
        <v>1.1000000000000001</v>
      </c>
      <c r="G20" s="2303"/>
      <c r="H20" s="4571" t="s">
        <v>1336</v>
      </c>
      <c r="I20" s="4572"/>
      <c r="J20" s="4572"/>
      <c r="K20" s="2353">
        <v>38.299999999999997</v>
      </c>
      <c r="L20" s="2354" t="s">
        <v>582</v>
      </c>
      <c r="M20" s="2090"/>
      <c r="O20" s="2061"/>
    </row>
    <row r="21" spans="1:15" ht="15.5">
      <c r="A21" s="2094"/>
      <c r="B21" s="2306"/>
      <c r="C21" s="2196"/>
      <c r="D21" s="2196"/>
      <c r="E21" s="2196"/>
      <c r="F21" s="2198"/>
      <c r="G21" s="2303"/>
      <c r="H21" s="4571" t="s">
        <v>1337</v>
      </c>
      <c r="I21" s="4572"/>
      <c r="J21" s="4572"/>
      <c r="K21" s="2353">
        <v>423.5</v>
      </c>
      <c r="L21" s="2354" t="s">
        <v>1680</v>
      </c>
      <c r="M21" s="2090"/>
      <c r="O21" s="2061"/>
    </row>
    <row r="22" spans="1:15" ht="16" thickBot="1">
      <c r="A22" s="2094"/>
      <c r="B22" s="2307" t="s">
        <v>1583</v>
      </c>
      <c r="C22" s="2196"/>
      <c r="D22" s="2196"/>
      <c r="E22" s="2199"/>
      <c r="F22" s="2343"/>
      <c r="G22" s="2303"/>
      <c r="H22" s="4573" t="s">
        <v>1338</v>
      </c>
      <c r="I22" s="4574"/>
      <c r="J22" s="4574"/>
      <c r="K22" s="2355">
        <v>67.2</v>
      </c>
      <c r="L22" s="2356" t="s">
        <v>582</v>
      </c>
      <c r="M22" s="2090"/>
      <c r="O22" s="2061"/>
    </row>
    <row r="23" spans="1:15" ht="15.5">
      <c r="A23" s="2094"/>
      <c r="B23" s="2308" t="s">
        <v>1584</v>
      </c>
      <c r="C23" s="2196"/>
      <c r="D23" s="2196"/>
      <c r="E23" s="2199" t="s">
        <v>1585</v>
      </c>
      <c r="F23" s="2344">
        <v>881.673</v>
      </c>
      <c r="G23" s="2303"/>
      <c r="H23" s="370"/>
      <c r="I23" s="370"/>
      <c r="J23" s="370"/>
      <c r="K23" s="2304"/>
      <c r="L23" s="2305"/>
      <c r="M23" s="2090"/>
      <c r="O23" s="2061"/>
    </row>
    <row r="24" spans="1:15" ht="15.5">
      <c r="A24" s="2094"/>
      <c r="B24" s="2308" t="s">
        <v>1586</v>
      </c>
      <c r="C24" s="2196"/>
      <c r="D24" s="2196"/>
      <c r="E24" s="2199" t="s">
        <v>1585</v>
      </c>
      <c r="F24" s="2198">
        <v>179.52</v>
      </c>
      <c r="G24" s="2303"/>
      <c r="H24" s="370"/>
      <c r="I24" s="370"/>
      <c r="J24" s="370"/>
      <c r="K24" s="2304"/>
      <c r="L24" s="2305"/>
      <c r="M24" s="2090"/>
      <c r="O24" s="2061"/>
    </row>
    <row r="25" spans="1:15" ht="15.5">
      <c r="A25" s="2094"/>
      <c r="B25" s="2309"/>
      <c r="C25" s="2200"/>
      <c r="D25" s="2200"/>
      <c r="E25" s="2201"/>
      <c r="F25" s="2310"/>
      <c r="G25" s="2303"/>
      <c r="H25" s="370"/>
      <c r="I25" s="370"/>
      <c r="J25" s="370"/>
      <c r="K25" s="2304"/>
      <c r="L25" s="2305"/>
      <c r="M25" s="2090"/>
      <c r="O25" s="2061"/>
    </row>
    <row r="26" spans="1:15" ht="16" thickBot="1">
      <c r="A26" s="2094"/>
      <c r="B26" s="2309"/>
      <c r="C26" s="2200"/>
      <c r="D26" s="2200"/>
      <c r="E26" s="2201"/>
      <c r="F26" s="2200"/>
      <c r="G26" s="2303"/>
      <c r="H26" s="370"/>
      <c r="I26" s="370"/>
      <c r="J26" s="370"/>
      <c r="K26" s="2304"/>
      <c r="L26" s="2305"/>
      <c r="M26" s="2090"/>
      <c r="O26" s="2061"/>
    </row>
    <row r="27" spans="1:15" ht="16" thickBot="1">
      <c r="A27" s="2094"/>
      <c r="B27" s="4563" t="s">
        <v>1587</v>
      </c>
      <c r="C27" s="4564"/>
      <c r="D27" s="4565"/>
      <c r="E27" s="2201"/>
      <c r="F27" s="2200"/>
      <c r="G27" s="2303"/>
      <c r="H27" s="370"/>
      <c r="I27" s="370"/>
      <c r="J27" s="370"/>
      <c r="K27" s="2304"/>
      <c r="L27" s="2305"/>
      <c r="M27" s="2294"/>
      <c r="O27" s="2061"/>
    </row>
    <row r="28" spans="1:15" ht="15.5">
      <c r="A28" s="2094"/>
      <c r="B28" s="2202" t="s">
        <v>1588</v>
      </c>
      <c r="C28" s="2203"/>
      <c r="D28" s="2200"/>
      <c r="E28" s="2201"/>
      <c r="F28" s="2200"/>
      <c r="G28" s="2303"/>
      <c r="H28" s="370"/>
      <c r="I28" s="370"/>
      <c r="J28" s="370"/>
      <c r="K28" s="2304"/>
      <c r="L28" s="2305"/>
      <c r="M28" s="2294"/>
      <c r="O28" s="2061"/>
    </row>
    <row r="29" spans="1:15" ht="15.5">
      <c r="A29" s="2094"/>
      <c r="B29" s="2204" t="s">
        <v>1589</v>
      </c>
      <c r="C29" s="2205">
        <v>36.631620057409741</v>
      </c>
      <c r="D29" s="2200"/>
      <c r="E29" s="2201"/>
      <c r="F29" s="2200"/>
      <c r="G29" s="2303"/>
      <c r="H29" s="370"/>
      <c r="I29" s="370"/>
      <c r="J29" s="370"/>
      <c r="K29" s="2304"/>
      <c r="L29" s="2305"/>
      <c r="M29" s="2296"/>
      <c r="N29" s="2086"/>
      <c r="O29" s="2061"/>
    </row>
    <row r="30" spans="1:15" ht="15.5">
      <c r="A30" s="2094"/>
      <c r="B30" s="2204" t="s">
        <v>1590</v>
      </c>
      <c r="C30" s="2205">
        <v>66.66</v>
      </c>
      <c r="D30" s="2200"/>
      <c r="E30" s="2201"/>
      <c r="F30" s="2200"/>
      <c r="G30" s="2303"/>
      <c r="H30" s="370"/>
      <c r="I30" s="370"/>
      <c r="J30" s="370"/>
      <c r="K30" s="2304"/>
      <c r="L30" s="2305"/>
      <c r="M30" s="2296"/>
      <c r="N30" s="2086"/>
      <c r="O30" s="2061"/>
    </row>
    <row r="31" spans="1:15" ht="16" thickBot="1">
      <c r="A31" s="2094"/>
      <c r="B31" s="2311"/>
      <c r="C31" s="2206"/>
      <c r="D31" s="2207"/>
      <c r="E31" s="2201"/>
      <c r="F31" s="2200"/>
      <c r="G31" s="2303"/>
      <c r="H31" s="370"/>
      <c r="I31" s="370"/>
      <c r="J31" s="370"/>
      <c r="K31" s="2304"/>
      <c r="L31" s="2305"/>
      <c r="M31" s="2090"/>
      <c r="O31" s="2061"/>
    </row>
    <row r="32" spans="1:15" ht="16" thickBot="1">
      <c r="A32" s="2094"/>
      <c r="B32" s="4566" t="s">
        <v>1591</v>
      </c>
      <c r="C32" s="4567"/>
      <c r="D32" s="4567"/>
      <c r="E32" s="4568"/>
      <c r="F32" s="2200"/>
      <c r="G32" s="2303"/>
      <c r="H32" s="370"/>
      <c r="I32" s="370"/>
      <c r="J32" s="370"/>
      <c r="K32" s="2304"/>
      <c r="L32" s="2305"/>
      <c r="M32" s="2090"/>
      <c r="O32" s="2061"/>
    </row>
    <row r="33" spans="1:15" ht="15.5">
      <c r="A33" s="2094"/>
      <c r="B33" s="2208" t="s">
        <v>1592</v>
      </c>
      <c r="C33" s="2209" t="s">
        <v>1593</v>
      </c>
      <c r="D33" s="2209" t="s">
        <v>1593</v>
      </c>
      <c r="E33" s="2210" t="s">
        <v>1593</v>
      </c>
      <c r="F33" s="2200"/>
      <c r="G33" s="2303"/>
      <c r="H33" s="370"/>
      <c r="I33" s="370"/>
      <c r="J33" s="370"/>
      <c r="K33" s="2304"/>
      <c r="L33" s="2305"/>
      <c r="M33" s="2090"/>
      <c r="O33" s="2061"/>
    </row>
    <row r="34" spans="1:15" ht="16" thickBot="1">
      <c r="A34" s="2094"/>
      <c r="B34" s="2211" t="s">
        <v>2</v>
      </c>
      <c r="C34" s="2212" t="s">
        <v>1559</v>
      </c>
      <c r="D34" s="2212" t="s">
        <v>1594</v>
      </c>
      <c r="E34" s="2213" t="s">
        <v>1595</v>
      </c>
      <c r="F34" s="2200"/>
      <c r="G34" s="2303"/>
      <c r="H34" s="370"/>
      <c r="I34" s="370"/>
      <c r="J34" s="370"/>
      <c r="K34" s="2304"/>
      <c r="L34" s="2305"/>
      <c r="M34" s="2090"/>
      <c r="O34" s="2061"/>
    </row>
    <row r="35" spans="1:15" ht="15.5">
      <c r="A35" s="2094"/>
      <c r="B35" s="2208" t="s">
        <v>1596</v>
      </c>
      <c r="C35" s="2214">
        <v>9311.8087340707098</v>
      </c>
      <c r="D35" s="2215">
        <v>0.12083005528916535</v>
      </c>
      <c r="E35" s="2215">
        <v>0.13135768670013778</v>
      </c>
      <c r="F35" s="2200"/>
      <c r="G35" s="2303"/>
      <c r="H35" s="370"/>
      <c r="I35" s="370"/>
      <c r="J35" s="370"/>
      <c r="K35" s="2304"/>
      <c r="L35" s="2305"/>
      <c r="M35" s="2090"/>
      <c r="O35" s="2061"/>
    </row>
    <row r="36" spans="1:15" ht="15.5">
      <c r="A36" s="2094"/>
      <c r="B36" s="2312" t="s">
        <v>1597</v>
      </c>
      <c r="C36" s="2216">
        <v>77065</v>
      </c>
      <c r="D36" s="2217"/>
      <c r="E36" s="2218"/>
      <c r="F36" s="2200"/>
      <c r="G36" s="2303"/>
      <c r="H36" s="370"/>
      <c r="I36" s="370"/>
      <c r="J36" s="370"/>
      <c r="K36" s="2304"/>
      <c r="L36" s="2305"/>
      <c r="M36" s="2090"/>
      <c r="O36" s="2061"/>
    </row>
    <row r="37" spans="1:15" ht="15.5">
      <c r="A37" s="2094"/>
      <c r="B37" s="2312" t="s">
        <v>1598</v>
      </c>
      <c r="C37" s="2216">
        <v>70889</v>
      </c>
      <c r="D37" s="2219"/>
      <c r="E37" s="2217"/>
      <c r="F37" s="2200"/>
      <c r="G37" s="2303"/>
      <c r="H37" s="370"/>
      <c r="I37" s="370"/>
      <c r="J37" s="370"/>
      <c r="K37" s="2304"/>
      <c r="L37" s="2305"/>
      <c r="M37" s="2090"/>
      <c r="O37" s="2061"/>
    </row>
    <row r="38" spans="1:15" ht="16" thickBot="1">
      <c r="A38" s="2094"/>
      <c r="B38" s="2311"/>
      <c r="C38" s="2206"/>
      <c r="D38" s="2207"/>
      <c r="E38" s="2201"/>
      <c r="F38" s="2200"/>
      <c r="G38" s="2303"/>
      <c r="H38" s="370"/>
      <c r="I38" s="370"/>
      <c r="J38" s="370"/>
      <c r="K38" s="2304"/>
      <c r="L38" s="2305"/>
      <c r="M38" s="2090"/>
      <c r="O38" s="2061"/>
    </row>
    <row r="39" spans="1:15" ht="16" thickBot="1">
      <c r="A39" s="2094"/>
      <c r="B39" s="4563" t="s">
        <v>1599</v>
      </c>
      <c r="C39" s="4564"/>
      <c r="D39" s="4564"/>
      <c r="E39" s="4565"/>
      <c r="F39" s="2200"/>
      <c r="G39" s="2303"/>
      <c r="H39" s="370"/>
      <c r="I39" s="370"/>
      <c r="J39" s="370"/>
      <c r="K39" s="2304"/>
      <c r="L39" s="2305"/>
      <c r="M39" s="2090"/>
      <c r="O39" s="2061"/>
    </row>
    <row r="40" spans="1:15" ht="15.5">
      <c r="A40" s="2094"/>
      <c r="B40" s="2208" t="s">
        <v>1592</v>
      </c>
      <c r="C40" s="2209" t="s">
        <v>1593</v>
      </c>
      <c r="D40" s="2209" t="s">
        <v>1593</v>
      </c>
      <c r="E40" s="2210" t="s">
        <v>1593</v>
      </c>
      <c r="F40" s="2200"/>
      <c r="G40" s="2303"/>
      <c r="H40" s="370"/>
      <c r="I40" s="370"/>
      <c r="J40" s="2304"/>
      <c r="K40" s="2304"/>
      <c r="L40" s="2305"/>
      <c r="M40" s="2090"/>
      <c r="O40" s="2061"/>
    </row>
    <row r="41" spans="1:15" ht="16" thickBot="1">
      <c r="A41" s="2094"/>
      <c r="B41" s="2211" t="s">
        <v>2</v>
      </c>
      <c r="C41" s="2212" t="s">
        <v>1559</v>
      </c>
      <c r="D41" s="2212" t="s">
        <v>1594</v>
      </c>
      <c r="E41" s="2213" t="s">
        <v>1595</v>
      </c>
      <c r="F41" s="2200"/>
      <c r="G41" s="2303"/>
      <c r="H41" s="370"/>
      <c r="I41" s="370"/>
      <c r="J41" s="2304"/>
      <c r="K41" s="2304"/>
      <c r="L41" s="2305"/>
      <c r="M41" s="2090"/>
      <c r="O41" s="2061"/>
    </row>
    <row r="42" spans="1:15" ht="15.5">
      <c r="A42" s="2094"/>
      <c r="B42" s="2312" t="s">
        <v>1600</v>
      </c>
      <c r="C42" s="2214">
        <v>9325.5873759297865</v>
      </c>
      <c r="D42" s="2220">
        <v>0.12087620582808316</v>
      </c>
      <c r="E42" s="2221">
        <v>0.13141626721587843</v>
      </c>
      <c r="F42" s="2200"/>
      <c r="G42" s="2303"/>
      <c r="H42" s="370"/>
      <c r="I42" s="370"/>
      <c r="J42" s="2304"/>
      <c r="K42" s="2304"/>
      <c r="L42" s="2305"/>
      <c r="M42" s="2090"/>
      <c r="O42" s="2061"/>
    </row>
    <row r="43" spans="1:15" ht="15.5">
      <c r="A43" s="2094"/>
      <c r="B43" s="2312" t="s">
        <v>1597</v>
      </c>
      <c r="C43" s="2216">
        <v>77149.901521505017</v>
      </c>
      <c r="D43" s="2220"/>
      <c r="E43" s="2220"/>
      <c r="F43" s="2200"/>
      <c r="G43" s="2303"/>
      <c r="H43" s="370"/>
      <c r="I43" s="370"/>
      <c r="J43" s="2304"/>
      <c r="K43" s="2304"/>
      <c r="L43" s="2305"/>
      <c r="M43" s="2090"/>
      <c r="O43" s="2061"/>
    </row>
    <row r="44" spans="1:15" ht="15.5">
      <c r="A44" s="2094"/>
      <c r="B44" s="2312" t="s">
        <v>1598</v>
      </c>
      <c r="C44" s="2216">
        <v>70962.19953204559</v>
      </c>
      <c r="D44" s="2220"/>
      <c r="E44" s="2220"/>
      <c r="F44" s="2200"/>
      <c r="G44" s="2303"/>
      <c r="H44" s="370"/>
      <c r="I44" s="370"/>
      <c r="J44" s="2304"/>
      <c r="K44" s="2304"/>
      <c r="L44" s="2305"/>
      <c r="M44" s="2090"/>
      <c r="O44" s="2061"/>
    </row>
    <row r="45" spans="1:15" ht="15" customHeight="1">
      <c r="A45" s="2292"/>
      <c r="B45" s="2313"/>
      <c r="C45" s="2222"/>
      <c r="D45" s="2207"/>
      <c r="E45" s="2200"/>
      <c r="F45" s="2200"/>
      <c r="G45" s="2200"/>
      <c r="H45" s="2200"/>
      <c r="I45" s="2200"/>
      <c r="J45" s="2200"/>
      <c r="K45" s="2200"/>
      <c r="L45" s="2301"/>
      <c r="M45" s="2293"/>
    </row>
    <row r="46" spans="1:15" ht="16" thickBot="1">
      <c r="A46" s="2292"/>
      <c r="B46" s="2187"/>
      <c r="C46" s="2299"/>
      <c r="D46" s="2299"/>
      <c r="E46" s="2299"/>
      <c r="F46" s="2299"/>
      <c r="G46" s="2299"/>
      <c r="H46" s="2299"/>
      <c r="I46" s="2299"/>
      <c r="J46" s="2299"/>
      <c r="K46" s="2299"/>
      <c r="L46" s="2300"/>
      <c r="M46" s="2295"/>
    </row>
    <row r="47" spans="1:15" ht="16" thickBot="1">
      <c r="A47" s="2292"/>
      <c r="B47" s="4554" t="s">
        <v>1601</v>
      </c>
      <c r="C47" s="4555"/>
      <c r="D47" s="4555"/>
      <c r="E47" s="4555"/>
      <c r="F47" s="4555"/>
      <c r="G47" s="4555"/>
      <c r="H47" s="4555"/>
      <c r="I47" s="4555"/>
      <c r="J47" s="4555"/>
      <c r="K47" s="4555"/>
      <c r="L47" s="4556"/>
      <c r="M47" s="2295"/>
    </row>
    <row r="48" spans="1:15" ht="15.5">
      <c r="A48" s="2292"/>
      <c r="B48" s="2223"/>
      <c r="C48" s="2224"/>
      <c r="D48" s="4575" t="s">
        <v>1661</v>
      </c>
      <c r="E48" s="4576"/>
      <c r="F48" s="4576"/>
      <c r="G48" s="4577"/>
      <c r="H48" s="4578" t="s">
        <v>1602</v>
      </c>
      <c r="I48" s="4579"/>
      <c r="J48" s="4579"/>
      <c r="K48" s="4580"/>
      <c r="L48" s="2225"/>
      <c r="M48" s="2295"/>
    </row>
    <row r="49" spans="1:16" ht="16" thickBot="1">
      <c r="A49" s="2292"/>
      <c r="B49" s="2226" t="s">
        <v>670</v>
      </c>
      <c r="C49" s="2227"/>
      <c r="D49" s="2228" t="s">
        <v>1603</v>
      </c>
      <c r="E49" s="2229"/>
      <c r="F49" s="2230" t="s">
        <v>587</v>
      </c>
      <c r="G49" s="2231" t="s">
        <v>287</v>
      </c>
      <c r="H49" s="2232" t="s">
        <v>22</v>
      </c>
      <c r="I49" s="2232" t="s">
        <v>23</v>
      </c>
      <c r="J49" s="2233" t="s">
        <v>1575</v>
      </c>
      <c r="K49" s="2234" t="s">
        <v>1576</v>
      </c>
      <c r="L49" s="2235" t="s">
        <v>1604</v>
      </c>
      <c r="M49" s="2295"/>
    </row>
    <row r="50" spans="1:16" ht="15.5">
      <c r="A50" s="2292"/>
      <c r="B50" s="2236" t="s">
        <v>154</v>
      </c>
      <c r="C50" s="2237"/>
      <c r="D50" s="2238" t="s">
        <v>1605</v>
      </c>
      <c r="E50" s="2239"/>
      <c r="F50" s="2240" t="s">
        <v>17</v>
      </c>
      <c r="G50" s="2241" t="s">
        <v>17</v>
      </c>
      <c r="H50" s="2242">
        <v>0</v>
      </c>
      <c r="I50" s="2242">
        <v>0</v>
      </c>
      <c r="J50" s="2243">
        <v>0</v>
      </c>
      <c r="K50" s="2243">
        <v>0</v>
      </c>
      <c r="L50" s="2244" t="s">
        <v>104</v>
      </c>
      <c r="M50" s="2295"/>
    </row>
    <row r="51" spans="1:16" ht="15.5">
      <c r="A51" s="2292"/>
      <c r="B51" s="2245" t="s">
        <v>1606</v>
      </c>
      <c r="C51" s="2246"/>
      <c r="D51" s="2340" t="s">
        <v>1607</v>
      </c>
      <c r="E51" s="2341"/>
      <c r="F51" s="2333">
        <f>G51*F$19*F$20</f>
        <v>11.141059743627892</v>
      </c>
      <c r="G51" s="2254">
        <v>1.19155719183186E-2</v>
      </c>
      <c r="H51" s="2247">
        <f>F$23*F$20*G51</f>
        <v>11.556201843933687</v>
      </c>
      <c r="I51" s="2248">
        <f>H51*8760/2000</f>
        <v>50.616164076429548</v>
      </c>
      <c r="J51" s="2248">
        <f>H51*453.59/60/60</f>
        <v>1.4560493317749668</v>
      </c>
      <c r="K51" s="2248">
        <f>H51/2.2046</f>
        <v>5.2418587698147903</v>
      </c>
      <c r="L51" s="2249" t="s">
        <v>104</v>
      </c>
      <c r="M51" s="2296"/>
      <c r="N51" s="2086"/>
    </row>
    <row r="52" spans="1:16" ht="15.5">
      <c r="A52" s="2292"/>
      <c r="B52" s="2250" t="s">
        <v>1608</v>
      </c>
      <c r="C52" s="2251"/>
      <c r="D52" s="2252" t="s">
        <v>1609</v>
      </c>
      <c r="E52" s="2253"/>
      <c r="F52" s="2276" t="s">
        <v>17</v>
      </c>
      <c r="G52" s="2254">
        <v>4.3000000000000001E-7</v>
      </c>
      <c r="H52" s="2247">
        <f>G52*$F$23</f>
        <v>3.7911938999999999E-4</v>
      </c>
      <c r="I52" s="2248">
        <f t="shared" ref="I52:I60" si="6">H52*8760/2000</f>
        <v>1.6605429282E-3</v>
      </c>
      <c r="J52" s="2248">
        <f t="shared" ref="J52:J60" si="7">H52*453.59/60/60</f>
        <v>4.7767990030583324E-5</v>
      </c>
      <c r="K52" s="2248">
        <f t="shared" ref="K52:K60" si="8">H52/2.2046</f>
        <v>1.7196742719767757E-4</v>
      </c>
      <c r="L52" s="2249" t="s">
        <v>105</v>
      </c>
      <c r="M52" s="2295"/>
    </row>
    <row r="53" spans="1:16" ht="15.5">
      <c r="A53" s="2292"/>
      <c r="B53" s="2255" t="s">
        <v>1610</v>
      </c>
      <c r="C53" s="2246"/>
      <c r="D53" s="2252" t="s">
        <v>1609</v>
      </c>
      <c r="E53" s="2253"/>
      <c r="F53" s="2276" t="s">
        <v>17</v>
      </c>
      <c r="G53" s="2254">
        <v>4.0000000000000003E-5</v>
      </c>
      <c r="H53" s="2247">
        <f t="shared" ref="H53:H60" si="9">G53*$F$23</f>
        <v>3.526692E-2</v>
      </c>
      <c r="I53" s="2248">
        <f t="shared" si="6"/>
        <v>0.15446910959999999</v>
      </c>
      <c r="J53" s="2248">
        <f t="shared" si="7"/>
        <v>4.4435339563333332E-3</v>
      </c>
      <c r="K53" s="2248">
        <f t="shared" si="8"/>
        <v>1.5996969971876985E-2</v>
      </c>
      <c r="L53" s="2249" t="s">
        <v>105</v>
      </c>
      <c r="M53" s="2295"/>
      <c r="O53" s="2331"/>
      <c r="P53" s="2331"/>
    </row>
    <row r="54" spans="1:16" ht="15.5">
      <c r="A54" s="2292"/>
      <c r="B54" s="2255" t="s">
        <v>1611</v>
      </c>
      <c r="C54" s="2246"/>
      <c r="D54" s="2252" t="s">
        <v>1609</v>
      </c>
      <c r="E54" s="2253"/>
      <c r="F54" s="2276" t="s">
        <v>17</v>
      </c>
      <c r="G54" s="2254">
        <v>6.3999999999999997E-6</v>
      </c>
      <c r="H54" s="2247">
        <f t="shared" si="9"/>
        <v>5.6427071999999995E-3</v>
      </c>
      <c r="I54" s="2248">
        <f t="shared" si="6"/>
        <v>2.4715057535999996E-2</v>
      </c>
      <c r="J54" s="2248">
        <f t="shared" si="7"/>
        <v>7.1096543301333323E-4</v>
      </c>
      <c r="K54" s="2248">
        <f t="shared" si="8"/>
        <v>2.5595151955003169E-3</v>
      </c>
      <c r="L54" s="2249" t="s">
        <v>105</v>
      </c>
      <c r="M54" s="2295"/>
      <c r="O54" s="2331"/>
      <c r="P54" s="2331"/>
    </row>
    <row r="55" spans="1:16" ht="15.5">
      <c r="A55" s="2292"/>
      <c r="B55" s="2255" t="s">
        <v>11</v>
      </c>
      <c r="C55" s="2246"/>
      <c r="D55" s="2252" t="s">
        <v>1609</v>
      </c>
      <c r="E55" s="2253"/>
      <c r="F55" s="2276" t="s">
        <v>17</v>
      </c>
      <c r="G55" s="2254">
        <v>1.2E-5</v>
      </c>
      <c r="H55" s="2247">
        <f t="shared" si="9"/>
        <v>1.0580076000000001E-2</v>
      </c>
      <c r="I55" s="2248">
        <f t="shared" si="6"/>
        <v>4.6340732880000006E-2</v>
      </c>
      <c r="J55" s="2248">
        <f t="shared" si="7"/>
        <v>1.3330601868999999E-3</v>
      </c>
      <c r="K55" s="2248">
        <f t="shared" si="8"/>
        <v>4.7990909915630953E-3</v>
      </c>
      <c r="L55" s="2249" t="s">
        <v>105</v>
      </c>
      <c r="M55" s="2295"/>
      <c r="O55" s="2331"/>
      <c r="P55" s="2331"/>
    </row>
    <row r="56" spans="1:16" ht="15.5">
      <c r="A56" s="2292"/>
      <c r="B56" s="2255" t="s">
        <v>16</v>
      </c>
      <c r="C56" s="2246"/>
      <c r="D56" s="2252" t="s">
        <v>1609</v>
      </c>
      <c r="E56" s="2253"/>
      <c r="F56" s="2276" t="s">
        <v>17</v>
      </c>
      <c r="G56" s="2254">
        <v>3.1999999999999999E-5</v>
      </c>
      <c r="H56" s="2247">
        <f t="shared" si="9"/>
        <v>2.8213535999999997E-2</v>
      </c>
      <c r="I56" s="2248">
        <f t="shared" si="6"/>
        <v>0.12357528767999999</v>
      </c>
      <c r="J56" s="2248">
        <f t="shared" si="7"/>
        <v>3.5548271650666661E-3</v>
      </c>
      <c r="K56" s="2248">
        <f t="shared" si="8"/>
        <v>1.2797575977501585E-2</v>
      </c>
      <c r="L56" s="2249" t="s">
        <v>105</v>
      </c>
      <c r="M56" s="2295"/>
      <c r="O56" s="2331"/>
      <c r="P56" s="2331"/>
    </row>
    <row r="57" spans="1:16" ht="15.5">
      <c r="A57" s="2292"/>
      <c r="B57" s="2255" t="s">
        <v>895</v>
      </c>
      <c r="C57" s="2246"/>
      <c r="D57" s="2252" t="s">
        <v>1609</v>
      </c>
      <c r="E57" s="2253"/>
      <c r="F57" s="2276" t="s">
        <v>17</v>
      </c>
      <c r="G57" s="2254">
        <v>7.1000000000000002E-4</v>
      </c>
      <c r="H57" s="2247">
        <f t="shared" si="9"/>
        <v>0.62598783000000002</v>
      </c>
      <c r="I57" s="2248">
        <f t="shared" si="6"/>
        <v>2.7418266953999999</v>
      </c>
      <c r="J57" s="2248">
        <f t="shared" si="7"/>
        <v>7.8872727724916658E-2</v>
      </c>
      <c r="K57" s="2248">
        <f t="shared" si="8"/>
        <v>0.28394621700081646</v>
      </c>
      <c r="L57" s="2249" t="s">
        <v>105</v>
      </c>
      <c r="M57" s="2296"/>
      <c r="O57" s="2331"/>
      <c r="P57" s="2331"/>
    </row>
    <row r="58" spans="1:16" ht="15.5">
      <c r="A58" s="2292"/>
      <c r="B58" s="2255" t="s">
        <v>1612</v>
      </c>
      <c r="C58" s="2246"/>
      <c r="D58" s="2252" t="s">
        <v>1609</v>
      </c>
      <c r="E58" s="2253"/>
      <c r="F58" s="2276" t="s">
        <v>17</v>
      </c>
      <c r="G58" s="2254">
        <v>1.3E-6</v>
      </c>
      <c r="H58" s="2247">
        <f t="shared" si="9"/>
        <v>1.1461749000000001E-3</v>
      </c>
      <c r="I58" s="2248">
        <f t="shared" si="6"/>
        <v>5.0202460620000005E-3</v>
      </c>
      <c r="J58" s="2248">
        <f t="shared" si="7"/>
        <v>1.4441485358083337E-4</v>
      </c>
      <c r="K58" s="2248">
        <f t="shared" si="8"/>
        <v>5.1990152408600205E-4</v>
      </c>
      <c r="L58" s="2249" t="s">
        <v>105</v>
      </c>
      <c r="M58" s="2295"/>
      <c r="O58" s="2331"/>
      <c r="P58" s="2331"/>
    </row>
    <row r="59" spans="1:16" ht="15.5">
      <c r="A59" s="2292"/>
      <c r="B59" s="2255" t="s">
        <v>14</v>
      </c>
      <c r="C59" s="2246"/>
      <c r="D59" s="2252" t="s">
        <v>1609</v>
      </c>
      <c r="E59" s="2253"/>
      <c r="F59" s="2276" t="s">
        <v>17</v>
      </c>
      <c r="G59" s="2254">
        <v>1.2999999999999999E-4</v>
      </c>
      <c r="H59" s="2247">
        <f t="shared" si="9"/>
        <v>0.11461748999999999</v>
      </c>
      <c r="I59" s="2248">
        <f t="shared" si="6"/>
        <v>0.50202460619999989</v>
      </c>
      <c r="J59" s="2248">
        <f t="shared" si="7"/>
        <v>1.4441485358083329E-2</v>
      </c>
      <c r="K59" s="2248">
        <f t="shared" si="8"/>
        <v>5.1990152408600193E-2</v>
      </c>
      <c r="L59" s="2249" t="s">
        <v>105</v>
      </c>
      <c r="M59" s="2295"/>
      <c r="O59" s="2331"/>
      <c r="P59" s="2331"/>
    </row>
    <row r="60" spans="1:16" ht="16" thickBot="1">
      <c r="A60" s="2292"/>
      <c r="B60" s="2256" t="s">
        <v>1613</v>
      </c>
      <c r="C60" s="2257"/>
      <c r="D60" s="2258" t="s">
        <v>1609</v>
      </c>
      <c r="E60" s="2259"/>
      <c r="F60" s="2290" t="s">
        <v>17</v>
      </c>
      <c r="G60" s="2260">
        <v>6.3999999999999997E-5</v>
      </c>
      <c r="H60" s="2261">
        <f t="shared" si="9"/>
        <v>5.6427071999999995E-2</v>
      </c>
      <c r="I60" s="2261">
        <f t="shared" si="6"/>
        <v>0.24715057535999999</v>
      </c>
      <c r="J60" s="2261">
        <f t="shared" si="7"/>
        <v>7.1096543301333321E-3</v>
      </c>
      <c r="K60" s="2261">
        <f t="shared" si="8"/>
        <v>2.559515195500317E-2</v>
      </c>
      <c r="L60" s="2262" t="s">
        <v>105</v>
      </c>
      <c r="M60" s="2295"/>
      <c r="O60" s="2331"/>
      <c r="P60" s="2331"/>
    </row>
    <row r="61" spans="1:16" ht="16" thickBot="1">
      <c r="A61" s="2292"/>
      <c r="B61" s="2322"/>
      <c r="C61" s="2322"/>
      <c r="D61" s="2322"/>
      <c r="E61" s="2322"/>
      <c r="F61" s="2322"/>
      <c r="G61" s="2322"/>
      <c r="H61" s="2332"/>
      <c r="I61" s="2332"/>
      <c r="J61" s="2322"/>
      <c r="K61" s="2322"/>
      <c r="L61" s="2322"/>
      <c r="M61" s="2295"/>
      <c r="O61" s="2331"/>
      <c r="P61" s="2331"/>
    </row>
    <row r="62" spans="1:16" ht="15.5">
      <c r="A62" s="2292"/>
      <c r="B62" s="2314" t="s">
        <v>521</v>
      </c>
      <c r="C62" s="2315"/>
      <c r="D62" s="2315"/>
      <c r="E62" s="2315"/>
      <c r="F62" s="2315"/>
      <c r="G62" s="2315"/>
      <c r="H62" s="2315"/>
      <c r="I62" s="2315"/>
      <c r="J62" s="2315"/>
      <c r="K62" s="2315"/>
      <c r="L62" s="2316"/>
      <c r="M62" s="2295"/>
    </row>
    <row r="63" spans="1:16" ht="15.5">
      <c r="A63" s="2292"/>
      <c r="B63" s="2317" t="s">
        <v>1614</v>
      </c>
      <c r="C63" s="2299"/>
      <c r="D63" s="2299"/>
      <c r="E63" s="2299"/>
      <c r="F63" s="2299"/>
      <c r="G63" s="2299"/>
      <c r="H63" s="2299"/>
      <c r="I63" s="2299"/>
      <c r="J63" s="2299"/>
      <c r="K63" s="2299"/>
      <c r="L63" s="2300"/>
      <c r="M63" s="2295"/>
    </row>
    <row r="64" spans="1:16" ht="15.5">
      <c r="A64" s="2292"/>
      <c r="B64" s="2318" t="s">
        <v>1615</v>
      </c>
      <c r="C64" s="2299"/>
      <c r="D64" s="2299"/>
      <c r="E64" s="2299"/>
      <c r="F64" s="2299"/>
      <c r="G64" s="2299"/>
      <c r="H64" s="2299"/>
      <c r="I64" s="2299"/>
      <c r="J64" s="2299"/>
      <c r="K64" s="2299"/>
      <c r="L64" s="2300"/>
      <c r="M64" s="2295"/>
    </row>
    <row r="65" spans="1:14" ht="15.5">
      <c r="A65" s="2292"/>
      <c r="B65" s="2318" t="s">
        <v>1616</v>
      </c>
      <c r="C65" s="2299"/>
      <c r="D65" s="2299"/>
      <c r="E65" s="2299"/>
      <c r="F65" s="2299"/>
      <c r="G65" s="2299"/>
      <c r="H65" s="2299"/>
      <c r="I65" s="2299"/>
      <c r="J65" s="2299"/>
      <c r="K65" s="2299"/>
      <c r="L65" s="2300"/>
      <c r="M65" s="2295"/>
    </row>
    <row r="66" spans="1:14" ht="16" thickBot="1">
      <c r="A66" s="2292"/>
      <c r="B66" s="2319" t="s">
        <v>1617</v>
      </c>
      <c r="C66" s="2320"/>
      <c r="D66" s="2320"/>
      <c r="E66" s="2320"/>
      <c r="F66" s="2320"/>
      <c r="G66" s="2320"/>
      <c r="H66" s="2320"/>
      <c r="I66" s="2320"/>
      <c r="J66" s="2320"/>
      <c r="K66" s="2320"/>
      <c r="L66" s="2321"/>
      <c r="M66" s="2295"/>
    </row>
    <row r="67" spans="1:14" ht="16" thickBot="1">
      <c r="A67" s="2323"/>
      <c r="B67" s="2324"/>
      <c r="C67" s="2324"/>
      <c r="D67" s="2324"/>
      <c r="E67" s="2324"/>
      <c r="F67" s="2324"/>
      <c r="G67" s="2324"/>
      <c r="H67" s="2324"/>
      <c r="I67" s="2324"/>
      <c r="J67" s="2324"/>
      <c r="K67" s="2324"/>
      <c r="L67" s="2324"/>
      <c r="M67" s="2325"/>
    </row>
    <row r="68" spans="1:14" ht="16" thickBot="1">
      <c r="A68" s="2292"/>
      <c r="B68" s="2327"/>
      <c r="C68" s="2328"/>
      <c r="D68" s="2328"/>
      <c r="E68" s="2328"/>
      <c r="F68" s="2327"/>
      <c r="G68" s="2328"/>
      <c r="H68" s="2328"/>
      <c r="I68" s="2328"/>
      <c r="J68" s="2329"/>
      <c r="K68" s="2329"/>
      <c r="L68" s="2330"/>
      <c r="M68" s="2295"/>
    </row>
    <row r="69" spans="1:14" ht="15" customHeight="1" thickBot="1">
      <c r="A69" s="2292"/>
      <c r="B69" s="2297"/>
      <c r="C69" s="2085"/>
      <c r="D69" s="2085"/>
      <c r="E69" s="2085"/>
      <c r="F69" s="2085"/>
      <c r="G69" s="2085"/>
      <c r="H69" s="2085"/>
      <c r="I69" s="2085"/>
      <c r="J69" s="2085"/>
      <c r="K69" s="2085"/>
      <c r="L69" s="2298"/>
      <c r="M69" s="2293"/>
    </row>
    <row r="70" spans="1:14" ht="16" thickBot="1">
      <c r="A70" s="2292"/>
      <c r="B70" s="4554" t="s">
        <v>1618</v>
      </c>
      <c r="C70" s="4555"/>
      <c r="D70" s="4555"/>
      <c r="E70" s="4555"/>
      <c r="F70" s="4555"/>
      <c r="G70" s="4555"/>
      <c r="H70" s="4555"/>
      <c r="I70" s="4555"/>
      <c r="J70" s="4555"/>
      <c r="K70" s="4555"/>
      <c r="L70" s="4556"/>
      <c r="M70" s="2295"/>
    </row>
    <row r="71" spans="1:14" ht="15.5">
      <c r="A71" s="2292"/>
      <c r="B71" s="2223"/>
      <c r="C71" s="2224"/>
      <c r="D71" s="4575" t="s">
        <v>686</v>
      </c>
      <c r="E71" s="4576"/>
      <c r="F71" s="4576"/>
      <c r="G71" s="4577"/>
      <c r="H71" s="4578" t="s">
        <v>1602</v>
      </c>
      <c r="I71" s="4579"/>
      <c r="J71" s="4579"/>
      <c r="K71" s="4580"/>
      <c r="L71" s="2225"/>
      <c r="M71" s="2295"/>
    </row>
    <row r="72" spans="1:14" ht="16" thickBot="1">
      <c r="A72" s="2292"/>
      <c r="B72" s="2226" t="s">
        <v>670</v>
      </c>
      <c r="C72" s="2227"/>
      <c r="D72" s="4561" t="s">
        <v>378</v>
      </c>
      <c r="E72" s="4562"/>
      <c r="F72" s="2334" t="s">
        <v>587</v>
      </c>
      <c r="G72" s="2335" t="s">
        <v>287</v>
      </c>
      <c r="H72" s="2232" t="s">
        <v>22</v>
      </c>
      <c r="I72" s="2232" t="s">
        <v>23</v>
      </c>
      <c r="J72" s="2233" t="s">
        <v>1575</v>
      </c>
      <c r="K72" s="2234" t="s">
        <v>1576</v>
      </c>
      <c r="L72" s="2235" t="s">
        <v>1604</v>
      </c>
      <c r="M72" s="2295"/>
      <c r="N72" s="2087"/>
    </row>
    <row r="73" spans="1:14" ht="15.5">
      <c r="A73" s="2292"/>
      <c r="B73" s="2263" t="s">
        <v>154</v>
      </c>
      <c r="C73" s="2264"/>
      <c r="D73" s="2265" t="s">
        <v>1619</v>
      </c>
      <c r="E73" s="2266"/>
      <c r="F73" s="2267">
        <v>5.0000000000000001E-4</v>
      </c>
      <c r="G73" s="2268">
        <f>F73/(F$19*F$20)</f>
        <v>5.3475935828876995E-7</v>
      </c>
      <c r="H73" s="2268">
        <f>F$24*F$20*G73</f>
        <v>1.0560000000000001E-4</v>
      </c>
      <c r="I73" s="2268">
        <f t="shared" ref="I73:I107" si="10">H73*8760/2000</f>
        <v>4.6252800000000003E-4</v>
      </c>
      <c r="J73" s="2268">
        <f>H73*453.59237/60/60</f>
        <v>1.3305376186666667E-5</v>
      </c>
      <c r="K73" s="2268">
        <f t="shared" ref="K73:K107" si="11">H73/2.2046</f>
        <v>4.7899845777011703E-5</v>
      </c>
      <c r="L73" s="2244" t="s">
        <v>104</v>
      </c>
      <c r="M73" s="2295"/>
    </row>
    <row r="74" spans="1:14" ht="15.5">
      <c r="A74" s="2292"/>
      <c r="B74" s="2269" t="s">
        <v>1606</v>
      </c>
      <c r="C74" s="2270"/>
      <c r="D74" s="2350" t="s">
        <v>1620</v>
      </c>
      <c r="E74" s="2281"/>
      <c r="F74" s="2349">
        <f>G74*F$19*F$20</f>
        <v>14.025</v>
      </c>
      <c r="G74" s="2349">
        <v>1.4999999999999999E-2</v>
      </c>
      <c r="H74" s="2271">
        <f>F$24*F$20*G74</f>
        <v>2.9620800000000003</v>
      </c>
      <c r="I74" s="2271">
        <v>13.048450344632286</v>
      </c>
      <c r="J74" s="2271">
        <v>0.37536006574385311</v>
      </c>
      <c r="K74" s="2271">
        <v>1.3513101026032623</v>
      </c>
      <c r="L74" s="2272" t="s">
        <v>104</v>
      </c>
      <c r="M74" s="2295"/>
    </row>
    <row r="75" spans="1:14" ht="15.5">
      <c r="A75" s="2292"/>
      <c r="B75" s="2273" t="s">
        <v>1621</v>
      </c>
      <c r="C75" s="2270"/>
      <c r="D75" s="2274" t="s">
        <v>1622</v>
      </c>
      <c r="E75" s="2283"/>
      <c r="F75" s="2276">
        <v>2.4000000000000001E-5</v>
      </c>
      <c r="G75" s="2276" t="s">
        <v>17</v>
      </c>
      <c r="H75" s="2271">
        <f>$F$24/$F$19*F75*$F$19/1020</f>
        <v>4.2240000000000006E-6</v>
      </c>
      <c r="I75" s="2277">
        <f t="shared" si="10"/>
        <v>1.8501120000000003E-5</v>
      </c>
      <c r="J75" s="2277">
        <f t="shared" ref="J75:J107" si="12">H75*453.59237/60/60</f>
        <v>5.3221504746666668E-7</v>
      </c>
      <c r="K75" s="2277">
        <f t="shared" si="11"/>
        <v>1.9159938310804683E-6</v>
      </c>
      <c r="L75" s="2249" t="s">
        <v>105</v>
      </c>
      <c r="M75" s="2295"/>
    </row>
    <row r="76" spans="1:14" ht="15.5">
      <c r="A76" s="2292"/>
      <c r="B76" s="2278" t="s">
        <v>1623</v>
      </c>
      <c r="C76" s="2279"/>
      <c r="D76" s="2274" t="s">
        <v>1622</v>
      </c>
      <c r="E76" s="2275"/>
      <c r="F76" s="2276">
        <v>1.7999999999999999E-6</v>
      </c>
      <c r="G76" s="2277" t="s">
        <v>17</v>
      </c>
      <c r="H76" s="2271">
        <f t="shared" ref="H76:H107" si="13">$F$24/$F$19*F76*$F$19/1020</f>
        <v>3.1679999999999998E-7</v>
      </c>
      <c r="I76" s="2277">
        <f t="shared" si="10"/>
        <v>1.3875839999999998E-6</v>
      </c>
      <c r="J76" s="2277">
        <f t="shared" si="12"/>
        <v>3.9916128560000003E-8</v>
      </c>
      <c r="K76" s="2277">
        <f t="shared" si="11"/>
        <v>1.436995373310351E-7</v>
      </c>
      <c r="L76" s="2249" t="s">
        <v>105</v>
      </c>
      <c r="M76" s="2295"/>
    </row>
    <row r="77" spans="1:14" ht="15.5">
      <c r="A77" s="2292"/>
      <c r="B77" s="2278" t="s">
        <v>1624</v>
      </c>
      <c r="C77" s="2279"/>
      <c r="D77" s="2274" t="s">
        <v>1622</v>
      </c>
      <c r="E77" s="2275"/>
      <c r="F77" s="2276">
        <v>1.5999999999999999E-5</v>
      </c>
      <c r="G77" s="2277" t="s">
        <v>17</v>
      </c>
      <c r="H77" s="2271">
        <f t="shared" si="13"/>
        <v>2.8159999999999998E-6</v>
      </c>
      <c r="I77" s="2277">
        <f t="shared" si="10"/>
        <v>1.233408E-5</v>
      </c>
      <c r="J77" s="2277">
        <f t="shared" si="12"/>
        <v>3.5481003164444442E-7</v>
      </c>
      <c r="K77" s="2277">
        <f t="shared" si="11"/>
        <v>1.2773292207203119E-6</v>
      </c>
      <c r="L77" s="2249" t="s">
        <v>1625</v>
      </c>
      <c r="M77" s="2295"/>
    </row>
    <row r="78" spans="1:14" ht="15.5">
      <c r="A78" s="2292"/>
      <c r="B78" s="2278" t="s">
        <v>1626</v>
      </c>
      <c r="C78" s="2279"/>
      <c r="D78" s="2274" t="s">
        <v>1622</v>
      </c>
      <c r="E78" s="2275"/>
      <c r="F78" s="2276">
        <v>1.7999999999999999E-6</v>
      </c>
      <c r="G78" s="2277" t="s">
        <v>17</v>
      </c>
      <c r="H78" s="2271">
        <f t="shared" si="13"/>
        <v>3.1679999999999998E-7</v>
      </c>
      <c r="I78" s="2277">
        <f t="shared" si="10"/>
        <v>1.3875839999999998E-6</v>
      </c>
      <c r="J78" s="2277">
        <f t="shared" si="12"/>
        <v>3.9916128560000003E-8</v>
      </c>
      <c r="K78" s="2277">
        <f t="shared" si="11"/>
        <v>1.436995373310351E-7</v>
      </c>
      <c r="L78" s="2249" t="s">
        <v>1625</v>
      </c>
      <c r="M78" s="2295"/>
    </row>
    <row r="79" spans="1:14" ht="15.5">
      <c r="A79" s="2292"/>
      <c r="B79" s="2278" t="s">
        <v>1627</v>
      </c>
      <c r="C79" s="2279"/>
      <c r="D79" s="2274" t="s">
        <v>1622</v>
      </c>
      <c r="E79" s="2275"/>
      <c r="F79" s="2276">
        <v>1.7999999999999999E-6</v>
      </c>
      <c r="G79" s="2277" t="s">
        <v>17</v>
      </c>
      <c r="H79" s="2271">
        <f t="shared" si="13"/>
        <v>3.1679999999999998E-7</v>
      </c>
      <c r="I79" s="2277">
        <f t="shared" si="10"/>
        <v>1.3875839999999998E-6</v>
      </c>
      <c r="J79" s="2277">
        <f t="shared" si="12"/>
        <v>3.9916128560000003E-8</v>
      </c>
      <c r="K79" s="2277">
        <f t="shared" si="11"/>
        <v>1.436995373310351E-7</v>
      </c>
      <c r="L79" s="2249" t="s">
        <v>1625</v>
      </c>
      <c r="M79" s="2295"/>
    </row>
    <row r="80" spans="1:14" ht="15.5">
      <c r="A80" s="2292"/>
      <c r="B80" s="2278" t="s">
        <v>1628</v>
      </c>
      <c r="C80" s="2279"/>
      <c r="D80" s="2274" t="s">
        <v>1622</v>
      </c>
      <c r="E80" s="2275"/>
      <c r="F80" s="2276">
        <v>2.3999999999999999E-6</v>
      </c>
      <c r="G80" s="2277" t="s">
        <v>17</v>
      </c>
      <c r="H80" s="2271">
        <f t="shared" si="13"/>
        <v>4.2239999999999997E-7</v>
      </c>
      <c r="I80" s="2277">
        <f t="shared" si="10"/>
        <v>1.850112E-6</v>
      </c>
      <c r="J80" s="2277">
        <f t="shared" si="12"/>
        <v>5.3221504746666662E-8</v>
      </c>
      <c r="K80" s="2277">
        <f t="shared" si="11"/>
        <v>1.9159938310804679E-7</v>
      </c>
      <c r="L80" s="2249" t="s">
        <v>1625</v>
      </c>
      <c r="M80" s="2295"/>
    </row>
    <row r="81" spans="1:13" ht="15.5">
      <c r="A81" s="2292"/>
      <c r="B81" s="2278" t="s">
        <v>1629</v>
      </c>
      <c r="C81" s="2279"/>
      <c r="D81" s="2274" t="s">
        <v>1622</v>
      </c>
      <c r="E81" s="2275"/>
      <c r="F81" s="2276">
        <v>1.7999999999999999E-6</v>
      </c>
      <c r="G81" s="2277" t="s">
        <v>17</v>
      </c>
      <c r="H81" s="2271">
        <f t="shared" si="13"/>
        <v>3.1679999999999998E-7</v>
      </c>
      <c r="I81" s="2277">
        <f t="shared" si="10"/>
        <v>1.3875839999999998E-6</v>
      </c>
      <c r="J81" s="2277">
        <f t="shared" si="12"/>
        <v>3.9916128560000003E-8</v>
      </c>
      <c r="K81" s="2277">
        <f t="shared" si="11"/>
        <v>1.436995373310351E-7</v>
      </c>
      <c r="L81" s="2249" t="s">
        <v>1625</v>
      </c>
      <c r="M81" s="2295"/>
    </row>
    <row r="82" spans="1:13" ht="15.5">
      <c r="A82" s="2292"/>
      <c r="B82" s="2278" t="s">
        <v>11</v>
      </c>
      <c r="C82" s="2279"/>
      <c r="D82" s="2274" t="s">
        <v>1622</v>
      </c>
      <c r="E82" s="2275"/>
      <c r="F82" s="2276">
        <v>2.0999999999999999E-3</v>
      </c>
      <c r="G82" s="2277" t="s">
        <v>17</v>
      </c>
      <c r="H82" s="2271">
        <f t="shared" si="13"/>
        <v>3.6959999999999998E-4</v>
      </c>
      <c r="I82" s="2277">
        <f t="shared" si="10"/>
        <v>1.6188479999999998E-3</v>
      </c>
      <c r="J82" s="2277">
        <f t="shared" si="12"/>
        <v>4.6568816653333335E-5</v>
      </c>
      <c r="K82" s="2277">
        <f t="shared" si="11"/>
        <v>1.6764946021954094E-4</v>
      </c>
      <c r="L82" s="2249" t="s">
        <v>105</v>
      </c>
      <c r="M82" s="2295"/>
    </row>
    <row r="83" spans="1:13" ht="15.5">
      <c r="A83" s="2292"/>
      <c r="B83" s="2278" t="s">
        <v>1630</v>
      </c>
      <c r="C83" s="2279"/>
      <c r="D83" s="2274" t="s">
        <v>1622</v>
      </c>
      <c r="E83" s="2275"/>
      <c r="F83" s="2276">
        <v>1.1999999999999999E-6</v>
      </c>
      <c r="G83" s="2277" t="s">
        <v>17</v>
      </c>
      <c r="H83" s="2271">
        <f t="shared" si="13"/>
        <v>2.1119999999999999E-7</v>
      </c>
      <c r="I83" s="2277">
        <f t="shared" si="10"/>
        <v>9.25056E-7</v>
      </c>
      <c r="J83" s="2277">
        <f t="shared" si="12"/>
        <v>2.6610752373333331E-8</v>
      </c>
      <c r="K83" s="2277">
        <f t="shared" si="11"/>
        <v>9.5799691554023394E-8</v>
      </c>
      <c r="L83" s="2249" t="s">
        <v>1625</v>
      </c>
      <c r="M83" s="2295"/>
    </row>
    <row r="84" spans="1:13" ht="15.5">
      <c r="A84" s="2292"/>
      <c r="B84" s="2278" t="s">
        <v>1631</v>
      </c>
      <c r="C84" s="2279"/>
      <c r="D84" s="2274" t="s">
        <v>1622</v>
      </c>
      <c r="E84" s="2275"/>
      <c r="F84" s="2276">
        <v>1.7999999999999999E-6</v>
      </c>
      <c r="G84" s="2277" t="s">
        <v>17</v>
      </c>
      <c r="H84" s="2271">
        <f t="shared" si="13"/>
        <v>3.1679999999999998E-7</v>
      </c>
      <c r="I84" s="2277">
        <f t="shared" si="10"/>
        <v>1.3875839999999998E-6</v>
      </c>
      <c r="J84" s="2277">
        <f t="shared" si="12"/>
        <v>3.9916128560000003E-8</v>
      </c>
      <c r="K84" s="2277">
        <f t="shared" si="11"/>
        <v>1.436995373310351E-7</v>
      </c>
      <c r="L84" s="2249" t="s">
        <v>1625</v>
      </c>
      <c r="M84" s="2295"/>
    </row>
    <row r="85" spans="1:13" ht="15.5">
      <c r="A85" s="2292"/>
      <c r="B85" s="2278" t="s">
        <v>1632</v>
      </c>
      <c r="C85" s="2279"/>
      <c r="D85" s="2274" t="s">
        <v>1622</v>
      </c>
      <c r="E85" s="2275"/>
      <c r="F85" s="2276">
        <v>1.1999999999999999E-6</v>
      </c>
      <c r="G85" s="2277" t="s">
        <v>17</v>
      </c>
      <c r="H85" s="2271">
        <f t="shared" si="13"/>
        <v>2.1119999999999999E-7</v>
      </c>
      <c r="I85" s="2277">
        <f t="shared" si="10"/>
        <v>9.25056E-7</v>
      </c>
      <c r="J85" s="2277">
        <f t="shared" si="12"/>
        <v>2.6610752373333331E-8</v>
      </c>
      <c r="K85" s="2277">
        <f t="shared" si="11"/>
        <v>9.5799691554023394E-8</v>
      </c>
      <c r="L85" s="2249" t="s">
        <v>1625</v>
      </c>
      <c r="M85" s="2295"/>
    </row>
    <row r="86" spans="1:13" ht="15.5">
      <c r="A86" s="2292"/>
      <c r="B86" s="2278" t="s">
        <v>1633</v>
      </c>
      <c r="C86" s="2279"/>
      <c r="D86" s="2274" t="s">
        <v>1622</v>
      </c>
      <c r="E86" s="2275"/>
      <c r="F86" s="2276">
        <v>1.7999999999999999E-6</v>
      </c>
      <c r="G86" s="2277" t="s">
        <v>17</v>
      </c>
      <c r="H86" s="2271">
        <f t="shared" si="13"/>
        <v>3.1679999999999998E-7</v>
      </c>
      <c r="I86" s="2277">
        <f t="shared" si="10"/>
        <v>1.3875839999999998E-6</v>
      </c>
      <c r="J86" s="2277">
        <f t="shared" si="12"/>
        <v>3.9916128560000003E-8</v>
      </c>
      <c r="K86" s="2277">
        <f t="shared" si="11"/>
        <v>1.436995373310351E-7</v>
      </c>
      <c r="L86" s="2249" t="s">
        <v>1625</v>
      </c>
      <c r="M86" s="2295"/>
    </row>
    <row r="87" spans="1:13" ht="15.5">
      <c r="A87" s="2292"/>
      <c r="B87" s="2278" t="s">
        <v>1634</v>
      </c>
      <c r="C87" s="2279"/>
      <c r="D87" s="2274" t="s">
        <v>1622</v>
      </c>
      <c r="E87" s="2275"/>
      <c r="F87" s="2276">
        <v>1.7999999999999999E-6</v>
      </c>
      <c r="G87" s="2277" t="s">
        <v>17</v>
      </c>
      <c r="H87" s="2271">
        <f t="shared" si="13"/>
        <v>3.1679999999999998E-7</v>
      </c>
      <c r="I87" s="2277">
        <f t="shared" si="10"/>
        <v>1.3875839999999998E-6</v>
      </c>
      <c r="J87" s="2277">
        <f t="shared" si="12"/>
        <v>3.9916128560000003E-8</v>
      </c>
      <c r="K87" s="2277">
        <f t="shared" si="11"/>
        <v>1.436995373310351E-7</v>
      </c>
      <c r="L87" s="2249" t="s">
        <v>1625</v>
      </c>
      <c r="M87" s="2295"/>
    </row>
    <row r="88" spans="1:13" ht="15.5">
      <c r="A88" s="2292"/>
      <c r="B88" s="2278" t="s">
        <v>1635</v>
      </c>
      <c r="C88" s="2279"/>
      <c r="D88" s="2274" t="s">
        <v>1622</v>
      </c>
      <c r="E88" s="2275"/>
      <c r="F88" s="2276">
        <v>1.1999999999999999E-6</v>
      </c>
      <c r="G88" s="2277" t="s">
        <v>17</v>
      </c>
      <c r="H88" s="2271">
        <f t="shared" si="13"/>
        <v>2.1119999999999999E-7</v>
      </c>
      <c r="I88" s="2277">
        <f t="shared" si="10"/>
        <v>9.25056E-7</v>
      </c>
      <c r="J88" s="2277">
        <f t="shared" si="12"/>
        <v>2.6610752373333331E-8</v>
      </c>
      <c r="K88" s="2277">
        <f t="shared" si="11"/>
        <v>9.5799691554023394E-8</v>
      </c>
      <c r="L88" s="2249" t="s">
        <v>1625</v>
      </c>
      <c r="M88" s="2295"/>
    </row>
    <row r="89" spans="1:13" ht="15.5">
      <c r="A89" s="2292"/>
      <c r="B89" s="2278" t="s">
        <v>1636</v>
      </c>
      <c r="C89" s="2279"/>
      <c r="D89" s="2274" t="s">
        <v>1622</v>
      </c>
      <c r="E89" s="2275"/>
      <c r="F89" s="2276">
        <v>1.1999999999999999E-3</v>
      </c>
      <c r="G89" s="2277" t="s">
        <v>17</v>
      </c>
      <c r="H89" s="2271">
        <f t="shared" si="13"/>
        <v>2.1119999999999998E-4</v>
      </c>
      <c r="I89" s="2277">
        <f t="shared" si="10"/>
        <v>9.2505599999999984E-4</v>
      </c>
      <c r="J89" s="2277">
        <f t="shared" si="12"/>
        <v>2.661075237333333E-5</v>
      </c>
      <c r="K89" s="2277">
        <f t="shared" si="11"/>
        <v>9.5799691554023392E-5</v>
      </c>
      <c r="L89" s="2249" t="s">
        <v>105</v>
      </c>
      <c r="M89" s="2295"/>
    </row>
    <row r="90" spans="1:13" ht="15.5">
      <c r="A90" s="2292"/>
      <c r="B90" s="2278" t="s">
        <v>1637</v>
      </c>
      <c r="C90" s="2279"/>
      <c r="D90" s="2274" t="s">
        <v>1622</v>
      </c>
      <c r="E90" s="2275"/>
      <c r="F90" s="2276">
        <v>3.0000000000000001E-6</v>
      </c>
      <c r="G90" s="2277" t="s">
        <v>17</v>
      </c>
      <c r="H90" s="2271">
        <f t="shared" si="13"/>
        <v>5.2800000000000007E-7</v>
      </c>
      <c r="I90" s="2277">
        <f t="shared" si="10"/>
        <v>2.3126400000000004E-6</v>
      </c>
      <c r="J90" s="2277">
        <f t="shared" si="12"/>
        <v>6.6526880933333335E-8</v>
      </c>
      <c r="K90" s="2277">
        <f t="shared" si="11"/>
        <v>2.3949922888505853E-7</v>
      </c>
      <c r="L90" s="2249" t="s">
        <v>1625</v>
      </c>
      <c r="M90" s="2295"/>
    </row>
    <row r="91" spans="1:13" ht="15.5">
      <c r="A91" s="2292"/>
      <c r="B91" s="2278" t="s">
        <v>1638</v>
      </c>
      <c r="C91" s="2279"/>
      <c r="D91" s="2274" t="s">
        <v>1622</v>
      </c>
      <c r="E91" s="2275"/>
      <c r="F91" s="2276">
        <v>2.7999999999999999E-6</v>
      </c>
      <c r="G91" s="2277" t="s">
        <v>17</v>
      </c>
      <c r="H91" s="2271">
        <f t="shared" si="13"/>
        <v>4.9279999999999997E-7</v>
      </c>
      <c r="I91" s="2277">
        <f t="shared" si="10"/>
        <v>2.1584639999999996E-6</v>
      </c>
      <c r="J91" s="2277">
        <f t="shared" si="12"/>
        <v>6.2091755537777773E-8</v>
      </c>
      <c r="K91" s="2277">
        <f t="shared" si="11"/>
        <v>2.2353261362605459E-7</v>
      </c>
      <c r="L91" s="2249" t="s">
        <v>1625</v>
      </c>
      <c r="M91" s="2295"/>
    </row>
    <row r="92" spans="1:13" ht="15.5">
      <c r="A92" s="2292"/>
      <c r="B92" s="2278" t="s">
        <v>895</v>
      </c>
      <c r="C92" s="2279"/>
      <c r="D92" s="2274" t="s">
        <v>1622</v>
      </c>
      <c r="E92" s="2275"/>
      <c r="F92" s="2276">
        <v>7.4999999999999997E-2</v>
      </c>
      <c r="G92" s="2277" t="s">
        <v>17</v>
      </c>
      <c r="H92" s="2271">
        <f t="shared" si="13"/>
        <v>1.32E-2</v>
      </c>
      <c r="I92" s="2277">
        <f t="shared" si="10"/>
        <v>5.7815999999999999E-2</v>
      </c>
      <c r="J92" s="2277">
        <f t="shared" si="12"/>
        <v>1.6631720233333334E-3</v>
      </c>
      <c r="K92" s="2277">
        <f t="shared" si="11"/>
        <v>5.9874807221264627E-3</v>
      </c>
      <c r="L92" s="2249" t="s">
        <v>105</v>
      </c>
      <c r="M92" s="2293"/>
    </row>
    <row r="93" spans="1:13" ht="15.5">
      <c r="A93" s="2094"/>
      <c r="B93" s="2280" t="s">
        <v>1639</v>
      </c>
      <c r="C93" s="2281"/>
      <c r="D93" s="2282" t="s">
        <v>1622</v>
      </c>
      <c r="E93" s="2283"/>
      <c r="F93" s="2276">
        <v>1.8</v>
      </c>
      <c r="G93" s="2277" t="s">
        <v>17</v>
      </c>
      <c r="H93" s="2271">
        <f t="shared" si="13"/>
        <v>0.31680000000000003</v>
      </c>
      <c r="I93" s="2276">
        <f t="shared" si="10"/>
        <v>1.3875840000000002</v>
      </c>
      <c r="J93" s="2276">
        <f t="shared" si="12"/>
        <v>3.9916128560000007E-2</v>
      </c>
      <c r="K93" s="2276">
        <f t="shared" si="11"/>
        <v>0.1436995373310351</v>
      </c>
      <c r="L93" s="2284" t="s">
        <v>105</v>
      </c>
      <c r="M93" s="2090"/>
    </row>
    <row r="94" spans="1:13" ht="15.5">
      <c r="A94" s="2094"/>
      <c r="B94" s="2278" t="s">
        <v>1640</v>
      </c>
      <c r="C94" s="2279"/>
      <c r="D94" s="2274" t="s">
        <v>1622</v>
      </c>
      <c r="E94" s="2275"/>
      <c r="F94" s="2276">
        <v>1.7999999999999999E-6</v>
      </c>
      <c r="G94" s="2277" t="s">
        <v>17</v>
      </c>
      <c r="H94" s="2271">
        <f t="shared" si="13"/>
        <v>3.1679999999999998E-7</v>
      </c>
      <c r="I94" s="2277">
        <f t="shared" si="10"/>
        <v>1.3875839999999998E-6</v>
      </c>
      <c r="J94" s="2277">
        <f t="shared" si="12"/>
        <v>3.9916128560000003E-8</v>
      </c>
      <c r="K94" s="2277">
        <f t="shared" si="11"/>
        <v>1.436995373310351E-7</v>
      </c>
      <c r="L94" s="2249" t="s">
        <v>1625</v>
      </c>
      <c r="M94" s="2090"/>
    </row>
    <row r="95" spans="1:13" ht="15.5">
      <c r="A95" s="2094"/>
      <c r="B95" s="2278" t="s">
        <v>1612</v>
      </c>
      <c r="C95" s="2279"/>
      <c r="D95" s="2274" t="s">
        <v>1622</v>
      </c>
      <c r="E95" s="2275"/>
      <c r="F95" s="2276">
        <v>6.0999999999999997E-4</v>
      </c>
      <c r="G95" s="2277" t="s">
        <v>17</v>
      </c>
      <c r="H95" s="2271">
        <f t="shared" si="13"/>
        <v>1.0736E-4</v>
      </c>
      <c r="I95" s="2277">
        <f t="shared" si="10"/>
        <v>4.7023680000000002E-4</v>
      </c>
      <c r="J95" s="2277">
        <f t="shared" si="12"/>
        <v>1.3527132456444445E-5</v>
      </c>
      <c r="K95" s="2277">
        <f t="shared" si="11"/>
        <v>4.8698176539961896E-5</v>
      </c>
      <c r="L95" s="2249" t="s">
        <v>105</v>
      </c>
      <c r="M95" s="2090"/>
    </row>
    <row r="96" spans="1:13" ht="15.5">
      <c r="A96" s="2094"/>
      <c r="B96" s="2278" t="s">
        <v>1641</v>
      </c>
      <c r="C96" s="2279"/>
      <c r="D96" s="2274" t="s">
        <v>1622</v>
      </c>
      <c r="E96" s="2275"/>
      <c r="F96" s="2276">
        <v>1.7E-5</v>
      </c>
      <c r="G96" s="2277" t="s">
        <v>17</v>
      </c>
      <c r="H96" s="2271">
        <f t="shared" si="13"/>
        <v>2.9919999999999999E-6</v>
      </c>
      <c r="I96" s="2277">
        <f t="shared" si="10"/>
        <v>1.310496E-5</v>
      </c>
      <c r="J96" s="2277">
        <f t="shared" si="12"/>
        <v>3.7698565862222221E-7</v>
      </c>
      <c r="K96" s="2277">
        <f t="shared" si="11"/>
        <v>1.3571622970153315E-6</v>
      </c>
      <c r="L96" s="2249" t="s">
        <v>1625</v>
      </c>
      <c r="M96" s="2090"/>
    </row>
    <row r="97" spans="1:13" ht="15.5">
      <c r="A97" s="2094"/>
      <c r="B97" s="2278" t="s">
        <v>1642</v>
      </c>
      <c r="C97" s="2285"/>
      <c r="D97" s="2274" t="s">
        <v>1622</v>
      </c>
      <c r="E97" s="2275"/>
      <c r="F97" s="2276">
        <v>5.0000000000000004E-6</v>
      </c>
      <c r="G97" s="2277" t="s">
        <v>17</v>
      </c>
      <c r="H97" s="2271">
        <f t="shared" si="13"/>
        <v>8.8000000000000015E-7</v>
      </c>
      <c r="I97" s="2277">
        <f t="shared" si="10"/>
        <v>3.8544000000000007E-6</v>
      </c>
      <c r="J97" s="2277">
        <f t="shared" si="12"/>
        <v>1.108781348888889E-7</v>
      </c>
      <c r="K97" s="2277">
        <f t="shared" si="11"/>
        <v>3.9916538147509757E-7</v>
      </c>
      <c r="L97" s="2249" t="s">
        <v>1625</v>
      </c>
      <c r="M97" s="2090"/>
    </row>
    <row r="98" spans="1:13" ht="15.5">
      <c r="A98" s="2094"/>
      <c r="B98" s="2278" t="s">
        <v>14</v>
      </c>
      <c r="C98" s="2279"/>
      <c r="D98" s="2274" t="s">
        <v>1622</v>
      </c>
      <c r="E98" s="2275"/>
      <c r="F98" s="2276">
        <v>3.3999999999999998E-3</v>
      </c>
      <c r="G98" s="2277" t="s">
        <v>17</v>
      </c>
      <c r="H98" s="2271">
        <f t="shared" si="13"/>
        <v>5.9839999999999991E-4</v>
      </c>
      <c r="I98" s="2277">
        <f t="shared" si="10"/>
        <v>2.6209919999999999E-3</v>
      </c>
      <c r="J98" s="2277">
        <f t="shared" si="12"/>
        <v>7.5397131724444432E-5</v>
      </c>
      <c r="K98" s="2277">
        <f t="shared" si="11"/>
        <v>2.7143245940306626E-4</v>
      </c>
      <c r="L98" s="2249" t="s">
        <v>105</v>
      </c>
      <c r="M98" s="2090"/>
    </row>
    <row r="99" spans="1:13" ht="15.5">
      <c r="A99" s="2094"/>
      <c r="B99" s="2278" t="s">
        <v>1643</v>
      </c>
      <c r="C99" s="2279"/>
      <c r="D99" s="2274" t="s">
        <v>1644</v>
      </c>
      <c r="E99" s="2275"/>
      <c r="F99" s="2276">
        <v>2.0000000000000001E-4</v>
      </c>
      <c r="G99" s="2277" t="s">
        <v>17</v>
      </c>
      <c r="H99" s="2271">
        <f t="shared" si="13"/>
        <v>3.5200000000000002E-5</v>
      </c>
      <c r="I99" s="2277">
        <f t="shared" si="10"/>
        <v>1.5417600000000001E-4</v>
      </c>
      <c r="J99" s="2277">
        <f t="shared" si="12"/>
        <v>4.4351253955555562E-6</v>
      </c>
      <c r="K99" s="2277">
        <f t="shared" si="11"/>
        <v>1.59666152590039E-5</v>
      </c>
      <c r="L99" s="2249" t="s">
        <v>105</v>
      </c>
      <c r="M99" s="2090"/>
    </row>
    <row r="100" spans="1:13" ht="15.5">
      <c r="A100" s="2094"/>
      <c r="B100" s="2278" t="s">
        <v>1645</v>
      </c>
      <c r="C100" s="2279"/>
      <c r="D100" s="2274" t="s">
        <v>1644</v>
      </c>
      <c r="E100" s="2275"/>
      <c r="F100" s="2276">
        <v>1.2E-5</v>
      </c>
      <c r="G100" s="2277" t="s">
        <v>17</v>
      </c>
      <c r="H100" s="2271">
        <f t="shared" si="13"/>
        <v>2.1120000000000003E-6</v>
      </c>
      <c r="I100" s="2277">
        <f t="shared" si="10"/>
        <v>9.2505600000000014E-6</v>
      </c>
      <c r="J100" s="2277">
        <f t="shared" si="12"/>
        <v>2.6610752373333334E-7</v>
      </c>
      <c r="K100" s="2277">
        <f t="shared" si="11"/>
        <v>9.5799691554023413E-7</v>
      </c>
      <c r="L100" s="2249" t="s">
        <v>105</v>
      </c>
      <c r="M100" s="2090"/>
    </row>
    <row r="101" spans="1:13" ht="15.5">
      <c r="A101" s="2094"/>
      <c r="B101" s="2278" t="s">
        <v>1646</v>
      </c>
      <c r="C101" s="2279"/>
      <c r="D101" s="2274" t="s">
        <v>1644</v>
      </c>
      <c r="E101" s="2275"/>
      <c r="F101" s="2276">
        <v>1.1000000000000001E-3</v>
      </c>
      <c r="G101" s="2277" t="s">
        <v>17</v>
      </c>
      <c r="H101" s="2271">
        <f t="shared" si="13"/>
        <v>1.9360000000000002E-4</v>
      </c>
      <c r="I101" s="2277">
        <f t="shared" si="10"/>
        <v>8.4796800000000005E-4</v>
      </c>
      <c r="J101" s="2277">
        <f t="shared" si="12"/>
        <v>2.4393189675555561E-5</v>
      </c>
      <c r="K101" s="2277">
        <f t="shared" si="11"/>
        <v>8.7816383924521461E-5</v>
      </c>
      <c r="L101" s="2249" t="s">
        <v>105</v>
      </c>
      <c r="M101" s="2090"/>
    </row>
    <row r="102" spans="1:13" ht="15.5">
      <c r="A102" s="2094"/>
      <c r="B102" s="2278" t="s">
        <v>1647</v>
      </c>
      <c r="C102" s="2279"/>
      <c r="D102" s="2274" t="s">
        <v>1644</v>
      </c>
      <c r="E102" s="2275"/>
      <c r="F102" s="2276">
        <v>1.4E-3</v>
      </c>
      <c r="G102" s="2277" t="s">
        <v>17</v>
      </c>
      <c r="H102" s="2271">
        <f t="shared" si="13"/>
        <v>2.4639999999999997E-4</v>
      </c>
      <c r="I102" s="2277">
        <f t="shared" si="10"/>
        <v>1.0792320000000001E-3</v>
      </c>
      <c r="J102" s="2277">
        <f t="shared" si="12"/>
        <v>3.104587776888889E-5</v>
      </c>
      <c r="K102" s="2277">
        <f t="shared" si="11"/>
        <v>1.1176630681302728E-4</v>
      </c>
      <c r="L102" s="2249" t="s">
        <v>105</v>
      </c>
      <c r="M102" s="2090"/>
    </row>
    <row r="103" spans="1:13" ht="15.5">
      <c r="A103" s="2094"/>
      <c r="B103" s="2278" t="s">
        <v>1648</v>
      </c>
      <c r="C103" s="2279"/>
      <c r="D103" s="2274" t="s">
        <v>1644</v>
      </c>
      <c r="E103" s="2275"/>
      <c r="F103" s="2276">
        <v>8.3999999999999995E-5</v>
      </c>
      <c r="G103" s="2277" t="s">
        <v>17</v>
      </c>
      <c r="H103" s="2271">
        <f t="shared" si="13"/>
        <v>1.4783999999999998E-5</v>
      </c>
      <c r="I103" s="2277">
        <f t="shared" si="10"/>
        <v>6.4753919999999991E-5</v>
      </c>
      <c r="J103" s="2277">
        <f t="shared" si="12"/>
        <v>1.8627526661333332E-6</v>
      </c>
      <c r="K103" s="2277">
        <f t="shared" si="11"/>
        <v>6.7059784087816372E-6</v>
      </c>
      <c r="L103" s="2249" t="s">
        <v>105</v>
      </c>
      <c r="M103" s="2090"/>
    </row>
    <row r="104" spans="1:13" ht="15.5">
      <c r="A104" s="2094"/>
      <c r="B104" s="2278" t="s">
        <v>1649</v>
      </c>
      <c r="C104" s="2279"/>
      <c r="D104" s="2274" t="s">
        <v>1644</v>
      </c>
      <c r="E104" s="2275"/>
      <c r="F104" s="2276">
        <v>3.8000000000000002E-4</v>
      </c>
      <c r="G104" s="2277" t="s">
        <v>17</v>
      </c>
      <c r="H104" s="2271">
        <f t="shared" si="13"/>
        <v>6.6879999999999997E-5</v>
      </c>
      <c r="I104" s="2277">
        <f t="shared" si="10"/>
        <v>2.9293439999999998E-4</v>
      </c>
      <c r="J104" s="2277">
        <f t="shared" si="12"/>
        <v>8.4267382515555554E-6</v>
      </c>
      <c r="K104" s="2277">
        <f t="shared" si="11"/>
        <v>3.033656899210741E-5</v>
      </c>
      <c r="L104" s="2249" t="s">
        <v>105</v>
      </c>
      <c r="M104" s="2090"/>
    </row>
    <row r="105" spans="1:13" ht="15.5">
      <c r="A105" s="2094"/>
      <c r="B105" s="2278" t="s">
        <v>1650</v>
      </c>
      <c r="C105" s="2279"/>
      <c r="D105" s="2274" t="s">
        <v>1644</v>
      </c>
      <c r="E105" s="2275"/>
      <c r="F105" s="2276">
        <v>2.5999999999999998E-4</v>
      </c>
      <c r="G105" s="2277" t="s">
        <v>17</v>
      </c>
      <c r="H105" s="2271">
        <f t="shared" si="13"/>
        <v>4.5759999999999996E-5</v>
      </c>
      <c r="I105" s="2277">
        <f t="shared" si="10"/>
        <v>2.004288E-4</v>
      </c>
      <c r="J105" s="2277">
        <f t="shared" si="12"/>
        <v>5.7656630142222212E-6</v>
      </c>
      <c r="K105" s="2277">
        <f t="shared" si="11"/>
        <v>2.0756599836705069E-5</v>
      </c>
      <c r="L105" s="2249" t="s">
        <v>105</v>
      </c>
      <c r="M105" s="2090"/>
    </row>
    <row r="106" spans="1:13" ht="15.5">
      <c r="A106" s="2094"/>
      <c r="B106" s="2278" t="s">
        <v>1651</v>
      </c>
      <c r="C106" s="2279"/>
      <c r="D106" s="2274" t="s">
        <v>1644</v>
      </c>
      <c r="E106" s="2275"/>
      <c r="F106" s="2276">
        <v>2.0999999999999999E-3</v>
      </c>
      <c r="G106" s="2277" t="s">
        <v>17</v>
      </c>
      <c r="H106" s="2271">
        <f t="shared" si="13"/>
        <v>3.6959999999999998E-4</v>
      </c>
      <c r="I106" s="2277">
        <f t="shared" si="10"/>
        <v>1.6188479999999998E-3</v>
      </c>
      <c r="J106" s="2277">
        <f t="shared" si="12"/>
        <v>4.6568816653333335E-5</v>
      </c>
      <c r="K106" s="2277">
        <f t="shared" si="11"/>
        <v>1.6764946021954094E-4</v>
      </c>
      <c r="L106" s="2249" t="s">
        <v>105</v>
      </c>
      <c r="M106" s="2090"/>
    </row>
    <row r="107" spans="1:13" ht="16" thickBot="1">
      <c r="A107" s="2094"/>
      <c r="B107" s="2286" t="s">
        <v>1652</v>
      </c>
      <c r="C107" s="2287"/>
      <c r="D107" s="2288" t="s">
        <v>1644</v>
      </c>
      <c r="E107" s="2289"/>
      <c r="F107" s="2290">
        <v>2.4000000000000001E-5</v>
      </c>
      <c r="G107" s="2291" t="s">
        <v>17</v>
      </c>
      <c r="H107" s="2291">
        <f t="shared" si="13"/>
        <v>4.2240000000000006E-6</v>
      </c>
      <c r="I107" s="2291">
        <f t="shared" si="10"/>
        <v>1.8501120000000003E-5</v>
      </c>
      <c r="J107" s="2291">
        <f t="shared" si="12"/>
        <v>5.3221504746666668E-7</v>
      </c>
      <c r="K107" s="2291">
        <f t="shared" si="11"/>
        <v>1.9159938310804683E-6</v>
      </c>
      <c r="L107" s="2262"/>
      <c r="M107" s="2090"/>
    </row>
    <row r="108" spans="1:13" ht="16" thickBot="1">
      <c r="A108" s="2094"/>
      <c r="B108" s="2322"/>
      <c r="C108" s="2322"/>
      <c r="D108" s="2322"/>
      <c r="E108" s="2322"/>
      <c r="F108" s="2322"/>
      <c r="G108" s="2322"/>
      <c r="H108" s="2336"/>
      <c r="I108" s="2336"/>
      <c r="J108" s="2322"/>
      <c r="K108" s="2322"/>
      <c r="L108" s="2322"/>
      <c r="M108" s="2090"/>
    </row>
    <row r="109" spans="1:13" ht="15.5">
      <c r="A109" s="2094"/>
      <c r="B109" s="2314" t="s">
        <v>521</v>
      </c>
      <c r="C109" s="2315"/>
      <c r="D109" s="2315"/>
      <c r="E109" s="2315"/>
      <c r="F109" s="2315"/>
      <c r="G109" s="2315"/>
      <c r="H109" s="2315"/>
      <c r="I109" s="2315"/>
      <c r="J109" s="2315"/>
      <c r="K109" s="2315"/>
      <c r="L109" s="2316"/>
      <c r="M109" s="2090"/>
    </row>
    <row r="110" spans="1:13" ht="15.5">
      <c r="A110" s="2094"/>
      <c r="B110" s="2317" t="s">
        <v>1614</v>
      </c>
      <c r="C110" s="2299"/>
      <c r="D110" s="2299"/>
      <c r="E110" s="2299"/>
      <c r="F110" s="2299"/>
      <c r="G110" s="2299"/>
      <c r="H110" s="2299"/>
      <c r="I110" s="2299"/>
      <c r="J110" s="2299"/>
      <c r="K110" s="2299"/>
      <c r="L110" s="2300"/>
      <c r="M110" s="2090"/>
    </row>
    <row r="111" spans="1:13" ht="15.5">
      <c r="A111" s="2094"/>
      <c r="B111" s="2318" t="s">
        <v>1653</v>
      </c>
      <c r="C111" s="2299"/>
      <c r="D111" s="2299"/>
      <c r="E111" s="2299"/>
      <c r="F111" s="2299"/>
      <c r="G111" s="2299"/>
      <c r="H111" s="2299"/>
      <c r="I111" s="2299"/>
      <c r="J111" s="2299"/>
      <c r="K111" s="2299"/>
      <c r="L111" s="2300"/>
      <c r="M111" s="2090"/>
    </row>
    <row r="112" spans="1:13" ht="15.5">
      <c r="A112" s="2094"/>
      <c r="B112" s="2318" t="s">
        <v>1654</v>
      </c>
      <c r="C112" s="2299"/>
      <c r="D112" s="2299"/>
      <c r="E112" s="2299"/>
      <c r="F112" s="2299"/>
      <c r="G112" s="2299"/>
      <c r="H112" s="2299"/>
      <c r="I112" s="2299"/>
      <c r="J112" s="2299"/>
      <c r="K112" s="2299"/>
      <c r="L112" s="2300"/>
      <c r="M112" s="2090"/>
    </row>
    <row r="113" spans="1:13" ht="16" thickBot="1">
      <c r="A113" s="2094"/>
      <c r="B113" s="2319" t="s">
        <v>1655</v>
      </c>
      <c r="C113" s="2320"/>
      <c r="D113" s="2320"/>
      <c r="E113" s="2320"/>
      <c r="F113" s="2320"/>
      <c r="G113" s="2320"/>
      <c r="H113" s="2320"/>
      <c r="I113" s="2320"/>
      <c r="J113" s="2320"/>
      <c r="K113" s="2320"/>
      <c r="L113" s="2321"/>
      <c r="M113" s="2090"/>
    </row>
    <row r="114" spans="1:13" ht="15" thickBot="1">
      <c r="A114" s="2095"/>
      <c r="B114" s="2096"/>
      <c r="C114" s="2096"/>
      <c r="D114" s="2096"/>
      <c r="E114" s="2096"/>
      <c r="F114" s="2096"/>
      <c r="G114" s="2096"/>
      <c r="H114" s="2096"/>
      <c r="I114" s="2096"/>
      <c r="J114" s="2096"/>
      <c r="K114" s="2096"/>
      <c r="L114" s="2096"/>
      <c r="M114" s="2097"/>
    </row>
  </sheetData>
  <mergeCells count="21">
    <mergeCell ref="H18:J18"/>
    <mergeCell ref="D72:E72"/>
    <mergeCell ref="B39:E39"/>
    <mergeCell ref="B27:D27"/>
    <mergeCell ref="B32:E32"/>
    <mergeCell ref="H19:J19"/>
    <mergeCell ref="H20:J20"/>
    <mergeCell ref="H21:J21"/>
    <mergeCell ref="H22:J22"/>
    <mergeCell ref="B70:L70"/>
    <mergeCell ref="D71:G71"/>
    <mergeCell ref="H71:K71"/>
    <mergeCell ref="B47:L47"/>
    <mergeCell ref="D48:G48"/>
    <mergeCell ref="H48:K48"/>
    <mergeCell ref="B2:L2"/>
    <mergeCell ref="B3:L3"/>
    <mergeCell ref="B4:L4"/>
    <mergeCell ref="B7:L7"/>
    <mergeCell ref="C8:G8"/>
    <mergeCell ref="H8:L8"/>
  </mergeCells>
  <printOptions horizontalCentered="1"/>
  <pageMargins left="0.45" right="0.45" top="0.5" bottom="0.5" header="0.3" footer="0.3"/>
  <pageSetup scale="61" fitToHeight="2" orientation="portrait" r:id="rId1"/>
  <headerFooter>
    <oddFooter>&amp;CCalculations: Page &amp;P</oddFooter>
  </headerFooter>
  <rowBreaks count="1" manualBreakCount="1">
    <brk id="67" max="1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4">
    <tabColor theme="3" tint="-0.249977111117893"/>
    <pageSetUpPr fitToPage="1"/>
  </sheetPr>
  <dimension ref="A1:J47"/>
  <sheetViews>
    <sheetView view="pageBreakPreview" zoomScale="70" zoomScaleNormal="85" zoomScaleSheetLayoutView="70" workbookViewId="0">
      <selection activeCell="E19" sqref="E19:R19"/>
    </sheetView>
  </sheetViews>
  <sheetFormatPr defaultColWidth="9.36328125" defaultRowHeight="13"/>
  <cols>
    <col min="1" max="1" width="3.54296875" style="520" customWidth="1"/>
    <col min="2" max="2" width="34.6328125" style="522" customWidth="1"/>
    <col min="3" max="3" width="16" style="1030" customWidth="1"/>
    <col min="4" max="4" width="12.453125" style="522" customWidth="1"/>
    <col min="5" max="5" width="9.6328125" style="522" customWidth="1"/>
    <col min="6" max="6" width="11.6328125" style="522" customWidth="1"/>
    <col min="7" max="7" width="11.453125" style="522" customWidth="1"/>
    <col min="8" max="8" width="15.54296875" style="522" customWidth="1"/>
    <col min="9" max="9" width="20.453125" style="522" customWidth="1"/>
    <col min="10" max="10" width="3.54296875" style="522" customWidth="1"/>
    <col min="11" max="16384" width="9.36328125" style="522"/>
  </cols>
  <sheetData>
    <row r="1" spans="1:10" s="520" customFormat="1" ht="13.5" thickBot="1">
      <c r="A1" s="517"/>
      <c r="B1" s="518"/>
      <c r="C1" s="518"/>
      <c r="D1" s="518"/>
      <c r="E1" s="518"/>
      <c r="F1" s="518"/>
      <c r="G1" s="518"/>
      <c r="H1" s="518"/>
      <c r="I1" s="518"/>
      <c r="J1" s="519"/>
    </row>
    <row r="2" spans="1:10" ht="21" customHeight="1">
      <c r="A2" s="521"/>
      <c r="B2" s="4542" t="str">
        <f>'Summary-Co'!B3</f>
        <v>XTO ENERGY INC.</v>
      </c>
      <c r="C2" s="4543"/>
      <c r="D2" s="4543"/>
      <c r="E2" s="4543"/>
      <c r="F2" s="4543"/>
      <c r="G2" s="4543"/>
      <c r="H2" s="4543"/>
      <c r="I2" s="4544"/>
      <c r="J2" s="51"/>
    </row>
    <row r="3" spans="1:10" ht="21" customHeight="1">
      <c r="A3" s="521"/>
      <c r="B3" s="4545" t="str">
        <f>'Summary-Co'!B4</f>
        <v>HUSKY CDP</v>
      </c>
      <c r="C3" s="4546"/>
      <c r="D3" s="4546"/>
      <c r="E3" s="4546"/>
      <c r="F3" s="4546"/>
      <c r="G3" s="4546"/>
      <c r="H3" s="4546"/>
      <c r="I3" s="4547"/>
      <c r="J3" s="51"/>
    </row>
    <row r="4" spans="1:10" ht="21" customHeight="1" thickBot="1">
      <c r="A4" s="521"/>
      <c r="B4" s="4548" t="s">
        <v>2010</v>
      </c>
      <c r="C4" s="4549"/>
      <c r="D4" s="4549"/>
      <c r="E4" s="4549"/>
      <c r="F4" s="4549"/>
      <c r="G4" s="4549"/>
      <c r="H4" s="4549"/>
      <c r="I4" s="4550"/>
      <c r="J4" s="51"/>
    </row>
    <row r="5" spans="1:10" ht="12" customHeight="1" thickBot="1">
      <c r="A5" s="521"/>
      <c r="B5" s="1917"/>
      <c r="C5" s="1917"/>
      <c r="D5" s="1917"/>
      <c r="E5" s="1917"/>
      <c r="F5" s="1917"/>
      <c r="G5" s="1917"/>
      <c r="H5" s="1917"/>
      <c r="I5" s="1917"/>
      <c r="J5" s="51"/>
    </row>
    <row r="6" spans="1:10" ht="18">
      <c r="A6" s="524"/>
      <c r="B6" s="525"/>
      <c r="C6" s="2666"/>
      <c r="D6" s="2664"/>
      <c r="E6" s="2664"/>
      <c r="F6" s="2664"/>
      <c r="G6" s="2664"/>
      <c r="H6" s="2664"/>
      <c r="I6" s="2665"/>
      <c r="J6" s="51"/>
    </row>
    <row r="7" spans="1:10" ht="18.5">
      <c r="A7" s="524"/>
      <c r="B7" s="1916" t="s">
        <v>562</v>
      </c>
      <c r="C7" s="2874" t="s">
        <v>1925</v>
      </c>
      <c r="D7" s="2875"/>
      <c r="E7" s="2875"/>
      <c r="F7" s="2875"/>
      <c r="G7" s="2875"/>
      <c r="H7" s="2875"/>
      <c r="I7" s="2876"/>
      <c r="J7" s="51"/>
    </row>
    <row r="8" spans="1:10" ht="18.5">
      <c r="A8" s="521"/>
      <c r="B8" s="1916" t="s">
        <v>563</v>
      </c>
      <c r="C8" s="2877" t="s">
        <v>1342</v>
      </c>
      <c r="D8" s="2875"/>
      <c r="E8" s="2875"/>
      <c r="F8" s="2875"/>
      <c r="G8" s="2875"/>
      <c r="H8" s="2875"/>
      <c r="I8" s="2876"/>
      <c r="J8" s="51"/>
    </row>
    <row r="9" spans="1:10" ht="18.5">
      <c r="A9" s="521"/>
      <c r="B9" s="1916"/>
      <c r="C9" s="2877"/>
      <c r="D9" s="2875"/>
      <c r="E9" s="2875"/>
      <c r="F9" s="2875"/>
      <c r="G9" s="2875"/>
      <c r="H9" s="2875"/>
      <c r="I9" s="2876"/>
      <c r="J9" s="51"/>
    </row>
    <row r="10" spans="1:10" ht="18.5">
      <c r="A10" s="521"/>
      <c r="B10" s="1916"/>
      <c r="C10" s="2878"/>
      <c r="D10" s="2875"/>
      <c r="E10" s="2875"/>
      <c r="F10" s="2875"/>
      <c r="G10" s="2875"/>
      <c r="H10" s="2875"/>
      <c r="I10" s="2876"/>
      <c r="J10" s="51"/>
    </row>
    <row r="11" spans="1:10" ht="18.5">
      <c r="A11" s="521"/>
      <c r="B11" s="1916" t="s">
        <v>564</v>
      </c>
      <c r="C11" s="2878"/>
      <c r="D11" s="2878"/>
      <c r="E11" s="2875"/>
      <c r="F11" s="2875"/>
      <c r="G11" s="2875"/>
      <c r="H11" s="2875"/>
      <c r="I11" s="2876"/>
      <c r="J11" s="51"/>
    </row>
    <row r="12" spans="1:10" ht="18.5">
      <c r="A12" s="521"/>
      <c r="B12" s="1916" t="s">
        <v>565</v>
      </c>
      <c r="C12" s="2879">
        <f>'Cogen VOC, HAPs'!F23+'Cogen VOC, HAPs'!F24</f>
        <v>1061.193</v>
      </c>
      <c r="D12" s="2875" t="s">
        <v>566</v>
      </c>
      <c r="E12" s="2875"/>
      <c r="F12" s="2875" t="s">
        <v>1341</v>
      </c>
      <c r="G12" s="2875"/>
      <c r="H12" s="2875"/>
      <c r="I12" s="2876"/>
      <c r="J12" s="51"/>
    </row>
    <row r="13" spans="1:10" ht="18.5">
      <c r="A13" s="521"/>
      <c r="B13" s="1916" t="s">
        <v>567</v>
      </c>
      <c r="C13" s="2880">
        <v>850</v>
      </c>
      <c r="D13" s="2875" t="s">
        <v>568</v>
      </c>
      <c r="E13" s="2875"/>
      <c r="F13" s="2875" t="s">
        <v>195</v>
      </c>
      <c r="G13" s="2875"/>
      <c r="H13" s="2875"/>
      <c r="I13" s="2881"/>
      <c r="J13" s="51"/>
    </row>
    <row r="14" spans="1:10" ht="18.5">
      <c r="A14" s="521"/>
      <c r="B14" s="1916" t="s">
        <v>569</v>
      </c>
      <c r="C14" s="2882">
        <f>C12*1000000/C13</f>
        <v>1248462.3529411764</v>
      </c>
      <c r="D14" s="2875" t="s">
        <v>570</v>
      </c>
      <c r="E14" s="2875"/>
      <c r="F14" s="2875" t="s">
        <v>571</v>
      </c>
      <c r="G14" s="2875"/>
      <c r="H14" s="2875"/>
      <c r="I14" s="2883"/>
      <c r="J14" s="51"/>
    </row>
    <row r="15" spans="1:10" ht="18.5">
      <c r="A15" s="521"/>
      <c r="B15" s="1916" t="s">
        <v>572</v>
      </c>
      <c r="C15" s="2882">
        <f>C14*8760/10^6</f>
        <v>10936.530211764706</v>
      </c>
      <c r="D15" s="2875" t="s">
        <v>573</v>
      </c>
      <c r="E15" s="2875"/>
      <c r="F15" s="2875" t="s">
        <v>574</v>
      </c>
      <c r="G15" s="2875"/>
      <c r="H15" s="2875"/>
      <c r="I15" s="2876"/>
      <c r="J15" s="51"/>
    </row>
    <row r="16" spans="1:10" ht="18.5">
      <c r="A16" s="521"/>
      <c r="B16" s="1916" t="s">
        <v>1892</v>
      </c>
      <c r="C16" s="2880">
        <v>8760</v>
      </c>
      <c r="D16" s="2875" t="s">
        <v>1893</v>
      </c>
      <c r="E16" s="2875"/>
      <c r="F16" s="2875"/>
      <c r="G16" s="2875"/>
      <c r="H16" s="2875"/>
      <c r="I16" s="2876"/>
      <c r="J16" s="51"/>
    </row>
    <row r="17" spans="1:10" ht="18.5">
      <c r="A17" s="521"/>
      <c r="B17" s="1916"/>
      <c r="C17" s="2878"/>
      <c r="D17" s="2875"/>
      <c r="E17" s="2875"/>
      <c r="F17" s="2875"/>
      <c r="G17" s="2875"/>
      <c r="H17" s="2875"/>
      <c r="I17" s="2876"/>
      <c r="J17" s="51"/>
    </row>
    <row r="18" spans="1:10" ht="18.5">
      <c r="A18" s="521"/>
      <c r="B18" s="1916" t="s">
        <v>575</v>
      </c>
      <c r="C18" s="2878"/>
      <c r="D18" s="2875"/>
      <c r="E18" s="2875"/>
      <c r="F18" s="2875"/>
      <c r="G18" s="2875"/>
      <c r="H18" s="2875"/>
      <c r="I18" s="2876"/>
      <c r="J18" s="51"/>
    </row>
    <row r="19" spans="1:10" ht="18.5">
      <c r="A19" s="521"/>
      <c r="B19" s="1916" t="s">
        <v>576</v>
      </c>
      <c r="C19" s="2884">
        <f>C12*1000</f>
        <v>1061193</v>
      </c>
      <c r="D19" s="2875" t="s">
        <v>577</v>
      </c>
      <c r="E19" s="2875"/>
      <c r="F19" s="2875"/>
      <c r="G19" s="2875"/>
      <c r="H19" s="2875"/>
      <c r="I19" s="2876"/>
      <c r="J19" s="51"/>
    </row>
    <row r="20" spans="1:10" ht="18.5" hidden="1">
      <c r="A20" s="521"/>
      <c r="B20" s="1916" t="s">
        <v>578</v>
      </c>
      <c r="C20" s="2885">
        <f>'2-H-Co'!F17</f>
        <v>0</v>
      </c>
      <c r="D20" s="2875" t="s">
        <v>299</v>
      </c>
      <c r="E20" s="2875" t="s">
        <v>288</v>
      </c>
      <c r="F20" s="2875"/>
      <c r="G20" s="2875"/>
      <c r="H20" s="2875"/>
      <c r="I20" s="2876"/>
      <c r="J20" s="51"/>
    </row>
    <row r="21" spans="1:10" ht="18.5" hidden="1">
      <c r="A21" s="521"/>
      <c r="B21" s="1916" t="s">
        <v>579</v>
      </c>
      <c r="C21" s="2886">
        <f>'2-H-Co'!K17</f>
        <v>0</v>
      </c>
      <c r="D21" s="2875" t="s">
        <v>289</v>
      </c>
      <c r="E21" s="2875" t="s">
        <v>288</v>
      </c>
      <c r="F21" s="2875"/>
      <c r="G21" s="2875"/>
      <c r="H21" s="2875"/>
      <c r="I21" s="2876"/>
      <c r="J21" s="51"/>
    </row>
    <row r="22" spans="1:10" ht="18.5" hidden="1">
      <c r="A22" s="521"/>
      <c r="B22" s="1916" t="s">
        <v>580</v>
      </c>
      <c r="C22" s="2885">
        <f>'2-H-Co'!E17</f>
        <v>0</v>
      </c>
      <c r="D22" s="2875" t="s">
        <v>289</v>
      </c>
      <c r="E22" s="2875" t="s">
        <v>288</v>
      </c>
      <c r="F22" s="2875"/>
      <c r="G22" s="2875"/>
      <c r="H22" s="2875"/>
      <c r="I22" s="2876"/>
      <c r="J22" s="51"/>
    </row>
    <row r="23" spans="1:10" ht="18.5" hidden="1">
      <c r="A23" s="521"/>
      <c r="B23" s="1916" t="s">
        <v>581</v>
      </c>
      <c r="C23" s="2887">
        <v>51.9</v>
      </c>
      <c r="D23" s="2875" t="s">
        <v>582</v>
      </c>
      <c r="E23" s="2875" t="s">
        <v>288</v>
      </c>
      <c r="F23" s="2875"/>
      <c r="G23" s="2875"/>
      <c r="H23" s="2875"/>
      <c r="I23" s="2876"/>
      <c r="J23" s="51"/>
    </row>
    <row r="24" spans="1:10" ht="18.5">
      <c r="A24" s="521"/>
      <c r="B24" s="1916"/>
      <c r="C24" s="2879"/>
      <c r="D24" s="2875"/>
      <c r="E24" s="2875"/>
      <c r="F24" s="2875"/>
      <c r="G24" s="2875"/>
      <c r="H24" s="2875"/>
      <c r="I24" s="2876"/>
      <c r="J24" s="51"/>
    </row>
    <row r="25" spans="1:10" ht="18.5">
      <c r="A25" s="521"/>
      <c r="B25" s="1916"/>
      <c r="C25" s="2878"/>
      <c r="D25" s="2875"/>
      <c r="E25" s="2875"/>
      <c r="F25" s="2875"/>
      <c r="G25" s="2875"/>
      <c r="H25" s="2875"/>
      <c r="I25" s="2876"/>
      <c r="J25" s="51"/>
    </row>
    <row r="26" spans="1:10" ht="18.5">
      <c r="A26" s="521"/>
      <c r="B26" s="1916" t="s">
        <v>583</v>
      </c>
      <c r="C26" s="2878"/>
      <c r="D26" s="2875"/>
      <c r="E26" s="2875"/>
      <c r="F26" s="2875"/>
      <c r="G26" s="2875"/>
      <c r="H26" s="2875"/>
      <c r="I26" s="2876"/>
      <c r="J26" s="51"/>
    </row>
    <row r="27" spans="1:10" ht="18.5">
      <c r="A27" s="521"/>
      <c r="B27" s="1916" t="s">
        <v>1281</v>
      </c>
      <c r="C27" s="2878"/>
      <c r="D27" s="2875"/>
      <c r="E27" s="2875"/>
      <c r="F27" s="2875"/>
      <c r="G27" s="2875"/>
      <c r="H27" s="2875"/>
      <c r="I27" s="2876"/>
      <c r="J27" s="51"/>
    </row>
    <row r="28" spans="1:10" ht="22" hidden="1">
      <c r="A28" s="521"/>
      <c r="B28" s="1916"/>
      <c r="C28" s="2888" t="s">
        <v>1894</v>
      </c>
      <c r="D28" s="2888" t="s">
        <v>1895</v>
      </c>
      <c r="E28" s="2888" t="s">
        <v>1896</v>
      </c>
      <c r="F28" s="2888" t="s">
        <v>1897</v>
      </c>
      <c r="G28" s="2888" t="s">
        <v>1898</v>
      </c>
      <c r="H28" s="2889"/>
      <c r="I28" s="2890"/>
      <c r="J28" s="51"/>
    </row>
    <row r="29" spans="1:10" ht="18.5" hidden="1">
      <c r="A29" s="521"/>
      <c r="B29" s="1916"/>
      <c r="C29" s="2879">
        <f>100*C13/1020</f>
        <v>83.333333333333329</v>
      </c>
      <c r="D29" s="2879">
        <f>84*C13/1020</f>
        <v>70</v>
      </c>
      <c r="E29" s="2879">
        <f>5.5*C13/1020</f>
        <v>4.583333333333333</v>
      </c>
      <c r="F29" s="2879">
        <f>5/100/7000*64/32*1000000</f>
        <v>14.285714285714286</v>
      </c>
      <c r="G29" s="2879">
        <f>7.6*C13/1020</f>
        <v>6.333333333333333</v>
      </c>
      <c r="H29" s="2875" t="s">
        <v>585</v>
      </c>
      <c r="I29" s="2876"/>
      <c r="J29" s="51"/>
    </row>
    <row r="30" spans="1:10" ht="18.5" hidden="1">
      <c r="A30" s="521"/>
      <c r="B30" s="1916"/>
      <c r="C30" s="2879">
        <f>C29*$C$14/1000000</f>
        <v>104.0385294117647</v>
      </c>
      <c r="D30" s="2879">
        <f>D29*$C$14/1000000</f>
        <v>87.392364705882343</v>
      </c>
      <c r="E30" s="2879">
        <f>E29*$C$14/1000000</f>
        <v>5.7221191176470585</v>
      </c>
      <c r="F30" s="2879">
        <f>F29*$C$14/1000000</f>
        <v>17.835176470588234</v>
      </c>
      <c r="G30" s="2879">
        <f>G29*$C$14/1000000</f>
        <v>7.9069282352941164</v>
      </c>
      <c r="H30" s="2875" t="s">
        <v>22</v>
      </c>
      <c r="I30" s="2876"/>
      <c r="J30" s="51"/>
    </row>
    <row r="31" spans="1:10" ht="18.5" hidden="1">
      <c r="A31" s="521"/>
      <c r="B31" s="1916"/>
      <c r="C31" s="2879">
        <f>4.38*C30</f>
        <v>455.68875882352938</v>
      </c>
      <c r="D31" s="2879">
        <f>4.38*D30</f>
        <v>382.77855741176467</v>
      </c>
      <c r="E31" s="2879">
        <f>4.38*E30</f>
        <v>25.062881735294116</v>
      </c>
      <c r="F31" s="2879">
        <f>4.38*F30</f>
        <v>78.118072941176464</v>
      </c>
      <c r="G31" s="2879">
        <f>4.38*G30</f>
        <v>34.632345670588229</v>
      </c>
      <c r="H31" s="2891" t="s">
        <v>586</v>
      </c>
      <c r="I31" s="2876"/>
      <c r="J31" s="51"/>
    </row>
    <row r="32" spans="1:10" ht="18.5" hidden="1">
      <c r="A32" s="521"/>
      <c r="B32" s="1916"/>
      <c r="C32" s="2878"/>
      <c r="D32" s="2875"/>
      <c r="E32" s="2875"/>
      <c r="F32" s="2875"/>
      <c r="G32" s="2875"/>
      <c r="H32" s="2875"/>
      <c r="I32" s="2876"/>
      <c r="J32" s="51"/>
    </row>
    <row r="33" spans="1:10" ht="21" hidden="1">
      <c r="A33" s="521"/>
      <c r="B33" s="1916"/>
      <c r="C33" s="2888" t="s">
        <v>1899</v>
      </c>
      <c r="D33" s="2889"/>
      <c r="E33" s="2875"/>
      <c r="F33" s="2875"/>
      <c r="G33" s="2875"/>
      <c r="H33" s="2875"/>
      <c r="I33" s="2876"/>
      <c r="J33" s="51"/>
    </row>
    <row r="34" spans="1:10" ht="18.5" hidden="1">
      <c r="A34" s="521"/>
      <c r="B34" s="1916"/>
      <c r="C34" s="2879">
        <f>1.8*C13/1020</f>
        <v>1.5</v>
      </c>
      <c r="D34" s="2875" t="s">
        <v>587</v>
      </c>
      <c r="E34" s="2875"/>
      <c r="F34" s="2875"/>
      <c r="G34" s="2875"/>
      <c r="H34" s="2875"/>
      <c r="I34" s="2876"/>
      <c r="J34" s="51"/>
    </row>
    <row r="35" spans="1:10" ht="18.5" hidden="1">
      <c r="A35" s="521"/>
      <c r="B35" s="1916"/>
      <c r="C35" s="2879">
        <f>C34*C14/1000000</f>
        <v>1.8726935294117646</v>
      </c>
      <c r="D35" s="2875" t="s">
        <v>22</v>
      </c>
      <c r="E35" s="2875"/>
      <c r="F35" s="2875"/>
      <c r="G35" s="2875"/>
      <c r="H35" s="2875"/>
      <c r="I35" s="2876"/>
      <c r="J35" s="51"/>
    </row>
    <row r="36" spans="1:10" ht="18.5" hidden="1">
      <c r="A36" s="521"/>
      <c r="B36" s="1916"/>
      <c r="C36" s="2879">
        <f>C35*4.38</f>
        <v>8.2023976588235286</v>
      </c>
      <c r="D36" s="2891" t="s">
        <v>586</v>
      </c>
      <c r="E36" s="2875"/>
      <c r="F36" s="2875"/>
      <c r="G36" s="2875"/>
      <c r="H36" s="2875"/>
      <c r="I36" s="2876"/>
      <c r="J36" s="51"/>
    </row>
    <row r="37" spans="1:10" ht="18.5" hidden="1">
      <c r="A37" s="521"/>
      <c r="B37" s="1916"/>
      <c r="C37" s="2879"/>
      <c r="D37" s="2891"/>
      <c r="E37" s="2875"/>
      <c r="F37" s="2875"/>
      <c r="G37" s="2875"/>
      <c r="H37" s="2875"/>
      <c r="I37" s="2876"/>
      <c r="J37" s="51"/>
    </row>
    <row r="38" spans="1:10" ht="18.5" hidden="1">
      <c r="A38" s="521"/>
      <c r="B38" s="1916"/>
      <c r="C38" s="2879"/>
      <c r="D38" s="2891"/>
      <c r="E38" s="2875"/>
      <c r="F38" s="2875"/>
      <c r="G38" s="2875"/>
      <c r="H38" s="2875"/>
      <c r="I38" s="2876"/>
      <c r="J38" s="51"/>
    </row>
    <row r="39" spans="1:10" ht="20.5">
      <c r="A39" s="521"/>
      <c r="B39" s="1916"/>
      <c r="C39" s="2878"/>
      <c r="D39" s="2892"/>
      <c r="E39" s="2892" t="s">
        <v>1900</v>
      </c>
      <c r="F39" s="2892"/>
      <c r="G39" s="2892" t="s">
        <v>1901</v>
      </c>
      <c r="H39" s="2892" t="s">
        <v>19</v>
      </c>
      <c r="I39" s="2876"/>
      <c r="J39" s="51"/>
    </row>
    <row r="40" spans="1:10" ht="20.5">
      <c r="A40" s="521"/>
      <c r="B40" s="1916" t="s">
        <v>588</v>
      </c>
      <c r="C40" s="2888" t="s">
        <v>1902</v>
      </c>
      <c r="D40" s="2893" t="s">
        <v>300</v>
      </c>
      <c r="E40" s="2893" t="s">
        <v>1903</v>
      </c>
      <c r="F40" s="2894" t="s">
        <v>1904</v>
      </c>
      <c r="G40" s="2893" t="s">
        <v>1903</v>
      </c>
      <c r="H40" s="2893" t="s">
        <v>1903</v>
      </c>
      <c r="I40" s="2890"/>
      <c r="J40" s="51"/>
    </row>
    <row r="41" spans="1:10" ht="18.5">
      <c r="A41" s="521"/>
      <c r="B41" s="1916"/>
      <c r="C41" s="2879">
        <f>53.06*2.205</f>
        <v>116.99730000000001</v>
      </c>
      <c r="D41" s="2895">
        <f>0.001*2.205</f>
        <v>2.2049999999999999E-3</v>
      </c>
      <c r="E41" s="2895">
        <f>0.001*2.205*25</f>
        <v>5.5125E-2</v>
      </c>
      <c r="F41" s="2896">
        <f>0.0001*2.205</f>
        <v>2.2050000000000002E-4</v>
      </c>
      <c r="G41" s="2895">
        <f>0.0001*2.205*298</f>
        <v>6.5709000000000004E-2</v>
      </c>
      <c r="H41" s="2895"/>
      <c r="I41" s="2876" t="s">
        <v>589</v>
      </c>
      <c r="J41" s="51"/>
    </row>
    <row r="42" spans="1:10" ht="18.5">
      <c r="A42" s="521"/>
      <c r="B42" s="1916"/>
      <c r="C42" s="2879">
        <f>C41*$C$12</f>
        <v>124156.7157789</v>
      </c>
      <c r="D42" s="2895">
        <f>D41*$C$12</f>
        <v>2.339930565</v>
      </c>
      <c r="E42" s="2879">
        <f>E41*$C$12</f>
        <v>58.498264124999999</v>
      </c>
      <c r="F42" s="2895">
        <f>F41*$C$12</f>
        <v>0.23399305650000002</v>
      </c>
      <c r="G42" s="2879">
        <f>G41*$C$12</f>
        <v>69.729930836999998</v>
      </c>
      <c r="H42" s="2879">
        <f>C42+E42+G42</f>
        <v>124284.943973862</v>
      </c>
      <c r="I42" s="2876" t="s">
        <v>22</v>
      </c>
      <c r="J42" s="51"/>
    </row>
    <row r="43" spans="1:10" ht="18.5">
      <c r="A43" s="521"/>
      <c r="B43" s="1916"/>
      <c r="C43" s="2879">
        <f>C42*$C$16/2000</f>
        <v>543806.41511158203</v>
      </c>
      <c r="D43" s="2879">
        <f>D42*$C$16/2000</f>
        <v>10.248895874700001</v>
      </c>
      <c r="E43" s="2879">
        <f>E42*$C$16/2000</f>
        <v>256.22239686749998</v>
      </c>
      <c r="F43" s="2879">
        <f>F42*$C$16/2000</f>
        <v>1.0248895874700001</v>
      </c>
      <c r="G43" s="2879">
        <f>G42*$C$16/2000</f>
        <v>305.41709706606002</v>
      </c>
      <c r="H43" s="2897">
        <f>C43+E43+G43</f>
        <v>544368.05460551556</v>
      </c>
      <c r="I43" s="2898" t="s">
        <v>586</v>
      </c>
      <c r="J43" s="51"/>
    </row>
    <row r="44" spans="1:10">
      <c r="A44" s="521"/>
      <c r="B44" s="1786"/>
      <c r="C44" s="1783"/>
      <c r="D44" s="1784"/>
      <c r="E44" s="1784"/>
      <c r="F44" s="1784"/>
      <c r="G44" s="1784"/>
      <c r="H44" s="1784"/>
      <c r="I44" s="1785"/>
      <c r="J44" s="51"/>
    </row>
    <row r="45" spans="1:10" s="520" customFormat="1">
      <c r="A45" s="521"/>
      <c r="B45" s="1787">
        <v>1</v>
      </c>
      <c r="C45" s="1788" t="s">
        <v>590</v>
      </c>
      <c r="D45" s="1789"/>
      <c r="E45" s="1789"/>
      <c r="F45" s="1789"/>
      <c r="G45" s="1790"/>
      <c r="H45" s="1790"/>
      <c r="I45" s="1791"/>
      <c r="J45" s="535"/>
    </row>
    <row r="46" spans="1:10" ht="13.5" thickBot="1">
      <c r="A46" s="521"/>
      <c r="B46" s="1792"/>
      <c r="C46" s="1793"/>
      <c r="D46" s="1794"/>
      <c r="E46" s="1794"/>
      <c r="F46" s="1794"/>
      <c r="G46" s="1794"/>
      <c r="H46" s="1794"/>
      <c r="I46" s="1795"/>
      <c r="J46" s="51"/>
    </row>
    <row r="47" spans="1:10" ht="13.5" thickBot="1">
      <c r="A47" s="540"/>
      <c r="B47" s="541"/>
      <c r="C47" s="542"/>
      <c r="D47" s="541"/>
      <c r="E47" s="541"/>
      <c r="F47" s="541"/>
      <c r="G47" s="541"/>
      <c r="H47" s="541"/>
      <c r="I47" s="541"/>
      <c r="J47" s="543"/>
    </row>
  </sheetData>
  <mergeCells count="3">
    <mergeCell ref="B2:I2"/>
    <mergeCell ref="B3:I3"/>
    <mergeCell ref="B4:I4"/>
  </mergeCells>
  <pageMargins left="0.7" right="0.7" top="0.75" bottom="0.75" header="0.3" footer="0.3"/>
  <pageSetup scale="65" orientation="portrait" r:id="rId1"/>
  <headerFooter>
    <oddFooter>&amp;CCalculations: 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tabColor rgb="FF00B050"/>
    <pageSetUpPr fitToPage="1"/>
  </sheetPr>
  <dimension ref="A1:AG28"/>
  <sheetViews>
    <sheetView topLeftCell="A12" zoomScale="85" zoomScaleNormal="85" workbookViewId="0">
      <selection activeCell="K13" sqref="K13"/>
    </sheetView>
  </sheetViews>
  <sheetFormatPr defaultColWidth="9.36328125" defaultRowHeight="13"/>
  <cols>
    <col min="1" max="1" width="2.54296875" style="2740" customWidth="1"/>
    <col min="2" max="2" width="9.6328125" style="2740" customWidth="1"/>
    <col min="3" max="3" width="18.6328125" style="2740" customWidth="1"/>
    <col min="4" max="4" width="8.6328125" style="2740" customWidth="1"/>
    <col min="5" max="5" width="7.36328125" style="2740" customWidth="1"/>
    <col min="6" max="6" width="13.6328125" style="2740" customWidth="1"/>
    <col min="7" max="11" width="7.6328125" style="2740" customWidth="1"/>
    <col min="12" max="14" width="8.453125" style="2740" customWidth="1"/>
    <col min="15" max="19" width="7.6328125" style="2740" customWidth="1"/>
    <col min="20" max="23" width="8" style="2740" customWidth="1"/>
    <col min="24" max="28" width="7.6328125" style="2740" customWidth="1"/>
    <col min="29" max="32" width="8" style="2740" customWidth="1"/>
    <col min="33" max="33" width="2.54296875" style="2740" customWidth="1"/>
    <col min="34" max="35" width="9.36328125" style="2740"/>
    <col min="36" max="36" width="10" style="2740" bestFit="1" customWidth="1"/>
    <col min="37" max="16384" width="9.36328125" style="2740"/>
  </cols>
  <sheetData>
    <row r="1" spans="1:33" ht="13.5" thickBot="1">
      <c r="A1" s="2737"/>
      <c r="B1" s="2738"/>
      <c r="C1" s="2738"/>
      <c r="D1" s="2738"/>
      <c r="E1" s="2738"/>
      <c r="F1" s="2738"/>
      <c r="G1" s="2738"/>
      <c r="H1" s="2738"/>
      <c r="I1" s="2738"/>
      <c r="J1" s="2738"/>
      <c r="K1" s="2738"/>
      <c r="L1" s="2738"/>
      <c r="M1" s="2738"/>
      <c r="N1" s="2738"/>
      <c r="O1" s="2738"/>
      <c r="P1" s="2738"/>
      <c r="Q1" s="2738"/>
      <c r="R1" s="2738"/>
      <c r="S1" s="2738"/>
      <c r="T1" s="2738"/>
      <c r="U1" s="2738"/>
      <c r="V1" s="2738"/>
      <c r="W1" s="2738"/>
      <c r="X1" s="2738"/>
      <c r="Y1" s="2738"/>
      <c r="Z1" s="2738"/>
      <c r="AA1" s="2738"/>
      <c r="AB1" s="2738"/>
      <c r="AC1" s="2738"/>
      <c r="AD1" s="2738"/>
      <c r="AE1" s="2738"/>
      <c r="AF1" s="2738"/>
      <c r="AG1" s="2739"/>
    </row>
    <row r="2" spans="1:33" ht="25.5" customHeight="1">
      <c r="A2" s="2741"/>
      <c r="B2" s="4599" t="str">
        <f>'Controlled Engines'!B2:AA2</f>
        <v>XTO ENERGY INC.</v>
      </c>
      <c r="C2" s="4600"/>
      <c r="D2" s="4600"/>
      <c r="E2" s="4600"/>
      <c r="F2" s="4600"/>
      <c r="G2" s="4600"/>
      <c r="H2" s="4600"/>
      <c r="I2" s="4600"/>
      <c r="J2" s="4600"/>
      <c r="K2" s="4600"/>
      <c r="L2" s="4600"/>
      <c r="M2" s="4600"/>
      <c r="N2" s="4600"/>
      <c r="O2" s="4600"/>
      <c r="P2" s="4600"/>
      <c r="Q2" s="4600"/>
      <c r="R2" s="4600"/>
      <c r="S2" s="4600"/>
      <c r="T2" s="4600"/>
      <c r="U2" s="4600"/>
      <c r="V2" s="4600"/>
      <c r="W2" s="4600"/>
      <c r="X2" s="4600"/>
      <c r="Y2" s="4600"/>
      <c r="Z2" s="4600"/>
      <c r="AA2" s="4600"/>
      <c r="AB2" s="4600"/>
      <c r="AC2" s="4600"/>
      <c r="AD2" s="4600"/>
      <c r="AE2" s="4600"/>
      <c r="AF2" s="4601"/>
      <c r="AG2" s="2742"/>
    </row>
    <row r="3" spans="1:33" ht="25.5" customHeight="1">
      <c r="A3" s="2741"/>
      <c r="B3" s="4602" t="str">
        <f>'Controlled Engines'!B3:AA3</f>
        <v>HUSKY CDP</v>
      </c>
      <c r="C3" s="4603"/>
      <c r="D3" s="4603"/>
      <c r="E3" s="4603"/>
      <c r="F3" s="4603"/>
      <c r="G3" s="4603"/>
      <c r="H3" s="4603"/>
      <c r="I3" s="4603"/>
      <c r="J3" s="4603"/>
      <c r="K3" s="4603"/>
      <c r="L3" s="4603"/>
      <c r="M3" s="4603"/>
      <c r="N3" s="4603"/>
      <c r="O3" s="4603"/>
      <c r="P3" s="4603"/>
      <c r="Q3" s="4603"/>
      <c r="R3" s="4603"/>
      <c r="S3" s="4603"/>
      <c r="T3" s="4603"/>
      <c r="U3" s="4603"/>
      <c r="V3" s="4603"/>
      <c r="W3" s="4603"/>
      <c r="X3" s="4603"/>
      <c r="Y3" s="4603"/>
      <c r="Z3" s="4603"/>
      <c r="AA3" s="4603"/>
      <c r="AB3" s="4603"/>
      <c r="AC3" s="4603"/>
      <c r="AD3" s="4603"/>
      <c r="AE3" s="4603"/>
      <c r="AF3" s="4604"/>
      <c r="AG3" s="2742"/>
    </row>
    <row r="4" spans="1:33" ht="25.5" customHeight="1" thickBot="1">
      <c r="A4" s="2741"/>
      <c r="B4" s="4605" t="str">
        <f>'Controlled Engines'!B4:AC4</f>
        <v>GENERATOR ENGINES</v>
      </c>
      <c r="C4" s="4606"/>
      <c r="D4" s="4606"/>
      <c r="E4" s="4606"/>
      <c r="F4" s="4606"/>
      <c r="G4" s="4606"/>
      <c r="H4" s="4606"/>
      <c r="I4" s="4606"/>
      <c r="J4" s="4606"/>
      <c r="K4" s="4606"/>
      <c r="L4" s="4606"/>
      <c r="M4" s="4606"/>
      <c r="N4" s="4606"/>
      <c r="O4" s="4606"/>
      <c r="P4" s="4606"/>
      <c r="Q4" s="4606"/>
      <c r="R4" s="4606"/>
      <c r="S4" s="4606"/>
      <c r="T4" s="4606"/>
      <c r="U4" s="4606"/>
      <c r="V4" s="4606"/>
      <c r="W4" s="4606"/>
      <c r="X4" s="4606"/>
      <c r="Y4" s="4606"/>
      <c r="Z4" s="4606"/>
      <c r="AA4" s="4606"/>
      <c r="AB4" s="4606"/>
      <c r="AC4" s="4606"/>
      <c r="AD4" s="4606"/>
      <c r="AE4" s="4606"/>
      <c r="AF4" s="4607"/>
      <c r="AG4" s="2742"/>
    </row>
    <row r="5" spans="1:33" ht="13.5" thickBot="1">
      <c r="A5" s="2743"/>
      <c r="B5" s="2744"/>
      <c r="C5" s="2744"/>
      <c r="D5" s="2744"/>
      <c r="E5" s="2744"/>
      <c r="F5" s="2744"/>
      <c r="G5" s="2745"/>
      <c r="H5" s="2745"/>
      <c r="I5" s="2745"/>
      <c r="J5" s="2745"/>
      <c r="K5" s="2744"/>
      <c r="L5" s="2744"/>
      <c r="M5" s="2744"/>
      <c r="N5" s="2744"/>
      <c r="O5" s="2744"/>
      <c r="P5" s="2744"/>
      <c r="Q5" s="2744"/>
      <c r="R5" s="2744"/>
      <c r="S5" s="2744"/>
      <c r="T5" s="2744"/>
      <c r="U5" s="2744"/>
      <c r="V5" s="2744"/>
      <c r="W5" s="2744"/>
      <c r="X5" s="2744"/>
      <c r="Y5" s="2744"/>
      <c r="Z5" s="2744"/>
      <c r="AA5" s="2744"/>
      <c r="AB5" s="2744"/>
      <c r="AC5" s="2744"/>
      <c r="AD5" s="2744"/>
      <c r="AE5" s="2744"/>
      <c r="AF5" s="2744"/>
      <c r="AG5" s="2746"/>
    </row>
    <row r="6" spans="1:33" ht="24.75" customHeight="1">
      <c r="A6" s="2747"/>
      <c r="B6" s="2747"/>
      <c r="C6" s="2747"/>
      <c r="D6" s="2747"/>
      <c r="E6" s="2747"/>
      <c r="F6" s="2747"/>
      <c r="G6" s="2748"/>
      <c r="H6" s="2748"/>
      <c r="I6" s="2748"/>
      <c r="J6" s="2748"/>
      <c r="K6" s="2747"/>
      <c r="L6" s="2747"/>
      <c r="M6" s="2747"/>
      <c r="N6" s="2747"/>
      <c r="O6" s="2747"/>
      <c r="P6" s="2747"/>
      <c r="Q6" s="2747"/>
      <c r="R6" s="2747"/>
      <c r="S6" s="2747"/>
      <c r="T6" s="2747"/>
      <c r="U6" s="2747"/>
      <c r="V6" s="2747"/>
      <c r="W6" s="2747"/>
      <c r="X6" s="2747"/>
      <c r="Y6" s="2747"/>
      <c r="Z6" s="2747"/>
      <c r="AA6" s="2747"/>
      <c r="AB6" s="2747"/>
      <c r="AC6" s="2747"/>
      <c r="AD6" s="2747"/>
      <c r="AE6" s="2747"/>
      <c r="AF6" s="2747"/>
      <c r="AG6" s="2747"/>
    </row>
    <row r="7" spans="1:33" ht="31.5" customHeight="1" thickBot="1">
      <c r="A7" s="2747"/>
      <c r="B7" s="2747"/>
      <c r="C7" s="2747"/>
      <c r="D7" s="2747"/>
      <c r="E7" s="2747"/>
      <c r="F7" s="2747"/>
      <c r="G7" s="2748"/>
      <c r="H7" s="2748"/>
      <c r="I7" s="2748"/>
      <c r="J7" s="2748"/>
      <c r="K7" s="2747"/>
      <c r="L7" s="2747"/>
      <c r="M7" s="2747"/>
      <c r="N7" s="2747"/>
      <c r="O7" s="2747"/>
      <c r="P7" s="2747"/>
      <c r="Q7" s="2747"/>
      <c r="R7" s="2747"/>
      <c r="S7" s="2747"/>
      <c r="T7" s="2747"/>
      <c r="U7" s="2747"/>
      <c r="V7" s="2747"/>
      <c r="W7" s="2747"/>
      <c r="X7" s="2747"/>
      <c r="Y7" s="2747"/>
      <c r="Z7" s="2747"/>
      <c r="AA7" s="2747"/>
      <c r="AB7" s="2747"/>
      <c r="AC7" s="2747"/>
      <c r="AD7" s="2747"/>
      <c r="AE7" s="2747"/>
      <c r="AF7" s="2747"/>
      <c r="AG7" s="2747"/>
    </row>
    <row r="8" spans="1:33" ht="36" customHeight="1" thickBot="1">
      <c r="A8" s="4608" t="s">
        <v>1886</v>
      </c>
      <c r="B8" s="4609"/>
      <c r="C8" s="4609"/>
      <c r="D8" s="4609"/>
      <c r="E8" s="4609"/>
      <c r="F8" s="4609"/>
      <c r="G8" s="4609"/>
      <c r="H8" s="4609"/>
      <c r="I8" s="4609"/>
      <c r="J8" s="4609"/>
      <c r="K8" s="4609"/>
      <c r="L8" s="4609"/>
      <c r="M8" s="4609"/>
      <c r="N8" s="4609"/>
      <c r="O8" s="4609"/>
      <c r="P8" s="4609"/>
      <c r="Q8" s="4609"/>
      <c r="R8" s="4609"/>
      <c r="S8" s="4609"/>
      <c r="T8" s="4609"/>
      <c r="U8" s="4609"/>
      <c r="V8" s="4609"/>
      <c r="W8" s="4609"/>
      <c r="X8" s="4609"/>
      <c r="Y8" s="4609"/>
      <c r="Z8" s="4609"/>
      <c r="AA8" s="4609"/>
      <c r="AB8" s="4609"/>
      <c r="AC8" s="4609"/>
      <c r="AD8" s="4609"/>
      <c r="AE8" s="4609"/>
      <c r="AF8" s="4609"/>
      <c r="AG8" s="4610"/>
    </row>
    <row r="9" spans="1:33" ht="28.5" customHeight="1" thickBot="1">
      <c r="A9" s="2737"/>
      <c r="B9" s="2738"/>
      <c r="C9" s="2738"/>
      <c r="D9" s="2738"/>
      <c r="E9" s="2738"/>
      <c r="F9" s="2738"/>
      <c r="G9" s="2749"/>
      <c r="H9" s="2749"/>
      <c r="I9" s="2749"/>
      <c r="J9" s="2749"/>
      <c r="K9" s="2738"/>
      <c r="L9" s="2738"/>
      <c r="M9" s="2738"/>
      <c r="N9" s="2738"/>
      <c r="O9" s="2738"/>
      <c r="P9" s="2738"/>
      <c r="Q9" s="2738"/>
      <c r="R9" s="2738"/>
      <c r="S9" s="2738"/>
      <c r="T9" s="2738"/>
      <c r="U9" s="2738"/>
      <c r="V9" s="2738"/>
      <c r="W9" s="2738"/>
      <c r="X9" s="2738"/>
      <c r="Y9" s="2738"/>
      <c r="Z9" s="2738"/>
      <c r="AA9" s="2738"/>
      <c r="AB9" s="2738"/>
      <c r="AC9" s="2738"/>
      <c r="AD9" s="2738"/>
      <c r="AE9" s="2738"/>
      <c r="AF9" s="2738"/>
      <c r="AG9" s="2739"/>
    </row>
    <row r="10" spans="1:33" ht="28.5" customHeight="1" thickBot="1">
      <c r="A10" s="2750"/>
      <c r="B10" s="2751"/>
      <c r="C10" s="2751"/>
      <c r="D10" s="2751"/>
      <c r="E10" s="2751"/>
      <c r="F10" s="2751"/>
      <c r="G10" s="4611" t="s">
        <v>1855</v>
      </c>
      <c r="H10" s="4612"/>
      <c r="I10" s="4612"/>
      <c r="J10" s="4612"/>
      <c r="K10" s="4611" t="s">
        <v>382</v>
      </c>
      <c r="L10" s="4612"/>
      <c r="M10" s="4612"/>
      <c r="N10" s="4613"/>
      <c r="O10" s="2752"/>
      <c r="P10" s="2752"/>
      <c r="Q10" s="2752"/>
      <c r="R10" s="2752"/>
      <c r="S10" s="2752"/>
      <c r="T10" s="2752"/>
      <c r="U10" s="2752"/>
      <c r="V10" s="2752"/>
      <c r="W10" s="2752"/>
      <c r="X10" s="2752"/>
      <c r="Y10" s="2752"/>
      <c r="Z10" s="2752"/>
      <c r="AA10" s="2752"/>
      <c r="AB10" s="2752"/>
      <c r="AC10" s="2752"/>
      <c r="AD10" s="2752"/>
      <c r="AE10" s="2752"/>
      <c r="AF10" s="2752"/>
      <c r="AG10" s="2753"/>
    </row>
    <row r="11" spans="1:33" ht="28.5" customHeight="1" thickBot="1">
      <c r="A11" s="2750"/>
      <c r="B11" s="2754"/>
      <c r="C11" s="2754"/>
      <c r="D11" s="2754"/>
      <c r="E11" s="2754"/>
      <c r="F11" s="2754"/>
      <c r="G11" s="4583" t="s">
        <v>1856</v>
      </c>
      <c r="H11" s="4584"/>
      <c r="I11" s="4584"/>
      <c r="J11" s="4584"/>
      <c r="K11" s="4585" t="s">
        <v>287</v>
      </c>
      <c r="L11" s="4586"/>
      <c r="M11" s="4586"/>
      <c r="N11" s="4587"/>
      <c r="O11" s="4588" t="s">
        <v>22</v>
      </c>
      <c r="P11" s="4589"/>
      <c r="Q11" s="4589"/>
      <c r="R11" s="4589"/>
      <c r="S11" s="4589"/>
      <c r="T11" s="4589"/>
      <c r="U11" s="4589"/>
      <c r="V11" s="4589"/>
      <c r="W11" s="4590"/>
      <c r="X11" s="4588" t="s">
        <v>23</v>
      </c>
      <c r="Y11" s="4589"/>
      <c r="Z11" s="4589"/>
      <c r="AA11" s="4589"/>
      <c r="AB11" s="4589"/>
      <c r="AC11" s="4589"/>
      <c r="AD11" s="4589"/>
      <c r="AE11" s="4589"/>
      <c r="AF11" s="4590"/>
      <c r="AG11" s="2753"/>
    </row>
    <row r="12" spans="1:33" ht="48.75" customHeight="1" thickBot="1">
      <c r="A12" s="2750"/>
      <c r="B12" s="2824" t="s">
        <v>383</v>
      </c>
      <c r="C12" s="2766" t="s">
        <v>53</v>
      </c>
      <c r="D12" s="2825" t="s">
        <v>1857</v>
      </c>
      <c r="E12" s="2757" t="s">
        <v>1858</v>
      </c>
      <c r="F12" s="2758" t="s">
        <v>1938</v>
      </c>
      <c r="G12" s="2759" t="s">
        <v>21</v>
      </c>
      <c r="H12" s="2756" t="s">
        <v>0</v>
      </c>
      <c r="I12" s="2756" t="s">
        <v>1862</v>
      </c>
      <c r="J12" s="2760" t="s">
        <v>384</v>
      </c>
      <c r="K12" s="2759" t="s">
        <v>1863</v>
      </c>
      <c r="L12" s="2760" t="s">
        <v>1864</v>
      </c>
      <c r="M12" s="2757" t="s">
        <v>1639</v>
      </c>
      <c r="N12" s="2758" t="s">
        <v>1865</v>
      </c>
      <c r="O12" s="2759" t="s">
        <v>21</v>
      </c>
      <c r="P12" s="2756" t="s">
        <v>0</v>
      </c>
      <c r="Q12" s="2756" t="s">
        <v>1</v>
      </c>
      <c r="R12" s="2756" t="s">
        <v>384</v>
      </c>
      <c r="S12" s="2756" t="s">
        <v>1866</v>
      </c>
      <c r="T12" s="2760" t="s">
        <v>1867</v>
      </c>
      <c r="U12" s="2826" t="str">
        <f>M12</f>
        <v>Hexane</v>
      </c>
      <c r="V12" s="2826" t="s">
        <v>1865</v>
      </c>
      <c r="W12" s="2827" t="s">
        <v>15</v>
      </c>
      <c r="X12" s="2828" t="s">
        <v>21</v>
      </c>
      <c r="Y12" s="2756" t="s">
        <v>0</v>
      </c>
      <c r="Z12" s="2756" t="s">
        <v>1</v>
      </c>
      <c r="AA12" s="2756" t="s">
        <v>384</v>
      </c>
      <c r="AB12" s="2756" t="s">
        <v>1866</v>
      </c>
      <c r="AC12" s="2760" t="s">
        <v>1867</v>
      </c>
      <c r="AD12" s="2829" t="str">
        <f>U12</f>
        <v>Hexane</v>
      </c>
      <c r="AE12" s="2829" t="s">
        <v>1865</v>
      </c>
      <c r="AF12" s="2827" t="s">
        <v>15</v>
      </c>
      <c r="AG12" s="2753"/>
    </row>
    <row r="13" spans="1:33" ht="48.75" customHeight="1">
      <c r="A13" s="2750"/>
      <c r="B13" s="2767" t="str">
        <f>'Summary-Co'!C53</f>
        <v>GEN1</v>
      </c>
      <c r="C13" s="2830" t="s">
        <v>1887</v>
      </c>
      <c r="D13" s="2768">
        <v>100</v>
      </c>
      <c r="E13" s="2768">
        <v>3448</v>
      </c>
      <c r="F13" s="2769">
        <f>6061/10^6</f>
        <v>6.0610000000000004E-3</v>
      </c>
      <c r="G13" s="2770">
        <v>1</v>
      </c>
      <c r="H13" s="2771">
        <v>1.68</v>
      </c>
      <c r="I13" s="2771">
        <f>0.37+J13</f>
        <v>0.62</v>
      </c>
      <c r="J13" s="2831">
        <v>0.25</v>
      </c>
      <c r="K13" s="2773">
        <f>0.75/100/7000/Burners!D14*10^6*64/32</f>
        <v>2.5210084033613443E-3</v>
      </c>
      <c r="L13" s="2832">
        <f>IF(E13="","",0.01006)</f>
        <v>1.0059999999999999E-2</v>
      </c>
      <c r="M13" s="2768">
        <v>1.1100000000000001E-3</v>
      </c>
      <c r="N13" s="2856">
        <v>8.3599999999999994E-3</v>
      </c>
      <c r="O13" s="2833">
        <f t="shared" ref="O13:O20" si="0">IF(E13="","",G13*E13/453.6)</f>
        <v>7.6014109347442673</v>
      </c>
      <c r="P13" s="2779">
        <f t="shared" ref="P13:P20" si="1">IF(E13="","",H13*$E13/453.6)</f>
        <v>12.770370370370369</v>
      </c>
      <c r="Q13" s="2779">
        <f t="shared" ref="Q13:Q20" si="2">(I13*$E13/453.6)+V13</f>
        <v>4.887584801621446</v>
      </c>
      <c r="R13" s="2779">
        <f t="shared" ref="R13:R20" si="3">IF(E13="","",J13*$E13/453.6)</f>
        <v>1.9003527336860668</v>
      </c>
      <c r="S13" s="2779">
        <f t="shared" ref="S13:S20" si="4">IF(E13="","",K13*E13*F13)</f>
        <v>5.268486050420168E-2</v>
      </c>
      <c r="T13" s="2780">
        <f t="shared" ref="T13:T20" si="5">IF(E13="","",L13*F13*E13)</f>
        <v>0.21023717968</v>
      </c>
      <c r="U13" s="2779">
        <f t="shared" ref="U13:U20" si="6">E13*F13*M13</f>
        <v>2.3197144080000006E-2</v>
      </c>
      <c r="V13" s="2780">
        <f t="shared" ref="V13:V20" si="7">E13*F13*N13</f>
        <v>0.17471002208</v>
      </c>
      <c r="W13" s="2781">
        <f t="shared" ref="W13:W20" si="8">R13+U13+V13</f>
        <v>2.0982598998460671</v>
      </c>
      <c r="X13" s="2834">
        <f t="shared" ref="X13:X20" si="9">IF(E13="","",O13*$D13/2000)</f>
        <v>0.38007054673721336</v>
      </c>
      <c r="Y13" s="2779">
        <f t="shared" ref="Y13:Y20" si="10">IF(E13="","",P13*$D13/2000)</f>
        <v>0.63851851851851849</v>
      </c>
      <c r="Z13" s="2779">
        <f t="shared" ref="Z13:Z20" si="11">IF(E13="","",Q13*$D13/2000)</f>
        <v>0.24437924008107231</v>
      </c>
      <c r="AA13" s="2779">
        <f t="shared" ref="AA13:AA20" si="12">IF(E13="","",R13*$D13/2000)</f>
        <v>9.5017636684303339E-2</v>
      </c>
      <c r="AB13" s="2779">
        <f t="shared" ref="AB13:AB20" si="13">IF(E13="","",S13*$D13/2000)</f>
        <v>2.6342430252100841E-3</v>
      </c>
      <c r="AC13" s="2780">
        <f t="shared" ref="AC13:AC20" si="14">IF(E13="","",T13*D13/2000)</f>
        <v>1.0511858984E-2</v>
      </c>
      <c r="AD13" s="2779">
        <f t="shared" ref="AD13:AD20" si="15">U13*D13/2000</f>
        <v>1.1598572040000003E-3</v>
      </c>
      <c r="AE13" s="2780">
        <f t="shared" ref="AE13:AE20" si="16">V13*D13/2000</f>
        <v>8.735501104000001E-3</v>
      </c>
      <c r="AF13" s="2781">
        <f t="shared" ref="AF13:AF20" si="17">AA13+AD13+AE13</f>
        <v>0.10491299499230333</v>
      </c>
      <c r="AG13" s="2753"/>
    </row>
    <row r="14" spans="1:33" ht="48.75" customHeight="1">
      <c r="A14" s="2750"/>
      <c r="B14" s="2782" t="str">
        <f>'Summary-Co'!C54</f>
        <v>GEN2</v>
      </c>
      <c r="C14" s="2783" t="str">
        <f t="shared" ref="C14:L17" si="18">C13</f>
        <v>Caterpillar G3520H Emergency Generator</v>
      </c>
      <c r="D14" s="2783">
        <f t="shared" si="18"/>
        <v>100</v>
      </c>
      <c r="E14" s="2783">
        <f t="shared" si="18"/>
        <v>3448</v>
      </c>
      <c r="F14" s="2784">
        <f t="shared" si="18"/>
        <v>6.0610000000000004E-3</v>
      </c>
      <c r="G14" s="2785">
        <f>G13</f>
        <v>1</v>
      </c>
      <c r="H14" s="2786">
        <f t="shared" si="18"/>
        <v>1.68</v>
      </c>
      <c r="I14" s="2786">
        <f t="shared" si="18"/>
        <v>0.62</v>
      </c>
      <c r="J14" s="2835">
        <f t="shared" si="18"/>
        <v>0.25</v>
      </c>
      <c r="K14" s="2836">
        <f t="shared" si="18"/>
        <v>2.5210084033613443E-3</v>
      </c>
      <c r="L14" s="2837">
        <f t="shared" si="18"/>
        <v>1.0059999999999999E-2</v>
      </c>
      <c r="M14" s="2783">
        <f>M13</f>
        <v>1.1100000000000001E-3</v>
      </c>
      <c r="N14" s="2857">
        <f>N13</f>
        <v>8.3599999999999994E-3</v>
      </c>
      <c r="O14" s="2838">
        <f t="shared" si="0"/>
        <v>7.6014109347442673</v>
      </c>
      <c r="P14" s="2794">
        <f t="shared" si="1"/>
        <v>12.770370370370369</v>
      </c>
      <c r="Q14" s="2845">
        <f t="shared" si="2"/>
        <v>4.887584801621446</v>
      </c>
      <c r="R14" s="2794">
        <f t="shared" si="3"/>
        <v>1.9003527336860668</v>
      </c>
      <c r="S14" s="2794">
        <f t="shared" si="4"/>
        <v>5.268486050420168E-2</v>
      </c>
      <c r="T14" s="2795">
        <f t="shared" si="5"/>
        <v>0.21023717968</v>
      </c>
      <c r="U14" s="2794">
        <f t="shared" si="6"/>
        <v>2.3197144080000006E-2</v>
      </c>
      <c r="V14" s="2795">
        <f t="shared" si="7"/>
        <v>0.17471002208</v>
      </c>
      <c r="W14" s="2796">
        <f t="shared" si="8"/>
        <v>2.0982598998460671</v>
      </c>
      <c r="X14" s="2839">
        <f t="shared" si="9"/>
        <v>0.38007054673721336</v>
      </c>
      <c r="Y14" s="2794">
        <f t="shared" si="10"/>
        <v>0.63851851851851849</v>
      </c>
      <c r="Z14" s="2794">
        <f t="shared" si="11"/>
        <v>0.24437924008107231</v>
      </c>
      <c r="AA14" s="2794">
        <f t="shared" si="12"/>
        <v>9.5017636684303339E-2</v>
      </c>
      <c r="AB14" s="2794">
        <f t="shared" si="13"/>
        <v>2.6342430252100841E-3</v>
      </c>
      <c r="AC14" s="2795">
        <f t="shared" si="14"/>
        <v>1.0511858984E-2</v>
      </c>
      <c r="AD14" s="2794">
        <f t="shared" si="15"/>
        <v>1.1598572040000003E-3</v>
      </c>
      <c r="AE14" s="2795">
        <f t="shared" si="16"/>
        <v>8.735501104000001E-3</v>
      </c>
      <c r="AF14" s="2796">
        <f t="shared" si="17"/>
        <v>0.10491299499230333</v>
      </c>
      <c r="AG14" s="2753"/>
    </row>
    <row r="15" spans="1:33" ht="48.75" customHeight="1">
      <c r="A15" s="2750"/>
      <c r="B15" s="2782" t="str">
        <f>'Summary-Co'!C55</f>
        <v>GEN3</v>
      </c>
      <c r="C15" s="2783" t="str">
        <f t="shared" si="18"/>
        <v>Caterpillar G3520H Emergency Generator</v>
      </c>
      <c r="D15" s="2783">
        <f t="shared" si="18"/>
        <v>100</v>
      </c>
      <c r="E15" s="2783">
        <f t="shared" si="18"/>
        <v>3448</v>
      </c>
      <c r="F15" s="2784">
        <f t="shared" si="18"/>
        <v>6.0610000000000004E-3</v>
      </c>
      <c r="G15" s="2785">
        <f t="shared" si="18"/>
        <v>1</v>
      </c>
      <c r="H15" s="2786">
        <f t="shared" si="18"/>
        <v>1.68</v>
      </c>
      <c r="I15" s="2786">
        <f t="shared" si="18"/>
        <v>0.62</v>
      </c>
      <c r="J15" s="2835">
        <f t="shared" si="18"/>
        <v>0.25</v>
      </c>
      <c r="K15" s="2836">
        <f t="shared" si="18"/>
        <v>2.5210084033613443E-3</v>
      </c>
      <c r="L15" s="2837">
        <f t="shared" si="18"/>
        <v>1.0059999999999999E-2</v>
      </c>
      <c r="M15" s="2783">
        <f>M13</f>
        <v>1.1100000000000001E-3</v>
      </c>
      <c r="N15" s="2857">
        <f>N13</f>
        <v>8.3599999999999994E-3</v>
      </c>
      <c r="O15" s="2838">
        <f t="shared" si="0"/>
        <v>7.6014109347442673</v>
      </c>
      <c r="P15" s="2794">
        <f t="shared" si="1"/>
        <v>12.770370370370369</v>
      </c>
      <c r="Q15" s="2845">
        <f t="shared" si="2"/>
        <v>4.887584801621446</v>
      </c>
      <c r="R15" s="2794">
        <f t="shared" si="3"/>
        <v>1.9003527336860668</v>
      </c>
      <c r="S15" s="2794">
        <f t="shared" si="4"/>
        <v>5.268486050420168E-2</v>
      </c>
      <c r="T15" s="2795">
        <f t="shared" si="5"/>
        <v>0.21023717968</v>
      </c>
      <c r="U15" s="2794">
        <f t="shared" si="6"/>
        <v>2.3197144080000006E-2</v>
      </c>
      <c r="V15" s="2795">
        <f t="shared" si="7"/>
        <v>0.17471002208</v>
      </c>
      <c r="W15" s="2796">
        <f t="shared" si="8"/>
        <v>2.0982598998460671</v>
      </c>
      <c r="X15" s="2839">
        <f t="shared" si="9"/>
        <v>0.38007054673721336</v>
      </c>
      <c r="Y15" s="2794">
        <f t="shared" si="10"/>
        <v>0.63851851851851849</v>
      </c>
      <c r="Z15" s="2794">
        <f t="shared" si="11"/>
        <v>0.24437924008107231</v>
      </c>
      <c r="AA15" s="2794">
        <f t="shared" si="12"/>
        <v>9.5017636684303339E-2</v>
      </c>
      <c r="AB15" s="2794">
        <f t="shared" si="13"/>
        <v>2.6342430252100841E-3</v>
      </c>
      <c r="AC15" s="2795">
        <f t="shared" si="14"/>
        <v>1.0511858984E-2</v>
      </c>
      <c r="AD15" s="2794">
        <f t="shared" si="15"/>
        <v>1.1598572040000003E-3</v>
      </c>
      <c r="AE15" s="2795">
        <f t="shared" si="16"/>
        <v>8.735501104000001E-3</v>
      </c>
      <c r="AF15" s="2796">
        <f t="shared" si="17"/>
        <v>0.10491299499230333</v>
      </c>
      <c r="AG15" s="2753"/>
    </row>
    <row r="16" spans="1:33" ht="48.75" customHeight="1">
      <c r="A16" s="2750"/>
      <c r="B16" s="2782" t="str">
        <f>'Summary-Co'!C56</f>
        <v>GEN4</v>
      </c>
      <c r="C16" s="2783" t="str">
        <f t="shared" si="18"/>
        <v>Caterpillar G3520H Emergency Generator</v>
      </c>
      <c r="D16" s="2783">
        <f t="shared" si="18"/>
        <v>100</v>
      </c>
      <c r="E16" s="2783">
        <f t="shared" si="18"/>
        <v>3448</v>
      </c>
      <c r="F16" s="2784">
        <f t="shared" si="18"/>
        <v>6.0610000000000004E-3</v>
      </c>
      <c r="G16" s="2785">
        <f t="shared" si="18"/>
        <v>1</v>
      </c>
      <c r="H16" s="2786">
        <f t="shared" si="18"/>
        <v>1.68</v>
      </c>
      <c r="I16" s="2786">
        <f t="shared" si="18"/>
        <v>0.62</v>
      </c>
      <c r="J16" s="2835">
        <f t="shared" si="18"/>
        <v>0.25</v>
      </c>
      <c r="K16" s="2836">
        <f t="shared" si="18"/>
        <v>2.5210084033613443E-3</v>
      </c>
      <c r="L16" s="2837">
        <f t="shared" si="18"/>
        <v>1.0059999999999999E-2</v>
      </c>
      <c r="M16" s="2783">
        <f>M13</f>
        <v>1.1100000000000001E-3</v>
      </c>
      <c r="N16" s="2857">
        <f>N13</f>
        <v>8.3599999999999994E-3</v>
      </c>
      <c r="O16" s="2838">
        <f t="shared" si="0"/>
        <v>7.6014109347442673</v>
      </c>
      <c r="P16" s="2794">
        <f t="shared" si="1"/>
        <v>12.770370370370369</v>
      </c>
      <c r="Q16" s="2845">
        <f t="shared" si="2"/>
        <v>4.887584801621446</v>
      </c>
      <c r="R16" s="2794">
        <f t="shared" si="3"/>
        <v>1.9003527336860668</v>
      </c>
      <c r="S16" s="2794">
        <f t="shared" si="4"/>
        <v>5.268486050420168E-2</v>
      </c>
      <c r="T16" s="2795">
        <f t="shared" si="5"/>
        <v>0.21023717968</v>
      </c>
      <c r="U16" s="2794">
        <f t="shared" si="6"/>
        <v>2.3197144080000006E-2</v>
      </c>
      <c r="V16" s="2795">
        <f t="shared" si="7"/>
        <v>0.17471002208</v>
      </c>
      <c r="W16" s="2796">
        <f t="shared" si="8"/>
        <v>2.0982598998460671</v>
      </c>
      <c r="X16" s="2839">
        <f t="shared" si="9"/>
        <v>0.38007054673721336</v>
      </c>
      <c r="Y16" s="2794">
        <f t="shared" si="10"/>
        <v>0.63851851851851849</v>
      </c>
      <c r="Z16" s="2794">
        <f t="shared" si="11"/>
        <v>0.24437924008107231</v>
      </c>
      <c r="AA16" s="2794">
        <f t="shared" si="12"/>
        <v>9.5017636684303339E-2</v>
      </c>
      <c r="AB16" s="2794">
        <f t="shared" si="13"/>
        <v>2.6342430252100841E-3</v>
      </c>
      <c r="AC16" s="2795">
        <f t="shared" si="14"/>
        <v>1.0511858984E-2</v>
      </c>
      <c r="AD16" s="2794">
        <f t="shared" si="15"/>
        <v>1.1598572040000003E-3</v>
      </c>
      <c r="AE16" s="2795">
        <f t="shared" si="16"/>
        <v>8.735501104000001E-3</v>
      </c>
      <c r="AF16" s="2796">
        <f t="shared" si="17"/>
        <v>0.10491299499230333</v>
      </c>
      <c r="AG16" s="2753"/>
    </row>
    <row r="17" spans="1:33" ht="48.75" customHeight="1">
      <c r="A17" s="2750"/>
      <c r="B17" s="2782" t="str">
        <f>'Summary-Co'!C57</f>
        <v>GEN5</v>
      </c>
      <c r="C17" s="2783" t="str">
        <f t="shared" si="18"/>
        <v>Caterpillar G3520H Emergency Generator</v>
      </c>
      <c r="D17" s="2783">
        <f t="shared" si="18"/>
        <v>100</v>
      </c>
      <c r="E17" s="2783">
        <f t="shared" si="18"/>
        <v>3448</v>
      </c>
      <c r="F17" s="2784">
        <f t="shared" si="18"/>
        <v>6.0610000000000004E-3</v>
      </c>
      <c r="G17" s="2785">
        <f t="shared" si="18"/>
        <v>1</v>
      </c>
      <c r="H17" s="2786">
        <f t="shared" si="18"/>
        <v>1.68</v>
      </c>
      <c r="I17" s="2786">
        <f t="shared" si="18"/>
        <v>0.62</v>
      </c>
      <c r="J17" s="2835">
        <f t="shared" si="18"/>
        <v>0.25</v>
      </c>
      <c r="K17" s="2836">
        <f t="shared" si="18"/>
        <v>2.5210084033613443E-3</v>
      </c>
      <c r="L17" s="2837">
        <f t="shared" si="18"/>
        <v>1.0059999999999999E-2</v>
      </c>
      <c r="M17" s="2783">
        <f>M13</f>
        <v>1.1100000000000001E-3</v>
      </c>
      <c r="N17" s="2857">
        <f>N13</f>
        <v>8.3599999999999994E-3</v>
      </c>
      <c r="O17" s="2838">
        <f t="shared" si="0"/>
        <v>7.6014109347442673</v>
      </c>
      <c r="P17" s="2794">
        <f t="shared" si="1"/>
        <v>12.770370370370369</v>
      </c>
      <c r="Q17" s="2794">
        <f t="shared" si="2"/>
        <v>4.887584801621446</v>
      </c>
      <c r="R17" s="2794">
        <f t="shared" si="3"/>
        <v>1.9003527336860668</v>
      </c>
      <c r="S17" s="2794">
        <f t="shared" si="4"/>
        <v>5.268486050420168E-2</v>
      </c>
      <c r="T17" s="2795">
        <f t="shared" si="5"/>
        <v>0.21023717968</v>
      </c>
      <c r="U17" s="2794">
        <f t="shared" si="6"/>
        <v>2.3197144080000006E-2</v>
      </c>
      <c r="V17" s="2795">
        <f t="shared" si="7"/>
        <v>0.17471002208</v>
      </c>
      <c r="W17" s="2796">
        <f t="shared" si="8"/>
        <v>2.0982598998460671</v>
      </c>
      <c r="X17" s="2839">
        <f t="shared" si="9"/>
        <v>0.38007054673721336</v>
      </c>
      <c r="Y17" s="2794">
        <f t="shared" si="10"/>
        <v>0.63851851851851849</v>
      </c>
      <c r="Z17" s="2794">
        <f t="shared" si="11"/>
        <v>0.24437924008107231</v>
      </c>
      <c r="AA17" s="2794">
        <f t="shared" si="12"/>
        <v>9.5017636684303339E-2</v>
      </c>
      <c r="AB17" s="2794">
        <f t="shared" si="13"/>
        <v>2.6342430252100841E-3</v>
      </c>
      <c r="AC17" s="2795">
        <f t="shared" si="14"/>
        <v>1.0511858984E-2</v>
      </c>
      <c r="AD17" s="2794">
        <f t="shared" si="15"/>
        <v>1.1598572040000003E-3</v>
      </c>
      <c r="AE17" s="2795">
        <f t="shared" si="16"/>
        <v>8.735501104000001E-3</v>
      </c>
      <c r="AF17" s="2796">
        <f t="shared" si="17"/>
        <v>0.10491299499230333</v>
      </c>
      <c r="AG17" s="2753"/>
    </row>
    <row r="18" spans="1:33" ht="48.75" customHeight="1">
      <c r="A18" s="2750"/>
      <c r="B18" s="2782" t="str">
        <f>'Summary-Co'!C58</f>
        <v>GEN6</v>
      </c>
      <c r="C18" s="2830" t="str">
        <f t="shared" ref="C18:L18" si="19">C17</f>
        <v>Caterpillar G3520H Emergency Generator</v>
      </c>
      <c r="D18" s="2830">
        <f t="shared" si="19"/>
        <v>100</v>
      </c>
      <c r="E18" s="2830">
        <f t="shared" si="19"/>
        <v>3448</v>
      </c>
      <c r="F18" s="2974">
        <f t="shared" si="19"/>
        <v>6.0610000000000004E-3</v>
      </c>
      <c r="G18" s="2975">
        <f t="shared" si="19"/>
        <v>1</v>
      </c>
      <c r="H18" s="2976">
        <f t="shared" si="19"/>
        <v>1.68</v>
      </c>
      <c r="I18" s="2976">
        <f t="shared" si="19"/>
        <v>0.62</v>
      </c>
      <c r="J18" s="2977">
        <f t="shared" si="19"/>
        <v>0.25</v>
      </c>
      <c r="K18" s="2978">
        <f t="shared" si="19"/>
        <v>2.5210084033613443E-3</v>
      </c>
      <c r="L18" s="2979">
        <f t="shared" si="19"/>
        <v>1.0059999999999999E-2</v>
      </c>
      <c r="M18" s="2830">
        <f>M16</f>
        <v>1.1100000000000001E-3</v>
      </c>
      <c r="N18" s="2980">
        <f>N16</f>
        <v>8.3599999999999994E-3</v>
      </c>
      <c r="O18" s="2981">
        <f t="shared" si="0"/>
        <v>7.6014109347442673</v>
      </c>
      <c r="P18" s="2845">
        <f t="shared" si="1"/>
        <v>12.770370370370369</v>
      </c>
      <c r="Q18" s="2845">
        <f t="shared" si="2"/>
        <v>4.887584801621446</v>
      </c>
      <c r="R18" s="2845">
        <f t="shared" si="3"/>
        <v>1.9003527336860668</v>
      </c>
      <c r="S18" s="2845">
        <f t="shared" si="4"/>
        <v>5.268486050420168E-2</v>
      </c>
      <c r="T18" s="2982">
        <f t="shared" si="5"/>
        <v>0.21023717968</v>
      </c>
      <c r="U18" s="2845">
        <f t="shared" si="6"/>
        <v>2.3197144080000006E-2</v>
      </c>
      <c r="V18" s="2982">
        <f t="shared" si="7"/>
        <v>0.17471002208</v>
      </c>
      <c r="W18" s="2983">
        <f t="shared" si="8"/>
        <v>2.0982598998460671</v>
      </c>
      <c r="X18" s="2984">
        <f t="shared" si="9"/>
        <v>0.38007054673721336</v>
      </c>
      <c r="Y18" s="2845">
        <f t="shared" si="10"/>
        <v>0.63851851851851849</v>
      </c>
      <c r="Z18" s="2845">
        <f t="shared" si="11"/>
        <v>0.24437924008107231</v>
      </c>
      <c r="AA18" s="2845">
        <f t="shared" si="12"/>
        <v>9.5017636684303339E-2</v>
      </c>
      <c r="AB18" s="2845">
        <f t="shared" si="13"/>
        <v>2.6342430252100841E-3</v>
      </c>
      <c r="AC18" s="2982">
        <f t="shared" si="14"/>
        <v>1.0511858984E-2</v>
      </c>
      <c r="AD18" s="2845">
        <f t="shared" si="15"/>
        <v>1.1598572040000003E-3</v>
      </c>
      <c r="AE18" s="2982">
        <f t="shared" si="16"/>
        <v>8.735501104000001E-3</v>
      </c>
      <c r="AF18" s="2983">
        <f t="shared" si="17"/>
        <v>0.10491299499230333</v>
      </c>
      <c r="AG18" s="2753"/>
    </row>
    <row r="19" spans="1:33" ht="48.75" customHeight="1">
      <c r="A19" s="2750"/>
      <c r="B19" s="2782" t="str">
        <f>'Summary-Co'!C59</f>
        <v>GEN7</v>
      </c>
      <c r="C19" s="2783" t="str">
        <f t="shared" ref="C19:L19" si="20">C18</f>
        <v>Caterpillar G3520H Emergency Generator</v>
      </c>
      <c r="D19" s="2783">
        <f t="shared" si="20"/>
        <v>100</v>
      </c>
      <c r="E19" s="2783">
        <f t="shared" si="20"/>
        <v>3448</v>
      </c>
      <c r="F19" s="2784">
        <f t="shared" si="20"/>
        <v>6.0610000000000004E-3</v>
      </c>
      <c r="G19" s="2785">
        <f t="shared" si="20"/>
        <v>1</v>
      </c>
      <c r="H19" s="2786">
        <f t="shared" si="20"/>
        <v>1.68</v>
      </c>
      <c r="I19" s="2786">
        <f t="shared" si="20"/>
        <v>0.62</v>
      </c>
      <c r="J19" s="2835">
        <f t="shared" si="20"/>
        <v>0.25</v>
      </c>
      <c r="K19" s="2836">
        <f t="shared" si="20"/>
        <v>2.5210084033613443E-3</v>
      </c>
      <c r="L19" s="2837">
        <f t="shared" si="20"/>
        <v>1.0059999999999999E-2</v>
      </c>
      <c r="M19" s="2783">
        <f>M16</f>
        <v>1.1100000000000001E-3</v>
      </c>
      <c r="N19" s="2857">
        <f>N16</f>
        <v>8.3599999999999994E-3</v>
      </c>
      <c r="O19" s="2838">
        <f t="shared" si="0"/>
        <v>7.6014109347442673</v>
      </c>
      <c r="P19" s="2794">
        <f t="shared" si="1"/>
        <v>12.770370370370369</v>
      </c>
      <c r="Q19" s="2845">
        <f t="shared" si="2"/>
        <v>4.887584801621446</v>
      </c>
      <c r="R19" s="2794">
        <f t="shared" si="3"/>
        <v>1.9003527336860668</v>
      </c>
      <c r="S19" s="2794">
        <f t="shared" si="4"/>
        <v>5.268486050420168E-2</v>
      </c>
      <c r="T19" s="2795">
        <f t="shared" si="5"/>
        <v>0.21023717968</v>
      </c>
      <c r="U19" s="2794">
        <f t="shared" si="6"/>
        <v>2.3197144080000006E-2</v>
      </c>
      <c r="V19" s="2795">
        <f t="shared" si="7"/>
        <v>0.17471002208</v>
      </c>
      <c r="W19" s="2796">
        <f t="shared" si="8"/>
        <v>2.0982598998460671</v>
      </c>
      <c r="X19" s="2839">
        <f t="shared" si="9"/>
        <v>0.38007054673721336</v>
      </c>
      <c r="Y19" s="2794">
        <f t="shared" si="10"/>
        <v>0.63851851851851849</v>
      </c>
      <c r="Z19" s="2794">
        <f t="shared" si="11"/>
        <v>0.24437924008107231</v>
      </c>
      <c r="AA19" s="2794">
        <f t="shared" si="12"/>
        <v>9.5017636684303339E-2</v>
      </c>
      <c r="AB19" s="2794">
        <f t="shared" si="13"/>
        <v>2.6342430252100841E-3</v>
      </c>
      <c r="AC19" s="2795">
        <f t="shared" si="14"/>
        <v>1.0511858984E-2</v>
      </c>
      <c r="AD19" s="2794">
        <f t="shared" si="15"/>
        <v>1.1598572040000003E-3</v>
      </c>
      <c r="AE19" s="2795">
        <f t="shared" si="16"/>
        <v>8.735501104000001E-3</v>
      </c>
      <c r="AF19" s="2796">
        <f t="shared" si="17"/>
        <v>0.10491299499230333</v>
      </c>
      <c r="AG19" s="2753"/>
    </row>
    <row r="20" spans="1:33" ht="48.75" customHeight="1" thickBot="1">
      <c r="A20" s="2750"/>
      <c r="B20" s="3780" t="str">
        <f>'Summary-Co'!C60</f>
        <v>GEN8</v>
      </c>
      <c r="C20" s="2797" t="str">
        <f t="shared" ref="C20:L20" si="21">C19</f>
        <v>Caterpillar G3520H Emergency Generator</v>
      </c>
      <c r="D20" s="2797">
        <f t="shared" si="21"/>
        <v>100</v>
      </c>
      <c r="E20" s="2797">
        <f t="shared" si="21"/>
        <v>3448</v>
      </c>
      <c r="F20" s="2798">
        <f t="shared" si="21"/>
        <v>6.0610000000000004E-3</v>
      </c>
      <c r="G20" s="2799">
        <f t="shared" si="21"/>
        <v>1</v>
      </c>
      <c r="H20" s="2800">
        <f t="shared" si="21"/>
        <v>1.68</v>
      </c>
      <c r="I20" s="2800">
        <f t="shared" si="21"/>
        <v>0.62</v>
      </c>
      <c r="J20" s="2840">
        <f t="shared" si="21"/>
        <v>0.25</v>
      </c>
      <c r="K20" s="2841">
        <f t="shared" si="21"/>
        <v>2.5210084033613443E-3</v>
      </c>
      <c r="L20" s="2842">
        <f t="shared" si="21"/>
        <v>1.0059999999999999E-2</v>
      </c>
      <c r="M20" s="2797">
        <f>M16</f>
        <v>1.1100000000000001E-3</v>
      </c>
      <c r="N20" s="2858">
        <f>N16</f>
        <v>8.3599999999999994E-3</v>
      </c>
      <c r="O20" s="2843">
        <f t="shared" si="0"/>
        <v>7.6014109347442673</v>
      </c>
      <c r="P20" s="2801">
        <f t="shared" si="1"/>
        <v>12.770370370370369</v>
      </c>
      <c r="Q20" s="2801">
        <f t="shared" si="2"/>
        <v>4.887584801621446</v>
      </c>
      <c r="R20" s="2801">
        <f t="shared" si="3"/>
        <v>1.9003527336860668</v>
      </c>
      <c r="S20" s="2801">
        <f t="shared" si="4"/>
        <v>5.268486050420168E-2</v>
      </c>
      <c r="T20" s="2802">
        <f t="shared" si="5"/>
        <v>0.21023717968</v>
      </c>
      <c r="U20" s="2801">
        <f t="shared" si="6"/>
        <v>2.3197144080000006E-2</v>
      </c>
      <c r="V20" s="2802">
        <f t="shared" si="7"/>
        <v>0.17471002208</v>
      </c>
      <c r="W20" s="2803">
        <f t="shared" si="8"/>
        <v>2.0982598998460671</v>
      </c>
      <c r="X20" s="2844">
        <f t="shared" si="9"/>
        <v>0.38007054673721336</v>
      </c>
      <c r="Y20" s="2801">
        <f t="shared" si="10"/>
        <v>0.63851851851851849</v>
      </c>
      <c r="Z20" s="2801">
        <f t="shared" si="11"/>
        <v>0.24437924008107231</v>
      </c>
      <c r="AA20" s="2801">
        <f t="shared" si="12"/>
        <v>9.5017636684303339E-2</v>
      </c>
      <c r="AB20" s="2801">
        <f t="shared" si="13"/>
        <v>2.6342430252100841E-3</v>
      </c>
      <c r="AC20" s="2802">
        <f t="shared" si="14"/>
        <v>1.0511858984E-2</v>
      </c>
      <c r="AD20" s="2801">
        <f t="shared" si="15"/>
        <v>1.1598572040000003E-3</v>
      </c>
      <c r="AE20" s="2802">
        <f t="shared" si="16"/>
        <v>8.735501104000001E-3</v>
      </c>
      <c r="AF20" s="2803">
        <f t="shared" si="17"/>
        <v>0.10491299499230333</v>
      </c>
      <c r="AG20" s="2753"/>
    </row>
    <row r="21" spans="1:33" ht="29.25" customHeight="1" thickBot="1">
      <c r="A21" s="2750"/>
      <c r="B21" s="4591" t="s">
        <v>1939</v>
      </c>
      <c r="C21" s="4591"/>
      <c r="D21" s="4591"/>
      <c r="E21" s="4591"/>
      <c r="F21" s="4591"/>
      <c r="G21" s="4591"/>
      <c r="H21" s="4591"/>
      <c r="I21" s="4591"/>
      <c r="J21" s="2804"/>
      <c r="K21" s="2805"/>
      <c r="L21" s="2805"/>
      <c r="M21" s="2805"/>
      <c r="N21" s="2805"/>
      <c r="O21" s="2805"/>
      <c r="P21" s="2805"/>
      <c r="Q21" s="2804"/>
      <c r="R21" s="2804"/>
      <c r="S21" s="2804"/>
      <c r="T21" s="2804"/>
      <c r="U21" s="2804"/>
      <c r="V21" s="2806"/>
      <c r="W21" s="2804"/>
      <c r="X21" s="2804"/>
      <c r="Y21" s="2804"/>
      <c r="Z21" s="2804"/>
      <c r="AA21" s="2804"/>
      <c r="AB21" s="2804"/>
      <c r="AC21" s="2804"/>
      <c r="AD21" s="2804"/>
      <c r="AE21" s="2804"/>
      <c r="AF21" s="2804"/>
      <c r="AG21" s="2753"/>
    </row>
    <row r="22" spans="1:33" ht="31.5" customHeight="1" thickBot="1">
      <c r="A22" s="2750"/>
      <c r="B22" s="4592" t="s">
        <v>1883</v>
      </c>
      <c r="C22" s="4592"/>
      <c r="D22" s="4592"/>
      <c r="E22" s="4592"/>
      <c r="F22" s="4592"/>
      <c r="G22" s="4592"/>
      <c r="H22" s="4592"/>
      <c r="I22" s="4592"/>
      <c r="J22" s="2804"/>
      <c r="K22" s="2805"/>
      <c r="L22" s="2805"/>
      <c r="M22" s="2805"/>
      <c r="N22" s="2805"/>
      <c r="O22" s="4593" t="s">
        <v>1870</v>
      </c>
      <c r="P22" s="4594"/>
      <c r="Q22" s="4594"/>
      <c r="R22" s="4594"/>
      <c r="S22" s="4594"/>
      <c r="T22" s="4594"/>
      <c r="U22" s="4594"/>
      <c r="V22" s="4594"/>
      <c r="W22" s="4595"/>
      <c r="X22" s="2759" t="s">
        <v>21</v>
      </c>
      <c r="Y22" s="2756" t="s">
        <v>0</v>
      </c>
      <c r="Z22" s="2766" t="s">
        <v>1</v>
      </c>
      <c r="AA22" s="2756" t="s">
        <v>384</v>
      </c>
      <c r="AB22" s="2756" t="s">
        <v>1866</v>
      </c>
      <c r="AC22" s="2760" t="s">
        <v>1867</v>
      </c>
      <c r="AD22" s="2762" t="str">
        <f>AD12</f>
        <v>Hexane</v>
      </c>
      <c r="AE22" s="2762" t="s">
        <v>1865</v>
      </c>
      <c r="AF22" s="2827" t="s">
        <v>15</v>
      </c>
      <c r="AG22" s="2753"/>
    </row>
    <row r="23" spans="1:33" ht="31.5" customHeight="1" thickBot="1">
      <c r="A23" s="2750"/>
      <c r="B23" s="4592" t="s">
        <v>1890</v>
      </c>
      <c r="C23" s="4592"/>
      <c r="D23" s="4592"/>
      <c r="E23" s="4592"/>
      <c r="F23" s="4592"/>
      <c r="G23" s="4592"/>
      <c r="H23" s="4592"/>
      <c r="I23" s="4592"/>
      <c r="J23" s="4592"/>
      <c r="K23" s="4592"/>
      <c r="L23" s="2804"/>
      <c r="M23" s="2804"/>
      <c r="N23" s="2804"/>
      <c r="O23" s="4596"/>
      <c r="P23" s="4597"/>
      <c r="Q23" s="4597"/>
      <c r="R23" s="4597"/>
      <c r="S23" s="4597"/>
      <c r="T23" s="4597"/>
      <c r="U23" s="4597"/>
      <c r="V23" s="4597"/>
      <c r="W23" s="4598"/>
      <c r="X23" s="2807">
        <f>IF(E13="","",SUM(X13:X21))</f>
        <v>3.0405643738977064</v>
      </c>
      <c r="Y23" s="2808">
        <f>IF(E13="","",SUM(Y13:Y21))</f>
        <v>5.108148148148147</v>
      </c>
      <c r="Z23" s="2808">
        <f>IF(E13="","",SUM(Z13:Z21))</f>
        <v>1.9550339206485783</v>
      </c>
      <c r="AA23" s="2808">
        <f>IF(E13="","",SUM(AA13:AA21))</f>
        <v>0.7601410934744266</v>
      </c>
      <c r="AB23" s="2808">
        <f>IF(E13="","",SUM(AB13:AB21))</f>
        <v>2.1073944201680676E-2</v>
      </c>
      <c r="AC23" s="2809">
        <f>IF(E13="","",SUM(AC13:AC21))</f>
        <v>8.4094871872000015E-2</v>
      </c>
      <c r="AD23" s="2808">
        <f>SUM(AD13:AD17)</f>
        <v>5.7992860200000015E-3</v>
      </c>
      <c r="AE23" s="2808">
        <f>SUM(AE13:AE17)</f>
        <v>4.3677505520000007E-2</v>
      </c>
      <c r="AF23" s="2810">
        <f>AA23+AD23+AE23</f>
        <v>0.80961788501442666</v>
      </c>
      <c r="AG23" s="2753"/>
    </row>
    <row r="24" spans="1:33" ht="28.5" customHeight="1" thickBot="1">
      <c r="A24" s="2743"/>
      <c r="B24" s="4581" t="s">
        <v>1872</v>
      </c>
      <c r="C24" s="4581"/>
      <c r="D24" s="4581"/>
      <c r="E24" s="4581"/>
      <c r="F24" s="4581"/>
      <c r="G24" s="4581"/>
      <c r="H24" s="4581"/>
      <c r="I24" s="4581"/>
      <c r="J24" s="2744"/>
      <c r="K24" s="2744"/>
      <c r="L24" s="274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6"/>
    </row>
    <row r="28" spans="1:33">
      <c r="AA28" s="4582"/>
      <c r="AB28" s="4582"/>
    </row>
  </sheetData>
  <mergeCells count="16">
    <mergeCell ref="B2:AF2"/>
    <mergeCell ref="B3:AF3"/>
    <mergeCell ref="B4:AF4"/>
    <mergeCell ref="A8:AG8"/>
    <mergeCell ref="G10:J10"/>
    <mergeCell ref="K10:N10"/>
    <mergeCell ref="B24:I24"/>
    <mergeCell ref="AA28:AB28"/>
    <mergeCell ref="G11:J11"/>
    <mergeCell ref="K11:N11"/>
    <mergeCell ref="O11:W11"/>
    <mergeCell ref="X11:AF11"/>
    <mergeCell ref="B21:I21"/>
    <mergeCell ref="B22:I22"/>
    <mergeCell ref="O22:W23"/>
    <mergeCell ref="B23:K23"/>
  </mergeCells>
  <printOptions horizontalCentered="1"/>
  <pageMargins left="0.25" right="0.25" top="0.75" bottom="0.75" header="0.3" footer="0.3"/>
  <pageSetup scale="50" orientation="landscape" r:id="rId1"/>
  <headerFooter alignWithMargins="0">
    <oddFooter>&amp;CCalculations: 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1"/>
  </sheetPr>
  <dimension ref="A1:Q565"/>
  <sheetViews>
    <sheetView view="pageBreakPreview" topLeftCell="A37" zoomScale="60" zoomScaleNormal="100" workbookViewId="0">
      <selection activeCell="E19" sqref="E19:R20"/>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9" width="8.54296875" style="56"/>
    <col min="10" max="10" width="8.54296875" style="56" customWidth="1"/>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1775</v>
      </c>
      <c r="B1" s="3843"/>
      <c r="C1" s="3843"/>
      <c r="D1" s="3843"/>
      <c r="E1" s="3843"/>
      <c r="F1" s="3843"/>
      <c r="G1" s="3843"/>
      <c r="H1" s="3844"/>
      <c r="I1" s="3844"/>
      <c r="J1" s="3844"/>
      <c r="K1" s="3844"/>
      <c r="L1" s="3844"/>
      <c r="M1" s="3844"/>
      <c r="N1" s="55"/>
      <c r="O1" s="55"/>
      <c r="P1" s="55"/>
    </row>
    <row r="2" spans="1:17" ht="17.149999999999999" customHeight="1" thickBot="1">
      <c r="A2" s="3845" t="s">
        <v>1492</v>
      </c>
      <c r="B2" s="3845"/>
      <c r="C2" s="3845"/>
      <c r="D2" s="3845"/>
      <c r="E2" s="3845"/>
      <c r="F2" s="3845"/>
      <c r="G2" s="3845"/>
      <c r="H2" s="3846"/>
      <c r="I2" s="3846"/>
      <c r="J2" s="3846"/>
      <c r="K2" s="3846"/>
      <c r="L2" s="3846"/>
      <c r="M2" s="3846"/>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tr">
        <f>'2-A All'!A7:A8</f>
        <v>SHTR1</v>
      </c>
      <c r="B7" s="3800" t="str">
        <f>'2-A All'!B7:B8</f>
        <v>Stabilization Hot Oil Heater
(64.83 MMBtu/hr)</v>
      </c>
      <c r="C7" s="3800" t="str">
        <f>'2-A All'!C7:C8</f>
        <v>THM</v>
      </c>
      <c r="D7" s="3800" t="str">
        <f>'2-A All'!D7:D8</f>
        <v>N/A</v>
      </c>
      <c r="E7" s="3800" t="str">
        <f>'2-A All'!E7:E8</f>
        <v>TBD</v>
      </c>
      <c r="F7" s="3800" t="str">
        <f>'2-A All'!F7:F8</f>
        <v>64.83 MMBtu/hr</v>
      </c>
      <c r="G7" s="3800" t="str">
        <f>'2-A All'!G7:G8</f>
        <v>64.83 MMBtu/hr</v>
      </c>
      <c r="H7" s="2437" t="s">
        <v>94</v>
      </c>
      <c r="I7" s="567" t="str">
        <f>'2-A All'!I7</f>
        <v>NA</v>
      </c>
      <c r="J7" s="3800">
        <f>'2-A All'!J7:J8</f>
        <v>31000403</v>
      </c>
      <c r="K7" s="3805" t="s">
        <v>1263</v>
      </c>
      <c r="L7" s="3809" t="s">
        <v>133</v>
      </c>
      <c r="M7" s="3807" t="s">
        <v>133</v>
      </c>
    </row>
    <row r="8" spans="1:17" s="568" customFormat="1" ht="20.25" customHeight="1">
      <c r="A8" s="3799"/>
      <c r="B8" s="3801"/>
      <c r="C8" s="3801"/>
      <c r="D8" s="3801"/>
      <c r="E8" s="3801"/>
      <c r="F8" s="3801"/>
      <c r="G8" s="3801"/>
      <c r="H8" s="569" t="s">
        <v>94</v>
      </c>
      <c r="I8" s="569" t="str">
        <f>'2-A All'!I8</f>
        <v>SHTR1</v>
      </c>
      <c r="J8" s="3801"/>
      <c r="K8" s="3806"/>
      <c r="L8" s="3810"/>
      <c r="M8" s="3808"/>
    </row>
    <row r="9" spans="1:17" s="568" customFormat="1" ht="20.25" customHeight="1">
      <c r="A9" s="3798" t="str">
        <f>'2-A All'!A9:A10</f>
        <v>SHTR2</v>
      </c>
      <c r="B9" s="3800" t="str">
        <f>'2-A All'!B9:B10</f>
        <v>Stabilization Hot Oil Heater
(64.83 MMBtu/hr)</v>
      </c>
      <c r="C9" s="3800" t="str">
        <f>'2-A All'!C9:C10</f>
        <v>THM</v>
      </c>
      <c r="D9" s="3800" t="str">
        <f>'2-A All'!D9:D10</f>
        <v>N/A</v>
      </c>
      <c r="E9" s="3800" t="str">
        <f>'2-A All'!E9:E10</f>
        <v>TBD</v>
      </c>
      <c r="F9" s="3800" t="str">
        <f>'2-A All'!F9:F10</f>
        <v>64.83 MMBtu/hr</v>
      </c>
      <c r="G9" s="3800" t="str">
        <f>'2-A All'!G9:G10</f>
        <v>64.83 MMBtu/hr</v>
      </c>
      <c r="H9" s="2437" t="s">
        <v>94</v>
      </c>
      <c r="I9" s="567" t="str">
        <f>'2-A All'!I9</f>
        <v>NA</v>
      </c>
      <c r="J9" s="3800">
        <f>'2-A All'!J9:J10</f>
        <v>31000403</v>
      </c>
      <c r="K9" s="3805" t="s">
        <v>1263</v>
      </c>
      <c r="L9" s="3809" t="s">
        <v>133</v>
      </c>
      <c r="M9" s="3807" t="s">
        <v>133</v>
      </c>
    </row>
    <row r="10" spans="1:17" s="568" customFormat="1" ht="20.25" customHeight="1">
      <c r="A10" s="3799"/>
      <c r="B10" s="3801"/>
      <c r="C10" s="3801"/>
      <c r="D10" s="3801"/>
      <c r="E10" s="3801"/>
      <c r="F10" s="3801"/>
      <c r="G10" s="3801"/>
      <c r="H10" s="569" t="s">
        <v>94</v>
      </c>
      <c r="I10" s="569" t="str">
        <f>'2-A All'!I10</f>
        <v>SHTR2</v>
      </c>
      <c r="J10" s="3801"/>
      <c r="K10" s="3806"/>
      <c r="L10" s="3810"/>
      <c r="M10" s="3808"/>
    </row>
    <row r="11" spans="1:17" s="568" customFormat="1" ht="20.25" customHeight="1">
      <c r="A11" s="3798" t="str">
        <f>'2-A All'!A11:A12</f>
        <v>SHTR3</v>
      </c>
      <c r="B11" s="3800" t="str">
        <f>'2-A All'!B11:B12</f>
        <v>Stabilization Hot Oil Heater
(64.83 MMBtu/hr)</v>
      </c>
      <c r="C11" s="3800" t="str">
        <f>'2-A All'!C11:C12</f>
        <v>THM</v>
      </c>
      <c r="D11" s="3800" t="str">
        <f>'2-A All'!D11:D12</f>
        <v>N/A</v>
      </c>
      <c r="E11" s="3800" t="str">
        <f>'2-A All'!E11:E12</f>
        <v>TBD</v>
      </c>
      <c r="F11" s="3800" t="str">
        <f>'2-A All'!F11:F12</f>
        <v>64.83 MMBtu/hr</v>
      </c>
      <c r="G11" s="3800" t="str">
        <f>'2-A All'!G11:G12</f>
        <v>64.83 MMBtu/hr</v>
      </c>
      <c r="H11" s="2437" t="s">
        <v>94</v>
      </c>
      <c r="I11" s="567" t="str">
        <f>'2-A All'!I11</f>
        <v>NA</v>
      </c>
      <c r="J11" s="3800">
        <f>'2-A All'!J11:J12</f>
        <v>31000403</v>
      </c>
      <c r="K11" s="3817" t="s">
        <v>1263</v>
      </c>
      <c r="L11" s="3816" t="s">
        <v>133</v>
      </c>
      <c r="M11" s="3828" t="s">
        <v>133</v>
      </c>
    </row>
    <row r="12" spans="1:17" s="568" customFormat="1" ht="20.25" customHeight="1">
      <c r="A12" s="3799"/>
      <c r="B12" s="3801"/>
      <c r="C12" s="3801"/>
      <c r="D12" s="3801"/>
      <c r="E12" s="3801"/>
      <c r="F12" s="3801"/>
      <c r="G12" s="3801"/>
      <c r="H12" s="569" t="s">
        <v>94</v>
      </c>
      <c r="I12" s="569" t="str">
        <f>'2-A All'!I12</f>
        <v>SHTR3</v>
      </c>
      <c r="J12" s="3801"/>
      <c r="K12" s="3806"/>
      <c r="L12" s="3801"/>
      <c r="M12" s="3829"/>
    </row>
    <row r="13" spans="1:17" s="568" customFormat="1" ht="20.25" customHeight="1">
      <c r="A13" s="3798" t="str">
        <f>'2-A All'!A13:A14</f>
        <v>SHTR4</v>
      </c>
      <c r="B13" s="3800" t="str">
        <f>'2-A All'!B13:B14</f>
        <v>Stabilization Hot Oil Heater
(64.83 MMBtu/hr)</v>
      </c>
      <c r="C13" s="3800" t="str">
        <f>'2-A All'!C13:C14</f>
        <v>THM</v>
      </c>
      <c r="D13" s="3800" t="str">
        <f>'2-A All'!D13:D14</f>
        <v>N/A</v>
      </c>
      <c r="E13" s="3800" t="str">
        <f>'2-A All'!E13:E14</f>
        <v>TBD</v>
      </c>
      <c r="F13" s="3800" t="str">
        <f>'2-A All'!F13:F14</f>
        <v>64.83 MMBtu/hr</v>
      </c>
      <c r="G13" s="3800" t="str">
        <f>'2-A All'!G13:G14</f>
        <v>64.83 MMBtu/hr</v>
      </c>
      <c r="H13" s="2437" t="s">
        <v>94</v>
      </c>
      <c r="I13" s="567" t="str">
        <f>'2-A All'!I13</f>
        <v>NA</v>
      </c>
      <c r="J13" s="3800">
        <f>'2-A All'!J13:J14</f>
        <v>31000403</v>
      </c>
      <c r="K13" s="3817" t="s">
        <v>1263</v>
      </c>
      <c r="L13" s="3816" t="s">
        <v>133</v>
      </c>
      <c r="M13" s="3828" t="s">
        <v>133</v>
      </c>
    </row>
    <row r="14" spans="1:17" s="568" customFormat="1" ht="20.25" customHeight="1">
      <c r="A14" s="3799"/>
      <c r="B14" s="3801"/>
      <c r="C14" s="3801"/>
      <c r="D14" s="3801"/>
      <c r="E14" s="3801"/>
      <c r="F14" s="3801"/>
      <c r="G14" s="3801"/>
      <c r="H14" s="569" t="s">
        <v>94</v>
      </c>
      <c r="I14" s="569" t="str">
        <f>'2-A All'!I14</f>
        <v>SHTR4</v>
      </c>
      <c r="J14" s="3801"/>
      <c r="K14" s="3806"/>
      <c r="L14" s="3801"/>
      <c r="M14" s="3829"/>
    </row>
    <row r="15" spans="1:17" s="568" customFormat="1" ht="20.25" customHeight="1">
      <c r="A15" s="3798" t="str">
        <f>'2-A All'!A15:A16</f>
        <v>SHTR5</v>
      </c>
      <c r="B15" s="3800" t="str">
        <f>'2-A All'!B15:B16</f>
        <v>Stabilization Hot Oil Heater
(64.83 MMBtu/hr)</v>
      </c>
      <c r="C15" s="3800" t="str">
        <f>'2-A All'!C15:C16</f>
        <v>THM</v>
      </c>
      <c r="D15" s="3800" t="str">
        <f>'2-A All'!D15:D16</f>
        <v>N/A</v>
      </c>
      <c r="E15" s="3800" t="str">
        <f>'2-A All'!E15:E16</f>
        <v>TBD</v>
      </c>
      <c r="F15" s="3800" t="str">
        <f>'2-A All'!F15:F16</f>
        <v>64.83 MMBtu/hr</v>
      </c>
      <c r="G15" s="3800" t="str">
        <f>'2-A All'!G15:G16</f>
        <v>64.83 MMBtu/hr</v>
      </c>
      <c r="H15" s="2437" t="s">
        <v>94</v>
      </c>
      <c r="I15" s="567" t="str">
        <f>'2-A All'!I15</f>
        <v>NA</v>
      </c>
      <c r="J15" s="3800">
        <f>'2-A All'!J15:J16</f>
        <v>31000403</v>
      </c>
      <c r="K15" s="3817" t="s">
        <v>1263</v>
      </c>
      <c r="L15" s="3816" t="s">
        <v>133</v>
      </c>
      <c r="M15" s="3828" t="s">
        <v>133</v>
      </c>
    </row>
    <row r="16" spans="1:17" s="568" customFormat="1" ht="20.25" customHeight="1">
      <c r="A16" s="3799"/>
      <c r="B16" s="3801"/>
      <c r="C16" s="3801"/>
      <c r="D16" s="3801"/>
      <c r="E16" s="3801"/>
      <c r="F16" s="3801"/>
      <c r="G16" s="3801"/>
      <c r="H16" s="569" t="s">
        <v>94</v>
      </c>
      <c r="I16" s="569" t="str">
        <f>'2-A All'!I16</f>
        <v>SHTR5</v>
      </c>
      <c r="J16" s="3801"/>
      <c r="K16" s="3806"/>
      <c r="L16" s="3801"/>
      <c r="M16" s="3829"/>
    </row>
    <row r="17" spans="1:13" s="568" customFormat="1" ht="20.25" customHeight="1">
      <c r="A17" s="3798" t="str">
        <f>'2-A All'!A17:A18</f>
        <v>SHTR6</v>
      </c>
      <c r="B17" s="3800" t="str">
        <f>'2-A All'!B17:B18</f>
        <v>Stabilization Hot Oil Heater
(64.83 MMBtu/hr)</v>
      </c>
      <c r="C17" s="3800" t="str">
        <f>'2-A All'!C17:C18</f>
        <v>THM</v>
      </c>
      <c r="D17" s="3800" t="str">
        <f>'2-A All'!D17:D18</f>
        <v>N/A</v>
      </c>
      <c r="E17" s="3800" t="str">
        <f>'2-A All'!E17:E18</f>
        <v>TBD</v>
      </c>
      <c r="F17" s="3800" t="str">
        <f>'2-A All'!F17:F18</f>
        <v>64.83 MMBtu/hr</v>
      </c>
      <c r="G17" s="3800" t="str">
        <f>'2-A All'!G17:G18</f>
        <v>64.83 MMBtu/hr</v>
      </c>
      <c r="H17" s="2437" t="s">
        <v>94</v>
      </c>
      <c r="I17" s="567" t="str">
        <f>'2-A All'!I17</f>
        <v>NA</v>
      </c>
      <c r="J17" s="3800">
        <f>'2-A All'!J17:J18</f>
        <v>31000403</v>
      </c>
      <c r="K17" s="3817" t="s">
        <v>1263</v>
      </c>
      <c r="L17" s="3816" t="s">
        <v>133</v>
      </c>
      <c r="M17" s="3828" t="s">
        <v>133</v>
      </c>
    </row>
    <row r="18" spans="1:13" s="568" customFormat="1" ht="20.25" customHeight="1">
      <c r="A18" s="3799"/>
      <c r="B18" s="3801"/>
      <c r="C18" s="3801"/>
      <c r="D18" s="3801"/>
      <c r="E18" s="3801"/>
      <c r="F18" s="3801"/>
      <c r="G18" s="3801"/>
      <c r="H18" s="569" t="s">
        <v>94</v>
      </c>
      <c r="I18" s="569" t="str">
        <f>'2-A All'!I18</f>
        <v>SHTR6</v>
      </c>
      <c r="J18" s="3801"/>
      <c r="K18" s="3806"/>
      <c r="L18" s="3801"/>
      <c r="M18" s="3829"/>
    </row>
    <row r="19" spans="1:13" s="568" customFormat="1" ht="20.25" customHeight="1">
      <c r="A19" s="3798" t="str">
        <f>'2-A All'!A19:A20</f>
        <v>SHTR7</v>
      </c>
      <c r="B19" s="3800" t="str">
        <f>'2-A All'!B19:B20</f>
        <v>Stabilization Hot Oil Heater
(64.83 MMBtu/hr)</v>
      </c>
      <c r="C19" s="3800" t="str">
        <f>'2-A All'!C19:C20</f>
        <v>THM</v>
      </c>
      <c r="D19" s="3800" t="str">
        <f>'2-A All'!D19:D20</f>
        <v>N/A</v>
      </c>
      <c r="E19" s="3800" t="str">
        <f>'2-A All'!E19:E20</f>
        <v>TBD</v>
      </c>
      <c r="F19" s="3800" t="str">
        <f>'2-A All'!F19:F20</f>
        <v>64.83 MMBtu/hr</v>
      </c>
      <c r="G19" s="3800" t="str">
        <f>'2-A All'!G19:G20</f>
        <v>64.83 MMBtu/hr</v>
      </c>
      <c r="H19" s="2437" t="s">
        <v>94</v>
      </c>
      <c r="I19" s="567" t="str">
        <f>'2-A All'!I19</f>
        <v>NA</v>
      </c>
      <c r="J19" s="3800">
        <f>'2-A All'!J19:J20</f>
        <v>31000403</v>
      </c>
      <c r="K19" s="3817" t="s">
        <v>1263</v>
      </c>
      <c r="L19" s="3816" t="s">
        <v>133</v>
      </c>
      <c r="M19" s="3828" t="s">
        <v>133</v>
      </c>
    </row>
    <row r="20" spans="1:13" s="568" customFormat="1" ht="20.25" customHeight="1">
      <c r="A20" s="3799"/>
      <c r="B20" s="3801"/>
      <c r="C20" s="3801"/>
      <c r="D20" s="3801"/>
      <c r="E20" s="3801"/>
      <c r="F20" s="3801"/>
      <c r="G20" s="3801"/>
      <c r="H20" s="569" t="s">
        <v>94</v>
      </c>
      <c r="I20" s="569" t="str">
        <f>'2-A All'!I20</f>
        <v>SHTR7</v>
      </c>
      <c r="J20" s="3801"/>
      <c r="K20" s="3806"/>
      <c r="L20" s="3801"/>
      <c r="M20" s="3829"/>
    </row>
    <row r="21" spans="1:13" s="568" customFormat="1" ht="20.25" customHeight="1">
      <c r="A21" s="3798" t="str">
        <f>'2-A All'!A21:A22</f>
        <v>SHTR8</v>
      </c>
      <c r="B21" s="3800" t="str">
        <f>'2-A All'!B21:B22</f>
        <v>Stabilization Hot Oil Heater
(64.83 MMBtu/hr)</v>
      </c>
      <c r="C21" s="3800" t="str">
        <f>'2-A All'!C21:C22</f>
        <v>THM</v>
      </c>
      <c r="D21" s="3800" t="str">
        <f>'2-A All'!D21:D22</f>
        <v>N/A</v>
      </c>
      <c r="E21" s="3800" t="str">
        <f>'2-A All'!E21:E22</f>
        <v>TBD</v>
      </c>
      <c r="F21" s="3800" t="str">
        <f>'2-A All'!F21:F22</f>
        <v>64.83 MMBtu/hr</v>
      </c>
      <c r="G21" s="3800" t="str">
        <f>'2-A All'!G21:G22</f>
        <v>64.83 MMBtu/hr</v>
      </c>
      <c r="H21" s="2437" t="s">
        <v>94</v>
      </c>
      <c r="I21" s="567" t="str">
        <f>'2-A All'!I21</f>
        <v>NA</v>
      </c>
      <c r="J21" s="3800">
        <f>'2-A All'!J21:J22</f>
        <v>31000403</v>
      </c>
      <c r="K21" s="3817" t="s">
        <v>1263</v>
      </c>
      <c r="L21" s="3816" t="s">
        <v>133</v>
      </c>
      <c r="M21" s="3828" t="s">
        <v>133</v>
      </c>
    </row>
    <row r="22" spans="1:13" s="568" customFormat="1" ht="20.25" customHeight="1">
      <c r="A22" s="3799"/>
      <c r="B22" s="3801"/>
      <c r="C22" s="3801"/>
      <c r="D22" s="3801"/>
      <c r="E22" s="3801"/>
      <c r="F22" s="3801"/>
      <c r="G22" s="3801"/>
      <c r="H22" s="569" t="s">
        <v>94</v>
      </c>
      <c r="I22" s="569" t="str">
        <f>'2-A All'!I22</f>
        <v>SHTR8</v>
      </c>
      <c r="J22" s="3801"/>
      <c r="K22" s="3806"/>
      <c r="L22" s="3801"/>
      <c r="M22" s="3829"/>
    </row>
    <row r="23" spans="1:13" s="568" customFormat="1" ht="20.25" customHeight="1">
      <c r="A23" s="3798" t="str">
        <f>'2-A All'!A23:A24</f>
        <v>SHTR9</v>
      </c>
      <c r="B23" s="3800" t="str">
        <f>'2-A All'!B23:B24</f>
        <v>Stabilization Hot Oil Heater
(64.83 MMBtu/hr)</v>
      </c>
      <c r="C23" s="3800" t="str">
        <f>'2-A All'!C23:C24</f>
        <v>THM</v>
      </c>
      <c r="D23" s="3800" t="str">
        <f>'2-A All'!D23:D24</f>
        <v>N/A</v>
      </c>
      <c r="E23" s="3800" t="str">
        <f>'2-A All'!E23:E24</f>
        <v>TBD</v>
      </c>
      <c r="F23" s="3800" t="str">
        <f>'2-A All'!F23:F24</f>
        <v>64.83 MMBtu/hr</v>
      </c>
      <c r="G23" s="3800" t="str">
        <f>'2-A All'!G23:G24</f>
        <v>64.83 MMBtu/hr</v>
      </c>
      <c r="H23" s="2437" t="s">
        <v>94</v>
      </c>
      <c r="I23" s="567" t="str">
        <f>'2-A All'!I23</f>
        <v>NA</v>
      </c>
      <c r="J23" s="3800">
        <f>'2-A All'!J23:J24</f>
        <v>31000403</v>
      </c>
      <c r="K23" s="3817" t="s">
        <v>1263</v>
      </c>
      <c r="L23" s="3816" t="s">
        <v>133</v>
      </c>
      <c r="M23" s="3828" t="s">
        <v>133</v>
      </c>
    </row>
    <row r="24" spans="1:13" s="568" customFormat="1" ht="20.25" customHeight="1">
      <c r="A24" s="3799"/>
      <c r="B24" s="3801"/>
      <c r="C24" s="3801"/>
      <c r="D24" s="3801"/>
      <c r="E24" s="3801"/>
      <c r="F24" s="3801"/>
      <c r="G24" s="3801"/>
      <c r="H24" s="569" t="s">
        <v>94</v>
      </c>
      <c r="I24" s="569" t="str">
        <f>'2-A All'!I24</f>
        <v>SHTR9</v>
      </c>
      <c r="J24" s="3801"/>
      <c r="K24" s="3806"/>
      <c r="L24" s="3801"/>
      <c r="M24" s="3829"/>
    </row>
    <row r="25" spans="1:13" s="568" customFormat="1" ht="20.25" customHeight="1">
      <c r="A25" s="3798" t="str">
        <f>'2-A All'!A25:A26</f>
        <v>SHTR10</v>
      </c>
      <c r="B25" s="3800" t="str">
        <f>'2-A All'!B25:B26</f>
        <v>Stabilization Hot Oil Heater
(64.83 MMBtu/hr)</v>
      </c>
      <c r="C25" s="3800" t="str">
        <f>'2-A All'!C25:C26</f>
        <v>THM</v>
      </c>
      <c r="D25" s="3800" t="str">
        <f>'2-A All'!D25:D26</f>
        <v>N/A</v>
      </c>
      <c r="E25" s="3800" t="str">
        <f>'2-A All'!E25:E26</f>
        <v>TBD</v>
      </c>
      <c r="F25" s="3800" t="str">
        <f>'2-A All'!F25:F26</f>
        <v>64.83 MMBtu/hr</v>
      </c>
      <c r="G25" s="3800" t="str">
        <f>'2-A All'!G25:G26</f>
        <v>64.83 MMBtu/hr</v>
      </c>
      <c r="H25" s="2437" t="s">
        <v>94</v>
      </c>
      <c r="I25" s="567" t="str">
        <f>'2-A All'!I25</f>
        <v>NA</v>
      </c>
      <c r="J25" s="3800">
        <f>'2-A All'!J25:J26</f>
        <v>31000403</v>
      </c>
      <c r="K25" s="3817" t="s">
        <v>1263</v>
      </c>
      <c r="L25" s="3816" t="s">
        <v>133</v>
      </c>
      <c r="M25" s="3828" t="s">
        <v>133</v>
      </c>
    </row>
    <row r="26" spans="1:13" s="568" customFormat="1" ht="20.25" customHeight="1">
      <c r="A26" s="3799"/>
      <c r="B26" s="3801"/>
      <c r="C26" s="3801"/>
      <c r="D26" s="3801"/>
      <c r="E26" s="3801"/>
      <c r="F26" s="3801"/>
      <c r="G26" s="3801"/>
      <c r="H26" s="569" t="s">
        <v>94</v>
      </c>
      <c r="I26" s="569" t="str">
        <f>'2-A All'!I26</f>
        <v>SHTR10</v>
      </c>
      <c r="J26" s="3801"/>
      <c r="K26" s="3806"/>
      <c r="L26" s="3801"/>
      <c r="M26" s="3829"/>
    </row>
    <row r="27" spans="1:13" s="568" customFormat="1" ht="20.25" customHeight="1">
      <c r="A27" s="3798" t="str">
        <f>'2-A All'!A27:A28</f>
        <v>SHTR11</v>
      </c>
      <c r="B27" s="3800" t="str">
        <f>'2-A All'!B27:B28</f>
        <v>Stabilization Hot Oil Heater
(64.83 MMBtu/hr)</v>
      </c>
      <c r="C27" s="3800" t="str">
        <f>'2-A All'!C27:C28</f>
        <v>THM</v>
      </c>
      <c r="D27" s="3800" t="str">
        <f>'2-A All'!D27:D28</f>
        <v>N/A</v>
      </c>
      <c r="E27" s="3800" t="str">
        <f>'2-A All'!E27:E28</f>
        <v>TBD</v>
      </c>
      <c r="F27" s="3800" t="str">
        <f>'2-A All'!F27:F28</f>
        <v>64.83 MMBtu/hr</v>
      </c>
      <c r="G27" s="3800" t="str">
        <f>'2-A All'!G27:G28</f>
        <v>64.83 MMBtu/hr</v>
      </c>
      <c r="H27" s="2437" t="s">
        <v>94</v>
      </c>
      <c r="I27" s="567" t="str">
        <f>'2-A All'!I27</f>
        <v>NA</v>
      </c>
      <c r="J27" s="3800">
        <f>'2-A All'!J27:J28</f>
        <v>31000403</v>
      </c>
      <c r="K27" s="3817" t="s">
        <v>1263</v>
      </c>
      <c r="L27" s="3816" t="s">
        <v>133</v>
      </c>
      <c r="M27" s="3828" t="s">
        <v>133</v>
      </c>
    </row>
    <row r="28" spans="1:13" s="568" customFormat="1" ht="20.25" customHeight="1">
      <c r="A28" s="3799"/>
      <c r="B28" s="3801"/>
      <c r="C28" s="3801"/>
      <c r="D28" s="3801"/>
      <c r="E28" s="3801"/>
      <c r="F28" s="3801"/>
      <c r="G28" s="3801"/>
      <c r="H28" s="569" t="s">
        <v>94</v>
      </c>
      <c r="I28" s="569" t="str">
        <f>'2-A All'!I28</f>
        <v>SHTR11</v>
      </c>
      <c r="J28" s="3801"/>
      <c r="K28" s="3806"/>
      <c r="L28" s="3801"/>
      <c r="M28" s="3829"/>
    </row>
    <row r="29" spans="1:13" s="568" customFormat="1" ht="20.25" customHeight="1">
      <c r="A29" s="3798" t="str">
        <f>'2-A All'!A29:A30</f>
        <v>SHTR12</v>
      </c>
      <c r="B29" s="3800" t="str">
        <f>'2-A All'!B29:B30</f>
        <v>Stabilization Hot Oil Heater
(64.83 MMBtu/hr)</v>
      </c>
      <c r="C29" s="3800" t="str">
        <f>'2-A All'!C29:C30</f>
        <v>THM</v>
      </c>
      <c r="D29" s="3800" t="str">
        <f>'2-A All'!D29:D30</f>
        <v>N/A</v>
      </c>
      <c r="E29" s="3800" t="str">
        <f>'2-A All'!E29:E30</f>
        <v>TBD</v>
      </c>
      <c r="F29" s="3800" t="str">
        <f>'2-A All'!F29:F30</f>
        <v>64.83 MMBtu/hr</v>
      </c>
      <c r="G29" s="3800" t="str">
        <f>'2-A All'!G29:G30</f>
        <v>64.83 MMBtu/hr</v>
      </c>
      <c r="H29" s="2437" t="s">
        <v>94</v>
      </c>
      <c r="I29" s="567" t="str">
        <f>'2-A All'!I29</f>
        <v>NA</v>
      </c>
      <c r="J29" s="3800">
        <f>'2-A All'!J29:J30</f>
        <v>31000403</v>
      </c>
      <c r="K29" s="3817" t="s">
        <v>1263</v>
      </c>
      <c r="L29" s="3816" t="s">
        <v>133</v>
      </c>
      <c r="M29" s="3828" t="s">
        <v>133</v>
      </c>
    </row>
    <row r="30" spans="1:13" s="568" customFormat="1" ht="20.25" customHeight="1">
      <c r="A30" s="3799"/>
      <c r="B30" s="3801"/>
      <c r="C30" s="3801"/>
      <c r="D30" s="3801"/>
      <c r="E30" s="3801"/>
      <c r="F30" s="3801"/>
      <c r="G30" s="3801"/>
      <c r="H30" s="569" t="s">
        <v>94</v>
      </c>
      <c r="I30" s="569" t="str">
        <f>'2-A All'!I30</f>
        <v>SHTR12</v>
      </c>
      <c r="J30" s="3801"/>
      <c r="K30" s="3806"/>
      <c r="L30" s="3801"/>
      <c r="M30" s="3829"/>
    </row>
    <row r="31" spans="1:13" s="568" customFormat="1" ht="20.25" customHeight="1">
      <c r="A31" s="3798" t="str">
        <f>'2-A All'!A31:A32</f>
        <v>CHTR1</v>
      </c>
      <c r="B31" s="3800" t="str">
        <f>'2-A All'!B31:B32</f>
        <v>Cryo Hot Oil Heater
(103.99 MMBtu/hr)</v>
      </c>
      <c r="C31" s="3800" t="str">
        <f>'2-A All'!C31:C32</f>
        <v>THM</v>
      </c>
      <c r="D31" s="3800" t="str">
        <f>'2-A All'!D31:D32</f>
        <v>N/A</v>
      </c>
      <c r="E31" s="3800" t="str">
        <f>'2-A All'!E31:E32</f>
        <v>TBD</v>
      </c>
      <c r="F31" s="3800" t="str">
        <f>'2-A All'!F31:F32</f>
        <v>103.99 MMBtu/hr</v>
      </c>
      <c r="G31" s="3800" t="str">
        <f>'2-A All'!G31:G32</f>
        <v>103.99 MMBtu/hr</v>
      </c>
      <c r="H31" s="2437" t="s">
        <v>94</v>
      </c>
      <c r="I31" s="567" t="str">
        <f>'2-A All'!I31</f>
        <v>NA</v>
      </c>
      <c r="J31" s="3800">
        <f>'2-A All'!J31:J32</f>
        <v>31000403</v>
      </c>
      <c r="K31" s="3817" t="s">
        <v>1263</v>
      </c>
      <c r="L31" s="3816" t="s">
        <v>133</v>
      </c>
      <c r="M31" s="3828" t="s">
        <v>133</v>
      </c>
    </row>
    <row r="32" spans="1:13" s="568" customFormat="1" ht="20.25" customHeight="1">
      <c r="A32" s="3799"/>
      <c r="B32" s="3801"/>
      <c r="C32" s="3801"/>
      <c r="D32" s="3801"/>
      <c r="E32" s="3801"/>
      <c r="F32" s="3801"/>
      <c r="G32" s="3801"/>
      <c r="H32" s="569" t="s">
        <v>94</v>
      </c>
      <c r="I32" s="569" t="str">
        <f>'2-A All'!I32</f>
        <v>CHTR1</v>
      </c>
      <c r="J32" s="3801"/>
      <c r="K32" s="3806"/>
      <c r="L32" s="3801"/>
      <c r="M32" s="3829"/>
    </row>
    <row r="33" spans="1:13" s="568" customFormat="1" ht="20.25" customHeight="1">
      <c r="A33" s="3798" t="str">
        <f>'2-A All'!A33:A34</f>
        <v>CHTR2</v>
      </c>
      <c r="B33" s="3800" t="str">
        <f>'2-A All'!B33:B34</f>
        <v>Cryo Hot Oil Heater
(103.99 MMBtu/hr)</v>
      </c>
      <c r="C33" s="3800" t="str">
        <f>'2-A All'!C33:C34</f>
        <v>THM</v>
      </c>
      <c r="D33" s="3800" t="str">
        <f>'2-A All'!D33:D34</f>
        <v>N/A</v>
      </c>
      <c r="E33" s="3800" t="str">
        <f>'2-A All'!E33:E34</f>
        <v>TBD</v>
      </c>
      <c r="F33" s="3800" t="str">
        <f>'2-A All'!F33:F34</f>
        <v>103.99 MMBtu/hr</v>
      </c>
      <c r="G33" s="3800" t="str">
        <f>'2-A All'!G33:G34</f>
        <v>103.99 MMBtu/hr</v>
      </c>
      <c r="H33" s="2437" t="s">
        <v>94</v>
      </c>
      <c r="I33" s="567" t="str">
        <f>'2-A All'!I33</f>
        <v>NA</v>
      </c>
      <c r="J33" s="3800">
        <f>'2-A All'!J33:J34</f>
        <v>31000403</v>
      </c>
      <c r="K33" s="3817" t="s">
        <v>1263</v>
      </c>
      <c r="L33" s="3816" t="s">
        <v>133</v>
      </c>
      <c r="M33" s="3828" t="s">
        <v>133</v>
      </c>
    </row>
    <row r="34" spans="1:13" s="568" customFormat="1" ht="20.25" customHeight="1">
      <c r="A34" s="3799"/>
      <c r="B34" s="3801"/>
      <c r="C34" s="3801"/>
      <c r="D34" s="3801"/>
      <c r="E34" s="3801"/>
      <c r="F34" s="3801"/>
      <c r="G34" s="3801"/>
      <c r="H34" s="569" t="s">
        <v>94</v>
      </c>
      <c r="I34" s="569" t="str">
        <f>'2-A All'!I34</f>
        <v>CHTR2</v>
      </c>
      <c r="J34" s="3801"/>
      <c r="K34" s="3806"/>
      <c r="L34" s="3801"/>
      <c r="M34" s="3829"/>
    </row>
    <row r="35" spans="1:13" s="568" customFormat="1" ht="20.25" customHeight="1">
      <c r="A35" s="3798" t="str">
        <f>'2-A All'!A35:A36</f>
        <v>CHTR3</v>
      </c>
      <c r="B35" s="3800" t="str">
        <f>'2-A All'!B35:B36</f>
        <v>Cryo Hot Oil Heater
(103.99 MMBtu/hr)</v>
      </c>
      <c r="C35" s="3800" t="str">
        <f>'2-A All'!C35:C36</f>
        <v>THM</v>
      </c>
      <c r="D35" s="3800" t="str">
        <f>'2-A All'!D35:D36</f>
        <v>N/A</v>
      </c>
      <c r="E35" s="3800" t="str">
        <f>'2-A All'!E35:E36</f>
        <v>TBD</v>
      </c>
      <c r="F35" s="3800" t="str">
        <f>'2-A All'!F35:F36</f>
        <v>103.99 MMBtu/hr</v>
      </c>
      <c r="G35" s="3800" t="str">
        <f>'2-A All'!G35:G36</f>
        <v>103.99 MMBtu/hr</v>
      </c>
      <c r="H35" s="2437" t="s">
        <v>94</v>
      </c>
      <c r="I35" s="567" t="str">
        <f>'2-A All'!I35</f>
        <v>NA</v>
      </c>
      <c r="J35" s="3800">
        <f>'2-A All'!J35:J36</f>
        <v>31000403</v>
      </c>
      <c r="K35" s="3817" t="s">
        <v>1263</v>
      </c>
      <c r="L35" s="3816" t="s">
        <v>133</v>
      </c>
      <c r="M35" s="3828" t="s">
        <v>133</v>
      </c>
    </row>
    <row r="36" spans="1:13" s="568" customFormat="1" ht="20.25" customHeight="1">
      <c r="A36" s="3799"/>
      <c r="B36" s="3801"/>
      <c r="C36" s="3801"/>
      <c r="D36" s="3801"/>
      <c r="E36" s="3801"/>
      <c r="F36" s="3801"/>
      <c r="G36" s="3801"/>
      <c r="H36" s="569" t="s">
        <v>94</v>
      </c>
      <c r="I36" s="569" t="str">
        <f>'2-A All'!I36</f>
        <v>CHTR3</v>
      </c>
      <c r="J36" s="3801"/>
      <c r="K36" s="3806"/>
      <c r="L36" s="3801"/>
      <c r="M36" s="3829"/>
    </row>
    <row r="37" spans="1:13" s="568" customFormat="1" ht="20.25" customHeight="1">
      <c r="A37" s="3798" t="str">
        <f>'2-A All'!A37:A38</f>
        <v>RHTR1</v>
      </c>
      <c r="B37" s="3800" t="str">
        <f>'2-A All'!B37:B38</f>
        <v>Regen Heater 
(39.14 MMBtu/hr)</v>
      </c>
      <c r="C37" s="3800" t="str">
        <f>'2-A All'!C37:C38</f>
        <v>THM</v>
      </c>
      <c r="D37" s="3800" t="str">
        <f>'2-A All'!D37:D38</f>
        <v>N/A</v>
      </c>
      <c r="E37" s="3800" t="str">
        <f>'2-A All'!E37:E38</f>
        <v>TBD</v>
      </c>
      <c r="F37" s="3800" t="str">
        <f>'2-A All'!F37:F38</f>
        <v>39.14 MMBtu/hr</v>
      </c>
      <c r="G37" s="3800" t="str">
        <f>'2-A All'!G37:G38</f>
        <v>39.14 MMBtu/hr</v>
      </c>
      <c r="H37" s="2437" t="s">
        <v>94</v>
      </c>
      <c r="I37" s="567" t="str">
        <f>'2-A All'!I37</f>
        <v>NA</v>
      </c>
      <c r="J37" s="3800">
        <f>'2-A All'!J37:J38</f>
        <v>31000405</v>
      </c>
      <c r="K37" s="3805" t="s">
        <v>1263</v>
      </c>
      <c r="L37" s="3809" t="s">
        <v>133</v>
      </c>
      <c r="M37" s="3807" t="s">
        <v>133</v>
      </c>
    </row>
    <row r="38" spans="1:13" s="568" customFormat="1" ht="20.25" customHeight="1">
      <c r="A38" s="3799"/>
      <c r="B38" s="3801"/>
      <c r="C38" s="3801"/>
      <c r="D38" s="3801"/>
      <c r="E38" s="3801"/>
      <c r="F38" s="3801"/>
      <c r="G38" s="3801"/>
      <c r="H38" s="569" t="s">
        <v>94</v>
      </c>
      <c r="I38" s="569" t="str">
        <f>'2-A All'!I38</f>
        <v>RHTR1</v>
      </c>
      <c r="J38" s="3801"/>
      <c r="K38" s="3806"/>
      <c r="L38" s="3810"/>
      <c r="M38" s="3808"/>
    </row>
    <row r="39" spans="1:13" s="568" customFormat="1" ht="20.25" customHeight="1">
      <c r="A39" s="3798" t="str">
        <f>'2-A All'!A39:A40</f>
        <v>RHTR2</v>
      </c>
      <c r="B39" s="3800" t="str">
        <f>'2-A All'!B39:B40</f>
        <v>Regen Heater
(39.14 MMBtu/hr)</v>
      </c>
      <c r="C39" s="3800" t="str">
        <f>'2-A All'!C39:C40</f>
        <v>THM</v>
      </c>
      <c r="D39" s="3800" t="str">
        <f>'2-A All'!D39:D40</f>
        <v>N/A</v>
      </c>
      <c r="E39" s="3800" t="str">
        <f>'2-A All'!E39:E40</f>
        <v>TBD</v>
      </c>
      <c r="F39" s="3800" t="str">
        <f>'2-A All'!F39:F40</f>
        <v>39.14 MMBtu/hr</v>
      </c>
      <c r="G39" s="3800" t="str">
        <f>'2-A All'!G39:G40</f>
        <v>39.14 MMBtu/hr</v>
      </c>
      <c r="H39" s="2437" t="s">
        <v>94</v>
      </c>
      <c r="I39" s="567" t="str">
        <f>'2-A All'!I39</f>
        <v>NA</v>
      </c>
      <c r="J39" s="3800">
        <f>'2-A All'!J39:J40</f>
        <v>31000405</v>
      </c>
      <c r="K39" s="3805" t="s">
        <v>1263</v>
      </c>
      <c r="L39" s="3809" t="s">
        <v>133</v>
      </c>
      <c r="M39" s="3807" t="s">
        <v>133</v>
      </c>
    </row>
    <row r="40" spans="1:13" s="568" customFormat="1" ht="20.25" customHeight="1">
      <c r="A40" s="3799"/>
      <c r="B40" s="3801"/>
      <c r="C40" s="3801"/>
      <c r="D40" s="3801"/>
      <c r="E40" s="3801"/>
      <c r="F40" s="3801"/>
      <c r="G40" s="3801"/>
      <c r="H40" s="569" t="s">
        <v>94</v>
      </c>
      <c r="I40" s="569" t="str">
        <f>'2-A All'!I40</f>
        <v>RHTR2</v>
      </c>
      <c r="J40" s="3801"/>
      <c r="K40" s="3806"/>
      <c r="L40" s="3810"/>
      <c r="M40" s="3808"/>
    </row>
    <row r="41" spans="1:13" s="568" customFormat="1" ht="20.25" customHeight="1">
      <c r="A41" s="3798" t="str">
        <f>'2-A All'!A41:A42</f>
        <v>RHTR3</v>
      </c>
      <c r="B41" s="3800" t="str">
        <f>'2-A All'!B41:B42</f>
        <v>Regen Heater
(39.14 MMBtu/hr)</v>
      </c>
      <c r="C41" s="3800" t="str">
        <f>'2-A All'!C41:C42</f>
        <v>THM</v>
      </c>
      <c r="D41" s="3800" t="str">
        <f>'2-A All'!D41:D42</f>
        <v>N/A</v>
      </c>
      <c r="E41" s="3800" t="str">
        <f>'2-A All'!E41:E42</f>
        <v>TBD</v>
      </c>
      <c r="F41" s="3800" t="str">
        <f>'2-A All'!F41:F42</f>
        <v>39.14 MMBtu/hr</v>
      </c>
      <c r="G41" s="3800" t="str">
        <f>'2-A All'!G41:G42</f>
        <v>39.14 MMBtu/hr</v>
      </c>
      <c r="H41" s="2437" t="s">
        <v>94</v>
      </c>
      <c r="I41" s="567" t="str">
        <f>'2-A All'!I41</f>
        <v>NA</v>
      </c>
      <c r="J41" s="3800">
        <f>'2-A All'!J41:J42</f>
        <v>31000405</v>
      </c>
      <c r="K41" s="3805" t="s">
        <v>1263</v>
      </c>
      <c r="L41" s="3809" t="s">
        <v>133</v>
      </c>
      <c r="M41" s="3807" t="s">
        <v>133</v>
      </c>
    </row>
    <row r="42" spans="1:13" s="568" customFormat="1" ht="20.25" customHeight="1">
      <c r="A42" s="3799"/>
      <c r="B42" s="3801"/>
      <c r="C42" s="3801"/>
      <c r="D42" s="3801"/>
      <c r="E42" s="3801"/>
      <c r="F42" s="3801"/>
      <c r="G42" s="3801"/>
      <c r="H42" s="569" t="s">
        <v>94</v>
      </c>
      <c r="I42" s="569" t="str">
        <f>'2-A All'!I42</f>
        <v>RHTR3</v>
      </c>
      <c r="J42" s="3801"/>
      <c r="K42" s="3806"/>
      <c r="L42" s="3810"/>
      <c r="M42" s="3808"/>
    </row>
    <row r="43" spans="1:13" s="568" customFormat="1" ht="20.25" customHeight="1">
      <c r="A43" s="3798" t="str">
        <f>'2-A All'!A43:A44</f>
        <v>FL1</v>
      </c>
      <c r="B43" s="3800" t="str">
        <f>'2-A All'!B43:B44</f>
        <v>SSM/Emergency 
Flare 1 
(Dual Tip Flare)</v>
      </c>
      <c r="C43" s="3800" t="str">
        <f>'2-A All'!C43:C44</f>
        <v>Zeeco, Inc.</v>
      </c>
      <c r="D43" s="3800" t="str">
        <f>'2-A All'!D43:D44</f>
        <v>N/A</v>
      </c>
      <c r="E43" s="3800" t="str">
        <f>'2-A All'!E43:E44</f>
        <v>TBD</v>
      </c>
      <c r="F43" s="3800" t="str">
        <f>'2-A All'!F43:F44</f>
        <v>250
MMscfd</v>
      </c>
      <c r="G43" s="3800" t="str">
        <f>'2-A All'!G43:G44</f>
        <v>250
MMscfd</v>
      </c>
      <c r="H43" s="2437" t="s">
        <v>94</v>
      </c>
      <c r="I43" s="567" t="str">
        <f>'2-A All'!I43</f>
        <v>NA</v>
      </c>
      <c r="J43" s="3800">
        <f>'2-A All'!J43:J44</f>
        <v>31000160</v>
      </c>
      <c r="K43" s="3805" t="s">
        <v>1263</v>
      </c>
      <c r="L43" s="3809" t="s">
        <v>133</v>
      </c>
      <c r="M43" s="3807" t="s">
        <v>133</v>
      </c>
    </row>
    <row r="44" spans="1:13" s="568" customFormat="1" ht="20.25" customHeight="1">
      <c r="A44" s="3799"/>
      <c r="B44" s="3801"/>
      <c r="C44" s="3801"/>
      <c r="D44" s="3801"/>
      <c r="E44" s="3801"/>
      <c r="F44" s="3801"/>
      <c r="G44" s="3801"/>
      <c r="H44" s="569" t="s">
        <v>94</v>
      </c>
      <c r="I44" s="569" t="str">
        <f>'2-A All'!I44</f>
        <v>FL1</v>
      </c>
      <c r="J44" s="3801"/>
      <c r="K44" s="3806"/>
      <c r="L44" s="3810"/>
      <c r="M44" s="3808"/>
    </row>
    <row r="45" spans="1:13" s="568" customFormat="1" ht="20.25" customHeight="1">
      <c r="A45" s="3798" t="str">
        <f>'2-A All'!A45:A46</f>
        <v>FL2</v>
      </c>
      <c r="B45" s="3800" t="str">
        <f>'2-A All'!B45:B46</f>
        <v>SSM/Emergency 
Flare 2 
(Dual Tip Flare)</v>
      </c>
      <c r="C45" s="3800" t="str">
        <f>'2-A All'!C45:C46</f>
        <v>Zeeco, Inc.</v>
      </c>
      <c r="D45" s="3800" t="str">
        <f>'2-A All'!D45:D46</f>
        <v>N/A</v>
      </c>
      <c r="E45" s="3800" t="str">
        <f>'2-A All'!E45:E46</f>
        <v>TBD</v>
      </c>
      <c r="F45" s="3800" t="str">
        <f>'2-A All'!F45:F46</f>
        <v>250
MMscfd</v>
      </c>
      <c r="G45" s="3800" t="str">
        <f>'2-A All'!G45:G46</f>
        <v>250
MMscfd</v>
      </c>
      <c r="H45" s="2437" t="s">
        <v>94</v>
      </c>
      <c r="I45" s="567" t="str">
        <f>'2-A All'!I45</f>
        <v>NA</v>
      </c>
      <c r="J45" s="3800">
        <f>'2-A All'!J45:J46</f>
        <v>31000160</v>
      </c>
      <c r="K45" s="3805" t="s">
        <v>1263</v>
      </c>
      <c r="L45" s="3809" t="s">
        <v>133</v>
      </c>
      <c r="M45" s="3807" t="s">
        <v>133</v>
      </c>
    </row>
    <row r="46" spans="1:13" s="568" customFormat="1" ht="20.25" customHeight="1">
      <c r="A46" s="3799"/>
      <c r="B46" s="3801"/>
      <c r="C46" s="3801"/>
      <c r="D46" s="3801"/>
      <c r="E46" s="3801"/>
      <c r="F46" s="3801"/>
      <c r="G46" s="3801"/>
      <c r="H46" s="569" t="s">
        <v>94</v>
      </c>
      <c r="I46" s="569" t="str">
        <f>'2-A All'!I46</f>
        <v>FL2</v>
      </c>
      <c r="J46" s="3801"/>
      <c r="K46" s="3806"/>
      <c r="L46" s="3810"/>
      <c r="M46" s="3808"/>
    </row>
    <row r="47" spans="1:13" s="568" customFormat="1" ht="20.25" customHeight="1">
      <c r="A47" s="3798" t="str">
        <f>'2-A All'!A47:A48</f>
        <v>FL3</v>
      </c>
      <c r="B47" s="3824" t="str">
        <f>'2-A All'!B47:B48</f>
        <v>Backup SSM/Emergency 
Flare 3 
(Dual Tip Flare)</v>
      </c>
      <c r="C47" s="3800" t="str">
        <f>'2-A All'!C47:C48</f>
        <v>Zeeco, Inc.</v>
      </c>
      <c r="D47" s="3800" t="str">
        <f>'2-A All'!D47:D48</f>
        <v>N/A</v>
      </c>
      <c r="E47" s="3800" t="str">
        <f>'2-A All'!E47:E48</f>
        <v>TBD</v>
      </c>
      <c r="F47" s="3800" t="str">
        <f>'2-A All'!F47:F48</f>
        <v>250
MMscfd</v>
      </c>
      <c r="G47" s="3800" t="str">
        <f>'2-A All'!G47:G48</f>
        <v>250
MMscfd</v>
      </c>
      <c r="H47" s="2437" t="s">
        <v>94</v>
      </c>
      <c r="I47" s="567" t="str">
        <f>'2-A All'!I47</f>
        <v>NA</v>
      </c>
      <c r="J47" s="3800">
        <f>'2-A All'!J47:J48</f>
        <v>31000160</v>
      </c>
      <c r="K47" s="3805" t="s">
        <v>1263</v>
      </c>
      <c r="L47" s="3809" t="s">
        <v>133</v>
      </c>
      <c r="M47" s="3807" t="s">
        <v>133</v>
      </c>
    </row>
    <row r="48" spans="1:13" s="568" customFormat="1" ht="20.25" customHeight="1">
      <c r="A48" s="3799"/>
      <c r="B48" s="3862"/>
      <c r="C48" s="3801"/>
      <c r="D48" s="3801"/>
      <c r="E48" s="3801"/>
      <c r="F48" s="3801"/>
      <c r="G48" s="3801"/>
      <c r="H48" s="569" t="s">
        <v>94</v>
      </c>
      <c r="I48" s="569" t="str">
        <f>'2-A All'!I48</f>
        <v>FL3</v>
      </c>
      <c r="J48" s="3801"/>
      <c r="K48" s="3806"/>
      <c r="L48" s="3810"/>
      <c r="M48" s="3808"/>
    </row>
    <row r="49" spans="1:13" s="568" customFormat="1" ht="20.25" customHeight="1">
      <c r="A49" s="3798" t="str">
        <f>'2-A All'!A49:A50</f>
        <v>FL1-FL3OVHD-SSM</v>
      </c>
      <c r="B49" s="3800" t="str">
        <f>'2-A All'!B49:B50</f>
        <v>FL1-FL3 Stabilizer Overhead SSM Gas</v>
      </c>
      <c r="C49" s="3800" t="str">
        <f>'2-A All'!C49:C50</f>
        <v>Zeeco, Inc.</v>
      </c>
      <c r="D49" s="3800" t="str">
        <f>'2-A All'!D49:D50</f>
        <v>N/A</v>
      </c>
      <c r="E49" s="3800" t="str">
        <f>'2-A All'!E49:E50</f>
        <v>TBD</v>
      </c>
      <c r="F49" s="3800" t="str">
        <f>'2-A All'!F49:F50</f>
        <v>1.2 MMscfd</v>
      </c>
      <c r="G49" s="3800" t="str">
        <f>'2-A All'!G49:G50</f>
        <v>1.2 MMscfd</v>
      </c>
      <c r="H49" s="2581" t="s">
        <v>94</v>
      </c>
      <c r="I49" s="567" t="str">
        <f>'2-A All'!I49</f>
        <v>FL1-FL3</v>
      </c>
      <c r="J49" s="3800">
        <f>'2-A All'!J49:J50</f>
        <v>31000160</v>
      </c>
      <c r="K49" s="3805" t="s">
        <v>1263</v>
      </c>
      <c r="L49" s="3809" t="s">
        <v>133</v>
      </c>
      <c r="M49" s="3807" t="s">
        <v>133</v>
      </c>
    </row>
    <row r="50" spans="1:13" s="568" customFormat="1" ht="35.5" customHeight="1">
      <c r="A50" s="3799"/>
      <c r="B50" s="3801"/>
      <c r="C50" s="3801"/>
      <c r="D50" s="3801"/>
      <c r="E50" s="3801"/>
      <c r="F50" s="3801"/>
      <c r="G50" s="3801"/>
      <c r="H50" s="569" t="s">
        <v>94</v>
      </c>
      <c r="I50" s="2604" t="str">
        <f>'2-A All'!I50</f>
        <v>FL1-FL3OVHD-SSM</v>
      </c>
      <c r="J50" s="3801"/>
      <c r="K50" s="3806"/>
      <c r="L50" s="3810"/>
      <c r="M50" s="3808"/>
    </row>
    <row r="51" spans="1:13" s="568" customFormat="1" ht="20.25" customHeight="1">
      <c r="A51" s="3798" t="str">
        <f>'2-A All'!A51:A52</f>
        <v>FL1-FL3CRYO-SSM</v>
      </c>
      <c r="B51" s="3800" t="str">
        <f>'2-A All'!B51:B52</f>
        <v>FL1-FL3 Cryo Blowdown SSM Gas</v>
      </c>
      <c r="C51" s="3800" t="str">
        <f>'2-A All'!C51:C52</f>
        <v>Zeeco, Inc.</v>
      </c>
      <c r="D51" s="3800" t="str">
        <f>'2-A All'!D51:D52</f>
        <v>N/A</v>
      </c>
      <c r="E51" s="3800" t="str">
        <f>'2-A All'!E51:E52</f>
        <v>TBD</v>
      </c>
      <c r="F51" s="3800" t="str">
        <f>'2-A All'!F51:F52</f>
        <v>0.375 MMscfd</v>
      </c>
      <c r="G51" s="3800" t="str">
        <f>'2-A All'!G51:G52</f>
        <v>0.375 MMscfd</v>
      </c>
      <c r="H51" s="2437" t="s">
        <v>94</v>
      </c>
      <c r="I51" s="567" t="str">
        <f>'2-A All'!I51</f>
        <v>FL1-FL3</v>
      </c>
      <c r="J51" s="3800">
        <f>'2-A All'!J51:J52</f>
        <v>31000160</v>
      </c>
      <c r="K51" s="3805" t="s">
        <v>1263</v>
      </c>
      <c r="L51" s="3809" t="s">
        <v>133</v>
      </c>
      <c r="M51" s="3807" t="s">
        <v>133</v>
      </c>
    </row>
    <row r="52" spans="1:13" s="568" customFormat="1" ht="34" customHeight="1">
      <c r="A52" s="3799"/>
      <c r="B52" s="3801"/>
      <c r="C52" s="3801"/>
      <c r="D52" s="3801"/>
      <c r="E52" s="3801"/>
      <c r="F52" s="3801"/>
      <c r="G52" s="3801"/>
      <c r="H52" s="569" t="s">
        <v>94</v>
      </c>
      <c r="I52" s="2604" t="str">
        <f>'2-A All'!I52</f>
        <v>FL1-FL3CRYO-SSM</v>
      </c>
      <c r="J52" s="3801"/>
      <c r="K52" s="3806"/>
      <c r="L52" s="3810"/>
      <c r="M52" s="3808"/>
    </row>
    <row r="53" spans="1:13" s="568" customFormat="1" ht="20.25" customHeight="1">
      <c r="A53" s="3798" t="str">
        <f>'2-A All'!A53:A54</f>
        <v>IFR1</v>
      </c>
      <c r="B53" s="3800" t="str">
        <f>'2-A All'!B53:B54</f>
        <v>Oil Storage 1 (100,000 bbl)</v>
      </c>
      <c r="C53" s="3800" t="str">
        <f>'2-A All'!C53:C54</f>
        <v>Advance Tank</v>
      </c>
      <c r="D53" s="3800" t="str">
        <f>'2-A All'!D53:D54</f>
        <v>N/A</v>
      </c>
      <c r="E53" s="3800" t="str">
        <f>'2-A All'!E53:E54</f>
        <v>TBD</v>
      </c>
      <c r="F53" s="3800" t="str">
        <f>'2-A All'!F53:F54</f>
        <v>100,000 bbl</v>
      </c>
      <c r="G53" s="3800" t="str">
        <f>'2-A All'!G53:G54</f>
        <v>100,000 bbl</v>
      </c>
      <c r="H53" s="2437" t="s">
        <v>94</v>
      </c>
      <c r="I53" s="567" t="str">
        <f>'2-A All'!I53</f>
        <v>NA</v>
      </c>
      <c r="J53" s="3800">
        <f>'2-A All'!J53:J54</f>
        <v>40400331</v>
      </c>
      <c r="K53" s="3805" t="s">
        <v>1263</v>
      </c>
      <c r="L53" s="3809" t="s">
        <v>133</v>
      </c>
      <c r="M53" s="3807" t="s">
        <v>133</v>
      </c>
    </row>
    <row r="54" spans="1:13" s="568" customFormat="1" ht="20.25" customHeight="1">
      <c r="A54" s="3799"/>
      <c r="B54" s="3801"/>
      <c r="C54" s="3801"/>
      <c r="D54" s="3801"/>
      <c r="E54" s="3801"/>
      <c r="F54" s="3801"/>
      <c r="G54" s="3801"/>
      <c r="H54" s="569" t="s">
        <v>94</v>
      </c>
      <c r="I54" s="569" t="str">
        <f>'2-A All'!I54</f>
        <v>IFR1</v>
      </c>
      <c r="J54" s="3801"/>
      <c r="K54" s="3806"/>
      <c r="L54" s="3810"/>
      <c r="M54" s="3808"/>
    </row>
    <row r="55" spans="1:13" s="568" customFormat="1" ht="20.25" customHeight="1">
      <c r="A55" s="3798" t="str">
        <f>'2-A All'!A55:A56</f>
        <v>IFR2</v>
      </c>
      <c r="B55" s="3800" t="str">
        <f>'2-A All'!B55:B56</f>
        <v>Oil Storage 2 (100,000 bbl)</v>
      </c>
      <c r="C55" s="3800" t="str">
        <f>'2-A All'!C55:C56</f>
        <v>Advance Tank</v>
      </c>
      <c r="D55" s="3800" t="str">
        <f>'2-A All'!D55:D56</f>
        <v>N/A</v>
      </c>
      <c r="E55" s="3800" t="str">
        <f>'2-A All'!E55:E56</f>
        <v>TBD</v>
      </c>
      <c r="F55" s="3800" t="str">
        <f>'2-A All'!F55:F56</f>
        <v>100,000 bbl</v>
      </c>
      <c r="G55" s="3800" t="str">
        <f>'2-A All'!G55:G56</f>
        <v>100,000 bbl</v>
      </c>
      <c r="H55" s="2437" t="s">
        <v>94</v>
      </c>
      <c r="I55" s="567" t="str">
        <f>'2-A All'!I55</f>
        <v>NA</v>
      </c>
      <c r="J55" s="3800">
        <f>'2-A All'!J55:J56</f>
        <v>40400331</v>
      </c>
      <c r="K55" s="3805" t="s">
        <v>1263</v>
      </c>
      <c r="L55" s="3809" t="s">
        <v>133</v>
      </c>
      <c r="M55" s="3807" t="s">
        <v>133</v>
      </c>
    </row>
    <row r="56" spans="1:13" s="568" customFormat="1" ht="20.25" customHeight="1">
      <c r="A56" s="3799"/>
      <c r="B56" s="3801"/>
      <c r="C56" s="3801"/>
      <c r="D56" s="3801"/>
      <c r="E56" s="3801"/>
      <c r="F56" s="3801"/>
      <c r="G56" s="3801"/>
      <c r="H56" s="569" t="s">
        <v>94</v>
      </c>
      <c r="I56" s="569" t="str">
        <f>'2-A All'!I56</f>
        <v>IFR2</v>
      </c>
      <c r="J56" s="3801"/>
      <c r="K56" s="3806"/>
      <c r="L56" s="3810"/>
      <c r="M56" s="3808"/>
    </row>
    <row r="57" spans="1:13" s="568" customFormat="1" ht="20.25" customHeight="1">
      <c r="A57" s="3798" t="str">
        <f>'2-A All'!A57:A58</f>
        <v>IFR3</v>
      </c>
      <c r="B57" s="3800" t="str">
        <f>'2-A All'!B57:B58</f>
        <v>Oil Storage 3 (100,000 bbl)</v>
      </c>
      <c r="C57" s="3800" t="str">
        <f>'2-A All'!C57:C58</f>
        <v>Advance Tank</v>
      </c>
      <c r="D57" s="3800" t="str">
        <f>'2-A All'!D57:D58</f>
        <v>N/A</v>
      </c>
      <c r="E57" s="3800" t="str">
        <f>'2-A All'!E57:E58</f>
        <v>TBD</v>
      </c>
      <c r="F57" s="3800" t="str">
        <f>'2-A All'!F57:F58</f>
        <v>100,000 bbl</v>
      </c>
      <c r="G57" s="3800" t="str">
        <f>'2-A All'!G57:G58</f>
        <v>100,000 bbl</v>
      </c>
      <c r="H57" s="2437" t="s">
        <v>94</v>
      </c>
      <c r="I57" s="567" t="str">
        <f>'2-A All'!I57</f>
        <v>NA</v>
      </c>
      <c r="J57" s="3800">
        <f>'2-A All'!J57:J58</f>
        <v>40400331</v>
      </c>
      <c r="K57" s="3805" t="s">
        <v>1263</v>
      </c>
      <c r="L57" s="3809" t="s">
        <v>133</v>
      </c>
      <c r="M57" s="3807" t="s">
        <v>133</v>
      </c>
    </row>
    <row r="58" spans="1:13" s="568" customFormat="1" ht="20.25" customHeight="1">
      <c r="A58" s="3799"/>
      <c r="B58" s="3801"/>
      <c r="C58" s="3801"/>
      <c r="D58" s="3801"/>
      <c r="E58" s="3801"/>
      <c r="F58" s="3801"/>
      <c r="G58" s="3801"/>
      <c r="H58" s="569" t="s">
        <v>94</v>
      </c>
      <c r="I58" s="569" t="str">
        <f>'2-A All'!I58</f>
        <v>IFR3</v>
      </c>
      <c r="J58" s="3801"/>
      <c r="K58" s="3806"/>
      <c r="L58" s="3810"/>
      <c r="M58" s="3808"/>
    </row>
    <row r="59" spans="1:13" s="568" customFormat="1" ht="20.25" customHeight="1">
      <c r="A59" s="3798" t="str">
        <f>'2-A All'!A59:A60</f>
        <v>IFR4</v>
      </c>
      <c r="B59" s="3800" t="str">
        <f>'2-A All'!B59:B60</f>
        <v>Oil Storage 4 (100,000 bbl)</v>
      </c>
      <c r="C59" s="3800" t="str">
        <f>'2-A All'!C59:C60</f>
        <v>Advance Tank</v>
      </c>
      <c r="D59" s="3800" t="str">
        <f>'2-A All'!D59:D60</f>
        <v>N/A</v>
      </c>
      <c r="E59" s="3800" t="str">
        <f>'2-A All'!E59:E60</f>
        <v>TBD</v>
      </c>
      <c r="F59" s="3800" t="str">
        <f>'2-A All'!F59:F60</f>
        <v>100,000 bbl</v>
      </c>
      <c r="G59" s="3800" t="str">
        <f>'2-A All'!G59:G60</f>
        <v>100,000 bbl</v>
      </c>
      <c r="H59" s="2437" t="s">
        <v>94</v>
      </c>
      <c r="I59" s="567" t="str">
        <f>'2-A All'!I59</f>
        <v>NA</v>
      </c>
      <c r="J59" s="3800">
        <f>'2-A All'!J59:J60</f>
        <v>40400331</v>
      </c>
      <c r="K59" s="3805" t="s">
        <v>1263</v>
      </c>
      <c r="L59" s="3809" t="s">
        <v>133</v>
      </c>
      <c r="M59" s="3807" t="s">
        <v>133</v>
      </c>
    </row>
    <row r="60" spans="1:13" s="568" customFormat="1" ht="20.25" customHeight="1">
      <c r="A60" s="3799"/>
      <c r="B60" s="3801"/>
      <c r="C60" s="3801"/>
      <c r="D60" s="3801"/>
      <c r="E60" s="3801"/>
      <c r="F60" s="3801"/>
      <c r="G60" s="3801"/>
      <c r="H60" s="569" t="s">
        <v>94</v>
      </c>
      <c r="I60" s="569" t="str">
        <f>'2-A All'!I60</f>
        <v>IFR4</v>
      </c>
      <c r="J60" s="3801"/>
      <c r="K60" s="3806"/>
      <c r="L60" s="3810"/>
      <c r="M60" s="3808"/>
    </row>
    <row r="61" spans="1:13" s="568" customFormat="1" ht="20.25" customHeight="1">
      <c r="A61" s="3798" t="str">
        <f>'2-A All'!A61:A62</f>
        <v>OTK1</v>
      </c>
      <c r="B61" s="3800" t="str">
        <f>'2-A All'!B61:B62</f>
        <v>3rd-Party Oil Storage 1</v>
      </c>
      <c r="C61" s="3800" t="str">
        <f>'2-A All'!C61:C62</f>
        <v>Advance Tank</v>
      </c>
      <c r="D61" s="3800" t="str">
        <f>'2-A All'!D61:D62</f>
        <v>N/A</v>
      </c>
      <c r="E61" s="3800" t="str">
        <f>'2-A All'!E61:E62</f>
        <v>TBD</v>
      </c>
      <c r="F61" s="3800" t="str">
        <f>'2-A All'!F61:F62</f>
        <v>2,000 bbl</v>
      </c>
      <c r="G61" s="3800" t="str">
        <f>'2-A All'!G61:G62</f>
        <v>2,000 bbl</v>
      </c>
      <c r="H61" s="2437" t="s">
        <v>94</v>
      </c>
      <c r="I61" s="567" t="str">
        <f>'2-A All'!I61</f>
        <v>ECD1</v>
      </c>
      <c r="J61" s="3800">
        <f>'2-A All'!J61:J62</f>
        <v>40400311</v>
      </c>
      <c r="K61" s="3805" t="s">
        <v>1263</v>
      </c>
      <c r="L61" s="3809" t="s">
        <v>133</v>
      </c>
      <c r="M61" s="3807" t="s">
        <v>133</v>
      </c>
    </row>
    <row r="62" spans="1:13" s="568" customFormat="1" ht="20.25" customHeight="1">
      <c r="A62" s="3799"/>
      <c r="B62" s="3801"/>
      <c r="C62" s="3801"/>
      <c r="D62" s="3801"/>
      <c r="E62" s="3801"/>
      <c r="F62" s="3801"/>
      <c r="G62" s="3801"/>
      <c r="H62" s="569" t="s">
        <v>94</v>
      </c>
      <c r="I62" s="569" t="str">
        <f>'2-A All'!I62</f>
        <v>ECD1</v>
      </c>
      <c r="J62" s="3801"/>
      <c r="K62" s="3806"/>
      <c r="L62" s="3810"/>
      <c r="M62" s="3808"/>
    </row>
    <row r="63" spans="1:13" s="568" customFormat="1" ht="20.25" customHeight="1">
      <c r="A63" s="3798" t="str">
        <f>'2-A All'!A63:A64</f>
        <v>OTK2</v>
      </c>
      <c r="B63" s="3800" t="str">
        <f>'2-A All'!B63:B64</f>
        <v>3rd-Party Oil Storage 2</v>
      </c>
      <c r="C63" s="3800" t="str">
        <f>'2-A All'!C63:C64</f>
        <v>Advance Tank</v>
      </c>
      <c r="D63" s="3800" t="str">
        <f>'2-A All'!D63:D64</f>
        <v>N/A</v>
      </c>
      <c r="E63" s="3800" t="str">
        <f>'2-A All'!E63:E64</f>
        <v>TBD</v>
      </c>
      <c r="F63" s="3800" t="str">
        <f>'2-A All'!F63:F64</f>
        <v>2,000 bbl</v>
      </c>
      <c r="G63" s="3800" t="str">
        <f>'2-A All'!G63:G64</f>
        <v>2,000 bbl</v>
      </c>
      <c r="H63" s="2437" t="s">
        <v>94</v>
      </c>
      <c r="I63" s="567" t="str">
        <f>'2-A All'!I63</f>
        <v>ECD1</v>
      </c>
      <c r="J63" s="3800">
        <f>'2-A All'!J63:J64</f>
        <v>40400311</v>
      </c>
      <c r="K63" s="3805" t="s">
        <v>1263</v>
      </c>
      <c r="L63" s="3809" t="s">
        <v>133</v>
      </c>
      <c r="M63" s="3807" t="s">
        <v>133</v>
      </c>
    </row>
    <row r="64" spans="1:13" s="568" customFormat="1" ht="20.25" customHeight="1">
      <c r="A64" s="3799"/>
      <c r="B64" s="3801"/>
      <c r="C64" s="3801"/>
      <c r="D64" s="3801"/>
      <c r="E64" s="3801"/>
      <c r="F64" s="3801"/>
      <c r="G64" s="3801"/>
      <c r="H64" s="569" t="s">
        <v>94</v>
      </c>
      <c r="I64" s="569" t="str">
        <f>'2-A All'!I64</f>
        <v>ECD1</v>
      </c>
      <c r="J64" s="3801"/>
      <c r="K64" s="3806"/>
      <c r="L64" s="3810"/>
      <c r="M64" s="3808"/>
    </row>
    <row r="65" spans="1:13" s="568" customFormat="1" ht="20.25" customHeight="1">
      <c r="A65" s="3798" t="str">
        <f>'2-A All'!A65:A66</f>
        <v>OTK3</v>
      </c>
      <c r="B65" s="3800" t="str">
        <f>'2-A All'!B65:B66</f>
        <v>3rd-Party Oil Storage 3</v>
      </c>
      <c r="C65" s="3800" t="str">
        <f>'2-A All'!C65:C66</f>
        <v>Advance Tank</v>
      </c>
      <c r="D65" s="3800" t="str">
        <f>'2-A All'!D65:D66</f>
        <v>N/A</v>
      </c>
      <c r="E65" s="3800" t="str">
        <f>'2-A All'!E65:E66</f>
        <v>TBD</v>
      </c>
      <c r="F65" s="3800" t="str">
        <f>'2-A All'!F65:F66</f>
        <v>2,000 bbl</v>
      </c>
      <c r="G65" s="3800" t="str">
        <f>'2-A All'!G65:G66</f>
        <v>2,000 bbl</v>
      </c>
      <c r="H65" s="2437" t="s">
        <v>94</v>
      </c>
      <c r="I65" s="567" t="str">
        <f>'2-A All'!I65</f>
        <v>ECD1</v>
      </c>
      <c r="J65" s="3800">
        <f>'2-A All'!J65:J66</f>
        <v>40400311</v>
      </c>
      <c r="K65" s="3805" t="s">
        <v>1263</v>
      </c>
      <c r="L65" s="3809" t="s">
        <v>133</v>
      </c>
      <c r="M65" s="3807" t="s">
        <v>133</v>
      </c>
    </row>
    <row r="66" spans="1:13" s="568" customFormat="1" ht="20.25" customHeight="1">
      <c r="A66" s="3799"/>
      <c r="B66" s="3801"/>
      <c r="C66" s="3801"/>
      <c r="D66" s="3801"/>
      <c r="E66" s="3801"/>
      <c r="F66" s="3801"/>
      <c r="G66" s="3801"/>
      <c r="H66" s="569" t="s">
        <v>94</v>
      </c>
      <c r="I66" s="569" t="str">
        <f>'2-A All'!I66</f>
        <v>ECD1</v>
      </c>
      <c r="J66" s="3801"/>
      <c r="K66" s="3806"/>
      <c r="L66" s="3810"/>
      <c r="M66" s="3808"/>
    </row>
    <row r="67" spans="1:13" s="568" customFormat="1" ht="20.25" customHeight="1">
      <c r="A67" s="3798" t="str">
        <f>'2-A All'!A67:A68</f>
        <v>OTK4</v>
      </c>
      <c r="B67" s="3800" t="str">
        <f>'2-A All'!B67:B68</f>
        <v>3rd-Party Oil Storage 4</v>
      </c>
      <c r="C67" s="3800" t="str">
        <f>'2-A All'!C67:C68</f>
        <v>Advance Tank</v>
      </c>
      <c r="D67" s="3800" t="str">
        <f>'2-A All'!D67:D68</f>
        <v>N/A</v>
      </c>
      <c r="E67" s="3800" t="str">
        <f>'2-A All'!E67:E68</f>
        <v>TBD</v>
      </c>
      <c r="F67" s="3800" t="str">
        <f>'2-A All'!F67:F68</f>
        <v>2,000 bbl</v>
      </c>
      <c r="G67" s="3800" t="str">
        <f>'2-A All'!G67:G68</f>
        <v>2,000 bbl</v>
      </c>
      <c r="H67" s="2437" t="s">
        <v>94</v>
      </c>
      <c r="I67" s="567" t="str">
        <f>'2-A All'!I67</f>
        <v>ECD1</v>
      </c>
      <c r="J67" s="3800">
        <f>'2-A All'!J67:J68</f>
        <v>40400311</v>
      </c>
      <c r="K67" s="3805" t="s">
        <v>1263</v>
      </c>
      <c r="L67" s="3809" t="s">
        <v>133</v>
      </c>
      <c r="M67" s="3807" t="s">
        <v>133</v>
      </c>
    </row>
    <row r="68" spans="1:13" s="568" customFormat="1" ht="20.25" customHeight="1">
      <c r="A68" s="3799"/>
      <c r="B68" s="3801"/>
      <c r="C68" s="3801"/>
      <c r="D68" s="3801"/>
      <c r="E68" s="3801"/>
      <c r="F68" s="3801"/>
      <c r="G68" s="3801"/>
      <c r="H68" s="569" t="s">
        <v>94</v>
      </c>
      <c r="I68" s="569" t="str">
        <f>'2-A All'!I68</f>
        <v>ECD1</v>
      </c>
      <c r="J68" s="3801"/>
      <c r="K68" s="3806"/>
      <c r="L68" s="3810"/>
      <c r="M68" s="3808"/>
    </row>
    <row r="69" spans="1:13" s="568" customFormat="1" ht="20.25" customHeight="1">
      <c r="A69" s="3798" t="str">
        <f>'2-A All'!A69:A70</f>
        <v>OTK5</v>
      </c>
      <c r="B69" s="3800" t="str">
        <f>'2-A All'!B69:B70</f>
        <v>3rd-Party Oil Storage 5</v>
      </c>
      <c r="C69" s="3800" t="str">
        <f>'2-A All'!C69:C70</f>
        <v>Advance Tank</v>
      </c>
      <c r="D69" s="3800" t="str">
        <f>'2-A All'!D69:D70</f>
        <v>N/A</v>
      </c>
      <c r="E69" s="3800" t="str">
        <f>'2-A All'!E69:E70</f>
        <v>TBD</v>
      </c>
      <c r="F69" s="3800" t="str">
        <f>'2-A All'!F69:F70</f>
        <v>2,000 bbl</v>
      </c>
      <c r="G69" s="3800" t="str">
        <f>'2-A All'!G69:G70</f>
        <v>2,000 bbl</v>
      </c>
      <c r="H69" s="2437" t="s">
        <v>94</v>
      </c>
      <c r="I69" s="567" t="str">
        <f>'2-A All'!I69</f>
        <v>ECD1</v>
      </c>
      <c r="J69" s="3800">
        <f>'2-A All'!J69:J70</f>
        <v>40400311</v>
      </c>
      <c r="K69" s="3805" t="s">
        <v>1263</v>
      </c>
      <c r="L69" s="3809" t="s">
        <v>133</v>
      </c>
      <c r="M69" s="3807" t="s">
        <v>133</v>
      </c>
    </row>
    <row r="70" spans="1:13" s="568" customFormat="1" ht="20.25" customHeight="1">
      <c r="A70" s="3799"/>
      <c r="B70" s="3801"/>
      <c r="C70" s="3801"/>
      <c r="D70" s="3801"/>
      <c r="E70" s="3801"/>
      <c r="F70" s="3801"/>
      <c r="G70" s="3801"/>
      <c r="H70" s="569" t="s">
        <v>94</v>
      </c>
      <c r="I70" s="569" t="str">
        <f>'2-A All'!I70</f>
        <v>ECD1</v>
      </c>
      <c r="J70" s="3801"/>
      <c r="K70" s="3806"/>
      <c r="L70" s="3810"/>
      <c r="M70" s="3808"/>
    </row>
    <row r="71" spans="1:13" s="568" customFormat="1" ht="20.25" customHeight="1">
      <c r="A71" s="3798" t="str">
        <f>'2-A All'!A71:A72</f>
        <v>OTK6</v>
      </c>
      <c r="B71" s="3800" t="str">
        <f>'2-A All'!B71:B72</f>
        <v>3rd-Party Oil Storage 6</v>
      </c>
      <c r="C71" s="3800" t="str">
        <f>'2-A All'!C71:C72</f>
        <v>Advance Tank</v>
      </c>
      <c r="D71" s="3800" t="str">
        <f>'2-A All'!D71:D72</f>
        <v>N/A</v>
      </c>
      <c r="E71" s="3800" t="str">
        <f>'2-A All'!E71:E72</f>
        <v>TBD</v>
      </c>
      <c r="F71" s="3800" t="str">
        <f>'2-A All'!F71:F72</f>
        <v>2,000 bbl</v>
      </c>
      <c r="G71" s="3800" t="str">
        <f>'2-A All'!G71:G72</f>
        <v>2,000 bbl</v>
      </c>
      <c r="H71" s="2437" t="s">
        <v>94</v>
      </c>
      <c r="I71" s="567" t="str">
        <f>'2-A All'!I71</f>
        <v>ECD1</v>
      </c>
      <c r="J71" s="3800">
        <f>'2-A All'!J71:J72</f>
        <v>40400311</v>
      </c>
      <c r="K71" s="3805" t="s">
        <v>1263</v>
      </c>
      <c r="L71" s="3809" t="s">
        <v>133</v>
      </c>
      <c r="M71" s="3807" t="s">
        <v>133</v>
      </c>
    </row>
    <row r="72" spans="1:13" s="568" customFormat="1" ht="20.25" customHeight="1">
      <c r="A72" s="3799"/>
      <c r="B72" s="3801"/>
      <c r="C72" s="3801"/>
      <c r="D72" s="3801"/>
      <c r="E72" s="3801"/>
      <c r="F72" s="3801"/>
      <c r="G72" s="3801"/>
      <c r="H72" s="569" t="s">
        <v>94</v>
      </c>
      <c r="I72" s="569" t="str">
        <f>'2-A All'!I72</f>
        <v>ECD1</v>
      </c>
      <c r="J72" s="3801"/>
      <c r="K72" s="3806"/>
      <c r="L72" s="3810"/>
      <c r="M72" s="3808"/>
    </row>
    <row r="73" spans="1:13" s="568" customFormat="1" ht="20.25" customHeight="1">
      <c r="A73" s="3798" t="str">
        <f>'2-A All'!A73:A74</f>
        <v>ECD1</v>
      </c>
      <c r="B73" s="3800" t="str">
        <f>'2-A All'!B73:B74</f>
        <v>Combustor</v>
      </c>
      <c r="C73" s="3800" t="str">
        <f>'2-A All'!C73:C74</f>
        <v>Zeeco, Inc.</v>
      </c>
      <c r="D73" s="3800" t="str">
        <f>'2-A All'!D73:D74</f>
        <v>N/A</v>
      </c>
      <c r="E73" s="3800" t="str">
        <f>'2-A All'!E73:E74</f>
        <v>TBD</v>
      </c>
      <c r="F73" s="3800" t="str">
        <f>'2-A All'!F73:F74</f>
        <v>N/A</v>
      </c>
      <c r="G73" s="3800" t="str">
        <f>'2-A All'!G73:G74</f>
        <v>N/A</v>
      </c>
      <c r="H73" s="2437" t="s">
        <v>94</v>
      </c>
      <c r="I73" s="567" t="str">
        <f>'2-A All'!I73</f>
        <v>NA</v>
      </c>
      <c r="J73" s="3800">
        <f>'2-A All'!J73:J74</f>
        <v>31000209</v>
      </c>
      <c r="K73" s="3805" t="s">
        <v>1263</v>
      </c>
      <c r="L73" s="3809" t="s">
        <v>133</v>
      </c>
      <c r="M73" s="3807" t="s">
        <v>133</v>
      </c>
    </row>
    <row r="74" spans="1:13" s="568" customFormat="1" ht="20.25" customHeight="1">
      <c r="A74" s="3799"/>
      <c r="B74" s="3801"/>
      <c r="C74" s="3801"/>
      <c r="D74" s="3801"/>
      <c r="E74" s="3801"/>
      <c r="F74" s="3801"/>
      <c r="G74" s="3801"/>
      <c r="H74" s="569" t="s">
        <v>94</v>
      </c>
      <c r="I74" s="569" t="str">
        <f>'2-A All'!I74</f>
        <v>ECD1</v>
      </c>
      <c r="J74" s="3801"/>
      <c r="K74" s="3806"/>
      <c r="L74" s="3810"/>
      <c r="M74" s="3808"/>
    </row>
    <row r="75" spans="1:13" s="568" customFormat="1" ht="20.25" customHeight="1">
      <c r="A75" s="3798" t="str">
        <f>'2-A All'!A75:A76</f>
        <v>TO1</v>
      </c>
      <c r="B75" s="3800" t="str">
        <f>'2-A All'!B75:B76</f>
        <v>Thermal Oxidizer</v>
      </c>
      <c r="C75" s="3800" t="str">
        <f>'2-A All'!C75:C76</f>
        <v>Zeeco, Inc.</v>
      </c>
      <c r="D75" s="3800" t="str">
        <f>'2-A All'!D75:D76</f>
        <v>N/A</v>
      </c>
      <c r="E75" s="3800" t="str">
        <f>'2-A All'!E75:E76</f>
        <v>TBD</v>
      </c>
      <c r="F75" s="3800" t="str">
        <f>'2-A All'!F75:F76</f>
        <v xml:space="preserve">31.5 MMBtu/hr </v>
      </c>
      <c r="G75" s="3800" t="str">
        <f>'2-A All'!G75:G76</f>
        <v xml:space="preserve">31.5 MMBtu/hr </v>
      </c>
      <c r="H75" s="2437" t="s">
        <v>94</v>
      </c>
      <c r="I75" s="567" t="str">
        <f>'2-A All'!I75</f>
        <v>NA</v>
      </c>
      <c r="J75" s="3800">
        <f>'2-A All'!J75:J76</f>
        <v>31000209</v>
      </c>
      <c r="K75" s="3805" t="s">
        <v>1263</v>
      </c>
      <c r="L75" s="3809" t="s">
        <v>133</v>
      </c>
      <c r="M75" s="3807" t="s">
        <v>133</v>
      </c>
    </row>
    <row r="76" spans="1:13" s="568" customFormat="1" ht="20.25" customHeight="1">
      <c r="A76" s="3799"/>
      <c r="B76" s="3801"/>
      <c r="C76" s="3801"/>
      <c r="D76" s="3801"/>
      <c r="E76" s="3801"/>
      <c r="F76" s="3801"/>
      <c r="G76" s="3801"/>
      <c r="H76" s="569" t="s">
        <v>94</v>
      </c>
      <c r="I76" s="569" t="str">
        <f>'2-A All'!I76</f>
        <v>TO1</v>
      </c>
      <c r="J76" s="3801"/>
      <c r="K76" s="3806"/>
      <c r="L76" s="3810"/>
      <c r="M76" s="3808"/>
    </row>
    <row r="77" spans="1:13" s="568" customFormat="1" ht="20.25" customHeight="1">
      <c r="A77" s="3798" t="str">
        <f>'2-A All'!A77:A78</f>
        <v>TO2</v>
      </c>
      <c r="B77" s="3800" t="str">
        <f>'2-A All'!B77:B78</f>
        <v>Thermal Oxidizer</v>
      </c>
      <c r="C77" s="3800" t="str">
        <f>'2-A All'!C77:C78</f>
        <v>Zeeco, Inc.</v>
      </c>
      <c r="D77" s="3800" t="str">
        <f>'2-A All'!D77:D78</f>
        <v>N/A</v>
      </c>
      <c r="E77" s="3800" t="str">
        <f>'2-A All'!E77:E78</f>
        <v>TBD</v>
      </c>
      <c r="F77" s="3800" t="str">
        <f>'2-A All'!F77:F78</f>
        <v xml:space="preserve">31.5 MMBtu/hr </v>
      </c>
      <c r="G77" s="3800" t="str">
        <f>'2-A All'!G77:G78</f>
        <v xml:space="preserve">31.5 MMBtu/hr </v>
      </c>
      <c r="H77" s="2437" t="s">
        <v>94</v>
      </c>
      <c r="I77" s="567" t="str">
        <f>'2-A All'!I77</f>
        <v>NA</v>
      </c>
      <c r="J77" s="3800">
        <f>'2-A All'!J77:J78</f>
        <v>31000209</v>
      </c>
      <c r="K77" s="3805" t="s">
        <v>1263</v>
      </c>
      <c r="L77" s="3809" t="s">
        <v>133</v>
      </c>
      <c r="M77" s="3807" t="s">
        <v>133</v>
      </c>
    </row>
    <row r="78" spans="1:13" s="568" customFormat="1" ht="20.25" customHeight="1">
      <c r="A78" s="3799"/>
      <c r="B78" s="3801"/>
      <c r="C78" s="3801"/>
      <c r="D78" s="3801"/>
      <c r="E78" s="3801"/>
      <c r="F78" s="3801"/>
      <c r="G78" s="3801"/>
      <c r="H78" s="569" t="s">
        <v>94</v>
      </c>
      <c r="I78" s="569" t="str">
        <f>'2-A All'!I78</f>
        <v>TO2</v>
      </c>
      <c r="J78" s="3801"/>
      <c r="K78" s="3806"/>
      <c r="L78" s="3810"/>
      <c r="M78" s="3808"/>
    </row>
    <row r="79" spans="1:13" s="568" customFormat="1" ht="20.25" customHeight="1">
      <c r="A79" s="3798" t="str">
        <f>'2-A All'!A79:A80</f>
        <v>TO3</v>
      </c>
      <c r="B79" s="3800" t="str">
        <f>'2-A All'!B79:B80</f>
        <v>Thermal Oxidizer</v>
      </c>
      <c r="C79" s="3800" t="str">
        <f>'2-A All'!C79:C80</f>
        <v>Zeeco, Inc.</v>
      </c>
      <c r="D79" s="3800" t="str">
        <f>'2-A All'!D79:D80</f>
        <v>N/A</v>
      </c>
      <c r="E79" s="3800" t="str">
        <f>'2-A All'!E79:E80</f>
        <v>TBD</v>
      </c>
      <c r="F79" s="3800" t="str">
        <f>'2-A All'!F79:F80</f>
        <v xml:space="preserve">31.5 MMBtu/hr </v>
      </c>
      <c r="G79" s="3800" t="str">
        <f>'2-A All'!G79:G80</f>
        <v xml:space="preserve">31.5 MMBtu/hr </v>
      </c>
      <c r="H79" s="2437" t="s">
        <v>94</v>
      </c>
      <c r="I79" s="567" t="str">
        <f>'2-A All'!I79</f>
        <v>NA</v>
      </c>
      <c r="J79" s="3800">
        <f>'2-A All'!J79:J80</f>
        <v>31000209</v>
      </c>
      <c r="K79" s="3805" t="s">
        <v>1263</v>
      </c>
      <c r="L79" s="3809" t="s">
        <v>133</v>
      </c>
      <c r="M79" s="3807" t="s">
        <v>133</v>
      </c>
    </row>
    <row r="80" spans="1:13" s="568" customFormat="1" ht="20.25" customHeight="1">
      <c r="A80" s="3799"/>
      <c r="B80" s="3801"/>
      <c r="C80" s="3801"/>
      <c r="D80" s="3801"/>
      <c r="E80" s="3801"/>
      <c r="F80" s="3801"/>
      <c r="G80" s="3801"/>
      <c r="H80" s="569" t="s">
        <v>94</v>
      </c>
      <c r="I80" s="569" t="str">
        <f>'2-A All'!I80</f>
        <v>TO3</v>
      </c>
      <c r="J80" s="3801"/>
      <c r="K80" s="3806"/>
      <c r="L80" s="3810"/>
      <c r="M80" s="3808"/>
    </row>
    <row r="81" spans="1:13" s="568" customFormat="1" ht="20.25" customHeight="1">
      <c r="A81" s="3798" t="str">
        <f>'2-A All'!A81:A82</f>
        <v>FUG</v>
      </c>
      <c r="B81" s="3800" t="str">
        <f>'2-A All'!B81:B82</f>
        <v>Fugitives</v>
      </c>
      <c r="C81" s="3800" t="str">
        <f>'2-A All'!C81:C82</f>
        <v>N/A</v>
      </c>
      <c r="D81" s="3800" t="str">
        <f>'2-A All'!D81:D82</f>
        <v>N/A</v>
      </c>
      <c r="E81" s="3800" t="str">
        <f>'2-A All'!E81:E82</f>
        <v>N/A</v>
      </c>
      <c r="F81" s="3800" t="str">
        <f>'2-A All'!F81:F82</f>
        <v>N/A</v>
      </c>
      <c r="G81" s="3800" t="str">
        <f>'2-A All'!G81:G82</f>
        <v>N/A</v>
      </c>
      <c r="H81" s="2437" t="s">
        <v>94</v>
      </c>
      <c r="I81" s="567" t="str">
        <f>'2-A All'!I81</f>
        <v>NA</v>
      </c>
      <c r="J81" s="3800">
        <f>'2-A All'!J81:J82</f>
        <v>31088811</v>
      </c>
      <c r="K81" s="3805" t="s">
        <v>1263</v>
      </c>
      <c r="L81" s="3809" t="s">
        <v>133</v>
      </c>
      <c r="M81" s="3807" t="s">
        <v>133</v>
      </c>
    </row>
    <row r="82" spans="1:13" s="568" customFormat="1" ht="20.25" customHeight="1">
      <c r="A82" s="3799"/>
      <c r="B82" s="3801"/>
      <c r="C82" s="3801"/>
      <c r="D82" s="3801"/>
      <c r="E82" s="3801"/>
      <c r="F82" s="3801"/>
      <c r="G82" s="3801"/>
      <c r="H82" s="569" t="s">
        <v>94</v>
      </c>
      <c r="I82" s="569" t="str">
        <f>'2-A All'!I82</f>
        <v>FUG</v>
      </c>
      <c r="J82" s="3801"/>
      <c r="K82" s="3806"/>
      <c r="L82" s="3810"/>
      <c r="M82" s="3808"/>
    </row>
    <row r="83" spans="1:13" s="568" customFormat="1" ht="20.25" customHeight="1">
      <c r="A83" s="3798" t="str">
        <f>'2-A All'!A83:A84</f>
        <v>SSM</v>
      </c>
      <c r="B83" s="3800" t="str">
        <f>'2-A All'!B83:B84</f>
        <v>Storage Tank SSM Emissions</v>
      </c>
      <c r="C83" s="3800" t="str">
        <f>'2-A All'!C83:C84</f>
        <v>N/A</v>
      </c>
      <c r="D83" s="3800" t="str">
        <f>'2-A All'!D83:D84</f>
        <v>N/A</v>
      </c>
      <c r="E83" s="3800" t="str">
        <f>'2-A All'!E83:E84</f>
        <v>N/A</v>
      </c>
      <c r="F83" s="3800" t="str">
        <f>'2-A All'!F83:F84</f>
        <v>N/A</v>
      </c>
      <c r="G83" s="3800" t="str">
        <f>'2-A All'!G83:G84</f>
        <v>N/A</v>
      </c>
      <c r="H83" s="2437" t="s">
        <v>94</v>
      </c>
      <c r="I83" s="567" t="str">
        <f>'2-A All'!I83</f>
        <v>NA</v>
      </c>
      <c r="J83" s="3800">
        <f>'2-A All'!J83:J84</f>
        <v>31088811</v>
      </c>
      <c r="K83" s="3805" t="s">
        <v>1263</v>
      </c>
      <c r="L83" s="3809" t="s">
        <v>133</v>
      </c>
      <c r="M83" s="3807" t="s">
        <v>133</v>
      </c>
    </row>
    <row r="84" spans="1:13" s="568" customFormat="1" ht="20.25" customHeight="1">
      <c r="A84" s="3799"/>
      <c r="B84" s="3801"/>
      <c r="C84" s="3801"/>
      <c r="D84" s="3801"/>
      <c r="E84" s="3801"/>
      <c r="F84" s="3801"/>
      <c r="G84" s="3801"/>
      <c r="H84" s="569" t="s">
        <v>94</v>
      </c>
      <c r="I84" s="569" t="str">
        <f>'2-A All'!I84</f>
        <v>SSM</v>
      </c>
      <c r="J84" s="3801"/>
      <c r="K84" s="3806"/>
      <c r="L84" s="3810"/>
      <c r="M84" s="3808"/>
    </row>
    <row r="85" spans="1:13" s="568" customFormat="1" ht="20.25" customHeight="1">
      <c r="A85" s="3798" t="str">
        <f>'2-A All'!A85:A86</f>
        <v>ROAD</v>
      </c>
      <c r="B85" s="3800" t="str">
        <f>'2-A All'!B85:B86</f>
        <v>Haul Road Fugitives</v>
      </c>
      <c r="C85" s="3800" t="str">
        <f>'2-A All'!C85:C86</f>
        <v>N/A</v>
      </c>
      <c r="D85" s="3800" t="str">
        <f>'2-A All'!D85:D86</f>
        <v>N/A</v>
      </c>
      <c r="E85" s="3800" t="str">
        <f>'2-A All'!E85:E86</f>
        <v>N/A</v>
      </c>
      <c r="F85" s="3800" t="str">
        <f>'2-A All'!F85:F86</f>
        <v>N/A</v>
      </c>
      <c r="G85" s="3800" t="str">
        <f>'2-A All'!G85:G86</f>
        <v>N/A</v>
      </c>
      <c r="H85" s="2437" t="s">
        <v>94</v>
      </c>
      <c r="I85" s="567" t="str">
        <f>'2-A All'!I85</f>
        <v>NA</v>
      </c>
      <c r="J85" s="3800">
        <f>'2-A All'!J85:J86</f>
        <v>31088811</v>
      </c>
      <c r="K85" s="3805" t="s">
        <v>1263</v>
      </c>
      <c r="L85" s="3809" t="s">
        <v>133</v>
      </c>
      <c r="M85" s="3807" t="s">
        <v>133</v>
      </c>
    </row>
    <row r="86" spans="1:13" s="568" customFormat="1" ht="20.25" customHeight="1">
      <c r="A86" s="3799"/>
      <c r="B86" s="3801"/>
      <c r="C86" s="3801"/>
      <c r="D86" s="3801"/>
      <c r="E86" s="3801"/>
      <c r="F86" s="3801"/>
      <c r="G86" s="3801"/>
      <c r="H86" s="569" t="s">
        <v>94</v>
      </c>
      <c r="I86" s="569" t="str">
        <f>'2-A All'!I86</f>
        <v>ROAD</v>
      </c>
      <c r="J86" s="3801"/>
      <c r="K86" s="3806"/>
      <c r="L86" s="3810"/>
      <c r="M86" s="3808"/>
    </row>
    <row r="87" spans="1:13" s="568" customFormat="1" ht="20.25" customHeight="1">
      <c r="A87" s="3798" t="str">
        <f>'2-A All'!A87:A88</f>
        <v>PWTK1</v>
      </c>
      <c r="B87" s="3800" t="str">
        <f>'2-A All'!B87:B88</f>
        <v>Produced Water Tank 1</v>
      </c>
      <c r="C87" s="3800" t="str">
        <f>'2-A All'!C87:C88</f>
        <v>TBD</v>
      </c>
      <c r="D87" s="3800" t="str">
        <f>'2-A All'!D87:D88</f>
        <v>N/A</v>
      </c>
      <c r="E87" s="3800" t="str">
        <f>'2-A All'!E87:E88</f>
        <v>TBD</v>
      </c>
      <c r="F87" s="3800" t="str">
        <f>'2-A All'!F87:F88</f>
        <v>750 bbl</v>
      </c>
      <c r="G87" s="3800" t="str">
        <f>'2-A All'!G87:G88</f>
        <v>750 bbl</v>
      </c>
      <c r="H87" s="2437" t="s">
        <v>94</v>
      </c>
      <c r="I87" s="567" t="str">
        <f>'2-A All'!I87</f>
        <v>ECD1</v>
      </c>
      <c r="J87" s="3800">
        <f>'2-A All'!J87:J88</f>
        <v>40400315</v>
      </c>
      <c r="K87" s="3805" t="s">
        <v>1263</v>
      </c>
      <c r="L87" s="3809" t="s">
        <v>133</v>
      </c>
      <c r="M87" s="3807" t="s">
        <v>133</v>
      </c>
    </row>
    <row r="88" spans="1:13" s="568" customFormat="1" ht="20.25" customHeight="1">
      <c r="A88" s="3799"/>
      <c r="B88" s="3801"/>
      <c r="C88" s="3801"/>
      <c r="D88" s="3801"/>
      <c r="E88" s="3801"/>
      <c r="F88" s="3801"/>
      <c r="G88" s="3801"/>
      <c r="H88" s="569" t="s">
        <v>94</v>
      </c>
      <c r="I88" s="569" t="str">
        <f>'2-A All'!I88</f>
        <v>ECD1</v>
      </c>
      <c r="J88" s="3801"/>
      <c r="K88" s="3806"/>
      <c r="L88" s="3810"/>
      <c r="M88" s="3808"/>
    </row>
    <row r="89" spans="1:13" s="568" customFormat="1" ht="20.25" customHeight="1">
      <c r="A89" s="3798" t="str">
        <f>'2-A All'!A89:A90</f>
        <v>PWTK2</v>
      </c>
      <c r="B89" s="3800" t="str">
        <f>'2-A All'!B89:B90</f>
        <v>Produced Water Tank 2</v>
      </c>
      <c r="C89" s="3800" t="str">
        <f>'2-A All'!C89:C90</f>
        <v>TBD</v>
      </c>
      <c r="D89" s="3800" t="str">
        <f>'2-A All'!D89:D90</f>
        <v>N/A</v>
      </c>
      <c r="E89" s="3800" t="str">
        <f>'2-A All'!E89:E90</f>
        <v>TBD</v>
      </c>
      <c r="F89" s="3800" t="str">
        <f>'2-A All'!F89:F90</f>
        <v>750 bbl</v>
      </c>
      <c r="G89" s="3800" t="str">
        <f>'2-A All'!G89:G90</f>
        <v>750 bbl</v>
      </c>
      <c r="H89" s="2437" t="s">
        <v>94</v>
      </c>
      <c r="I89" s="567" t="str">
        <f>'2-A All'!I89</f>
        <v>ECD1</v>
      </c>
      <c r="J89" s="3800">
        <f>'2-A All'!J89:J90</f>
        <v>40400315</v>
      </c>
      <c r="K89" s="3805" t="s">
        <v>1263</v>
      </c>
      <c r="L89" s="3809" t="s">
        <v>133</v>
      </c>
      <c r="M89" s="3807" t="s">
        <v>133</v>
      </c>
    </row>
    <row r="90" spans="1:13" s="568" customFormat="1" ht="20.25" customHeight="1">
      <c r="A90" s="3799"/>
      <c r="B90" s="3801"/>
      <c r="C90" s="3801"/>
      <c r="D90" s="3801"/>
      <c r="E90" s="3801"/>
      <c r="F90" s="3801"/>
      <c r="G90" s="3801"/>
      <c r="H90" s="569" t="s">
        <v>94</v>
      </c>
      <c r="I90" s="569" t="str">
        <f>'2-A All'!I90</f>
        <v>ECD1</v>
      </c>
      <c r="J90" s="3801"/>
      <c r="K90" s="3806"/>
      <c r="L90" s="3810"/>
      <c r="M90" s="3808"/>
    </row>
    <row r="91" spans="1:13" s="568" customFormat="1" ht="20.25" customHeight="1">
      <c r="A91" s="3798" t="str">
        <f>'2-A All'!A91:A92</f>
        <v>PWTL</v>
      </c>
      <c r="B91" s="3800" t="str">
        <f>'2-A All'!B91:B92</f>
        <v>Produced Water Loading</v>
      </c>
      <c r="C91" s="3800" t="str">
        <f>'2-A All'!C91:C92</f>
        <v>N/A</v>
      </c>
      <c r="D91" s="3800" t="str">
        <f>'2-A All'!D91:D92</f>
        <v>N/A</v>
      </c>
      <c r="E91" s="3800" t="str">
        <f>'2-A All'!E91:E92</f>
        <v>N/A</v>
      </c>
      <c r="F91" s="3800" t="str">
        <f>'2-A All'!F91:F92</f>
        <v>N/A</v>
      </c>
      <c r="G91" s="3800" t="str">
        <f>'2-A All'!G91:G92</f>
        <v>10,308 bbl/day</v>
      </c>
      <c r="H91" s="2437" t="s">
        <v>94</v>
      </c>
      <c r="I91" s="567" t="str">
        <f>'2-A All'!I91</f>
        <v>NA</v>
      </c>
      <c r="J91" s="3800">
        <f>'2-A All'!J91:J92</f>
        <v>40400250</v>
      </c>
      <c r="K91" s="3805" t="s">
        <v>1263</v>
      </c>
      <c r="L91" s="3809" t="s">
        <v>133</v>
      </c>
      <c r="M91" s="3807" t="s">
        <v>133</v>
      </c>
    </row>
    <row r="92" spans="1:13" s="568" customFormat="1" ht="20.25" customHeight="1">
      <c r="A92" s="3799"/>
      <c r="B92" s="3801"/>
      <c r="C92" s="3801"/>
      <c r="D92" s="3801"/>
      <c r="E92" s="3801"/>
      <c r="F92" s="3801"/>
      <c r="G92" s="3801"/>
      <c r="H92" s="569" t="s">
        <v>94</v>
      </c>
      <c r="I92" s="569" t="str">
        <f>'2-A All'!I92</f>
        <v>PWTL</v>
      </c>
      <c r="J92" s="3801"/>
      <c r="K92" s="3806"/>
      <c r="L92" s="3810"/>
      <c r="M92" s="3808"/>
    </row>
    <row r="93" spans="1:13" s="568" customFormat="1" ht="20.25" customHeight="1">
      <c r="A93" s="3798" t="str">
        <f>'2-A All'!A93:A94</f>
        <v>OTL</v>
      </c>
      <c r="B93" s="3800" t="str">
        <f>'2-A All'!B93:B94</f>
        <v>Slop Oil Loading</v>
      </c>
      <c r="C93" s="3800" t="str">
        <f>'2-A All'!C93:C94</f>
        <v>N/A</v>
      </c>
      <c r="D93" s="3800" t="str">
        <f>'2-A All'!D93:D94</f>
        <v>N/A</v>
      </c>
      <c r="E93" s="3800" t="str">
        <f>'2-A All'!E93:E94</f>
        <v>N/A</v>
      </c>
      <c r="F93" s="3800" t="str">
        <f>'2-A All'!F93:F94</f>
        <v>210 bbl/day</v>
      </c>
      <c r="G93" s="3800" t="str">
        <f>'2-A All'!G93:G94</f>
        <v>210 bbl/day</v>
      </c>
      <c r="H93" s="2437" t="s">
        <v>94</v>
      </c>
      <c r="I93" s="567" t="str">
        <f>'2-A All'!I93</f>
        <v>NA</v>
      </c>
      <c r="J93" s="3800">
        <f>'2-A All'!J93:J94</f>
        <v>40400250</v>
      </c>
      <c r="K93" s="3805" t="s">
        <v>1263</v>
      </c>
      <c r="L93" s="3809" t="s">
        <v>133</v>
      </c>
      <c r="M93" s="3807" t="s">
        <v>133</v>
      </c>
    </row>
    <row r="94" spans="1:13" s="568" customFormat="1" ht="20.25" customHeight="1">
      <c r="A94" s="3799"/>
      <c r="B94" s="3801"/>
      <c r="C94" s="3801"/>
      <c r="D94" s="3801"/>
      <c r="E94" s="3801"/>
      <c r="F94" s="3801"/>
      <c r="G94" s="3801"/>
      <c r="H94" s="569" t="s">
        <v>94</v>
      </c>
      <c r="I94" s="569" t="str">
        <f>'2-A All'!I94</f>
        <v>OTL</v>
      </c>
      <c r="J94" s="3801"/>
      <c r="K94" s="3806"/>
      <c r="L94" s="3810"/>
      <c r="M94" s="3808"/>
    </row>
    <row r="95" spans="1:13" s="568" customFormat="1" ht="20.25" customHeight="1">
      <c r="A95" s="3798" t="str">
        <f>'2-A All'!A95:A96</f>
        <v>AU1</v>
      </c>
      <c r="B95" s="3800" t="str">
        <f>'2-A All'!B95:B96</f>
        <v>Amine Unit 1</v>
      </c>
      <c r="C95" s="3800" t="str">
        <f>'2-A All'!C95:C96</f>
        <v>TBD</v>
      </c>
      <c r="D95" s="3800" t="str">
        <f>'2-A All'!D95:D96</f>
        <v>N/A</v>
      </c>
      <c r="E95" s="3800" t="str">
        <f>'2-A All'!E95:E96</f>
        <v>TBD</v>
      </c>
      <c r="F95" s="3800" t="str">
        <f>'2-A All'!F95:F96</f>
        <v>250 MMSCFD</v>
      </c>
      <c r="G95" s="3800" t="str">
        <f>'2-A All'!G95:G96</f>
        <v>250 MMSCFD</v>
      </c>
      <c r="H95" s="2437" t="s">
        <v>94</v>
      </c>
      <c r="I95" s="567" t="str">
        <f>'2-A All'!I95</f>
        <v>TO1</v>
      </c>
      <c r="J95" s="3800">
        <f>'2-A All'!J95:J96</f>
        <v>31000305</v>
      </c>
      <c r="K95" s="3805" t="s">
        <v>1263</v>
      </c>
      <c r="L95" s="3809" t="s">
        <v>133</v>
      </c>
      <c r="M95" s="3807" t="s">
        <v>133</v>
      </c>
    </row>
    <row r="96" spans="1:13" s="568" customFormat="1" ht="20.25" customHeight="1">
      <c r="A96" s="3799"/>
      <c r="B96" s="3801"/>
      <c r="C96" s="3801"/>
      <c r="D96" s="3801"/>
      <c r="E96" s="3801"/>
      <c r="F96" s="3801"/>
      <c r="G96" s="3801"/>
      <c r="H96" s="569" t="s">
        <v>94</v>
      </c>
      <c r="I96" s="569" t="str">
        <f>'2-A All'!I96</f>
        <v>TO1</v>
      </c>
      <c r="J96" s="3801"/>
      <c r="K96" s="3806"/>
      <c r="L96" s="3810"/>
      <c r="M96" s="3808"/>
    </row>
    <row r="97" spans="1:13" s="568" customFormat="1" ht="20.25" customHeight="1">
      <c r="A97" s="3798" t="str">
        <f>'2-A All'!A97:A98</f>
        <v>AU2</v>
      </c>
      <c r="B97" s="3800" t="str">
        <f>'2-A All'!B97:B98</f>
        <v>Amine Unit 2</v>
      </c>
      <c r="C97" s="3800" t="str">
        <f>'2-A All'!C97:C98</f>
        <v>TBD</v>
      </c>
      <c r="D97" s="3800" t="str">
        <f>'2-A All'!D97:D98</f>
        <v>N/A</v>
      </c>
      <c r="E97" s="3800" t="str">
        <f>'2-A All'!E97:E98</f>
        <v>TBD</v>
      </c>
      <c r="F97" s="3800" t="str">
        <f>'2-A All'!F97:F98</f>
        <v>250 MMSCFD</v>
      </c>
      <c r="G97" s="3800" t="str">
        <f>'2-A All'!G97:G98</f>
        <v>250 MMSCFD</v>
      </c>
      <c r="H97" s="2437" t="s">
        <v>94</v>
      </c>
      <c r="I97" s="567" t="str">
        <f>'2-A All'!I97</f>
        <v>TO2</v>
      </c>
      <c r="J97" s="3800">
        <f>'2-A All'!J97:J98</f>
        <v>31000305</v>
      </c>
      <c r="K97" s="3805" t="s">
        <v>1263</v>
      </c>
      <c r="L97" s="3809" t="s">
        <v>133</v>
      </c>
      <c r="M97" s="3807" t="s">
        <v>133</v>
      </c>
    </row>
    <row r="98" spans="1:13" s="568" customFormat="1" ht="20.25" customHeight="1">
      <c r="A98" s="3799"/>
      <c r="B98" s="3801"/>
      <c r="C98" s="3801"/>
      <c r="D98" s="3801"/>
      <c r="E98" s="3801"/>
      <c r="F98" s="3801"/>
      <c r="G98" s="3801"/>
      <c r="H98" s="569" t="s">
        <v>94</v>
      </c>
      <c r="I98" s="569" t="str">
        <f>'2-A All'!I98</f>
        <v>TO2</v>
      </c>
      <c r="J98" s="3801"/>
      <c r="K98" s="3806"/>
      <c r="L98" s="3810"/>
      <c r="M98" s="3808"/>
    </row>
    <row r="99" spans="1:13" s="568" customFormat="1" ht="20.25" customHeight="1">
      <c r="A99" s="3798" t="str">
        <f>'2-A All'!A99:A100</f>
        <v>AU3</v>
      </c>
      <c r="B99" s="3800" t="str">
        <f>'2-A All'!B99:B100</f>
        <v>Amine Unit 3</v>
      </c>
      <c r="C99" s="3800" t="str">
        <f>'2-A All'!C99:C100</f>
        <v>TBD</v>
      </c>
      <c r="D99" s="3800" t="str">
        <f>'2-A All'!D99:D100</f>
        <v>N/A</v>
      </c>
      <c r="E99" s="3800" t="str">
        <f>'2-A All'!E99:E100</f>
        <v>TBD</v>
      </c>
      <c r="F99" s="3800" t="str">
        <f>'2-A All'!F99:F100</f>
        <v>250 MMSCFD</v>
      </c>
      <c r="G99" s="3800" t="str">
        <f>'2-A All'!G99:G100</f>
        <v>250 MMSCFD</v>
      </c>
      <c r="H99" s="2437" t="s">
        <v>94</v>
      </c>
      <c r="I99" s="567" t="str">
        <f>'2-A All'!I99</f>
        <v>TO3</v>
      </c>
      <c r="J99" s="3800">
        <f>'2-A All'!J99:J100</f>
        <v>31000305</v>
      </c>
      <c r="K99" s="3805" t="s">
        <v>1263</v>
      </c>
      <c r="L99" s="3809" t="s">
        <v>133</v>
      </c>
      <c r="M99" s="3807" t="s">
        <v>133</v>
      </c>
    </row>
    <row r="100" spans="1:13" s="568" customFormat="1" ht="20.25" customHeight="1">
      <c r="A100" s="3799"/>
      <c r="B100" s="3801"/>
      <c r="C100" s="3801"/>
      <c r="D100" s="3801"/>
      <c r="E100" s="3801"/>
      <c r="F100" s="3801"/>
      <c r="G100" s="3801"/>
      <c r="H100" s="569" t="s">
        <v>94</v>
      </c>
      <c r="I100" s="569" t="str">
        <f>'2-A All'!I100</f>
        <v>TO3</v>
      </c>
      <c r="J100" s="3801"/>
      <c r="K100" s="3806"/>
      <c r="L100" s="3810"/>
      <c r="M100" s="3808"/>
    </row>
    <row r="101" spans="1:13" s="568" customFormat="1" ht="20.25" customHeight="1">
      <c r="A101" s="3798" t="str">
        <f>'2-A All'!A101:A102</f>
        <v>GBS1</v>
      </c>
      <c r="B101" s="3800" t="str">
        <f>'2-A All'!B101:B102</f>
        <v>Gunbarrel Tank</v>
      </c>
      <c r="C101" s="3800" t="str">
        <f>'2-A All'!C101:C102</f>
        <v>Advance Tank</v>
      </c>
      <c r="D101" s="3800" t="str">
        <f>'2-A All'!D101:D102</f>
        <v>N/A</v>
      </c>
      <c r="E101" s="3800" t="str">
        <f>'2-A All'!E101:E102</f>
        <v>TBD</v>
      </c>
      <c r="F101" s="3800" t="str">
        <f>'2-A All'!F101:F102</f>
        <v>1,000 bbl</v>
      </c>
      <c r="G101" s="3800" t="str">
        <f>'2-A All'!G101:G102</f>
        <v>1,000 bbl</v>
      </c>
      <c r="H101" s="2437" t="s">
        <v>94</v>
      </c>
      <c r="I101" s="567" t="str">
        <f>'2-A All'!I101</f>
        <v>ECD1</v>
      </c>
      <c r="J101" s="3800">
        <f>'2-A All'!J101:J102</f>
        <v>31000506</v>
      </c>
      <c r="K101" s="3805" t="s">
        <v>1263</v>
      </c>
      <c r="L101" s="3809" t="s">
        <v>133</v>
      </c>
      <c r="M101" s="3807" t="s">
        <v>133</v>
      </c>
    </row>
    <row r="102" spans="1:13" s="568" customFormat="1" ht="20.25" customHeight="1">
      <c r="A102" s="3799"/>
      <c r="B102" s="3801"/>
      <c r="C102" s="3801"/>
      <c r="D102" s="3801"/>
      <c r="E102" s="3801"/>
      <c r="F102" s="3801"/>
      <c r="G102" s="3801"/>
      <c r="H102" s="569" t="s">
        <v>94</v>
      </c>
      <c r="I102" s="569" t="str">
        <f>'2-A All'!I102</f>
        <v>ECD1</v>
      </c>
      <c r="J102" s="3801"/>
      <c r="K102" s="3806"/>
      <c r="L102" s="3810"/>
      <c r="M102" s="3808"/>
    </row>
    <row r="103" spans="1:13" s="568" customFormat="1" ht="20.25" customHeight="1">
      <c r="A103" s="3798" t="str">
        <f>'2-A All'!A103:A104</f>
        <v>OTK7</v>
      </c>
      <c r="B103" s="3800" t="str">
        <f>'2-A All'!B103:B104</f>
        <v>Slop Oil Tank</v>
      </c>
      <c r="C103" s="3800" t="str">
        <f>'2-A All'!C103:C104</f>
        <v>Advance Tank</v>
      </c>
      <c r="D103" s="3800" t="str">
        <f>'2-A All'!D103:D104</f>
        <v>N/A</v>
      </c>
      <c r="E103" s="3800" t="str">
        <f>'2-A All'!E103:E104</f>
        <v>TBD</v>
      </c>
      <c r="F103" s="3800" t="str">
        <f>'2-A All'!F103:F104</f>
        <v>500 bbl</v>
      </c>
      <c r="G103" s="3800" t="str">
        <f>'2-A All'!G103:G104</f>
        <v>500 bbl</v>
      </c>
      <c r="H103" s="2581" t="s">
        <v>94</v>
      </c>
      <c r="I103" s="567" t="str">
        <f>'2-A All'!I103</f>
        <v>ECD1</v>
      </c>
      <c r="J103" s="3800">
        <f>'2-A All'!J103:J104</f>
        <v>40400311</v>
      </c>
      <c r="K103" s="3805" t="s">
        <v>1263</v>
      </c>
      <c r="L103" s="3809" t="s">
        <v>133</v>
      </c>
      <c r="M103" s="3807" t="s">
        <v>133</v>
      </c>
    </row>
    <row r="104" spans="1:13" s="568" customFormat="1" ht="20.25" customHeight="1">
      <c r="A104" s="3799"/>
      <c r="B104" s="3801"/>
      <c r="C104" s="3801"/>
      <c r="D104" s="3801"/>
      <c r="E104" s="3801"/>
      <c r="F104" s="3801"/>
      <c r="G104" s="3801"/>
      <c r="H104" s="569" t="s">
        <v>94</v>
      </c>
      <c r="I104" s="569" t="str">
        <f>'2-A All'!I104</f>
        <v>ECD1</v>
      </c>
      <c r="J104" s="3801"/>
      <c r="K104" s="3806"/>
      <c r="L104" s="3810"/>
      <c r="M104" s="3808"/>
    </row>
    <row r="105" spans="1:13" s="568" customFormat="1" ht="20.25" customHeight="1">
      <c r="A105" s="3858" t="str">
        <f>'2-A All'!A113</f>
        <v>GEN1</v>
      </c>
      <c r="B105" s="3818" t="str">
        <f>'2-A All'!B113</f>
        <v>Emergency Generator</v>
      </c>
      <c r="C105" s="3818" t="str">
        <f>'2-A All'!C113</f>
        <v>Caterpillar</v>
      </c>
      <c r="D105" s="3818" t="str">
        <f>'2-A All'!D113</f>
        <v>G3520H</v>
      </c>
      <c r="E105" s="3818" t="str">
        <f>'2-A All'!E113</f>
        <v>TBD</v>
      </c>
      <c r="F105" s="3818" t="str">
        <f>'2-A All'!F113</f>
        <v>3448 HP</v>
      </c>
      <c r="G105" s="3818" t="str">
        <f>'2-A All'!G113</f>
        <v>3448 HP</v>
      </c>
      <c r="H105" s="2623" t="str">
        <f>'2-A All'!H113</f>
        <v>TBD</v>
      </c>
      <c r="I105" s="2440" t="str">
        <f>'2-A All'!I113</f>
        <v>NA</v>
      </c>
      <c r="J105" s="3856">
        <f>'2-A All'!J113</f>
        <v>20200254</v>
      </c>
      <c r="K105" s="3860" t="s">
        <v>1263</v>
      </c>
      <c r="L105" s="3856" t="str">
        <f>'2-A All'!L113</f>
        <v>4SLB</v>
      </c>
      <c r="M105" s="3807" t="s">
        <v>133</v>
      </c>
    </row>
    <row r="106" spans="1:13" s="568" customFormat="1" ht="20.25" customHeight="1">
      <c r="A106" s="3859"/>
      <c r="B106" s="3819"/>
      <c r="C106" s="3819"/>
      <c r="D106" s="3819"/>
      <c r="E106" s="3819"/>
      <c r="F106" s="3819"/>
      <c r="G106" s="3819"/>
      <c r="H106" s="569" t="str">
        <f>'2-A All'!H114</f>
        <v>TBD</v>
      </c>
      <c r="I106" s="2441" t="str">
        <f>'2-A All'!I114</f>
        <v>GEN1</v>
      </c>
      <c r="J106" s="3857"/>
      <c r="K106" s="3861"/>
      <c r="L106" s="3857"/>
      <c r="M106" s="3808"/>
    </row>
    <row r="107" spans="1:13" s="568" customFormat="1" ht="20.25" customHeight="1">
      <c r="A107" s="3858" t="str">
        <f>'2-A All'!A115</f>
        <v>GEN2</v>
      </c>
      <c r="B107" s="3818" t="str">
        <f>'2-A All'!B115</f>
        <v>Emergency Generator</v>
      </c>
      <c r="C107" s="3818" t="str">
        <f>'2-A All'!C115</f>
        <v>Caterpillar</v>
      </c>
      <c r="D107" s="3818" t="str">
        <f>'2-A All'!D115</f>
        <v>G3520H</v>
      </c>
      <c r="E107" s="3818" t="str">
        <f>'2-A All'!E115</f>
        <v>TBD</v>
      </c>
      <c r="F107" s="3818" t="str">
        <f>'2-A All'!F115</f>
        <v>3448 HP</v>
      </c>
      <c r="G107" s="3818" t="str">
        <f>'2-A All'!G115</f>
        <v>3448 HP</v>
      </c>
      <c r="H107" s="2624" t="str">
        <f>'2-A All'!H115</f>
        <v>TBD</v>
      </c>
      <c r="I107" s="2440" t="str">
        <f>'2-A All'!I115</f>
        <v>NA</v>
      </c>
      <c r="J107" s="3856">
        <f>'2-A All'!J115</f>
        <v>20200254</v>
      </c>
      <c r="K107" s="3860" t="s">
        <v>1263</v>
      </c>
      <c r="L107" s="3856" t="str">
        <f>'2-A All'!L115</f>
        <v>4SLB</v>
      </c>
      <c r="M107" s="3807" t="s">
        <v>133</v>
      </c>
    </row>
    <row r="108" spans="1:13" s="568" customFormat="1" ht="20.25" customHeight="1">
      <c r="A108" s="3859"/>
      <c r="B108" s="3819"/>
      <c r="C108" s="3819"/>
      <c r="D108" s="3819"/>
      <c r="E108" s="3819"/>
      <c r="F108" s="3819"/>
      <c r="G108" s="3819"/>
      <c r="H108" s="2441" t="str">
        <f>'2-A All'!H116</f>
        <v>TBD</v>
      </c>
      <c r="I108" s="2441" t="str">
        <f>'2-A All'!I116</f>
        <v>GEN2</v>
      </c>
      <c r="J108" s="3857"/>
      <c r="K108" s="3861"/>
      <c r="L108" s="3857"/>
      <c r="M108" s="3808"/>
    </row>
    <row r="109" spans="1:13" s="568" customFormat="1" ht="20.25" customHeight="1">
      <c r="A109" s="3858" t="str">
        <f>'2-A All'!A117</f>
        <v>GEN3</v>
      </c>
      <c r="B109" s="3818" t="str">
        <f>'2-A All'!B117</f>
        <v>Emergency Generator</v>
      </c>
      <c r="C109" s="3818" t="str">
        <f>'2-A All'!C117</f>
        <v>Caterpillar</v>
      </c>
      <c r="D109" s="3818" t="str">
        <f>'2-A All'!D117</f>
        <v>G3520H</v>
      </c>
      <c r="E109" s="3818" t="str">
        <f>'2-A All'!E117</f>
        <v>TBD</v>
      </c>
      <c r="F109" s="3818" t="str">
        <f>'2-A All'!F117</f>
        <v>3448 HP</v>
      </c>
      <c r="G109" s="3818" t="str">
        <f>'2-A All'!G117</f>
        <v>3448 HP</v>
      </c>
      <c r="H109" s="2624" t="str">
        <f>'2-A All'!H117</f>
        <v>TBD</v>
      </c>
      <c r="I109" s="2440" t="str">
        <f>'2-A All'!I117</f>
        <v>NA</v>
      </c>
      <c r="J109" s="3856">
        <f>'2-A All'!J117</f>
        <v>20200254</v>
      </c>
      <c r="K109" s="3860" t="s">
        <v>1263</v>
      </c>
      <c r="L109" s="3856" t="str">
        <f>'2-A All'!L117</f>
        <v>4SLB</v>
      </c>
      <c r="M109" s="3807" t="s">
        <v>133</v>
      </c>
    </row>
    <row r="110" spans="1:13" s="568" customFormat="1" ht="20.25" customHeight="1">
      <c r="A110" s="3859"/>
      <c r="B110" s="3819"/>
      <c r="C110" s="3819"/>
      <c r="D110" s="3819"/>
      <c r="E110" s="3819"/>
      <c r="F110" s="3819"/>
      <c r="G110" s="3819"/>
      <c r="H110" s="2441" t="str">
        <f>'2-A All'!H118</f>
        <v>TBD</v>
      </c>
      <c r="I110" s="2441" t="str">
        <f>'2-A All'!I118</f>
        <v>GEN3</v>
      </c>
      <c r="J110" s="3857"/>
      <c r="K110" s="3861"/>
      <c r="L110" s="3857"/>
      <c r="M110" s="3808"/>
    </row>
    <row r="111" spans="1:13" s="568" customFormat="1" ht="20.25" customHeight="1">
      <c r="A111" s="3858" t="str">
        <f>'2-A All'!A119</f>
        <v>GEN4</v>
      </c>
      <c r="B111" s="3818" t="str">
        <f>'2-A All'!B119</f>
        <v>Emergency Generator</v>
      </c>
      <c r="C111" s="3818" t="str">
        <f>'2-A All'!C119</f>
        <v>Caterpillar</v>
      </c>
      <c r="D111" s="3818" t="str">
        <f>'2-A All'!D119</f>
        <v>G3520H</v>
      </c>
      <c r="E111" s="3818" t="str">
        <f>'2-A All'!E119</f>
        <v>TBD</v>
      </c>
      <c r="F111" s="3818" t="str">
        <f>'2-A All'!F119</f>
        <v>3448 HP</v>
      </c>
      <c r="G111" s="3818" t="str">
        <f>'2-A All'!G119</f>
        <v>3448 HP</v>
      </c>
      <c r="H111" s="2624" t="str">
        <f>'2-A All'!H119</f>
        <v>TBD</v>
      </c>
      <c r="I111" s="2440" t="str">
        <f>'2-A All'!I119</f>
        <v>NA</v>
      </c>
      <c r="J111" s="3856">
        <f>'2-A All'!J119</f>
        <v>20200254</v>
      </c>
      <c r="K111" s="3860" t="s">
        <v>1263</v>
      </c>
      <c r="L111" s="3856" t="str">
        <f>'2-A All'!L119</f>
        <v>4SLB</v>
      </c>
      <c r="M111" s="3807" t="s">
        <v>133</v>
      </c>
    </row>
    <row r="112" spans="1:13" s="568" customFormat="1" ht="20.25" customHeight="1">
      <c r="A112" s="3859"/>
      <c r="B112" s="3819"/>
      <c r="C112" s="3819"/>
      <c r="D112" s="3819"/>
      <c r="E112" s="3819"/>
      <c r="F112" s="3819"/>
      <c r="G112" s="3819"/>
      <c r="H112" s="2441" t="str">
        <f>'2-A All'!H120</f>
        <v>TBD</v>
      </c>
      <c r="I112" s="2441" t="str">
        <f>'2-A All'!I120</f>
        <v>GEN4</v>
      </c>
      <c r="J112" s="3857"/>
      <c r="K112" s="3861"/>
      <c r="L112" s="3857"/>
      <c r="M112" s="3808"/>
    </row>
    <row r="113" spans="1:13" s="568" customFormat="1" ht="20.25" customHeight="1">
      <c r="A113" s="3858" t="str">
        <f>'2-A All'!A121</f>
        <v>GEN5</v>
      </c>
      <c r="B113" s="3818" t="str">
        <f>'2-A All'!B121</f>
        <v>Emergency Generator</v>
      </c>
      <c r="C113" s="3818" t="str">
        <f>'2-A All'!C121</f>
        <v>Caterpillar</v>
      </c>
      <c r="D113" s="3818" t="str">
        <f>'2-A All'!D121</f>
        <v>G3520H</v>
      </c>
      <c r="E113" s="3818" t="str">
        <f>'2-A All'!E121</f>
        <v>TBD</v>
      </c>
      <c r="F113" s="3818" t="str">
        <f>'2-A All'!F121</f>
        <v>3448 HP</v>
      </c>
      <c r="G113" s="3818" t="str">
        <f>'2-A All'!G121</f>
        <v>3448 HP</v>
      </c>
      <c r="H113" s="2624" t="str">
        <f>'2-A All'!H121</f>
        <v>TBD</v>
      </c>
      <c r="I113" s="2440" t="str">
        <f>'2-A All'!I121</f>
        <v>NA</v>
      </c>
      <c r="J113" s="3856">
        <f>'2-A All'!J121</f>
        <v>20200254</v>
      </c>
      <c r="K113" s="3860" t="s">
        <v>1263</v>
      </c>
      <c r="L113" s="3856" t="str">
        <f>'2-A All'!L121</f>
        <v>4SLB</v>
      </c>
      <c r="M113" s="3807" t="s">
        <v>133</v>
      </c>
    </row>
    <row r="114" spans="1:13" s="568" customFormat="1" ht="20.25" customHeight="1">
      <c r="A114" s="3859"/>
      <c r="B114" s="3819"/>
      <c r="C114" s="3819"/>
      <c r="D114" s="3819"/>
      <c r="E114" s="3819"/>
      <c r="F114" s="3819"/>
      <c r="G114" s="3819"/>
      <c r="H114" s="2441" t="str">
        <f>'2-A All'!H122</f>
        <v>TBD</v>
      </c>
      <c r="I114" s="2441" t="str">
        <f>'2-A All'!I122</f>
        <v>GEN5</v>
      </c>
      <c r="J114" s="3857"/>
      <c r="K114" s="3861"/>
      <c r="L114" s="3857"/>
      <c r="M114" s="3808"/>
    </row>
    <row r="115" spans="1:13" s="568" customFormat="1" ht="20.25" customHeight="1">
      <c r="A115" s="3858" t="str">
        <f>'2-A All'!A123</f>
        <v>GEN6</v>
      </c>
      <c r="B115" s="3818" t="str">
        <f>'2-A All'!B123</f>
        <v>Emergency Generator</v>
      </c>
      <c r="C115" s="3818" t="str">
        <f>'2-A All'!C123</f>
        <v>Caterpillar</v>
      </c>
      <c r="D115" s="3818" t="str">
        <f>'2-A All'!D123</f>
        <v>G3520H</v>
      </c>
      <c r="E115" s="3818" t="str">
        <f>'2-A All'!E123</f>
        <v>TBD</v>
      </c>
      <c r="F115" s="3818" t="str">
        <f>'2-A All'!F123</f>
        <v>3448 HP</v>
      </c>
      <c r="G115" s="3818" t="str">
        <f>'2-A All'!G123</f>
        <v>3448 HP</v>
      </c>
      <c r="H115" s="2729" t="str">
        <f>'2-A All'!H123</f>
        <v>TBD</v>
      </c>
      <c r="I115" s="2440" t="str">
        <f>'2-A All'!I123</f>
        <v>NA</v>
      </c>
      <c r="J115" s="3856">
        <f>'2-A All'!J123</f>
        <v>20200254</v>
      </c>
      <c r="K115" s="3860" t="s">
        <v>1263</v>
      </c>
      <c r="L115" s="3856" t="str">
        <f>'2-A All'!L123</f>
        <v>4SLB</v>
      </c>
      <c r="M115" s="3807" t="s">
        <v>133</v>
      </c>
    </row>
    <row r="116" spans="1:13" s="568" customFormat="1" ht="20.25" customHeight="1">
      <c r="A116" s="3859"/>
      <c r="B116" s="3819"/>
      <c r="C116" s="3819"/>
      <c r="D116" s="3819"/>
      <c r="E116" s="3819"/>
      <c r="F116" s="3819"/>
      <c r="G116" s="3819"/>
      <c r="H116" s="2441" t="str">
        <f>'2-A All'!H124</f>
        <v>TBD</v>
      </c>
      <c r="I116" s="2441" t="str">
        <f>'2-A All'!I124</f>
        <v>GEN6</v>
      </c>
      <c r="J116" s="3857"/>
      <c r="K116" s="3861"/>
      <c r="L116" s="3857"/>
      <c r="M116" s="3808"/>
    </row>
    <row r="117" spans="1:13" s="568" customFormat="1" ht="20.25" customHeight="1">
      <c r="A117" s="3858" t="str">
        <f>'2-A All'!A125</f>
        <v>GEN7</v>
      </c>
      <c r="B117" s="3818" t="str">
        <f>'2-A All'!B125</f>
        <v>Emergency Generator</v>
      </c>
      <c r="C117" s="3818" t="str">
        <f>'2-A All'!C125</f>
        <v>Caterpillar</v>
      </c>
      <c r="D117" s="3818" t="str">
        <f>'2-A All'!D125</f>
        <v>G3520H</v>
      </c>
      <c r="E117" s="3818" t="str">
        <f>'2-A All'!E125</f>
        <v>TBD</v>
      </c>
      <c r="F117" s="3818" t="str">
        <f>'2-A All'!F125</f>
        <v>3448 HP</v>
      </c>
      <c r="G117" s="3818" t="str">
        <f>'2-A All'!G125</f>
        <v>3448 HP</v>
      </c>
      <c r="H117" s="2729" t="str">
        <f>'2-A All'!H125</f>
        <v>TBD</v>
      </c>
      <c r="I117" s="2440" t="str">
        <f>'2-A All'!I125</f>
        <v>NA</v>
      </c>
      <c r="J117" s="3856">
        <f>'2-A All'!J125</f>
        <v>20200254</v>
      </c>
      <c r="K117" s="3860" t="s">
        <v>1263</v>
      </c>
      <c r="L117" s="3856" t="str">
        <f>'2-A All'!L125</f>
        <v>4SLB</v>
      </c>
      <c r="M117" s="3807" t="s">
        <v>133</v>
      </c>
    </row>
    <row r="118" spans="1:13" s="568" customFormat="1" ht="20.25" customHeight="1">
      <c r="A118" s="3859"/>
      <c r="B118" s="3819"/>
      <c r="C118" s="3819"/>
      <c r="D118" s="3819"/>
      <c r="E118" s="3819"/>
      <c r="F118" s="3819"/>
      <c r="G118" s="3819"/>
      <c r="H118" s="2441" t="str">
        <f>'2-A All'!H126</f>
        <v>TBD</v>
      </c>
      <c r="I118" s="2441" t="str">
        <f>'2-A All'!I126</f>
        <v>GEN7</v>
      </c>
      <c r="J118" s="3857"/>
      <c r="K118" s="3861"/>
      <c r="L118" s="3857"/>
      <c r="M118" s="3808"/>
    </row>
    <row r="119" spans="1:13" s="568" customFormat="1" ht="20.25" customHeight="1">
      <c r="A119" s="3858" t="str">
        <f>'2-A All'!A127</f>
        <v>GEN8</v>
      </c>
      <c r="B119" s="3818" t="str">
        <f>'2-A All'!B127</f>
        <v>Emergency Generator</v>
      </c>
      <c r="C119" s="3818" t="str">
        <f>'2-A All'!C127</f>
        <v>Caterpillar</v>
      </c>
      <c r="D119" s="3818" t="str">
        <f>'2-A All'!D127</f>
        <v>G3520H</v>
      </c>
      <c r="E119" s="3818" t="str">
        <f>'2-A All'!E127</f>
        <v>TBD</v>
      </c>
      <c r="F119" s="3818" t="str">
        <f>'2-A All'!F127</f>
        <v>3448 HP</v>
      </c>
      <c r="G119" s="3818" t="str">
        <f>'2-A All'!G127</f>
        <v>3448 HP</v>
      </c>
      <c r="H119" s="2729" t="str">
        <f>'2-A All'!H127</f>
        <v>TBD</v>
      </c>
      <c r="I119" s="2440" t="str">
        <f>'2-A All'!I127</f>
        <v>NA</v>
      </c>
      <c r="J119" s="3856">
        <f>'2-A All'!J127</f>
        <v>20200254</v>
      </c>
      <c r="K119" s="3860" t="s">
        <v>1263</v>
      </c>
      <c r="L119" s="3856" t="str">
        <f>'2-A All'!L127</f>
        <v>4SLB</v>
      </c>
      <c r="M119" s="3807" t="s">
        <v>133</v>
      </c>
    </row>
    <row r="120" spans="1:13" s="568" customFormat="1" ht="20.25" customHeight="1">
      <c r="A120" s="3859"/>
      <c r="B120" s="3819"/>
      <c r="C120" s="3819"/>
      <c r="D120" s="3819"/>
      <c r="E120" s="3819"/>
      <c r="F120" s="3819"/>
      <c r="G120" s="3819"/>
      <c r="H120" s="2441" t="str">
        <f>'2-A All'!H128</f>
        <v>TBD</v>
      </c>
      <c r="I120" s="2441" t="str">
        <f>'2-A All'!I128</f>
        <v>GEN8</v>
      </c>
      <c r="J120" s="3857"/>
      <c r="K120" s="3861"/>
      <c r="L120" s="3857"/>
      <c r="M120" s="3808"/>
    </row>
    <row r="121" spans="1:13" s="62" customFormat="1" ht="11.25" customHeight="1">
      <c r="A121" s="61" t="s">
        <v>134</v>
      </c>
    </row>
    <row r="122" spans="1:13" s="62" customFormat="1" ht="11.25" customHeight="1">
      <c r="A122" s="61" t="s">
        <v>135</v>
      </c>
    </row>
    <row r="123" spans="1:13" s="62" customFormat="1" ht="11.25" customHeight="1">
      <c r="A123" s="61" t="s">
        <v>136</v>
      </c>
    </row>
    <row r="124" spans="1:13" ht="11.25" customHeight="1">
      <c r="A124" s="61" t="s">
        <v>137</v>
      </c>
      <c r="B124" s="56"/>
      <c r="C124" s="56"/>
      <c r="D124" s="56"/>
      <c r="E124" s="56"/>
      <c r="F124" s="56"/>
      <c r="G124" s="56"/>
    </row>
    <row r="125" spans="1:13" ht="20.75" customHeight="1">
      <c r="A125" s="56"/>
      <c r="B125" s="56"/>
      <c r="C125" s="56"/>
      <c r="D125" s="56"/>
      <c r="E125" s="56"/>
      <c r="F125" s="56"/>
      <c r="G125" s="56"/>
    </row>
    <row r="126" spans="1:13" ht="20.75" customHeight="1">
      <c r="A126" s="56"/>
      <c r="B126" s="56"/>
      <c r="C126" s="56"/>
      <c r="D126" s="56"/>
      <c r="E126" s="56"/>
      <c r="F126" s="56"/>
      <c r="G126" s="56"/>
    </row>
    <row r="127" spans="1:13" ht="20.75" customHeight="1">
      <c r="A127" s="56"/>
      <c r="B127" s="56"/>
      <c r="C127" s="56"/>
      <c r="D127" s="56"/>
      <c r="E127" s="56"/>
      <c r="F127" s="56"/>
      <c r="G127" s="56"/>
    </row>
    <row r="128" spans="1:13" ht="20.75" customHeight="1">
      <c r="A128" s="56"/>
      <c r="B128" s="56"/>
      <c r="C128" s="56"/>
      <c r="D128" s="56"/>
      <c r="E128" s="56"/>
      <c r="F128" s="56"/>
      <c r="G128" s="56"/>
    </row>
    <row r="129" spans="1:7" ht="20.75" customHeight="1">
      <c r="A129" s="56"/>
      <c r="B129" s="56"/>
      <c r="C129" s="56"/>
      <c r="D129" s="56"/>
      <c r="E129" s="56"/>
      <c r="F129" s="56"/>
      <c r="G129" s="56"/>
    </row>
    <row r="130" spans="1:7" ht="20.75" customHeight="1">
      <c r="A130" s="56"/>
      <c r="B130" s="56"/>
      <c r="C130" s="56"/>
      <c r="D130" s="56"/>
      <c r="E130" s="56"/>
      <c r="F130" s="56"/>
      <c r="G130" s="56"/>
    </row>
    <row r="131" spans="1:7" ht="20.75" customHeight="1">
      <c r="A131" s="56"/>
      <c r="B131" s="56"/>
      <c r="C131" s="56"/>
      <c r="D131" s="56"/>
      <c r="E131" s="56"/>
      <c r="F131" s="56"/>
      <c r="G131" s="56"/>
    </row>
    <row r="132" spans="1:7" ht="20.75" customHeight="1">
      <c r="A132" s="56"/>
      <c r="B132" s="56"/>
      <c r="C132" s="56"/>
      <c r="D132" s="56"/>
      <c r="E132" s="56"/>
      <c r="F132" s="56"/>
      <c r="G132" s="56"/>
    </row>
    <row r="133" spans="1:7" ht="20.75" customHeight="1">
      <c r="A133" s="56"/>
      <c r="B133" s="56"/>
      <c r="C133" s="56"/>
      <c r="D133" s="56"/>
      <c r="E133" s="56"/>
      <c r="F133" s="56"/>
      <c r="G133" s="56"/>
    </row>
    <row r="134" spans="1:7" ht="20.75" customHeight="1">
      <c r="A134" s="56"/>
      <c r="B134" s="56"/>
      <c r="C134" s="56"/>
      <c r="D134" s="56"/>
      <c r="E134" s="56"/>
      <c r="F134" s="56"/>
      <c r="G134" s="56"/>
    </row>
    <row r="135" spans="1:7" ht="20.75" customHeight="1">
      <c r="A135" s="56"/>
      <c r="B135" s="56"/>
      <c r="C135" s="56"/>
      <c r="D135" s="56"/>
      <c r="E135" s="56"/>
      <c r="F135" s="56"/>
      <c r="G135" s="56"/>
    </row>
    <row r="136" spans="1:7" ht="20.75" customHeight="1">
      <c r="A136" s="56"/>
      <c r="B136" s="56"/>
      <c r="C136" s="56"/>
      <c r="D136" s="56"/>
      <c r="E136" s="56"/>
      <c r="F136" s="56"/>
      <c r="G136" s="56"/>
    </row>
    <row r="137" spans="1:7" ht="20.75" customHeight="1">
      <c r="A137" s="56"/>
      <c r="B137" s="56"/>
      <c r="C137" s="56"/>
      <c r="D137" s="56"/>
      <c r="E137" s="56"/>
      <c r="F137" s="56"/>
      <c r="G137" s="56"/>
    </row>
    <row r="138" spans="1:7" ht="20.75" customHeight="1">
      <c r="A138" s="56"/>
      <c r="B138" s="56"/>
      <c r="C138" s="56"/>
      <c r="D138" s="56"/>
      <c r="E138" s="56"/>
      <c r="F138" s="56"/>
      <c r="G138" s="56"/>
    </row>
    <row r="139" spans="1:7" ht="20.75" customHeight="1">
      <c r="A139" s="56"/>
      <c r="B139" s="56"/>
      <c r="C139" s="56"/>
      <c r="D139" s="56"/>
      <c r="E139" s="56"/>
      <c r="F139" s="56"/>
      <c r="G139" s="56"/>
    </row>
    <row r="140" spans="1:7" ht="20.75" customHeight="1">
      <c r="A140" s="56"/>
      <c r="B140" s="56"/>
      <c r="C140" s="56"/>
      <c r="D140" s="56"/>
      <c r="E140" s="56"/>
      <c r="F140" s="56"/>
      <c r="G140" s="56"/>
    </row>
    <row r="141" spans="1:7" ht="20.75" customHeight="1">
      <c r="A141" s="56"/>
      <c r="B141" s="56"/>
      <c r="C141" s="56"/>
      <c r="D141" s="56"/>
      <c r="E141" s="56"/>
      <c r="F141" s="56"/>
      <c r="G141" s="56"/>
    </row>
    <row r="142" spans="1:7" ht="20.75" customHeight="1">
      <c r="A142" s="56"/>
      <c r="B142" s="56"/>
      <c r="C142" s="56"/>
      <c r="D142" s="56"/>
      <c r="E142" s="56"/>
      <c r="F142" s="56"/>
      <c r="G142" s="56"/>
    </row>
    <row r="143" spans="1:7" ht="20.75" customHeight="1">
      <c r="A143" s="56"/>
      <c r="B143" s="56"/>
      <c r="C143" s="56"/>
      <c r="D143" s="56"/>
      <c r="E143" s="56"/>
      <c r="F143" s="56"/>
      <c r="G143" s="56"/>
    </row>
    <row r="144" spans="1:7" ht="20.75" customHeight="1">
      <c r="A144" s="56"/>
      <c r="B144" s="56"/>
      <c r="C144" s="56"/>
      <c r="D144" s="56"/>
      <c r="E144" s="56"/>
      <c r="F144" s="56"/>
      <c r="G144" s="56"/>
    </row>
    <row r="145" spans="1:7" ht="36" customHeight="1">
      <c r="A145" s="56"/>
      <c r="B145" s="56"/>
      <c r="C145" s="56"/>
      <c r="D145" s="56"/>
      <c r="E145" s="56"/>
      <c r="F145" s="56"/>
      <c r="G145" s="56"/>
    </row>
    <row r="146" spans="1:7">
      <c r="A146" s="56"/>
      <c r="B146" s="56"/>
      <c r="C146" s="56"/>
      <c r="D146" s="56"/>
      <c r="E146" s="56"/>
      <c r="F146" s="56"/>
      <c r="G146" s="56"/>
    </row>
    <row r="147" spans="1:7" ht="20.75" customHeight="1">
      <c r="A147" s="56"/>
      <c r="B147" s="56"/>
      <c r="C147" s="56"/>
      <c r="D147" s="56"/>
      <c r="E147" s="56"/>
      <c r="F147" s="56"/>
      <c r="G147" s="56"/>
    </row>
    <row r="148" spans="1:7" ht="20.75" customHeight="1">
      <c r="A148" s="56"/>
      <c r="B148" s="56"/>
      <c r="C148" s="56"/>
      <c r="D148" s="56"/>
      <c r="E148" s="56"/>
      <c r="F148" s="56"/>
      <c r="G148" s="56"/>
    </row>
    <row r="149" spans="1:7" ht="20.75" customHeight="1">
      <c r="A149" s="56"/>
      <c r="B149" s="56"/>
      <c r="C149" s="56"/>
      <c r="D149" s="56"/>
      <c r="E149" s="56"/>
      <c r="F149" s="56"/>
      <c r="G149" s="56"/>
    </row>
    <row r="150" spans="1:7" ht="20.75" customHeight="1">
      <c r="A150" s="56"/>
      <c r="B150" s="56"/>
      <c r="C150" s="56"/>
      <c r="D150" s="56"/>
      <c r="E150" s="56"/>
      <c r="F150" s="56"/>
      <c r="G150" s="56"/>
    </row>
    <row r="151" spans="1:7" ht="25.25" customHeight="1">
      <c r="A151" s="56"/>
      <c r="B151" s="56"/>
      <c r="C151" s="56"/>
      <c r="D151" s="56"/>
      <c r="E151" s="56"/>
      <c r="F151" s="56"/>
      <c r="G151" s="56"/>
    </row>
    <row r="152" spans="1:7" ht="25.25" customHeight="1">
      <c r="A152" s="56"/>
      <c r="B152" s="56"/>
      <c r="C152" s="56"/>
      <c r="D152" s="56"/>
      <c r="E152" s="56"/>
      <c r="F152" s="56"/>
      <c r="G152" s="56"/>
    </row>
    <row r="153" spans="1:7">
      <c r="A153" s="56"/>
      <c r="B153" s="56"/>
      <c r="C153" s="56"/>
      <c r="D153" s="56"/>
      <c r="E153" s="56"/>
      <c r="F153" s="56"/>
      <c r="G153" s="56"/>
    </row>
    <row r="154" spans="1:7">
      <c r="A154" s="56"/>
      <c r="B154" s="56"/>
      <c r="C154" s="56"/>
      <c r="D154" s="56"/>
      <c r="E154" s="56"/>
      <c r="F154" s="56"/>
      <c r="G154" s="56"/>
    </row>
    <row r="155" spans="1:7">
      <c r="A155" s="56"/>
      <c r="B155" s="56"/>
      <c r="C155" s="56"/>
      <c r="D155" s="56"/>
      <c r="E155" s="56"/>
      <c r="F155" s="56"/>
      <c r="G155" s="56"/>
    </row>
    <row r="156" spans="1:7">
      <c r="A156" s="56"/>
      <c r="B156" s="56"/>
      <c r="C156" s="56"/>
      <c r="D156" s="56"/>
      <c r="E156" s="56"/>
      <c r="F156" s="56"/>
      <c r="G156" s="56"/>
    </row>
    <row r="157" spans="1:7">
      <c r="A157" s="56"/>
      <c r="B157" s="56"/>
      <c r="C157" s="56"/>
      <c r="D157" s="56"/>
      <c r="E157" s="56"/>
      <c r="F157" s="56"/>
      <c r="G157" s="56"/>
    </row>
    <row r="158" spans="1:7">
      <c r="A158" s="56"/>
      <c r="B158" s="56"/>
      <c r="C158" s="56"/>
      <c r="D158" s="56"/>
      <c r="E158" s="56"/>
      <c r="F158" s="56"/>
      <c r="G158" s="56"/>
    </row>
    <row r="159" spans="1:7">
      <c r="A159" s="56"/>
      <c r="B159" s="56"/>
      <c r="C159" s="56"/>
      <c r="D159" s="56"/>
      <c r="E159" s="56"/>
      <c r="F159" s="56"/>
      <c r="G159" s="56"/>
    </row>
    <row r="160" spans="1:7">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row r="532" spans="1:7">
      <c r="A532" s="56"/>
      <c r="B532" s="56"/>
      <c r="C532" s="56"/>
      <c r="D532" s="56"/>
      <c r="E532" s="56"/>
      <c r="F532" s="56"/>
      <c r="G532" s="56"/>
    </row>
    <row r="533" spans="1:7">
      <c r="A533" s="56"/>
      <c r="B533" s="56"/>
      <c r="C533" s="56"/>
      <c r="D533" s="56"/>
      <c r="E533" s="56"/>
      <c r="F533" s="56"/>
      <c r="G533" s="56"/>
    </row>
    <row r="534" spans="1:7">
      <c r="A534" s="56"/>
      <c r="B534" s="56"/>
      <c r="C534" s="56"/>
      <c r="D534" s="56"/>
      <c r="E534" s="56"/>
      <c r="F534" s="56"/>
      <c r="G534" s="56"/>
    </row>
    <row r="535" spans="1:7">
      <c r="A535" s="56"/>
      <c r="B535" s="56"/>
      <c r="C535" s="56"/>
      <c r="D535" s="56"/>
      <c r="E535" s="56"/>
      <c r="F535" s="56"/>
      <c r="G535" s="56"/>
    </row>
    <row r="536" spans="1:7">
      <c r="A536" s="56"/>
      <c r="B536" s="56"/>
      <c r="C536" s="56"/>
      <c r="D536" s="56"/>
      <c r="E536" s="56"/>
      <c r="F536" s="56"/>
      <c r="G536" s="56"/>
    </row>
    <row r="537" spans="1:7">
      <c r="A537" s="56"/>
      <c r="B537" s="56"/>
      <c r="C537" s="56"/>
      <c r="D537" s="56"/>
      <c r="E537" s="56"/>
      <c r="F537" s="56"/>
      <c r="G537" s="56"/>
    </row>
    <row r="538" spans="1:7">
      <c r="A538" s="56"/>
      <c r="B538" s="56"/>
      <c r="C538" s="56"/>
      <c r="D538" s="56"/>
      <c r="E538" s="56"/>
      <c r="F538" s="56"/>
      <c r="G538" s="56"/>
    </row>
    <row r="539" spans="1:7">
      <c r="A539" s="56"/>
      <c r="B539" s="56"/>
      <c r="C539" s="56"/>
      <c r="D539" s="56"/>
      <c r="E539" s="56"/>
      <c r="F539" s="56"/>
      <c r="G539" s="56"/>
    </row>
    <row r="540" spans="1:7">
      <c r="A540" s="56"/>
      <c r="B540" s="56"/>
      <c r="C540" s="56"/>
      <c r="D540" s="56"/>
      <c r="E540" s="56"/>
      <c r="F540" s="56"/>
      <c r="G540" s="56"/>
    </row>
    <row r="541" spans="1:7">
      <c r="A541" s="56"/>
      <c r="B541" s="56"/>
      <c r="C541" s="56"/>
      <c r="D541" s="56"/>
      <c r="E541" s="56"/>
      <c r="F541" s="56"/>
      <c r="G541" s="56"/>
    </row>
    <row r="542" spans="1:7">
      <c r="A542" s="56"/>
      <c r="B542" s="56"/>
      <c r="C542" s="56"/>
      <c r="D542" s="56"/>
      <c r="E542" s="56"/>
      <c r="F542" s="56"/>
      <c r="G542" s="56"/>
    </row>
    <row r="543" spans="1:7">
      <c r="A543" s="56"/>
      <c r="B543" s="56"/>
      <c r="C543" s="56"/>
      <c r="D543" s="56"/>
      <c r="E543" s="56"/>
      <c r="F543" s="56"/>
      <c r="G543" s="56"/>
    </row>
    <row r="544" spans="1:7">
      <c r="A544" s="56"/>
      <c r="B544" s="56"/>
      <c r="C544" s="56"/>
      <c r="D544" s="56"/>
      <c r="E544" s="56"/>
      <c r="F544" s="56"/>
      <c r="G544" s="56"/>
    </row>
    <row r="545" spans="1:7">
      <c r="A545" s="56"/>
      <c r="B545" s="56"/>
      <c r="C545" s="56"/>
      <c r="D545" s="56"/>
      <c r="E545" s="56"/>
      <c r="F545" s="56"/>
      <c r="G545" s="56"/>
    </row>
    <row r="546" spans="1:7">
      <c r="A546" s="56"/>
      <c r="B546" s="56"/>
      <c r="C546" s="56"/>
      <c r="D546" s="56"/>
      <c r="E546" s="56"/>
      <c r="F546" s="56"/>
      <c r="G546" s="56"/>
    </row>
    <row r="547" spans="1:7">
      <c r="A547" s="56"/>
      <c r="B547" s="56"/>
      <c r="C547" s="56"/>
      <c r="D547" s="56"/>
      <c r="E547" s="56"/>
      <c r="F547" s="56"/>
      <c r="G547" s="56"/>
    </row>
    <row r="548" spans="1:7">
      <c r="A548" s="56"/>
      <c r="B548" s="56"/>
      <c r="C548" s="56"/>
      <c r="D548" s="56"/>
      <c r="E548" s="56"/>
      <c r="F548" s="56"/>
      <c r="G548" s="56"/>
    </row>
    <row r="549" spans="1:7">
      <c r="A549" s="56"/>
      <c r="B549" s="56"/>
      <c r="C549" s="56"/>
      <c r="D549" s="56"/>
      <c r="E549" s="56"/>
      <c r="F549" s="56"/>
      <c r="G549" s="56"/>
    </row>
    <row r="550" spans="1:7">
      <c r="A550" s="56"/>
      <c r="B550" s="56"/>
      <c r="C550" s="56"/>
      <c r="D550" s="56"/>
      <c r="E550" s="56"/>
      <c r="F550" s="56"/>
      <c r="G550" s="56"/>
    </row>
    <row r="551" spans="1:7">
      <c r="A551" s="56"/>
      <c r="B551" s="56"/>
      <c r="C551" s="56"/>
      <c r="D551" s="56"/>
      <c r="E551" s="56"/>
      <c r="F551" s="56"/>
      <c r="G551" s="56"/>
    </row>
    <row r="552" spans="1:7">
      <c r="A552" s="56"/>
      <c r="B552" s="56"/>
      <c r="C552" s="56"/>
      <c r="D552" s="56"/>
      <c r="E552" s="56"/>
      <c r="F552" s="56"/>
      <c r="G552" s="56"/>
    </row>
    <row r="553" spans="1:7">
      <c r="A553" s="56"/>
      <c r="B553" s="56"/>
      <c r="C553" s="56"/>
      <c r="D553" s="56"/>
      <c r="E553" s="56"/>
      <c r="F553" s="56"/>
      <c r="G553" s="56"/>
    </row>
    <row r="554" spans="1:7">
      <c r="A554" s="56"/>
      <c r="B554" s="56"/>
      <c r="C554" s="56"/>
      <c r="D554" s="56"/>
      <c r="E554" s="56"/>
      <c r="F554" s="56"/>
      <c r="G554" s="56"/>
    </row>
    <row r="555" spans="1:7">
      <c r="A555" s="56"/>
      <c r="B555" s="56"/>
      <c r="C555" s="56"/>
      <c r="D555" s="56"/>
      <c r="E555" s="56"/>
      <c r="F555" s="56"/>
      <c r="G555" s="56"/>
    </row>
    <row r="556" spans="1:7">
      <c r="A556" s="56"/>
      <c r="B556" s="56"/>
      <c r="C556" s="56"/>
      <c r="D556" s="56"/>
      <c r="E556" s="56"/>
      <c r="F556" s="56"/>
      <c r="G556" s="56"/>
    </row>
    <row r="557" spans="1:7">
      <c r="A557" s="56"/>
      <c r="B557" s="56"/>
      <c r="C557" s="56"/>
      <c r="D557" s="56"/>
      <c r="E557" s="56"/>
      <c r="F557" s="56"/>
      <c r="G557" s="56"/>
    </row>
    <row r="558" spans="1:7">
      <c r="A558" s="56"/>
      <c r="B558" s="56"/>
      <c r="C558" s="56"/>
      <c r="D558" s="56"/>
      <c r="E558" s="56"/>
      <c r="F558" s="56"/>
      <c r="G558" s="56"/>
    </row>
    <row r="559" spans="1:7">
      <c r="A559" s="56"/>
      <c r="B559" s="56"/>
      <c r="C559" s="56"/>
      <c r="D559" s="56"/>
      <c r="E559" s="56"/>
      <c r="F559" s="56"/>
      <c r="G559" s="56"/>
    </row>
    <row r="560" spans="1:7">
      <c r="A560" s="56"/>
      <c r="B560" s="56"/>
      <c r="C560" s="56"/>
      <c r="D560" s="56"/>
      <c r="E560" s="56"/>
      <c r="F560" s="56"/>
      <c r="G560" s="56"/>
    </row>
    <row r="561" spans="1:7">
      <c r="A561" s="56"/>
      <c r="B561" s="56"/>
      <c r="C561" s="56"/>
      <c r="D561" s="56"/>
      <c r="E561" s="56"/>
      <c r="F561" s="56"/>
      <c r="G561" s="56"/>
    </row>
    <row r="562" spans="1:7">
      <c r="A562" s="56"/>
      <c r="B562" s="56"/>
      <c r="C562" s="56"/>
      <c r="D562" s="56"/>
      <c r="E562" s="56"/>
      <c r="F562" s="56"/>
      <c r="G562" s="56"/>
    </row>
    <row r="563" spans="1:7">
      <c r="A563" s="56"/>
      <c r="B563" s="56"/>
      <c r="C563" s="56"/>
      <c r="D563" s="56"/>
      <c r="E563" s="56"/>
      <c r="F563" s="56"/>
      <c r="G563" s="56"/>
    </row>
    <row r="564" spans="1:7">
      <c r="A564" s="56"/>
      <c r="B564" s="56"/>
      <c r="C564" s="56"/>
      <c r="D564" s="56"/>
      <c r="E564" s="56"/>
      <c r="F564" s="56"/>
      <c r="G564" s="56"/>
    </row>
    <row r="565" spans="1:7">
      <c r="A565" s="56"/>
      <c r="B565" s="56"/>
      <c r="C565" s="56"/>
      <c r="D565" s="56"/>
      <c r="E565" s="56"/>
      <c r="F565" s="56"/>
      <c r="G565" s="56"/>
    </row>
  </sheetData>
  <mergeCells count="644">
    <mergeCell ref="L119:L120"/>
    <mergeCell ref="M119:M120"/>
    <mergeCell ref="A119:A120"/>
    <mergeCell ref="B119:B120"/>
    <mergeCell ref="C119:C120"/>
    <mergeCell ref="D119:D120"/>
    <mergeCell ref="E119:E120"/>
    <mergeCell ref="F119:F120"/>
    <mergeCell ref="G119:G120"/>
    <mergeCell ref="J119:J120"/>
    <mergeCell ref="K119:K120"/>
    <mergeCell ref="L115:L116"/>
    <mergeCell ref="M115:M116"/>
    <mergeCell ref="A117:A118"/>
    <mergeCell ref="B117:B118"/>
    <mergeCell ref="C117:C118"/>
    <mergeCell ref="D117:D118"/>
    <mergeCell ref="E117:E118"/>
    <mergeCell ref="F117:F118"/>
    <mergeCell ref="G117:G118"/>
    <mergeCell ref="J117:J118"/>
    <mergeCell ref="K117:K118"/>
    <mergeCell ref="L117:L118"/>
    <mergeCell ref="M117:M118"/>
    <mergeCell ref="A115:A116"/>
    <mergeCell ref="B115:B116"/>
    <mergeCell ref="C115:C116"/>
    <mergeCell ref="D115:D116"/>
    <mergeCell ref="E115:E116"/>
    <mergeCell ref="F115:F116"/>
    <mergeCell ref="G115:G116"/>
    <mergeCell ref="J115:J116"/>
    <mergeCell ref="K115:K116"/>
    <mergeCell ref="L103:L104"/>
    <mergeCell ref="M103:M104"/>
    <mergeCell ref="A103:A104"/>
    <mergeCell ref="B103:B104"/>
    <mergeCell ref="C103:C104"/>
    <mergeCell ref="D103:D104"/>
    <mergeCell ref="E103:E104"/>
    <mergeCell ref="F103:F104"/>
    <mergeCell ref="G103:G104"/>
    <mergeCell ref="J103:J104"/>
    <mergeCell ref="K103:K104"/>
    <mergeCell ref="G101:G102"/>
    <mergeCell ref="J101:J102"/>
    <mergeCell ref="K101:K102"/>
    <mergeCell ref="L101:L102"/>
    <mergeCell ref="M101:M102"/>
    <mergeCell ref="A101:A102"/>
    <mergeCell ref="B101:B102"/>
    <mergeCell ref="C101:C102"/>
    <mergeCell ref="D101:D102"/>
    <mergeCell ref="E101:E102"/>
    <mergeCell ref="F101:F102"/>
    <mergeCell ref="F99:F100"/>
    <mergeCell ref="G99:G100"/>
    <mergeCell ref="J99:J100"/>
    <mergeCell ref="K99:K100"/>
    <mergeCell ref="L99:L100"/>
    <mergeCell ref="M99:M100"/>
    <mergeCell ref="G97:G98"/>
    <mergeCell ref="J97:J98"/>
    <mergeCell ref="K97:K98"/>
    <mergeCell ref="L97:L98"/>
    <mergeCell ref="M97:M98"/>
    <mergeCell ref="F97:F98"/>
    <mergeCell ref="A99:A100"/>
    <mergeCell ref="B99:B100"/>
    <mergeCell ref="C99:C100"/>
    <mergeCell ref="D99:D100"/>
    <mergeCell ref="E99:E100"/>
    <mergeCell ref="A97:A98"/>
    <mergeCell ref="B97:B98"/>
    <mergeCell ref="C97:C98"/>
    <mergeCell ref="D97:D98"/>
    <mergeCell ref="E97:E98"/>
    <mergeCell ref="F95:F96"/>
    <mergeCell ref="G95:G96"/>
    <mergeCell ref="J95:J96"/>
    <mergeCell ref="K95:K96"/>
    <mergeCell ref="L95:L96"/>
    <mergeCell ref="M95:M96"/>
    <mergeCell ref="G93:G94"/>
    <mergeCell ref="J93:J94"/>
    <mergeCell ref="K93:K94"/>
    <mergeCell ref="L93:L94"/>
    <mergeCell ref="M93:M94"/>
    <mergeCell ref="F93:F94"/>
    <mergeCell ref="A95:A96"/>
    <mergeCell ref="B95:B96"/>
    <mergeCell ref="C95:C96"/>
    <mergeCell ref="D95:D96"/>
    <mergeCell ref="E95:E96"/>
    <mergeCell ref="A93:A94"/>
    <mergeCell ref="B93:B94"/>
    <mergeCell ref="C93:C94"/>
    <mergeCell ref="D93:D94"/>
    <mergeCell ref="E93:E94"/>
    <mergeCell ref="F91:F92"/>
    <mergeCell ref="G91:G92"/>
    <mergeCell ref="J91:J92"/>
    <mergeCell ref="K91:K92"/>
    <mergeCell ref="L91:L92"/>
    <mergeCell ref="M91:M92"/>
    <mergeCell ref="G89:G90"/>
    <mergeCell ref="J89:J90"/>
    <mergeCell ref="K89:K90"/>
    <mergeCell ref="L89:L90"/>
    <mergeCell ref="M89:M90"/>
    <mergeCell ref="F89:F90"/>
    <mergeCell ref="A91:A92"/>
    <mergeCell ref="B91:B92"/>
    <mergeCell ref="C91:C92"/>
    <mergeCell ref="D91:D92"/>
    <mergeCell ref="E91:E92"/>
    <mergeCell ref="A89:A90"/>
    <mergeCell ref="B89:B90"/>
    <mergeCell ref="C89:C90"/>
    <mergeCell ref="D89:D90"/>
    <mergeCell ref="E89:E90"/>
    <mergeCell ref="F87:F88"/>
    <mergeCell ref="G87:G88"/>
    <mergeCell ref="J87:J88"/>
    <mergeCell ref="K87:K88"/>
    <mergeCell ref="L87:L88"/>
    <mergeCell ref="M87:M88"/>
    <mergeCell ref="G85:G86"/>
    <mergeCell ref="J85:J86"/>
    <mergeCell ref="K85:K86"/>
    <mergeCell ref="L85:L86"/>
    <mergeCell ref="M85:M86"/>
    <mergeCell ref="F85:F86"/>
    <mergeCell ref="A87:A88"/>
    <mergeCell ref="B87:B88"/>
    <mergeCell ref="C87:C88"/>
    <mergeCell ref="D87:D88"/>
    <mergeCell ref="E87:E88"/>
    <mergeCell ref="A85:A86"/>
    <mergeCell ref="B85:B86"/>
    <mergeCell ref="C85:C86"/>
    <mergeCell ref="D85:D86"/>
    <mergeCell ref="E85:E86"/>
    <mergeCell ref="F83:F84"/>
    <mergeCell ref="G83:G84"/>
    <mergeCell ref="J83:J84"/>
    <mergeCell ref="K83:K84"/>
    <mergeCell ref="L83:L84"/>
    <mergeCell ref="M83:M84"/>
    <mergeCell ref="G81:G82"/>
    <mergeCell ref="J81:J82"/>
    <mergeCell ref="K81:K82"/>
    <mergeCell ref="L81:L82"/>
    <mergeCell ref="M81:M82"/>
    <mergeCell ref="F81:F82"/>
    <mergeCell ref="A83:A84"/>
    <mergeCell ref="B83:B84"/>
    <mergeCell ref="C83:C84"/>
    <mergeCell ref="D83:D84"/>
    <mergeCell ref="E83:E84"/>
    <mergeCell ref="A81:A82"/>
    <mergeCell ref="B81:B82"/>
    <mergeCell ref="C81:C82"/>
    <mergeCell ref="D81:D82"/>
    <mergeCell ref="E81:E82"/>
    <mergeCell ref="F79:F80"/>
    <mergeCell ref="G79:G80"/>
    <mergeCell ref="J79:J80"/>
    <mergeCell ref="K79:K80"/>
    <mergeCell ref="L79:L80"/>
    <mergeCell ref="M79:M80"/>
    <mergeCell ref="G77:G78"/>
    <mergeCell ref="J77:J78"/>
    <mergeCell ref="K77:K78"/>
    <mergeCell ref="L77:L78"/>
    <mergeCell ref="M77:M78"/>
    <mergeCell ref="F77:F78"/>
    <mergeCell ref="A79:A80"/>
    <mergeCell ref="B79:B80"/>
    <mergeCell ref="C79:C80"/>
    <mergeCell ref="D79:D80"/>
    <mergeCell ref="E79:E80"/>
    <mergeCell ref="A77:A78"/>
    <mergeCell ref="B77:B78"/>
    <mergeCell ref="C77:C78"/>
    <mergeCell ref="D77:D78"/>
    <mergeCell ref="E77:E78"/>
    <mergeCell ref="F75:F76"/>
    <mergeCell ref="G75:G76"/>
    <mergeCell ref="J75:J76"/>
    <mergeCell ref="K75:K76"/>
    <mergeCell ref="L75:L76"/>
    <mergeCell ref="M75:M76"/>
    <mergeCell ref="G73:G74"/>
    <mergeCell ref="J73:J74"/>
    <mergeCell ref="K73:K74"/>
    <mergeCell ref="L73:L74"/>
    <mergeCell ref="M73:M74"/>
    <mergeCell ref="F73:F74"/>
    <mergeCell ref="A75:A76"/>
    <mergeCell ref="B75:B76"/>
    <mergeCell ref="C75:C76"/>
    <mergeCell ref="D75:D76"/>
    <mergeCell ref="E75:E76"/>
    <mergeCell ref="A73:A74"/>
    <mergeCell ref="B73:B74"/>
    <mergeCell ref="C73:C74"/>
    <mergeCell ref="D73:D74"/>
    <mergeCell ref="E73:E74"/>
    <mergeCell ref="F71:F72"/>
    <mergeCell ref="G71:G72"/>
    <mergeCell ref="J71:J72"/>
    <mergeCell ref="K71:K72"/>
    <mergeCell ref="L71:L72"/>
    <mergeCell ref="M71:M72"/>
    <mergeCell ref="G69:G70"/>
    <mergeCell ref="J69:J70"/>
    <mergeCell ref="K69:K70"/>
    <mergeCell ref="L69:L70"/>
    <mergeCell ref="M69:M70"/>
    <mergeCell ref="F69:F70"/>
    <mergeCell ref="A71:A72"/>
    <mergeCell ref="B71:B72"/>
    <mergeCell ref="C71:C72"/>
    <mergeCell ref="D71:D72"/>
    <mergeCell ref="E71:E72"/>
    <mergeCell ref="A69:A70"/>
    <mergeCell ref="B69:B70"/>
    <mergeCell ref="C69:C70"/>
    <mergeCell ref="D69:D70"/>
    <mergeCell ref="E69:E70"/>
    <mergeCell ref="F67:F68"/>
    <mergeCell ref="G67:G68"/>
    <mergeCell ref="J67:J68"/>
    <mergeCell ref="K67:K68"/>
    <mergeCell ref="L67:L68"/>
    <mergeCell ref="M67:M68"/>
    <mergeCell ref="G65:G66"/>
    <mergeCell ref="J65:J66"/>
    <mergeCell ref="K65:K66"/>
    <mergeCell ref="L65:L66"/>
    <mergeCell ref="M65:M66"/>
    <mergeCell ref="F65:F66"/>
    <mergeCell ref="A67:A68"/>
    <mergeCell ref="B67:B68"/>
    <mergeCell ref="C67:C68"/>
    <mergeCell ref="D67:D68"/>
    <mergeCell ref="E67:E68"/>
    <mergeCell ref="A65:A66"/>
    <mergeCell ref="B65:B66"/>
    <mergeCell ref="C65:C66"/>
    <mergeCell ref="D65:D66"/>
    <mergeCell ref="E65:E66"/>
    <mergeCell ref="F63:F64"/>
    <mergeCell ref="G63:G64"/>
    <mergeCell ref="J63:J64"/>
    <mergeCell ref="K63:K64"/>
    <mergeCell ref="L63:L64"/>
    <mergeCell ref="M63:M64"/>
    <mergeCell ref="G61:G62"/>
    <mergeCell ref="J61:J62"/>
    <mergeCell ref="K61:K62"/>
    <mergeCell ref="L61:L62"/>
    <mergeCell ref="M61:M62"/>
    <mergeCell ref="F61:F62"/>
    <mergeCell ref="A63:A64"/>
    <mergeCell ref="B63:B64"/>
    <mergeCell ref="C63:C64"/>
    <mergeCell ref="D63:D64"/>
    <mergeCell ref="E63:E64"/>
    <mergeCell ref="A61:A62"/>
    <mergeCell ref="B61:B62"/>
    <mergeCell ref="C61:C62"/>
    <mergeCell ref="D61:D62"/>
    <mergeCell ref="E61:E62"/>
    <mergeCell ref="F59:F60"/>
    <mergeCell ref="G59:G60"/>
    <mergeCell ref="J59:J60"/>
    <mergeCell ref="K59:K60"/>
    <mergeCell ref="L59:L60"/>
    <mergeCell ref="M59:M60"/>
    <mergeCell ref="G57:G58"/>
    <mergeCell ref="J57:J58"/>
    <mergeCell ref="K57:K58"/>
    <mergeCell ref="L57:L58"/>
    <mergeCell ref="M57:M58"/>
    <mergeCell ref="F57:F58"/>
    <mergeCell ref="A59:A60"/>
    <mergeCell ref="B59:B60"/>
    <mergeCell ref="C59:C60"/>
    <mergeCell ref="D59:D60"/>
    <mergeCell ref="E59:E60"/>
    <mergeCell ref="A57:A58"/>
    <mergeCell ref="B57:B58"/>
    <mergeCell ref="C57:C58"/>
    <mergeCell ref="D57:D58"/>
    <mergeCell ref="E57:E58"/>
    <mergeCell ref="F55:F56"/>
    <mergeCell ref="G55:G56"/>
    <mergeCell ref="J55:J56"/>
    <mergeCell ref="K55:K56"/>
    <mergeCell ref="L55:L56"/>
    <mergeCell ref="M55:M56"/>
    <mergeCell ref="G53:G54"/>
    <mergeCell ref="J53:J54"/>
    <mergeCell ref="K53:K54"/>
    <mergeCell ref="L53:L54"/>
    <mergeCell ref="M53:M54"/>
    <mergeCell ref="F53:F54"/>
    <mergeCell ref="A55:A56"/>
    <mergeCell ref="B55:B56"/>
    <mergeCell ref="C55:C56"/>
    <mergeCell ref="D55:D56"/>
    <mergeCell ref="E55:E56"/>
    <mergeCell ref="A53:A54"/>
    <mergeCell ref="B53:B54"/>
    <mergeCell ref="C53:C54"/>
    <mergeCell ref="D53:D54"/>
    <mergeCell ref="E53:E54"/>
    <mergeCell ref="F51:F52"/>
    <mergeCell ref="G51:G52"/>
    <mergeCell ref="J51:J52"/>
    <mergeCell ref="K51:K52"/>
    <mergeCell ref="L51:L52"/>
    <mergeCell ref="M51:M52"/>
    <mergeCell ref="G47:G48"/>
    <mergeCell ref="J47:J48"/>
    <mergeCell ref="K47:K48"/>
    <mergeCell ref="L47:L48"/>
    <mergeCell ref="M47:M48"/>
    <mergeCell ref="F47:F48"/>
    <mergeCell ref="F49:F50"/>
    <mergeCell ref="G49:G50"/>
    <mergeCell ref="J49:J50"/>
    <mergeCell ref="K49:K50"/>
    <mergeCell ref="L49:L50"/>
    <mergeCell ref="M49:M50"/>
    <mergeCell ref="A51:A52"/>
    <mergeCell ref="B51:B52"/>
    <mergeCell ref="C51:C52"/>
    <mergeCell ref="D51:D52"/>
    <mergeCell ref="E51:E52"/>
    <mergeCell ref="A47:A48"/>
    <mergeCell ref="B47:B48"/>
    <mergeCell ref="C47:C48"/>
    <mergeCell ref="D47:D48"/>
    <mergeCell ref="E47:E48"/>
    <mergeCell ref="A49:A50"/>
    <mergeCell ref="B49:B50"/>
    <mergeCell ref="C49:C50"/>
    <mergeCell ref="D49:D50"/>
    <mergeCell ref="E49:E50"/>
    <mergeCell ref="F45:F46"/>
    <mergeCell ref="G45:G46"/>
    <mergeCell ref="J45:J46"/>
    <mergeCell ref="K45:K46"/>
    <mergeCell ref="L45:L46"/>
    <mergeCell ref="M45:M46"/>
    <mergeCell ref="G43:G44"/>
    <mergeCell ref="J43:J44"/>
    <mergeCell ref="K43:K44"/>
    <mergeCell ref="L43:L44"/>
    <mergeCell ref="M43:M44"/>
    <mergeCell ref="F43:F44"/>
    <mergeCell ref="A45:A46"/>
    <mergeCell ref="B45:B46"/>
    <mergeCell ref="C45:C46"/>
    <mergeCell ref="D45:D46"/>
    <mergeCell ref="E45:E46"/>
    <mergeCell ref="A43:A44"/>
    <mergeCell ref="B43:B44"/>
    <mergeCell ref="C43:C44"/>
    <mergeCell ref="D43:D44"/>
    <mergeCell ref="E43:E44"/>
    <mergeCell ref="F41:F42"/>
    <mergeCell ref="G41:G42"/>
    <mergeCell ref="J41:J42"/>
    <mergeCell ref="K41:K42"/>
    <mergeCell ref="L41:L42"/>
    <mergeCell ref="M41:M42"/>
    <mergeCell ref="G39:G40"/>
    <mergeCell ref="J39:J40"/>
    <mergeCell ref="K39:K40"/>
    <mergeCell ref="L39:L40"/>
    <mergeCell ref="M39:M40"/>
    <mergeCell ref="F39:F40"/>
    <mergeCell ref="A41:A42"/>
    <mergeCell ref="B41:B42"/>
    <mergeCell ref="C41:C42"/>
    <mergeCell ref="D41:D42"/>
    <mergeCell ref="E41:E42"/>
    <mergeCell ref="A39:A40"/>
    <mergeCell ref="B39:B40"/>
    <mergeCell ref="C39:C40"/>
    <mergeCell ref="D39:D40"/>
    <mergeCell ref="E39:E40"/>
    <mergeCell ref="F37:F38"/>
    <mergeCell ref="G37:G38"/>
    <mergeCell ref="J37:J38"/>
    <mergeCell ref="K37:K38"/>
    <mergeCell ref="L37:L38"/>
    <mergeCell ref="M37:M38"/>
    <mergeCell ref="G35:G36"/>
    <mergeCell ref="J35:J36"/>
    <mergeCell ref="K35:K36"/>
    <mergeCell ref="L35:L36"/>
    <mergeCell ref="M35:M36"/>
    <mergeCell ref="F35:F36"/>
    <mergeCell ref="A37:A38"/>
    <mergeCell ref="B37:B38"/>
    <mergeCell ref="C37:C38"/>
    <mergeCell ref="D37:D38"/>
    <mergeCell ref="E37:E38"/>
    <mergeCell ref="A35:A36"/>
    <mergeCell ref="B35:B36"/>
    <mergeCell ref="C35:C36"/>
    <mergeCell ref="D35:D36"/>
    <mergeCell ref="E35:E36"/>
    <mergeCell ref="F33:F34"/>
    <mergeCell ref="G33:G34"/>
    <mergeCell ref="J33:J34"/>
    <mergeCell ref="K33:K34"/>
    <mergeCell ref="L33:L34"/>
    <mergeCell ref="M33:M34"/>
    <mergeCell ref="G31:G32"/>
    <mergeCell ref="J31:J32"/>
    <mergeCell ref="K31:K32"/>
    <mergeCell ref="L31:L32"/>
    <mergeCell ref="M31:M32"/>
    <mergeCell ref="F31:F32"/>
    <mergeCell ref="A33:A34"/>
    <mergeCell ref="B33:B34"/>
    <mergeCell ref="C33:C34"/>
    <mergeCell ref="D33:D34"/>
    <mergeCell ref="E33:E34"/>
    <mergeCell ref="A31:A32"/>
    <mergeCell ref="B31:B32"/>
    <mergeCell ref="C31:C32"/>
    <mergeCell ref="D31:D32"/>
    <mergeCell ref="E31:E32"/>
    <mergeCell ref="F29:F30"/>
    <mergeCell ref="G29:G30"/>
    <mergeCell ref="J29:J30"/>
    <mergeCell ref="K29:K30"/>
    <mergeCell ref="L29:L30"/>
    <mergeCell ref="M29:M30"/>
    <mergeCell ref="G27:G28"/>
    <mergeCell ref="J27:J28"/>
    <mergeCell ref="K27:K28"/>
    <mergeCell ref="L27:L28"/>
    <mergeCell ref="M27:M28"/>
    <mergeCell ref="F27:F28"/>
    <mergeCell ref="A29:A30"/>
    <mergeCell ref="B29:B30"/>
    <mergeCell ref="C29:C30"/>
    <mergeCell ref="D29:D30"/>
    <mergeCell ref="E29:E30"/>
    <mergeCell ref="A27:A28"/>
    <mergeCell ref="B27:B28"/>
    <mergeCell ref="C27:C28"/>
    <mergeCell ref="D27:D28"/>
    <mergeCell ref="E27:E28"/>
    <mergeCell ref="F25:F26"/>
    <mergeCell ref="G25:G26"/>
    <mergeCell ref="J25:J26"/>
    <mergeCell ref="K25:K26"/>
    <mergeCell ref="L25:L26"/>
    <mergeCell ref="M25:M26"/>
    <mergeCell ref="G23:G24"/>
    <mergeCell ref="J23:J24"/>
    <mergeCell ref="K23:K24"/>
    <mergeCell ref="L23:L24"/>
    <mergeCell ref="M23:M24"/>
    <mergeCell ref="F23:F24"/>
    <mergeCell ref="A25:A26"/>
    <mergeCell ref="B25:B26"/>
    <mergeCell ref="C25:C26"/>
    <mergeCell ref="D25:D26"/>
    <mergeCell ref="E25:E26"/>
    <mergeCell ref="A23:A24"/>
    <mergeCell ref="B23:B24"/>
    <mergeCell ref="C23:C24"/>
    <mergeCell ref="D23:D24"/>
    <mergeCell ref="E23:E24"/>
    <mergeCell ref="F21:F22"/>
    <mergeCell ref="G21:G22"/>
    <mergeCell ref="J21:J22"/>
    <mergeCell ref="K21:K22"/>
    <mergeCell ref="L21:L22"/>
    <mergeCell ref="M21:M22"/>
    <mergeCell ref="G19:G20"/>
    <mergeCell ref="J19:J20"/>
    <mergeCell ref="K19:K20"/>
    <mergeCell ref="L19:L20"/>
    <mergeCell ref="M19:M20"/>
    <mergeCell ref="F19:F20"/>
    <mergeCell ref="A21:A22"/>
    <mergeCell ref="B21:B22"/>
    <mergeCell ref="C21:C22"/>
    <mergeCell ref="D21:D22"/>
    <mergeCell ref="E21:E22"/>
    <mergeCell ref="A19:A20"/>
    <mergeCell ref="B19:B20"/>
    <mergeCell ref="C19:C20"/>
    <mergeCell ref="D19:D20"/>
    <mergeCell ref="E19:E20"/>
    <mergeCell ref="F17:F18"/>
    <mergeCell ref="G17:G18"/>
    <mergeCell ref="J17:J18"/>
    <mergeCell ref="K17:K18"/>
    <mergeCell ref="L17:L18"/>
    <mergeCell ref="M17:M18"/>
    <mergeCell ref="G15:G16"/>
    <mergeCell ref="J15:J16"/>
    <mergeCell ref="K15:K16"/>
    <mergeCell ref="L15:L16"/>
    <mergeCell ref="M15:M16"/>
    <mergeCell ref="F15:F16"/>
    <mergeCell ref="A17:A18"/>
    <mergeCell ref="B17:B18"/>
    <mergeCell ref="C17:C18"/>
    <mergeCell ref="D17:D18"/>
    <mergeCell ref="E17:E18"/>
    <mergeCell ref="A15:A16"/>
    <mergeCell ref="B15:B16"/>
    <mergeCell ref="C15:C16"/>
    <mergeCell ref="D15:D16"/>
    <mergeCell ref="E15:E16"/>
    <mergeCell ref="F13:F14"/>
    <mergeCell ref="G13:G14"/>
    <mergeCell ref="J13:J14"/>
    <mergeCell ref="K13:K14"/>
    <mergeCell ref="L13:L14"/>
    <mergeCell ref="M13:M14"/>
    <mergeCell ref="G11:G12"/>
    <mergeCell ref="J11:J12"/>
    <mergeCell ref="K11:K12"/>
    <mergeCell ref="L11:L12"/>
    <mergeCell ref="M11:M12"/>
    <mergeCell ref="F11:F12"/>
    <mergeCell ref="A13:A14"/>
    <mergeCell ref="B13:B14"/>
    <mergeCell ref="C13:C14"/>
    <mergeCell ref="D13:D14"/>
    <mergeCell ref="E13:E14"/>
    <mergeCell ref="A11:A12"/>
    <mergeCell ref="B11:B12"/>
    <mergeCell ref="C11:C12"/>
    <mergeCell ref="D11:D12"/>
    <mergeCell ref="E11:E12"/>
    <mergeCell ref="F9:F10"/>
    <mergeCell ref="G9:G10"/>
    <mergeCell ref="J9:J10"/>
    <mergeCell ref="K9:K10"/>
    <mergeCell ref="L9:L10"/>
    <mergeCell ref="M9:M10"/>
    <mergeCell ref="G7:G8"/>
    <mergeCell ref="J7:J8"/>
    <mergeCell ref="K7:K8"/>
    <mergeCell ref="L7:L8"/>
    <mergeCell ref="M7:M8"/>
    <mergeCell ref="F7:F8"/>
    <mergeCell ref="A9:A10"/>
    <mergeCell ref="B9:B10"/>
    <mergeCell ref="C9:C10"/>
    <mergeCell ref="D9:D10"/>
    <mergeCell ref="E9:E10"/>
    <mergeCell ref="A7:A8"/>
    <mergeCell ref="B7:B8"/>
    <mergeCell ref="C7:C8"/>
    <mergeCell ref="D7:D8"/>
    <mergeCell ref="E7:E8"/>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L105:L106"/>
    <mergeCell ref="M105:M106"/>
    <mergeCell ref="A107:A108"/>
    <mergeCell ref="B107:B108"/>
    <mergeCell ref="C107:C108"/>
    <mergeCell ref="D107:D108"/>
    <mergeCell ref="E107:E108"/>
    <mergeCell ref="F107:F108"/>
    <mergeCell ref="G107:G108"/>
    <mergeCell ref="J107:J108"/>
    <mergeCell ref="K107:K108"/>
    <mergeCell ref="L107:L108"/>
    <mergeCell ref="M107:M108"/>
    <mergeCell ref="A105:A106"/>
    <mergeCell ref="B105:B106"/>
    <mergeCell ref="C105:C106"/>
    <mergeCell ref="D105:D106"/>
    <mergeCell ref="E105:E106"/>
    <mergeCell ref="F105:F106"/>
    <mergeCell ref="G105:G106"/>
    <mergeCell ref="J105:J106"/>
    <mergeCell ref="K105:K106"/>
    <mergeCell ref="L109:L110"/>
    <mergeCell ref="M109:M110"/>
    <mergeCell ref="A111:A112"/>
    <mergeCell ref="B111:B112"/>
    <mergeCell ref="C111:C112"/>
    <mergeCell ref="D111:D112"/>
    <mergeCell ref="E111:E112"/>
    <mergeCell ref="F111:F112"/>
    <mergeCell ref="G111:G112"/>
    <mergeCell ref="J111:J112"/>
    <mergeCell ref="K111:K112"/>
    <mergeCell ref="L111:L112"/>
    <mergeCell ref="M111:M112"/>
    <mergeCell ref="A109:A110"/>
    <mergeCell ref="B109:B110"/>
    <mergeCell ref="C109:C110"/>
    <mergeCell ref="D109:D110"/>
    <mergeCell ref="E109:E110"/>
    <mergeCell ref="F109:F110"/>
    <mergeCell ref="G109:G110"/>
    <mergeCell ref="J109:J110"/>
    <mergeCell ref="K109:K110"/>
    <mergeCell ref="L113:L114"/>
    <mergeCell ref="M113:M114"/>
    <mergeCell ref="A113:A114"/>
    <mergeCell ref="B113:B114"/>
    <mergeCell ref="C113:C114"/>
    <mergeCell ref="D113:D114"/>
    <mergeCell ref="E113:E114"/>
    <mergeCell ref="F113:F114"/>
    <mergeCell ref="G113:G114"/>
    <mergeCell ref="J113:J114"/>
    <mergeCell ref="K113:K114"/>
  </mergeCells>
  <dataValidations count="1">
    <dataValidation type="list" allowBlank="1" showInputMessage="1" showErrorMessage="1" sqref="L7:L104" xr:uid="{00000000-0002-0000-0400-000000000000}">
      <formula1>$L$122:$L$127</formula1>
    </dataValidation>
  </dataValidations>
  <printOptions horizontalCentered="1"/>
  <pageMargins left="0.5" right="0.5" top="0.5" bottom="0.5" header="0.3" footer="0.35"/>
  <pageSetup scale="80" fitToHeight="4" orientation="landscape" r:id="rId1"/>
  <headerFooter>
    <oddHeader>&amp;L&amp;8XTO Energy Inc.&amp;C&amp;8Husky CDP&amp;R&amp;8October 2019: Revision 0</oddHeader>
    <oddFooter>&amp;L&amp;8Form Revision: 5/3/2016&amp;C&amp;8Table 2-A:  Page &amp;P&amp;R&amp;8Printed &amp;D &amp;T</oddFooter>
  </headerFooter>
  <rowBreaks count="4" manualBreakCount="4">
    <brk id="30" max="12" man="1"/>
    <brk id="54" max="12" man="1"/>
    <brk id="76" max="12" man="1"/>
    <brk id="98"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5">
    <tabColor theme="3" tint="-0.249977111117893"/>
    <pageSetUpPr fitToPage="1"/>
  </sheetPr>
  <dimension ref="A1:J48"/>
  <sheetViews>
    <sheetView view="pageBreakPreview" topLeftCell="A4" zoomScale="70" zoomScaleNormal="85" zoomScaleSheetLayoutView="70" workbookViewId="0">
      <selection activeCell="E19" sqref="E19:R19"/>
    </sheetView>
  </sheetViews>
  <sheetFormatPr defaultColWidth="9.36328125" defaultRowHeight="13"/>
  <cols>
    <col min="1" max="1" width="3.54296875" style="520" customWidth="1"/>
    <col min="2" max="2" width="34.6328125" style="522" customWidth="1"/>
    <col min="3" max="3" width="16" style="1030" customWidth="1"/>
    <col min="4" max="4" width="12.453125" style="522" customWidth="1"/>
    <col min="5" max="5" width="9.6328125" style="522" customWidth="1"/>
    <col min="6" max="6" width="11.6328125" style="522" customWidth="1"/>
    <col min="7" max="7" width="11.453125" style="522" customWidth="1"/>
    <col min="8" max="8" width="15.54296875" style="522" customWidth="1"/>
    <col min="9" max="9" width="20.453125" style="522" customWidth="1"/>
    <col min="10" max="10" width="3.54296875" style="522" customWidth="1"/>
    <col min="11" max="16384" width="9.36328125" style="522"/>
  </cols>
  <sheetData>
    <row r="1" spans="1:10" s="520" customFormat="1" ht="13.5" thickBot="1">
      <c r="A1" s="517"/>
      <c r="B1" s="518"/>
      <c r="C1" s="518"/>
      <c r="D1" s="518"/>
      <c r="E1" s="518"/>
      <c r="F1" s="518"/>
      <c r="G1" s="518"/>
      <c r="H1" s="518"/>
      <c r="I1" s="518"/>
      <c r="J1" s="519"/>
    </row>
    <row r="2" spans="1:10" ht="21" customHeight="1">
      <c r="A2" s="521"/>
      <c r="B2" s="4542" t="str">
        <f>'Summary-Co'!B3</f>
        <v>XTO ENERGY INC.</v>
      </c>
      <c r="C2" s="4543"/>
      <c r="D2" s="4543"/>
      <c r="E2" s="4543"/>
      <c r="F2" s="4543"/>
      <c r="G2" s="4543"/>
      <c r="H2" s="4543"/>
      <c r="I2" s="4544"/>
      <c r="J2" s="51"/>
    </row>
    <row r="3" spans="1:10" ht="21" customHeight="1">
      <c r="A3" s="521"/>
      <c r="B3" s="4545" t="str">
        <f>'Summary-Co'!B4</f>
        <v>HUSKY CDP</v>
      </c>
      <c r="C3" s="4546"/>
      <c r="D3" s="4546"/>
      <c r="E3" s="4546"/>
      <c r="F3" s="4546"/>
      <c r="G3" s="4546"/>
      <c r="H3" s="4546"/>
      <c r="I3" s="4547"/>
      <c r="J3" s="51"/>
    </row>
    <row r="4" spans="1:10" ht="21" customHeight="1" thickBot="1">
      <c r="A4" s="521"/>
      <c r="B4" s="4548" t="s">
        <v>2011</v>
      </c>
      <c r="C4" s="4549"/>
      <c r="D4" s="4549"/>
      <c r="E4" s="4549"/>
      <c r="F4" s="4549"/>
      <c r="G4" s="4549"/>
      <c r="H4" s="4549"/>
      <c r="I4" s="4550"/>
      <c r="J4" s="51"/>
    </row>
    <row r="5" spans="1:10" ht="12" customHeight="1" thickBot="1">
      <c r="A5" s="521"/>
      <c r="B5" s="1917"/>
      <c r="C5" s="1917"/>
      <c r="D5" s="1917"/>
      <c r="E5" s="1917"/>
      <c r="F5" s="1917"/>
      <c r="G5" s="1917"/>
      <c r="H5" s="1917"/>
      <c r="I5" s="1917"/>
      <c r="J5" s="51"/>
    </row>
    <row r="6" spans="1:10" ht="18">
      <c r="A6" s="524"/>
      <c r="B6" s="525"/>
      <c r="C6" s="2666"/>
      <c r="D6" s="2664"/>
      <c r="E6" s="2664"/>
      <c r="F6" s="2664"/>
      <c r="G6" s="2664"/>
      <c r="H6" s="2664"/>
      <c r="I6" s="2665"/>
      <c r="J6" s="51"/>
    </row>
    <row r="7" spans="1:10" ht="18.5">
      <c r="A7" s="524"/>
      <c r="B7" s="1916" t="s">
        <v>562</v>
      </c>
      <c r="C7" s="2874" t="s">
        <v>1929</v>
      </c>
      <c r="D7" s="2875"/>
      <c r="E7" s="2875"/>
      <c r="F7" s="2875"/>
      <c r="G7" s="2875"/>
      <c r="H7" s="2875"/>
      <c r="I7" s="2876"/>
      <c r="J7" s="51"/>
    </row>
    <row r="8" spans="1:10" ht="18.5">
      <c r="A8" s="521"/>
      <c r="B8" s="1916" t="s">
        <v>563</v>
      </c>
      <c r="C8" s="2877" t="s">
        <v>1930</v>
      </c>
      <c r="D8" s="2875"/>
      <c r="E8" s="2875"/>
      <c r="F8" s="2875"/>
      <c r="G8" s="2875"/>
      <c r="H8" s="2875"/>
      <c r="I8" s="2876"/>
      <c r="J8" s="51"/>
    </row>
    <row r="9" spans="1:10" ht="18.5">
      <c r="A9" s="521"/>
      <c r="B9" s="1916"/>
      <c r="C9" s="2877"/>
      <c r="D9" s="2875"/>
      <c r="E9" s="2875"/>
      <c r="F9" s="2875"/>
      <c r="G9" s="2875"/>
      <c r="H9" s="2875"/>
      <c r="I9" s="2876"/>
      <c r="J9" s="51"/>
    </row>
    <row r="10" spans="1:10" ht="18.5">
      <c r="A10" s="521"/>
      <c r="B10" s="1916"/>
      <c r="C10" s="2878"/>
      <c r="D10" s="2875"/>
      <c r="E10" s="2875"/>
      <c r="F10" s="2875"/>
      <c r="G10" s="2875"/>
      <c r="H10" s="2875"/>
      <c r="I10" s="2876"/>
      <c r="J10" s="51"/>
    </row>
    <row r="11" spans="1:10" ht="18.5">
      <c r="A11" s="521"/>
      <c r="B11" s="1916" t="s">
        <v>564</v>
      </c>
      <c r="C11" s="2878"/>
      <c r="D11" s="2878"/>
      <c r="E11" s="2875"/>
      <c r="F11" s="2875"/>
      <c r="G11" s="2875"/>
      <c r="H11" s="2875"/>
      <c r="I11" s="2876"/>
      <c r="J11" s="51"/>
    </row>
    <row r="12" spans="1:10" ht="18.5">
      <c r="A12" s="521"/>
      <c r="B12" s="1916" t="s">
        <v>565</v>
      </c>
      <c r="C12" s="2879">
        <f>Generators!F13*Generators!E13</f>
        <v>20.898328000000003</v>
      </c>
      <c r="D12" s="2875" t="s">
        <v>566</v>
      </c>
      <c r="E12" s="2875"/>
      <c r="F12" s="2875" t="s">
        <v>1341</v>
      </c>
      <c r="G12" s="2875"/>
      <c r="H12" s="2875"/>
      <c r="I12" s="2876"/>
      <c r="J12" s="51"/>
    </row>
    <row r="13" spans="1:10" ht="18.5">
      <c r="A13" s="521"/>
      <c r="B13" s="1916" t="s">
        <v>567</v>
      </c>
      <c r="C13" s="2880">
        <v>850</v>
      </c>
      <c r="D13" s="2875" t="s">
        <v>568</v>
      </c>
      <c r="E13" s="2875"/>
      <c r="F13" s="2875" t="s">
        <v>195</v>
      </c>
      <c r="G13" s="2875"/>
      <c r="H13" s="2875"/>
      <c r="I13" s="2881"/>
      <c r="J13" s="51"/>
    </row>
    <row r="14" spans="1:10" ht="18.5">
      <c r="A14" s="521"/>
      <c r="B14" s="1916" t="s">
        <v>569</v>
      </c>
      <c r="C14" s="2882">
        <f>C12*1000000/C13</f>
        <v>24586.268235294123</v>
      </c>
      <c r="D14" s="2875" t="s">
        <v>570</v>
      </c>
      <c r="E14" s="2875"/>
      <c r="F14" s="2875" t="s">
        <v>571</v>
      </c>
      <c r="G14" s="2875"/>
      <c r="H14" s="2875"/>
      <c r="I14" s="2883"/>
      <c r="J14" s="51"/>
    </row>
    <row r="15" spans="1:10" ht="18.5">
      <c r="A15" s="521"/>
      <c r="B15" s="1916" t="s">
        <v>572</v>
      </c>
      <c r="C15" s="2882">
        <f>C14*8760/10^6</f>
        <v>215.37570974117651</v>
      </c>
      <c r="D15" s="2875" t="s">
        <v>573</v>
      </c>
      <c r="E15" s="2875"/>
      <c r="F15" s="2875" t="s">
        <v>574</v>
      </c>
      <c r="G15" s="2875"/>
      <c r="H15" s="2875"/>
      <c r="I15" s="2876"/>
      <c r="J15" s="51"/>
    </row>
    <row r="16" spans="1:10" ht="18.5">
      <c r="A16" s="521"/>
      <c r="B16" s="1916" t="s">
        <v>1892</v>
      </c>
      <c r="C16" s="2880">
        <v>100</v>
      </c>
      <c r="D16" s="2875" t="s">
        <v>1933</v>
      </c>
      <c r="E16" s="2875"/>
      <c r="F16" s="2875"/>
      <c r="G16" s="2875"/>
      <c r="H16" s="2875"/>
      <c r="I16" s="2876"/>
      <c r="J16" s="51"/>
    </row>
    <row r="17" spans="1:10" ht="18.5">
      <c r="A17" s="521"/>
      <c r="B17" s="1916"/>
      <c r="C17" s="2878"/>
      <c r="D17" s="2875"/>
      <c r="E17" s="2875"/>
      <c r="F17" s="2875"/>
      <c r="G17" s="2875"/>
      <c r="H17" s="2875"/>
      <c r="I17" s="2876"/>
      <c r="J17" s="51"/>
    </row>
    <row r="18" spans="1:10" ht="18.5">
      <c r="A18" s="521"/>
      <c r="B18" s="1916" t="s">
        <v>575</v>
      </c>
      <c r="C18" s="2878"/>
      <c r="D18" s="2875"/>
      <c r="E18" s="2875"/>
      <c r="F18" s="2875"/>
      <c r="G18" s="2875"/>
      <c r="H18" s="2875"/>
      <c r="I18" s="2876"/>
      <c r="J18" s="51"/>
    </row>
    <row r="19" spans="1:10" ht="18.5">
      <c r="A19" s="521"/>
      <c r="B19" s="1916" t="s">
        <v>576</v>
      </c>
      <c r="C19" s="2884">
        <f>C12*1000</f>
        <v>20898.328000000001</v>
      </c>
      <c r="D19" s="2875" t="s">
        <v>577</v>
      </c>
      <c r="E19" s="2875"/>
      <c r="F19" s="2875"/>
      <c r="G19" s="2875"/>
      <c r="H19" s="2875"/>
      <c r="I19" s="2876"/>
      <c r="J19" s="51"/>
    </row>
    <row r="20" spans="1:10" ht="18.5" hidden="1">
      <c r="A20" s="521"/>
      <c r="B20" s="1916" t="s">
        <v>578</v>
      </c>
      <c r="C20" s="2885">
        <f>'2-H-Co'!F17</f>
        <v>0</v>
      </c>
      <c r="D20" s="2875" t="s">
        <v>299</v>
      </c>
      <c r="E20" s="2875" t="s">
        <v>288</v>
      </c>
      <c r="F20" s="2875"/>
      <c r="G20" s="2875"/>
      <c r="H20" s="2875"/>
      <c r="I20" s="2876"/>
      <c r="J20" s="51"/>
    </row>
    <row r="21" spans="1:10" ht="18.5" hidden="1">
      <c r="A21" s="521"/>
      <c r="B21" s="1916" t="s">
        <v>579</v>
      </c>
      <c r="C21" s="2886">
        <f>'2-H-Co'!K17</f>
        <v>0</v>
      </c>
      <c r="D21" s="2875" t="s">
        <v>289</v>
      </c>
      <c r="E21" s="2875" t="s">
        <v>288</v>
      </c>
      <c r="F21" s="2875"/>
      <c r="G21" s="2875"/>
      <c r="H21" s="2875"/>
      <c r="I21" s="2876"/>
      <c r="J21" s="51"/>
    </row>
    <row r="22" spans="1:10" ht="18.5" hidden="1">
      <c r="A22" s="521"/>
      <c r="B22" s="1916" t="s">
        <v>580</v>
      </c>
      <c r="C22" s="2885">
        <f>'2-H-Co'!E17</f>
        <v>0</v>
      </c>
      <c r="D22" s="2875" t="s">
        <v>289</v>
      </c>
      <c r="E22" s="2875" t="s">
        <v>288</v>
      </c>
      <c r="F22" s="2875"/>
      <c r="G22" s="2875"/>
      <c r="H22" s="2875"/>
      <c r="I22" s="2876"/>
      <c r="J22" s="51"/>
    </row>
    <row r="23" spans="1:10" ht="18.5" hidden="1">
      <c r="A23" s="521"/>
      <c r="B23" s="1916" t="s">
        <v>581</v>
      </c>
      <c r="C23" s="2887">
        <v>51.9</v>
      </c>
      <c r="D23" s="2875" t="s">
        <v>582</v>
      </c>
      <c r="E23" s="2875" t="s">
        <v>288</v>
      </c>
      <c r="F23" s="2875"/>
      <c r="G23" s="2875"/>
      <c r="H23" s="2875"/>
      <c r="I23" s="2876"/>
      <c r="J23" s="51"/>
    </row>
    <row r="24" spans="1:10" ht="18.5">
      <c r="A24" s="521"/>
      <c r="B24" s="1916"/>
      <c r="C24" s="2879"/>
      <c r="D24" s="2875"/>
      <c r="E24" s="2875"/>
      <c r="F24" s="2875"/>
      <c r="G24" s="2875"/>
      <c r="H24" s="2875"/>
      <c r="I24" s="2876"/>
      <c r="J24" s="51"/>
    </row>
    <row r="25" spans="1:10" ht="18.5">
      <c r="A25" s="521"/>
      <c r="B25" s="1916"/>
      <c r="C25" s="2878"/>
      <c r="D25" s="2875"/>
      <c r="E25" s="2875"/>
      <c r="F25" s="2875"/>
      <c r="G25" s="2875"/>
      <c r="H25" s="2875"/>
      <c r="I25" s="2876"/>
      <c r="J25" s="51"/>
    </row>
    <row r="26" spans="1:10" ht="18.5">
      <c r="A26" s="521"/>
      <c r="B26" s="1916" t="s">
        <v>583</v>
      </c>
      <c r="C26" s="2878"/>
      <c r="D26" s="2875"/>
      <c r="E26" s="2875"/>
      <c r="F26" s="2875"/>
      <c r="G26" s="2875"/>
      <c r="H26" s="2875"/>
      <c r="I26" s="2876"/>
      <c r="J26" s="51"/>
    </row>
    <row r="27" spans="1:10" ht="18.5">
      <c r="A27" s="521"/>
      <c r="B27" s="1916" t="s">
        <v>1931</v>
      </c>
      <c r="C27" s="2878">
        <f>Generators!E13</f>
        <v>3448</v>
      </c>
      <c r="D27" s="2875" t="s">
        <v>1932</v>
      </c>
      <c r="E27" s="2875"/>
      <c r="F27" s="2875"/>
      <c r="G27" s="2875"/>
      <c r="H27" s="2875"/>
      <c r="I27" s="2876"/>
      <c r="J27" s="51"/>
    </row>
    <row r="28" spans="1:10" ht="22" hidden="1">
      <c r="A28" s="521"/>
      <c r="B28" s="1916"/>
      <c r="C28" s="2888" t="s">
        <v>1894</v>
      </c>
      <c r="D28" s="2888" t="s">
        <v>1895</v>
      </c>
      <c r="E28" s="2888" t="s">
        <v>1896</v>
      </c>
      <c r="F28" s="2888" t="s">
        <v>1897</v>
      </c>
      <c r="G28" s="2888" t="s">
        <v>1898</v>
      </c>
      <c r="H28" s="2889"/>
      <c r="I28" s="2890"/>
      <c r="J28" s="51"/>
    </row>
    <row r="29" spans="1:10" ht="18.5" hidden="1">
      <c r="A29" s="521"/>
      <c r="B29" s="1916"/>
      <c r="C29" s="2879">
        <f>100*C13/1020</f>
        <v>83.333333333333329</v>
      </c>
      <c r="D29" s="2879">
        <f>84*C13/1020</f>
        <v>70</v>
      </c>
      <c r="E29" s="2879">
        <f>5.5*C13/1020</f>
        <v>4.583333333333333</v>
      </c>
      <c r="F29" s="2879">
        <f>5/100/7000*64/32*1000000</f>
        <v>14.285714285714286</v>
      </c>
      <c r="G29" s="2879">
        <f>7.6*C13/1020</f>
        <v>6.333333333333333</v>
      </c>
      <c r="H29" s="2875" t="s">
        <v>585</v>
      </c>
      <c r="I29" s="2876"/>
      <c r="J29" s="51"/>
    </row>
    <row r="30" spans="1:10" ht="18.5" hidden="1">
      <c r="A30" s="521"/>
      <c r="B30" s="1916"/>
      <c r="C30" s="2879">
        <f>C29*$C$14/1000000</f>
        <v>2.0488556862745102</v>
      </c>
      <c r="D30" s="2879">
        <f>D29*$C$14/1000000</f>
        <v>1.7210387764705886</v>
      </c>
      <c r="E30" s="2879">
        <f>E29*$C$14/1000000</f>
        <v>0.11268706274509806</v>
      </c>
      <c r="F30" s="2879">
        <f>F29*$C$14/1000000</f>
        <v>0.35123240336134465</v>
      </c>
      <c r="G30" s="2879">
        <f>G29*$C$14/1000000</f>
        <v>0.15571303215686277</v>
      </c>
      <c r="H30" s="2875" t="s">
        <v>22</v>
      </c>
      <c r="I30" s="2876"/>
      <c r="J30" s="51"/>
    </row>
    <row r="31" spans="1:10" ht="18.5" hidden="1">
      <c r="A31" s="521"/>
      <c r="B31" s="1916"/>
      <c r="C31" s="2879">
        <f>4.38*C30</f>
        <v>8.9739879058823551</v>
      </c>
      <c r="D31" s="2879">
        <f>4.38*D30</f>
        <v>7.5381498409411778</v>
      </c>
      <c r="E31" s="2879">
        <f>4.38*E30</f>
        <v>0.49356933482352949</v>
      </c>
      <c r="F31" s="2879">
        <f>4.38*F30</f>
        <v>1.5383979267226895</v>
      </c>
      <c r="G31" s="2879">
        <f>4.38*G30</f>
        <v>0.68202308084705898</v>
      </c>
      <c r="H31" s="2891" t="s">
        <v>586</v>
      </c>
      <c r="I31" s="2876"/>
      <c r="J31" s="51"/>
    </row>
    <row r="32" spans="1:10" ht="18.5" hidden="1">
      <c r="A32" s="521"/>
      <c r="B32" s="1916"/>
      <c r="C32" s="2878"/>
      <c r="D32" s="2875"/>
      <c r="E32" s="2875"/>
      <c r="F32" s="2875"/>
      <c r="G32" s="2875"/>
      <c r="H32" s="2875"/>
      <c r="I32" s="2876"/>
      <c r="J32" s="51"/>
    </row>
    <row r="33" spans="1:10" ht="21" hidden="1">
      <c r="A33" s="521"/>
      <c r="B33" s="1916"/>
      <c r="C33" s="2888" t="s">
        <v>1899</v>
      </c>
      <c r="D33" s="2889"/>
      <c r="E33" s="2875"/>
      <c r="F33" s="2875"/>
      <c r="G33" s="2875"/>
      <c r="H33" s="2875"/>
      <c r="I33" s="2876"/>
      <c r="J33" s="51"/>
    </row>
    <row r="34" spans="1:10" ht="18.5" hidden="1">
      <c r="A34" s="521"/>
      <c r="B34" s="1916"/>
      <c r="C34" s="2879">
        <f>1.8*C13/1020</f>
        <v>1.5</v>
      </c>
      <c r="D34" s="2875" t="s">
        <v>587</v>
      </c>
      <c r="E34" s="2875"/>
      <c r="F34" s="2875"/>
      <c r="G34" s="2875"/>
      <c r="H34" s="2875"/>
      <c r="I34" s="2876"/>
      <c r="J34" s="51"/>
    </row>
    <row r="35" spans="1:10" ht="18.5" hidden="1">
      <c r="A35" s="521"/>
      <c r="B35" s="1916"/>
      <c r="C35" s="2879">
        <f>C34*C14/1000000</f>
        <v>3.6879402352941189E-2</v>
      </c>
      <c r="D35" s="2875" t="s">
        <v>22</v>
      </c>
      <c r="E35" s="2875"/>
      <c r="F35" s="2875"/>
      <c r="G35" s="2875"/>
      <c r="H35" s="2875"/>
      <c r="I35" s="2876"/>
      <c r="J35" s="51"/>
    </row>
    <row r="36" spans="1:10" ht="18.5" hidden="1">
      <c r="A36" s="521"/>
      <c r="B36" s="1916"/>
      <c r="C36" s="2879">
        <f>C35*4.38</f>
        <v>0.16153178230588242</v>
      </c>
      <c r="D36" s="2891" t="s">
        <v>586</v>
      </c>
      <c r="E36" s="2875"/>
      <c r="F36" s="2875"/>
      <c r="G36" s="2875"/>
      <c r="H36" s="2875"/>
      <c r="I36" s="2876"/>
      <c r="J36" s="51"/>
    </row>
    <row r="37" spans="1:10" ht="18.5" hidden="1">
      <c r="A37" s="521"/>
      <c r="B37" s="1916"/>
      <c r="C37" s="2879"/>
      <c r="D37" s="2891"/>
      <c r="E37" s="2875"/>
      <c r="F37" s="2875"/>
      <c r="G37" s="2875"/>
      <c r="H37" s="2875"/>
      <c r="I37" s="2876"/>
      <c r="J37" s="51"/>
    </row>
    <row r="38" spans="1:10" ht="18.5" hidden="1">
      <c r="A38" s="521"/>
      <c r="B38" s="1916"/>
      <c r="C38" s="2879"/>
      <c r="D38" s="2891"/>
      <c r="E38" s="2875"/>
      <c r="F38" s="2875"/>
      <c r="G38" s="2875"/>
      <c r="H38" s="2875"/>
      <c r="I38" s="2876"/>
      <c r="J38" s="51"/>
    </row>
    <row r="39" spans="1:10" ht="18.5">
      <c r="A39" s="521"/>
      <c r="B39" s="1916"/>
      <c r="C39" s="2879"/>
      <c r="D39" s="2891"/>
      <c r="E39" s="2875"/>
      <c r="F39" s="2875"/>
      <c r="G39" s="2875"/>
      <c r="H39" s="2875"/>
      <c r="I39" s="2876"/>
      <c r="J39" s="51"/>
    </row>
    <row r="40" spans="1:10" ht="20.5">
      <c r="A40" s="521"/>
      <c r="B40" s="1916"/>
      <c r="C40" s="2878"/>
      <c r="D40" s="2892"/>
      <c r="E40" s="2892" t="s">
        <v>1900</v>
      </c>
      <c r="F40" s="2892"/>
      <c r="G40" s="2892" t="s">
        <v>1901</v>
      </c>
      <c r="H40" s="2892" t="s">
        <v>19</v>
      </c>
      <c r="I40" s="2876"/>
      <c r="J40" s="51"/>
    </row>
    <row r="41" spans="1:10" ht="20.5">
      <c r="A41" s="521"/>
      <c r="B41" s="1916" t="s">
        <v>588</v>
      </c>
      <c r="C41" s="2888" t="s">
        <v>1902</v>
      </c>
      <c r="D41" s="2893" t="s">
        <v>300</v>
      </c>
      <c r="E41" s="2893" t="s">
        <v>1903</v>
      </c>
      <c r="F41" s="2894" t="s">
        <v>1904</v>
      </c>
      <c r="G41" s="2893" t="s">
        <v>1903</v>
      </c>
      <c r="H41" s="2893" t="s">
        <v>1903</v>
      </c>
      <c r="I41" s="2890"/>
      <c r="J41" s="51"/>
    </row>
    <row r="42" spans="1:10" ht="18.5">
      <c r="A42" s="521"/>
      <c r="B42" s="1916"/>
      <c r="C42" s="2880">
        <v>413</v>
      </c>
      <c r="D42" s="2895">
        <f>0.001*2.205</f>
        <v>2.2049999999999999E-3</v>
      </c>
      <c r="E42" s="2895">
        <f>0.001*2.205*25</f>
        <v>5.5125E-2</v>
      </c>
      <c r="F42" s="2896">
        <f>0.0001*2.205</f>
        <v>2.2050000000000002E-4</v>
      </c>
      <c r="G42" s="2895">
        <f>0.0001*2.205*298</f>
        <v>6.5709000000000004E-2</v>
      </c>
      <c r="H42" s="2895"/>
      <c r="I42" s="2876" t="s">
        <v>589</v>
      </c>
      <c r="J42" s="51"/>
    </row>
    <row r="43" spans="1:10" ht="18.5">
      <c r="A43" s="521"/>
      <c r="B43" s="1916"/>
      <c r="C43" s="2879">
        <f>C27*C42/453.59</f>
        <v>3139.4519279525566</v>
      </c>
      <c r="D43" s="2895">
        <f>D42*$C$12</f>
        <v>4.6080813240000004E-2</v>
      </c>
      <c r="E43" s="2879">
        <f>E42*$C$12</f>
        <v>1.1520203310000001</v>
      </c>
      <c r="F43" s="2895">
        <f>F42*$C$12</f>
        <v>4.6080813240000013E-3</v>
      </c>
      <c r="G43" s="2879">
        <f>G42*$C$12</f>
        <v>1.3732082345520003</v>
      </c>
      <c r="H43" s="2879">
        <f>C43+E43+G43</f>
        <v>3141.9771565181086</v>
      </c>
      <c r="I43" s="2876" t="s">
        <v>22</v>
      </c>
      <c r="J43" s="51"/>
    </row>
    <row r="44" spans="1:10" ht="18.5">
      <c r="A44" s="521"/>
      <c r="B44" s="1916"/>
      <c r="C44" s="2879">
        <f>C43*$C$16/2000</f>
        <v>156.97259639762785</v>
      </c>
      <c r="D44" s="2879">
        <f>D43*$C$16/2000</f>
        <v>2.3040406620000002E-3</v>
      </c>
      <c r="E44" s="2879">
        <f>E43*$C$16/2000</f>
        <v>5.7601016550000002E-2</v>
      </c>
      <c r="F44" s="2879">
        <f>F43*$C$16/2000</f>
        <v>2.3040406620000007E-4</v>
      </c>
      <c r="G44" s="2879">
        <f>G43*$C$16/2000</f>
        <v>6.8660411727600013E-2</v>
      </c>
      <c r="H44" s="2897">
        <f>C44+E44+G44</f>
        <v>157.09885782590544</v>
      </c>
      <c r="I44" s="2898" t="s">
        <v>586</v>
      </c>
      <c r="J44" s="51"/>
    </row>
    <row r="45" spans="1:10">
      <c r="A45" s="521"/>
      <c r="B45" s="1786"/>
      <c r="C45" s="1783"/>
      <c r="D45" s="1784"/>
      <c r="E45" s="1784"/>
      <c r="F45" s="1784"/>
      <c r="G45" s="1784"/>
      <c r="H45" s="1784"/>
      <c r="I45" s="1785"/>
      <c r="J45" s="51"/>
    </row>
    <row r="46" spans="1:10" s="520" customFormat="1">
      <c r="A46" s="521"/>
      <c r="B46" s="1787">
        <v>1</v>
      </c>
      <c r="C46" s="1788" t="s">
        <v>1934</v>
      </c>
      <c r="D46" s="1789"/>
      <c r="E46" s="1789"/>
      <c r="F46" s="1789"/>
      <c r="G46" s="1790"/>
      <c r="H46" s="1790"/>
      <c r="I46" s="1791"/>
      <c r="J46" s="535"/>
    </row>
    <row r="47" spans="1:10" ht="13.5" thickBot="1">
      <c r="A47" s="521"/>
      <c r="B47" s="3002">
        <v>2</v>
      </c>
      <c r="C47" s="3003" t="s">
        <v>590</v>
      </c>
      <c r="D47" s="3006"/>
      <c r="E47" s="1794"/>
      <c r="F47" s="1794"/>
      <c r="G47" s="1794"/>
      <c r="H47" s="1794"/>
      <c r="I47" s="1795"/>
      <c r="J47" s="51"/>
    </row>
    <row r="48" spans="1:10" ht="13.5" thickBot="1">
      <c r="A48" s="540"/>
      <c r="B48" s="541"/>
      <c r="C48" s="542"/>
      <c r="D48" s="541"/>
      <c r="E48" s="541"/>
      <c r="F48" s="541"/>
      <c r="G48" s="541"/>
      <c r="H48" s="541"/>
      <c r="I48" s="541"/>
      <c r="J48" s="543"/>
    </row>
  </sheetData>
  <mergeCells count="3">
    <mergeCell ref="B2:I2"/>
    <mergeCell ref="B3:I3"/>
    <mergeCell ref="B4:I4"/>
  </mergeCells>
  <pageMargins left="0.7" right="0.7" top="0.75" bottom="0.75" header="0.3" footer="0.3"/>
  <pageSetup scale="65" orientation="portrait" r:id="rId1"/>
  <headerFooter>
    <oddFooter>&amp;CCalculations: 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theme="3" tint="-0.249977111117893"/>
    <pageSetUpPr fitToPage="1"/>
  </sheetPr>
  <dimension ref="A1:Y44"/>
  <sheetViews>
    <sheetView view="pageBreakPreview" topLeftCell="F10" zoomScale="70" zoomScaleNormal="100" zoomScaleSheetLayoutView="70" workbookViewId="0">
      <selection activeCell="E19" sqref="E19:R19"/>
    </sheetView>
  </sheetViews>
  <sheetFormatPr defaultColWidth="9.36328125" defaultRowHeight="13"/>
  <cols>
    <col min="1" max="1" width="3.54296875" style="363" customWidth="1"/>
    <col min="2" max="2" width="12" style="363" customWidth="1"/>
    <col min="3" max="3" width="26.54296875" style="363" customWidth="1"/>
    <col min="4" max="4" width="12.6328125" style="363" customWidth="1"/>
    <col min="5" max="5" width="12" style="363" customWidth="1"/>
    <col min="6" max="7" width="15.36328125" style="363" customWidth="1"/>
    <col min="8" max="12" width="13.54296875" style="363" customWidth="1"/>
    <col min="13" max="16" width="9.36328125" style="363"/>
    <col min="17" max="17" width="9.6328125" style="363" customWidth="1"/>
    <col min="18" max="21" width="9.36328125" style="363"/>
    <col min="22" max="22" width="9.6328125" style="363" customWidth="1"/>
    <col min="23" max="23" width="3.54296875" style="363" customWidth="1"/>
    <col min="24" max="24" width="9.36328125" style="363"/>
    <col min="25" max="25" width="16.90625" style="363" customWidth="1"/>
    <col min="26" max="16384" width="9.36328125" style="363"/>
  </cols>
  <sheetData>
    <row r="1" spans="1:25" ht="21.75" customHeight="1" thickBot="1">
      <c r="A1" s="640"/>
      <c r="B1" s="641"/>
      <c r="C1" s="641"/>
      <c r="D1" s="641"/>
      <c r="E1" s="641"/>
      <c r="F1" s="641"/>
      <c r="G1" s="641"/>
      <c r="H1" s="641"/>
      <c r="I1" s="641"/>
      <c r="J1" s="641"/>
      <c r="K1" s="641"/>
      <c r="L1" s="641"/>
      <c r="M1" s="641"/>
      <c r="N1" s="641"/>
      <c r="O1" s="641"/>
      <c r="P1" s="641"/>
      <c r="Q1" s="641"/>
      <c r="R1" s="641"/>
      <c r="S1" s="641"/>
      <c r="T1" s="641"/>
      <c r="U1" s="641"/>
      <c r="V1" s="641"/>
      <c r="W1" s="642"/>
    </row>
    <row r="2" spans="1:25" ht="28.5" customHeight="1">
      <c r="A2" s="643"/>
      <c r="B2" s="4614" t="str">
        <f>'Summary-Co'!B3</f>
        <v>XTO ENERGY INC.</v>
      </c>
      <c r="C2" s="4615"/>
      <c r="D2" s="4615"/>
      <c r="E2" s="4615"/>
      <c r="F2" s="4615"/>
      <c r="G2" s="4615"/>
      <c r="H2" s="4615"/>
      <c r="I2" s="4615"/>
      <c r="J2" s="4615"/>
      <c r="K2" s="4615"/>
      <c r="L2" s="4615"/>
      <c r="M2" s="4615"/>
      <c r="N2" s="4615"/>
      <c r="O2" s="4615"/>
      <c r="P2" s="4615"/>
      <c r="Q2" s="4615"/>
      <c r="R2" s="4615"/>
      <c r="S2" s="4615"/>
      <c r="T2" s="4615"/>
      <c r="U2" s="4615"/>
      <c r="V2" s="4616"/>
      <c r="W2" s="51"/>
    </row>
    <row r="3" spans="1:25" ht="28.5" customHeight="1">
      <c r="A3" s="643"/>
      <c r="B3" s="4617" t="str">
        <f>'Summary-Co'!B4</f>
        <v>HUSKY CDP</v>
      </c>
      <c r="C3" s="4618"/>
      <c r="D3" s="4618"/>
      <c r="E3" s="4618"/>
      <c r="F3" s="4618"/>
      <c r="G3" s="4618"/>
      <c r="H3" s="4618"/>
      <c r="I3" s="4618"/>
      <c r="J3" s="4618"/>
      <c r="K3" s="4618"/>
      <c r="L3" s="4618"/>
      <c r="M3" s="4618"/>
      <c r="N3" s="4618"/>
      <c r="O3" s="4618"/>
      <c r="P3" s="4618"/>
      <c r="Q3" s="4618"/>
      <c r="R3" s="4618"/>
      <c r="S3" s="4618"/>
      <c r="T3" s="4618"/>
      <c r="U3" s="4618"/>
      <c r="V3" s="4619"/>
      <c r="W3" s="51"/>
    </row>
    <row r="4" spans="1:25" ht="28.5" customHeight="1" thickBot="1">
      <c r="A4" s="643"/>
      <c r="B4" s="4620" t="s">
        <v>1528</v>
      </c>
      <c r="C4" s="4621"/>
      <c r="D4" s="4621"/>
      <c r="E4" s="4621"/>
      <c r="F4" s="4621"/>
      <c r="G4" s="4621"/>
      <c r="H4" s="4621"/>
      <c r="I4" s="4621"/>
      <c r="J4" s="4621"/>
      <c r="K4" s="4621"/>
      <c r="L4" s="4621"/>
      <c r="M4" s="4621"/>
      <c r="N4" s="4621"/>
      <c r="O4" s="4621"/>
      <c r="P4" s="4621"/>
      <c r="Q4" s="4621"/>
      <c r="R4" s="4621"/>
      <c r="S4" s="4621"/>
      <c r="T4" s="4621"/>
      <c r="U4" s="4621"/>
      <c r="V4" s="4622"/>
      <c r="W4" s="51"/>
    </row>
    <row r="5" spans="1:25" ht="21.75" customHeight="1" thickBot="1">
      <c r="A5" s="1214"/>
      <c r="B5" s="1215"/>
      <c r="C5" s="1215"/>
      <c r="D5" s="1215"/>
      <c r="E5" s="1215"/>
      <c r="F5" s="1215"/>
      <c r="G5" s="1215"/>
      <c r="H5" s="1215"/>
      <c r="I5" s="1215"/>
      <c r="J5" s="1215"/>
      <c r="K5" s="1215"/>
      <c r="L5" s="1215"/>
      <c r="M5" s="1215"/>
      <c r="N5" s="1215"/>
      <c r="O5" s="1215"/>
      <c r="P5" s="1215"/>
      <c r="Q5" s="1215"/>
      <c r="R5" s="1215"/>
      <c r="S5" s="1215"/>
      <c r="T5" s="1215"/>
      <c r="U5" s="1215"/>
      <c r="V5" s="1215"/>
      <c r="W5" s="1777"/>
    </row>
    <row r="6" spans="1:25" ht="18">
      <c r="A6" s="440"/>
      <c r="B6" s="1719"/>
      <c r="C6" s="1719"/>
      <c r="D6" s="1719"/>
      <c r="E6" s="1719"/>
      <c r="F6" s="1719"/>
      <c r="G6" s="1719"/>
      <c r="H6" s="1719"/>
      <c r="I6" s="1719"/>
      <c r="J6" s="1719"/>
      <c r="K6" s="1719"/>
      <c r="L6" s="1719"/>
      <c r="M6" s="1719"/>
      <c r="N6" s="1719"/>
      <c r="O6" s="1719"/>
      <c r="P6" s="1719"/>
      <c r="Q6" s="1719"/>
      <c r="R6" s="1719"/>
      <c r="S6" s="1719"/>
      <c r="T6" s="1719"/>
      <c r="U6" s="1719"/>
      <c r="V6" s="1719"/>
      <c r="W6" s="417"/>
    </row>
    <row r="7" spans="1:25" ht="18.5" thickBot="1">
      <c r="A7" s="440"/>
      <c r="B7" s="1719"/>
      <c r="C7" s="1719"/>
      <c r="D7" s="1719"/>
      <c r="E7" s="1719"/>
      <c r="F7" s="1719"/>
      <c r="G7" s="1719"/>
      <c r="H7" s="1719"/>
      <c r="I7" s="1719"/>
      <c r="J7" s="1719"/>
      <c r="K7" s="1719"/>
      <c r="L7" s="1719"/>
      <c r="M7" s="1719"/>
      <c r="N7" s="1719"/>
      <c r="O7" s="1719"/>
      <c r="P7" s="1719"/>
      <c r="Q7" s="1719"/>
      <c r="R7" s="1719"/>
      <c r="S7" s="1719"/>
      <c r="T7" s="1719"/>
      <c r="U7" s="1719"/>
      <c r="V7" s="1719"/>
      <c r="W7" s="417"/>
    </row>
    <row r="8" spans="1:25" ht="33" customHeight="1" thickBot="1">
      <c r="A8" s="4623" t="s">
        <v>453</v>
      </c>
      <c r="B8" s="4624"/>
      <c r="C8" s="4624"/>
      <c r="D8" s="4624"/>
      <c r="E8" s="4624"/>
      <c r="F8" s="4624"/>
      <c r="G8" s="4624"/>
      <c r="H8" s="4624"/>
      <c r="I8" s="4624"/>
      <c r="J8" s="4624"/>
      <c r="K8" s="4624"/>
      <c r="L8" s="4624"/>
      <c r="M8" s="4624"/>
      <c r="N8" s="4624"/>
      <c r="O8" s="4624"/>
      <c r="P8" s="4624"/>
      <c r="Q8" s="4624"/>
      <c r="R8" s="4624"/>
      <c r="S8" s="4624"/>
      <c r="T8" s="4624"/>
      <c r="U8" s="4624"/>
      <c r="V8" s="4624"/>
      <c r="W8" s="4625"/>
    </row>
    <row r="9" spans="1:25" ht="18">
      <c r="A9" s="640"/>
      <c r="B9" s="1760"/>
      <c r="C9" s="1760"/>
      <c r="D9" s="1760"/>
      <c r="E9" s="1760"/>
      <c r="F9" s="1760"/>
      <c r="G9" s="1760"/>
      <c r="H9" s="1760"/>
      <c r="I9" s="1760"/>
      <c r="J9" s="1760"/>
      <c r="K9" s="1760"/>
      <c r="L9" s="1760"/>
      <c r="M9" s="1760"/>
      <c r="N9" s="1760"/>
      <c r="O9" s="1760"/>
      <c r="P9" s="1760"/>
      <c r="Q9" s="1760"/>
      <c r="R9" s="1760"/>
      <c r="S9" s="1760"/>
      <c r="T9" s="1760"/>
      <c r="U9" s="1760"/>
      <c r="V9" s="1760"/>
      <c r="W9" s="642"/>
    </row>
    <row r="10" spans="1:25" ht="18.5" thickBot="1">
      <c r="A10" s="643"/>
      <c r="B10" s="1759"/>
      <c r="C10" s="1759"/>
      <c r="D10" s="1759"/>
      <c r="E10" s="1759"/>
      <c r="F10" s="1759"/>
      <c r="G10" s="1759"/>
      <c r="H10" s="1759"/>
      <c r="I10" s="1759"/>
      <c r="J10" s="1759"/>
      <c r="K10" s="1759"/>
      <c r="L10" s="1759"/>
      <c r="M10" s="1759"/>
      <c r="N10" s="1759"/>
      <c r="O10" s="1759"/>
      <c r="P10" s="656"/>
      <c r="Q10" s="656"/>
      <c r="R10" s="656"/>
      <c r="S10" s="656"/>
      <c r="T10" s="656"/>
      <c r="U10" s="656"/>
      <c r="V10" s="656"/>
      <c r="W10" s="51"/>
    </row>
    <row r="11" spans="1:25" ht="20.25" customHeight="1" thickBot="1">
      <c r="A11" s="1761"/>
      <c r="B11" s="1762"/>
      <c r="C11" s="1762"/>
      <c r="D11" s="1762"/>
      <c r="E11" s="1762"/>
      <c r="F11" s="1762"/>
      <c r="G11" s="1762"/>
      <c r="H11" s="4626" t="s">
        <v>1332</v>
      </c>
      <c r="I11" s="4627"/>
      <c r="J11" s="4627"/>
      <c r="K11" s="4627"/>
      <c r="L11" s="4628"/>
      <c r="M11" s="1762"/>
      <c r="N11" s="1762"/>
      <c r="O11" s="1762"/>
      <c r="P11" s="1762"/>
      <c r="Q11" s="1762"/>
      <c r="R11" s="1762"/>
      <c r="S11" s="1762"/>
      <c r="T11" s="1762"/>
      <c r="U11" s="1762"/>
      <c r="V11" s="1762"/>
      <c r="W11" s="1763"/>
    </row>
    <row r="12" spans="1:25" ht="20.25" customHeight="1" thickBot="1">
      <c r="A12" s="1761"/>
      <c r="B12" s="1764"/>
      <c r="C12" s="1764"/>
      <c r="D12" s="1764"/>
      <c r="E12" s="1764"/>
      <c r="F12" s="1764"/>
      <c r="G12" s="1764"/>
      <c r="H12" s="4629" t="s">
        <v>1333</v>
      </c>
      <c r="I12" s="4630"/>
      <c r="J12" s="4630"/>
      <c r="K12" s="4630"/>
      <c r="L12" s="4631"/>
      <c r="M12" s="4627" t="s">
        <v>22</v>
      </c>
      <c r="N12" s="4627"/>
      <c r="O12" s="4627"/>
      <c r="P12" s="4627"/>
      <c r="Q12" s="4628"/>
      <c r="R12" s="4626" t="s">
        <v>23</v>
      </c>
      <c r="S12" s="4627"/>
      <c r="T12" s="4627"/>
      <c r="U12" s="4627"/>
      <c r="V12" s="4628"/>
      <c r="W12" s="1763"/>
    </row>
    <row r="13" spans="1:25" ht="65.75" customHeight="1" thickBot="1">
      <c r="A13" s="1761"/>
      <c r="B13" s="489" t="s">
        <v>383</v>
      </c>
      <c r="C13" s="490" t="s">
        <v>1139</v>
      </c>
      <c r="D13" s="490" t="s">
        <v>455</v>
      </c>
      <c r="E13" s="490" t="s">
        <v>456</v>
      </c>
      <c r="F13" s="564" t="s">
        <v>597</v>
      </c>
      <c r="G13" s="563" t="s">
        <v>598</v>
      </c>
      <c r="H13" s="489" t="s">
        <v>635</v>
      </c>
      <c r="I13" s="490" t="s">
        <v>599</v>
      </c>
      <c r="J13" s="490" t="s">
        <v>600</v>
      </c>
      <c r="K13" s="490" t="s">
        <v>632</v>
      </c>
      <c r="L13" s="508" t="s">
        <v>601</v>
      </c>
      <c r="M13" s="193" t="s">
        <v>21</v>
      </c>
      <c r="N13" s="192" t="s">
        <v>0</v>
      </c>
      <c r="O13" s="192" t="s">
        <v>1</v>
      </c>
      <c r="P13" s="192" t="s">
        <v>307</v>
      </c>
      <c r="Q13" s="194" t="s">
        <v>522</v>
      </c>
      <c r="R13" s="494" t="s">
        <v>21</v>
      </c>
      <c r="S13" s="493" t="s">
        <v>0</v>
      </c>
      <c r="T13" s="493" t="s">
        <v>1</v>
      </c>
      <c r="U13" s="493" t="s">
        <v>307</v>
      </c>
      <c r="V13" s="495" t="s">
        <v>522</v>
      </c>
      <c r="W13" s="1763"/>
    </row>
    <row r="14" spans="1:25" ht="48.75" customHeight="1">
      <c r="A14" s="1761"/>
      <c r="B14" s="570" t="str">
        <f>'Burners No Cogen'!B13</f>
        <v>SHTR1</v>
      </c>
      <c r="C14" s="496" t="str">
        <f>'Summary-Co'!B13</f>
        <v>Stabilization Hot Oil Heater
(64.83 MMBtu/hr)</v>
      </c>
      <c r="D14" s="496">
        <f>'Burners No Cogen'!D13</f>
        <v>850</v>
      </c>
      <c r="E14" s="497">
        <v>8760</v>
      </c>
      <c r="F14" s="498">
        <v>50</v>
      </c>
      <c r="G14" s="498">
        <f>'Burners No Cogen'!G13</f>
        <v>64.83</v>
      </c>
      <c r="H14" s="509">
        <v>2.6700000000000002E-2</v>
      </c>
      <c r="I14" s="565">
        <v>1.6299999999999999E-2</v>
      </c>
      <c r="J14" s="565">
        <v>6.4000000000000003E-3</v>
      </c>
      <c r="K14" s="562">
        <f>'Burners No Cogen'!K13</f>
        <v>2.25</v>
      </c>
      <c r="L14" s="500">
        <f>'Burners No Cogen'!L13</f>
        <v>7.6</v>
      </c>
      <c r="M14" s="1536">
        <f>H14*G14</f>
        <v>1.730961</v>
      </c>
      <c r="N14" s="390">
        <f>G14*I14</f>
        <v>1.0567289999999998</v>
      </c>
      <c r="O14" s="390">
        <f>G14*J14</f>
        <v>0.414912</v>
      </c>
      <c r="P14" s="1371">
        <f t="shared" ref="P14:Q18" si="0">$G14/$D14*K14*$D14/1020</f>
        <v>0.14300735294117647</v>
      </c>
      <c r="Q14" s="197">
        <f t="shared" si="0"/>
        <v>0.48304705882352933</v>
      </c>
      <c r="R14" s="501">
        <f>IF($G14="","",M14*$E14/2000)</f>
        <v>7.5816091799999992</v>
      </c>
      <c r="S14" s="196">
        <f t="shared" ref="S14:V15" si="1">IF($G14="","",N14*$E14/2000)</f>
        <v>4.6284730199999995</v>
      </c>
      <c r="T14" s="196">
        <f t="shared" si="1"/>
        <v>1.81731456</v>
      </c>
      <c r="U14" s="196">
        <f t="shared" si="1"/>
        <v>0.62637220588235298</v>
      </c>
      <c r="V14" s="197">
        <f t="shared" si="1"/>
        <v>2.1157461176470584</v>
      </c>
      <c r="W14" s="1763"/>
    </row>
    <row r="15" spans="1:25" ht="48.75" customHeight="1">
      <c r="A15" s="1761"/>
      <c r="B15" s="571" t="str">
        <f>'Burners No Cogen'!B14</f>
        <v>SHTR2</v>
      </c>
      <c r="C15" s="502" t="str">
        <f>'Summary-Co'!B14</f>
        <v>Stabilization Hot Oil Heater
(64.83 MMBtu/hr)</v>
      </c>
      <c r="D15" s="502">
        <f>D14</f>
        <v>850</v>
      </c>
      <c r="E15" s="503">
        <f>E14</f>
        <v>8760</v>
      </c>
      <c r="F15" s="504">
        <v>50</v>
      </c>
      <c r="G15" s="504">
        <f>G14</f>
        <v>64.83</v>
      </c>
      <c r="H15" s="1369">
        <v>2.6700000000000002E-2</v>
      </c>
      <c r="I15" s="1364">
        <v>1.6299999999999999E-2</v>
      </c>
      <c r="J15" s="1364">
        <v>6.4000000000000003E-3</v>
      </c>
      <c r="K15" s="1804">
        <f>K14</f>
        <v>2.25</v>
      </c>
      <c r="L15" s="1805">
        <f>L14</f>
        <v>7.6</v>
      </c>
      <c r="M15" s="1536">
        <f>H15*G15</f>
        <v>1.730961</v>
      </c>
      <c r="N15" s="390">
        <f>G15*I15</f>
        <v>1.0567289999999998</v>
      </c>
      <c r="O15" s="390">
        <f>G15*J15</f>
        <v>0.414912</v>
      </c>
      <c r="P15" s="1371">
        <f t="shared" si="0"/>
        <v>0.14300735294117647</v>
      </c>
      <c r="Q15" s="1372">
        <f t="shared" si="0"/>
        <v>0.48304705882352933</v>
      </c>
      <c r="R15" s="516">
        <f>IF($G15="","",M15*$E15/2000)</f>
        <v>7.5816091799999992</v>
      </c>
      <c r="S15" s="390">
        <f t="shared" si="1"/>
        <v>4.6284730199999995</v>
      </c>
      <c r="T15" s="390">
        <f t="shared" si="1"/>
        <v>1.81731456</v>
      </c>
      <c r="U15" s="390">
        <f t="shared" si="1"/>
        <v>0.62637220588235298</v>
      </c>
      <c r="V15" s="1537">
        <f t="shared" si="1"/>
        <v>2.1157461176470584</v>
      </c>
      <c r="W15" s="1763"/>
    </row>
    <row r="16" spans="1:25" ht="37.5" customHeight="1">
      <c r="A16" s="1761"/>
      <c r="B16" s="1365" t="str">
        <f>'Burners No Cogen'!B28</f>
        <v>RHTR1</v>
      </c>
      <c r="C16" s="502" t="str">
        <f>'Summary-Co'!B15</f>
        <v>Regen Heater
(39.14 MMBtu/hr)</v>
      </c>
      <c r="D16" s="502">
        <f>D14</f>
        <v>850</v>
      </c>
      <c r="E16" s="503">
        <f>E14</f>
        <v>8760</v>
      </c>
      <c r="F16" s="504">
        <v>27.73</v>
      </c>
      <c r="G16" s="504">
        <f>'Burners No Cogen'!G28</f>
        <v>39.14</v>
      </c>
      <c r="H16" s="513">
        <v>2.6700000000000002E-2</v>
      </c>
      <c r="I16" s="1364">
        <v>1.6299999999999999E-2</v>
      </c>
      <c r="J16" s="1364">
        <v>6.4000000000000003E-3</v>
      </c>
      <c r="K16" s="1804">
        <f>K14</f>
        <v>2.25</v>
      </c>
      <c r="L16" s="1805">
        <f>L14</f>
        <v>7.6</v>
      </c>
      <c r="M16" s="1536">
        <f>H16*G16</f>
        <v>1.0450380000000001</v>
      </c>
      <c r="N16" s="390">
        <f>G16*I16</f>
        <v>0.63798199999999994</v>
      </c>
      <c r="O16" s="390">
        <f>G16*J16</f>
        <v>0.250496</v>
      </c>
      <c r="P16" s="1371">
        <f t="shared" si="0"/>
        <v>8.633823529411766E-2</v>
      </c>
      <c r="Q16" s="1372">
        <f t="shared" si="0"/>
        <v>0.29163137254901961</v>
      </c>
      <c r="R16" s="1373">
        <f>IF($G16="","",M16*$E16/2000)</f>
        <v>4.5772664400000007</v>
      </c>
      <c r="S16" s="1371">
        <f t="shared" ref="S16:V18" si="2">IF($G16="","",N16*$E16/2000)</f>
        <v>2.7943611599999998</v>
      </c>
      <c r="T16" s="1371">
        <f t="shared" si="2"/>
        <v>1.09717248</v>
      </c>
      <c r="U16" s="1371">
        <f t="shared" si="2"/>
        <v>0.37816147058823535</v>
      </c>
      <c r="V16" s="1372">
        <f t="shared" si="2"/>
        <v>1.2773454117647058</v>
      </c>
      <c r="W16" s="1763"/>
      <c r="Y16" s="363">
        <f>G14/D14*L14*D14/1020</f>
        <v>0.48304705882352933</v>
      </c>
    </row>
    <row r="17" spans="1:23" ht="37.5" customHeight="1">
      <c r="A17" s="1761"/>
      <c r="B17" s="1365" t="str">
        <f>'Burners No Cogen'!B29</f>
        <v>RHTR2</v>
      </c>
      <c r="C17" s="502" t="str">
        <f>'Summary-Co'!B16</f>
        <v>Regen Heater
(39.14 MMBtu/hr)</v>
      </c>
      <c r="D17" s="502">
        <f>D14</f>
        <v>850</v>
      </c>
      <c r="E17" s="1367">
        <f>E14</f>
        <v>8760</v>
      </c>
      <c r="F17" s="504">
        <v>27.73</v>
      </c>
      <c r="G17" s="504">
        <f>'Burners No Cogen'!G29</f>
        <v>39.14</v>
      </c>
      <c r="H17" s="513">
        <v>2.6700000000000002E-2</v>
      </c>
      <c r="I17" s="1364">
        <v>1.6299999999999999E-2</v>
      </c>
      <c r="J17" s="1364">
        <v>6.4000000000000003E-3</v>
      </c>
      <c r="K17" s="1804">
        <f>K14</f>
        <v>2.25</v>
      </c>
      <c r="L17" s="1805">
        <f>L14</f>
        <v>7.6</v>
      </c>
      <c r="M17" s="1536">
        <f>H17*G17</f>
        <v>1.0450380000000001</v>
      </c>
      <c r="N17" s="390">
        <f>G17*I17</f>
        <v>0.63798199999999994</v>
      </c>
      <c r="O17" s="390">
        <f>G17*J17</f>
        <v>0.250496</v>
      </c>
      <c r="P17" s="1371">
        <f t="shared" si="0"/>
        <v>8.633823529411766E-2</v>
      </c>
      <c r="Q17" s="1372">
        <f t="shared" si="0"/>
        <v>0.29163137254901961</v>
      </c>
      <c r="R17" s="1373">
        <f>IF($G17="","",M17*$E17/2000)</f>
        <v>4.5772664400000007</v>
      </c>
      <c r="S17" s="1371">
        <f t="shared" si="2"/>
        <v>2.7943611599999998</v>
      </c>
      <c r="T17" s="1371">
        <f t="shared" si="2"/>
        <v>1.09717248</v>
      </c>
      <c r="U17" s="1371">
        <f t="shared" si="2"/>
        <v>0.37816147058823535</v>
      </c>
      <c r="V17" s="1372">
        <f t="shared" si="2"/>
        <v>1.2773454117647058</v>
      </c>
      <c r="W17" s="1763"/>
    </row>
    <row r="18" spans="1:23" ht="37.5" customHeight="1" thickBot="1">
      <c r="A18" s="1761"/>
      <c r="B18" s="1374" t="str">
        <f>'Burners No Cogen'!B30</f>
        <v>RHTR3</v>
      </c>
      <c r="C18" s="1375" t="str">
        <f>'Summary-Co'!B17</f>
        <v>Regen Heater
(39.14 MMBtu/hr)</v>
      </c>
      <c r="D18" s="1375">
        <f>D14</f>
        <v>850</v>
      </c>
      <c r="E18" s="1455">
        <v>8760</v>
      </c>
      <c r="F18" s="1456">
        <v>27.73</v>
      </c>
      <c r="G18" s="1456">
        <f>'Burners No Cogen'!G30</f>
        <v>39.14</v>
      </c>
      <c r="H18" s="1457">
        <v>2.6700000000000002E-2</v>
      </c>
      <c r="I18" s="1380">
        <v>1.6299999999999999E-2</v>
      </c>
      <c r="J18" s="1380">
        <v>6.4000000000000003E-3</v>
      </c>
      <c r="K18" s="1381">
        <f>K14</f>
        <v>2.25</v>
      </c>
      <c r="L18" s="1409">
        <f>L14</f>
        <v>7.6</v>
      </c>
      <c r="M18" s="1382">
        <f>H18*G18</f>
        <v>1.0450380000000001</v>
      </c>
      <c r="N18" s="1383">
        <f>G18*I18</f>
        <v>0.63798199999999994</v>
      </c>
      <c r="O18" s="1383">
        <f>G18*J18</f>
        <v>0.250496</v>
      </c>
      <c r="P18" s="1383">
        <f t="shared" si="0"/>
        <v>8.633823529411766E-2</v>
      </c>
      <c r="Q18" s="1383">
        <f t="shared" si="0"/>
        <v>0.29163137254901961</v>
      </c>
      <c r="R18" s="1382">
        <f>IF($G18="","",M18*$E18/2000)</f>
        <v>4.5772664400000007</v>
      </c>
      <c r="S18" s="1383">
        <f t="shared" si="2"/>
        <v>2.7943611599999998</v>
      </c>
      <c r="T18" s="1383">
        <f t="shared" si="2"/>
        <v>1.09717248</v>
      </c>
      <c r="U18" s="1383">
        <f t="shared" si="2"/>
        <v>0.37816147058823535</v>
      </c>
      <c r="V18" s="1384">
        <f t="shared" si="2"/>
        <v>1.2773454117647058</v>
      </c>
      <c r="W18" s="1763"/>
    </row>
    <row r="19" spans="1:23" ht="15.5">
      <c r="A19" s="1761"/>
      <c r="B19" s="1765"/>
      <c r="C19" s="1765"/>
      <c r="D19" s="1765"/>
      <c r="E19" s="1765"/>
      <c r="F19" s="1765"/>
      <c r="G19" s="1765"/>
      <c r="H19" s="1765"/>
      <c r="I19" s="1765"/>
      <c r="J19" s="1765"/>
      <c r="K19" s="1765"/>
      <c r="L19" s="1765"/>
      <c r="M19" s="1766"/>
      <c r="N19" s="1766"/>
      <c r="O19" s="1766"/>
      <c r="P19" s="1766"/>
      <c r="Q19" s="1766"/>
      <c r="R19" s="1766"/>
      <c r="S19" s="1766"/>
      <c r="T19" s="1766"/>
      <c r="U19" s="1766"/>
      <c r="V19" s="1766"/>
      <c r="W19" s="1763"/>
    </row>
    <row r="20" spans="1:23" ht="16.5" thickBot="1">
      <c r="A20" s="1761"/>
      <c r="B20" s="1767">
        <v>1</v>
      </c>
      <c r="C20" s="1806" t="s">
        <v>1334</v>
      </c>
      <c r="D20" s="1765"/>
      <c r="E20" s="1765"/>
      <c r="F20" s="1765"/>
      <c r="G20" s="1765"/>
      <c r="H20" s="1765"/>
      <c r="I20" s="1765"/>
      <c r="J20" s="1765"/>
      <c r="K20" s="1765"/>
      <c r="L20" s="1765"/>
      <c r="M20" s="1765"/>
      <c r="N20" s="1765"/>
      <c r="O20" s="1765"/>
      <c r="P20" s="1766"/>
      <c r="Q20" s="1766"/>
      <c r="R20" s="1766"/>
      <c r="S20" s="1766"/>
      <c r="T20" s="1766"/>
      <c r="U20" s="1766"/>
      <c r="V20" s="1766"/>
      <c r="W20" s="1763"/>
    </row>
    <row r="21" spans="1:23" ht="23.15" customHeight="1" thickBot="1">
      <c r="A21" s="1761"/>
      <c r="B21" s="1767">
        <v>2</v>
      </c>
      <c r="C21" s="1806" t="s">
        <v>1666</v>
      </c>
      <c r="D21" s="3613"/>
      <c r="E21" s="3613"/>
      <c r="F21" s="3613"/>
      <c r="G21" s="3613"/>
      <c r="H21" s="3613"/>
      <c r="I21" s="1768"/>
      <c r="J21" s="1768"/>
      <c r="K21" s="3613"/>
      <c r="L21" s="1769"/>
      <c r="M21" s="3613"/>
      <c r="N21" s="3613"/>
      <c r="O21" s="3612"/>
      <c r="P21" s="4632" t="s">
        <v>459</v>
      </c>
      <c r="Q21" s="4633"/>
      <c r="R21" s="494" t="s">
        <v>21</v>
      </c>
      <c r="S21" s="493" t="s">
        <v>0</v>
      </c>
      <c r="T21" s="493" t="s">
        <v>1</v>
      </c>
      <c r="U21" s="493" t="s">
        <v>307</v>
      </c>
      <c r="V21" s="3611" t="s">
        <v>522</v>
      </c>
      <c r="W21" s="1763"/>
    </row>
    <row r="22" spans="1:23" ht="28.5" customHeight="1" thickBot="1">
      <c r="A22" s="1761"/>
      <c r="B22" s="1770"/>
      <c r="C22" s="1770"/>
      <c r="D22" s="1770"/>
      <c r="E22" s="1770"/>
      <c r="F22" s="1770"/>
      <c r="G22" s="1770"/>
      <c r="H22" s="1770"/>
      <c r="I22" s="1771"/>
      <c r="J22" s="1768"/>
      <c r="K22" s="3613"/>
      <c r="L22" s="1769"/>
      <c r="M22" s="1770"/>
      <c r="N22" s="1770"/>
      <c r="O22" s="3612"/>
      <c r="P22" s="4634"/>
      <c r="Q22" s="4635"/>
      <c r="R22" s="505">
        <f>SUM(R14:R19)</f>
        <v>28.895017680000002</v>
      </c>
      <c r="S22" s="506">
        <f>SUM(S14:S19)</f>
        <v>17.640029519999999</v>
      </c>
      <c r="T22" s="506">
        <f>SUM(T14:T19)</f>
        <v>6.9261465600000003</v>
      </c>
      <c r="U22" s="506">
        <f>SUM(U14:U19)</f>
        <v>2.3872288235294121</v>
      </c>
      <c r="V22" s="507">
        <f>SUM(V14:V19)</f>
        <v>8.0635284705882349</v>
      </c>
      <c r="W22" s="1763"/>
    </row>
    <row r="23" spans="1:23" ht="28.25" customHeight="1">
      <c r="A23" s="1761"/>
      <c r="B23" s="1770"/>
      <c r="C23" s="1770"/>
      <c r="D23" s="1770"/>
      <c r="E23" s="1770"/>
      <c r="F23" s="1770"/>
      <c r="G23" s="1770"/>
      <c r="H23" s="1770"/>
      <c r="I23" s="1771"/>
      <c r="J23" s="1771"/>
      <c r="K23" s="1722"/>
      <c r="L23" s="1769"/>
      <c r="M23" s="1770"/>
      <c r="N23" s="1770"/>
      <c r="O23" s="1765"/>
      <c r="P23" s="1765"/>
      <c r="Q23" s="1765"/>
      <c r="R23" s="1772"/>
      <c r="S23" s="1772"/>
      <c r="T23" s="1772"/>
      <c r="U23" s="1772"/>
      <c r="V23" s="1772"/>
      <c r="W23" s="1763"/>
    </row>
    <row r="24" spans="1:23" ht="18" customHeight="1" thickBot="1">
      <c r="A24" s="1778"/>
      <c r="B24" s="1779"/>
      <c r="C24" s="1779"/>
      <c r="D24" s="1779"/>
      <c r="E24" s="1780"/>
      <c r="F24" s="1780"/>
      <c r="G24" s="1780"/>
      <c r="H24" s="1780"/>
      <c r="I24" s="1780"/>
      <c r="J24" s="1780"/>
      <c r="K24" s="1780"/>
      <c r="L24" s="1780"/>
      <c r="M24" s="1780"/>
      <c r="N24" s="1779"/>
      <c r="O24" s="1779"/>
      <c r="P24" s="1779"/>
      <c r="Q24" s="1779"/>
      <c r="R24" s="1779"/>
      <c r="S24" s="1779"/>
      <c r="T24" s="1779"/>
      <c r="U24" s="1779"/>
      <c r="V24" s="1779"/>
      <c r="W24" s="1781"/>
    </row>
    <row r="25" spans="1:23" ht="33" customHeight="1" thickBot="1">
      <c r="A25" s="4643" t="s">
        <v>460</v>
      </c>
      <c r="B25" s="4644"/>
      <c r="C25" s="4644"/>
      <c r="D25" s="4644"/>
      <c r="E25" s="4644"/>
      <c r="F25" s="4644"/>
      <c r="G25" s="4644"/>
      <c r="H25" s="4644"/>
      <c r="I25" s="4644"/>
      <c r="J25" s="4644"/>
      <c r="K25" s="4644"/>
      <c r="L25" s="4644"/>
      <c r="M25" s="4644"/>
      <c r="N25" s="4644"/>
      <c r="O25" s="4644"/>
      <c r="P25" s="4644"/>
      <c r="Q25" s="4644"/>
      <c r="R25" s="4644"/>
      <c r="S25" s="4644"/>
      <c r="T25" s="4644"/>
      <c r="U25" s="4644"/>
      <c r="V25" s="4644"/>
      <c r="W25" s="4645"/>
    </row>
    <row r="26" spans="1:23" ht="15.5">
      <c r="A26" s="1773"/>
      <c r="B26" s="1774"/>
      <c r="C26" s="1774"/>
      <c r="D26" s="1774"/>
      <c r="E26" s="1774"/>
      <c r="F26" s="1774"/>
      <c r="G26" s="1774"/>
      <c r="H26" s="1774"/>
      <c r="I26" s="1774"/>
      <c r="J26" s="1774"/>
      <c r="K26" s="1774"/>
      <c r="L26" s="1774"/>
      <c r="M26" s="1774"/>
      <c r="N26" s="1774"/>
      <c r="O26" s="1774"/>
      <c r="P26" s="1774"/>
      <c r="Q26" s="1774"/>
      <c r="R26" s="1774"/>
      <c r="S26" s="1774"/>
      <c r="T26" s="1774"/>
      <c r="U26" s="1774"/>
      <c r="V26" s="1774"/>
      <c r="W26" s="1775"/>
    </row>
    <row r="27" spans="1:23" ht="16" thickBot="1">
      <c r="A27" s="1761"/>
      <c r="B27" s="1765"/>
      <c r="C27" s="1765"/>
      <c r="D27" s="1765"/>
      <c r="E27" s="1765"/>
      <c r="F27" s="1765"/>
      <c r="G27" s="1765"/>
      <c r="H27" s="1765"/>
      <c r="I27" s="1765"/>
      <c r="J27" s="1765"/>
      <c r="K27" s="1765"/>
      <c r="L27" s="1765"/>
      <c r="M27" s="1765"/>
      <c r="N27" s="1765"/>
      <c r="O27" s="1765"/>
      <c r="P27" s="1765"/>
      <c r="Q27" s="1765"/>
      <c r="R27" s="1765"/>
      <c r="S27" s="1765"/>
      <c r="T27" s="1765"/>
      <c r="U27" s="1765"/>
      <c r="V27" s="1765"/>
      <c r="W27" s="1763"/>
    </row>
    <row r="28" spans="1:23" ht="20.25" customHeight="1" thickBot="1">
      <c r="A28" s="1761"/>
      <c r="B28" s="1762"/>
      <c r="C28" s="1762"/>
      <c r="D28" s="1762"/>
      <c r="E28" s="1762"/>
      <c r="F28" s="1762"/>
      <c r="G28" s="1762"/>
      <c r="H28" s="4626" t="s">
        <v>382</v>
      </c>
      <c r="I28" s="4627"/>
      <c r="J28" s="4627"/>
      <c r="K28" s="4627"/>
      <c r="L28" s="4628"/>
      <c r="M28" s="1762"/>
      <c r="N28" s="1762"/>
      <c r="O28" s="1762"/>
      <c r="P28" s="1762"/>
      <c r="Q28" s="1762"/>
      <c r="R28" s="1762"/>
      <c r="S28" s="1762"/>
      <c r="T28" s="1762"/>
      <c r="U28" s="1762"/>
      <c r="V28" s="1762"/>
      <c r="W28" s="1763"/>
    </row>
    <row r="29" spans="1:23" ht="20.25" customHeight="1" thickBot="1">
      <c r="A29" s="1761"/>
      <c r="B29" s="1764"/>
      <c r="C29" s="1764"/>
      <c r="D29" s="1764"/>
      <c r="E29" s="1764"/>
      <c r="F29" s="1764"/>
      <c r="G29" s="1764"/>
      <c r="H29" s="4629" t="s">
        <v>454</v>
      </c>
      <c r="I29" s="4630"/>
      <c r="J29" s="4630"/>
      <c r="K29" s="4630"/>
      <c r="L29" s="4631"/>
      <c r="M29" s="4627" t="s">
        <v>22</v>
      </c>
      <c r="N29" s="4627"/>
      <c r="O29" s="4627"/>
      <c r="P29" s="4627"/>
      <c r="Q29" s="4628"/>
      <c r="R29" s="4626" t="s">
        <v>23</v>
      </c>
      <c r="S29" s="4627"/>
      <c r="T29" s="4627"/>
      <c r="U29" s="4627"/>
      <c r="V29" s="4628"/>
      <c r="W29" s="1763"/>
    </row>
    <row r="30" spans="1:23" ht="51" customHeight="1" thickBot="1">
      <c r="A30" s="1761"/>
      <c r="B30" s="489" t="str">
        <f t="shared" ref="B30:B35" si="3">B13</f>
        <v>Source ID</v>
      </c>
      <c r="C30" s="490" t="s">
        <v>455</v>
      </c>
      <c r="D30" s="490" t="s">
        <v>455</v>
      </c>
      <c r="E30" s="490" t="s">
        <v>456</v>
      </c>
      <c r="F30" s="508" t="s">
        <v>457</v>
      </c>
      <c r="G30" s="508" t="s">
        <v>457</v>
      </c>
      <c r="H30" s="492" t="s">
        <v>11</v>
      </c>
      <c r="I30" s="493" t="s">
        <v>14</v>
      </c>
      <c r="J30" s="490" t="s">
        <v>554</v>
      </c>
      <c r="K30" s="493" t="s">
        <v>384</v>
      </c>
      <c r="L30" s="491" t="s">
        <v>1650</v>
      </c>
      <c r="M30" s="492" t="s">
        <v>11</v>
      </c>
      <c r="N30" s="493" t="s">
        <v>14</v>
      </c>
      <c r="O30" s="490" t="s">
        <v>554</v>
      </c>
      <c r="P30" s="493" t="s">
        <v>384</v>
      </c>
      <c r="Q30" s="491" t="s">
        <v>553</v>
      </c>
      <c r="R30" s="494" t="s">
        <v>11</v>
      </c>
      <c r="S30" s="493" t="s">
        <v>14</v>
      </c>
      <c r="T30" s="490" t="s">
        <v>554</v>
      </c>
      <c r="U30" s="493" t="s">
        <v>384</v>
      </c>
      <c r="V30" s="491" t="s">
        <v>1650</v>
      </c>
      <c r="W30" s="1763"/>
    </row>
    <row r="31" spans="1:23" ht="51" customHeight="1">
      <c r="A31" s="1761"/>
      <c r="B31" s="570" t="str">
        <f t="shared" si="3"/>
        <v>SHTR1</v>
      </c>
      <c r="C31" s="496" t="str">
        <f>C14</f>
        <v>Stabilization Hot Oil Heater
(64.83 MMBtu/hr)</v>
      </c>
      <c r="D31" s="499">
        <f>D14</f>
        <v>850</v>
      </c>
      <c r="E31" s="497">
        <f>E14</f>
        <v>8760</v>
      </c>
      <c r="F31" s="498">
        <f>F14</f>
        <v>50</v>
      </c>
      <c r="G31" s="498">
        <f>G14</f>
        <v>64.83</v>
      </c>
      <c r="H31" s="509">
        <f>IF(G31="","",0.0021)</f>
        <v>2.0999999999999999E-3</v>
      </c>
      <c r="I31" s="510">
        <f>IF(G31="","",0.0034)</f>
        <v>3.3999999999999998E-3</v>
      </c>
      <c r="J31" s="499">
        <f>IF(G31="","",1.8)</f>
        <v>1.8</v>
      </c>
      <c r="K31" s="510">
        <f>IF(G31="","",0.075)</f>
        <v>7.4999999999999997E-2</v>
      </c>
      <c r="L31" s="511">
        <f>IF(G31="","",0.0012)</f>
        <v>1.1999999999999999E-3</v>
      </c>
      <c r="M31" s="195">
        <f t="shared" ref="M31:Q35" si="4">$G31/$D31*H31*$D31/1020</f>
        <v>1.334735294117647E-4</v>
      </c>
      <c r="N31" s="196">
        <f t="shared" si="4"/>
        <v>2.1609999999999999E-4</v>
      </c>
      <c r="O31" s="196">
        <f t="shared" si="4"/>
        <v>0.11440588235294119</v>
      </c>
      <c r="P31" s="196">
        <f t="shared" si="4"/>
        <v>4.7669117647058815E-3</v>
      </c>
      <c r="Q31" s="197">
        <f t="shared" si="4"/>
        <v>7.6270588235294106E-5</v>
      </c>
      <c r="R31" s="501">
        <f t="shared" ref="R31:V35" si="5">IF($G31="","",M31*$E31/2000)</f>
        <v>5.8461405882352939E-4</v>
      </c>
      <c r="S31" s="196">
        <f t="shared" si="5"/>
        <v>9.4651799999999993E-4</v>
      </c>
      <c r="T31" s="196">
        <f t="shared" si="5"/>
        <v>0.50109776470588241</v>
      </c>
      <c r="U31" s="196">
        <f t="shared" si="5"/>
        <v>2.0879073529411762E-2</v>
      </c>
      <c r="V31" s="197">
        <f t="shared" si="5"/>
        <v>3.3406517647058818E-4</v>
      </c>
      <c r="W31" s="1763"/>
    </row>
    <row r="32" spans="1:23" ht="51" customHeight="1">
      <c r="A32" s="1761"/>
      <c r="B32" s="1365" t="str">
        <f t="shared" si="3"/>
        <v>SHTR2</v>
      </c>
      <c r="C32" s="1366" t="str">
        <f>C31</f>
        <v>Stabilization Hot Oil Heater
(64.83 MMBtu/hr)</v>
      </c>
      <c r="D32" s="1376">
        <f>D31</f>
        <v>850</v>
      </c>
      <c r="E32" s="1377">
        <f>E15</f>
        <v>8760</v>
      </c>
      <c r="F32" s="1368">
        <f>F15</f>
        <v>50</v>
      </c>
      <c r="G32" s="1368">
        <f>G15</f>
        <v>64.83</v>
      </c>
      <c r="H32" s="1369">
        <f>IF(G32="","",0.0021)</f>
        <v>2.0999999999999999E-3</v>
      </c>
      <c r="I32" s="1378">
        <f>IF(G32="","",0.0034)</f>
        <v>3.3999999999999998E-3</v>
      </c>
      <c r="J32" s="1376">
        <f>IF(G32="","",1.8)</f>
        <v>1.8</v>
      </c>
      <c r="K32" s="1378">
        <f>IF(G32="","",0.075)</f>
        <v>7.4999999999999997E-2</v>
      </c>
      <c r="L32" s="1379">
        <f>IF(G32="","",0.0012)</f>
        <v>1.1999999999999999E-3</v>
      </c>
      <c r="M32" s="1370">
        <f t="shared" si="4"/>
        <v>1.334735294117647E-4</v>
      </c>
      <c r="N32" s="1371">
        <f t="shared" si="4"/>
        <v>2.1609999999999999E-4</v>
      </c>
      <c r="O32" s="1371">
        <f t="shared" si="4"/>
        <v>0.11440588235294119</v>
      </c>
      <c r="P32" s="1371">
        <f t="shared" si="4"/>
        <v>4.7669117647058815E-3</v>
      </c>
      <c r="Q32" s="1372">
        <f t="shared" si="4"/>
        <v>7.6270588235294106E-5</v>
      </c>
      <c r="R32" s="1373">
        <f t="shared" si="5"/>
        <v>5.8461405882352939E-4</v>
      </c>
      <c r="S32" s="1371">
        <f t="shared" si="5"/>
        <v>9.4651799999999993E-4</v>
      </c>
      <c r="T32" s="1371">
        <f t="shared" si="5"/>
        <v>0.50109776470588241</v>
      </c>
      <c r="U32" s="1371">
        <f t="shared" si="5"/>
        <v>2.0879073529411762E-2</v>
      </c>
      <c r="V32" s="1372">
        <f t="shared" si="5"/>
        <v>3.3406517647058818E-4</v>
      </c>
      <c r="W32" s="1763"/>
    </row>
    <row r="33" spans="1:23" ht="37.5" customHeight="1">
      <c r="A33" s="1761"/>
      <c r="B33" s="1365" t="str">
        <f t="shared" si="3"/>
        <v>RHTR1</v>
      </c>
      <c r="C33" s="1366" t="str">
        <f>C16</f>
        <v>Regen Heater
(39.14 MMBtu/hr)</v>
      </c>
      <c r="D33" s="1376">
        <f>D31</f>
        <v>850</v>
      </c>
      <c r="E33" s="1377">
        <f t="shared" ref="E33:G35" si="6">E16</f>
        <v>8760</v>
      </c>
      <c r="F33" s="1368">
        <f t="shared" si="6"/>
        <v>27.73</v>
      </c>
      <c r="G33" s="1368">
        <f t="shared" si="6"/>
        <v>39.14</v>
      </c>
      <c r="H33" s="513">
        <f>IF(G33="","",0.0021)</f>
        <v>2.0999999999999999E-3</v>
      </c>
      <c r="I33" s="514">
        <f>IF(G33="","",0.0034)</f>
        <v>3.3999999999999998E-3</v>
      </c>
      <c r="J33" s="512">
        <f>IF(G33="","",1.8)</f>
        <v>1.8</v>
      </c>
      <c r="K33" s="514">
        <f>IF(G33="","",0.075)</f>
        <v>7.4999999999999997E-2</v>
      </c>
      <c r="L33" s="515">
        <f>IF(G33="","",0.0012)</f>
        <v>1.1999999999999999E-3</v>
      </c>
      <c r="M33" s="1370">
        <f t="shared" si="4"/>
        <v>8.058235294117647E-5</v>
      </c>
      <c r="N33" s="1371">
        <f t="shared" si="4"/>
        <v>1.3046666666666668E-4</v>
      </c>
      <c r="O33" s="1371">
        <f t="shared" si="4"/>
        <v>6.907058823529412E-2</v>
      </c>
      <c r="P33" s="1371">
        <f t="shared" si="4"/>
        <v>2.8779411764705883E-3</v>
      </c>
      <c r="Q33" s="1372">
        <f t="shared" si="4"/>
        <v>4.6047058823529409E-5</v>
      </c>
      <c r="R33" s="516">
        <f t="shared" si="5"/>
        <v>3.5295070588235294E-4</v>
      </c>
      <c r="S33" s="390">
        <f t="shared" si="5"/>
        <v>5.7144400000000005E-4</v>
      </c>
      <c r="T33" s="390">
        <f t="shared" si="5"/>
        <v>0.30252917647058825</v>
      </c>
      <c r="U33" s="390">
        <f t="shared" si="5"/>
        <v>1.2605382352941178E-2</v>
      </c>
      <c r="V33" s="1537">
        <f t="shared" si="5"/>
        <v>2.0168611764705881E-4</v>
      </c>
      <c r="W33" s="1763"/>
    </row>
    <row r="34" spans="1:23" ht="37.5" customHeight="1">
      <c r="A34" s="1761"/>
      <c r="B34" s="1365" t="str">
        <f t="shared" si="3"/>
        <v>RHTR2</v>
      </c>
      <c r="C34" s="1366" t="str">
        <f>C33</f>
        <v>Regen Heater
(39.14 MMBtu/hr)</v>
      </c>
      <c r="D34" s="1376">
        <f>D33</f>
        <v>850</v>
      </c>
      <c r="E34" s="1377">
        <f t="shared" si="6"/>
        <v>8760</v>
      </c>
      <c r="F34" s="1368">
        <f t="shared" si="6"/>
        <v>27.73</v>
      </c>
      <c r="G34" s="1368">
        <f t="shared" si="6"/>
        <v>39.14</v>
      </c>
      <c r="H34" s="513">
        <f>IF(G34="","",0.0021)</f>
        <v>2.0999999999999999E-3</v>
      </c>
      <c r="I34" s="514">
        <f>IF(G34="","",0.0034)</f>
        <v>3.3999999999999998E-3</v>
      </c>
      <c r="J34" s="512">
        <f>IF(G34="","",1.8)</f>
        <v>1.8</v>
      </c>
      <c r="K34" s="514">
        <f>IF(G34="","",0.075)</f>
        <v>7.4999999999999997E-2</v>
      </c>
      <c r="L34" s="515">
        <f>IF(G34="","",0.0012)</f>
        <v>1.1999999999999999E-3</v>
      </c>
      <c r="M34" s="1370">
        <f t="shared" si="4"/>
        <v>8.058235294117647E-5</v>
      </c>
      <c r="N34" s="1371">
        <f t="shared" si="4"/>
        <v>1.3046666666666668E-4</v>
      </c>
      <c r="O34" s="1371">
        <f t="shared" si="4"/>
        <v>6.907058823529412E-2</v>
      </c>
      <c r="P34" s="1371">
        <f t="shared" si="4"/>
        <v>2.8779411764705883E-3</v>
      </c>
      <c r="Q34" s="1372">
        <f t="shared" si="4"/>
        <v>4.6047058823529409E-5</v>
      </c>
      <c r="R34" s="1373">
        <f t="shared" si="5"/>
        <v>3.5295070588235294E-4</v>
      </c>
      <c r="S34" s="1371">
        <f t="shared" si="5"/>
        <v>5.7144400000000005E-4</v>
      </c>
      <c r="T34" s="1371">
        <f t="shared" si="5"/>
        <v>0.30252917647058825</v>
      </c>
      <c r="U34" s="1371">
        <f t="shared" si="5"/>
        <v>1.2605382352941178E-2</v>
      </c>
      <c r="V34" s="1372">
        <f t="shared" si="5"/>
        <v>2.0168611764705881E-4</v>
      </c>
      <c r="W34" s="1763"/>
    </row>
    <row r="35" spans="1:23" ht="37.5" customHeight="1" thickBot="1">
      <c r="A35" s="1761"/>
      <c r="B35" s="1374" t="str">
        <f t="shared" si="3"/>
        <v>RHTR3</v>
      </c>
      <c r="C35" s="1375" t="str">
        <f>C34</f>
        <v>Regen Heater
(39.14 MMBtu/hr)</v>
      </c>
      <c r="D35" s="1509">
        <f>D34</f>
        <v>850</v>
      </c>
      <c r="E35" s="1510">
        <f t="shared" si="6"/>
        <v>8760</v>
      </c>
      <c r="F35" s="1456">
        <f t="shared" si="6"/>
        <v>27.73</v>
      </c>
      <c r="G35" s="1456">
        <f t="shared" si="6"/>
        <v>39.14</v>
      </c>
      <c r="H35" s="1457">
        <f>IF(G35="","",0.0021)</f>
        <v>2.0999999999999999E-3</v>
      </c>
      <c r="I35" s="1511">
        <f>IF(G35="","",0.0034)</f>
        <v>3.3999999999999998E-3</v>
      </c>
      <c r="J35" s="1509">
        <f>IF(G35="","",1.8)</f>
        <v>1.8</v>
      </c>
      <c r="K35" s="1511">
        <f>IF(G35="","",0.075)</f>
        <v>7.4999999999999997E-2</v>
      </c>
      <c r="L35" s="1512">
        <f>IF(G35="","",0.0012)</f>
        <v>1.1999999999999999E-3</v>
      </c>
      <c r="M35" s="1382">
        <f t="shared" si="4"/>
        <v>8.058235294117647E-5</v>
      </c>
      <c r="N35" s="1383">
        <f t="shared" si="4"/>
        <v>1.3046666666666668E-4</v>
      </c>
      <c r="O35" s="1383">
        <f t="shared" si="4"/>
        <v>6.907058823529412E-2</v>
      </c>
      <c r="P35" s="1383">
        <f t="shared" si="4"/>
        <v>2.8779411764705883E-3</v>
      </c>
      <c r="Q35" s="1384">
        <f t="shared" si="4"/>
        <v>4.6047058823529409E-5</v>
      </c>
      <c r="R35" s="1513">
        <f t="shared" si="5"/>
        <v>3.5295070588235294E-4</v>
      </c>
      <c r="S35" s="1383">
        <f t="shared" si="5"/>
        <v>5.7144400000000005E-4</v>
      </c>
      <c r="T35" s="1383">
        <f t="shared" si="5"/>
        <v>0.30252917647058825</v>
      </c>
      <c r="U35" s="1383">
        <f t="shared" si="5"/>
        <v>1.2605382352941178E-2</v>
      </c>
      <c r="V35" s="1384">
        <f t="shared" si="5"/>
        <v>2.0168611764705881E-4</v>
      </c>
      <c r="W35" s="1763"/>
    </row>
    <row r="36" spans="1:23" ht="15.5">
      <c r="A36" s="1761"/>
      <c r="B36" s="1765"/>
      <c r="C36" s="1765"/>
      <c r="D36" s="1765"/>
      <c r="E36" s="1765"/>
      <c r="F36" s="1765"/>
      <c r="G36" s="1765"/>
      <c r="H36" s="1765"/>
      <c r="I36" s="1765"/>
      <c r="J36" s="1765"/>
      <c r="K36" s="1765"/>
      <c r="L36" s="1765"/>
      <c r="M36" s="1766"/>
      <c r="N36" s="1766"/>
      <c r="O36" s="1766"/>
      <c r="P36" s="1766"/>
      <c r="Q36" s="1766"/>
      <c r="R36" s="1766"/>
      <c r="S36" s="1766"/>
      <c r="T36" s="1766"/>
      <c r="U36" s="1766"/>
      <c r="V36" s="1766"/>
      <c r="W36" s="1763"/>
    </row>
    <row r="37" spans="1:23" ht="16" thickBot="1">
      <c r="A37" s="1761"/>
      <c r="B37" s="1765"/>
      <c r="C37" s="1765"/>
      <c r="D37" s="1765"/>
      <c r="E37" s="1765"/>
      <c r="F37" s="1765"/>
      <c r="G37" s="1765"/>
      <c r="H37" s="1765"/>
      <c r="I37" s="1765"/>
      <c r="J37" s="1765"/>
      <c r="K37" s="1765"/>
      <c r="L37" s="1765"/>
      <c r="M37" s="1765"/>
      <c r="N37" s="1765"/>
      <c r="O37" s="1765"/>
      <c r="P37" s="1766"/>
      <c r="Q37" s="1766"/>
      <c r="R37" s="1766"/>
      <c r="S37" s="1766"/>
      <c r="T37" s="1766"/>
      <c r="U37" s="1766"/>
      <c r="V37" s="1766"/>
      <c r="W37" s="1763"/>
    </row>
    <row r="38" spans="1:23" ht="31.5" customHeight="1" thickBot="1">
      <c r="A38" s="1761"/>
      <c r="B38" s="1769" t="s">
        <v>458</v>
      </c>
      <c r="C38" s="1722"/>
      <c r="D38" s="1722"/>
      <c r="E38" s="1722"/>
      <c r="F38" s="1722"/>
      <c r="G38" s="1722"/>
      <c r="H38" s="1722"/>
      <c r="I38" s="1722"/>
      <c r="J38" s="1722"/>
      <c r="K38" s="1722"/>
      <c r="L38" s="1722"/>
      <c r="M38" s="1722"/>
      <c r="N38" s="1765"/>
      <c r="O38" s="4636" t="s">
        <v>552</v>
      </c>
      <c r="P38" s="4637"/>
      <c r="Q38" s="4633"/>
      <c r="R38" s="193" t="s">
        <v>11</v>
      </c>
      <c r="S38" s="192" t="s">
        <v>14</v>
      </c>
      <c r="T38" s="490" t="s">
        <v>554</v>
      </c>
      <c r="U38" s="192" t="s">
        <v>384</v>
      </c>
      <c r="V38" s="491" t="s">
        <v>553</v>
      </c>
      <c r="W38" s="1763"/>
    </row>
    <row r="39" spans="1:23" ht="28.5" customHeight="1" thickBot="1">
      <c r="A39" s="1761"/>
      <c r="B39" s="4646"/>
      <c r="C39" s="4646"/>
      <c r="D39" s="4646"/>
      <c r="E39" s="4646"/>
      <c r="F39" s="4646"/>
      <c r="G39" s="4646"/>
      <c r="H39" s="4646"/>
      <c r="I39" s="4646"/>
      <c r="J39" s="4646"/>
      <c r="K39" s="4646"/>
      <c r="L39" s="4646"/>
      <c r="M39" s="4646"/>
      <c r="N39" s="1765"/>
      <c r="O39" s="4638"/>
      <c r="P39" s="4639"/>
      <c r="Q39" s="4640"/>
      <c r="R39" s="505">
        <f>SUM(R31:R36)</f>
        <v>2.2280802352941174E-3</v>
      </c>
      <c r="S39" s="506">
        <f>SUM(S31:S36)</f>
        <v>3.6073679999999997E-3</v>
      </c>
      <c r="T39" s="506">
        <f>SUM(T31:T36)</f>
        <v>1.9097830588235294</v>
      </c>
      <c r="U39" s="506">
        <f>SUM(U31:U36)</f>
        <v>7.9574294117647049E-2</v>
      </c>
      <c r="V39" s="507">
        <f>SUM(V31:V36)</f>
        <v>1.2731887058823528E-3</v>
      </c>
      <c r="W39" s="1763"/>
    </row>
    <row r="40" spans="1:23" ht="16" thickBot="1">
      <c r="A40" s="1761"/>
      <c r="B40" s="1762"/>
      <c r="C40" s="1762"/>
      <c r="D40" s="1762"/>
      <c r="E40" s="1762"/>
      <c r="F40" s="1762"/>
      <c r="G40" s="1762"/>
      <c r="H40" s="1762"/>
      <c r="I40" s="1762"/>
      <c r="J40" s="1762"/>
      <c r="K40" s="1762"/>
      <c r="L40" s="1762"/>
      <c r="M40" s="1762"/>
      <c r="N40" s="1762"/>
      <c r="O40" s="1762"/>
      <c r="P40" s="1762"/>
      <c r="Q40" s="1762"/>
      <c r="R40" s="1762"/>
      <c r="S40" s="1762"/>
      <c r="T40" s="1762"/>
      <c r="U40" s="1762"/>
      <c r="V40" s="1762"/>
      <c r="W40" s="1763"/>
    </row>
    <row r="41" spans="1:23" ht="17.25" customHeight="1">
      <c r="A41" s="1761"/>
      <c r="B41" s="1762"/>
      <c r="C41" s="1762"/>
      <c r="D41" s="1762"/>
      <c r="E41" s="1762"/>
      <c r="F41" s="1762"/>
      <c r="G41" s="1762"/>
      <c r="H41" s="1762"/>
      <c r="I41" s="1762"/>
      <c r="J41" s="1762"/>
      <c r="K41" s="1762"/>
      <c r="L41" s="1762"/>
      <c r="M41" s="1762"/>
      <c r="N41" s="1762"/>
      <c r="O41" s="4636" t="s">
        <v>559</v>
      </c>
      <c r="P41" s="4637"/>
      <c r="Q41" s="4633"/>
      <c r="R41" s="4641">
        <f>SUM(R39:V39)</f>
        <v>1.9964659898823527</v>
      </c>
      <c r="S41" s="1762"/>
      <c r="T41" s="1762"/>
      <c r="U41" s="1762"/>
      <c r="V41" s="1762"/>
      <c r="W41" s="1763"/>
    </row>
    <row r="42" spans="1:23" ht="17.25" customHeight="1" thickBot="1">
      <c r="A42" s="1761"/>
      <c r="B42" s="1762"/>
      <c r="C42" s="1762"/>
      <c r="D42" s="1762"/>
      <c r="E42" s="1762"/>
      <c r="F42" s="1762"/>
      <c r="G42" s="1762"/>
      <c r="H42" s="1762"/>
      <c r="I42" s="1762"/>
      <c r="J42" s="1762"/>
      <c r="K42" s="1762"/>
      <c r="L42" s="1762"/>
      <c r="M42" s="1762"/>
      <c r="N42" s="1762"/>
      <c r="O42" s="4638"/>
      <c r="P42" s="4639"/>
      <c r="Q42" s="4640"/>
      <c r="R42" s="4642"/>
      <c r="S42" s="1762"/>
      <c r="T42" s="1762"/>
      <c r="U42" s="1762"/>
      <c r="V42" s="1762"/>
      <c r="W42" s="1763"/>
    </row>
    <row r="43" spans="1:23" ht="18" customHeight="1">
      <c r="A43" s="643"/>
      <c r="B43" s="657"/>
      <c r="C43" s="1776"/>
      <c r="D43" s="1776"/>
      <c r="E43" s="1776"/>
      <c r="F43" s="1776"/>
      <c r="G43" s="1776"/>
      <c r="H43" s="1776"/>
      <c r="I43" s="1776"/>
      <c r="J43" s="1776"/>
      <c r="K43" s="1776"/>
      <c r="L43" s="1776"/>
      <c r="M43" s="1776"/>
      <c r="N43" s="657"/>
      <c r="O43" s="657"/>
      <c r="P43" s="657"/>
      <c r="Q43" s="657"/>
      <c r="R43" s="657"/>
      <c r="S43" s="657"/>
      <c r="T43" s="657"/>
      <c r="U43" s="657"/>
      <c r="V43" s="657"/>
      <c r="W43" s="51"/>
    </row>
    <row r="44" spans="1:23" ht="18" customHeight="1" thickBot="1">
      <c r="A44" s="1214"/>
      <c r="B44" s="1411"/>
      <c r="C44" s="1782"/>
      <c r="D44" s="1782"/>
      <c r="E44" s="1782"/>
      <c r="F44" s="1782"/>
      <c r="G44" s="1782"/>
      <c r="H44" s="1782"/>
      <c r="I44" s="1782"/>
      <c r="J44" s="1782"/>
      <c r="K44" s="1782"/>
      <c r="L44" s="1782"/>
      <c r="M44" s="1782"/>
      <c r="N44" s="1411"/>
      <c r="O44" s="1411"/>
      <c r="P44" s="1411"/>
      <c r="Q44" s="1411"/>
      <c r="R44" s="1411"/>
      <c r="S44" s="1411"/>
      <c r="T44" s="1411"/>
      <c r="U44" s="1411"/>
      <c r="V44" s="1411"/>
      <c r="W44" s="1777"/>
    </row>
  </sheetData>
  <mergeCells count="18">
    <mergeCell ref="H12:L12"/>
    <mergeCell ref="M12:Q12"/>
    <mergeCell ref="R12:V12"/>
    <mergeCell ref="P21:Q22"/>
    <mergeCell ref="O41:Q42"/>
    <mergeCell ref="R41:R42"/>
    <mergeCell ref="A25:W25"/>
    <mergeCell ref="H28:L28"/>
    <mergeCell ref="H29:L29"/>
    <mergeCell ref="M29:Q29"/>
    <mergeCell ref="R29:V29"/>
    <mergeCell ref="O38:Q39"/>
    <mergeCell ref="B39:M39"/>
    <mergeCell ref="B2:V2"/>
    <mergeCell ref="B3:V3"/>
    <mergeCell ref="B4:V4"/>
    <mergeCell ref="A8:W8"/>
    <mergeCell ref="H11:L11"/>
  </mergeCells>
  <printOptions horizontalCentered="1"/>
  <pageMargins left="0.2" right="0.2" top="0.5" bottom="0.5" header="0.3" footer="0.3"/>
  <pageSetup scale="43" orientation="landscape" r:id="rId1"/>
  <headerFooter>
    <oddFooter>&amp;CCalculations: Page &amp;P</oddFooter>
  </headerFooter>
  <rowBreaks count="1" manualBreakCount="1">
    <brk id="24"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3">
    <tabColor theme="3" tint="-0.249977111117893"/>
  </sheetPr>
  <dimension ref="A1:Z74"/>
  <sheetViews>
    <sheetView view="pageBreakPreview" topLeftCell="A7" zoomScale="55" zoomScaleNormal="100" zoomScaleSheetLayoutView="55" workbookViewId="0">
      <selection activeCell="E19" sqref="E19:R19"/>
    </sheetView>
  </sheetViews>
  <sheetFormatPr defaultColWidth="9.36328125" defaultRowHeight="13"/>
  <cols>
    <col min="1" max="1" width="3.54296875" style="363" customWidth="1"/>
    <col min="2" max="2" width="12" style="363" customWidth="1"/>
    <col min="3" max="3" width="26.54296875" style="363" customWidth="1"/>
    <col min="4" max="4" width="13.453125" style="363" customWidth="1"/>
    <col min="5" max="5" width="12" style="363" customWidth="1"/>
    <col min="6" max="7" width="16.36328125" style="363" customWidth="1"/>
    <col min="8" max="10" width="14.6328125" style="363" customWidth="1"/>
    <col min="11" max="12" width="13.6328125" style="363" customWidth="1"/>
    <col min="13" max="16" width="9.36328125" style="363"/>
    <col min="17" max="17" width="9.6328125" style="363" customWidth="1"/>
    <col min="18" max="21" width="9.36328125" style="363"/>
    <col min="22" max="22" width="9.6328125" style="363" customWidth="1"/>
    <col min="23" max="23" width="3.54296875" style="363" customWidth="1"/>
    <col min="24" max="16384" width="9.36328125" style="363"/>
  </cols>
  <sheetData>
    <row r="1" spans="1:23" ht="21.75" customHeight="1" thickBot="1">
      <c r="A1" s="640"/>
      <c r="B1" s="641"/>
      <c r="C1" s="641"/>
      <c r="D1" s="641"/>
      <c r="E1" s="641"/>
      <c r="F1" s="641"/>
      <c r="G1" s="641"/>
      <c r="H1" s="641"/>
      <c r="I1" s="641"/>
      <c r="J1" s="641"/>
      <c r="K1" s="641"/>
      <c r="L1" s="641"/>
      <c r="M1" s="641"/>
      <c r="N1" s="641"/>
      <c r="O1" s="641"/>
      <c r="P1" s="641"/>
      <c r="Q1" s="641"/>
      <c r="R1" s="641"/>
      <c r="S1" s="641"/>
      <c r="T1" s="641"/>
      <c r="U1" s="641"/>
      <c r="V1" s="641"/>
      <c r="W1" s="642"/>
    </row>
    <row r="2" spans="1:23" ht="28.5" customHeight="1">
      <c r="A2" s="643"/>
      <c r="B2" s="4657" t="str">
        <f>'Summary-Co'!B3</f>
        <v>XTO ENERGY INC.</v>
      </c>
      <c r="C2" s="4658"/>
      <c r="D2" s="4658"/>
      <c r="E2" s="4658"/>
      <c r="F2" s="4658"/>
      <c r="G2" s="4658"/>
      <c r="H2" s="4658"/>
      <c r="I2" s="4658"/>
      <c r="J2" s="4658"/>
      <c r="K2" s="4658"/>
      <c r="L2" s="4658"/>
      <c r="M2" s="4658"/>
      <c r="N2" s="4658"/>
      <c r="O2" s="4658"/>
      <c r="P2" s="4658"/>
      <c r="Q2" s="4658"/>
      <c r="R2" s="4658"/>
      <c r="S2" s="4658"/>
      <c r="T2" s="4658"/>
      <c r="U2" s="4658"/>
      <c r="V2" s="4659"/>
      <c r="W2" s="51"/>
    </row>
    <row r="3" spans="1:23" ht="28.5" customHeight="1">
      <c r="A3" s="643"/>
      <c r="B3" s="4660" t="str">
        <f>'Summary-Co'!B4</f>
        <v>HUSKY CDP</v>
      </c>
      <c r="C3" s="4661"/>
      <c r="D3" s="4661"/>
      <c r="E3" s="4661"/>
      <c r="F3" s="4661"/>
      <c r="G3" s="4661"/>
      <c r="H3" s="4661"/>
      <c r="I3" s="4661"/>
      <c r="J3" s="4661"/>
      <c r="K3" s="4661"/>
      <c r="L3" s="4661"/>
      <c r="M3" s="4661"/>
      <c r="N3" s="4661"/>
      <c r="O3" s="4661"/>
      <c r="P3" s="4661"/>
      <c r="Q3" s="4661"/>
      <c r="R3" s="4661"/>
      <c r="S3" s="4661"/>
      <c r="T3" s="4661"/>
      <c r="U3" s="4661"/>
      <c r="V3" s="4662"/>
      <c r="W3" s="51"/>
    </row>
    <row r="4" spans="1:23" ht="28.5" customHeight="1" thickBot="1">
      <c r="A4" s="643"/>
      <c r="B4" s="4663" t="s">
        <v>452</v>
      </c>
      <c r="C4" s="4664"/>
      <c r="D4" s="4665"/>
      <c r="E4" s="4665"/>
      <c r="F4" s="4665"/>
      <c r="G4" s="4665"/>
      <c r="H4" s="4665"/>
      <c r="I4" s="4665"/>
      <c r="J4" s="4665"/>
      <c r="K4" s="4665"/>
      <c r="L4" s="4665"/>
      <c r="M4" s="4665"/>
      <c r="N4" s="4665"/>
      <c r="O4" s="4665"/>
      <c r="P4" s="4665"/>
      <c r="Q4" s="4665"/>
      <c r="R4" s="4665"/>
      <c r="S4" s="4665"/>
      <c r="T4" s="4665"/>
      <c r="U4" s="4665"/>
      <c r="V4" s="4666"/>
      <c r="W4" s="51"/>
    </row>
    <row r="5" spans="1:23" ht="21.75" customHeight="1" thickBot="1">
      <c r="A5" s="645"/>
      <c r="B5" s="646"/>
      <c r="C5" s="646"/>
      <c r="D5" s="646"/>
      <c r="E5" s="646"/>
      <c r="F5" s="646"/>
      <c r="G5" s="646"/>
      <c r="H5" s="646"/>
      <c r="I5" s="646"/>
      <c r="J5" s="646"/>
      <c r="K5" s="646"/>
      <c r="L5" s="646"/>
      <c r="M5" s="646"/>
      <c r="N5" s="646"/>
      <c r="O5" s="646"/>
      <c r="P5" s="646"/>
      <c r="Q5" s="646"/>
      <c r="R5" s="646"/>
      <c r="S5" s="646"/>
      <c r="T5" s="646"/>
      <c r="U5" s="646"/>
      <c r="V5" s="646"/>
      <c r="W5" s="543"/>
    </row>
    <row r="6" spans="1:23" ht="18.5" thickBot="1">
      <c r="A6" s="590"/>
      <c r="B6" s="1883"/>
      <c r="C6" s="1883"/>
      <c r="D6" s="1883"/>
      <c r="E6" s="1883"/>
      <c r="F6" s="1883"/>
      <c r="G6" s="1883"/>
      <c r="H6" s="1883"/>
      <c r="I6" s="1883"/>
      <c r="J6" s="1883"/>
      <c r="K6" s="1883"/>
      <c r="L6" s="1883"/>
      <c r="M6" s="1883"/>
      <c r="N6" s="1883"/>
      <c r="O6" s="1883"/>
      <c r="P6" s="1883"/>
      <c r="Q6" s="1883"/>
      <c r="R6" s="1883"/>
      <c r="S6" s="1883"/>
      <c r="T6" s="1883"/>
      <c r="U6" s="1883"/>
      <c r="V6" s="1883"/>
      <c r="W6" s="590"/>
    </row>
    <row r="7" spans="1:23" ht="33" customHeight="1" thickBot="1">
      <c r="A7" s="4667" t="s">
        <v>453</v>
      </c>
      <c r="B7" s="4668"/>
      <c r="C7" s="4668"/>
      <c r="D7" s="4668"/>
      <c r="E7" s="4668"/>
      <c r="F7" s="4668"/>
      <c r="G7" s="4668"/>
      <c r="H7" s="4668"/>
      <c r="I7" s="4668"/>
      <c r="J7" s="4668"/>
      <c r="K7" s="4668"/>
      <c r="L7" s="4668"/>
      <c r="M7" s="4668"/>
      <c r="N7" s="4668"/>
      <c r="O7" s="4668"/>
      <c r="P7" s="4668"/>
      <c r="Q7" s="4668"/>
      <c r="R7" s="4668"/>
      <c r="S7" s="4668"/>
      <c r="T7" s="4668"/>
      <c r="U7" s="4668"/>
      <c r="V7" s="4668"/>
      <c r="W7" s="4669"/>
    </row>
    <row r="8" spans="1:23" ht="18">
      <c r="A8" s="640"/>
      <c r="B8" s="1760"/>
      <c r="C8" s="1760"/>
      <c r="D8" s="1760"/>
      <c r="E8" s="1760"/>
      <c r="F8" s="1760"/>
      <c r="G8" s="1760"/>
      <c r="H8" s="1760"/>
      <c r="I8" s="1760"/>
      <c r="J8" s="1760"/>
      <c r="K8" s="1760"/>
      <c r="L8" s="1760"/>
      <c r="M8" s="1760"/>
      <c r="N8" s="1760"/>
      <c r="O8" s="1760"/>
      <c r="P8" s="1760"/>
      <c r="Q8" s="1760"/>
      <c r="R8" s="1760"/>
      <c r="S8" s="1760"/>
      <c r="T8" s="1760"/>
      <c r="U8" s="1760"/>
      <c r="V8" s="1760"/>
      <c r="W8" s="642"/>
    </row>
    <row r="9" spans="1:23" ht="18.5" thickBot="1">
      <c r="A9" s="643"/>
      <c r="B9" s="1759"/>
      <c r="C9" s="1759"/>
      <c r="D9" s="1759"/>
      <c r="E9" s="1759"/>
      <c r="F9" s="1759"/>
      <c r="G9" s="1759"/>
      <c r="H9" s="1759"/>
      <c r="I9" s="1759"/>
      <c r="J9" s="1759"/>
      <c r="K9" s="1759"/>
      <c r="L9" s="1759"/>
      <c r="M9" s="1759"/>
      <c r="N9" s="1759"/>
      <c r="O9" s="1759"/>
      <c r="P9" s="656"/>
      <c r="Q9" s="656"/>
      <c r="R9" s="656"/>
      <c r="S9" s="656"/>
      <c r="T9" s="656"/>
      <c r="U9" s="656"/>
      <c r="V9" s="656"/>
      <c r="W9" s="51"/>
    </row>
    <row r="10" spans="1:23" ht="20.25" customHeight="1" thickBot="1">
      <c r="A10" s="1761"/>
      <c r="B10" s="1762"/>
      <c r="C10" s="1762"/>
      <c r="D10" s="1762"/>
      <c r="E10" s="1762"/>
      <c r="F10" s="1762"/>
      <c r="G10" s="1762"/>
      <c r="H10" s="4652" t="s">
        <v>602</v>
      </c>
      <c r="I10" s="4650"/>
      <c r="J10" s="4650"/>
      <c r="K10" s="4650"/>
      <c r="L10" s="4651"/>
      <c r="M10" s="1762"/>
      <c r="N10" s="1762"/>
      <c r="O10" s="1762"/>
      <c r="P10" s="1762"/>
      <c r="Q10" s="1762"/>
      <c r="R10" s="1762"/>
      <c r="S10" s="1762"/>
      <c r="T10" s="1762"/>
      <c r="U10" s="1762"/>
      <c r="V10" s="1762"/>
      <c r="W10" s="1763"/>
    </row>
    <row r="11" spans="1:23" ht="20.25" customHeight="1" thickBot="1">
      <c r="A11" s="1761"/>
      <c r="B11" s="1764"/>
      <c r="C11" s="1764"/>
      <c r="D11" s="1764"/>
      <c r="E11" s="1764"/>
      <c r="F11" s="1764"/>
      <c r="G11" s="1764"/>
      <c r="H11" s="4647" t="s">
        <v>1333</v>
      </c>
      <c r="I11" s="4648"/>
      <c r="J11" s="4648"/>
      <c r="K11" s="4648"/>
      <c r="L11" s="4649"/>
      <c r="M11" s="4650" t="s">
        <v>22</v>
      </c>
      <c r="N11" s="4650"/>
      <c r="O11" s="4650"/>
      <c r="P11" s="4650"/>
      <c r="Q11" s="4651"/>
      <c r="R11" s="4652" t="s">
        <v>23</v>
      </c>
      <c r="S11" s="4650"/>
      <c r="T11" s="4650"/>
      <c r="U11" s="4650"/>
      <c r="V11" s="4651"/>
      <c r="W11" s="1763"/>
    </row>
    <row r="12" spans="1:23" ht="81.75" customHeight="1" thickBot="1">
      <c r="A12" s="1761"/>
      <c r="B12" s="1818" t="s">
        <v>383</v>
      </c>
      <c r="C12" s="1819" t="s">
        <v>1139</v>
      </c>
      <c r="D12" s="1819" t="s">
        <v>455</v>
      </c>
      <c r="E12" s="1819" t="s">
        <v>456</v>
      </c>
      <c r="F12" s="1886" t="s">
        <v>597</v>
      </c>
      <c r="G12" s="1887" t="s">
        <v>598</v>
      </c>
      <c r="H12" s="1818" t="s">
        <v>635</v>
      </c>
      <c r="I12" s="1819" t="s">
        <v>599</v>
      </c>
      <c r="J12" s="1819" t="s">
        <v>600</v>
      </c>
      <c r="K12" s="1819" t="s">
        <v>632</v>
      </c>
      <c r="L12" s="1888" t="s">
        <v>601</v>
      </c>
      <c r="M12" s="1889" t="s">
        <v>21</v>
      </c>
      <c r="N12" s="1890" t="s">
        <v>0</v>
      </c>
      <c r="O12" s="1890" t="s">
        <v>1</v>
      </c>
      <c r="P12" s="1890" t="s">
        <v>307</v>
      </c>
      <c r="Q12" s="1891" t="s">
        <v>522</v>
      </c>
      <c r="R12" s="1884" t="s">
        <v>21</v>
      </c>
      <c r="S12" s="1822" t="s">
        <v>0</v>
      </c>
      <c r="T12" s="1822" t="s">
        <v>1</v>
      </c>
      <c r="U12" s="1822" t="s">
        <v>307</v>
      </c>
      <c r="V12" s="1892" t="s">
        <v>522</v>
      </c>
      <c r="W12" s="1763"/>
    </row>
    <row r="13" spans="1:23" ht="49.5" customHeight="1">
      <c r="A13" s="1761"/>
      <c r="B13" s="1827" t="str">
        <f>'Summary-NoCo'!C13</f>
        <v>SHTR1</v>
      </c>
      <c r="C13" s="1828" t="str">
        <f>'Summary-NoCo'!B13</f>
        <v>Stabilization Hot Oil Heater
(64.83 MMBtu/hr)</v>
      </c>
      <c r="D13" s="1828">
        <v>850</v>
      </c>
      <c r="E13" s="1830">
        <v>8760</v>
      </c>
      <c r="F13" s="1831">
        <v>50</v>
      </c>
      <c r="G13" s="1831">
        <v>64.83</v>
      </c>
      <c r="H13" s="1832">
        <v>2.6700000000000002E-2</v>
      </c>
      <c r="I13" s="1893">
        <v>1.6299999999999999E-2</v>
      </c>
      <c r="J13" s="1893">
        <v>6.4000000000000003E-3</v>
      </c>
      <c r="K13" s="1894">
        <f>0.6*7500/2000</f>
        <v>2.25</v>
      </c>
      <c r="L13" s="1895">
        <v>7.6</v>
      </c>
      <c r="M13" s="1846">
        <f>H13*G13</f>
        <v>1.730961</v>
      </c>
      <c r="N13" s="1847">
        <f t="shared" ref="N13:N25" si="0">G13*I13</f>
        <v>1.0567289999999998</v>
      </c>
      <c r="O13" s="1847">
        <f t="shared" ref="O13:O25" si="1">G13*J13</f>
        <v>0.414912</v>
      </c>
      <c r="P13" s="196">
        <f>$G13/$D13*K13*$D13/1020</f>
        <v>0.14300735294117647</v>
      </c>
      <c r="Q13" s="197">
        <f>$G13/$D13*L13*$D13/1020</f>
        <v>0.48304705882352933</v>
      </c>
      <c r="R13" s="1837">
        <f t="shared" ref="R13:R25" si="2">IF($G13="","",M13*$E13/2000)</f>
        <v>7.5816091799999992</v>
      </c>
      <c r="S13" s="1835">
        <f t="shared" ref="S13:V16" si="3">IF($G13="","",N13*$E13/2000)</f>
        <v>4.6284730199999995</v>
      </c>
      <c r="T13" s="1835">
        <f t="shared" si="3"/>
        <v>1.81731456</v>
      </c>
      <c r="U13" s="1835">
        <f t="shared" si="3"/>
        <v>0.62637220588235298</v>
      </c>
      <c r="V13" s="1836">
        <f t="shared" si="3"/>
        <v>2.1157461176470584</v>
      </c>
      <c r="W13" s="1763"/>
    </row>
    <row r="14" spans="1:23" ht="49.5" customHeight="1">
      <c r="A14" s="1761"/>
      <c r="B14" s="1863" t="str">
        <f>'Summary-NoCo'!C14</f>
        <v>SHTR2</v>
      </c>
      <c r="C14" s="1896" t="str">
        <f>'Summary-NoCo'!B14</f>
        <v>Stabilization Hot Oil Heater
(64.83 MMBtu/hr)</v>
      </c>
      <c r="D14" s="1896">
        <v>850</v>
      </c>
      <c r="E14" s="1865">
        <f>E13</f>
        <v>8760</v>
      </c>
      <c r="F14" s="1866">
        <v>50</v>
      </c>
      <c r="G14" s="1866">
        <f>G13</f>
        <v>64.83</v>
      </c>
      <c r="H14" s="1843">
        <v>2.6700000000000002E-2</v>
      </c>
      <c r="I14" s="1897">
        <v>1.6299999999999999E-2</v>
      </c>
      <c r="J14" s="1897">
        <v>6.4000000000000003E-3</v>
      </c>
      <c r="K14" s="1898">
        <f>K13</f>
        <v>2.25</v>
      </c>
      <c r="L14" s="1895">
        <f>L13</f>
        <v>7.6</v>
      </c>
      <c r="M14" s="1846">
        <f t="shared" ref="M14:M25" si="4">H14*G14</f>
        <v>1.730961</v>
      </c>
      <c r="N14" s="1847">
        <f t="shared" si="0"/>
        <v>1.0567289999999998</v>
      </c>
      <c r="O14" s="1847">
        <f t="shared" si="1"/>
        <v>0.414912</v>
      </c>
      <c r="P14" s="390">
        <f>$G14/$D14*K14*$D14/1020</f>
        <v>0.14300735294117647</v>
      </c>
      <c r="Q14" s="1537">
        <f>$G14/$D14*L14*$D14/1020</f>
        <v>0.48304705882352933</v>
      </c>
      <c r="R14" s="1846">
        <f t="shared" si="2"/>
        <v>7.5816091799999992</v>
      </c>
      <c r="S14" s="1847">
        <f t="shared" si="3"/>
        <v>4.6284730199999995</v>
      </c>
      <c r="T14" s="1847">
        <f t="shared" si="3"/>
        <v>1.81731456</v>
      </c>
      <c r="U14" s="1847">
        <f t="shared" si="3"/>
        <v>0.62637220588235298</v>
      </c>
      <c r="V14" s="1848">
        <f t="shared" si="3"/>
        <v>2.1157461176470584</v>
      </c>
      <c r="W14" s="1763"/>
    </row>
    <row r="15" spans="1:23" ht="49.5" customHeight="1">
      <c r="A15" s="1761"/>
      <c r="B15" s="1863" t="str">
        <f>'Summary-NoCo'!C15</f>
        <v>SHTR3</v>
      </c>
      <c r="C15" s="1896" t="str">
        <f>'Summary-NoCo'!B15</f>
        <v>Stabilization Hot Oil Heater
(64.83 MMBtu/hr)</v>
      </c>
      <c r="D15" s="1896">
        <v>850</v>
      </c>
      <c r="E15" s="1899">
        <f>E13</f>
        <v>8760</v>
      </c>
      <c r="F15" s="1842">
        <v>50</v>
      </c>
      <c r="G15" s="1842">
        <f>G13</f>
        <v>64.83</v>
      </c>
      <c r="H15" s="1843">
        <v>2.6700000000000002E-2</v>
      </c>
      <c r="I15" s="1897">
        <v>1.6299999999999999E-2</v>
      </c>
      <c r="J15" s="1897">
        <v>6.4000000000000003E-3</v>
      </c>
      <c r="K15" s="1898">
        <f t="shared" ref="K15:K29" si="5">K14</f>
        <v>2.25</v>
      </c>
      <c r="L15" s="1895">
        <f t="shared" ref="L15:L30" si="6">L14</f>
        <v>7.6</v>
      </c>
      <c r="M15" s="1846">
        <f t="shared" si="4"/>
        <v>1.730961</v>
      </c>
      <c r="N15" s="1847">
        <f t="shared" si="0"/>
        <v>1.0567289999999998</v>
      </c>
      <c r="O15" s="1847">
        <f t="shared" si="1"/>
        <v>0.414912</v>
      </c>
      <c r="P15" s="390">
        <f t="shared" ref="P15:P30" si="7">$G15/$D15*K15*$D15/1020</f>
        <v>0.14300735294117647</v>
      </c>
      <c r="Q15" s="1537">
        <f t="shared" ref="Q15:Q30" si="8">$G15/$D15*L15*$D15/1020</f>
        <v>0.48304705882352933</v>
      </c>
      <c r="R15" s="1900">
        <f t="shared" si="2"/>
        <v>7.5816091799999992</v>
      </c>
      <c r="S15" s="1850">
        <f t="shared" si="3"/>
        <v>4.6284730199999995</v>
      </c>
      <c r="T15" s="1850">
        <f t="shared" si="3"/>
        <v>1.81731456</v>
      </c>
      <c r="U15" s="1850">
        <f t="shared" si="3"/>
        <v>0.62637220588235298</v>
      </c>
      <c r="V15" s="1851">
        <f t="shared" si="3"/>
        <v>2.1157461176470584</v>
      </c>
      <c r="W15" s="1763"/>
    </row>
    <row r="16" spans="1:23" ht="49.5" customHeight="1">
      <c r="A16" s="1761"/>
      <c r="B16" s="1863" t="str">
        <f>'Summary-NoCo'!C16</f>
        <v>SHTR4</v>
      </c>
      <c r="C16" s="1896" t="str">
        <f>'Summary-NoCo'!B16</f>
        <v>Stabilization Hot Oil Heater
(64.83 MMBtu/hr)</v>
      </c>
      <c r="D16" s="1901">
        <v>850</v>
      </c>
      <c r="E16" s="1902">
        <v>8760</v>
      </c>
      <c r="F16" s="1858">
        <v>50</v>
      </c>
      <c r="G16" s="1858">
        <f>G13</f>
        <v>64.83</v>
      </c>
      <c r="H16" s="1859">
        <v>2.6700000000000002E-2</v>
      </c>
      <c r="I16" s="1903">
        <v>1.6299999999999999E-2</v>
      </c>
      <c r="J16" s="1903">
        <v>6.4000000000000003E-3</v>
      </c>
      <c r="K16" s="1898">
        <f t="shared" si="5"/>
        <v>2.25</v>
      </c>
      <c r="L16" s="1895">
        <f t="shared" si="6"/>
        <v>7.6</v>
      </c>
      <c r="M16" s="1852">
        <f t="shared" si="4"/>
        <v>1.730961</v>
      </c>
      <c r="N16" s="1853">
        <f t="shared" si="0"/>
        <v>1.0567289999999998</v>
      </c>
      <c r="O16" s="1853">
        <f t="shared" si="1"/>
        <v>0.414912</v>
      </c>
      <c r="P16" s="390">
        <f t="shared" si="7"/>
        <v>0.14300735294117647</v>
      </c>
      <c r="Q16" s="1537">
        <f t="shared" si="8"/>
        <v>0.48304705882352933</v>
      </c>
      <c r="R16" s="1862">
        <f t="shared" si="2"/>
        <v>7.5816091799999992</v>
      </c>
      <c r="S16" s="1853">
        <f t="shared" si="3"/>
        <v>4.6284730199999995</v>
      </c>
      <c r="T16" s="1853">
        <f t="shared" si="3"/>
        <v>1.81731456</v>
      </c>
      <c r="U16" s="1853">
        <f t="shared" si="3"/>
        <v>0.62637220588235298</v>
      </c>
      <c r="V16" s="1854">
        <f t="shared" si="3"/>
        <v>2.1157461176470584</v>
      </c>
      <c r="W16" s="1763"/>
    </row>
    <row r="17" spans="1:23" ht="49.5" customHeight="1">
      <c r="A17" s="1761"/>
      <c r="B17" s="1863" t="str">
        <f>'Summary-NoCo'!C17</f>
        <v>SHTR5</v>
      </c>
      <c r="C17" s="1896" t="str">
        <f>'Summary-NoCo'!B17</f>
        <v>Stabilization Hot Oil Heater
(64.83 MMBtu/hr)</v>
      </c>
      <c r="D17" s="1896">
        <v>850</v>
      </c>
      <c r="E17" s="1865">
        <v>8760</v>
      </c>
      <c r="F17" s="1866">
        <v>50</v>
      </c>
      <c r="G17" s="1866">
        <f>G13</f>
        <v>64.83</v>
      </c>
      <c r="H17" s="1867">
        <v>2.6700000000000002E-2</v>
      </c>
      <c r="I17" s="1904">
        <v>1.6299999999999999E-2</v>
      </c>
      <c r="J17" s="1904">
        <v>6.4000000000000003E-3</v>
      </c>
      <c r="K17" s="1898">
        <f t="shared" si="5"/>
        <v>2.25</v>
      </c>
      <c r="L17" s="1895">
        <f t="shared" si="6"/>
        <v>7.6</v>
      </c>
      <c r="M17" s="1846">
        <f t="shared" si="4"/>
        <v>1.730961</v>
      </c>
      <c r="N17" s="1847">
        <f t="shared" si="0"/>
        <v>1.0567289999999998</v>
      </c>
      <c r="O17" s="1847">
        <f t="shared" si="1"/>
        <v>0.414912</v>
      </c>
      <c r="P17" s="390">
        <f t="shared" si="7"/>
        <v>0.14300735294117647</v>
      </c>
      <c r="Q17" s="1537">
        <f t="shared" si="8"/>
        <v>0.48304705882352933</v>
      </c>
      <c r="R17" s="1870">
        <f t="shared" si="2"/>
        <v>7.5816091799999992</v>
      </c>
      <c r="S17" s="1847">
        <f t="shared" ref="S17:S27" si="9">IF($G17="","",N17*$E17/2000)</f>
        <v>4.6284730199999995</v>
      </c>
      <c r="T17" s="1847">
        <f t="shared" ref="T17:T27" si="10">IF($G17="","",O17*$E17/2000)</f>
        <v>1.81731456</v>
      </c>
      <c r="U17" s="1847">
        <f t="shared" ref="U17:U27" si="11">IF($G17="","",P17*$E17/2000)</f>
        <v>0.62637220588235298</v>
      </c>
      <c r="V17" s="1848">
        <f t="shared" ref="V17:V27" si="12">IF($G17="","",Q17*$E17/2000)</f>
        <v>2.1157461176470584</v>
      </c>
      <c r="W17" s="1763"/>
    </row>
    <row r="18" spans="1:23" ht="49.5" customHeight="1">
      <c r="A18" s="1761"/>
      <c r="B18" s="1863" t="str">
        <f>'Summary-NoCo'!C18</f>
        <v>SHTR6</v>
      </c>
      <c r="C18" s="1896" t="str">
        <f>'Summary-NoCo'!B18</f>
        <v>Stabilization Hot Oil Heater
(64.83 MMBtu/hr)</v>
      </c>
      <c r="D18" s="1896">
        <v>850</v>
      </c>
      <c r="E18" s="1865">
        <f>E17</f>
        <v>8760</v>
      </c>
      <c r="F18" s="1866">
        <v>50</v>
      </c>
      <c r="G18" s="1866">
        <f>G13</f>
        <v>64.83</v>
      </c>
      <c r="H18" s="1843">
        <v>2.6700000000000002E-2</v>
      </c>
      <c r="I18" s="1897">
        <v>1.6299999999999999E-2</v>
      </c>
      <c r="J18" s="1897">
        <v>6.4000000000000003E-3</v>
      </c>
      <c r="K18" s="1898">
        <f t="shared" si="5"/>
        <v>2.25</v>
      </c>
      <c r="L18" s="1895">
        <f t="shared" si="6"/>
        <v>7.6</v>
      </c>
      <c r="M18" s="1846">
        <f t="shared" si="4"/>
        <v>1.730961</v>
      </c>
      <c r="N18" s="1847">
        <f t="shared" si="0"/>
        <v>1.0567289999999998</v>
      </c>
      <c r="O18" s="1847">
        <f t="shared" si="1"/>
        <v>0.414912</v>
      </c>
      <c r="P18" s="390">
        <f t="shared" si="7"/>
        <v>0.14300735294117647</v>
      </c>
      <c r="Q18" s="1537">
        <f t="shared" si="8"/>
        <v>0.48304705882352933</v>
      </c>
      <c r="R18" s="1846">
        <f t="shared" si="2"/>
        <v>7.5816091799999992</v>
      </c>
      <c r="S18" s="1847">
        <f t="shared" si="9"/>
        <v>4.6284730199999995</v>
      </c>
      <c r="T18" s="1847">
        <f t="shared" si="10"/>
        <v>1.81731456</v>
      </c>
      <c r="U18" s="1847">
        <f t="shared" si="11"/>
        <v>0.62637220588235298</v>
      </c>
      <c r="V18" s="1848">
        <f t="shared" si="12"/>
        <v>2.1157461176470584</v>
      </c>
      <c r="W18" s="1763"/>
    </row>
    <row r="19" spans="1:23" ht="49.5" customHeight="1">
      <c r="A19" s="1761"/>
      <c r="B19" s="1863" t="str">
        <f>'Summary-NoCo'!C19</f>
        <v>SHTR7</v>
      </c>
      <c r="C19" s="1896" t="str">
        <f>'Summary-NoCo'!B19</f>
        <v>Stabilization Hot Oil Heater
(64.83 MMBtu/hr)</v>
      </c>
      <c r="D19" s="1896">
        <v>850</v>
      </c>
      <c r="E19" s="1899">
        <f>E17</f>
        <v>8760</v>
      </c>
      <c r="F19" s="1842">
        <v>50</v>
      </c>
      <c r="G19" s="1842">
        <f>G15</f>
        <v>64.83</v>
      </c>
      <c r="H19" s="1843">
        <v>2.6700000000000002E-2</v>
      </c>
      <c r="I19" s="1897">
        <v>1.6299999999999999E-2</v>
      </c>
      <c r="J19" s="1897">
        <v>6.4000000000000003E-3</v>
      </c>
      <c r="K19" s="1898">
        <f t="shared" si="5"/>
        <v>2.25</v>
      </c>
      <c r="L19" s="1895">
        <f t="shared" si="6"/>
        <v>7.6</v>
      </c>
      <c r="M19" s="1846">
        <f t="shared" si="4"/>
        <v>1.730961</v>
      </c>
      <c r="N19" s="1847">
        <f t="shared" si="0"/>
        <v>1.0567289999999998</v>
      </c>
      <c r="O19" s="1847">
        <f t="shared" si="1"/>
        <v>0.414912</v>
      </c>
      <c r="P19" s="390">
        <f t="shared" si="7"/>
        <v>0.14300735294117647</v>
      </c>
      <c r="Q19" s="1537">
        <f t="shared" si="8"/>
        <v>0.48304705882352933</v>
      </c>
      <c r="R19" s="1900">
        <f t="shared" si="2"/>
        <v>7.5816091799999992</v>
      </c>
      <c r="S19" s="1850">
        <f t="shared" si="9"/>
        <v>4.6284730199999995</v>
      </c>
      <c r="T19" s="1850">
        <f t="shared" si="10"/>
        <v>1.81731456</v>
      </c>
      <c r="U19" s="1850">
        <f t="shared" si="11"/>
        <v>0.62637220588235298</v>
      </c>
      <c r="V19" s="1851">
        <f t="shared" si="12"/>
        <v>2.1157461176470584</v>
      </c>
      <c r="W19" s="1763"/>
    </row>
    <row r="20" spans="1:23" ht="49.5" customHeight="1">
      <c r="A20" s="1761"/>
      <c r="B20" s="1863" t="str">
        <f>'Summary-NoCo'!C20</f>
        <v>SHTR8</v>
      </c>
      <c r="C20" s="1896" t="str">
        <f>'Summary-NoCo'!B20</f>
        <v>Stabilization Hot Oil Heater
(64.83 MMBtu/hr)</v>
      </c>
      <c r="D20" s="1896">
        <v>850</v>
      </c>
      <c r="E20" s="1865">
        <v>8760</v>
      </c>
      <c r="F20" s="1866">
        <v>50</v>
      </c>
      <c r="G20" s="1866">
        <f>G13</f>
        <v>64.83</v>
      </c>
      <c r="H20" s="1843">
        <v>2.6700000000000002E-2</v>
      </c>
      <c r="I20" s="1897">
        <v>1.6299999999999999E-2</v>
      </c>
      <c r="J20" s="1897">
        <v>6.4000000000000003E-3</v>
      </c>
      <c r="K20" s="1898">
        <f t="shared" si="5"/>
        <v>2.25</v>
      </c>
      <c r="L20" s="1895">
        <f t="shared" si="6"/>
        <v>7.6</v>
      </c>
      <c r="M20" s="1846">
        <f t="shared" si="4"/>
        <v>1.730961</v>
      </c>
      <c r="N20" s="1847">
        <f t="shared" si="0"/>
        <v>1.0567289999999998</v>
      </c>
      <c r="O20" s="1847">
        <f t="shared" si="1"/>
        <v>0.414912</v>
      </c>
      <c r="P20" s="390">
        <f t="shared" si="7"/>
        <v>0.14300735294117647</v>
      </c>
      <c r="Q20" s="1537">
        <f t="shared" si="8"/>
        <v>0.48304705882352933</v>
      </c>
      <c r="R20" s="1870">
        <f t="shared" si="2"/>
        <v>7.5816091799999992</v>
      </c>
      <c r="S20" s="1847">
        <f t="shared" si="9"/>
        <v>4.6284730199999995</v>
      </c>
      <c r="T20" s="1847">
        <f t="shared" si="10"/>
        <v>1.81731456</v>
      </c>
      <c r="U20" s="1847">
        <f t="shared" si="11"/>
        <v>0.62637220588235298</v>
      </c>
      <c r="V20" s="1848">
        <f t="shared" si="12"/>
        <v>2.1157461176470584</v>
      </c>
      <c r="W20" s="1763"/>
    </row>
    <row r="21" spans="1:23" ht="49.5" customHeight="1">
      <c r="A21" s="1761"/>
      <c r="B21" s="1863" t="str">
        <f>'Summary-NoCo'!C21</f>
        <v>SHTR9</v>
      </c>
      <c r="C21" s="1896" t="str">
        <f>'Summary-NoCo'!B21</f>
        <v>Stabilization Hot Oil Heater
(64.83 MMBtu/hr)</v>
      </c>
      <c r="D21" s="1896">
        <v>850</v>
      </c>
      <c r="E21" s="1865">
        <v>8760</v>
      </c>
      <c r="F21" s="1866">
        <v>50</v>
      </c>
      <c r="G21" s="1866">
        <f>G20</f>
        <v>64.83</v>
      </c>
      <c r="H21" s="1867">
        <v>2.6700000000000002E-2</v>
      </c>
      <c r="I21" s="1904">
        <v>1.6299999999999999E-2</v>
      </c>
      <c r="J21" s="1904">
        <v>6.4000000000000003E-3</v>
      </c>
      <c r="K21" s="1898">
        <f t="shared" si="5"/>
        <v>2.25</v>
      </c>
      <c r="L21" s="1895">
        <f t="shared" si="6"/>
        <v>7.6</v>
      </c>
      <c r="M21" s="1846">
        <f t="shared" si="4"/>
        <v>1.730961</v>
      </c>
      <c r="N21" s="1847">
        <f t="shared" si="0"/>
        <v>1.0567289999999998</v>
      </c>
      <c r="O21" s="1847">
        <f t="shared" si="1"/>
        <v>0.414912</v>
      </c>
      <c r="P21" s="390">
        <f t="shared" si="7"/>
        <v>0.14300735294117647</v>
      </c>
      <c r="Q21" s="1537">
        <f t="shared" si="8"/>
        <v>0.48304705882352933</v>
      </c>
      <c r="R21" s="1870">
        <f t="shared" si="2"/>
        <v>7.5816091799999992</v>
      </c>
      <c r="S21" s="1847">
        <f t="shared" si="9"/>
        <v>4.6284730199999995</v>
      </c>
      <c r="T21" s="1847">
        <f t="shared" si="10"/>
        <v>1.81731456</v>
      </c>
      <c r="U21" s="1847">
        <f t="shared" si="11"/>
        <v>0.62637220588235298</v>
      </c>
      <c r="V21" s="1848">
        <f t="shared" si="12"/>
        <v>2.1157461176470584</v>
      </c>
      <c r="W21" s="1763"/>
    </row>
    <row r="22" spans="1:23" ht="49.5" customHeight="1">
      <c r="A22" s="1761"/>
      <c r="B22" s="1863" t="str">
        <f>'Summary-NoCo'!C22</f>
        <v>SHTR10</v>
      </c>
      <c r="C22" s="1896" t="str">
        <f>'Summary-NoCo'!B22</f>
        <v>Stabilization Hot Oil Heater
(64.83 MMBtu/hr)</v>
      </c>
      <c r="D22" s="1896">
        <v>850</v>
      </c>
      <c r="E22" s="1865">
        <f>E21</f>
        <v>8760</v>
      </c>
      <c r="F22" s="1866">
        <v>50</v>
      </c>
      <c r="G22" s="1866">
        <f>G21</f>
        <v>64.83</v>
      </c>
      <c r="H22" s="1843">
        <v>2.6700000000000002E-2</v>
      </c>
      <c r="I22" s="1897">
        <v>1.6299999999999999E-2</v>
      </c>
      <c r="J22" s="1897">
        <v>6.4000000000000003E-3</v>
      </c>
      <c r="K22" s="1898">
        <f t="shared" si="5"/>
        <v>2.25</v>
      </c>
      <c r="L22" s="1895">
        <f t="shared" si="6"/>
        <v>7.6</v>
      </c>
      <c r="M22" s="1846">
        <f t="shared" si="4"/>
        <v>1.730961</v>
      </c>
      <c r="N22" s="1847">
        <f t="shared" si="0"/>
        <v>1.0567289999999998</v>
      </c>
      <c r="O22" s="1847">
        <f t="shared" si="1"/>
        <v>0.414912</v>
      </c>
      <c r="P22" s="390">
        <f t="shared" si="7"/>
        <v>0.14300735294117647</v>
      </c>
      <c r="Q22" s="1537">
        <f t="shared" si="8"/>
        <v>0.48304705882352933</v>
      </c>
      <c r="R22" s="1846">
        <f t="shared" si="2"/>
        <v>7.5816091799999992</v>
      </c>
      <c r="S22" s="1847">
        <f t="shared" si="9"/>
        <v>4.6284730199999995</v>
      </c>
      <c r="T22" s="1847">
        <f t="shared" si="10"/>
        <v>1.81731456</v>
      </c>
      <c r="U22" s="1847">
        <f t="shared" si="11"/>
        <v>0.62637220588235298</v>
      </c>
      <c r="V22" s="1848">
        <f t="shared" si="12"/>
        <v>2.1157461176470584</v>
      </c>
      <c r="W22" s="1763"/>
    </row>
    <row r="23" spans="1:23" ht="49.5" customHeight="1">
      <c r="A23" s="1761"/>
      <c r="B23" s="1863" t="str">
        <f>'Summary-NoCo'!C23</f>
        <v>SHTR11</v>
      </c>
      <c r="C23" s="1896" t="str">
        <f>'Summary-NoCo'!B23</f>
        <v>Stabilization Hot Oil Heater
(64.83 MMBtu/hr)</v>
      </c>
      <c r="D23" s="1896">
        <v>850</v>
      </c>
      <c r="E23" s="1899">
        <f>E21</f>
        <v>8760</v>
      </c>
      <c r="F23" s="1842">
        <v>50</v>
      </c>
      <c r="G23" s="1866">
        <f>G22</f>
        <v>64.83</v>
      </c>
      <c r="H23" s="1843">
        <v>2.6700000000000002E-2</v>
      </c>
      <c r="I23" s="1897">
        <v>1.6299999999999999E-2</v>
      </c>
      <c r="J23" s="1897">
        <v>6.4000000000000003E-3</v>
      </c>
      <c r="K23" s="1898">
        <f t="shared" si="5"/>
        <v>2.25</v>
      </c>
      <c r="L23" s="1895">
        <f t="shared" si="6"/>
        <v>7.6</v>
      </c>
      <c r="M23" s="1846">
        <f t="shared" si="4"/>
        <v>1.730961</v>
      </c>
      <c r="N23" s="1847">
        <f t="shared" si="0"/>
        <v>1.0567289999999998</v>
      </c>
      <c r="O23" s="1847">
        <f t="shared" si="1"/>
        <v>0.414912</v>
      </c>
      <c r="P23" s="390">
        <f t="shared" si="7"/>
        <v>0.14300735294117647</v>
      </c>
      <c r="Q23" s="1537">
        <f t="shared" si="8"/>
        <v>0.48304705882352933</v>
      </c>
      <c r="R23" s="1900">
        <f t="shared" si="2"/>
        <v>7.5816091799999992</v>
      </c>
      <c r="S23" s="1850">
        <f t="shared" si="9"/>
        <v>4.6284730199999995</v>
      </c>
      <c r="T23" s="1850">
        <f t="shared" si="10"/>
        <v>1.81731456</v>
      </c>
      <c r="U23" s="1850">
        <f t="shared" si="11"/>
        <v>0.62637220588235298</v>
      </c>
      <c r="V23" s="1851">
        <f t="shared" si="12"/>
        <v>2.1157461176470584</v>
      </c>
      <c r="W23" s="1763"/>
    </row>
    <row r="24" spans="1:23" ht="49.5" customHeight="1">
      <c r="A24" s="1761"/>
      <c r="B24" s="1863" t="str">
        <f>'Summary-NoCo'!C24</f>
        <v>SHTR12</v>
      </c>
      <c r="C24" s="1896" t="str">
        <f>'Summary-NoCo'!B24</f>
        <v>Stabilization Hot Oil Heater
(64.83 MMBtu/hr)</v>
      </c>
      <c r="D24" s="1896">
        <v>850</v>
      </c>
      <c r="E24" s="1865">
        <v>8760</v>
      </c>
      <c r="F24" s="1866">
        <v>50</v>
      </c>
      <c r="G24" s="1866">
        <f>G23</f>
        <v>64.83</v>
      </c>
      <c r="H24" s="1843">
        <v>2.6700000000000002E-2</v>
      </c>
      <c r="I24" s="1897">
        <v>1.6299999999999999E-2</v>
      </c>
      <c r="J24" s="1897">
        <v>6.4000000000000003E-3</v>
      </c>
      <c r="K24" s="1898">
        <f t="shared" si="5"/>
        <v>2.25</v>
      </c>
      <c r="L24" s="1895">
        <f t="shared" si="6"/>
        <v>7.6</v>
      </c>
      <c r="M24" s="1846">
        <f t="shared" si="4"/>
        <v>1.730961</v>
      </c>
      <c r="N24" s="1847">
        <f t="shared" si="0"/>
        <v>1.0567289999999998</v>
      </c>
      <c r="O24" s="1847">
        <f t="shared" si="1"/>
        <v>0.414912</v>
      </c>
      <c r="P24" s="390">
        <f t="shared" si="7"/>
        <v>0.14300735294117647</v>
      </c>
      <c r="Q24" s="1537">
        <f t="shared" si="8"/>
        <v>0.48304705882352933</v>
      </c>
      <c r="R24" s="1870">
        <f t="shared" si="2"/>
        <v>7.5816091799999992</v>
      </c>
      <c r="S24" s="1847">
        <f t="shared" si="9"/>
        <v>4.6284730199999995</v>
      </c>
      <c r="T24" s="1847">
        <f t="shared" si="10"/>
        <v>1.81731456</v>
      </c>
      <c r="U24" s="1847">
        <f t="shared" si="11"/>
        <v>0.62637220588235298</v>
      </c>
      <c r="V24" s="1848">
        <f t="shared" si="12"/>
        <v>2.1157461176470584</v>
      </c>
      <c r="W24" s="1763"/>
    </row>
    <row r="25" spans="1:23" ht="35.15" customHeight="1">
      <c r="A25" s="1761"/>
      <c r="B25" s="1863" t="str">
        <f>'Summary-NoCo'!C25</f>
        <v>CHTR1</v>
      </c>
      <c r="C25" s="1896" t="str">
        <f>'Summary-NoCo'!B25</f>
        <v>Cryo Hot Oil Heater
(103.99 MMBtu/hr)</v>
      </c>
      <c r="D25" s="1896">
        <v>850</v>
      </c>
      <c r="E25" s="1865">
        <v>8760</v>
      </c>
      <c r="F25" s="1866">
        <v>80</v>
      </c>
      <c r="G25" s="1866">
        <v>103.99</v>
      </c>
      <c r="H25" s="1867">
        <v>3.3399999999999999E-2</v>
      </c>
      <c r="I25" s="1897">
        <v>1.6299999999999999E-2</v>
      </c>
      <c r="J25" s="1897">
        <v>6.4000000000000003E-3</v>
      </c>
      <c r="K25" s="1898">
        <f t="shared" si="5"/>
        <v>2.25</v>
      </c>
      <c r="L25" s="1895">
        <f t="shared" si="6"/>
        <v>7.6</v>
      </c>
      <c r="M25" s="1846">
        <f t="shared" si="4"/>
        <v>3.4732659999999997</v>
      </c>
      <c r="N25" s="1847">
        <f t="shared" si="0"/>
        <v>1.6950369999999997</v>
      </c>
      <c r="O25" s="1847">
        <f t="shared" si="1"/>
        <v>0.66553600000000002</v>
      </c>
      <c r="P25" s="390">
        <f t="shared" si="7"/>
        <v>0.22938970588235294</v>
      </c>
      <c r="Q25" s="1537">
        <f t="shared" si="8"/>
        <v>0.77482745098039207</v>
      </c>
      <c r="R25" s="1900">
        <f t="shared" si="2"/>
        <v>15.212905079999999</v>
      </c>
      <c r="S25" s="1850">
        <f t="shared" si="9"/>
        <v>7.4242620599999984</v>
      </c>
      <c r="T25" s="1850">
        <f t="shared" si="10"/>
        <v>2.9150476800000003</v>
      </c>
      <c r="U25" s="1850">
        <f t="shared" si="11"/>
        <v>1.0047269117647057</v>
      </c>
      <c r="V25" s="1851">
        <f t="shared" si="12"/>
        <v>3.393744235294117</v>
      </c>
      <c r="W25" s="1763"/>
    </row>
    <row r="26" spans="1:23" ht="35.15" customHeight="1">
      <c r="A26" s="1761"/>
      <c r="B26" s="1863" t="str">
        <f>'Summary-NoCo'!C26</f>
        <v>CHTR2</v>
      </c>
      <c r="C26" s="1896" t="str">
        <f>'Summary-NoCo'!B26</f>
        <v>Cryo Hot Oil Heater
(103.99 MMBtu/hr)</v>
      </c>
      <c r="D26" s="1896">
        <v>850</v>
      </c>
      <c r="E26" s="1865">
        <v>8760</v>
      </c>
      <c r="F26" s="1866">
        <v>80</v>
      </c>
      <c r="G26" s="1866">
        <f>G25</f>
        <v>103.99</v>
      </c>
      <c r="H26" s="1867">
        <f>0.0334</f>
        <v>3.3399999999999999E-2</v>
      </c>
      <c r="I26" s="1897">
        <v>1.6299999999999999E-2</v>
      </c>
      <c r="J26" s="1897">
        <v>6.4000000000000003E-3</v>
      </c>
      <c r="K26" s="1898">
        <f t="shared" si="5"/>
        <v>2.25</v>
      </c>
      <c r="L26" s="1895">
        <f t="shared" si="6"/>
        <v>7.6</v>
      </c>
      <c r="M26" s="1846">
        <f>H26*G26</f>
        <v>3.4732659999999997</v>
      </c>
      <c r="N26" s="1847">
        <f>G26*I26</f>
        <v>1.6950369999999997</v>
      </c>
      <c r="O26" s="1847">
        <f>G26*J26</f>
        <v>0.66553600000000002</v>
      </c>
      <c r="P26" s="390">
        <f t="shared" si="7"/>
        <v>0.22938970588235294</v>
      </c>
      <c r="Q26" s="1537">
        <f t="shared" si="8"/>
        <v>0.77482745098039207</v>
      </c>
      <c r="R26" s="1900">
        <f>IF($G26="","",M26*$E26/2000)</f>
        <v>15.212905079999999</v>
      </c>
      <c r="S26" s="1850">
        <f t="shared" si="9"/>
        <v>7.4242620599999984</v>
      </c>
      <c r="T26" s="1850">
        <f t="shared" si="10"/>
        <v>2.9150476800000003</v>
      </c>
      <c r="U26" s="1850">
        <f t="shared" si="11"/>
        <v>1.0047269117647057</v>
      </c>
      <c r="V26" s="1851">
        <f t="shared" si="12"/>
        <v>3.393744235294117</v>
      </c>
      <c r="W26" s="1763"/>
    </row>
    <row r="27" spans="1:23" ht="35.15" customHeight="1">
      <c r="A27" s="1761"/>
      <c r="B27" s="1863" t="str">
        <f>'Summary-NoCo'!C27</f>
        <v>CHTR3</v>
      </c>
      <c r="C27" s="1896" t="str">
        <f>'Summary-NoCo'!B27</f>
        <v>Cryo Hot Oil Heater
(103.99 MMBtu/hr)</v>
      </c>
      <c r="D27" s="1896">
        <v>850</v>
      </c>
      <c r="E27" s="1865">
        <f>E25</f>
        <v>8760</v>
      </c>
      <c r="F27" s="1866">
        <v>80</v>
      </c>
      <c r="G27" s="1866">
        <f>G25</f>
        <v>103.99</v>
      </c>
      <c r="H27" s="1867">
        <f>0.0334</f>
        <v>3.3399999999999999E-2</v>
      </c>
      <c r="I27" s="1897">
        <v>1.6299999999999999E-2</v>
      </c>
      <c r="J27" s="1897">
        <v>6.4000000000000003E-3</v>
      </c>
      <c r="K27" s="1898">
        <f t="shared" si="5"/>
        <v>2.25</v>
      </c>
      <c r="L27" s="1895">
        <f t="shared" si="6"/>
        <v>7.6</v>
      </c>
      <c r="M27" s="1846">
        <f>H27*G27</f>
        <v>3.4732659999999997</v>
      </c>
      <c r="N27" s="1847">
        <f>G27*I27</f>
        <v>1.6950369999999997</v>
      </c>
      <c r="O27" s="1847">
        <f>G27*J27</f>
        <v>0.66553600000000002</v>
      </c>
      <c r="P27" s="390">
        <f t="shared" si="7"/>
        <v>0.22938970588235294</v>
      </c>
      <c r="Q27" s="1537">
        <f t="shared" si="8"/>
        <v>0.77482745098039207</v>
      </c>
      <c r="R27" s="1900">
        <f>IF($G27="","",M27*$E27/2000)</f>
        <v>15.212905079999999</v>
      </c>
      <c r="S27" s="1850">
        <f t="shared" si="9"/>
        <v>7.4242620599999984</v>
      </c>
      <c r="T27" s="1850">
        <f t="shared" si="10"/>
        <v>2.9150476800000003</v>
      </c>
      <c r="U27" s="1850">
        <f t="shared" si="11"/>
        <v>1.0047269117647057</v>
      </c>
      <c r="V27" s="1851">
        <f t="shared" si="12"/>
        <v>3.393744235294117</v>
      </c>
      <c r="W27" s="1763"/>
    </row>
    <row r="28" spans="1:23" ht="35.15" customHeight="1">
      <c r="A28" s="1761"/>
      <c r="B28" s="1863" t="str">
        <f>'Summary-NoCo'!C28</f>
        <v>RHTR1</v>
      </c>
      <c r="C28" s="502" t="str">
        <f>'Summary-NoCo'!B28</f>
        <v>Regen Heater 
(39.14 MMBtu/hr)</v>
      </c>
      <c r="D28" s="502">
        <v>850</v>
      </c>
      <c r="E28" s="503">
        <f>E26</f>
        <v>8760</v>
      </c>
      <c r="F28" s="504">
        <v>27.73</v>
      </c>
      <c r="G28" s="504">
        <v>39.14</v>
      </c>
      <c r="H28" s="1867">
        <v>2.6700000000000002E-2</v>
      </c>
      <c r="I28" s="1897">
        <v>1.6299999999999999E-2</v>
      </c>
      <c r="J28" s="1897">
        <v>6.4000000000000003E-3</v>
      </c>
      <c r="K28" s="1898">
        <f t="shared" si="5"/>
        <v>2.25</v>
      </c>
      <c r="L28" s="1895">
        <f t="shared" si="6"/>
        <v>7.6</v>
      </c>
      <c r="M28" s="1846">
        <f>H28*G28</f>
        <v>1.0450380000000001</v>
      </c>
      <c r="N28" s="1847">
        <f>G28*I28</f>
        <v>0.63798199999999994</v>
      </c>
      <c r="O28" s="1847">
        <f>G28*J28</f>
        <v>0.250496</v>
      </c>
      <c r="P28" s="390">
        <f t="shared" si="7"/>
        <v>8.633823529411766E-2</v>
      </c>
      <c r="Q28" s="1537">
        <f t="shared" si="8"/>
        <v>0.29163137254901961</v>
      </c>
      <c r="R28" s="1900">
        <f>IF($G28="","",M28*$E28/2000)</f>
        <v>4.5772664400000007</v>
      </c>
      <c r="S28" s="1850">
        <f t="shared" ref="S28:V30" si="13">IF($G28="","",N28*$E28/2000)</f>
        <v>2.7943611599999998</v>
      </c>
      <c r="T28" s="1850">
        <f t="shared" si="13"/>
        <v>1.09717248</v>
      </c>
      <c r="U28" s="1850">
        <f t="shared" si="13"/>
        <v>0.37816147058823535</v>
      </c>
      <c r="V28" s="1851">
        <f t="shared" si="13"/>
        <v>1.2773454117647058</v>
      </c>
      <c r="W28" s="1763"/>
    </row>
    <row r="29" spans="1:23" ht="35.15" customHeight="1">
      <c r="A29" s="1761"/>
      <c r="B29" s="1863" t="str">
        <f>'Summary-NoCo'!C29</f>
        <v>RHTR2</v>
      </c>
      <c r="C29" s="502" t="str">
        <f>'Summary-NoCo'!B29</f>
        <v>Regen Heater
(39.14 MMBtu/hr)</v>
      </c>
      <c r="D29" s="502">
        <v>850</v>
      </c>
      <c r="E29" s="2186">
        <f>E26</f>
        <v>8760</v>
      </c>
      <c r="F29" s="504">
        <v>27.73</v>
      </c>
      <c r="G29" s="504">
        <f>G28</f>
        <v>39.14</v>
      </c>
      <c r="H29" s="1867">
        <v>2.6700000000000002E-2</v>
      </c>
      <c r="I29" s="1897">
        <v>1.6299999999999999E-2</v>
      </c>
      <c r="J29" s="1897">
        <v>6.4000000000000003E-3</v>
      </c>
      <c r="K29" s="1898">
        <f t="shared" si="5"/>
        <v>2.25</v>
      </c>
      <c r="L29" s="1895">
        <f t="shared" si="6"/>
        <v>7.6</v>
      </c>
      <c r="M29" s="1846">
        <f>H29*G29</f>
        <v>1.0450380000000001</v>
      </c>
      <c r="N29" s="1847">
        <f>G29*I29</f>
        <v>0.63798199999999994</v>
      </c>
      <c r="O29" s="1847">
        <f>G29*J29</f>
        <v>0.250496</v>
      </c>
      <c r="P29" s="390">
        <f t="shared" si="7"/>
        <v>8.633823529411766E-2</v>
      </c>
      <c r="Q29" s="1537">
        <f t="shared" si="8"/>
        <v>0.29163137254901961</v>
      </c>
      <c r="R29" s="1900">
        <f>IF($G29="","",M29*$E29/2000)</f>
        <v>4.5772664400000007</v>
      </c>
      <c r="S29" s="1850">
        <f t="shared" si="13"/>
        <v>2.7943611599999998</v>
      </c>
      <c r="T29" s="1850">
        <f t="shared" si="13"/>
        <v>1.09717248</v>
      </c>
      <c r="U29" s="1850">
        <f t="shared" si="13"/>
        <v>0.37816147058823535</v>
      </c>
      <c r="V29" s="1851">
        <f t="shared" si="13"/>
        <v>1.2773454117647058</v>
      </c>
      <c r="W29" s="1763"/>
    </row>
    <row r="30" spans="1:23" ht="35.15" customHeight="1" thickBot="1">
      <c r="A30" s="1761"/>
      <c r="B30" s="1871" t="str">
        <f>'Summary-NoCo'!C30</f>
        <v>RHTR3</v>
      </c>
      <c r="C30" s="1375" t="str">
        <f>'Summary-NoCo'!B30</f>
        <v>Regen Heater
(39.14 MMBtu/hr)</v>
      </c>
      <c r="D30" s="1375">
        <v>850</v>
      </c>
      <c r="E30" s="1455">
        <v>8760</v>
      </c>
      <c r="F30" s="1456">
        <v>27.73</v>
      </c>
      <c r="G30" s="1456">
        <f>G28</f>
        <v>39.14</v>
      </c>
      <c r="H30" s="1876">
        <v>2.6700000000000002E-2</v>
      </c>
      <c r="I30" s="1905">
        <v>1.6299999999999999E-2</v>
      </c>
      <c r="J30" s="1905">
        <v>6.4000000000000003E-3</v>
      </c>
      <c r="K30" s="1906">
        <f>K29</f>
        <v>2.25</v>
      </c>
      <c r="L30" s="1907">
        <f t="shared" si="6"/>
        <v>7.6</v>
      </c>
      <c r="M30" s="1879">
        <f>H30*G30</f>
        <v>1.0450380000000001</v>
      </c>
      <c r="N30" s="1880">
        <f>G30*I30</f>
        <v>0.63798199999999994</v>
      </c>
      <c r="O30" s="1880">
        <f>G30*J30</f>
        <v>0.250496</v>
      </c>
      <c r="P30" s="1383">
        <f t="shared" si="7"/>
        <v>8.633823529411766E-2</v>
      </c>
      <c r="Q30" s="1384">
        <f t="shared" si="8"/>
        <v>0.29163137254901961</v>
      </c>
      <c r="R30" s="1879">
        <f>IF($G30="","",M30*$E30/2000)</f>
        <v>4.5772664400000007</v>
      </c>
      <c r="S30" s="1880">
        <f t="shared" si="13"/>
        <v>2.7943611599999998</v>
      </c>
      <c r="T30" s="1880">
        <f t="shared" si="13"/>
        <v>1.09717248</v>
      </c>
      <c r="U30" s="1880">
        <f t="shared" si="13"/>
        <v>0.37816147058823535</v>
      </c>
      <c r="V30" s="1881">
        <f t="shared" si="13"/>
        <v>1.2773454117647058</v>
      </c>
      <c r="W30" s="1763"/>
    </row>
    <row r="31" spans="1:23" ht="15.5">
      <c r="A31" s="1761"/>
      <c r="B31" s="1765"/>
      <c r="C31" s="1765"/>
      <c r="D31" s="1765"/>
      <c r="E31" s="1765"/>
      <c r="F31" s="1765"/>
      <c r="G31" s="1765"/>
      <c r="H31" s="1765"/>
      <c r="I31" s="1765"/>
      <c r="J31" s="1765"/>
      <c r="K31" s="1765"/>
      <c r="L31" s="1765"/>
      <c r="M31" s="1766"/>
      <c r="N31" s="1766"/>
      <c r="O31" s="1766"/>
      <c r="P31" s="1766"/>
      <c r="Q31" s="1766"/>
      <c r="R31" s="1766"/>
      <c r="S31" s="1766"/>
      <c r="T31" s="1766"/>
      <c r="U31" s="1766"/>
      <c r="V31" s="1766"/>
      <c r="W31" s="1763"/>
    </row>
    <row r="32" spans="1:23" ht="16.5" thickBot="1">
      <c r="A32" s="1761"/>
      <c r="B32" s="1767">
        <v>1</v>
      </c>
      <c r="C32" s="1807" t="s">
        <v>1334</v>
      </c>
      <c r="D32" s="1765"/>
      <c r="E32" s="1765"/>
      <c r="F32" s="1765"/>
      <c r="G32" s="1765"/>
      <c r="H32" s="1765"/>
      <c r="I32" s="1765"/>
      <c r="J32" s="1765"/>
      <c r="K32" s="1765"/>
      <c r="L32" s="1765"/>
      <c r="M32" s="1765"/>
      <c r="N32" s="1765"/>
      <c r="O32" s="1765"/>
      <c r="P32" s="1766"/>
      <c r="Q32" s="1766"/>
      <c r="R32" s="1766"/>
      <c r="S32" s="1766"/>
      <c r="T32" s="1766"/>
      <c r="U32" s="1766"/>
      <c r="V32" s="1766"/>
      <c r="W32" s="1763"/>
    </row>
    <row r="33" spans="1:26" ht="23.15" customHeight="1" thickBot="1">
      <c r="A33" s="1761"/>
      <c r="B33" s="1767">
        <v>2</v>
      </c>
      <c r="C33" s="1807" t="s">
        <v>1666</v>
      </c>
      <c r="D33" s="1722"/>
      <c r="E33" s="1722"/>
      <c r="F33" s="1722"/>
      <c r="G33" s="1722"/>
      <c r="H33" s="1722"/>
      <c r="I33" s="1768"/>
      <c r="J33" s="1768"/>
      <c r="K33" s="1722"/>
      <c r="L33" s="1769"/>
      <c r="M33" s="1722"/>
      <c r="N33" s="1722"/>
      <c r="O33" s="1765"/>
      <c r="P33" s="4653" t="s">
        <v>459</v>
      </c>
      <c r="Q33" s="4654"/>
      <c r="R33" s="1884" t="s">
        <v>21</v>
      </c>
      <c r="S33" s="1822" t="s">
        <v>0</v>
      </c>
      <c r="T33" s="1822" t="s">
        <v>1</v>
      </c>
      <c r="U33" s="1822" t="s">
        <v>307</v>
      </c>
      <c r="V33" s="1885" t="s">
        <v>522</v>
      </c>
      <c r="W33" s="1763"/>
    </row>
    <row r="34" spans="1:26" ht="28.5" customHeight="1" thickBot="1">
      <c r="A34" s="1761"/>
      <c r="B34" s="1770"/>
      <c r="C34" s="1770"/>
      <c r="D34" s="1770"/>
      <c r="E34" s="1770"/>
      <c r="F34" s="1770"/>
      <c r="G34" s="1770"/>
      <c r="H34" s="1770"/>
      <c r="I34" s="1771"/>
      <c r="J34" s="1768"/>
      <c r="K34" s="1722"/>
      <c r="L34" s="1769"/>
      <c r="M34" s="1770"/>
      <c r="N34" s="1770"/>
      <c r="O34" s="1808"/>
      <c r="P34" s="4655"/>
      <c r="Q34" s="4656"/>
      <c r="R34" s="1815">
        <f>SUM(R13:R31)</f>
        <v>150.34982471999996</v>
      </c>
      <c r="S34" s="1816">
        <f>SUM(S13:S31)</f>
        <v>86.197545899999994</v>
      </c>
      <c r="T34" s="1816">
        <f>SUM(T13:T31)</f>
        <v>33.844435199999999</v>
      </c>
      <c r="U34" s="1816">
        <f>SUM(U13:U31)</f>
        <v>11.665131617647059</v>
      </c>
      <c r="V34" s="1817">
        <f>SUM(V13:V31)</f>
        <v>39.402222352941173</v>
      </c>
      <c r="W34" s="1809"/>
    </row>
    <row r="35" spans="1:26" ht="18" customHeight="1" thickBot="1">
      <c r="A35" s="1214"/>
      <c r="B35" s="1411"/>
      <c r="C35" s="1411"/>
      <c r="D35" s="1411"/>
      <c r="E35" s="1411"/>
      <c r="F35" s="1411"/>
      <c r="G35" s="1411"/>
      <c r="H35" s="1411"/>
      <c r="I35" s="1411"/>
      <c r="J35" s="1411"/>
      <c r="K35" s="1411"/>
      <c r="L35" s="1411"/>
      <c r="M35" s="1411"/>
      <c r="N35" s="1411"/>
      <c r="O35" s="1411"/>
      <c r="P35" s="1810"/>
      <c r="Q35" s="1810"/>
      <c r="R35" s="1810"/>
      <c r="S35" s="1810"/>
      <c r="T35" s="1810"/>
      <c r="U35" s="1810"/>
      <c r="V35" s="1810"/>
      <c r="W35" s="1777"/>
    </row>
    <row r="36" spans="1:26" ht="18" customHeight="1" thickBot="1">
      <c r="A36" s="640"/>
      <c r="B36" s="1411"/>
      <c r="C36" s="1411"/>
      <c r="D36" s="1411"/>
      <c r="E36" s="1411"/>
      <c r="F36" s="1411"/>
      <c r="G36" s="1411"/>
      <c r="H36" s="1411"/>
      <c r="I36" s="1411"/>
      <c r="J36" s="1411"/>
      <c r="K36" s="1411"/>
      <c r="L36" s="1411"/>
      <c r="M36" s="1411"/>
      <c r="N36" s="1411"/>
      <c r="O36" s="1411"/>
      <c r="P36" s="1810"/>
      <c r="Q36" s="1810"/>
      <c r="R36" s="1810"/>
      <c r="S36" s="1810"/>
      <c r="T36" s="1810"/>
      <c r="U36" s="1810"/>
      <c r="V36" s="1810"/>
      <c r="W36" s="642"/>
    </row>
    <row r="37" spans="1:26" ht="33" customHeight="1">
      <c r="A37" s="643"/>
      <c r="B37" s="4660" t="str">
        <f>B2</f>
        <v>XTO ENERGY INC.</v>
      </c>
      <c r="C37" s="4661"/>
      <c r="D37" s="4661"/>
      <c r="E37" s="4661"/>
      <c r="F37" s="4661"/>
      <c r="G37" s="4661"/>
      <c r="H37" s="4661"/>
      <c r="I37" s="4661"/>
      <c r="J37" s="4661"/>
      <c r="K37" s="4661"/>
      <c r="L37" s="4661"/>
      <c r="M37" s="4661"/>
      <c r="N37" s="4661"/>
      <c r="O37" s="4661"/>
      <c r="P37" s="4661"/>
      <c r="Q37" s="4661"/>
      <c r="R37" s="4661"/>
      <c r="S37" s="4661"/>
      <c r="T37" s="4661"/>
      <c r="U37" s="4661"/>
      <c r="V37" s="4662"/>
      <c r="W37" s="51"/>
    </row>
    <row r="38" spans="1:26" ht="21">
      <c r="A38" s="643"/>
      <c r="B38" s="4675" t="str">
        <f>B3</f>
        <v>HUSKY CDP</v>
      </c>
      <c r="C38" s="4676"/>
      <c r="D38" s="4676"/>
      <c r="E38" s="4676"/>
      <c r="F38" s="4676"/>
      <c r="G38" s="4676"/>
      <c r="H38" s="4676"/>
      <c r="I38" s="4676"/>
      <c r="J38" s="4676"/>
      <c r="K38" s="4676"/>
      <c r="L38" s="4676"/>
      <c r="M38" s="4676"/>
      <c r="N38" s="4676"/>
      <c r="O38" s="4676"/>
      <c r="P38" s="4676"/>
      <c r="Q38" s="4676"/>
      <c r="R38" s="4676"/>
      <c r="S38" s="4676"/>
      <c r="T38" s="4676"/>
      <c r="U38" s="4676"/>
      <c r="V38" s="4677"/>
      <c r="W38" s="51"/>
    </row>
    <row r="39" spans="1:26" ht="21.5" thickBot="1">
      <c r="A39" s="643"/>
      <c r="B39" s="4678" t="str">
        <f>B4</f>
        <v>BURNER CALCULATIONS</v>
      </c>
      <c r="C39" s="4679"/>
      <c r="D39" s="4680"/>
      <c r="E39" s="4680"/>
      <c r="F39" s="4680"/>
      <c r="G39" s="4680"/>
      <c r="H39" s="4680"/>
      <c r="I39" s="4680"/>
      <c r="J39" s="4680"/>
      <c r="K39" s="4680"/>
      <c r="L39" s="4680"/>
      <c r="M39" s="4680"/>
      <c r="N39" s="4680"/>
      <c r="O39" s="4680"/>
      <c r="P39" s="4680"/>
      <c r="Q39" s="4680"/>
      <c r="R39" s="4680"/>
      <c r="S39" s="4680"/>
      <c r="T39" s="4680"/>
      <c r="U39" s="4680"/>
      <c r="V39" s="4681"/>
      <c r="W39" s="51"/>
    </row>
    <row r="40" spans="1:26" ht="20.25" customHeight="1" thickBot="1">
      <c r="A40" s="645"/>
      <c r="B40" s="646"/>
      <c r="C40" s="646"/>
      <c r="D40" s="646"/>
      <c r="E40" s="646"/>
      <c r="F40" s="646"/>
      <c r="G40" s="646"/>
      <c r="H40" s="646"/>
      <c r="I40" s="646"/>
      <c r="J40" s="646"/>
      <c r="K40" s="646"/>
      <c r="L40" s="646"/>
      <c r="M40" s="646"/>
      <c r="N40" s="646"/>
      <c r="O40" s="646"/>
      <c r="P40" s="646"/>
      <c r="Q40" s="646"/>
      <c r="R40" s="646"/>
      <c r="S40" s="646"/>
      <c r="T40" s="646"/>
      <c r="U40" s="646"/>
      <c r="V40" s="646"/>
      <c r="W40" s="543"/>
    </row>
    <row r="41" spans="1:26" ht="18.75" customHeight="1" thickBot="1">
      <c r="A41" s="590"/>
      <c r="B41" s="1883"/>
      <c r="C41" s="1883"/>
      <c r="D41" s="1883"/>
      <c r="E41" s="1883"/>
      <c r="F41" s="1883"/>
      <c r="G41" s="1883"/>
      <c r="H41" s="1883"/>
      <c r="I41" s="1883"/>
      <c r="J41" s="1883"/>
      <c r="K41" s="1883"/>
      <c r="L41" s="1883"/>
      <c r="M41" s="1883"/>
      <c r="N41" s="1883"/>
      <c r="O41" s="1883"/>
      <c r="P41" s="1883"/>
      <c r="Q41" s="1883"/>
      <c r="R41" s="1883"/>
      <c r="S41" s="1883"/>
      <c r="T41" s="1883"/>
      <c r="U41" s="1883"/>
      <c r="V41" s="1883"/>
      <c r="W41" s="590"/>
    </row>
    <row r="42" spans="1:26" ht="33" customHeight="1" thickBot="1">
      <c r="A42" s="4682" t="s">
        <v>460</v>
      </c>
      <c r="B42" s="4683"/>
      <c r="C42" s="4683"/>
      <c r="D42" s="4683"/>
      <c r="E42" s="4683"/>
      <c r="F42" s="4683"/>
      <c r="G42" s="4683"/>
      <c r="H42" s="4683"/>
      <c r="I42" s="4683"/>
      <c r="J42" s="4683"/>
      <c r="K42" s="4683"/>
      <c r="L42" s="4683"/>
      <c r="M42" s="4683"/>
      <c r="N42" s="4683"/>
      <c r="O42" s="4683"/>
      <c r="P42" s="4683"/>
      <c r="Q42" s="4683"/>
      <c r="R42" s="4683"/>
      <c r="S42" s="4683"/>
      <c r="T42" s="4683"/>
      <c r="U42" s="4683"/>
      <c r="V42" s="4683"/>
      <c r="W42" s="4684"/>
    </row>
    <row r="43" spans="1:26" ht="18.75" customHeight="1">
      <c r="A43" s="1773"/>
      <c r="B43" s="1774"/>
      <c r="C43" s="1774"/>
      <c r="D43" s="1774"/>
      <c r="E43" s="1774"/>
      <c r="F43" s="1774"/>
      <c r="G43" s="1774"/>
      <c r="H43" s="1774"/>
      <c r="I43" s="1774"/>
      <c r="J43" s="1774"/>
      <c r="K43" s="1774"/>
      <c r="L43" s="1774"/>
      <c r="M43" s="1774"/>
      <c r="N43" s="1774"/>
      <c r="O43" s="1774"/>
      <c r="P43" s="1774"/>
      <c r="Q43" s="1774"/>
      <c r="R43" s="1774"/>
      <c r="S43" s="1774"/>
      <c r="T43" s="1774"/>
      <c r="U43" s="1774"/>
      <c r="V43" s="1774"/>
      <c r="W43" s="1775"/>
    </row>
    <row r="44" spans="1:26" ht="18.75" customHeight="1" thickBot="1">
      <c r="A44" s="1761"/>
      <c r="B44" s="1765"/>
      <c r="C44" s="1765"/>
      <c r="D44" s="1765"/>
      <c r="E44" s="1765"/>
      <c r="F44" s="1765"/>
      <c r="G44" s="1765"/>
      <c r="H44" s="1765"/>
      <c r="I44" s="1765"/>
      <c r="J44" s="1765"/>
      <c r="K44" s="1765"/>
      <c r="L44" s="1765"/>
      <c r="M44" s="1765"/>
      <c r="N44" s="1765"/>
      <c r="O44" s="1765"/>
      <c r="P44" s="1765"/>
      <c r="Q44" s="1765"/>
      <c r="R44" s="1765"/>
      <c r="S44" s="1765"/>
      <c r="T44" s="1765"/>
      <c r="U44" s="1765"/>
      <c r="V44" s="1765"/>
      <c r="W44" s="1763"/>
    </row>
    <row r="45" spans="1:26" ht="18.75" customHeight="1" thickBot="1">
      <c r="A45" s="1761"/>
      <c r="B45" s="1762"/>
      <c r="C45" s="1762"/>
      <c r="D45" s="1762"/>
      <c r="E45" s="1762"/>
      <c r="F45" s="1762"/>
      <c r="G45" s="1762"/>
      <c r="H45" s="4652" t="s">
        <v>382</v>
      </c>
      <c r="I45" s="4650"/>
      <c r="J45" s="4650"/>
      <c r="K45" s="4650"/>
      <c r="L45" s="4651"/>
      <c r="M45" s="1762"/>
      <c r="N45" s="1762"/>
      <c r="O45" s="1762"/>
      <c r="P45" s="1762"/>
      <c r="Q45" s="1762"/>
      <c r="R45" s="1762"/>
      <c r="S45" s="1762"/>
      <c r="T45" s="1762"/>
      <c r="U45" s="1762"/>
      <c r="V45" s="1762"/>
      <c r="W45" s="1763"/>
    </row>
    <row r="46" spans="1:26" ht="18.75" customHeight="1" thickBot="1">
      <c r="A46" s="1761"/>
      <c r="B46" s="1764"/>
      <c r="C46" s="1764"/>
      <c r="D46" s="1764"/>
      <c r="E46" s="1764"/>
      <c r="F46" s="1764"/>
      <c r="G46" s="1764"/>
      <c r="H46" s="4647" t="s">
        <v>454</v>
      </c>
      <c r="I46" s="4648"/>
      <c r="J46" s="4648"/>
      <c r="K46" s="4648"/>
      <c r="L46" s="4649"/>
      <c r="M46" s="4650" t="s">
        <v>22</v>
      </c>
      <c r="N46" s="4650"/>
      <c r="O46" s="4650"/>
      <c r="P46" s="4650"/>
      <c r="Q46" s="4651"/>
      <c r="R46" s="4652" t="s">
        <v>23</v>
      </c>
      <c r="S46" s="4650"/>
      <c r="T46" s="4650"/>
      <c r="U46" s="4650"/>
      <c r="V46" s="4651"/>
      <c r="W46" s="1763"/>
    </row>
    <row r="47" spans="1:26" ht="49.5" customHeight="1" thickBot="1">
      <c r="A47" s="1761"/>
      <c r="B47" s="1818" t="str">
        <f t="shared" ref="B47:B65" si="14">B12</f>
        <v>Source ID</v>
      </c>
      <c r="C47" s="1819" t="s">
        <v>455</v>
      </c>
      <c r="D47" s="1819" t="s">
        <v>455</v>
      </c>
      <c r="E47" s="1819" t="s">
        <v>456</v>
      </c>
      <c r="F47" s="1820" t="s">
        <v>457</v>
      </c>
      <c r="G47" s="1820" t="s">
        <v>457</v>
      </c>
      <c r="H47" s="1821" t="s">
        <v>11</v>
      </c>
      <c r="I47" s="1822" t="s">
        <v>14</v>
      </c>
      <c r="J47" s="1819" t="s">
        <v>554</v>
      </c>
      <c r="K47" s="1822" t="s">
        <v>384</v>
      </c>
      <c r="L47" s="1823" t="s">
        <v>1650</v>
      </c>
      <c r="M47" s="1824" t="s">
        <v>11</v>
      </c>
      <c r="N47" s="1825" t="s">
        <v>14</v>
      </c>
      <c r="O47" s="1813" t="s">
        <v>554</v>
      </c>
      <c r="P47" s="1825" t="s">
        <v>384</v>
      </c>
      <c r="Q47" s="1814" t="s">
        <v>553</v>
      </c>
      <c r="R47" s="1826" t="s">
        <v>11</v>
      </c>
      <c r="S47" s="1825" t="s">
        <v>14</v>
      </c>
      <c r="T47" s="1813" t="s">
        <v>554</v>
      </c>
      <c r="U47" s="1825" t="s">
        <v>384</v>
      </c>
      <c r="V47" s="1814" t="str">
        <f>L47</f>
        <v>Mercury</v>
      </c>
      <c r="W47" s="1763"/>
    </row>
    <row r="48" spans="1:26" ht="49.5" customHeight="1">
      <c r="A48" s="1761"/>
      <c r="B48" s="1827" t="str">
        <f t="shared" si="14"/>
        <v>SHTR1</v>
      </c>
      <c r="C48" s="1828" t="str">
        <f>C13</f>
        <v>Stabilization Hot Oil Heater
(64.83 MMBtu/hr)</v>
      </c>
      <c r="D48" s="1829">
        <f>D13</f>
        <v>850</v>
      </c>
      <c r="E48" s="1830">
        <f>E13</f>
        <v>8760</v>
      </c>
      <c r="F48" s="1831">
        <f>F13</f>
        <v>50</v>
      </c>
      <c r="G48" s="1831">
        <f>G13</f>
        <v>64.83</v>
      </c>
      <c r="H48" s="1832">
        <f t="shared" ref="H48:H59" si="15">IF(G48="","",0.0021)</f>
        <v>2.0999999999999999E-3</v>
      </c>
      <c r="I48" s="1833">
        <f t="shared" ref="I48:I59" si="16">IF(G48="","",0.0034)</f>
        <v>3.3999999999999998E-3</v>
      </c>
      <c r="J48" s="1829">
        <f t="shared" ref="J48:J59" si="17">IF(G48="","",1.8)</f>
        <v>1.8</v>
      </c>
      <c r="K48" s="1833">
        <f t="shared" ref="K48:K59" si="18">IF(G48="","",0.075)</f>
        <v>7.4999999999999997E-2</v>
      </c>
      <c r="L48" s="1834">
        <v>2.0999999999999999E-3</v>
      </c>
      <c r="M48" s="195">
        <f>$G48/$D48*H48*$D48/1020</f>
        <v>1.334735294117647E-4</v>
      </c>
      <c r="N48" s="196">
        <f>$G48/$D48*I48*$D48/1020</f>
        <v>2.1609999999999999E-4</v>
      </c>
      <c r="O48" s="196">
        <f>$G48/$D48*J48*$D48/1020</f>
        <v>0.11440588235294119</v>
      </c>
      <c r="P48" s="196">
        <f>$G48/$D48*K48*$D48/1020</f>
        <v>4.7669117647058815E-3</v>
      </c>
      <c r="Q48" s="197">
        <f>$G48/$D48*L48*$D48/1020</f>
        <v>1.334735294117647E-4</v>
      </c>
      <c r="R48" s="1837">
        <f t="shared" ref="R48:R62" si="19">IF($G48="","",M48*$E48/2000)</f>
        <v>5.8461405882352939E-4</v>
      </c>
      <c r="S48" s="1835">
        <f t="shared" ref="S48:S62" si="20">IF($G48="","",N48*$E48/2000)</f>
        <v>9.4651799999999993E-4</v>
      </c>
      <c r="T48" s="1835">
        <f t="shared" ref="T48:T62" si="21">IF($G48="","",O48*$E48/2000)</f>
        <v>0.50109776470588241</v>
      </c>
      <c r="U48" s="1835">
        <f t="shared" ref="U48:U62" si="22">IF($G48="","",P48*$E48/2000)</f>
        <v>2.0879073529411762E-2</v>
      </c>
      <c r="V48" s="1836">
        <f t="shared" ref="V48:V62" si="23">IF($G48="","",Q48*$E48/2000)</f>
        <v>5.8461405882352939E-4</v>
      </c>
      <c r="W48" s="1763"/>
      <c r="Y48" s="1508">
        <f>M48+N48+O48+P48+Q48</f>
        <v>0.1196558411764706</v>
      </c>
      <c r="Z48" s="1508">
        <f>R48+S48+T48+U48+V48</f>
        <v>0.52409258435294115</v>
      </c>
    </row>
    <row r="49" spans="1:26" ht="49.5" customHeight="1">
      <c r="A49" s="1761"/>
      <c r="B49" s="1838" t="str">
        <f t="shared" si="14"/>
        <v>SHTR2</v>
      </c>
      <c r="C49" s="1839" t="str">
        <f t="shared" ref="C49:C65" si="24">C14</f>
        <v>Stabilization Hot Oil Heater
(64.83 MMBtu/hr)</v>
      </c>
      <c r="D49" s="1840">
        <f>D48</f>
        <v>850</v>
      </c>
      <c r="E49" s="1841">
        <f t="shared" ref="E49:G65" si="25">E14</f>
        <v>8760</v>
      </c>
      <c r="F49" s="1842">
        <f t="shared" si="25"/>
        <v>50</v>
      </c>
      <c r="G49" s="1842">
        <f t="shared" si="25"/>
        <v>64.83</v>
      </c>
      <c r="H49" s="1843">
        <f t="shared" si="15"/>
        <v>2.0999999999999999E-3</v>
      </c>
      <c r="I49" s="1844">
        <f t="shared" si="16"/>
        <v>3.3999999999999998E-3</v>
      </c>
      <c r="J49" s="1840">
        <f t="shared" si="17"/>
        <v>1.8</v>
      </c>
      <c r="K49" s="1844">
        <f t="shared" si="18"/>
        <v>7.4999999999999997E-2</v>
      </c>
      <c r="L49" s="1845">
        <f t="shared" ref="L49:L59" si="26">IF(G49="","",0.0012)</f>
        <v>1.1999999999999999E-3</v>
      </c>
      <c r="M49" s="1370">
        <f>$G49/$D49*H49*$D49/1020</f>
        <v>1.334735294117647E-4</v>
      </c>
      <c r="N49" s="1371">
        <f t="shared" ref="N49:N65" si="27">$G49/$D49*I49*$D49/1020</f>
        <v>2.1609999999999999E-4</v>
      </c>
      <c r="O49" s="1371">
        <f t="shared" ref="O49:O65" si="28">$G49/$D49*J49*$D49/1020</f>
        <v>0.11440588235294119</v>
      </c>
      <c r="P49" s="1371">
        <f t="shared" ref="P49:P65" si="29">$G49/$D49*K49*$D49/1020</f>
        <v>4.7669117647058815E-3</v>
      </c>
      <c r="Q49" s="1372">
        <f t="shared" ref="Q49:Q65" si="30">$G49/$D49*L49*$D49/1020</f>
        <v>7.6270588235294106E-5</v>
      </c>
      <c r="R49" s="1849">
        <f t="shared" si="19"/>
        <v>5.8461405882352939E-4</v>
      </c>
      <c r="S49" s="1850">
        <f t="shared" si="20"/>
        <v>9.4651799999999993E-4</v>
      </c>
      <c r="T49" s="1850">
        <f t="shared" si="21"/>
        <v>0.50109776470588241</v>
      </c>
      <c r="U49" s="1850">
        <f t="shared" si="22"/>
        <v>2.0879073529411762E-2</v>
      </c>
      <c r="V49" s="1851">
        <f t="shared" si="23"/>
        <v>3.3406517647058818E-4</v>
      </c>
      <c r="W49" s="1763"/>
    </row>
    <row r="50" spans="1:26" ht="49.5" customHeight="1">
      <c r="A50" s="1761"/>
      <c r="B50" s="1838" t="str">
        <f t="shared" si="14"/>
        <v>SHTR3</v>
      </c>
      <c r="C50" s="1839" t="str">
        <f t="shared" si="24"/>
        <v>Stabilization Hot Oil Heater
(64.83 MMBtu/hr)</v>
      </c>
      <c r="D50" s="1840">
        <f>D49</f>
        <v>850</v>
      </c>
      <c r="E50" s="1841">
        <f t="shared" si="25"/>
        <v>8760</v>
      </c>
      <c r="F50" s="1842">
        <f t="shared" si="25"/>
        <v>50</v>
      </c>
      <c r="G50" s="1842">
        <f t="shared" si="25"/>
        <v>64.83</v>
      </c>
      <c r="H50" s="1843">
        <f t="shared" si="15"/>
        <v>2.0999999999999999E-3</v>
      </c>
      <c r="I50" s="1844">
        <f t="shared" si="16"/>
        <v>3.3999999999999998E-3</v>
      </c>
      <c r="J50" s="1840">
        <f t="shared" si="17"/>
        <v>1.8</v>
      </c>
      <c r="K50" s="1844">
        <f t="shared" si="18"/>
        <v>7.4999999999999997E-2</v>
      </c>
      <c r="L50" s="1845">
        <f t="shared" si="26"/>
        <v>1.1999999999999999E-3</v>
      </c>
      <c r="M50" s="1370">
        <f t="shared" ref="M50:M65" si="31">$G50/$D50*H50*$D50/1020</f>
        <v>1.334735294117647E-4</v>
      </c>
      <c r="N50" s="1371">
        <f t="shared" si="27"/>
        <v>2.1609999999999999E-4</v>
      </c>
      <c r="O50" s="1371">
        <f t="shared" si="28"/>
        <v>0.11440588235294119</v>
      </c>
      <c r="P50" s="1371">
        <f t="shared" si="29"/>
        <v>4.7669117647058815E-3</v>
      </c>
      <c r="Q50" s="1372">
        <f t="shared" si="30"/>
        <v>7.6270588235294106E-5</v>
      </c>
      <c r="R50" s="1849">
        <f t="shared" si="19"/>
        <v>5.8461405882352939E-4</v>
      </c>
      <c r="S50" s="1850">
        <f t="shared" si="20"/>
        <v>9.4651799999999993E-4</v>
      </c>
      <c r="T50" s="1850">
        <f t="shared" si="21"/>
        <v>0.50109776470588241</v>
      </c>
      <c r="U50" s="1850">
        <f t="shared" si="22"/>
        <v>2.0879073529411762E-2</v>
      </c>
      <c r="V50" s="1851">
        <f t="shared" si="23"/>
        <v>3.3406517647058818E-4</v>
      </c>
      <c r="W50" s="1763"/>
    </row>
    <row r="51" spans="1:26" ht="49.5" customHeight="1">
      <c r="A51" s="1761"/>
      <c r="B51" s="1855" t="str">
        <f t="shared" si="14"/>
        <v>SHTR4</v>
      </c>
      <c r="C51" s="1839" t="str">
        <f t="shared" si="24"/>
        <v>Stabilization Hot Oil Heater
(64.83 MMBtu/hr)</v>
      </c>
      <c r="D51" s="1856">
        <f>D50</f>
        <v>850</v>
      </c>
      <c r="E51" s="1857">
        <f t="shared" si="25"/>
        <v>8760</v>
      </c>
      <c r="F51" s="1858">
        <f t="shared" si="25"/>
        <v>50</v>
      </c>
      <c r="G51" s="1858">
        <f t="shared" si="25"/>
        <v>64.83</v>
      </c>
      <c r="H51" s="1859">
        <f t="shared" si="15"/>
        <v>2.0999999999999999E-3</v>
      </c>
      <c r="I51" s="1860">
        <f t="shared" si="16"/>
        <v>3.3999999999999998E-3</v>
      </c>
      <c r="J51" s="1856">
        <f t="shared" si="17"/>
        <v>1.8</v>
      </c>
      <c r="K51" s="1860">
        <f t="shared" si="18"/>
        <v>7.4999999999999997E-2</v>
      </c>
      <c r="L51" s="1861">
        <f t="shared" si="26"/>
        <v>1.1999999999999999E-3</v>
      </c>
      <c r="M51" s="1370">
        <f t="shared" si="31"/>
        <v>1.334735294117647E-4</v>
      </c>
      <c r="N51" s="1371">
        <f t="shared" si="27"/>
        <v>2.1609999999999999E-4</v>
      </c>
      <c r="O51" s="1371">
        <f t="shared" si="28"/>
        <v>0.11440588235294119</v>
      </c>
      <c r="P51" s="1371">
        <f t="shared" si="29"/>
        <v>4.7669117647058815E-3</v>
      </c>
      <c r="Q51" s="1372">
        <f t="shared" si="30"/>
        <v>7.6270588235294106E-5</v>
      </c>
      <c r="R51" s="1862">
        <f t="shared" si="19"/>
        <v>5.8461405882352939E-4</v>
      </c>
      <c r="S51" s="1853">
        <f t="shared" si="20"/>
        <v>9.4651799999999993E-4</v>
      </c>
      <c r="T51" s="1853">
        <f t="shared" si="21"/>
        <v>0.50109776470588241</v>
      </c>
      <c r="U51" s="1853">
        <f t="shared" si="22"/>
        <v>2.0879073529411762E-2</v>
      </c>
      <c r="V51" s="1854">
        <f t="shared" si="23"/>
        <v>3.3406517647058818E-4</v>
      </c>
      <c r="W51" s="1763"/>
    </row>
    <row r="52" spans="1:26" ht="49.5" customHeight="1">
      <c r="A52" s="1761"/>
      <c r="B52" s="1863" t="str">
        <f t="shared" si="14"/>
        <v>SHTR5</v>
      </c>
      <c r="C52" s="1839" t="str">
        <f t="shared" si="24"/>
        <v>Stabilization Hot Oil Heater
(64.83 MMBtu/hr)</v>
      </c>
      <c r="D52" s="1864">
        <f>D17</f>
        <v>850</v>
      </c>
      <c r="E52" s="1865">
        <f t="shared" si="25"/>
        <v>8760</v>
      </c>
      <c r="F52" s="1866">
        <f t="shared" si="25"/>
        <v>50</v>
      </c>
      <c r="G52" s="1866">
        <f t="shared" si="25"/>
        <v>64.83</v>
      </c>
      <c r="H52" s="1867">
        <f t="shared" si="15"/>
        <v>2.0999999999999999E-3</v>
      </c>
      <c r="I52" s="1868">
        <f t="shared" si="16"/>
        <v>3.3999999999999998E-3</v>
      </c>
      <c r="J52" s="1864">
        <f t="shared" si="17"/>
        <v>1.8</v>
      </c>
      <c r="K52" s="1868">
        <f t="shared" si="18"/>
        <v>7.4999999999999997E-2</v>
      </c>
      <c r="L52" s="1869">
        <f t="shared" si="26"/>
        <v>1.1999999999999999E-3</v>
      </c>
      <c r="M52" s="1370">
        <f t="shared" si="31"/>
        <v>1.334735294117647E-4</v>
      </c>
      <c r="N52" s="1371">
        <f t="shared" si="27"/>
        <v>2.1609999999999999E-4</v>
      </c>
      <c r="O52" s="1371">
        <f t="shared" si="28"/>
        <v>0.11440588235294119</v>
      </c>
      <c r="P52" s="1371">
        <f t="shared" si="29"/>
        <v>4.7669117647058815E-3</v>
      </c>
      <c r="Q52" s="1372">
        <f t="shared" si="30"/>
        <v>7.6270588235294106E-5</v>
      </c>
      <c r="R52" s="1870">
        <f t="shared" si="19"/>
        <v>5.8461405882352939E-4</v>
      </c>
      <c r="S52" s="1847">
        <f t="shared" si="20"/>
        <v>9.4651799999999993E-4</v>
      </c>
      <c r="T52" s="1847">
        <f t="shared" si="21"/>
        <v>0.50109776470588241</v>
      </c>
      <c r="U52" s="1847">
        <f t="shared" si="22"/>
        <v>2.0879073529411762E-2</v>
      </c>
      <c r="V52" s="1848">
        <f t="shared" si="23"/>
        <v>3.3406517647058818E-4</v>
      </c>
      <c r="W52" s="1763"/>
    </row>
    <row r="53" spans="1:26" ht="49.5" customHeight="1">
      <c r="A53" s="1761"/>
      <c r="B53" s="1838" t="str">
        <f t="shared" si="14"/>
        <v>SHTR6</v>
      </c>
      <c r="C53" s="1839" t="str">
        <f t="shared" si="24"/>
        <v>Stabilization Hot Oil Heater
(64.83 MMBtu/hr)</v>
      </c>
      <c r="D53" s="1840">
        <f>D52</f>
        <v>850</v>
      </c>
      <c r="E53" s="1841">
        <f t="shared" si="25"/>
        <v>8760</v>
      </c>
      <c r="F53" s="1842">
        <f t="shared" si="25"/>
        <v>50</v>
      </c>
      <c r="G53" s="1842">
        <f t="shared" si="25"/>
        <v>64.83</v>
      </c>
      <c r="H53" s="1843">
        <f t="shared" si="15"/>
        <v>2.0999999999999999E-3</v>
      </c>
      <c r="I53" s="1844">
        <f t="shared" si="16"/>
        <v>3.3999999999999998E-3</v>
      </c>
      <c r="J53" s="1840">
        <f t="shared" si="17"/>
        <v>1.8</v>
      </c>
      <c r="K53" s="1844">
        <f t="shared" si="18"/>
        <v>7.4999999999999997E-2</v>
      </c>
      <c r="L53" s="1845">
        <f t="shared" si="26"/>
        <v>1.1999999999999999E-3</v>
      </c>
      <c r="M53" s="1370">
        <f t="shared" si="31"/>
        <v>1.334735294117647E-4</v>
      </c>
      <c r="N53" s="1371">
        <f t="shared" si="27"/>
        <v>2.1609999999999999E-4</v>
      </c>
      <c r="O53" s="1371">
        <f t="shared" si="28"/>
        <v>0.11440588235294119</v>
      </c>
      <c r="P53" s="1371">
        <f t="shared" si="29"/>
        <v>4.7669117647058815E-3</v>
      </c>
      <c r="Q53" s="1372">
        <f t="shared" si="30"/>
        <v>7.6270588235294106E-5</v>
      </c>
      <c r="R53" s="1849">
        <f t="shared" si="19"/>
        <v>5.8461405882352939E-4</v>
      </c>
      <c r="S53" s="1850">
        <f t="shared" si="20"/>
        <v>9.4651799999999993E-4</v>
      </c>
      <c r="T53" s="1850">
        <f t="shared" si="21"/>
        <v>0.50109776470588241</v>
      </c>
      <c r="U53" s="1850">
        <f t="shared" si="22"/>
        <v>2.0879073529411762E-2</v>
      </c>
      <c r="V53" s="1851">
        <f t="shared" si="23"/>
        <v>3.3406517647058818E-4</v>
      </c>
      <c r="W53" s="1763"/>
    </row>
    <row r="54" spans="1:26" ht="49.5" customHeight="1">
      <c r="A54" s="1761"/>
      <c r="B54" s="1838" t="str">
        <f t="shared" si="14"/>
        <v>SHTR7</v>
      </c>
      <c r="C54" s="1839" t="str">
        <f t="shared" si="24"/>
        <v>Stabilization Hot Oil Heater
(64.83 MMBtu/hr)</v>
      </c>
      <c r="D54" s="1840">
        <f>D53</f>
        <v>850</v>
      </c>
      <c r="E54" s="1841">
        <f t="shared" si="25"/>
        <v>8760</v>
      </c>
      <c r="F54" s="1842">
        <f t="shared" si="25"/>
        <v>50</v>
      </c>
      <c r="G54" s="1842">
        <f t="shared" si="25"/>
        <v>64.83</v>
      </c>
      <c r="H54" s="1843">
        <f t="shared" si="15"/>
        <v>2.0999999999999999E-3</v>
      </c>
      <c r="I54" s="1844">
        <f t="shared" si="16"/>
        <v>3.3999999999999998E-3</v>
      </c>
      <c r="J54" s="1840">
        <f t="shared" si="17"/>
        <v>1.8</v>
      </c>
      <c r="K54" s="1844">
        <f t="shared" si="18"/>
        <v>7.4999999999999997E-2</v>
      </c>
      <c r="L54" s="1845">
        <f t="shared" si="26"/>
        <v>1.1999999999999999E-3</v>
      </c>
      <c r="M54" s="1370">
        <f t="shared" si="31"/>
        <v>1.334735294117647E-4</v>
      </c>
      <c r="N54" s="1371">
        <f t="shared" si="27"/>
        <v>2.1609999999999999E-4</v>
      </c>
      <c r="O54" s="1371">
        <f t="shared" si="28"/>
        <v>0.11440588235294119</v>
      </c>
      <c r="P54" s="1371">
        <f t="shared" si="29"/>
        <v>4.7669117647058815E-3</v>
      </c>
      <c r="Q54" s="1372">
        <f t="shared" si="30"/>
        <v>7.6270588235294106E-5</v>
      </c>
      <c r="R54" s="1849">
        <f t="shared" si="19"/>
        <v>5.8461405882352939E-4</v>
      </c>
      <c r="S54" s="1850">
        <f t="shared" si="20"/>
        <v>9.4651799999999993E-4</v>
      </c>
      <c r="T54" s="1850">
        <f t="shared" si="21"/>
        <v>0.50109776470588241</v>
      </c>
      <c r="U54" s="1850">
        <f t="shared" si="22"/>
        <v>2.0879073529411762E-2</v>
      </c>
      <c r="V54" s="1851">
        <f t="shared" si="23"/>
        <v>3.3406517647058818E-4</v>
      </c>
      <c r="W54" s="1763"/>
    </row>
    <row r="55" spans="1:26" ht="49.5" customHeight="1">
      <c r="A55" s="1761"/>
      <c r="B55" s="1838" t="str">
        <f t="shared" si="14"/>
        <v>SHTR8</v>
      </c>
      <c r="C55" s="1839" t="str">
        <f t="shared" si="24"/>
        <v>Stabilization Hot Oil Heater
(64.83 MMBtu/hr)</v>
      </c>
      <c r="D55" s="1840">
        <f>D54</f>
        <v>850</v>
      </c>
      <c r="E55" s="1841">
        <f t="shared" si="25"/>
        <v>8760</v>
      </c>
      <c r="F55" s="1842">
        <f t="shared" si="25"/>
        <v>50</v>
      </c>
      <c r="G55" s="1866">
        <f t="shared" si="25"/>
        <v>64.83</v>
      </c>
      <c r="H55" s="1867">
        <f t="shared" si="15"/>
        <v>2.0999999999999999E-3</v>
      </c>
      <c r="I55" s="1868">
        <f t="shared" si="16"/>
        <v>3.3999999999999998E-3</v>
      </c>
      <c r="J55" s="1864">
        <f t="shared" si="17"/>
        <v>1.8</v>
      </c>
      <c r="K55" s="1868">
        <f t="shared" si="18"/>
        <v>7.4999999999999997E-2</v>
      </c>
      <c r="L55" s="1869">
        <f t="shared" si="26"/>
        <v>1.1999999999999999E-3</v>
      </c>
      <c r="M55" s="1370">
        <f t="shared" si="31"/>
        <v>1.334735294117647E-4</v>
      </c>
      <c r="N55" s="1371">
        <f t="shared" si="27"/>
        <v>2.1609999999999999E-4</v>
      </c>
      <c r="O55" s="1371">
        <f t="shared" si="28"/>
        <v>0.11440588235294119</v>
      </c>
      <c r="P55" s="1371">
        <f t="shared" si="29"/>
        <v>4.7669117647058815E-3</v>
      </c>
      <c r="Q55" s="1372">
        <f t="shared" si="30"/>
        <v>7.6270588235294106E-5</v>
      </c>
      <c r="R55" s="1870">
        <f t="shared" si="19"/>
        <v>5.8461405882352939E-4</v>
      </c>
      <c r="S55" s="1847">
        <f t="shared" si="20"/>
        <v>9.4651799999999993E-4</v>
      </c>
      <c r="T55" s="1847">
        <f t="shared" si="21"/>
        <v>0.50109776470588241</v>
      </c>
      <c r="U55" s="1847">
        <f t="shared" si="22"/>
        <v>2.0879073529411762E-2</v>
      </c>
      <c r="V55" s="1848">
        <f t="shared" si="23"/>
        <v>3.3406517647058818E-4</v>
      </c>
      <c r="W55" s="1763"/>
    </row>
    <row r="56" spans="1:26" ht="49.5" customHeight="1">
      <c r="A56" s="1761"/>
      <c r="B56" s="1863" t="str">
        <f t="shared" si="14"/>
        <v>SHTR9</v>
      </c>
      <c r="C56" s="1839" t="str">
        <f t="shared" si="24"/>
        <v>Stabilization Hot Oil Heater
(64.83 MMBtu/hr)</v>
      </c>
      <c r="D56" s="1864">
        <f>D21</f>
        <v>850</v>
      </c>
      <c r="E56" s="1865">
        <f t="shared" si="25"/>
        <v>8760</v>
      </c>
      <c r="F56" s="1866">
        <f t="shared" si="25"/>
        <v>50</v>
      </c>
      <c r="G56" s="1866">
        <f t="shared" si="25"/>
        <v>64.83</v>
      </c>
      <c r="H56" s="1867">
        <f t="shared" si="15"/>
        <v>2.0999999999999999E-3</v>
      </c>
      <c r="I56" s="1868">
        <f t="shared" si="16"/>
        <v>3.3999999999999998E-3</v>
      </c>
      <c r="J56" s="1864">
        <f t="shared" si="17"/>
        <v>1.8</v>
      </c>
      <c r="K56" s="1868">
        <f t="shared" si="18"/>
        <v>7.4999999999999997E-2</v>
      </c>
      <c r="L56" s="1869">
        <f t="shared" si="26"/>
        <v>1.1999999999999999E-3</v>
      </c>
      <c r="M56" s="1370">
        <f t="shared" si="31"/>
        <v>1.334735294117647E-4</v>
      </c>
      <c r="N56" s="1371">
        <f t="shared" si="27"/>
        <v>2.1609999999999999E-4</v>
      </c>
      <c r="O56" s="1371">
        <f t="shared" si="28"/>
        <v>0.11440588235294119</v>
      </c>
      <c r="P56" s="1371">
        <f t="shared" si="29"/>
        <v>4.7669117647058815E-3</v>
      </c>
      <c r="Q56" s="1372">
        <f t="shared" si="30"/>
        <v>7.6270588235294106E-5</v>
      </c>
      <c r="R56" s="1870">
        <f t="shared" si="19"/>
        <v>5.8461405882352939E-4</v>
      </c>
      <c r="S56" s="1847">
        <f t="shared" si="20"/>
        <v>9.4651799999999993E-4</v>
      </c>
      <c r="T56" s="1847">
        <f t="shared" si="21"/>
        <v>0.50109776470588241</v>
      </c>
      <c r="U56" s="1847">
        <f t="shared" si="22"/>
        <v>2.0879073529411762E-2</v>
      </c>
      <c r="V56" s="1848">
        <f t="shared" si="23"/>
        <v>3.3406517647058818E-4</v>
      </c>
      <c r="W56" s="1763"/>
    </row>
    <row r="57" spans="1:26" ht="49.5" customHeight="1">
      <c r="A57" s="1761"/>
      <c r="B57" s="1838" t="str">
        <f t="shared" si="14"/>
        <v>SHTR10</v>
      </c>
      <c r="C57" s="1839" t="str">
        <f t="shared" si="24"/>
        <v>Stabilization Hot Oil Heater
(64.83 MMBtu/hr)</v>
      </c>
      <c r="D57" s="1840">
        <f>D56</f>
        <v>850</v>
      </c>
      <c r="E57" s="1841">
        <f t="shared" si="25"/>
        <v>8760</v>
      </c>
      <c r="F57" s="1842">
        <f t="shared" si="25"/>
        <v>50</v>
      </c>
      <c r="G57" s="1842">
        <f t="shared" si="25"/>
        <v>64.83</v>
      </c>
      <c r="H57" s="1843">
        <f t="shared" si="15"/>
        <v>2.0999999999999999E-3</v>
      </c>
      <c r="I57" s="1844">
        <f t="shared" si="16"/>
        <v>3.3999999999999998E-3</v>
      </c>
      <c r="J57" s="1840">
        <f t="shared" si="17"/>
        <v>1.8</v>
      </c>
      <c r="K57" s="1844">
        <f t="shared" si="18"/>
        <v>7.4999999999999997E-2</v>
      </c>
      <c r="L57" s="1845">
        <f t="shared" si="26"/>
        <v>1.1999999999999999E-3</v>
      </c>
      <c r="M57" s="1370">
        <f t="shared" si="31"/>
        <v>1.334735294117647E-4</v>
      </c>
      <c r="N57" s="1371">
        <f t="shared" si="27"/>
        <v>2.1609999999999999E-4</v>
      </c>
      <c r="O57" s="1371">
        <f t="shared" si="28"/>
        <v>0.11440588235294119</v>
      </c>
      <c r="P57" s="1371">
        <f t="shared" si="29"/>
        <v>4.7669117647058815E-3</v>
      </c>
      <c r="Q57" s="1372">
        <f t="shared" si="30"/>
        <v>7.6270588235294106E-5</v>
      </c>
      <c r="R57" s="1849">
        <f t="shared" si="19"/>
        <v>5.8461405882352939E-4</v>
      </c>
      <c r="S57" s="1850">
        <f t="shared" si="20"/>
        <v>9.4651799999999993E-4</v>
      </c>
      <c r="T57" s="1850">
        <f t="shared" si="21"/>
        <v>0.50109776470588241</v>
      </c>
      <c r="U57" s="1850">
        <f t="shared" si="22"/>
        <v>2.0879073529411762E-2</v>
      </c>
      <c r="V57" s="1851">
        <f t="shared" si="23"/>
        <v>3.3406517647058818E-4</v>
      </c>
      <c r="W57" s="1763"/>
    </row>
    <row r="58" spans="1:26" ht="49.5" customHeight="1">
      <c r="A58" s="1761"/>
      <c r="B58" s="1838" t="str">
        <f t="shared" si="14"/>
        <v>SHTR11</v>
      </c>
      <c r="C58" s="1839" t="str">
        <f t="shared" si="24"/>
        <v>Stabilization Hot Oil Heater
(64.83 MMBtu/hr)</v>
      </c>
      <c r="D58" s="1840">
        <f>D57</f>
        <v>850</v>
      </c>
      <c r="E58" s="1841">
        <f t="shared" si="25"/>
        <v>8760</v>
      </c>
      <c r="F58" s="1842">
        <f t="shared" si="25"/>
        <v>50</v>
      </c>
      <c r="G58" s="1842">
        <f t="shared" si="25"/>
        <v>64.83</v>
      </c>
      <c r="H58" s="1843">
        <f t="shared" si="15"/>
        <v>2.0999999999999999E-3</v>
      </c>
      <c r="I58" s="1844">
        <f t="shared" si="16"/>
        <v>3.3999999999999998E-3</v>
      </c>
      <c r="J58" s="1840">
        <f t="shared" si="17"/>
        <v>1.8</v>
      </c>
      <c r="K58" s="1844">
        <f t="shared" si="18"/>
        <v>7.4999999999999997E-2</v>
      </c>
      <c r="L58" s="1845">
        <f t="shared" si="26"/>
        <v>1.1999999999999999E-3</v>
      </c>
      <c r="M58" s="1370">
        <f t="shared" si="31"/>
        <v>1.334735294117647E-4</v>
      </c>
      <c r="N58" s="1371">
        <f t="shared" si="27"/>
        <v>2.1609999999999999E-4</v>
      </c>
      <c r="O58" s="1371">
        <f t="shared" si="28"/>
        <v>0.11440588235294119</v>
      </c>
      <c r="P58" s="1371">
        <f t="shared" si="29"/>
        <v>4.7669117647058815E-3</v>
      </c>
      <c r="Q58" s="1372">
        <f t="shared" si="30"/>
        <v>7.6270588235294106E-5</v>
      </c>
      <c r="R58" s="1849">
        <f t="shared" si="19"/>
        <v>5.8461405882352939E-4</v>
      </c>
      <c r="S58" s="1850">
        <f t="shared" si="20"/>
        <v>9.4651799999999993E-4</v>
      </c>
      <c r="T58" s="1850">
        <f t="shared" si="21"/>
        <v>0.50109776470588241</v>
      </c>
      <c r="U58" s="1850">
        <f t="shared" si="22"/>
        <v>2.0879073529411762E-2</v>
      </c>
      <c r="V58" s="1851">
        <f t="shared" si="23"/>
        <v>3.3406517647058818E-4</v>
      </c>
      <c r="W58" s="1763"/>
    </row>
    <row r="59" spans="1:26" ht="49.5" customHeight="1">
      <c r="A59" s="1761"/>
      <c r="B59" s="1838" t="str">
        <f t="shared" si="14"/>
        <v>SHTR12</v>
      </c>
      <c r="C59" s="1839" t="str">
        <f t="shared" si="24"/>
        <v>Stabilization Hot Oil Heater
(64.83 MMBtu/hr)</v>
      </c>
      <c r="D59" s="1840">
        <f>D58</f>
        <v>850</v>
      </c>
      <c r="E59" s="1841">
        <f t="shared" si="25"/>
        <v>8760</v>
      </c>
      <c r="F59" s="1842">
        <f t="shared" si="25"/>
        <v>50</v>
      </c>
      <c r="G59" s="1866">
        <f t="shared" si="25"/>
        <v>64.83</v>
      </c>
      <c r="H59" s="1867">
        <f t="shared" si="15"/>
        <v>2.0999999999999999E-3</v>
      </c>
      <c r="I59" s="1868">
        <f t="shared" si="16"/>
        <v>3.3999999999999998E-3</v>
      </c>
      <c r="J59" s="1864">
        <f t="shared" si="17"/>
        <v>1.8</v>
      </c>
      <c r="K59" s="1868">
        <f t="shared" si="18"/>
        <v>7.4999999999999997E-2</v>
      </c>
      <c r="L59" s="1869">
        <f t="shared" si="26"/>
        <v>1.1999999999999999E-3</v>
      </c>
      <c r="M59" s="1370">
        <f t="shared" si="31"/>
        <v>1.334735294117647E-4</v>
      </c>
      <c r="N59" s="1371">
        <f t="shared" si="27"/>
        <v>2.1609999999999999E-4</v>
      </c>
      <c r="O59" s="1371">
        <f t="shared" si="28"/>
        <v>0.11440588235294119</v>
      </c>
      <c r="P59" s="1371">
        <f t="shared" si="29"/>
        <v>4.7669117647058815E-3</v>
      </c>
      <c r="Q59" s="1372">
        <f t="shared" si="30"/>
        <v>7.6270588235294106E-5</v>
      </c>
      <c r="R59" s="1870">
        <f t="shared" si="19"/>
        <v>5.8461405882352939E-4</v>
      </c>
      <c r="S59" s="1847">
        <f t="shared" si="20"/>
        <v>9.4651799999999993E-4</v>
      </c>
      <c r="T59" s="1847">
        <f t="shared" si="21"/>
        <v>0.50109776470588241</v>
      </c>
      <c r="U59" s="1847">
        <f t="shared" si="22"/>
        <v>2.0879073529411762E-2</v>
      </c>
      <c r="V59" s="1848">
        <f t="shared" si="23"/>
        <v>3.3406517647058818E-4</v>
      </c>
      <c r="W59" s="1763"/>
    </row>
    <row r="60" spans="1:26" ht="35.15" customHeight="1">
      <c r="A60" s="1761"/>
      <c r="B60" s="1838" t="str">
        <f t="shared" si="14"/>
        <v>CHTR1</v>
      </c>
      <c r="C60" s="1839" t="str">
        <f t="shared" si="24"/>
        <v>Cryo Hot Oil Heater
(103.99 MMBtu/hr)</v>
      </c>
      <c r="D60" s="1840">
        <f>D51</f>
        <v>850</v>
      </c>
      <c r="E60" s="1841">
        <f t="shared" si="25"/>
        <v>8760</v>
      </c>
      <c r="F60" s="1842">
        <f t="shared" si="25"/>
        <v>80</v>
      </c>
      <c r="G60" s="1842">
        <f t="shared" si="25"/>
        <v>103.99</v>
      </c>
      <c r="H60" s="1867">
        <f t="shared" ref="H60:H65" si="32">IF(G60="","",0.0021)</f>
        <v>2.0999999999999999E-3</v>
      </c>
      <c r="I60" s="1868">
        <f t="shared" ref="I60:I65" si="33">IF(G60="","",0.0034)</f>
        <v>3.3999999999999998E-3</v>
      </c>
      <c r="J60" s="1864">
        <f t="shared" ref="J60:J65" si="34">IF(G60="","",1.8)</f>
        <v>1.8</v>
      </c>
      <c r="K60" s="1868">
        <f t="shared" ref="K60:K65" si="35">IF(G60="","",0.075)</f>
        <v>7.4999999999999997E-2</v>
      </c>
      <c r="L60" s="1869">
        <f t="shared" ref="L60:L65" si="36">IF(G60="","",0.0012)</f>
        <v>1.1999999999999999E-3</v>
      </c>
      <c r="M60" s="1370">
        <f t="shared" si="31"/>
        <v>2.1409705882352939E-4</v>
      </c>
      <c r="N60" s="1371">
        <f t="shared" si="27"/>
        <v>3.4663333333333327E-4</v>
      </c>
      <c r="O60" s="1371">
        <f t="shared" si="28"/>
        <v>0.18351176470588235</v>
      </c>
      <c r="P60" s="1371">
        <f t="shared" si="29"/>
        <v>7.6463235294117644E-3</v>
      </c>
      <c r="Q60" s="1372">
        <f t="shared" si="30"/>
        <v>1.2234117647058821E-4</v>
      </c>
      <c r="R60" s="1849">
        <f t="shared" si="19"/>
        <v>9.3774511764705868E-4</v>
      </c>
      <c r="S60" s="1850">
        <f t="shared" si="20"/>
        <v>1.5182539999999997E-3</v>
      </c>
      <c r="T60" s="1850">
        <f t="shared" si="21"/>
        <v>0.80378152941176473</v>
      </c>
      <c r="U60" s="1850">
        <f t="shared" si="22"/>
        <v>3.3490897058823528E-2</v>
      </c>
      <c r="V60" s="1851">
        <f t="shared" si="23"/>
        <v>5.3585435294117639E-4</v>
      </c>
      <c r="W60" s="1763"/>
      <c r="Y60" s="1508">
        <f>M60+N60+O60+P60+Q60</f>
        <v>0.19184115980392158</v>
      </c>
      <c r="Z60" s="1508">
        <f>R60+S60+T60+U60+V60</f>
        <v>0.84026427994117647</v>
      </c>
    </row>
    <row r="61" spans="1:26" ht="35.15" customHeight="1">
      <c r="A61" s="1761"/>
      <c r="B61" s="1838" t="str">
        <f t="shared" si="14"/>
        <v>CHTR2</v>
      </c>
      <c r="C61" s="1839" t="str">
        <f t="shared" si="24"/>
        <v>Cryo Hot Oil Heater
(103.99 MMBtu/hr)</v>
      </c>
      <c r="D61" s="1840">
        <f>D60</f>
        <v>850</v>
      </c>
      <c r="E61" s="1841">
        <f t="shared" si="25"/>
        <v>8760</v>
      </c>
      <c r="F61" s="1842">
        <f t="shared" si="25"/>
        <v>80</v>
      </c>
      <c r="G61" s="1842">
        <f t="shared" si="25"/>
        <v>103.99</v>
      </c>
      <c r="H61" s="1867">
        <f t="shared" si="32"/>
        <v>2.0999999999999999E-3</v>
      </c>
      <c r="I61" s="1868">
        <f t="shared" si="33"/>
        <v>3.3999999999999998E-3</v>
      </c>
      <c r="J61" s="1864">
        <f t="shared" si="34"/>
        <v>1.8</v>
      </c>
      <c r="K61" s="1868">
        <f t="shared" si="35"/>
        <v>7.4999999999999997E-2</v>
      </c>
      <c r="L61" s="1869">
        <f t="shared" si="36"/>
        <v>1.1999999999999999E-3</v>
      </c>
      <c r="M61" s="1370">
        <f t="shared" si="31"/>
        <v>2.1409705882352939E-4</v>
      </c>
      <c r="N61" s="1371">
        <f t="shared" si="27"/>
        <v>3.4663333333333327E-4</v>
      </c>
      <c r="O61" s="1371">
        <f t="shared" si="28"/>
        <v>0.18351176470588235</v>
      </c>
      <c r="P61" s="1371">
        <f t="shared" si="29"/>
        <v>7.6463235294117644E-3</v>
      </c>
      <c r="Q61" s="1372">
        <f t="shared" si="30"/>
        <v>1.2234117647058821E-4</v>
      </c>
      <c r="R61" s="1849">
        <f t="shared" si="19"/>
        <v>9.3774511764705868E-4</v>
      </c>
      <c r="S61" s="1850">
        <f t="shared" si="20"/>
        <v>1.5182539999999997E-3</v>
      </c>
      <c r="T61" s="1850">
        <f t="shared" si="21"/>
        <v>0.80378152941176473</v>
      </c>
      <c r="U61" s="1850">
        <f t="shared" si="22"/>
        <v>3.3490897058823528E-2</v>
      </c>
      <c r="V61" s="1851">
        <f t="shared" si="23"/>
        <v>5.3585435294117639E-4</v>
      </c>
      <c r="W61" s="1763"/>
    </row>
    <row r="62" spans="1:26" ht="35.15" customHeight="1">
      <c r="A62" s="1761"/>
      <c r="B62" s="1838" t="str">
        <f t="shared" si="14"/>
        <v>CHTR3</v>
      </c>
      <c r="C62" s="1839" t="str">
        <f t="shared" si="24"/>
        <v>Cryo Hot Oil Heater
(103.99 MMBtu/hr)</v>
      </c>
      <c r="D62" s="1840">
        <f>D53</f>
        <v>850</v>
      </c>
      <c r="E62" s="1841">
        <f t="shared" si="25"/>
        <v>8760</v>
      </c>
      <c r="F62" s="1842">
        <f t="shared" si="25"/>
        <v>80</v>
      </c>
      <c r="G62" s="1842">
        <f t="shared" si="25"/>
        <v>103.99</v>
      </c>
      <c r="H62" s="1867">
        <f t="shared" si="32"/>
        <v>2.0999999999999999E-3</v>
      </c>
      <c r="I62" s="1868">
        <f t="shared" si="33"/>
        <v>3.3999999999999998E-3</v>
      </c>
      <c r="J62" s="1864">
        <f t="shared" si="34"/>
        <v>1.8</v>
      </c>
      <c r="K62" s="1868">
        <f t="shared" si="35"/>
        <v>7.4999999999999997E-2</v>
      </c>
      <c r="L62" s="1869">
        <f t="shared" si="36"/>
        <v>1.1999999999999999E-3</v>
      </c>
      <c r="M62" s="1370">
        <f t="shared" si="31"/>
        <v>2.1409705882352939E-4</v>
      </c>
      <c r="N62" s="1371">
        <f t="shared" si="27"/>
        <v>3.4663333333333327E-4</v>
      </c>
      <c r="O62" s="1371">
        <f t="shared" si="28"/>
        <v>0.18351176470588235</v>
      </c>
      <c r="P62" s="1371">
        <f t="shared" si="29"/>
        <v>7.6463235294117644E-3</v>
      </c>
      <c r="Q62" s="1372">
        <f t="shared" si="30"/>
        <v>1.2234117647058821E-4</v>
      </c>
      <c r="R62" s="1849">
        <f t="shared" si="19"/>
        <v>9.3774511764705868E-4</v>
      </c>
      <c r="S62" s="1850">
        <f t="shared" si="20"/>
        <v>1.5182539999999997E-3</v>
      </c>
      <c r="T62" s="1850">
        <f t="shared" si="21"/>
        <v>0.80378152941176473</v>
      </c>
      <c r="U62" s="1850">
        <f t="shared" si="22"/>
        <v>3.3490897058823528E-2</v>
      </c>
      <c r="V62" s="1851">
        <f t="shared" si="23"/>
        <v>5.3585435294117639E-4</v>
      </c>
      <c r="W62" s="1763"/>
    </row>
    <row r="63" spans="1:26" ht="35.15" customHeight="1">
      <c r="A63" s="1761"/>
      <c r="B63" s="1838" t="str">
        <f t="shared" si="14"/>
        <v>RHTR1</v>
      </c>
      <c r="C63" s="1839" t="str">
        <f t="shared" si="24"/>
        <v>Regen Heater 
(39.14 MMBtu/hr)</v>
      </c>
      <c r="D63" s="1840">
        <f>D61</f>
        <v>850</v>
      </c>
      <c r="E63" s="1841">
        <f t="shared" si="25"/>
        <v>8760</v>
      </c>
      <c r="F63" s="1842">
        <f t="shared" si="25"/>
        <v>27.73</v>
      </c>
      <c r="G63" s="1842">
        <f t="shared" si="25"/>
        <v>39.14</v>
      </c>
      <c r="H63" s="1867">
        <f t="shared" si="32"/>
        <v>2.0999999999999999E-3</v>
      </c>
      <c r="I63" s="1868">
        <f t="shared" si="33"/>
        <v>3.3999999999999998E-3</v>
      </c>
      <c r="J63" s="1864">
        <f t="shared" si="34"/>
        <v>1.8</v>
      </c>
      <c r="K63" s="1868">
        <f t="shared" si="35"/>
        <v>7.4999999999999997E-2</v>
      </c>
      <c r="L63" s="1869">
        <f t="shared" si="36"/>
        <v>1.1999999999999999E-3</v>
      </c>
      <c r="M63" s="1370">
        <f t="shared" si="31"/>
        <v>8.058235294117647E-5</v>
      </c>
      <c r="N63" s="1371">
        <f t="shared" si="27"/>
        <v>1.3046666666666668E-4</v>
      </c>
      <c r="O63" s="1371">
        <f t="shared" si="28"/>
        <v>6.907058823529412E-2</v>
      </c>
      <c r="P63" s="1371">
        <f t="shared" si="29"/>
        <v>2.8779411764705883E-3</v>
      </c>
      <c r="Q63" s="1372">
        <f t="shared" si="30"/>
        <v>4.6047058823529409E-5</v>
      </c>
      <c r="R63" s="1870">
        <f t="shared" ref="R63:V65" si="37">IF($G63="","",M63*$E63/2000)</f>
        <v>3.5295070588235294E-4</v>
      </c>
      <c r="S63" s="1847">
        <f t="shared" si="37"/>
        <v>5.7144400000000005E-4</v>
      </c>
      <c r="T63" s="1847">
        <f t="shared" si="37"/>
        <v>0.30252917647058825</v>
      </c>
      <c r="U63" s="1847">
        <f t="shared" si="37"/>
        <v>1.2605382352941178E-2</v>
      </c>
      <c r="V63" s="1848">
        <f t="shared" si="37"/>
        <v>2.0168611764705881E-4</v>
      </c>
      <c r="W63" s="1763"/>
      <c r="Y63" s="1508">
        <f>M63+N63+O63+P63+Q63</f>
        <v>7.2205625490196074E-2</v>
      </c>
      <c r="Z63" s="1508">
        <f>R63+S63+T63+U63+V63</f>
        <v>0.31626063964705881</v>
      </c>
    </row>
    <row r="64" spans="1:26" ht="35.15" customHeight="1">
      <c r="A64" s="1761"/>
      <c r="B64" s="1838" t="str">
        <f t="shared" si="14"/>
        <v>RHTR2</v>
      </c>
      <c r="C64" s="1839" t="str">
        <f t="shared" si="24"/>
        <v>Regen Heater
(39.14 MMBtu/hr)</v>
      </c>
      <c r="D64" s="1840">
        <f>D63</f>
        <v>850</v>
      </c>
      <c r="E64" s="1841">
        <f t="shared" si="25"/>
        <v>8760</v>
      </c>
      <c r="F64" s="1842">
        <f t="shared" si="25"/>
        <v>27.73</v>
      </c>
      <c r="G64" s="1842">
        <f t="shared" si="25"/>
        <v>39.14</v>
      </c>
      <c r="H64" s="1867">
        <f t="shared" si="32"/>
        <v>2.0999999999999999E-3</v>
      </c>
      <c r="I64" s="1868">
        <f t="shared" si="33"/>
        <v>3.3999999999999998E-3</v>
      </c>
      <c r="J64" s="1864">
        <f t="shared" si="34"/>
        <v>1.8</v>
      </c>
      <c r="K64" s="1868">
        <f t="shared" si="35"/>
        <v>7.4999999999999997E-2</v>
      </c>
      <c r="L64" s="1869">
        <f t="shared" si="36"/>
        <v>1.1999999999999999E-3</v>
      </c>
      <c r="M64" s="1370">
        <f t="shared" si="31"/>
        <v>8.058235294117647E-5</v>
      </c>
      <c r="N64" s="1371">
        <f t="shared" si="27"/>
        <v>1.3046666666666668E-4</v>
      </c>
      <c r="O64" s="1371">
        <f t="shared" si="28"/>
        <v>6.907058823529412E-2</v>
      </c>
      <c r="P64" s="1371">
        <f t="shared" si="29"/>
        <v>2.8779411764705883E-3</v>
      </c>
      <c r="Q64" s="1372">
        <f t="shared" si="30"/>
        <v>4.6047058823529409E-5</v>
      </c>
      <c r="R64" s="1849">
        <f t="shared" si="37"/>
        <v>3.5295070588235294E-4</v>
      </c>
      <c r="S64" s="1850">
        <f t="shared" si="37"/>
        <v>5.7144400000000005E-4</v>
      </c>
      <c r="T64" s="1850">
        <f t="shared" si="37"/>
        <v>0.30252917647058825</v>
      </c>
      <c r="U64" s="1850">
        <f t="shared" si="37"/>
        <v>1.2605382352941178E-2</v>
      </c>
      <c r="V64" s="1851">
        <f t="shared" si="37"/>
        <v>2.0168611764705881E-4</v>
      </c>
      <c r="W64" s="1763"/>
    </row>
    <row r="65" spans="1:23" ht="35.15" customHeight="1" thickBot="1">
      <c r="A65" s="1761"/>
      <c r="B65" s="1871" t="str">
        <f t="shared" si="14"/>
        <v>RHTR3</v>
      </c>
      <c r="C65" s="1872" t="str">
        <f t="shared" si="24"/>
        <v>Regen Heater
(39.14 MMBtu/hr)</v>
      </c>
      <c r="D65" s="1873">
        <f>D64</f>
        <v>850</v>
      </c>
      <c r="E65" s="1874">
        <f t="shared" si="25"/>
        <v>8760</v>
      </c>
      <c r="F65" s="1875">
        <f t="shared" si="25"/>
        <v>27.73</v>
      </c>
      <c r="G65" s="1875">
        <f t="shared" si="25"/>
        <v>39.14</v>
      </c>
      <c r="H65" s="1876">
        <f t="shared" si="32"/>
        <v>2.0999999999999999E-3</v>
      </c>
      <c r="I65" s="1877">
        <f t="shared" si="33"/>
        <v>3.3999999999999998E-3</v>
      </c>
      <c r="J65" s="1873">
        <f t="shared" si="34"/>
        <v>1.8</v>
      </c>
      <c r="K65" s="1877">
        <f t="shared" si="35"/>
        <v>7.4999999999999997E-2</v>
      </c>
      <c r="L65" s="1878">
        <f t="shared" si="36"/>
        <v>1.1999999999999999E-3</v>
      </c>
      <c r="M65" s="1382">
        <f t="shared" si="31"/>
        <v>8.058235294117647E-5</v>
      </c>
      <c r="N65" s="1383">
        <f t="shared" si="27"/>
        <v>1.3046666666666668E-4</v>
      </c>
      <c r="O65" s="1383">
        <f t="shared" si="28"/>
        <v>6.907058823529412E-2</v>
      </c>
      <c r="P65" s="1383">
        <f t="shared" si="29"/>
        <v>2.8779411764705883E-3</v>
      </c>
      <c r="Q65" s="1384">
        <f t="shared" si="30"/>
        <v>4.6047058823529409E-5</v>
      </c>
      <c r="R65" s="1882">
        <f t="shared" si="37"/>
        <v>3.5295070588235294E-4</v>
      </c>
      <c r="S65" s="1880">
        <f t="shared" si="37"/>
        <v>5.7144400000000005E-4</v>
      </c>
      <c r="T65" s="1880">
        <f t="shared" si="37"/>
        <v>0.30252917647058825</v>
      </c>
      <c r="U65" s="1880">
        <f t="shared" si="37"/>
        <v>1.2605382352941178E-2</v>
      </c>
      <c r="V65" s="1881">
        <f t="shared" si="37"/>
        <v>2.0168611764705881E-4</v>
      </c>
      <c r="W65" s="1763"/>
    </row>
    <row r="66" spans="1:23" ht="15.5">
      <c r="A66" s="1761"/>
      <c r="B66" s="1765"/>
      <c r="C66" s="1765"/>
      <c r="D66" s="1765"/>
      <c r="E66" s="1765"/>
      <c r="F66" s="1765"/>
      <c r="G66" s="1765"/>
      <c r="H66" s="1765"/>
      <c r="I66" s="1765"/>
      <c r="J66" s="1765"/>
      <c r="K66" s="1765"/>
      <c r="L66" s="1765"/>
      <c r="M66" s="1766"/>
      <c r="N66" s="1766"/>
      <c r="O66" s="1766"/>
      <c r="P66" s="1766"/>
      <c r="Q66" s="1766"/>
      <c r="R66" s="1766"/>
      <c r="S66" s="1766"/>
      <c r="T66" s="1766"/>
      <c r="U66" s="1766"/>
      <c r="V66" s="1766"/>
      <c r="W66" s="1763"/>
    </row>
    <row r="67" spans="1:23" ht="16" thickBot="1">
      <c r="A67" s="1761"/>
      <c r="B67" s="1765"/>
      <c r="C67" s="1765"/>
      <c r="D67" s="1765"/>
      <c r="E67" s="1765"/>
      <c r="F67" s="1765"/>
      <c r="G67" s="1765"/>
      <c r="H67" s="1765"/>
      <c r="I67" s="1765"/>
      <c r="J67" s="1765"/>
      <c r="K67" s="1765"/>
      <c r="L67" s="1765"/>
      <c r="M67" s="1765"/>
      <c r="N67" s="1765"/>
      <c r="O67" s="1765"/>
      <c r="P67" s="1766"/>
      <c r="Q67" s="1766"/>
      <c r="R67" s="1766"/>
      <c r="S67" s="1766"/>
      <c r="T67" s="1766"/>
      <c r="U67" s="1766"/>
      <c r="V67" s="1766"/>
      <c r="W67" s="1763"/>
    </row>
    <row r="68" spans="1:23" ht="29.5" thickBot="1">
      <c r="A68" s="1761"/>
      <c r="B68" s="1769" t="s">
        <v>458</v>
      </c>
      <c r="C68" s="1722"/>
      <c r="D68" s="1722"/>
      <c r="E68" s="1722"/>
      <c r="F68" s="1722"/>
      <c r="G68" s="1722"/>
      <c r="H68" s="1722"/>
      <c r="I68" s="1722"/>
      <c r="J68" s="1722"/>
      <c r="K68" s="1722"/>
      <c r="L68" s="1722"/>
      <c r="M68" s="1722"/>
      <c r="N68" s="1765"/>
      <c r="O68" s="4670" t="s">
        <v>552</v>
      </c>
      <c r="P68" s="4671"/>
      <c r="Q68" s="4654"/>
      <c r="R68" s="1811" t="s">
        <v>11</v>
      </c>
      <c r="S68" s="1812" t="s">
        <v>14</v>
      </c>
      <c r="T68" s="1813" t="s">
        <v>554</v>
      </c>
      <c r="U68" s="1812" t="s">
        <v>384</v>
      </c>
      <c r="V68" s="1814" t="s">
        <v>553</v>
      </c>
      <c r="W68" s="1763"/>
    </row>
    <row r="69" spans="1:23" ht="16" thickBot="1">
      <c r="A69" s="1761"/>
      <c r="B69" s="4646"/>
      <c r="C69" s="4646"/>
      <c r="D69" s="4646"/>
      <c r="E69" s="4646"/>
      <c r="F69" s="4646"/>
      <c r="G69" s="4646"/>
      <c r="H69" s="4646"/>
      <c r="I69" s="4646"/>
      <c r="J69" s="4646"/>
      <c r="K69" s="4646"/>
      <c r="L69" s="4646"/>
      <c r="M69" s="4646"/>
      <c r="N69" s="1765"/>
      <c r="O69" s="4655"/>
      <c r="P69" s="4672"/>
      <c r="Q69" s="4656"/>
      <c r="R69" s="1815">
        <f>SUM(R48:R66)</f>
        <v>1.0887456176470588E-2</v>
      </c>
      <c r="S69" s="1816">
        <f>SUM(S48:S66)</f>
        <v>1.7627310000000004E-2</v>
      </c>
      <c r="T69" s="1816">
        <f>SUM(T48:T66)</f>
        <v>9.3321052941176497</v>
      </c>
      <c r="U69" s="1816">
        <f>SUM(U48:U66)</f>
        <v>0.38883772058823524</v>
      </c>
      <c r="V69" s="1817">
        <f>SUM(V48:V66)</f>
        <v>6.4719524117647078E-3</v>
      </c>
      <c r="W69" s="1763"/>
    </row>
    <row r="70" spans="1:23" ht="16" thickBot="1">
      <c r="A70" s="1761"/>
      <c r="B70" s="1762"/>
      <c r="C70" s="1762"/>
      <c r="D70" s="1762"/>
      <c r="E70" s="1762"/>
      <c r="F70" s="1762"/>
      <c r="G70" s="1762"/>
      <c r="H70" s="1762"/>
      <c r="I70" s="1762"/>
      <c r="J70" s="1762"/>
      <c r="K70" s="1762"/>
      <c r="L70" s="1762"/>
      <c r="M70" s="1762"/>
      <c r="N70" s="1762"/>
      <c r="O70" s="1762"/>
      <c r="P70" s="1762"/>
      <c r="Q70" s="1762"/>
      <c r="R70" s="1762"/>
      <c r="S70" s="1762"/>
      <c r="T70" s="1762"/>
      <c r="U70" s="1762"/>
      <c r="V70" s="1762"/>
      <c r="W70" s="1763"/>
    </row>
    <row r="71" spans="1:23" ht="15.5">
      <c r="A71" s="1761"/>
      <c r="B71" s="1762"/>
      <c r="C71" s="1762"/>
      <c r="D71" s="1762"/>
      <c r="E71" s="1762"/>
      <c r="F71" s="1762"/>
      <c r="G71" s="1762"/>
      <c r="H71" s="1762"/>
      <c r="I71" s="1762"/>
      <c r="J71" s="1762"/>
      <c r="K71" s="1762"/>
      <c r="L71" s="1762"/>
      <c r="M71" s="1762"/>
      <c r="N71" s="1762"/>
      <c r="O71" s="4670" t="s">
        <v>559</v>
      </c>
      <c r="P71" s="4671"/>
      <c r="Q71" s="4654"/>
      <c r="R71" s="4673">
        <f>SUM(R69:V69)</f>
        <v>9.7559297332941206</v>
      </c>
      <c r="S71" s="1762"/>
      <c r="T71" s="1762"/>
      <c r="U71" s="1762"/>
      <c r="V71" s="1762"/>
      <c r="W71" s="1763"/>
    </row>
    <row r="72" spans="1:23" ht="16" thickBot="1">
      <c r="A72" s="1761"/>
      <c r="B72" s="1762"/>
      <c r="C72" s="1762"/>
      <c r="D72" s="1762"/>
      <c r="E72" s="1762"/>
      <c r="F72" s="1762"/>
      <c r="G72" s="1762"/>
      <c r="H72" s="1762"/>
      <c r="I72" s="1762"/>
      <c r="J72" s="1762"/>
      <c r="K72" s="1762"/>
      <c r="L72" s="1762"/>
      <c r="M72" s="1762"/>
      <c r="N72" s="1762"/>
      <c r="O72" s="4655"/>
      <c r="P72" s="4672"/>
      <c r="Q72" s="4656"/>
      <c r="R72" s="4674"/>
      <c r="S72" s="1762"/>
      <c r="T72" s="1762"/>
      <c r="U72" s="1762"/>
      <c r="V72" s="1762"/>
      <c r="W72" s="1763"/>
    </row>
    <row r="73" spans="1:23">
      <c r="A73" s="643"/>
      <c r="B73" s="657"/>
      <c r="C73" s="1776"/>
      <c r="D73" s="1776"/>
      <c r="E73" s="1776"/>
      <c r="F73" s="1776"/>
      <c r="G73" s="1776"/>
      <c r="H73" s="1776"/>
      <c r="I73" s="1776"/>
      <c r="J73" s="1776"/>
      <c r="K73" s="1776"/>
      <c r="L73" s="1776"/>
      <c r="M73" s="1776"/>
      <c r="N73" s="657"/>
      <c r="O73" s="657"/>
      <c r="P73" s="657"/>
      <c r="Q73" s="657"/>
      <c r="R73" s="657"/>
      <c r="S73" s="657"/>
      <c r="T73" s="657"/>
      <c r="U73" s="657"/>
      <c r="V73" s="657"/>
      <c r="W73" s="51"/>
    </row>
    <row r="74" spans="1:23" ht="13.5" thickBot="1">
      <c r="A74" s="645"/>
      <c r="B74" s="541"/>
      <c r="C74" s="542"/>
      <c r="D74" s="542"/>
      <c r="E74" s="542"/>
      <c r="F74" s="542"/>
      <c r="G74" s="542"/>
      <c r="H74" s="542"/>
      <c r="I74" s="542"/>
      <c r="J74" s="542"/>
      <c r="K74" s="542"/>
      <c r="L74" s="542"/>
      <c r="M74" s="542"/>
      <c r="N74" s="541"/>
      <c r="O74" s="541"/>
      <c r="P74" s="541"/>
      <c r="Q74" s="541"/>
      <c r="R74" s="541"/>
      <c r="S74" s="541"/>
      <c r="T74" s="541"/>
      <c r="U74" s="541"/>
      <c r="V74" s="541"/>
      <c r="W74" s="543"/>
    </row>
  </sheetData>
  <mergeCells count="21">
    <mergeCell ref="O68:Q69"/>
    <mergeCell ref="B69:M69"/>
    <mergeCell ref="O71:Q72"/>
    <mergeCell ref="R71:R72"/>
    <mergeCell ref="B37:V37"/>
    <mergeCell ref="B38:V38"/>
    <mergeCell ref="B39:V39"/>
    <mergeCell ref="H45:L45"/>
    <mergeCell ref="H46:L46"/>
    <mergeCell ref="A42:W42"/>
    <mergeCell ref="M46:Q46"/>
    <mergeCell ref="R46:V46"/>
    <mergeCell ref="H11:L11"/>
    <mergeCell ref="M11:Q11"/>
    <mergeCell ref="R11:V11"/>
    <mergeCell ref="P33:Q34"/>
    <mergeCell ref="B2:V2"/>
    <mergeCell ref="B3:V3"/>
    <mergeCell ref="B4:V4"/>
    <mergeCell ref="A7:W7"/>
    <mergeCell ref="H10:L10"/>
  </mergeCells>
  <printOptions horizontalCentered="1"/>
  <pageMargins left="0.25" right="0.25" top="0.25" bottom="0.25" header="0.3" footer="0.3"/>
  <pageSetup scale="44" fitToHeight="3" orientation="landscape" r:id="rId1"/>
  <headerFooter>
    <oddFooter>&amp;CCalculations: Page &amp;P</oddFooter>
  </headerFooter>
  <rowBreaks count="1" manualBreakCount="1">
    <brk id="35"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0">
    <tabColor theme="3" tint="-0.249977111117893"/>
    <pageSetUpPr fitToPage="1"/>
  </sheetPr>
  <dimension ref="A1:D88"/>
  <sheetViews>
    <sheetView view="pageBreakPreview" topLeftCell="A39" zoomScale="115" zoomScaleNormal="100" zoomScaleSheetLayoutView="115" zoomScalePageLayoutView="70" workbookViewId="0">
      <selection activeCell="E19" sqref="E19:R19"/>
    </sheetView>
  </sheetViews>
  <sheetFormatPr defaultColWidth="8.54296875" defaultRowHeight="12.5"/>
  <cols>
    <col min="1" max="1" width="4.54296875" style="48" customWidth="1"/>
    <col min="2" max="2" width="65.6328125" style="48" customWidth="1"/>
    <col min="3" max="3" width="37.453125" style="48" customWidth="1"/>
    <col min="4" max="4" width="4.54296875" style="48" customWidth="1"/>
    <col min="5" max="16384" width="8.54296875" style="48"/>
  </cols>
  <sheetData>
    <row r="1" spans="1:4" ht="13" thickBot="1">
      <c r="A1" s="584"/>
      <c r="B1" s="585"/>
      <c r="C1" s="585"/>
      <c r="D1" s="586"/>
    </row>
    <row r="2" spans="1:4" ht="18.75" customHeight="1">
      <c r="A2" s="1039"/>
      <c r="B2" s="4480" t="str">
        <f>Burners!B2</f>
        <v>XTO ENERGY INC.</v>
      </c>
      <c r="C2" s="4482"/>
      <c r="D2" s="1040"/>
    </row>
    <row r="3" spans="1:4" ht="18.75" customHeight="1">
      <c r="A3" s="1039"/>
      <c r="B3" s="4483" t="str">
        <f>Burners!B3</f>
        <v>HUSKY CDP</v>
      </c>
      <c r="C3" s="4485"/>
      <c r="D3" s="1040"/>
    </row>
    <row r="4" spans="1:4" ht="18.75" customHeight="1" thickBot="1">
      <c r="A4" s="1039"/>
      <c r="B4" s="4486" t="s">
        <v>1167</v>
      </c>
      <c r="C4" s="4488"/>
      <c r="D4" s="1040"/>
    </row>
    <row r="5" spans="1:4" ht="13.5" thickBot="1">
      <c r="A5" s="1041"/>
      <c r="B5" s="1026"/>
      <c r="C5" s="1026"/>
      <c r="D5" s="1042"/>
    </row>
    <row r="7" spans="1:4" ht="13" thickBot="1"/>
    <row r="8" spans="1:4" ht="16" thickBot="1">
      <c r="A8" s="1043"/>
      <c r="B8" s="4683" t="s">
        <v>1140</v>
      </c>
      <c r="C8" s="4683"/>
      <c r="D8" s="1044"/>
    </row>
    <row r="9" spans="1:4" ht="28.5" customHeight="1" thickBot="1">
      <c r="A9" s="584"/>
      <c r="B9" s="641"/>
      <c r="C9" s="641"/>
      <c r="D9" s="642"/>
    </row>
    <row r="10" spans="1:4" ht="13.25" customHeight="1" thickBot="1">
      <c r="A10" s="587"/>
      <c r="B10" s="1059" t="s">
        <v>1168</v>
      </c>
      <c r="C10" s="1060" t="s">
        <v>1348</v>
      </c>
      <c r="D10" s="51"/>
    </row>
    <row r="11" spans="1:4" ht="13.25" customHeight="1">
      <c r="A11" s="587"/>
      <c r="B11" s="1061" t="s">
        <v>1142</v>
      </c>
      <c r="C11" s="1062">
        <f>'Burners No Cogen'!G13*10^6</f>
        <v>64830000</v>
      </c>
      <c r="D11" s="51"/>
    </row>
    <row r="12" spans="1:4" ht="13.25" customHeight="1">
      <c r="A12" s="587"/>
      <c r="B12" s="1063" t="s">
        <v>461</v>
      </c>
      <c r="C12" s="1064">
        <f>Burners!D14</f>
        <v>850</v>
      </c>
      <c r="D12" s="51"/>
    </row>
    <row r="13" spans="1:4" ht="13.25" customHeight="1">
      <c r="A13" s="587"/>
      <c r="B13" s="1063" t="s">
        <v>1145</v>
      </c>
      <c r="C13" s="1065">
        <v>488</v>
      </c>
      <c r="D13" s="1053"/>
    </row>
    <row r="14" spans="1:4" ht="13.25" customHeight="1">
      <c r="A14" s="587"/>
      <c r="B14" s="1063" t="s">
        <v>1146</v>
      </c>
      <c r="C14" s="1064">
        <f>48/12</f>
        <v>4</v>
      </c>
      <c r="D14" s="1053"/>
    </row>
    <row r="15" spans="1:4" ht="13.25" customHeight="1">
      <c r="A15" s="587"/>
      <c r="B15" s="1063" t="s">
        <v>1147</v>
      </c>
      <c r="C15" s="1064">
        <v>33</v>
      </c>
      <c r="D15" s="1053"/>
    </row>
    <row r="16" spans="1:4" ht="13.25" customHeight="1">
      <c r="A16" s="587"/>
      <c r="B16" s="1063" t="s">
        <v>1148</v>
      </c>
      <c r="C16" s="1066">
        <f>C11/C12</f>
        <v>76270.588235294112</v>
      </c>
      <c r="D16" s="51"/>
    </row>
    <row r="17" spans="1:4" ht="13.25" customHeight="1">
      <c r="A17" s="587"/>
      <c r="B17" s="1063" t="s">
        <v>1149</v>
      </c>
      <c r="C17" s="1066">
        <f>C16*24</f>
        <v>1830494.1176470588</v>
      </c>
      <c r="D17" s="51"/>
    </row>
    <row r="18" spans="1:4" ht="13.25" customHeight="1">
      <c r="A18" s="587"/>
      <c r="B18" s="1063" t="s">
        <v>1150</v>
      </c>
      <c r="C18" s="1064">
        <f>C17*365/10^6</f>
        <v>668.1303529411764</v>
      </c>
      <c r="D18" s="51"/>
    </row>
    <row r="19" spans="1:4" ht="13.25" customHeight="1">
      <c r="A19" s="587"/>
      <c r="B19" s="1063" t="s">
        <v>1151</v>
      </c>
      <c r="C19" s="1064">
        <f>C16*11.55</f>
        <v>880925.29411764699</v>
      </c>
      <c r="D19" s="51"/>
    </row>
    <row r="20" spans="1:4" ht="13.25" customHeight="1">
      <c r="A20" s="587"/>
      <c r="B20" s="1063" t="s">
        <v>1152</v>
      </c>
      <c r="C20" s="1067">
        <f>C16+C19</f>
        <v>957195.88235294109</v>
      </c>
      <c r="D20" s="51"/>
    </row>
    <row r="21" spans="1:4" ht="13.25" customHeight="1">
      <c r="A21" s="587"/>
      <c r="B21" s="1063" t="s">
        <v>1153</v>
      </c>
      <c r="C21" s="1064">
        <f>C20/60/60</f>
        <v>265.8877450980392</v>
      </c>
      <c r="D21" s="51"/>
    </row>
    <row r="22" spans="1:4" ht="13.25" customHeight="1">
      <c r="A22" s="587"/>
      <c r="B22" s="1063" t="s">
        <v>1164</v>
      </c>
      <c r="C22" s="1064">
        <f>C20*(C13+460)/(60+460)</f>
        <v>1745041.7239819004</v>
      </c>
      <c r="D22" s="51"/>
    </row>
    <row r="23" spans="1:4" ht="13.25" customHeight="1">
      <c r="A23" s="587"/>
      <c r="B23" s="1063" t="s">
        <v>1165</v>
      </c>
      <c r="C23" s="1064">
        <f>C22/3600</f>
        <v>484.73381221719455</v>
      </c>
      <c r="D23" s="51"/>
    </row>
    <row r="24" spans="1:4" ht="13.25" customHeight="1">
      <c r="A24" s="587"/>
      <c r="B24" s="1063" t="s">
        <v>1156</v>
      </c>
      <c r="C24" s="1064">
        <f>(C20/60/60)/((PI()*(C14/2)^2))</f>
        <v>21.1586744699554</v>
      </c>
      <c r="D24" s="51"/>
    </row>
    <row r="25" spans="1:4" ht="13.25" customHeight="1" thickBot="1">
      <c r="A25" s="587"/>
      <c r="B25" s="1068" t="s">
        <v>1166</v>
      </c>
      <c r="C25" s="1069">
        <f>(C22/60/60)/((PI()*(C14/2)^2))</f>
        <v>38.573891149072537</v>
      </c>
      <c r="D25" s="51"/>
    </row>
    <row r="26" spans="1:4" ht="13.25" customHeight="1" thickBot="1">
      <c r="A26" s="587"/>
      <c r="B26" s="1059" t="s">
        <v>1168</v>
      </c>
      <c r="C26" s="1060" t="s">
        <v>1350</v>
      </c>
      <c r="D26" s="51"/>
    </row>
    <row r="27" spans="1:4" ht="13.25" customHeight="1">
      <c r="A27" s="587"/>
      <c r="B27" s="1061" t="s">
        <v>1142</v>
      </c>
      <c r="C27" s="1062">
        <f>'Burners No Cogen'!G25*10^6</f>
        <v>103990000</v>
      </c>
      <c r="D27" s="51"/>
    </row>
    <row r="28" spans="1:4" ht="13.25" customHeight="1">
      <c r="A28" s="587"/>
      <c r="B28" s="1063" t="s">
        <v>461</v>
      </c>
      <c r="C28" s="1064">
        <f>C12</f>
        <v>850</v>
      </c>
      <c r="D28" s="51"/>
    </row>
    <row r="29" spans="1:4" ht="13.25" customHeight="1">
      <c r="A29" s="587"/>
      <c r="B29" s="1063" t="s">
        <v>1145</v>
      </c>
      <c r="C29" s="1065">
        <v>599</v>
      </c>
      <c r="D29" s="1053"/>
    </row>
    <row r="30" spans="1:4" ht="13.25" customHeight="1">
      <c r="A30" s="587"/>
      <c r="B30" s="1063" t="s">
        <v>1146</v>
      </c>
      <c r="C30" s="1064">
        <f>48/12</f>
        <v>4</v>
      </c>
      <c r="D30" s="1053"/>
    </row>
    <row r="31" spans="1:4" ht="13.25" customHeight="1">
      <c r="A31" s="587"/>
      <c r="B31" s="1063" t="s">
        <v>1147</v>
      </c>
      <c r="C31" s="1064">
        <v>76.875</v>
      </c>
      <c r="D31" s="1053"/>
    </row>
    <row r="32" spans="1:4" ht="13.25" customHeight="1">
      <c r="A32" s="587"/>
      <c r="B32" s="1063" t="s">
        <v>1148</v>
      </c>
      <c r="C32" s="1066">
        <f>C27/C28</f>
        <v>122341.17647058824</v>
      </c>
      <c r="D32" s="51"/>
    </row>
    <row r="33" spans="1:4" ht="13.25" customHeight="1">
      <c r="A33" s="587"/>
      <c r="B33" s="1063" t="s">
        <v>1149</v>
      </c>
      <c r="C33" s="1066">
        <f>C32*24</f>
        <v>2936188.2352941176</v>
      </c>
      <c r="D33" s="51"/>
    </row>
    <row r="34" spans="1:4" ht="13.25" customHeight="1">
      <c r="A34" s="587"/>
      <c r="B34" s="1063" t="s">
        <v>1150</v>
      </c>
      <c r="C34" s="1064">
        <f>C33*365/10^6</f>
        <v>1071.7087058823529</v>
      </c>
      <c r="D34" s="51"/>
    </row>
    <row r="35" spans="1:4" ht="13.25" customHeight="1">
      <c r="A35" s="587"/>
      <c r="B35" s="1063" t="s">
        <v>1151</v>
      </c>
      <c r="C35" s="1064">
        <f>C32*12.03</f>
        <v>1471764.3529411764</v>
      </c>
      <c r="D35" s="51"/>
    </row>
    <row r="36" spans="1:4" ht="13.25" customHeight="1">
      <c r="A36" s="587"/>
      <c r="B36" s="1063" t="s">
        <v>1152</v>
      </c>
      <c r="C36" s="1067">
        <f>C32+C35</f>
        <v>1594105.5294117646</v>
      </c>
      <c r="D36" s="51"/>
    </row>
    <row r="37" spans="1:4" ht="13.25" customHeight="1">
      <c r="A37" s="587"/>
      <c r="B37" s="1063" t="s">
        <v>1153</v>
      </c>
      <c r="C37" s="1064">
        <f>C36/60/60</f>
        <v>442.80709150326794</v>
      </c>
      <c r="D37" s="51"/>
    </row>
    <row r="38" spans="1:4" ht="13.25" customHeight="1">
      <c r="A38" s="587"/>
      <c r="B38" s="1063" t="s">
        <v>1501</v>
      </c>
      <c r="C38" s="1064">
        <f>C36*(C29+460)/(60+460)</f>
        <v>3246457.2223981898</v>
      </c>
      <c r="D38" s="51"/>
    </row>
    <row r="39" spans="1:4" ht="13.25" customHeight="1">
      <c r="A39" s="587"/>
      <c r="B39" s="1063" t="s">
        <v>1502</v>
      </c>
      <c r="C39" s="1064">
        <f>C38/3600</f>
        <v>901.79367288838603</v>
      </c>
      <c r="D39" s="51"/>
    </row>
    <row r="40" spans="1:4" ht="13.25" customHeight="1">
      <c r="A40" s="587"/>
      <c r="B40" s="1063" t="s">
        <v>1156</v>
      </c>
      <c r="C40" s="1064">
        <f>(C36/60/60)/((PI()*(C30/2)^2))</f>
        <v>35.237468724445151</v>
      </c>
      <c r="D40" s="51"/>
    </row>
    <row r="41" spans="1:4" ht="13.25" customHeight="1" thickBot="1">
      <c r="A41" s="587"/>
      <c r="B41" s="1068" t="s">
        <v>1503</v>
      </c>
      <c r="C41" s="1069">
        <f>(C38/60/60)/((PI()*(C30/2)^2))</f>
        <v>71.76246034459119</v>
      </c>
      <c r="D41" s="51"/>
    </row>
    <row r="42" spans="1:4" ht="13.25" customHeight="1" thickBot="1">
      <c r="A42" s="587"/>
      <c r="B42" s="1059" t="s">
        <v>1168</v>
      </c>
      <c r="C42" s="1060" t="s">
        <v>1349</v>
      </c>
      <c r="D42" s="51"/>
    </row>
    <row r="43" spans="1:4" ht="13.25" customHeight="1">
      <c r="A43" s="587"/>
      <c r="B43" s="1061" t="s">
        <v>1142</v>
      </c>
      <c r="C43" s="1062">
        <f>Burners!G16*10^6</f>
        <v>39140000</v>
      </c>
      <c r="D43" s="51"/>
    </row>
    <row r="44" spans="1:4" ht="13.25" customHeight="1">
      <c r="A44" s="587"/>
      <c r="B44" s="1063" t="s">
        <v>461</v>
      </c>
      <c r="C44" s="1064">
        <f>C12</f>
        <v>850</v>
      </c>
      <c r="D44" s="51"/>
    </row>
    <row r="45" spans="1:4" ht="13.25" customHeight="1">
      <c r="A45" s="587"/>
      <c r="B45" s="1063" t="s">
        <v>1145</v>
      </c>
      <c r="C45" s="1065">
        <v>470</v>
      </c>
      <c r="D45" s="1053"/>
    </row>
    <row r="46" spans="1:4" ht="13.25" customHeight="1">
      <c r="A46" s="587"/>
      <c r="B46" s="1063" t="s">
        <v>1146</v>
      </c>
      <c r="C46" s="1064">
        <f>32/12</f>
        <v>2.6666666666666665</v>
      </c>
      <c r="D46" s="1053"/>
    </row>
    <row r="47" spans="1:4" ht="13.25" customHeight="1">
      <c r="A47" s="587"/>
      <c r="B47" s="1063" t="s">
        <v>1147</v>
      </c>
      <c r="C47" s="1065">
        <v>28.5</v>
      </c>
      <c r="D47" s="1053"/>
    </row>
    <row r="48" spans="1:4" ht="13.25" customHeight="1">
      <c r="A48" s="587"/>
      <c r="B48" s="1063" t="s">
        <v>1148</v>
      </c>
      <c r="C48" s="1066">
        <f>C43/C44</f>
        <v>46047.058823529413</v>
      </c>
      <c r="D48" s="51"/>
    </row>
    <row r="49" spans="1:4" ht="13.25" customHeight="1">
      <c r="A49" s="587"/>
      <c r="B49" s="1063" t="s">
        <v>1149</v>
      </c>
      <c r="C49" s="1066">
        <f>C48*24</f>
        <v>1105129.411764706</v>
      </c>
      <c r="D49" s="51"/>
    </row>
    <row r="50" spans="1:4" ht="13.25" customHeight="1">
      <c r="A50" s="587"/>
      <c r="B50" s="1063" t="s">
        <v>1150</v>
      </c>
      <c r="C50" s="1064">
        <f>C49*365/10^6</f>
        <v>403.37223529411767</v>
      </c>
      <c r="D50" s="51"/>
    </row>
    <row r="51" spans="1:4" ht="13.25" customHeight="1">
      <c r="A51" s="587"/>
      <c r="B51" s="1063" t="s">
        <v>1151</v>
      </c>
      <c r="C51" s="1064">
        <f>C48*13.05</f>
        <v>600914.11764705891</v>
      </c>
      <c r="D51" s="51"/>
    </row>
    <row r="52" spans="1:4" ht="13.25" customHeight="1">
      <c r="A52" s="587"/>
      <c r="B52" s="1063" t="s">
        <v>1152</v>
      </c>
      <c r="C52" s="1067">
        <f>C48+C51</f>
        <v>646961.17647058831</v>
      </c>
      <c r="D52" s="51"/>
    </row>
    <row r="53" spans="1:4" ht="13.25" customHeight="1">
      <c r="A53" s="587"/>
      <c r="B53" s="1063" t="s">
        <v>1153</v>
      </c>
      <c r="C53" s="1064">
        <f>C52/60/60</f>
        <v>179.71143790849678</v>
      </c>
      <c r="D53" s="51"/>
    </row>
    <row r="54" spans="1:4" ht="13.25" customHeight="1">
      <c r="A54" s="587"/>
      <c r="B54" s="1063" t="s">
        <v>1161</v>
      </c>
      <c r="C54" s="1064">
        <f>C52*(C45+460)/(60+460)</f>
        <v>1157065.1809954753</v>
      </c>
      <c r="D54" s="51"/>
    </row>
    <row r="55" spans="1:4" ht="13.25" customHeight="1">
      <c r="A55" s="587"/>
      <c r="B55" s="1063" t="s">
        <v>1162</v>
      </c>
      <c r="C55" s="1064">
        <f>C54/3600</f>
        <v>321.40699472096537</v>
      </c>
      <c r="D55" s="51"/>
    </row>
    <row r="56" spans="1:4" ht="13.25" customHeight="1">
      <c r="A56" s="587"/>
      <c r="B56" s="1063" t="s">
        <v>1156</v>
      </c>
      <c r="C56" s="1064">
        <f>(C52/60/60)/((PI()*(C46/2)^2))</f>
        <v>32.177209132450677</v>
      </c>
      <c r="D56" s="51"/>
    </row>
    <row r="57" spans="1:4" ht="13.25" customHeight="1" thickBot="1">
      <c r="A57" s="587"/>
      <c r="B57" s="1068" t="s">
        <v>1163</v>
      </c>
      <c r="C57" s="1069">
        <f>(C54/60/60)/((PI()*(C46/2)^2))</f>
        <v>57.547700948421394</v>
      </c>
      <c r="D57" s="51"/>
    </row>
    <row r="58" spans="1:4" ht="14.25" customHeight="1">
      <c r="A58" s="4690"/>
      <c r="B58" s="4691"/>
      <c r="C58" s="4691"/>
      <c r="D58" s="4692"/>
    </row>
    <row r="59" spans="1:4" ht="13" thickBot="1">
      <c r="A59" s="4693"/>
      <c r="B59" s="4694"/>
      <c r="C59" s="4694"/>
      <c r="D59" s="4695"/>
    </row>
    <row r="60" spans="1:4" hidden="1"/>
    <row r="61" spans="1:4" hidden="1">
      <c r="A61" s="584"/>
      <c r="B61" s="585"/>
      <c r="C61" s="585"/>
      <c r="D61" s="586"/>
    </row>
    <row r="62" spans="1:4" ht="13" hidden="1">
      <c r="A62" s="1039"/>
      <c r="B62" s="4696" t="str">
        <f>B2</f>
        <v>XTO ENERGY INC.</v>
      </c>
      <c r="C62" s="4697"/>
      <c r="D62" s="1040"/>
    </row>
    <row r="63" spans="1:4" ht="13" hidden="1">
      <c r="A63" s="1039"/>
      <c r="B63" s="4685" t="str">
        <f>B3</f>
        <v>HUSKY CDP</v>
      </c>
      <c r="C63" s="4686"/>
      <c r="D63" s="1040"/>
    </row>
    <row r="64" spans="1:4" ht="13.5" hidden="1" thickBot="1">
      <c r="A64" s="1039"/>
      <c r="B64" s="4687" t="s">
        <v>1158</v>
      </c>
      <c r="C64" s="4688"/>
      <c r="D64" s="1040"/>
    </row>
    <row r="65" spans="1:4" ht="13.5" hidden="1" thickBot="1">
      <c r="A65" s="1041"/>
      <c r="B65" s="1026"/>
      <c r="C65" s="1026"/>
      <c r="D65" s="1042"/>
    </row>
    <row r="66" spans="1:4" hidden="1"/>
    <row r="67" spans="1:4" hidden="1"/>
    <row r="68" spans="1:4" ht="13.5" hidden="1" thickBot="1">
      <c r="A68" s="1043"/>
      <c r="B68" s="4689" t="s">
        <v>1140</v>
      </c>
      <c r="C68" s="4689"/>
      <c r="D68" s="1044"/>
    </row>
    <row r="69" spans="1:4" ht="13" hidden="1">
      <c r="A69" s="584"/>
      <c r="B69" s="641"/>
      <c r="C69" s="641"/>
      <c r="D69" s="642"/>
    </row>
    <row r="70" spans="1:4" ht="13.5" hidden="1" thickBot="1">
      <c r="A70" s="587"/>
      <c r="B70" s="1045" t="s">
        <v>1141</v>
      </c>
      <c r="C70" s="1046" t="s">
        <v>1159</v>
      </c>
      <c r="D70" s="51"/>
    </row>
    <row r="71" spans="1:4" ht="13" hidden="1">
      <c r="A71" s="587"/>
      <c r="B71" s="1047" t="s">
        <v>1142</v>
      </c>
      <c r="C71" s="1056">
        <v>250000</v>
      </c>
      <c r="D71" s="51"/>
    </row>
    <row r="72" spans="1:4" ht="13" hidden="1">
      <c r="A72" s="587"/>
      <c r="B72" s="1048" t="s">
        <v>461</v>
      </c>
      <c r="C72" s="1054">
        <v>1393.8</v>
      </c>
      <c r="D72" s="51"/>
    </row>
    <row r="73" spans="1:4" ht="15" hidden="1">
      <c r="A73" s="1049"/>
      <c r="B73" s="1048" t="s">
        <v>1143</v>
      </c>
      <c r="C73" s="1050" t="s">
        <v>1144</v>
      </c>
      <c r="D73" s="1051"/>
    </row>
    <row r="74" spans="1:4" ht="13" hidden="1">
      <c r="A74" s="587"/>
      <c r="B74" s="1048" t="s">
        <v>1145</v>
      </c>
      <c r="C74" s="1052">
        <v>750</v>
      </c>
      <c r="D74" s="1053"/>
    </row>
    <row r="75" spans="1:4" ht="13" hidden="1">
      <c r="A75" s="587"/>
      <c r="B75" s="1048" t="s">
        <v>1146</v>
      </c>
      <c r="C75" s="1052">
        <v>1</v>
      </c>
      <c r="D75" s="1053"/>
    </row>
    <row r="76" spans="1:4" ht="13" hidden="1">
      <c r="A76" s="587"/>
      <c r="B76" s="1048" t="s">
        <v>1147</v>
      </c>
      <c r="C76" s="1052">
        <v>20</v>
      </c>
      <c r="D76" s="1053"/>
    </row>
    <row r="77" spans="1:4" ht="13" hidden="1">
      <c r="A77" s="587"/>
      <c r="B77" s="1048" t="s">
        <v>1148</v>
      </c>
      <c r="C77" s="1054">
        <f>C71/C72</f>
        <v>179.36576266322285</v>
      </c>
      <c r="D77" s="51"/>
    </row>
    <row r="78" spans="1:4" ht="13" hidden="1">
      <c r="A78" s="587"/>
      <c r="B78" s="1048" t="s">
        <v>1149</v>
      </c>
      <c r="C78" s="1054">
        <f>C77*24</f>
        <v>4304.7783039173482</v>
      </c>
      <c r="D78" s="51"/>
    </row>
    <row r="79" spans="1:4" ht="13" hidden="1">
      <c r="A79" s="587"/>
      <c r="B79" s="1048" t="s">
        <v>1150</v>
      </c>
      <c r="C79" s="1057">
        <f>C78*365/10^6</f>
        <v>1.571244080929832</v>
      </c>
      <c r="D79" s="51"/>
    </row>
    <row r="80" spans="1:4" ht="13" hidden="1">
      <c r="A80" s="587"/>
      <c r="B80" s="1048" t="s">
        <v>1151</v>
      </c>
      <c r="C80" s="1057">
        <f>C77*10</f>
        <v>1793.6576266322286</v>
      </c>
      <c r="D80" s="51"/>
    </row>
    <row r="81" spans="1:4" ht="13" hidden="1">
      <c r="A81" s="587"/>
      <c r="B81" s="1048" t="s">
        <v>1152</v>
      </c>
      <c r="C81" s="1057">
        <f>C77+C80</f>
        <v>1973.0233892954514</v>
      </c>
      <c r="D81" s="51"/>
    </row>
    <row r="82" spans="1:4" ht="13" hidden="1">
      <c r="A82" s="587"/>
      <c r="B82" s="1048" t="s">
        <v>1153</v>
      </c>
      <c r="C82" s="1057">
        <f>C81/60/60</f>
        <v>0.54806205258206986</v>
      </c>
      <c r="D82" s="51"/>
    </row>
    <row r="83" spans="1:4" ht="13" hidden="1">
      <c r="A83" s="587"/>
      <c r="B83" s="1048" t="s">
        <v>1154</v>
      </c>
      <c r="C83" s="1057">
        <f>C81*(C74+460)/(60+460)</f>
        <v>4591.0736558605695</v>
      </c>
      <c r="D83" s="51"/>
    </row>
    <row r="84" spans="1:4" ht="13" hidden="1">
      <c r="A84" s="587"/>
      <c r="B84" s="1048" t="s">
        <v>1155</v>
      </c>
      <c r="C84" s="1057">
        <f>C83/3600</f>
        <v>1.2752982377390472</v>
      </c>
      <c r="D84" s="51"/>
    </row>
    <row r="85" spans="1:4" ht="13" hidden="1">
      <c r="A85" s="587"/>
      <c r="B85" s="1048" t="s">
        <v>1156</v>
      </c>
      <c r="C85" s="1057">
        <f>(C81/60/60)/((PI()*(C75/2)^2))</f>
        <v>0.69781427831621345</v>
      </c>
      <c r="D85" s="51"/>
    </row>
    <row r="86" spans="1:4" ht="13.5" hidden="1" thickBot="1">
      <c r="A86" s="587"/>
      <c r="B86" s="1055" t="s">
        <v>1157</v>
      </c>
      <c r="C86" s="1058">
        <f>(C83/60/60)/((PI()*(C75/2)^2))</f>
        <v>1.6237601476204198</v>
      </c>
      <c r="D86" s="51"/>
    </row>
    <row r="87" spans="1:4" hidden="1">
      <c r="A87" s="4690" t="s">
        <v>1160</v>
      </c>
      <c r="B87" s="4691"/>
      <c r="C87" s="4691"/>
      <c r="D87" s="4692"/>
    </row>
    <row r="88" spans="1:4" ht="13" hidden="1" thickBot="1">
      <c r="A88" s="4693"/>
      <c r="B88" s="4694"/>
      <c r="C88" s="4694"/>
      <c r="D88" s="4695"/>
    </row>
  </sheetData>
  <mergeCells count="10">
    <mergeCell ref="B63:C63"/>
    <mergeCell ref="B64:C64"/>
    <mergeCell ref="B68:C68"/>
    <mergeCell ref="A87:D88"/>
    <mergeCell ref="B2:C2"/>
    <mergeCell ref="B3:C3"/>
    <mergeCell ref="B4:C4"/>
    <mergeCell ref="B8:C8"/>
    <mergeCell ref="A58:D59"/>
    <mergeCell ref="B62:C62"/>
  </mergeCells>
  <printOptions horizontalCentered="1"/>
  <pageMargins left="0.25" right="0.25" top="0.75" bottom="0.75" header="0.3" footer="0.3"/>
  <pageSetup scale="83" orientation="portrait" r:id="rId1"/>
  <headerFooter alignWithMargins="0">
    <oddFooter>&amp;CCalculations: Page &amp;P</oddFooter>
  </headerFooter>
  <rowBreaks count="1" manualBreakCount="1">
    <brk id="6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1">
    <tabColor theme="3" tint="-0.249977111117893"/>
    <pageSetUpPr fitToPage="1"/>
  </sheetPr>
  <dimension ref="A1:J47"/>
  <sheetViews>
    <sheetView view="pageBreakPreview" zoomScale="70" zoomScaleNormal="85" zoomScaleSheetLayoutView="70" workbookViewId="0">
      <selection activeCell="E19" sqref="E19:R19"/>
    </sheetView>
  </sheetViews>
  <sheetFormatPr defaultColWidth="9.36328125" defaultRowHeight="13"/>
  <cols>
    <col min="1" max="1" width="3.54296875" style="520" customWidth="1"/>
    <col min="2" max="2" width="31.36328125" style="522" customWidth="1"/>
    <col min="3" max="3" width="11.6328125" style="544" customWidth="1"/>
    <col min="4" max="4" width="12.453125" style="522" customWidth="1"/>
    <col min="5" max="5" width="9.6328125" style="522" customWidth="1"/>
    <col min="6" max="6" width="11.6328125" style="522" customWidth="1"/>
    <col min="7" max="7" width="11.453125" style="522" customWidth="1"/>
    <col min="8" max="8" width="12.6328125" style="522" customWidth="1"/>
    <col min="9" max="9" width="20.453125" style="522" customWidth="1"/>
    <col min="10" max="10" width="3.54296875" style="522" customWidth="1"/>
    <col min="11" max="16384" width="9.36328125" style="522"/>
  </cols>
  <sheetData>
    <row r="1" spans="1:10" s="520" customFormat="1" ht="13.5" thickBot="1">
      <c r="A1" s="517"/>
      <c r="B1" s="518"/>
      <c r="C1" s="518"/>
      <c r="D1" s="518"/>
      <c r="E1" s="518"/>
      <c r="F1" s="518"/>
      <c r="G1" s="518"/>
      <c r="H1" s="518"/>
      <c r="I1" s="518"/>
      <c r="J1" s="519"/>
    </row>
    <row r="2" spans="1:10" ht="21" customHeight="1">
      <c r="A2" s="521"/>
      <c r="B2" s="4542" t="str">
        <f>'Summary-Co'!B3</f>
        <v>XTO ENERGY INC.</v>
      </c>
      <c r="C2" s="4543"/>
      <c r="D2" s="4543"/>
      <c r="E2" s="4543"/>
      <c r="F2" s="4543"/>
      <c r="G2" s="4543"/>
      <c r="H2" s="4543"/>
      <c r="I2" s="4544"/>
      <c r="J2" s="51"/>
    </row>
    <row r="3" spans="1:10" ht="21" customHeight="1">
      <c r="A3" s="521"/>
      <c r="B3" s="4545" t="str">
        <f>'Summary-Co'!B4</f>
        <v>HUSKY CDP</v>
      </c>
      <c r="C3" s="4546"/>
      <c r="D3" s="4546"/>
      <c r="E3" s="4546"/>
      <c r="F3" s="4546"/>
      <c r="G3" s="4546"/>
      <c r="H3" s="4546"/>
      <c r="I3" s="4547"/>
      <c r="J3" s="51"/>
    </row>
    <row r="4" spans="1:10" ht="21" customHeight="1" thickBot="1">
      <c r="A4" s="521"/>
      <c r="B4" s="4548" t="s">
        <v>2012</v>
      </c>
      <c r="C4" s="4549"/>
      <c r="D4" s="4549"/>
      <c r="E4" s="4549"/>
      <c r="F4" s="4549"/>
      <c r="G4" s="4549"/>
      <c r="H4" s="4549"/>
      <c r="I4" s="4550"/>
      <c r="J4" s="51"/>
    </row>
    <row r="5" spans="1:10" ht="12" customHeight="1" thickBot="1">
      <c r="A5" s="521"/>
      <c r="B5" s="523"/>
      <c r="C5" s="523"/>
      <c r="D5" s="523"/>
      <c r="E5" s="523"/>
      <c r="F5" s="523"/>
      <c r="G5" s="523"/>
      <c r="H5" s="523"/>
      <c r="I5" s="523"/>
      <c r="J5" s="51"/>
    </row>
    <row r="6" spans="1:10" ht="18.5">
      <c r="A6" s="524"/>
      <c r="B6" s="1916"/>
      <c r="C6" s="526"/>
      <c r="D6" s="527"/>
      <c r="E6" s="527"/>
      <c r="F6" s="527"/>
      <c r="G6" s="527"/>
      <c r="H6" s="527"/>
      <c r="I6" s="528"/>
      <c r="J6" s="51"/>
    </row>
    <row r="7" spans="1:10" ht="18.5">
      <c r="A7" s="524"/>
      <c r="B7" s="1916" t="s">
        <v>562</v>
      </c>
      <c r="C7" s="2899" t="s">
        <v>1841</v>
      </c>
      <c r="D7" s="2875"/>
      <c r="E7" s="2875"/>
      <c r="F7" s="2875"/>
      <c r="G7" s="2875"/>
      <c r="H7" s="2875"/>
      <c r="I7" s="2876"/>
      <c r="J7" s="51"/>
    </row>
    <row r="8" spans="1:10" ht="18.5">
      <c r="A8" s="521"/>
      <c r="B8" s="1916" t="s">
        <v>563</v>
      </c>
      <c r="C8" s="2877" t="str">
        <f>'Summary-NoCo'!B13</f>
        <v>Stabilization Hot Oil Heater
(64.83 MMBtu/hr)</v>
      </c>
      <c r="D8" s="2875"/>
      <c r="E8" s="2875"/>
      <c r="F8" s="2875"/>
      <c r="G8" s="2875"/>
      <c r="H8" s="2875"/>
      <c r="I8" s="2876"/>
      <c r="J8" s="51"/>
    </row>
    <row r="9" spans="1:10" ht="18.5">
      <c r="A9" s="521"/>
      <c r="B9" s="1916"/>
      <c r="C9" s="2877"/>
      <c r="D9" s="2875"/>
      <c r="E9" s="2875"/>
      <c r="F9" s="2875"/>
      <c r="G9" s="2875"/>
      <c r="H9" s="2875"/>
      <c r="I9" s="2876"/>
      <c r="J9" s="51"/>
    </row>
    <row r="10" spans="1:10" ht="18.5">
      <c r="A10" s="521"/>
      <c r="B10" s="1916"/>
      <c r="C10" s="2878"/>
      <c r="D10" s="2875"/>
      <c r="E10" s="2875"/>
      <c r="F10" s="2875"/>
      <c r="G10" s="2875"/>
      <c r="H10" s="2875"/>
      <c r="I10" s="2876"/>
      <c r="J10" s="51"/>
    </row>
    <row r="11" spans="1:10" ht="18.5">
      <c r="A11" s="521"/>
      <c r="B11" s="1916" t="s">
        <v>564</v>
      </c>
      <c r="C11" s="2878"/>
      <c r="D11" s="2875"/>
      <c r="E11" s="2875"/>
      <c r="F11" s="2875"/>
      <c r="G11" s="2875"/>
      <c r="H11" s="2875"/>
      <c r="I11" s="2876"/>
      <c r="J11" s="51"/>
    </row>
    <row r="12" spans="1:10" ht="18.5">
      <c r="A12" s="521"/>
      <c r="B12" s="1916" t="s">
        <v>565</v>
      </c>
      <c r="C12" s="2879">
        <f>Burners!G31</f>
        <v>64.83</v>
      </c>
      <c r="D12" s="2875" t="s">
        <v>566</v>
      </c>
      <c r="E12" s="2875"/>
      <c r="F12" s="2875" t="s">
        <v>214</v>
      </c>
      <c r="G12" s="2875"/>
      <c r="H12" s="2875"/>
      <c r="I12" s="2876"/>
      <c r="J12" s="51"/>
    </row>
    <row r="13" spans="1:10" ht="18.5">
      <c r="A13" s="521"/>
      <c r="B13" s="1916" t="s">
        <v>567</v>
      </c>
      <c r="C13" s="2880">
        <f>Burners!D31</f>
        <v>850</v>
      </c>
      <c r="D13" s="2875" t="s">
        <v>568</v>
      </c>
      <c r="E13" s="2875"/>
      <c r="F13" s="2875" t="s">
        <v>195</v>
      </c>
      <c r="G13" s="2875"/>
      <c r="H13" s="2875"/>
      <c r="I13" s="2876"/>
      <c r="J13" s="51"/>
    </row>
    <row r="14" spans="1:10" ht="18.5">
      <c r="A14" s="521"/>
      <c r="B14" s="1916" t="s">
        <v>569</v>
      </c>
      <c r="C14" s="2882">
        <f>C12*1000000/C13</f>
        <v>76270.588235294112</v>
      </c>
      <c r="D14" s="2875" t="s">
        <v>570</v>
      </c>
      <c r="E14" s="2875"/>
      <c r="F14" s="2875" t="s">
        <v>571</v>
      </c>
      <c r="G14" s="2875"/>
      <c r="H14" s="2875"/>
      <c r="I14" s="2876"/>
      <c r="J14" s="51"/>
    </row>
    <row r="15" spans="1:10" ht="18.5">
      <c r="A15" s="521"/>
      <c r="B15" s="1916" t="s">
        <v>572</v>
      </c>
      <c r="C15" s="2882">
        <f>C14*8760/10^6</f>
        <v>668.1303529411764</v>
      </c>
      <c r="D15" s="2875" t="s">
        <v>573</v>
      </c>
      <c r="E15" s="2875"/>
      <c r="F15" s="2875" t="s">
        <v>574</v>
      </c>
      <c r="G15" s="2875"/>
      <c r="H15" s="2875"/>
      <c r="I15" s="2876"/>
      <c r="J15" s="51"/>
    </row>
    <row r="16" spans="1:10" ht="18.5">
      <c r="A16" s="521"/>
      <c r="B16" s="1916" t="s">
        <v>1892</v>
      </c>
      <c r="C16" s="2880">
        <v>8760</v>
      </c>
      <c r="D16" s="2875" t="s">
        <v>1893</v>
      </c>
      <c r="E16" s="2664"/>
      <c r="F16" s="2664"/>
      <c r="G16" s="2875"/>
      <c r="H16" s="2875"/>
      <c r="I16" s="2876"/>
      <c r="J16" s="51"/>
    </row>
    <row r="17" spans="1:10" ht="18.5">
      <c r="A17" s="521"/>
      <c r="B17" s="1916"/>
      <c r="C17" s="2878"/>
      <c r="D17" s="2875"/>
      <c r="E17" s="2875"/>
      <c r="F17" s="2875"/>
      <c r="G17" s="2875"/>
      <c r="H17" s="2875"/>
      <c r="I17" s="2876"/>
      <c r="J17" s="51"/>
    </row>
    <row r="18" spans="1:10" ht="18.5">
      <c r="A18" s="521"/>
      <c r="B18" s="1916" t="s">
        <v>575</v>
      </c>
      <c r="C18" s="2878"/>
      <c r="D18" s="2875"/>
      <c r="E18" s="2875"/>
      <c r="F18" s="2875"/>
      <c r="G18" s="2875"/>
      <c r="H18" s="2875"/>
      <c r="I18" s="2876"/>
      <c r="J18" s="51"/>
    </row>
    <row r="19" spans="1:10" ht="18.5">
      <c r="A19" s="521"/>
      <c r="B19" s="1916" t="s">
        <v>576</v>
      </c>
      <c r="C19" s="2878">
        <f>C12*1000</f>
        <v>64830</v>
      </c>
      <c r="D19" s="2875" t="s">
        <v>577</v>
      </c>
      <c r="E19" s="2875"/>
      <c r="F19" s="2875"/>
      <c r="G19" s="2875"/>
      <c r="H19" s="2875"/>
      <c r="I19" s="2876"/>
      <c r="J19" s="51"/>
    </row>
    <row r="20" spans="1:10" ht="18.5">
      <c r="A20" s="521"/>
      <c r="B20" s="1916" t="s">
        <v>578</v>
      </c>
      <c r="C20" s="2878">
        <v>488</v>
      </c>
      <c r="D20" s="2875" t="s">
        <v>299</v>
      </c>
      <c r="E20" s="2875" t="s">
        <v>288</v>
      </c>
      <c r="F20" s="2875"/>
      <c r="G20" s="2875"/>
      <c r="H20" s="2875"/>
      <c r="I20" s="2876"/>
      <c r="J20" s="51"/>
    </row>
    <row r="21" spans="1:10" ht="18.5">
      <c r="A21" s="521"/>
      <c r="B21" s="1916" t="s">
        <v>579</v>
      </c>
      <c r="C21" s="2879">
        <v>4</v>
      </c>
      <c r="D21" s="2875" t="s">
        <v>289</v>
      </c>
      <c r="E21" s="2875" t="s">
        <v>288</v>
      </c>
      <c r="F21" s="2875"/>
      <c r="G21" s="2875"/>
      <c r="H21" s="2875"/>
      <c r="I21" s="2876"/>
      <c r="J21" s="51"/>
    </row>
    <row r="22" spans="1:10" ht="18.5">
      <c r="A22" s="521"/>
      <c r="B22" s="1916" t="s">
        <v>580</v>
      </c>
      <c r="C22" s="2878">
        <v>32.6</v>
      </c>
      <c r="D22" s="2875" t="s">
        <v>289</v>
      </c>
      <c r="E22" s="2875" t="s">
        <v>288</v>
      </c>
      <c r="F22" s="2875"/>
      <c r="G22" s="2875"/>
      <c r="H22" s="2875"/>
      <c r="I22" s="2876"/>
      <c r="J22" s="51"/>
    </row>
    <row r="23" spans="1:10" ht="18.5">
      <c r="A23" s="521"/>
      <c r="B23" s="1916" t="s">
        <v>581</v>
      </c>
      <c r="C23" s="2879">
        <v>35.1</v>
      </c>
      <c r="D23" s="2875" t="s">
        <v>582</v>
      </c>
      <c r="E23" s="2875" t="s">
        <v>288</v>
      </c>
      <c r="F23" s="2875"/>
      <c r="G23" s="2875"/>
      <c r="H23" s="2875"/>
      <c r="I23" s="2876"/>
      <c r="J23" s="51"/>
    </row>
    <row r="24" spans="1:10" ht="18.5">
      <c r="A24" s="521"/>
      <c r="B24" s="1916"/>
      <c r="C24" s="2879"/>
      <c r="D24" s="2875"/>
      <c r="E24" s="2875"/>
      <c r="F24" s="2875"/>
      <c r="G24" s="2875"/>
      <c r="H24" s="2875"/>
      <c r="I24" s="2876"/>
      <c r="J24" s="51"/>
    </row>
    <row r="25" spans="1:10" ht="18.5">
      <c r="A25" s="521"/>
      <c r="B25" s="1916"/>
      <c r="C25" s="2878"/>
      <c r="D25" s="2875"/>
      <c r="E25" s="2875"/>
      <c r="F25" s="2875"/>
      <c r="G25" s="2875"/>
      <c r="H25" s="2875"/>
      <c r="I25" s="2876"/>
      <c r="J25" s="51"/>
    </row>
    <row r="26" spans="1:10" ht="18.5">
      <c r="A26" s="521"/>
      <c r="B26" s="1916" t="s">
        <v>583</v>
      </c>
      <c r="C26" s="2878"/>
      <c r="D26" s="2875"/>
      <c r="E26" s="2875"/>
      <c r="F26" s="2875"/>
      <c r="G26" s="2875"/>
      <c r="H26" s="2875"/>
      <c r="I26" s="2876"/>
      <c r="J26" s="51"/>
    </row>
    <row r="27" spans="1:10" ht="18.5">
      <c r="A27" s="521"/>
      <c r="B27" s="1916" t="s">
        <v>584</v>
      </c>
      <c r="C27" s="2878"/>
      <c r="D27" s="2875"/>
      <c r="E27" s="2875"/>
      <c r="F27" s="2875"/>
      <c r="G27" s="2875"/>
      <c r="H27" s="2875"/>
      <c r="I27" s="2876"/>
      <c r="J27" s="51"/>
    </row>
    <row r="28" spans="1:10" ht="22" hidden="1">
      <c r="A28" s="521"/>
      <c r="B28" s="1916"/>
      <c r="C28" s="2888" t="s">
        <v>1894</v>
      </c>
      <c r="D28" s="2888" t="s">
        <v>1895</v>
      </c>
      <c r="E28" s="2888" t="s">
        <v>1896</v>
      </c>
      <c r="F28" s="2888" t="s">
        <v>1897</v>
      </c>
      <c r="G28" s="2888" t="s">
        <v>1898</v>
      </c>
      <c r="H28" s="2889"/>
      <c r="I28" s="2890"/>
      <c r="J28" s="51"/>
    </row>
    <row r="29" spans="1:10" ht="18.5" hidden="1">
      <c r="A29" s="521"/>
      <c r="B29" s="1916"/>
      <c r="C29" s="2879">
        <f>100*C13/1020</f>
        <v>83.333333333333329</v>
      </c>
      <c r="D29" s="2879">
        <f>84*C13/1020</f>
        <v>70</v>
      </c>
      <c r="E29" s="2879">
        <f>5.5*C13/1020</f>
        <v>4.583333333333333</v>
      </c>
      <c r="F29" s="2879">
        <f>5/100/7000*64/32*1000000</f>
        <v>14.285714285714286</v>
      </c>
      <c r="G29" s="2879">
        <f>7.6*C13/1020</f>
        <v>6.333333333333333</v>
      </c>
      <c r="H29" s="2875" t="s">
        <v>585</v>
      </c>
      <c r="I29" s="2876"/>
      <c r="J29" s="51"/>
    </row>
    <row r="30" spans="1:10" ht="18.5" hidden="1">
      <c r="A30" s="521"/>
      <c r="B30" s="1916"/>
      <c r="C30" s="2879">
        <f>C29*$C$14/1000000</f>
        <v>6.3558823529411761</v>
      </c>
      <c r="D30" s="2879">
        <f>D29*$C$14/1000000</f>
        <v>5.3389411764705876</v>
      </c>
      <c r="E30" s="2879">
        <f>E29*$C$14/1000000</f>
        <v>0.34957352941176462</v>
      </c>
      <c r="F30" s="2879">
        <f>F29*$C$14/1000000</f>
        <v>1.0895798319327732</v>
      </c>
      <c r="G30" s="2879">
        <f>G29*$C$14/1000000</f>
        <v>0.48304705882352933</v>
      </c>
      <c r="H30" s="2875" t="s">
        <v>22</v>
      </c>
      <c r="I30" s="2876"/>
      <c r="J30" s="51"/>
    </row>
    <row r="31" spans="1:10" ht="18.5" hidden="1">
      <c r="A31" s="521"/>
      <c r="B31" s="1916"/>
      <c r="C31" s="2879">
        <f>4.38*C30</f>
        <v>27.838764705882351</v>
      </c>
      <c r="D31" s="2879">
        <f>4.38*D30</f>
        <v>23.384562352941174</v>
      </c>
      <c r="E31" s="2879">
        <f>4.38*E30</f>
        <v>1.5311320588235289</v>
      </c>
      <c r="F31" s="2879">
        <f>4.38*F30</f>
        <v>4.7723596638655463</v>
      </c>
      <c r="G31" s="2879">
        <f>4.38*G30</f>
        <v>2.1157461176470584</v>
      </c>
      <c r="H31" s="2891" t="s">
        <v>586</v>
      </c>
      <c r="I31" s="2876"/>
      <c r="J31" s="51"/>
    </row>
    <row r="32" spans="1:10" ht="18.5" hidden="1">
      <c r="A32" s="521"/>
      <c r="B32" s="1916"/>
      <c r="C32" s="2878"/>
      <c r="D32" s="2875"/>
      <c r="E32" s="2875"/>
      <c r="F32" s="2875"/>
      <c r="G32" s="2875"/>
      <c r="H32" s="2875"/>
      <c r="I32" s="2876"/>
      <c r="J32" s="51"/>
    </row>
    <row r="33" spans="1:10" ht="21" hidden="1">
      <c r="A33" s="521"/>
      <c r="B33" s="1916"/>
      <c r="C33" s="2888" t="s">
        <v>1899</v>
      </c>
      <c r="D33" s="2889"/>
      <c r="E33" s="2875"/>
      <c r="F33" s="2875"/>
      <c r="G33" s="2875"/>
      <c r="H33" s="2875"/>
      <c r="I33" s="2876"/>
      <c r="J33" s="51"/>
    </row>
    <row r="34" spans="1:10" ht="18.5" hidden="1">
      <c r="A34" s="521"/>
      <c r="B34" s="1916"/>
      <c r="C34" s="2879">
        <f>1.8*C13/1020</f>
        <v>1.5</v>
      </c>
      <c r="D34" s="2875" t="s">
        <v>587</v>
      </c>
      <c r="E34" s="2875"/>
      <c r="F34" s="2875"/>
      <c r="G34" s="2875"/>
      <c r="H34" s="2875"/>
      <c r="I34" s="2876"/>
      <c r="J34" s="51"/>
    </row>
    <row r="35" spans="1:10" ht="18.5" hidden="1">
      <c r="A35" s="521"/>
      <c r="B35" s="1916"/>
      <c r="C35" s="2879">
        <f>C34*C14/1000000</f>
        <v>0.11440588235294118</v>
      </c>
      <c r="D35" s="2875" t="s">
        <v>22</v>
      </c>
      <c r="E35" s="2875"/>
      <c r="F35" s="2875"/>
      <c r="G35" s="2875"/>
      <c r="H35" s="2875"/>
      <c r="I35" s="2876"/>
      <c r="J35" s="51"/>
    </row>
    <row r="36" spans="1:10" ht="18.5" hidden="1">
      <c r="A36" s="521"/>
      <c r="B36" s="1916"/>
      <c r="C36" s="2879">
        <f>C35*4.38</f>
        <v>0.5010977647058823</v>
      </c>
      <c r="D36" s="2891" t="s">
        <v>586</v>
      </c>
      <c r="E36" s="2875"/>
      <c r="F36" s="2875"/>
      <c r="G36" s="2875"/>
      <c r="H36" s="2875"/>
      <c r="I36" s="2876"/>
      <c r="J36" s="51"/>
    </row>
    <row r="37" spans="1:10" ht="18.5" hidden="1">
      <c r="A37" s="521"/>
      <c r="B37" s="1916"/>
      <c r="C37" s="2879"/>
      <c r="D37" s="2891"/>
      <c r="E37" s="2875"/>
      <c r="F37" s="2875"/>
      <c r="G37" s="2875"/>
      <c r="H37" s="2875"/>
      <c r="I37" s="2876"/>
      <c r="J37" s="51"/>
    </row>
    <row r="38" spans="1:10" ht="18.5" hidden="1">
      <c r="A38" s="521"/>
      <c r="B38" s="1916"/>
      <c r="C38" s="2879"/>
      <c r="D38" s="2891"/>
      <c r="E38" s="2875"/>
      <c r="F38" s="2875"/>
      <c r="G38" s="2875"/>
      <c r="H38" s="2875"/>
      <c r="I38" s="2876"/>
      <c r="J38" s="51"/>
    </row>
    <row r="39" spans="1:10" ht="20.5">
      <c r="A39" s="521"/>
      <c r="B39" s="1916"/>
      <c r="C39" s="2878"/>
      <c r="D39" s="2892"/>
      <c r="E39" s="2892" t="s">
        <v>1900</v>
      </c>
      <c r="F39" s="2892"/>
      <c r="G39" s="2892" t="s">
        <v>1901</v>
      </c>
      <c r="H39" s="2892" t="s">
        <v>19</v>
      </c>
      <c r="I39" s="2876"/>
      <c r="J39" s="51"/>
    </row>
    <row r="40" spans="1:10" ht="20.5">
      <c r="A40" s="521"/>
      <c r="B40" s="1916" t="s">
        <v>588</v>
      </c>
      <c r="C40" s="2888" t="s">
        <v>1902</v>
      </c>
      <c r="D40" s="2893" t="s">
        <v>300</v>
      </c>
      <c r="E40" s="2893" t="s">
        <v>1903</v>
      </c>
      <c r="F40" s="2894" t="s">
        <v>1904</v>
      </c>
      <c r="G40" s="2893" t="s">
        <v>1903</v>
      </c>
      <c r="H40" s="2893" t="s">
        <v>1903</v>
      </c>
      <c r="I40" s="2890"/>
      <c r="J40" s="51"/>
    </row>
    <row r="41" spans="1:10" ht="18.5">
      <c r="A41" s="521"/>
      <c r="B41" s="1916"/>
      <c r="C41" s="2879">
        <f>53.06*2.205</f>
        <v>116.99730000000001</v>
      </c>
      <c r="D41" s="2895">
        <f>0.001*2.205</f>
        <v>2.2049999999999999E-3</v>
      </c>
      <c r="E41" s="2895">
        <f>0.001*2.205*25</f>
        <v>5.5125E-2</v>
      </c>
      <c r="F41" s="2896">
        <f>0.0001*2.205</f>
        <v>2.2050000000000002E-4</v>
      </c>
      <c r="G41" s="2895">
        <f>0.0001*2.205*298</f>
        <v>6.5709000000000004E-2</v>
      </c>
      <c r="H41" s="2895"/>
      <c r="I41" s="2876" t="s">
        <v>589</v>
      </c>
      <c r="J41" s="51"/>
    </row>
    <row r="42" spans="1:10" ht="18.5">
      <c r="A42" s="521"/>
      <c r="B42" s="1916"/>
      <c r="C42" s="2879">
        <f>C41*$C$12</f>
        <v>7584.9349590000002</v>
      </c>
      <c r="D42" s="2895">
        <f>D41*$C$12</f>
        <v>0.14295015</v>
      </c>
      <c r="E42" s="2879">
        <f>E41*$C$12</f>
        <v>3.5737537499999998</v>
      </c>
      <c r="F42" s="2895">
        <f>F41*$C$12</f>
        <v>1.4295015000000001E-2</v>
      </c>
      <c r="G42" s="2879">
        <f>G41*$C$12</f>
        <v>4.25991447</v>
      </c>
      <c r="H42" s="2879">
        <f>C42+E42+G42</f>
        <v>7592.7686272199999</v>
      </c>
      <c r="I42" s="2876" t="s">
        <v>22</v>
      </c>
      <c r="J42" s="51"/>
    </row>
    <row r="43" spans="1:10" ht="18.5">
      <c r="A43" s="521"/>
      <c r="B43" s="1916"/>
      <c r="C43" s="2879">
        <f>C42*$C$16/2000</f>
        <v>33222.015120420001</v>
      </c>
      <c r="D43" s="2879">
        <f>D42*$C$16/2000</f>
        <v>0.626121657</v>
      </c>
      <c r="E43" s="2879">
        <f>E42*$C$16/2000</f>
        <v>15.653041425</v>
      </c>
      <c r="F43" s="2879">
        <f>F42*$C$16/2000</f>
        <v>6.26121657E-2</v>
      </c>
      <c r="G43" s="2879">
        <f>G42*$C$16/2000</f>
        <v>18.6584253786</v>
      </c>
      <c r="H43" s="2879">
        <f>C43+E43+G43</f>
        <v>33256.326587223601</v>
      </c>
      <c r="I43" s="2898" t="s">
        <v>586</v>
      </c>
      <c r="J43" s="51"/>
    </row>
    <row r="44" spans="1:10">
      <c r="A44" s="521"/>
      <c r="B44" s="529"/>
      <c r="C44" s="526"/>
      <c r="D44" s="527"/>
      <c r="E44" s="527"/>
      <c r="F44" s="527"/>
      <c r="G44" s="527"/>
      <c r="H44" s="527"/>
      <c r="I44" s="528"/>
      <c r="J44" s="51"/>
    </row>
    <row r="45" spans="1:10" s="520" customFormat="1">
      <c r="A45" s="521"/>
      <c r="B45" s="530">
        <v>1</v>
      </c>
      <c r="C45" s="531" t="s">
        <v>590</v>
      </c>
      <c r="D45" s="532"/>
      <c r="E45" s="532"/>
      <c r="F45" s="532"/>
      <c r="G45" s="533"/>
      <c r="H45" s="533"/>
      <c r="I45" s="534"/>
      <c r="J45" s="535"/>
    </row>
    <row r="46" spans="1:10" ht="13.5" thickBot="1">
      <c r="A46" s="521"/>
      <c r="B46" s="536"/>
      <c r="C46" s="537"/>
      <c r="D46" s="538"/>
      <c r="E46" s="538"/>
      <c r="F46" s="538"/>
      <c r="G46" s="538"/>
      <c r="H46" s="538"/>
      <c r="I46" s="539"/>
      <c r="J46" s="51"/>
    </row>
    <row r="47" spans="1:10" ht="13.5" thickBot="1">
      <c r="A47" s="540"/>
      <c r="B47" s="541"/>
      <c r="C47" s="542"/>
      <c r="D47" s="541"/>
      <c r="E47" s="541"/>
      <c r="F47" s="541"/>
      <c r="G47" s="541"/>
      <c r="H47" s="541"/>
      <c r="I47" s="541"/>
      <c r="J47" s="543"/>
    </row>
  </sheetData>
  <mergeCells count="3">
    <mergeCell ref="B2:I2"/>
    <mergeCell ref="B3:I3"/>
    <mergeCell ref="B4:I4"/>
  </mergeCells>
  <pageMargins left="0.7" right="0.7" top="0.75" bottom="0.75" header="0.3" footer="0.3"/>
  <pageSetup scale="72" orientation="portrait" r:id="rId1"/>
  <headerFooter>
    <oddFooter>&amp;CCalculations: 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tabColor theme="3" tint="-0.249977111117893"/>
    <pageSetUpPr fitToPage="1"/>
  </sheetPr>
  <dimension ref="A1:J47"/>
  <sheetViews>
    <sheetView view="pageBreakPreview" zoomScale="60" zoomScaleNormal="85" workbookViewId="0">
      <selection activeCell="E19" sqref="E19:R19"/>
    </sheetView>
  </sheetViews>
  <sheetFormatPr defaultColWidth="9.36328125" defaultRowHeight="13"/>
  <cols>
    <col min="1" max="1" width="3.54296875" style="520" customWidth="1"/>
    <col min="2" max="2" width="31" style="522" customWidth="1"/>
    <col min="3" max="3" width="11.6328125" style="1030" customWidth="1"/>
    <col min="4" max="4" width="12.453125" style="522" customWidth="1"/>
    <col min="5" max="5" width="9.6328125" style="522" customWidth="1"/>
    <col min="6" max="6" width="11.6328125" style="522" customWidth="1"/>
    <col min="7" max="7" width="11.453125" style="522" customWidth="1"/>
    <col min="8" max="8" width="12.6328125" style="522" customWidth="1"/>
    <col min="9" max="9" width="20.453125" style="522" customWidth="1"/>
    <col min="10" max="10" width="3.54296875" style="522" customWidth="1"/>
    <col min="11" max="16384" width="9.36328125" style="522"/>
  </cols>
  <sheetData>
    <row r="1" spans="1:10" s="520" customFormat="1" ht="13.5" thickBot="1">
      <c r="A1" s="517"/>
      <c r="B1" s="518"/>
      <c r="C1" s="518"/>
      <c r="D1" s="518"/>
      <c r="E1" s="518"/>
      <c r="F1" s="518"/>
      <c r="G1" s="518"/>
      <c r="H1" s="518"/>
      <c r="I1" s="518"/>
      <c r="J1" s="519"/>
    </row>
    <row r="2" spans="1:10" ht="21" customHeight="1">
      <c r="A2" s="521"/>
      <c r="B2" s="4542" t="str">
        <f>'Summary-Co'!B3</f>
        <v>XTO ENERGY INC.</v>
      </c>
      <c r="C2" s="4543"/>
      <c r="D2" s="4543"/>
      <c r="E2" s="4543"/>
      <c r="F2" s="4543"/>
      <c r="G2" s="4543"/>
      <c r="H2" s="4543"/>
      <c r="I2" s="4544"/>
      <c r="J2" s="51"/>
    </row>
    <row r="3" spans="1:10" ht="21" customHeight="1">
      <c r="A3" s="521"/>
      <c r="B3" s="4545" t="str">
        <f>'Summary-Co'!B4</f>
        <v>HUSKY CDP</v>
      </c>
      <c r="C3" s="4546"/>
      <c r="D3" s="4546"/>
      <c r="E3" s="4546"/>
      <c r="F3" s="4546"/>
      <c r="G3" s="4546"/>
      <c r="H3" s="4546"/>
      <c r="I3" s="4547"/>
      <c r="J3" s="51"/>
    </row>
    <row r="4" spans="1:10" ht="21" customHeight="1" thickBot="1">
      <c r="A4" s="521"/>
      <c r="B4" s="4548" t="s">
        <v>2013</v>
      </c>
      <c r="C4" s="4549"/>
      <c r="D4" s="4549"/>
      <c r="E4" s="4549"/>
      <c r="F4" s="4549"/>
      <c r="G4" s="4549"/>
      <c r="H4" s="4549"/>
      <c r="I4" s="4550"/>
      <c r="J4" s="51"/>
    </row>
    <row r="5" spans="1:10" ht="12" customHeight="1" thickBot="1">
      <c r="A5" s="521"/>
      <c r="B5" s="1917"/>
      <c r="C5" s="1917"/>
      <c r="D5" s="1917"/>
      <c r="E5" s="1917"/>
      <c r="F5" s="1917"/>
      <c r="G5" s="1917"/>
      <c r="H5" s="1917"/>
      <c r="I5" s="1917"/>
      <c r="J5" s="51"/>
    </row>
    <row r="6" spans="1:10" ht="18.5">
      <c r="A6" s="524"/>
      <c r="B6" s="1916"/>
      <c r="C6" s="2878"/>
      <c r="D6" s="2875"/>
      <c r="E6" s="2875"/>
      <c r="F6" s="2875"/>
      <c r="G6" s="2875"/>
      <c r="H6" s="2875"/>
      <c r="I6" s="2876"/>
      <c r="J6" s="51"/>
    </row>
    <row r="7" spans="1:10" ht="18.5">
      <c r="A7" s="524"/>
      <c r="B7" s="1916" t="s">
        <v>562</v>
      </c>
      <c r="C7" s="2901" t="s">
        <v>1906</v>
      </c>
      <c r="D7" s="2875"/>
      <c r="E7" s="2875"/>
      <c r="F7" s="2875"/>
      <c r="G7" s="2875"/>
      <c r="H7" s="2875"/>
      <c r="I7" s="2876"/>
      <c r="J7" s="51"/>
    </row>
    <row r="8" spans="1:10" ht="18.5">
      <c r="A8" s="521"/>
      <c r="B8" s="1916" t="s">
        <v>563</v>
      </c>
      <c r="C8" s="2877" t="str">
        <f>'Summary-NoCo'!B25</f>
        <v>Cryo Hot Oil Heater
(103.99 MMBtu/hr)</v>
      </c>
      <c r="D8" s="2875"/>
      <c r="E8" s="2875"/>
      <c r="F8" s="2875"/>
      <c r="G8" s="2875"/>
      <c r="H8" s="2875"/>
      <c r="I8" s="2876"/>
      <c r="J8" s="51"/>
    </row>
    <row r="9" spans="1:10" ht="18.5">
      <c r="A9" s="521"/>
      <c r="B9" s="1916"/>
      <c r="C9" s="2877"/>
      <c r="D9" s="2875"/>
      <c r="E9" s="2875"/>
      <c r="F9" s="2875"/>
      <c r="G9" s="2875"/>
      <c r="H9" s="2875"/>
      <c r="I9" s="2876"/>
      <c r="J9" s="51"/>
    </row>
    <row r="10" spans="1:10" ht="18.5">
      <c r="A10" s="521"/>
      <c r="B10" s="1916"/>
      <c r="C10" s="2878"/>
      <c r="D10" s="2875"/>
      <c r="E10" s="2875"/>
      <c r="F10" s="2875"/>
      <c r="G10" s="2875"/>
      <c r="H10" s="2875"/>
      <c r="I10" s="2876"/>
      <c r="J10" s="51"/>
    </row>
    <row r="11" spans="1:10" ht="18.5">
      <c r="A11" s="521"/>
      <c r="B11" s="1916" t="s">
        <v>564</v>
      </c>
      <c r="C11" s="2878"/>
      <c r="D11" s="2875"/>
      <c r="E11" s="2875"/>
      <c r="F11" s="2875"/>
      <c r="G11" s="2875"/>
      <c r="H11" s="2875"/>
      <c r="I11" s="2876"/>
      <c r="J11" s="51"/>
    </row>
    <row r="12" spans="1:10" ht="18.5">
      <c r="A12" s="521"/>
      <c r="B12" s="1916" t="s">
        <v>565</v>
      </c>
      <c r="C12" s="2879">
        <f>'Burners No Cogen'!G25</f>
        <v>103.99</v>
      </c>
      <c r="D12" s="2875" t="s">
        <v>566</v>
      </c>
      <c r="E12" s="2875"/>
      <c r="F12" s="2875" t="s">
        <v>214</v>
      </c>
      <c r="G12" s="2875"/>
      <c r="H12" s="2875"/>
      <c r="I12" s="2876"/>
      <c r="J12" s="51"/>
    </row>
    <row r="13" spans="1:10" ht="18.5">
      <c r="A13" s="521"/>
      <c r="B13" s="1916" t="s">
        <v>567</v>
      </c>
      <c r="C13" s="2880">
        <f>Burners!D31</f>
        <v>850</v>
      </c>
      <c r="D13" s="2875" t="s">
        <v>568</v>
      </c>
      <c r="E13" s="2875"/>
      <c r="F13" s="2875" t="s">
        <v>195</v>
      </c>
      <c r="G13" s="2875"/>
      <c r="H13" s="2875"/>
      <c r="I13" s="2876"/>
      <c r="J13" s="51"/>
    </row>
    <row r="14" spans="1:10" ht="18.5">
      <c r="A14" s="521"/>
      <c r="B14" s="1916" t="s">
        <v>569</v>
      </c>
      <c r="C14" s="2882">
        <f>C12*1000000/C13</f>
        <v>122341.17647058824</v>
      </c>
      <c r="D14" s="2875" t="s">
        <v>570</v>
      </c>
      <c r="E14" s="2875"/>
      <c r="F14" s="2875" t="s">
        <v>571</v>
      </c>
      <c r="G14" s="2875"/>
      <c r="H14" s="2875"/>
      <c r="I14" s="2876"/>
      <c r="J14" s="51"/>
    </row>
    <row r="15" spans="1:10" ht="18.5">
      <c r="A15" s="521"/>
      <c r="B15" s="1916" t="s">
        <v>572</v>
      </c>
      <c r="C15" s="2882">
        <f>C14*8760/10^6</f>
        <v>1071.7087058823529</v>
      </c>
      <c r="D15" s="2875" t="s">
        <v>573</v>
      </c>
      <c r="E15" s="2875"/>
      <c r="F15" s="2875" t="s">
        <v>574</v>
      </c>
      <c r="G15" s="2875"/>
      <c r="H15" s="2875"/>
      <c r="I15" s="2876"/>
      <c r="J15" s="51"/>
    </row>
    <row r="16" spans="1:10" ht="18.5">
      <c r="A16" s="521"/>
      <c r="B16" s="1916" t="s">
        <v>1892</v>
      </c>
      <c r="C16" s="2880">
        <v>8760</v>
      </c>
      <c r="D16" s="2875" t="s">
        <v>1893</v>
      </c>
      <c r="E16" s="2664"/>
      <c r="F16" s="2664"/>
      <c r="G16" s="2875"/>
      <c r="H16" s="2875"/>
      <c r="I16" s="2876"/>
      <c r="J16" s="51"/>
    </row>
    <row r="17" spans="1:10" ht="18.5">
      <c r="A17" s="521"/>
      <c r="B17" s="1916"/>
      <c r="C17" s="2878"/>
      <c r="D17" s="2875"/>
      <c r="E17" s="2875"/>
      <c r="F17" s="2875"/>
      <c r="G17" s="2875"/>
      <c r="H17" s="2875"/>
      <c r="I17" s="2876"/>
      <c r="J17" s="51"/>
    </row>
    <row r="18" spans="1:10" ht="18.5">
      <c r="A18" s="521"/>
      <c r="B18" s="1916" t="s">
        <v>575</v>
      </c>
      <c r="C18" s="2878"/>
      <c r="D18" s="2875"/>
      <c r="E18" s="2875"/>
      <c r="F18" s="2875"/>
      <c r="G18" s="2875"/>
      <c r="H18" s="2875"/>
      <c r="I18" s="2876"/>
      <c r="J18" s="51"/>
    </row>
    <row r="19" spans="1:10" ht="18.5">
      <c r="A19" s="521"/>
      <c r="B19" s="1916" t="s">
        <v>576</v>
      </c>
      <c r="C19" s="2878">
        <f>C12*1000</f>
        <v>103990</v>
      </c>
      <c r="D19" s="2875" t="s">
        <v>577</v>
      </c>
      <c r="E19" s="2875"/>
      <c r="F19" s="2875"/>
      <c r="G19" s="2875"/>
      <c r="H19" s="2875"/>
      <c r="I19" s="2876"/>
      <c r="J19" s="51"/>
    </row>
    <row r="20" spans="1:10" ht="18.5">
      <c r="A20" s="521"/>
      <c r="B20" s="1916" t="s">
        <v>578</v>
      </c>
      <c r="C20" s="2878">
        <v>599</v>
      </c>
      <c r="D20" s="2875" t="s">
        <v>299</v>
      </c>
      <c r="E20" s="2875" t="s">
        <v>288</v>
      </c>
      <c r="F20" s="2875"/>
      <c r="G20" s="2875"/>
      <c r="H20" s="2875"/>
      <c r="I20" s="2876"/>
      <c r="J20" s="51"/>
    </row>
    <row r="21" spans="1:10" ht="18.5">
      <c r="A21" s="521"/>
      <c r="B21" s="1916" t="s">
        <v>579</v>
      </c>
      <c r="C21" s="2879">
        <v>4</v>
      </c>
      <c r="D21" s="2875" t="s">
        <v>289</v>
      </c>
      <c r="E21" s="2875" t="s">
        <v>288</v>
      </c>
      <c r="F21" s="2875"/>
      <c r="G21" s="2875"/>
      <c r="H21" s="2875"/>
      <c r="I21" s="2876"/>
      <c r="J21" s="51"/>
    </row>
    <row r="22" spans="1:10" ht="18.5">
      <c r="A22" s="521"/>
      <c r="B22" s="1916" t="s">
        <v>580</v>
      </c>
      <c r="C22" s="2878">
        <v>34.299999999999997</v>
      </c>
      <c r="D22" s="2875" t="s">
        <v>289</v>
      </c>
      <c r="E22" s="2875" t="s">
        <v>288</v>
      </c>
      <c r="F22" s="2875"/>
      <c r="G22" s="2875"/>
      <c r="H22" s="2875"/>
      <c r="I22" s="2876"/>
      <c r="J22" s="51"/>
    </row>
    <row r="23" spans="1:10" ht="18.5">
      <c r="A23" s="521"/>
      <c r="B23" s="1916" t="s">
        <v>581</v>
      </c>
      <c r="C23" s="2879">
        <v>65.3</v>
      </c>
      <c r="D23" s="2875" t="s">
        <v>582</v>
      </c>
      <c r="E23" s="2875" t="s">
        <v>288</v>
      </c>
      <c r="F23" s="2875"/>
      <c r="G23" s="2875"/>
      <c r="H23" s="2875"/>
      <c r="I23" s="2876"/>
      <c r="J23" s="51"/>
    </row>
    <row r="24" spans="1:10" ht="18.5">
      <c r="A24" s="521"/>
      <c r="B24" s="1916"/>
      <c r="C24" s="2879"/>
      <c r="D24" s="2875"/>
      <c r="E24" s="2875"/>
      <c r="F24" s="2875"/>
      <c r="G24" s="2875"/>
      <c r="H24" s="2875"/>
      <c r="I24" s="2876"/>
      <c r="J24" s="51"/>
    </row>
    <row r="25" spans="1:10" ht="18.5">
      <c r="A25" s="521"/>
      <c r="B25" s="1916"/>
      <c r="C25" s="2878"/>
      <c r="D25" s="2875"/>
      <c r="E25" s="2875"/>
      <c r="F25" s="2875"/>
      <c r="G25" s="2875"/>
      <c r="H25" s="2875"/>
      <c r="I25" s="2876"/>
      <c r="J25" s="51"/>
    </row>
    <row r="26" spans="1:10" ht="18.5">
      <c r="A26" s="521"/>
      <c r="B26" s="1916" t="s">
        <v>583</v>
      </c>
      <c r="C26" s="2878"/>
      <c r="D26" s="2875"/>
      <c r="E26" s="2875"/>
      <c r="F26" s="2875"/>
      <c r="G26" s="2875"/>
      <c r="H26" s="2875"/>
      <c r="I26" s="2876"/>
      <c r="J26" s="51"/>
    </row>
    <row r="27" spans="1:10" ht="18.5">
      <c r="A27" s="521"/>
      <c r="B27" s="1916" t="s">
        <v>584</v>
      </c>
      <c r="C27" s="2878"/>
      <c r="D27" s="2875"/>
      <c r="E27" s="2875"/>
      <c r="F27" s="2875"/>
      <c r="G27" s="2875"/>
      <c r="H27" s="2875"/>
      <c r="I27" s="2876"/>
      <c r="J27" s="51"/>
    </row>
    <row r="28" spans="1:10" ht="22" hidden="1">
      <c r="A28" s="521"/>
      <c r="B28" s="1916"/>
      <c r="C28" s="2888" t="s">
        <v>1894</v>
      </c>
      <c r="D28" s="2888" t="s">
        <v>1895</v>
      </c>
      <c r="E28" s="2888" t="s">
        <v>1896</v>
      </c>
      <c r="F28" s="2888" t="s">
        <v>1897</v>
      </c>
      <c r="G28" s="2888" t="s">
        <v>1898</v>
      </c>
      <c r="H28" s="2889"/>
      <c r="I28" s="2890"/>
      <c r="J28" s="51"/>
    </row>
    <row r="29" spans="1:10" ht="18.5" hidden="1">
      <c r="A29" s="521"/>
      <c r="B29" s="1916"/>
      <c r="C29" s="2879">
        <f>100*C13/1020</f>
        <v>83.333333333333329</v>
      </c>
      <c r="D29" s="2879">
        <f>84*C13/1020</f>
        <v>70</v>
      </c>
      <c r="E29" s="2879">
        <f>5.5*C13/1020</f>
        <v>4.583333333333333</v>
      </c>
      <c r="F29" s="2879">
        <f>5/100/7000*64/32*1000000</f>
        <v>14.285714285714286</v>
      </c>
      <c r="G29" s="2879">
        <f>7.6*C13/1020</f>
        <v>6.333333333333333</v>
      </c>
      <c r="H29" s="2875" t="s">
        <v>585</v>
      </c>
      <c r="I29" s="2876"/>
      <c r="J29" s="51"/>
    </row>
    <row r="30" spans="1:10" ht="18.5" hidden="1">
      <c r="A30" s="521"/>
      <c r="B30" s="1916"/>
      <c r="C30" s="2879">
        <f>C29*$C$14/1000000</f>
        <v>10.195098039215686</v>
      </c>
      <c r="D30" s="2879">
        <f>D29*$C$14/1000000</f>
        <v>8.5638823529411763</v>
      </c>
      <c r="E30" s="2879">
        <f>E29*$C$14/1000000</f>
        <v>0.56073039215686282</v>
      </c>
      <c r="F30" s="2879">
        <f>F29*$C$14/1000000</f>
        <v>1.7477310924369749</v>
      </c>
      <c r="G30" s="2879">
        <f>G29*$C$14/1000000</f>
        <v>0.77482745098039219</v>
      </c>
      <c r="H30" s="2875" t="s">
        <v>22</v>
      </c>
      <c r="I30" s="2876"/>
      <c r="J30" s="51"/>
    </row>
    <row r="31" spans="1:10" ht="18.5" hidden="1">
      <c r="A31" s="521"/>
      <c r="B31" s="1916"/>
      <c r="C31" s="2879">
        <f>4.38*C30</f>
        <v>44.654529411764706</v>
      </c>
      <c r="D31" s="2879">
        <f>4.38*D30</f>
        <v>37.509804705882352</v>
      </c>
      <c r="E31" s="2879">
        <f>4.38*E30</f>
        <v>2.455999117647059</v>
      </c>
      <c r="F31" s="2879">
        <f>4.38*F30</f>
        <v>7.65506218487395</v>
      </c>
      <c r="G31" s="2879">
        <f>4.38*G30</f>
        <v>3.3937442352941178</v>
      </c>
      <c r="H31" s="2891" t="s">
        <v>586</v>
      </c>
      <c r="I31" s="2876"/>
      <c r="J31" s="51"/>
    </row>
    <row r="32" spans="1:10" ht="18.5" hidden="1">
      <c r="A32" s="521"/>
      <c r="B32" s="1916"/>
      <c r="C32" s="2878"/>
      <c r="D32" s="2875"/>
      <c r="E32" s="2875"/>
      <c r="F32" s="2875"/>
      <c r="G32" s="2875"/>
      <c r="H32" s="2875"/>
      <c r="I32" s="2876"/>
      <c r="J32" s="51"/>
    </row>
    <row r="33" spans="1:10" ht="21" hidden="1">
      <c r="A33" s="521"/>
      <c r="B33" s="1916"/>
      <c r="C33" s="2888" t="s">
        <v>1899</v>
      </c>
      <c r="D33" s="2889"/>
      <c r="E33" s="2875"/>
      <c r="F33" s="2875"/>
      <c r="G33" s="2875"/>
      <c r="H33" s="2875"/>
      <c r="I33" s="2876"/>
      <c r="J33" s="51"/>
    </row>
    <row r="34" spans="1:10" ht="18.5" hidden="1">
      <c r="A34" s="521"/>
      <c r="B34" s="1916"/>
      <c r="C34" s="2879">
        <f>1.8*C13/1020</f>
        <v>1.5</v>
      </c>
      <c r="D34" s="2875" t="s">
        <v>587</v>
      </c>
      <c r="E34" s="2875"/>
      <c r="F34" s="2875"/>
      <c r="G34" s="2875"/>
      <c r="H34" s="2875"/>
      <c r="I34" s="2876"/>
      <c r="J34" s="51"/>
    </row>
    <row r="35" spans="1:10" ht="18.5" hidden="1">
      <c r="A35" s="521"/>
      <c r="B35" s="1916"/>
      <c r="C35" s="2879">
        <f>C34*C14/1000000</f>
        <v>0.18351176470588235</v>
      </c>
      <c r="D35" s="2875" t="s">
        <v>22</v>
      </c>
      <c r="E35" s="2875"/>
      <c r="F35" s="2875"/>
      <c r="G35" s="2875"/>
      <c r="H35" s="2875"/>
      <c r="I35" s="2876"/>
      <c r="J35" s="51"/>
    </row>
    <row r="36" spans="1:10" ht="18.5" hidden="1">
      <c r="A36" s="521"/>
      <c r="B36" s="1916"/>
      <c r="C36" s="2879">
        <f>C35*4.38</f>
        <v>0.80378152941176462</v>
      </c>
      <c r="D36" s="2891" t="s">
        <v>586</v>
      </c>
      <c r="E36" s="2875"/>
      <c r="F36" s="2875"/>
      <c r="G36" s="2875"/>
      <c r="H36" s="2875"/>
      <c r="I36" s="2876"/>
      <c r="J36" s="51"/>
    </row>
    <row r="37" spans="1:10" ht="18.5" hidden="1">
      <c r="A37" s="521"/>
      <c r="B37" s="1916"/>
      <c r="C37" s="2879"/>
      <c r="D37" s="2891"/>
      <c r="E37" s="2875"/>
      <c r="F37" s="2875"/>
      <c r="G37" s="2875"/>
      <c r="H37" s="2875"/>
      <c r="I37" s="2876"/>
      <c r="J37" s="51"/>
    </row>
    <row r="38" spans="1:10" ht="18.5" hidden="1">
      <c r="A38" s="521"/>
      <c r="B38" s="1916"/>
      <c r="C38" s="2879"/>
      <c r="D38" s="2891"/>
      <c r="E38" s="2875"/>
      <c r="F38" s="2875"/>
      <c r="G38" s="2875"/>
      <c r="H38" s="2875"/>
      <c r="I38" s="2876"/>
      <c r="J38" s="51"/>
    </row>
    <row r="39" spans="1:10" ht="20.5">
      <c r="A39" s="521"/>
      <c r="B39" s="1916"/>
      <c r="C39" s="2878"/>
      <c r="D39" s="2892"/>
      <c r="E39" s="2892" t="s">
        <v>1900</v>
      </c>
      <c r="F39" s="2892"/>
      <c r="G39" s="2892" t="s">
        <v>1901</v>
      </c>
      <c r="H39" s="2892" t="s">
        <v>19</v>
      </c>
      <c r="I39" s="2876"/>
      <c r="J39" s="51"/>
    </row>
    <row r="40" spans="1:10" ht="20.5">
      <c r="A40" s="521"/>
      <c r="B40" s="1916" t="s">
        <v>588</v>
      </c>
      <c r="C40" s="2888" t="s">
        <v>1902</v>
      </c>
      <c r="D40" s="2893" t="s">
        <v>300</v>
      </c>
      <c r="E40" s="2893" t="s">
        <v>1903</v>
      </c>
      <c r="F40" s="2894" t="s">
        <v>1904</v>
      </c>
      <c r="G40" s="2893" t="s">
        <v>1903</v>
      </c>
      <c r="H40" s="2893" t="s">
        <v>1903</v>
      </c>
      <c r="I40" s="2890"/>
      <c r="J40" s="51"/>
    </row>
    <row r="41" spans="1:10" ht="18.5">
      <c r="A41" s="521"/>
      <c r="B41" s="1916"/>
      <c r="C41" s="2879">
        <f>53.06*2.205</f>
        <v>116.99730000000001</v>
      </c>
      <c r="D41" s="2895">
        <f>0.001*2.205</f>
        <v>2.2049999999999999E-3</v>
      </c>
      <c r="E41" s="2895">
        <f>0.001*2.205*25</f>
        <v>5.5125E-2</v>
      </c>
      <c r="F41" s="2896">
        <f>0.0001*2.205</f>
        <v>2.2050000000000002E-4</v>
      </c>
      <c r="G41" s="2895">
        <f>0.0001*2.205*298</f>
        <v>6.5709000000000004E-2</v>
      </c>
      <c r="H41" s="2895"/>
      <c r="I41" s="2876" t="s">
        <v>589</v>
      </c>
      <c r="J41" s="51"/>
    </row>
    <row r="42" spans="1:10" ht="18.5">
      <c r="A42" s="521"/>
      <c r="B42" s="1916"/>
      <c r="C42" s="2879">
        <f>C41*$C$12</f>
        <v>12166.549227</v>
      </c>
      <c r="D42" s="2895">
        <f>D41*$C$12</f>
        <v>0.22929794999999997</v>
      </c>
      <c r="E42" s="2879">
        <f>E41*$C$12</f>
        <v>5.7324487499999996</v>
      </c>
      <c r="F42" s="2895">
        <f>F41*$C$12</f>
        <v>2.2929794999999999E-2</v>
      </c>
      <c r="G42" s="2879">
        <f>G41*$C$12</f>
        <v>6.8330789100000002</v>
      </c>
      <c r="H42" s="2879">
        <f>C42+E42+G42</f>
        <v>12179.114754659999</v>
      </c>
      <c r="I42" s="2876" t="s">
        <v>22</v>
      </c>
      <c r="J42" s="51"/>
    </row>
    <row r="43" spans="1:10" ht="18.5">
      <c r="A43" s="521"/>
      <c r="B43" s="1916"/>
      <c r="C43" s="2879">
        <f>C42*$C$16/2000</f>
        <v>53289.485614259997</v>
      </c>
      <c r="D43" s="2879">
        <f>D42*$C$16/2000</f>
        <v>1.0043250209999999</v>
      </c>
      <c r="E43" s="2879">
        <f>E42*$C$16/2000</f>
        <v>25.108125524999998</v>
      </c>
      <c r="F43" s="2879">
        <f>F42*$C$16/2000</f>
        <v>0.10043250209999999</v>
      </c>
      <c r="G43" s="2879">
        <f>G42*$C$16/2000</f>
        <v>29.928885625800003</v>
      </c>
      <c r="H43" s="2879">
        <f>C43+E43+G43</f>
        <v>53344.522625410798</v>
      </c>
      <c r="I43" s="2898" t="s">
        <v>586</v>
      </c>
      <c r="J43" s="51"/>
    </row>
    <row r="44" spans="1:10">
      <c r="A44" s="521"/>
      <c r="B44" s="529"/>
      <c r="C44" s="526"/>
      <c r="D44" s="527"/>
      <c r="E44" s="527"/>
      <c r="F44" s="527"/>
      <c r="G44" s="527"/>
      <c r="H44" s="527"/>
      <c r="I44" s="528"/>
      <c r="J44" s="51"/>
    </row>
    <row r="45" spans="1:10" s="520" customFormat="1">
      <c r="A45" s="521"/>
      <c r="B45" s="530">
        <v>1</v>
      </c>
      <c r="C45" s="531" t="s">
        <v>590</v>
      </c>
      <c r="D45" s="532"/>
      <c r="E45" s="532"/>
      <c r="F45" s="532"/>
      <c r="G45" s="533"/>
      <c r="H45" s="533"/>
      <c r="I45" s="534"/>
      <c r="J45" s="535"/>
    </row>
    <row r="46" spans="1:10" ht="13.5" thickBot="1">
      <c r="A46" s="521"/>
      <c r="B46" s="536"/>
      <c r="C46" s="537"/>
      <c r="D46" s="538"/>
      <c r="E46" s="538"/>
      <c r="F46" s="538"/>
      <c r="G46" s="538"/>
      <c r="H46" s="538"/>
      <c r="I46" s="539"/>
      <c r="J46" s="51"/>
    </row>
    <row r="47" spans="1:10" ht="13.5" thickBot="1">
      <c r="A47" s="540"/>
      <c r="B47" s="541"/>
      <c r="C47" s="542"/>
      <c r="D47" s="541"/>
      <c r="E47" s="541"/>
      <c r="F47" s="541"/>
      <c r="G47" s="541"/>
      <c r="H47" s="541"/>
      <c r="I47" s="541"/>
      <c r="J47" s="543"/>
    </row>
  </sheetData>
  <mergeCells count="3">
    <mergeCell ref="B2:I2"/>
    <mergeCell ref="B3:I3"/>
    <mergeCell ref="B4:I4"/>
  </mergeCells>
  <pageMargins left="0.7" right="0.7" top="0.75" bottom="0.75" header="0.3" footer="0.3"/>
  <pageSetup scale="72" orientation="portrait" r:id="rId1"/>
  <headerFooter>
    <oddFooter>&amp;CCalculations: 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3">
    <tabColor theme="3" tint="-0.249977111117893"/>
    <pageSetUpPr fitToPage="1"/>
  </sheetPr>
  <dimension ref="A1:J47"/>
  <sheetViews>
    <sheetView view="pageBreakPreview" topLeftCell="A3" zoomScale="60" zoomScaleNormal="85" workbookViewId="0">
      <selection activeCell="E19" sqref="E19:R19"/>
    </sheetView>
  </sheetViews>
  <sheetFormatPr defaultColWidth="9.36328125" defaultRowHeight="13"/>
  <cols>
    <col min="1" max="1" width="3.54296875" style="520" customWidth="1"/>
    <col min="2" max="2" width="32.36328125" style="522" customWidth="1"/>
    <col min="3" max="3" width="11.6328125" style="1030" customWidth="1"/>
    <col min="4" max="4" width="12.453125" style="522" customWidth="1"/>
    <col min="5" max="5" width="9.6328125" style="522" customWidth="1"/>
    <col min="6" max="6" width="11.6328125" style="522" customWidth="1"/>
    <col min="7" max="7" width="11.453125" style="522" customWidth="1"/>
    <col min="8" max="8" width="12.6328125" style="522" customWidth="1"/>
    <col min="9" max="9" width="20.453125" style="522" customWidth="1"/>
    <col min="10" max="10" width="3.54296875" style="522" customWidth="1"/>
    <col min="11" max="16384" width="9.36328125" style="522"/>
  </cols>
  <sheetData>
    <row r="1" spans="1:10" s="520" customFormat="1" ht="13.5" thickBot="1">
      <c r="A1" s="517"/>
      <c r="B1" s="518"/>
      <c r="C1" s="518"/>
      <c r="D1" s="518"/>
      <c r="E1" s="518"/>
      <c r="F1" s="518"/>
      <c r="G1" s="518"/>
      <c r="H1" s="518"/>
      <c r="I1" s="518"/>
      <c r="J1" s="519"/>
    </row>
    <row r="2" spans="1:10" ht="21" customHeight="1">
      <c r="A2" s="521"/>
      <c r="B2" s="4542" t="str">
        <f>'Summary-Co'!B3</f>
        <v>XTO ENERGY INC.</v>
      </c>
      <c r="C2" s="4543"/>
      <c r="D2" s="4543"/>
      <c r="E2" s="4543"/>
      <c r="F2" s="4543"/>
      <c r="G2" s="4543"/>
      <c r="H2" s="4543"/>
      <c r="I2" s="4544"/>
      <c r="J2" s="51"/>
    </row>
    <row r="3" spans="1:10" ht="21" customHeight="1">
      <c r="A3" s="521"/>
      <c r="B3" s="4545" t="str">
        <f>'Summary-Co'!B4</f>
        <v>HUSKY CDP</v>
      </c>
      <c r="C3" s="4546"/>
      <c r="D3" s="4546"/>
      <c r="E3" s="4546"/>
      <c r="F3" s="4546"/>
      <c r="G3" s="4546"/>
      <c r="H3" s="4546"/>
      <c r="I3" s="4547"/>
      <c r="J3" s="51"/>
    </row>
    <row r="4" spans="1:10" ht="21" customHeight="1" thickBot="1">
      <c r="A4" s="521"/>
      <c r="B4" s="4548" t="s">
        <v>2014</v>
      </c>
      <c r="C4" s="4549"/>
      <c r="D4" s="4549"/>
      <c r="E4" s="4549"/>
      <c r="F4" s="4549"/>
      <c r="G4" s="4549"/>
      <c r="H4" s="4549"/>
      <c r="I4" s="4550"/>
      <c r="J4" s="51"/>
    </row>
    <row r="5" spans="1:10" ht="12" customHeight="1" thickBot="1">
      <c r="A5" s="521"/>
      <c r="B5" s="523"/>
      <c r="C5" s="523"/>
      <c r="D5" s="523"/>
      <c r="E5" s="523"/>
      <c r="F5" s="523"/>
      <c r="G5" s="523"/>
      <c r="H5" s="523"/>
      <c r="I5" s="523"/>
      <c r="J5" s="51"/>
    </row>
    <row r="6" spans="1:10" ht="18">
      <c r="A6" s="524"/>
      <c r="B6" s="1796"/>
      <c r="C6" s="1797"/>
      <c r="D6" s="1798"/>
      <c r="E6" s="1798"/>
      <c r="F6" s="1798"/>
      <c r="G6" s="1798"/>
      <c r="H6" s="1798"/>
      <c r="I6" s="1799"/>
      <c r="J6" s="51"/>
    </row>
    <row r="7" spans="1:10" ht="18.5">
      <c r="A7" s="524"/>
      <c r="B7" s="2900" t="s">
        <v>562</v>
      </c>
      <c r="C7" s="2901" t="s">
        <v>1905</v>
      </c>
      <c r="D7" s="2902"/>
      <c r="E7" s="2902"/>
      <c r="F7" s="2902"/>
      <c r="G7" s="2902"/>
      <c r="H7" s="2902"/>
      <c r="I7" s="2903"/>
      <c r="J7" s="51"/>
    </row>
    <row r="8" spans="1:10" ht="18.5">
      <c r="A8" s="521"/>
      <c r="B8" s="2900" t="s">
        <v>563</v>
      </c>
      <c r="C8" s="2904" t="str">
        <f>'Summary-Co'!B15</f>
        <v>Regen Heater
(39.14 MMBtu/hr)</v>
      </c>
      <c r="D8" s="2902"/>
      <c r="E8" s="2902"/>
      <c r="F8" s="2902"/>
      <c r="G8" s="2902"/>
      <c r="H8" s="2902"/>
      <c r="I8" s="2903"/>
      <c r="J8" s="51"/>
    </row>
    <row r="9" spans="1:10" ht="18.5">
      <c r="A9" s="521"/>
      <c r="B9" s="2900"/>
      <c r="C9" s="2904"/>
      <c r="D9" s="2902"/>
      <c r="E9" s="2902"/>
      <c r="F9" s="2902"/>
      <c r="G9" s="2902"/>
      <c r="H9" s="2902"/>
      <c r="I9" s="2903"/>
      <c r="J9" s="51"/>
    </row>
    <row r="10" spans="1:10" ht="18.5">
      <c r="A10" s="521"/>
      <c r="B10" s="2900"/>
      <c r="C10" s="2884"/>
      <c r="D10" s="2902"/>
      <c r="E10" s="2902"/>
      <c r="F10" s="2902"/>
      <c r="G10" s="2902"/>
      <c r="H10" s="2902"/>
      <c r="I10" s="2903"/>
      <c r="J10" s="51"/>
    </row>
    <row r="11" spans="1:10" ht="18.5">
      <c r="A11" s="521"/>
      <c r="B11" s="2900" t="s">
        <v>564</v>
      </c>
      <c r="C11" s="2884"/>
      <c r="D11" s="2902"/>
      <c r="E11" s="2902"/>
      <c r="F11" s="2902"/>
      <c r="G11" s="2902"/>
      <c r="H11" s="2902"/>
      <c r="I11" s="2903"/>
      <c r="J11" s="51"/>
    </row>
    <row r="12" spans="1:10" ht="18.5">
      <c r="A12" s="521"/>
      <c r="B12" s="2900" t="s">
        <v>565</v>
      </c>
      <c r="C12" s="2886">
        <f>Burners!G16</f>
        <v>39.14</v>
      </c>
      <c r="D12" s="2902" t="s">
        <v>566</v>
      </c>
      <c r="E12" s="2902"/>
      <c r="F12" s="2902" t="s">
        <v>214</v>
      </c>
      <c r="G12" s="2902"/>
      <c r="H12" s="2902"/>
      <c r="I12" s="2903"/>
      <c r="J12" s="51"/>
    </row>
    <row r="13" spans="1:10" ht="18.5">
      <c r="A13" s="521"/>
      <c r="B13" s="2900" t="s">
        <v>567</v>
      </c>
      <c r="C13" s="2885">
        <f>Burners!D31</f>
        <v>850</v>
      </c>
      <c r="D13" s="2902" t="s">
        <v>568</v>
      </c>
      <c r="E13" s="2902"/>
      <c r="F13" s="2902" t="s">
        <v>195</v>
      </c>
      <c r="G13" s="2902"/>
      <c r="H13" s="2902"/>
      <c r="I13" s="2903"/>
      <c r="J13" s="51"/>
    </row>
    <row r="14" spans="1:10" ht="18.5">
      <c r="A14" s="521"/>
      <c r="B14" s="2900" t="s">
        <v>569</v>
      </c>
      <c r="C14" s="2905">
        <f>C12*1000000/C13</f>
        <v>46047.058823529413</v>
      </c>
      <c r="D14" s="2902" t="s">
        <v>570</v>
      </c>
      <c r="E14" s="2902"/>
      <c r="F14" s="2902" t="s">
        <v>571</v>
      </c>
      <c r="G14" s="2902"/>
      <c r="H14" s="2902"/>
      <c r="I14" s="2903"/>
      <c r="J14" s="51"/>
    </row>
    <row r="15" spans="1:10" ht="18.5">
      <c r="A15" s="521"/>
      <c r="B15" s="2900" t="s">
        <v>572</v>
      </c>
      <c r="C15" s="2905">
        <f>C14*8760/10^6</f>
        <v>403.37223529411762</v>
      </c>
      <c r="D15" s="2902" t="s">
        <v>573</v>
      </c>
      <c r="E15" s="2902"/>
      <c r="F15" s="2902" t="s">
        <v>574</v>
      </c>
      <c r="G15" s="2902"/>
      <c r="H15" s="2902"/>
      <c r="I15" s="2903"/>
      <c r="J15" s="51"/>
    </row>
    <row r="16" spans="1:10" ht="18.5">
      <c r="A16" s="521"/>
      <c r="B16" s="1916" t="s">
        <v>1892</v>
      </c>
      <c r="C16" s="2880">
        <v>8760</v>
      </c>
      <c r="D16" s="2875" t="s">
        <v>1893</v>
      </c>
      <c r="E16" s="2664"/>
      <c r="F16" s="2664"/>
      <c r="G16" s="2875"/>
      <c r="H16" s="2875"/>
      <c r="I16" s="2876"/>
      <c r="J16" s="51"/>
    </row>
    <row r="17" spans="1:10" ht="18.5">
      <c r="A17" s="521"/>
      <c r="B17" s="2900"/>
      <c r="C17" s="2884"/>
      <c r="D17" s="2902"/>
      <c r="E17" s="2902"/>
      <c r="F17" s="2902"/>
      <c r="G17" s="2902"/>
      <c r="H17" s="2902"/>
      <c r="I17" s="2903"/>
      <c r="J17" s="51"/>
    </row>
    <row r="18" spans="1:10" ht="18.5">
      <c r="A18" s="521"/>
      <c r="B18" s="2900" t="s">
        <v>575</v>
      </c>
      <c r="C18" s="2884"/>
      <c r="D18" s="2902"/>
      <c r="E18" s="2902"/>
      <c r="F18" s="2902"/>
      <c r="G18" s="2902"/>
      <c r="H18" s="2902"/>
      <c r="I18" s="2903"/>
      <c r="J18" s="51"/>
    </row>
    <row r="19" spans="1:10" ht="18.5">
      <c r="A19" s="521"/>
      <c r="B19" s="2900" t="s">
        <v>576</v>
      </c>
      <c r="C19" s="2884">
        <f>C12*1000</f>
        <v>39140</v>
      </c>
      <c r="D19" s="2902" t="s">
        <v>577</v>
      </c>
      <c r="E19" s="2902"/>
      <c r="F19" s="2902"/>
      <c r="G19" s="2902"/>
      <c r="H19" s="2902"/>
      <c r="I19" s="2903"/>
      <c r="J19" s="51"/>
    </row>
    <row r="20" spans="1:10" ht="18.5">
      <c r="A20" s="521"/>
      <c r="B20" s="2900" t="s">
        <v>578</v>
      </c>
      <c r="C20" s="2884">
        <v>470</v>
      </c>
      <c r="D20" s="2902" t="s">
        <v>299</v>
      </c>
      <c r="E20" s="2902" t="s">
        <v>288</v>
      </c>
      <c r="F20" s="2902"/>
      <c r="G20" s="2902"/>
      <c r="H20" s="2902"/>
      <c r="I20" s="2903"/>
      <c r="J20" s="51"/>
    </row>
    <row r="21" spans="1:10" ht="18.5">
      <c r="A21" s="521"/>
      <c r="B21" s="2900" t="s">
        <v>579</v>
      </c>
      <c r="C21" s="2886">
        <f>32/12</f>
        <v>2.6666666666666665</v>
      </c>
      <c r="D21" s="2902" t="s">
        <v>289</v>
      </c>
      <c r="E21" s="2902" t="s">
        <v>288</v>
      </c>
      <c r="F21" s="2902"/>
      <c r="G21" s="2902"/>
      <c r="H21" s="2902"/>
      <c r="I21" s="2903"/>
      <c r="J21" s="51"/>
    </row>
    <row r="22" spans="1:10" ht="18.5">
      <c r="A22" s="521"/>
      <c r="B22" s="2900" t="s">
        <v>580</v>
      </c>
      <c r="C22" s="2884">
        <f>27.1</f>
        <v>27.1</v>
      </c>
      <c r="D22" s="2902" t="s">
        <v>289</v>
      </c>
      <c r="E22" s="2902" t="s">
        <v>288</v>
      </c>
      <c r="F22" s="2902"/>
      <c r="G22" s="2902"/>
      <c r="H22" s="2902"/>
      <c r="I22" s="2903"/>
      <c r="J22" s="51"/>
    </row>
    <row r="23" spans="1:10" ht="18.5">
      <c r="A23" s="521"/>
      <c r="B23" s="2900" t="s">
        <v>581</v>
      </c>
      <c r="C23" s="2886">
        <v>52.3</v>
      </c>
      <c r="D23" s="2902" t="s">
        <v>582</v>
      </c>
      <c r="E23" s="2902" t="s">
        <v>288</v>
      </c>
      <c r="F23" s="2902"/>
      <c r="G23" s="2902"/>
      <c r="H23" s="2902"/>
      <c r="I23" s="2903"/>
      <c r="J23" s="51"/>
    </row>
    <row r="24" spans="1:10" ht="18.5">
      <c r="A24" s="521"/>
      <c r="B24" s="2900"/>
      <c r="C24" s="2886"/>
      <c r="D24" s="2902"/>
      <c r="E24" s="2902"/>
      <c r="F24" s="2902"/>
      <c r="G24" s="2902"/>
      <c r="H24" s="2902"/>
      <c r="I24" s="2903"/>
      <c r="J24" s="51"/>
    </row>
    <row r="25" spans="1:10" ht="18.5">
      <c r="A25" s="521"/>
      <c r="B25" s="2900"/>
      <c r="C25" s="2884"/>
      <c r="D25" s="2902"/>
      <c r="E25" s="2902"/>
      <c r="F25" s="2902"/>
      <c r="G25" s="2902"/>
      <c r="H25" s="2902"/>
      <c r="I25" s="2903"/>
      <c r="J25" s="51"/>
    </row>
    <row r="26" spans="1:10" ht="18.5">
      <c r="A26" s="521"/>
      <c r="B26" s="2900" t="s">
        <v>583</v>
      </c>
      <c r="C26" s="2884"/>
      <c r="D26" s="2902"/>
      <c r="E26" s="2902"/>
      <c r="F26" s="2902"/>
      <c r="G26" s="2902"/>
      <c r="H26" s="2902"/>
      <c r="I26" s="2903"/>
      <c r="J26" s="51"/>
    </row>
    <row r="27" spans="1:10" ht="18.5">
      <c r="A27" s="521"/>
      <c r="B27" s="2900" t="s">
        <v>584</v>
      </c>
      <c r="C27" s="2884"/>
      <c r="D27" s="2902"/>
      <c r="E27" s="2902"/>
      <c r="F27" s="2902"/>
      <c r="G27" s="2902"/>
      <c r="H27" s="2902"/>
      <c r="I27" s="2903"/>
      <c r="J27" s="51"/>
    </row>
    <row r="28" spans="1:10" ht="22" hidden="1">
      <c r="A28" s="521"/>
      <c r="B28" s="2900"/>
      <c r="C28" s="2906" t="s">
        <v>1894</v>
      </c>
      <c r="D28" s="2906" t="s">
        <v>1895</v>
      </c>
      <c r="E28" s="2906" t="s">
        <v>1896</v>
      </c>
      <c r="F28" s="2906" t="s">
        <v>1897</v>
      </c>
      <c r="G28" s="2906" t="s">
        <v>1898</v>
      </c>
      <c r="H28" s="2907"/>
      <c r="I28" s="2908"/>
      <c r="J28" s="51"/>
    </row>
    <row r="29" spans="1:10" ht="18.5" hidden="1">
      <c r="A29" s="521"/>
      <c r="B29" s="2900"/>
      <c r="C29" s="2886">
        <f>100*C13/1020</f>
        <v>83.333333333333329</v>
      </c>
      <c r="D29" s="2886">
        <f>84*C13/1020</f>
        <v>70</v>
      </c>
      <c r="E29" s="2886">
        <f>5.5*C13/1020</f>
        <v>4.583333333333333</v>
      </c>
      <c r="F29" s="2886">
        <f>5/100/7000*64/32*1000000</f>
        <v>14.285714285714286</v>
      </c>
      <c r="G29" s="2886">
        <f>7.6*C13/1020</f>
        <v>6.333333333333333</v>
      </c>
      <c r="H29" s="2902" t="s">
        <v>585</v>
      </c>
      <c r="I29" s="2903"/>
      <c r="J29" s="51"/>
    </row>
    <row r="30" spans="1:10" ht="18.5" hidden="1">
      <c r="A30" s="521"/>
      <c r="B30" s="2900"/>
      <c r="C30" s="2886">
        <f>C29*$C$14/1000000</f>
        <v>3.837254901960784</v>
      </c>
      <c r="D30" s="2886">
        <f>D29*$C$14/1000000</f>
        <v>3.2232941176470589</v>
      </c>
      <c r="E30" s="2886">
        <f>E29*$C$14/1000000</f>
        <v>0.21104901960784314</v>
      </c>
      <c r="F30" s="2886">
        <f>F29*$C$14/1000000</f>
        <v>0.65781512605042025</v>
      </c>
      <c r="G30" s="2886">
        <f>G29*$C$14/1000000</f>
        <v>0.29163137254901955</v>
      </c>
      <c r="H30" s="2902" t="s">
        <v>22</v>
      </c>
      <c r="I30" s="2903"/>
      <c r="J30" s="51"/>
    </row>
    <row r="31" spans="1:10" ht="18.5" hidden="1">
      <c r="A31" s="521"/>
      <c r="B31" s="2900"/>
      <c r="C31" s="2886">
        <f>4.38*C30</f>
        <v>16.807176470588235</v>
      </c>
      <c r="D31" s="2886">
        <f>4.38*D30</f>
        <v>14.118028235294117</v>
      </c>
      <c r="E31" s="2886">
        <f>4.38*E30</f>
        <v>0.92439470588235295</v>
      </c>
      <c r="F31" s="2886">
        <f>4.38*F30</f>
        <v>2.8812302521008406</v>
      </c>
      <c r="G31" s="2886">
        <f>4.38*G30</f>
        <v>1.2773454117647056</v>
      </c>
      <c r="H31" s="2909" t="s">
        <v>586</v>
      </c>
      <c r="I31" s="2903"/>
      <c r="J31" s="51"/>
    </row>
    <row r="32" spans="1:10" ht="18.5" hidden="1">
      <c r="A32" s="521"/>
      <c r="B32" s="2900"/>
      <c r="C32" s="2884"/>
      <c r="D32" s="2902"/>
      <c r="E32" s="2902"/>
      <c r="F32" s="2902"/>
      <c r="G32" s="2902"/>
      <c r="H32" s="2902"/>
      <c r="I32" s="2903"/>
      <c r="J32" s="51"/>
    </row>
    <row r="33" spans="1:10" ht="21" hidden="1">
      <c r="A33" s="521"/>
      <c r="B33" s="2900"/>
      <c r="C33" s="2906" t="s">
        <v>1899</v>
      </c>
      <c r="D33" s="2907"/>
      <c r="E33" s="2902"/>
      <c r="F33" s="2902"/>
      <c r="G33" s="2902"/>
      <c r="H33" s="2902"/>
      <c r="I33" s="2903"/>
      <c r="J33" s="51"/>
    </row>
    <row r="34" spans="1:10" ht="18.5" hidden="1">
      <c r="A34" s="521"/>
      <c r="B34" s="2900"/>
      <c r="C34" s="2886">
        <f>1.8*C13/1020</f>
        <v>1.5</v>
      </c>
      <c r="D34" s="2902" t="s">
        <v>587</v>
      </c>
      <c r="E34" s="2902"/>
      <c r="F34" s="2902"/>
      <c r="G34" s="2902"/>
      <c r="H34" s="2902"/>
      <c r="I34" s="2903"/>
      <c r="J34" s="51"/>
    </row>
    <row r="35" spans="1:10" ht="18.5" hidden="1">
      <c r="A35" s="521"/>
      <c r="B35" s="2900"/>
      <c r="C35" s="2886">
        <f>C34*C14/1000000</f>
        <v>6.907058823529412E-2</v>
      </c>
      <c r="D35" s="2902" t="s">
        <v>22</v>
      </c>
      <c r="E35" s="2902"/>
      <c r="F35" s="2902"/>
      <c r="G35" s="2902"/>
      <c r="H35" s="2902"/>
      <c r="I35" s="2903"/>
      <c r="J35" s="51"/>
    </row>
    <row r="36" spans="1:10" ht="18.5" hidden="1">
      <c r="A36" s="521"/>
      <c r="B36" s="2900"/>
      <c r="C36" s="2886">
        <f>C35*4.38</f>
        <v>0.30252917647058825</v>
      </c>
      <c r="D36" s="2909" t="s">
        <v>586</v>
      </c>
      <c r="E36" s="2902"/>
      <c r="F36" s="2902"/>
      <c r="G36" s="2902"/>
      <c r="H36" s="2902"/>
      <c r="I36" s="2903"/>
      <c r="J36" s="51"/>
    </row>
    <row r="37" spans="1:10" ht="18.5" hidden="1">
      <c r="A37" s="521"/>
      <c r="B37" s="2900"/>
      <c r="C37" s="2886"/>
      <c r="D37" s="2909"/>
      <c r="E37" s="2902"/>
      <c r="F37" s="2902"/>
      <c r="G37" s="2902"/>
      <c r="H37" s="2902"/>
      <c r="I37" s="2903"/>
      <c r="J37" s="51"/>
    </row>
    <row r="38" spans="1:10" ht="18.5" hidden="1">
      <c r="A38" s="521"/>
      <c r="B38" s="2900"/>
      <c r="C38" s="2886"/>
      <c r="D38" s="2909"/>
      <c r="E38" s="2902"/>
      <c r="F38" s="2902"/>
      <c r="G38" s="2902"/>
      <c r="H38" s="2902"/>
      <c r="I38" s="2903"/>
      <c r="J38" s="51"/>
    </row>
    <row r="39" spans="1:10" ht="20.5">
      <c r="A39" s="521"/>
      <c r="B39" s="2900"/>
      <c r="C39" s="2884"/>
      <c r="D39" s="2892"/>
      <c r="E39" s="2892" t="s">
        <v>1900</v>
      </c>
      <c r="F39" s="2892"/>
      <c r="G39" s="2892" t="s">
        <v>1901</v>
      </c>
      <c r="H39" s="2892" t="s">
        <v>19</v>
      </c>
      <c r="I39" s="2903"/>
      <c r="J39" s="51"/>
    </row>
    <row r="40" spans="1:10" ht="20.5">
      <c r="A40" s="521"/>
      <c r="B40" s="2900" t="s">
        <v>588</v>
      </c>
      <c r="C40" s="2906" t="s">
        <v>1902</v>
      </c>
      <c r="D40" s="2894" t="s">
        <v>300</v>
      </c>
      <c r="E40" s="2894" t="s">
        <v>1903</v>
      </c>
      <c r="F40" s="2894" t="s">
        <v>1904</v>
      </c>
      <c r="G40" s="2894" t="s">
        <v>1903</v>
      </c>
      <c r="H40" s="2894" t="s">
        <v>1903</v>
      </c>
      <c r="I40" s="2908"/>
      <c r="J40" s="51"/>
    </row>
    <row r="41" spans="1:10" ht="18.5">
      <c r="A41" s="521"/>
      <c r="B41" s="2900"/>
      <c r="C41" s="2886">
        <f>53.06*2.205</f>
        <v>116.99730000000001</v>
      </c>
      <c r="D41" s="2910">
        <f>0.001*2.205</f>
        <v>2.2049999999999999E-3</v>
      </c>
      <c r="E41" s="2910">
        <f>0.001*2.205*25</f>
        <v>5.5125E-2</v>
      </c>
      <c r="F41" s="2911">
        <f>0.0001*2.205</f>
        <v>2.2050000000000002E-4</v>
      </c>
      <c r="G41" s="2910">
        <f>0.0001*2.205*298</f>
        <v>6.5709000000000004E-2</v>
      </c>
      <c r="H41" s="2910"/>
      <c r="I41" s="2903" t="s">
        <v>589</v>
      </c>
      <c r="J41" s="51"/>
    </row>
    <row r="42" spans="1:10" ht="18.5">
      <c r="A42" s="521"/>
      <c r="B42" s="2900"/>
      <c r="C42" s="2886">
        <f>C41*$C$12</f>
        <v>4579.2743220000002</v>
      </c>
      <c r="D42" s="2910">
        <f>D41*$C$12</f>
        <v>8.6303699999999997E-2</v>
      </c>
      <c r="E42" s="2886">
        <f>E41*$C$12</f>
        <v>2.1575925000000002</v>
      </c>
      <c r="F42" s="2910">
        <f>F41*$C$12</f>
        <v>8.6303700000000001E-3</v>
      </c>
      <c r="G42" s="2886">
        <f>G41*$C$12</f>
        <v>2.5718502600000002</v>
      </c>
      <c r="H42" s="2886">
        <f>C42+E42+G42</f>
        <v>4584.0037647600002</v>
      </c>
      <c r="I42" s="2903" t="s">
        <v>22</v>
      </c>
      <c r="J42" s="51"/>
    </row>
    <row r="43" spans="1:10" ht="18.5">
      <c r="A43" s="521"/>
      <c r="B43" s="2900"/>
      <c r="C43" s="2879">
        <f>C42*$C$16/2000</f>
        <v>20057.221530360002</v>
      </c>
      <c r="D43" s="2879">
        <f>D42*$C$16/2000</f>
        <v>0.37801020599999996</v>
      </c>
      <c r="E43" s="2879">
        <f>E42*$C$16/2000</f>
        <v>9.4502551500000003</v>
      </c>
      <c r="F43" s="2879">
        <f>F42*$C$16/2000</f>
        <v>3.7801020599999999E-2</v>
      </c>
      <c r="G43" s="2879">
        <f>G42*$C$16/2000</f>
        <v>11.264704138800001</v>
      </c>
      <c r="H43" s="2879">
        <f>C43+E43+G43</f>
        <v>20077.936489648804</v>
      </c>
      <c r="I43" s="2912" t="s">
        <v>586</v>
      </c>
      <c r="J43" s="51"/>
    </row>
    <row r="44" spans="1:10">
      <c r="A44" s="521"/>
      <c r="B44" s="440"/>
      <c r="C44" s="2362"/>
      <c r="D44" s="2363"/>
      <c r="E44" s="2363"/>
      <c r="F44" s="2363"/>
      <c r="G44" s="2363"/>
      <c r="H44" s="2363"/>
      <c r="I44" s="417"/>
      <c r="J44" s="51"/>
    </row>
    <row r="45" spans="1:10" s="520" customFormat="1">
      <c r="A45" s="521"/>
      <c r="B45" s="2364">
        <v>1</v>
      </c>
      <c r="C45" s="2365" t="s">
        <v>590</v>
      </c>
      <c r="D45" s="2366"/>
      <c r="E45" s="2366"/>
      <c r="F45" s="2366"/>
      <c r="G45" s="2367"/>
      <c r="H45" s="2367"/>
      <c r="I45" s="2368"/>
      <c r="J45" s="535"/>
    </row>
    <row r="46" spans="1:10" ht="13.5" thickBot="1">
      <c r="A46" s="521"/>
      <c r="B46" s="1800"/>
      <c r="C46" s="1801"/>
      <c r="D46" s="1802"/>
      <c r="E46" s="1802"/>
      <c r="F46" s="1802"/>
      <c r="G46" s="1802"/>
      <c r="H46" s="1802"/>
      <c r="I46" s="1803"/>
      <c r="J46" s="51"/>
    </row>
    <row r="47" spans="1:10" ht="13.5" thickBot="1">
      <c r="A47" s="540"/>
      <c r="B47" s="541"/>
      <c r="C47" s="542"/>
      <c r="D47" s="541"/>
      <c r="E47" s="541"/>
      <c r="F47" s="541"/>
      <c r="G47" s="541"/>
      <c r="H47" s="541"/>
      <c r="I47" s="541"/>
      <c r="J47" s="543"/>
    </row>
  </sheetData>
  <mergeCells count="3">
    <mergeCell ref="B2:I2"/>
    <mergeCell ref="B3:I3"/>
    <mergeCell ref="B4:I4"/>
  </mergeCells>
  <pageMargins left="0.7" right="0.7" top="0.75" bottom="0.75" header="0.3" footer="0.3"/>
  <pageSetup scale="70" orientation="portrait" r:id="rId1"/>
  <headerFooter>
    <oddFooter>&amp;CCalculations: 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5">
    <tabColor theme="3" tint="-0.249977111117893"/>
    <pageSetUpPr fitToPage="1"/>
  </sheetPr>
  <dimension ref="A1:U26"/>
  <sheetViews>
    <sheetView view="pageBreakPreview" zoomScale="85" zoomScaleNormal="85" zoomScaleSheetLayoutView="85" workbookViewId="0">
      <selection activeCell="E19" sqref="E19:R19"/>
    </sheetView>
  </sheetViews>
  <sheetFormatPr defaultRowHeight="12.5"/>
  <cols>
    <col min="1" max="1" width="4.6328125" customWidth="1"/>
    <col min="2" max="2" width="30.36328125" customWidth="1"/>
    <col min="3" max="3" width="8.54296875" customWidth="1"/>
    <col min="4" max="4" width="8.54296875" style="47" customWidth="1"/>
    <col min="5" max="5" width="9.6328125" customWidth="1"/>
    <col min="6" max="6" width="8.54296875" customWidth="1"/>
    <col min="7" max="7" width="9.453125" style="47" customWidth="1"/>
    <col min="8" max="9" width="8.54296875" customWidth="1"/>
    <col min="10" max="10" width="10" style="47" customWidth="1"/>
    <col min="11" max="12" width="8.54296875" customWidth="1"/>
    <col min="13" max="13" width="8.54296875" style="47" customWidth="1"/>
    <col min="14" max="15" width="8.54296875" customWidth="1"/>
    <col min="16" max="16" width="8.54296875" style="47" customWidth="1"/>
    <col min="17" max="18" width="8.54296875" customWidth="1"/>
    <col min="19" max="19" width="8.54296875" style="47" customWidth="1"/>
    <col min="20" max="20" width="8.54296875" customWidth="1"/>
    <col min="21" max="21" width="4.6328125" customWidth="1"/>
  </cols>
  <sheetData>
    <row r="1" spans="1:21" ht="13" thickBot="1">
      <c r="A1" s="774"/>
      <c r="B1" s="775"/>
      <c r="C1" s="775"/>
      <c r="D1" s="775"/>
      <c r="E1" s="775"/>
      <c r="F1" s="775"/>
      <c r="G1" s="775"/>
      <c r="H1" s="775"/>
      <c r="I1" s="775"/>
      <c r="J1" s="775"/>
      <c r="K1" s="775"/>
      <c r="L1" s="775"/>
      <c r="M1" s="775"/>
      <c r="N1" s="775"/>
      <c r="O1" s="775"/>
      <c r="P1" s="775"/>
      <c r="Q1" s="775"/>
      <c r="R1" s="775"/>
      <c r="S1" s="775"/>
      <c r="T1" s="775"/>
      <c r="U1" s="776"/>
    </row>
    <row r="2" spans="1:21" ht="18">
      <c r="A2" s="760"/>
      <c r="B2" s="4703" t="str">
        <f>'Hrly (FL1-FL3OVHD-SSM)'!B2:K2</f>
        <v>XTO ENERGY INC.</v>
      </c>
      <c r="C2" s="4704"/>
      <c r="D2" s="4704"/>
      <c r="E2" s="4704"/>
      <c r="F2" s="4704"/>
      <c r="G2" s="4704"/>
      <c r="H2" s="4704"/>
      <c r="I2" s="4704"/>
      <c r="J2" s="4704"/>
      <c r="K2" s="4704"/>
      <c r="L2" s="4704"/>
      <c r="M2" s="4704"/>
      <c r="N2" s="4704"/>
      <c r="O2" s="4704"/>
      <c r="P2" s="4704"/>
      <c r="Q2" s="4704"/>
      <c r="R2" s="4704"/>
      <c r="S2" s="4704"/>
      <c r="T2" s="4705"/>
      <c r="U2" s="762"/>
    </row>
    <row r="3" spans="1:21" ht="18">
      <c r="A3" s="760"/>
      <c r="B3" s="4706" t="str">
        <f>'Hrly (FL1-FL3OVHD-SSM)'!B3:K3</f>
        <v>HUSKY CDP</v>
      </c>
      <c r="C3" s="4707"/>
      <c r="D3" s="4707"/>
      <c r="E3" s="4707"/>
      <c r="F3" s="4707"/>
      <c r="G3" s="4707"/>
      <c r="H3" s="4707"/>
      <c r="I3" s="4707"/>
      <c r="J3" s="4707"/>
      <c r="K3" s="4707"/>
      <c r="L3" s="4707"/>
      <c r="M3" s="4707"/>
      <c r="N3" s="4707"/>
      <c r="O3" s="4707"/>
      <c r="P3" s="4707"/>
      <c r="Q3" s="4707"/>
      <c r="R3" s="4707"/>
      <c r="S3" s="4707"/>
      <c r="T3" s="4708"/>
      <c r="U3" s="762"/>
    </row>
    <row r="4" spans="1:21" ht="18.5" thickBot="1">
      <c r="A4" s="760"/>
      <c r="B4" s="4709" t="s">
        <v>1379</v>
      </c>
      <c r="C4" s="4710"/>
      <c r="D4" s="4710"/>
      <c r="E4" s="4710"/>
      <c r="F4" s="4710"/>
      <c r="G4" s="4710"/>
      <c r="H4" s="4710"/>
      <c r="I4" s="4710"/>
      <c r="J4" s="4710"/>
      <c r="K4" s="4710"/>
      <c r="L4" s="4710"/>
      <c r="M4" s="4710"/>
      <c r="N4" s="4710"/>
      <c r="O4" s="4710"/>
      <c r="P4" s="4710"/>
      <c r="Q4" s="4710"/>
      <c r="R4" s="4710"/>
      <c r="S4" s="4710"/>
      <c r="T4" s="4711"/>
      <c r="U4" s="762"/>
    </row>
    <row r="5" spans="1:21" ht="13.5" thickBot="1">
      <c r="A5" s="768"/>
      <c r="B5" s="39"/>
      <c r="C5" s="39"/>
      <c r="D5" s="39"/>
      <c r="E5" s="39"/>
      <c r="F5" s="39"/>
      <c r="G5" s="39"/>
      <c r="H5" s="39"/>
      <c r="I5" s="39"/>
      <c r="J5" s="39"/>
      <c r="K5" s="39"/>
      <c r="L5" s="39"/>
      <c r="M5" s="39"/>
      <c r="N5" s="39"/>
      <c r="O5" s="39"/>
      <c r="P5" s="39"/>
      <c r="Q5" s="39"/>
      <c r="R5" s="39"/>
      <c r="S5" s="39"/>
      <c r="T5" s="39"/>
      <c r="U5" s="40"/>
    </row>
    <row r="6" spans="1:21" ht="13">
      <c r="A6" s="3"/>
      <c r="B6" s="3"/>
      <c r="C6" s="3"/>
      <c r="D6" s="3"/>
      <c r="E6" s="3"/>
      <c r="F6" s="3"/>
      <c r="G6" s="3"/>
      <c r="H6" s="3"/>
      <c r="I6" s="3"/>
      <c r="J6" s="3"/>
      <c r="K6" s="3"/>
      <c r="L6" s="3"/>
      <c r="M6" s="3"/>
      <c r="N6" s="3"/>
      <c r="O6" s="3"/>
      <c r="P6" s="3"/>
      <c r="Q6" s="3"/>
      <c r="R6" s="3"/>
      <c r="S6" s="3"/>
      <c r="T6" s="3"/>
      <c r="U6" s="41"/>
    </row>
    <row r="7" spans="1:21" ht="13">
      <c r="A7" s="3"/>
      <c r="B7" s="3"/>
      <c r="C7" s="3"/>
      <c r="D7" s="3"/>
      <c r="E7" s="3"/>
      <c r="F7" s="3"/>
      <c r="G7" s="3"/>
      <c r="H7" s="3"/>
      <c r="I7" s="3"/>
      <c r="J7" s="3"/>
      <c r="K7" s="3"/>
      <c r="L7" s="3"/>
      <c r="M7" s="3"/>
      <c r="N7" s="3"/>
      <c r="O7" s="3"/>
      <c r="P7" s="3"/>
      <c r="Q7" s="3"/>
      <c r="R7" s="3"/>
      <c r="S7" s="3"/>
      <c r="T7" s="3"/>
      <c r="U7" s="41"/>
    </row>
    <row r="8" spans="1:21" ht="13.5" thickBot="1">
      <c r="A8" s="3"/>
      <c r="B8" s="41"/>
      <c r="C8" s="41"/>
      <c r="D8" s="41"/>
      <c r="E8" s="41"/>
      <c r="F8" s="41"/>
      <c r="G8" s="41"/>
      <c r="H8" s="41"/>
      <c r="I8" s="41"/>
      <c r="J8" s="41"/>
      <c r="K8" s="41"/>
      <c r="L8" s="41"/>
      <c r="M8" s="41"/>
      <c r="N8" s="41"/>
      <c r="O8" s="41"/>
      <c r="P8" s="41"/>
      <c r="Q8" s="41"/>
      <c r="R8" s="41"/>
      <c r="S8" s="41"/>
      <c r="T8" s="41"/>
      <c r="U8" s="41"/>
    </row>
    <row r="9" spans="1:21" ht="16" thickBot="1">
      <c r="A9" s="4712" t="s">
        <v>1300</v>
      </c>
      <c r="B9" s="4713"/>
      <c r="C9" s="4713"/>
      <c r="D9" s="4713"/>
      <c r="E9" s="4713"/>
      <c r="F9" s="4713"/>
      <c r="G9" s="4713"/>
      <c r="H9" s="4713"/>
      <c r="I9" s="4713"/>
      <c r="J9" s="4713"/>
      <c r="K9" s="4713"/>
      <c r="L9" s="4713"/>
      <c r="M9" s="4713"/>
      <c r="N9" s="4713"/>
      <c r="O9" s="4713"/>
      <c r="P9" s="4713"/>
      <c r="Q9" s="4713"/>
      <c r="R9" s="4713"/>
      <c r="S9" s="4713"/>
      <c r="T9" s="4713"/>
      <c r="U9" s="4714"/>
    </row>
    <row r="10" spans="1:21" ht="20.5">
      <c r="A10" s="1325"/>
      <c r="B10" s="1326"/>
      <c r="C10" s="1326"/>
      <c r="D10" s="1326"/>
      <c r="E10" s="1326"/>
      <c r="F10" s="1326"/>
      <c r="G10" s="1326"/>
      <c r="H10" s="1326"/>
      <c r="I10" s="1326"/>
      <c r="J10" s="1326"/>
      <c r="K10" s="1326"/>
      <c r="L10" s="1326"/>
      <c r="M10" s="1326"/>
      <c r="N10" s="1326"/>
      <c r="O10" s="1326"/>
      <c r="P10" s="1326"/>
      <c r="Q10" s="1326"/>
      <c r="R10" s="1326"/>
      <c r="S10" s="1326"/>
      <c r="T10" s="1326"/>
      <c r="U10" s="1327"/>
    </row>
    <row r="11" spans="1:21" ht="13.5" thickBot="1">
      <c r="A11" s="760"/>
      <c r="B11" s="43"/>
      <c r="C11" s="43"/>
      <c r="D11" s="43"/>
      <c r="E11" s="43"/>
      <c r="F11" s="43"/>
      <c r="G11" s="43"/>
      <c r="H11" s="43"/>
      <c r="I11" s="43"/>
      <c r="J11" s="43"/>
      <c r="K11" s="43"/>
      <c r="L11" s="43"/>
      <c r="M11" s="43"/>
      <c r="N11" s="43"/>
      <c r="O11" s="43"/>
      <c r="P11" s="43"/>
      <c r="Q11" s="43"/>
      <c r="R11" s="43"/>
      <c r="S11" s="43"/>
      <c r="T11" s="43"/>
      <c r="U11" s="44"/>
    </row>
    <row r="12" spans="1:21" ht="15.5">
      <c r="A12" s="760"/>
      <c r="B12" s="4715" t="s">
        <v>1837</v>
      </c>
      <c r="C12" s="4700" t="s">
        <v>21</v>
      </c>
      <c r="D12" s="4701"/>
      <c r="E12" s="4702"/>
      <c r="F12" s="4700" t="s">
        <v>0</v>
      </c>
      <c r="G12" s="4701"/>
      <c r="H12" s="4702"/>
      <c r="I12" s="4700" t="s">
        <v>349</v>
      </c>
      <c r="J12" s="4701"/>
      <c r="K12" s="4702"/>
      <c r="L12" s="4700" t="s">
        <v>51</v>
      </c>
      <c r="M12" s="4701"/>
      <c r="N12" s="4702"/>
      <c r="O12" s="4700" t="s">
        <v>52</v>
      </c>
      <c r="P12" s="4701"/>
      <c r="Q12" s="4702"/>
      <c r="R12" s="4700" t="s">
        <v>45</v>
      </c>
      <c r="S12" s="4701"/>
      <c r="T12" s="4702"/>
      <c r="U12" s="44"/>
    </row>
    <row r="13" spans="1:21" ht="16" thickBot="1">
      <c r="A13" s="760"/>
      <c r="B13" s="4716"/>
      <c r="C13" s="1328" t="s">
        <v>22</v>
      </c>
      <c r="D13" s="1334" t="s">
        <v>1301</v>
      </c>
      <c r="E13" s="1329" t="s">
        <v>37</v>
      </c>
      <c r="F13" s="1328" t="s">
        <v>22</v>
      </c>
      <c r="G13" s="1334" t="s">
        <v>1301</v>
      </c>
      <c r="H13" s="1329" t="s">
        <v>37</v>
      </c>
      <c r="I13" s="1328" t="s">
        <v>22</v>
      </c>
      <c r="J13" s="1334" t="s">
        <v>1301</v>
      </c>
      <c r="K13" s="1329" t="s">
        <v>37</v>
      </c>
      <c r="L13" s="1328" t="s">
        <v>22</v>
      </c>
      <c r="M13" s="1334" t="s">
        <v>1301</v>
      </c>
      <c r="N13" s="1329" t="s">
        <v>37</v>
      </c>
      <c r="O13" s="1328" t="s">
        <v>22</v>
      </c>
      <c r="P13" s="1334" t="s">
        <v>1301</v>
      </c>
      <c r="Q13" s="1329" t="s">
        <v>37</v>
      </c>
      <c r="R13" s="1328" t="s">
        <v>22</v>
      </c>
      <c r="S13" s="1334" t="s">
        <v>1301</v>
      </c>
      <c r="T13" s="1329" t="s">
        <v>37</v>
      </c>
      <c r="U13" s="44"/>
    </row>
    <row r="14" spans="1:21" ht="33.65" customHeight="1">
      <c r="A14" s="760"/>
      <c r="B14" s="1606" t="s">
        <v>1809</v>
      </c>
      <c r="C14" s="1330">
        <f>'Hrly (FL1-FL3OVHD-SSM)'!I12</f>
        <v>61.513056157500003</v>
      </c>
      <c r="D14" s="1335">
        <f>C14*'Hrly (FL1-FL3OVHD-SSM)'!$J$21</f>
        <v>123.02611231500001</v>
      </c>
      <c r="E14" s="1331">
        <f>D14*182/2000</f>
        <v>11.195376220665</v>
      </c>
      <c r="F14" s="1330">
        <f>'Hrly (FL1-FL3OVHD-SSM)'!I13</f>
        <v>122.80323892312499</v>
      </c>
      <c r="G14" s="1335">
        <f>F14*'Hrly (FL1-FL3OVHD-SSM)'!$J$21</f>
        <v>245.60647784624999</v>
      </c>
      <c r="H14" s="1331">
        <f>G14*182/2000</f>
        <v>22.350189484008748</v>
      </c>
      <c r="I14" s="1330">
        <f>'Hrly (FL1-FL3OVHD-SSM)'!F41</f>
        <v>404.28661353006083</v>
      </c>
      <c r="J14" s="1335">
        <f>I14*'Hrly (FL1-FL3OVHD-SSM)'!$J$21</f>
        <v>808.57322706012167</v>
      </c>
      <c r="K14" s="1331">
        <f>J14*182/2000</f>
        <v>73.580163662471065</v>
      </c>
      <c r="L14" s="1330">
        <f>'Hrly (FL1-FL3OVHD-SSM)'!D45</f>
        <v>0</v>
      </c>
      <c r="M14" s="1335">
        <f>L14*'Hrly (FL1-FL3OVHD-SSM)'!$J$21</f>
        <v>0</v>
      </c>
      <c r="N14" s="1331">
        <f>M14*182/2000</f>
        <v>0</v>
      </c>
      <c r="O14" s="1330">
        <f>'Hrly (FL1-FL3OVHD-SSM)'!I15</f>
        <v>3.3212505455882351</v>
      </c>
      <c r="P14" s="1335">
        <f>O14*'Hrly (FL1-FL3OVHD-SSM)'!$J$21</f>
        <v>6.6425010911764701</v>
      </c>
      <c r="Q14" s="1331">
        <f>P14*182/2000</f>
        <v>0.60446759929705873</v>
      </c>
      <c r="R14" s="1330">
        <f>'Hrly (FL1-FL3OVHD-SSM)'!F42</f>
        <v>4.4544709510301175</v>
      </c>
      <c r="S14" s="1335">
        <f>R14*'Hrly (FL1-FL3OVHD-SSM)'!$J$21</f>
        <v>8.908941902060235</v>
      </c>
      <c r="T14" s="1332">
        <f>S14*182/2000</f>
        <v>0.81071371308748141</v>
      </c>
      <c r="U14" s="44"/>
    </row>
    <row r="15" spans="1:21" s="47" customFormat="1" ht="33.65" customHeight="1">
      <c r="A15" s="760"/>
      <c r="B15" s="2595" t="s">
        <v>1825</v>
      </c>
      <c r="C15" s="2596">
        <f>'Hrly (FL1-FL3CRYO-SSM)'!I12</f>
        <v>102.42580604979864</v>
      </c>
      <c r="D15" s="2597">
        <f>'Hrly (FL1-FL3CRYO-SSM)'!I12*'Hrly (FL1-FL3CRYO-SSM)'!J21</f>
        <v>204.85161209959728</v>
      </c>
      <c r="E15" s="2598">
        <f>D15*182/2000</f>
        <v>18.641496701063353</v>
      </c>
      <c r="F15" s="2596">
        <f>'Hrly (FL1-FL3CRYO-SSM)'!I13</f>
        <v>204.48050410666323</v>
      </c>
      <c r="G15" s="2597">
        <f>'Hrly (FL1-FL3CRYO-SSM)'!I13*'Hrly (FL1-FL3CRYO-SSM)'!J21</f>
        <v>408.96100821332647</v>
      </c>
      <c r="H15" s="2598">
        <f>G15*182/2000</f>
        <v>37.215451747412708</v>
      </c>
      <c r="I15" s="2596">
        <f>'Hrly (FL1-FL3CRYO-SSM)'!F41</f>
        <v>210.13055132600644</v>
      </c>
      <c r="J15" s="2597">
        <f>'Hrly (FL1-FL3CRYO-SSM)'!F41*'Hrly (FL1-FL3CRYO-SSM)'!J21</f>
        <v>420.26110265201288</v>
      </c>
      <c r="K15" s="2598">
        <f>J15*182/2000</f>
        <v>38.243760341333171</v>
      </c>
      <c r="L15" s="2596">
        <f>'Hrly (FL1-FL3CRYO-SSM)'!D45</f>
        <v>5.0643749702923742E-2</v>
      </c>
      <c r="M15" s="2597">
        <f>L15*2</f>
        <v>0.10128749940584748</v>
      </c>
      <c r="N15" s="2598">
        <f>M15*182/2000</f>
        <v>9.2171624459321221E-3</v>
      </c>
      <c r="O15" s="2596">
        <f>'Hrly (FL1-FL3CRYO-SSM)'!I15</f>
        <v>5.2857362398266847</v>
      </c>
      <c r="P15" s="2597">
        <f>'Hrly (FL1-FL3CRYO-SSM)'!I15*'Hrly (FL1-FL3CRYO-SSM)'!J21</f>
        <v>10.571472479653369</v>
      </c>
      <c r="Q15" s="2598">
        <f>P15*182/2000</f>
        <v>0.96200399564845651</v>
      </c>
      <c r="R15" s="2596">
        <f>'Hrly (FL1-FL3CRYO-SSM)'!F42</f>
        <v>1.3117788389852012</v>
      </c>
      <c r="S15" s="2597">
        <f>'Hrly (FL1-FL3CRYO-SSM)'!F42*'Hrly (FL1-FL3CRYO-SSM)'!J21</f>
        <v>2.6235576779704024</v>
      </c>
      <c r="T15" s="2599">
        <f>S15*182/2000</f>
        <v>0.2387437486953066</v>
      </c>
      <c r="U15" s="44"/>
    </row>
    <row r="16" spans="1:21" s="47" customFormat="1" ht="33.75" customHeight="1">
      <c r="A16" s="760"/>
      <c r="B16" s="1342" t="s">
        <v>1376</v>
      </c>
      <c r="C16" s="1336">
        <f>'Hrly (FL1-FL3)'!K12</f>
        <v>1.3391568627219992</v>
      </c>
      <c r="D16" s="1337">
        <f>C16*24</f>
        <v>32.139764705327977</v>
      </c>
      <c r="E16" s="1338">
        <f>D16*365/2000</f>
        <v>5.865507058722355</v>
      </c>
      <c r="F16" s="1336">
        <f>'Hrly (FL1-FL3)'!K13</f>
        <v>2.6734617078254401</v>
      </c>
      <c r="G16" s="1337">
        <f>F16*24</f>
        <v>64.163080987810559</v>
      </c>
      <c r="H16" s="1338">
        <f>G16*365/2000</f>
        <v>11.709762280275427</v>
      </c>
      <c r="I16" s="1336">
        <f>'Hrly (FL1-FL3)'!H41</f>
        <v>0.40199007047057816</v>
      </c>
      <c r="J16" s="1337">
        <f>I16*24</f>
        <v>9.6477616912938764</v>
      </c>
      <c r="K16" s="1338">
        <f>J16*365/2000</f>
        <v>1.7607165086611323</v>
      </c>
      <c r="L16" s="1336">
        <f>'Hrly (FL1-FL3)'!F45</f>
        <v>0</v>
      </c>
      <c r="M16" s="1337">
        <f>L16*24</f>
        <v>0</v>
      </c>
      <c r="N16" s="1338">
        <f>M16*365/2000</f>
        <v>0</v>
      </c>
      <c r="O16" s="1336">
        <f>'Hrly (FL1-FL3)'!K15</f>
        <v>7.2304576276550112E-2</v>
      </c>
      <c r="P16" s="1337">
        <f>O16*24</f>
        <v>1.7353098306372026</v>
      </c>
      <c r="Q16" s="1338">
        <f>P16*365/2000</f>
        <v>0.31669404409128948</v>
      </c>
      <c r="R16" s="1600">
        <f>'Hrly (FL1-FL3)'!H42</f>
        <v>0</v>
      </c>
      <c r="S16" s="1601">
        <f>R16*24</f>
        <v>0</v>
      </c>
      <c r="T16" s="1602">
        <f>S16*365/2000</f>
        <v>0</v>
      </c>
      <c r="U16" s="44"/>
    </row>
    <row r="17" spans="1:21" s="47" customFormat="1" ht="33.75" customHeight="1">
      <c r="A17" s="760"/>
      <c r="B17" s="1342" t="s">
        <v>1377</v>
      </c>
      <c r="C17" s="1336">
        <f>'Hrly (FL1-FL3)'!K12</f>
        <v>1.3391568627219992</v>
      </c>
      <c r="D17" s="1337">
        <f>C17*24</f>
        <v>32.139764705327977</v>
      </c>
      <c r="E17" s="1338">
        <f>D17*365/2000</f>
        <v>5.865507058722355</v>
      </c>
      <c r="F17" s="1336">
        <f>'Hrly (FL1-FL3)'!K13</f>
        <v>2.6734617078254401</v>
      </c>
      <c r="G17" s="1337">
        <f>F17*24</f>
        <v>64.163080987810559</v>
      </c>
      <c r="H17" s="1338">
        <f>G17*365/2000</f>
        <v>11.709762280275427</v>
      </c>
      <c r="I17" s="1336">
        <f>'Hrly (FL1-FL3)'!H41</f>
        <v>0.40199007047057816</v>
      </c>
      <c r="J17" s="1337">
        <f>I17*24</f>
        <v>9.6477616912938764</v>
      </c>
      <c r="K17" s="1338">
        <f>J17*365/2000</f>
        <v>1.7607165086611323</v>
      </c>
      <c r="L17" s="1336">
        <f>'Hrly (FL1-FL3)'!F45</f>
        <v>0</v>
      </c>
      <c r="M17" s="1337">
        <f>L17*24</f>
        <v>0</v>
      </c>
      <c r="N17" s="1338">
        <f>M17*365/2000</f>
        <v>0</v>
      </c>
      <c r="O17" s="1336">
        <f>'Hrly (FL1-FL3)'!K15</f>
        <v>7.2304576276550112E-2</v>
      </c>
      <c r="P17" s="1337">
        <f>O17*24</f>
        <v>1.7353098306372026</v>
      </c>
      <c r="Q17" s="1338">
        <f>P17*365/2000</f>
        <v>0.31669404409128948</v>
      </c>
      <c r="R17" s="1603">
        <f>'Hrly (FL1-FL3)'!H42</f>
        <v>0</v>
      </c>
      <c r="S17" s="1604">
        <f>R17*24</f>
        <v>0</v>
      </c>
      <c r="T17" s="1605">
        <f>S17*365/2000</f>
        <v>0</v>
      </c>
      <c r="U17" s="44"/>
    </row>
    <row r="18" spans="1:21" s="47" customFormat="1" ht="33.75" customHeight="1" thickBot="1">
      <c r="A18" s="760"/>
      <c r="B18" s="1342" t="s">
        <v>1378</v>
      </c>
      <c r="C18" s="4717" t="s">
        <v>1814</v>
      </c>
      <c r="D18" s="4718"/>
      <c r="E18" s="4718"/>
      <c r="F18" s="4718"/>
      <c r="G18" s="4718"/>
      <c r="H18" s="4718"/>
      <c r="I18" s="4718"/>
      <c r="J18" s="4718"/>
      <c r="K18" s="4718"/>
      <c r="L18" s="4718"/>
      <c r="M18" s="4718"/>
      <c r="N18" s="4718"/>
      <c r="O18" s="4718"/>
      <c r="P18" s="4718"/>
      <c r="Q18" s="4718"/>
      <c r="R18" s="4718"/>
      <c r="S18" s="4718"/>
      <c r="T18" s="4719"/>
      <c r="U18" s="44"/>
    </row>
    <row r="19" spans="1:21" ht="30" customHeight="1" thickBot="1">
      <c r="A19" s="760"/>
      <c r="B19" s="1319" t="s">
        <v>44</v>
      </c>
      <c r="C19" s="1339">
        <f>SUM(C15:C18)</f>
        <v>105.10411977524262</v>
      </c>
      <c r="D19" s="1340">
        <f>SUM(D15:D18)</f>
        <v>269.13114151025326</v>
      </c>
      <c r="E19" s="1341">
        <f>SUM(E14:E18)</f>
        <v>41.567887039173065</v>
      </c>
      <c r="F19" s="1339">
        <f>SUM(F15:F18)</f>
        <v>209.82742752231414</v>
      </c>
      <c r="G19" s="1340">
        <f>SUM(G15:G18)</f>
        <v>537.28717018894758</v>
      </c>
      <c r="H19" s="1341">
        <f>SUM(H14:H18)</f>
        <v>82.985165791972307</v>
      </c>
      <c r="I19" s="1339">
        <f>I17+I16+I14</f>
        <v>405.09059367100201</v>
      </c>
      <c r="J19" s="1340">
        <f>J14+J16+J17</f>
        <v>827.86875044270948</v>
      </c>
      <c r="K19" s="1341">
        <f>SUM(K14:K18)</f>
        <v>115.3453570211265</v>
      </c>
      <c r="L19" s="1339">
        <f>SUM(L15:L18)</f>
        <v>5.0643749702923742E-2</v>
      </c>
      <c r="M19" s="1340">
        <f>SUM(M15:M18)</f>
        <v>0.10128749940584748</v>
      </c>
      <c r="N19" s="1341">
        <f>SUM(N14:N18)</f>
        <v>9.2171624459321221E-3</v>
      </c>
      <c r="O19" s="1339">
        <f>SUM(O15:O18)</f>
        <v>5.4303453923797846</v>
      </c>
      <c r="P19" s="1340">
        <f>SUM(P15:P18)</f>
        <v>14.042092140927775</v>
      </c>
      <c r="Q19" s="1341">
        <f>SUM(Q14:Q18)</f>
        <v>2.1998596831280941</v>
      </c>
      <c r="R19" s="1339">
        <f>SUM(R15:R18)</f>
        <v>1.3117788389852012</v>
      </c>
      <c r="S19" s="1340">
        <f>S14+S16+S17</f>
        <v>8.908941902060235</v>
      </c>
      <c r="T19" s="1341">
        <f>SUM(T14:T18)</f>
        <v>1.0494574617827881</v>
      </c>
      <c r="U19" s="44"/>
    </row>
    <row r="20" spans="1:21" ht="13.5" thickBot="1">
      <c r="A20" s="760"/>
      <c r="B20" s="1594"/>
      <c r="C20" s="1594"/>
      <c r="D20" s="1594"/>
      <c r="E20" s="1594"/>
      <c r="F20" s="1594"/>
      <c r="G20" s="1594"/>
      <c r="H20" s="1594"/>
      <c r="I20" s="1594"/>
      <c r="J20" s="1594"/>
      <c r="K20" s="1594"/>
      <c r="L20" s="1594"/>
      <c r="M20" s="1594"/>
      <c r="N20" s="1594"/>
      <c r="O20" s="1594"/>
      <c r="P20" s="1594"/>
      <c r="Q20" s="1594"/>
      <c r="R20" s="1594"/>
      <c r="S20" s="1594"/>
      <c r="T20" s="1594"/>
      <c r="U20" s="1333"/>
    </row>
    <row r="21" spans="1:21" s="47" customFormat="1" ht="13">
      <c r="A21" s="760"/>
      <c r="B21" s="661" t="s">
        <v>698</v>
      </c>
      <c r="C21" s="662"/>
      <c r="D21" s="663"/>
      <c r="E21" s="663"/>
      <c r="F21" s="663"/>
      <c r="G21" s="663"/>
      <c r="H21" s="663"/>
      <c r="I21" s="663"/>
      <c r="J21" s="1598"/>
      <c r="K21" s="1598"/>
      <c r="L21" s="1598"/>
      <c r="M21" s="1598"/>
      <c r="N21" s="1598"/>
      <c r="O21" s="1598"/>
      <c r="P21" s="1598"/>
      <c r="Q21" s="1598"/>
      <c r="R21" s="1599"/>
      <c r="S21" s="1595"/>
      <c r="T21" s="1595"/>
      <c r="U21" s="1333"/>
    </row>
    <row r="22" spans="1:21" s="47" customFormat="1" ht="15" customHeight="1">
      <c r="A22" s="760"/>
      <c r="B22" s="4698" t="s">
        <v>1808</v>
      </c>
      <c r="C22" s="4699"/>
      <c r="D22" s="4699"/>
      <c r="E22" s="4699"/>
      <c r="F22" s="4699"/>
      <c r="G22" s="4699"/>
      <c r="H22" s="4699"/>
      <c r="I22" s="4699"/>
      <c r="J22" s="4699"/>
      <c r="K22" s="4699"/>
      <c r="L22" s="4699"/>
      <c r="M22" s="4699"/>
      <c r="N22" s="4699"/>
      <c r="O22" s="4699"/>
      <c r="P22" s="4699"/>
      <c r="Q22" s="4699"/>
      <c r="R22" s="2600"/>
      <c r="S22" s="1595"/>
      <c r="T22" s="1595"/>
      <c r="U22" s="1333"/>
    </row>
    <row r="23" spans="1:21" s="47" customFormat="1" ht="30" customHeight="1">
      <c r="A23" s="760"/>
      <c r="B23" s="4519" t="s">
        <v>1811</v>
      </c>
      <c r="C23" s="4520"/>
      <c r="D23" s="4520"/>
      <c r="E23" s="4520"/>
      <c r="F23" s="4520"/>
      <c r="G23" s="4520"/>
      <c r="H23" s="4520"/>
      <c r="I23" s="4520"/>
      <c r="J23" s="4520"/>
      <c r="K23" s="4520"/>
      <c r="L23" s="4520"/>
      <c r="M23" s="4520"/>
      <c r="N23" s="4520"/>
      <c r="O23" s="4520"/>
      <c r="P23" s="4520"/>
      <c r="Q23" s="4520"/>
      <c r="R23" s="4521"/>
      <c r="S23" s="1595"/>
      <c r="T23" s="1595"/>
      <c r="U23" s="1333"/>
    </row>
    <row r="24" spans="1:21" s="47" customFormat="1" ht="15" customHeight="1" thickBot="1">
      <c r="A24" s="760"/>
      <c r="B24" s="4511" t="s">
        <v>1813</v>
      </c>
      <c r="C24" s="4512"/>
      <c r="D24" s="4512"/>
      <c r="E24" s="4512"/>
      <c r="F24" s="4512"/>
      <c r="G24" s="4512"/>
      <c r="H24" s="4512"/>
      <c r="I24" s="4512"/>
      <c r="J24" s="4512"/>
      <c r="K24" s="4512"/>
      <c r="L24" s="4512"/>
      <c r="M24" s="4512"/>
      <c r="N24" s="4512"/>
      <c r="O24" s="4512"/>
      <c r="P24" s="4512"/>
      <c r="Q24" s="4512"/>
      <c r="R24" s="4513"/>
      <c r="S24" s="1595"/>
      <c r="T24" s="1595"/>
      <c r="U24" s="1333"/>
    </row>
    <row r="25" spans="1:21" s="47" customFormat="1" ht="13">
      <c r="A25" s="760"/>
      <c r="B25" s="1595"/>
      <c r="C25" s="1595"/>
      <c r="D25" s="1595"/>
      <c r="E25" s="1595"/>
      <c r="F25" s="1595"/>
      <c r="G25" s="1595"/>
      <c r="H25" s="1595"/>
      <c r="I25" s="1595"/>
      <c r="J25" s="1595"/>
      <c r="K25" s="1595"/>
      <c r="L25" s="1595"/>
      <c r="M25" s="1595"/>
      <c r="N25" s="1595"/>
      <c r="O25" s="1595"/>
      <c r="P25" s="1595"/>
      <c r="Q25" s="1595"/>
      <c r="R25" s="1595"/>
      <c r="S25" s="1595"/>
      <c r="T25" s="1595"/>
      <c r="U25" s="1333"/>
    </row>
    <row r="26" spans="1:21" ht="13.5" thickBot="1">
      <c r="A26" s="1582"/>
      <c r="B26" s="1596"/>
      <c r="C26" s="1596"/>
      <c r="D26" s="1596"/>
      <c r="E26" s="1596"/>
      <c r="F26" s="1596"/>
      <c r="G26" s="1596"/>
      <c r="H26" s="1596"/>
      <c r="I26" s="1596"/>
      <c r="J26" s="1596"/>
      <c r="K26" s="1596"/>
      <c r="L26" s="1596"/>
      <c r="M26" s="1596"/>
      <c r="N26" s="1596"/>
      <c r="O26" s="1596"/>
      <c r="P26" s="1596"/>
      <c r="Q26" s="1596"/>
      <c r="R26" s="1596"/>
      <c r="S26" s="1596"/>
      <c r="T26" s="1596"/>
      <c r="U26" s="1597"/>
    </row>
  </sheetData>
  <mergeCells count="15">
    <mergeCell ref="B24:R24"/>
    <mergeCell ref="B22:Q22"/>
    <mergeCell ref="R12:T12"/>
    <mergeCell ref="B2:T2"/>
    <mergeCell ref="B3:T3"/>
    <mergeCell ref="B4:T4"/>
    <mergeCell ref="A9:U9"/>
    <mergeCell ref="B12:B13"/>
    <mergeCell ref="C12:E12"/>
    <mergeCell ref="F12:H12"/>
    <mergeCell ref="I12:K12"/>
    <mergeCell ref="L12:N12"/>
    <mergeCell ref="O12:Q12"/>
    <mergeCell ref="B23:R23"/>
    <mergeCell ref="C18:T18"/>
  </mergeCells>
  <printOptions horizontalCentered="1"/>
  <pageMargins left="0.25" right="0.25" top="0.75" bottom="0.75" header="0.3" footer="0.3"/>
  <pageSetup scale="53" orientation="portrait" r:id="rId1"/>
  <headerFooter>
    <oddFooter>&amp;CCalculations: 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3" tint="-0.249977111117893"/>
    <pageSetUpPr fitToPage="1"/>
  </sheetPr>
  <dimension ref="A1:R58"/>
  <sheetViews>
    <sheetView view="pageBreakPreview" topLeftCell="A25" zoomScale="70" zoomScaleNormal="100" zoomScaleSheetLayoutView="70" workbookViewId="0">
      <selection activeCell="E19" sqref="E19:R19"/>
    </sheetView>
  </sheetViews>
  <sheetFormatPr defaultColWidth="9.36328125" defaultRowHeight="12.5"/>
  <cols>
    <col min="1" max="1" width="5.54296875" style="47" customWidth="1"/>
    <col min="2" max="2" width="28" style="47" customWidth="1"/>
    <col min="3" max="5" width="12.453125" style="47" customWidth="1"/>
    <col min="6" max="6" width="16.6328125" style="47" customWidth="1"/>
    <col min="7" max="7" width="4" style="47" customWidth="1"/>
    <col min="8" max="8" width="13.54296875" style="47" customWidth="1"/>
    <col min="9" max="10" width="10.453125" style="47" customWidth="1"/>
    <col min="11" max="11" width="14" style="47" customWidth="1"/>
    <col min="12" max="12" width="5.54296875" style="47" customWidth="1"/>
    <col min="13" max="15" width="9.36328125" style="47"/>
    <col min="16" max="16" width="13" style="47" bestFit="1" customWidth="1"/>
    <col min="17" max="17" width="15" style="47" bestFit="1" customWidth="1"/>
    <col min="18" max="16384" width="9.36328125" style="47"/>
  </cols>
  <sheetData>
    <row r="1" spans="1:18" ht="13.5" thickBot="1">
      <c r="A1" s="640"/>
      <c r="B1" s="641"/>
      <c r="C1" s="641"/>
      <c r="D1" s="641"/>
      <c r="E1" s="641"/>
      <c r="F1" s="641"/>
      <c r="G1" s="641"/>
      <c r="H1" s="641"/>
      <c r="I1" s="641"/>
      <c r="J1" s="641"/>
      <c r="K1" s="641"/>
      <c r="L1" s="642"/>
    </row>
    <row r="2" spans="1:18" ht="20.5">
      <c r="A2" s="643"/>
      <c r="B2" s="4657" t="s">
        <v>54</v>
      </c>
      <c r="C2" s="4658"/>
      <c r="D2" s="4658"/>
      <c r="E2" s="4658"/>
      <c r="F2" s="4658"/>
      <c r="G2" s="4658"/>
      <c r="H2" s="4658"/>
      <c r="I2" s="4658"/>
      <c r="J2" s="4658"/>
      <c r="K2" s="4659"/>
      <c r="L2" s="644"/>
    </row>
    <row r="3" spans="1:18" ht="20.5">
      <c r="A3" s="643"/>
      <c r="B3" s="4660" t="str">
        <f>'TO Ann (TO1-TO3)'!B3:M3</f>
        <v>HUSKY CDP</v>
      </c>
      <c r="C3" s="4661"/>
      <c r="D3" s="4661"/>
      <c r="E3" s="4661"/>
      <c r="F3" s="4661"/>
      <c r="G3" s="4661"/>
      <c r="H3" s="4661"/>
      <c r="I3" s="4661"/>
      <c r="J3" s="4661"/>
      <c r="K3" s="4662"/>
      <c r="L3" s="644"/>
    </row>
    <row r="4" spans="1:18" ht="20" thickBot="1">
      <c r="A4" s="643"/>
      <c r="B4" s="4750" t="s">
        <v>1802</v>
      </c>
      <c r="C4" s="4751"/>
      <c r="D4" s="4751"/>
      <c r="E4" s="4751"/>
      <c r="F4" s="4751"/>
      <c r="G4" s="4751"/>
      <c r="H4" s="4751"/>
      <c r="I4" s="4751"/>
      <c r="J4" s="4751"/>
      <c r="K4" s="4752"/>
      <c r="L4" s="644"/>
    </row>
    <row r="5" spans="1:18" ht="18.5" thickBot="1">
      <c r="A5" s="645"/>
      <c r="B5" s="646"/>
      <c r="C5" s="646"/>
      <c r="D5" s="646"/>
      <c r="E5" s="646"/>
      <c r="F5" s="646"/>
      <c r="G5" s="646"/>
      <c r="H5" s="646"/>
      <c r="I5" s="646"/>
      <c r="J5" s="646"/>
      <c r="K5" s="646"/>
      <c r="L5" s="647"/>
    </row>
    <row r="6" spans="1:18" ht="16" thickBot="1">
      <c r="A6" s="4682" t="s">
        <v>1804</v>
      </c>
      <c r="B6" s="4683"/>
      <c r="C6" s="4683"/>
      <c r="D6" s="4683"/>
      <c r="E6" s="4683"/>
      <c r="F6" s="4683"/>
      <c r="G6" s="4683"/>
      <c r="H6" s="4683"/>
      <c r="I6" s="4683"/>
      <c r="J6" s="4683"/>
      <c r="K6" s="4683"/>
      <c r="L6" s="4684"/>
    </row>
    <row r="7" spans="1:18" ht="16" thickBot="1">
      <c r="A7" s="4753"/>
      <c r="B7" s="4754"/>
      <c r="C7" s="1774"/>
      <c r="D7" s="1774"/>
      <c r="E7" s="1774"/>
      <c r="F7" s="1774"/>
      <c r="G7" s="1774"/>
      <c r="H7" s="1774"/>
      <c r="I7" s="1774"/>
      <c r="J7" s="1774"/>
      <c r="K7" s="1774"/>
      <c r="L7" s="3295"/>
    </row>
    <row r="8" spans="1:18" ht="20.149999999999999" customHeight="1" thickBot="1">
      <c r="A8" s="1761"/>
      <c r="B8" s="4682" t="s">
        <v>1961</v>
      </c>
      <c r="C8" s="4671"/>
      <c r="D8" s="4671"/>
      <c r="E8" s="4671"/>
      <c r="F8" s="4654"/>
      <c r="G8" s="1765"/>
      <c r="H8" s="4747" t="s">
        <v>1956</v>
      </c>
      <c r="I8" s="4748"/>
      <c r="J8" s="4748"/>
      <c r="K8" s="4749"/>
      <c r="L8" s="1763"/>
    </row>
    <row r="9" spans="1:18" ht="13.25" customHeight="1">
      <c r="A9" s="1761"/>
      <c r="B9" s="4732" t="s">
        <v>2</v>
      </c>
      <c r="C9" s="4735" t="s">
        <v>1807</v>
      </c>
      <c r="D9" s="4737" t="s">
        <v>19</v>
      </c>
      <c r="E9" s="4739" t="s">
        <v>683</v>
      </c>
      <c r="F9" s="4518" t="s">
        <v>700</v>
      </c>
      <c r="G9" s="3088"/>
      <c r="H9" s="4742" t="s">
        <v>2</v>
      </c>
      <c r="I9" s="4745" t="s">
        <v>685</v>
      </c>
      <c r="J9" s="4516" t="s">
        <v>686</v>
      </c>
      <c r="K9" s="4518" t="s">
        <v>687</v>
      </c>
      <c r="L9" s="1763"/>
      <c r="N9" s="48"/>
      <c r="O9" s="650" t="s">
        <v>688</v>
      </c>
      <c r="P9" s="650"/>
      <c r="Q9" s="650">
        <v>34.08</v>
      </c>
      <c r="R9" s="650"/>
    </row>
    <row r="10" spans="1:18" ht="36.75" customHeight="1">
      <c r="A10" s="1761"/>
      <c r="B10" s="4733"/>
      <c r="C10" s="4736"/>
      <c r="D10" s="4738"/>
      <c r="E10" s="4740"/>
      <c r="F10" s="4741"/>
      <c r="G10" s="3088"/>
      <c r="H10" s="4743"/>
      <c r="I10" s="4746"/>
      <c r="J10" s="4720"/>
      <c r="K10" s="4722"/>
      <c r="L10" s="1763"/>
      <c r="N10" s="48"/>
      <c r="O10" s="650" t="s">
        <v>689</v>
      </c>
      <c r="P10" s="650"/>
      <c r="Q10" s="650">
        <v>64.06</v>
      </c>
      <c r="R10" s="650"/>
    </row>
    <row r="11" spans="1:18" ht="15" customHeight="1" thickBot="1">
      <c r="A11" s="1761"/>
      <c r="B11" s="4734"/>
      <c r="C11" s="3092" t="s">
        <v>56</v>
      </c>
      <c r="D11" s="3093" t="s">
        <v>56</v>
      </c>
      <c r="E11" s="3091" t="s">
        <v>690</v>
      </c>
      <c r="F11" s="3094" t="s">
        <v>56</v>
      </c>
      <c r="G11" s="1765"/>
      <c r="H11" s="4744"/>
      <c r="I11" s="3241" t="s">
        <v>56</v>
      </c>
      <c r="J11" s="4721"/>
      <c r="K11" s="4723"/>
      <c r="L11" s="1763"/>
      <c r="N11" s="48"/>
      <c r="O11" s="650" t="s">
        <v>691</v>
      </c>
      <c r="P11" s="650"/>
      <c r="Q11" s="651">
        <v>0.99</v>
      </c>
      <c r="R11" s="651"/>
    </row>
    <row r="12" spans="1:18" ht="18.5">
      <c r="A12" s="1761"/>
      <c r="B12" s="3133" t="s">
        <v>298</v>
      </c>
      <c r="C12" s="1870">
        <f>'CDP + Flare PStreams'!G65</f>
        <v>0</v>
      </c>
      <c r="D12" s="1866">
        <f t="shared" ref="D12:D39" si="0">SUM(C12:C12)</f>
        <v>0</v>
      </c>
      <c r="E12" s="3098">
        <v>0</v>
      </c>
      <c r="F12" s="3099">
        <f>D12*(1-E12)</f>
        <v>0</v>
      </c>
      <c r="G12" s="3100"/>
      <c r="H12" s="3101" t="s">
        <v>1949</v>
      </c>
      <c r="I12" s="3243">
        <f>J12*D47</f>
        <v>102.42580604979864</v>
      </c>
      <c r="J12" s="3212">
        <v>0.13800000000000001</v>
      </c>
      <c r="K12" s="3213" t="s">
        <v>287</v>
      </c>
      <c r="L12" s="1763"/>
      <c r="M12" s="42" t="s">
        <v>1907</v>
      </c>
      <c r="N12" s="48"/>
      <c r="O12" s="48"/>
      <c r="P12" s="48"/>
      <c r="Q12" s="48"/>
      <c r="R12" s="48"/>
    </row>
    <row r="13" spans="1:18" ht="15.5">
      <c r="A13" s="1761"/>
      <c r="B13" s="3187" t="s">
        <v>5</v>
      </c>
      <c r="C13" s="1870">
        <f>'CDP + Flare PStreams'!G66</f>
        <v>2.6942538087350001E-2</v>
      </c>
      <c r="D13" s="3285">
        <f t="shared" si="0"/>
        <v>2.6942538087350001E-2</v>
      </c>
      <c r="E13" s="3107">
        <v>0.98</v>
      </c>
      <c r="F13" s="3108">
        <f>D13*(1-E13)</f>
        <v>5.3885076174700044E-4</v>
      </c>
      <c r="G13" s="3100"/>
      <c r="H13" s="3245" t="s">
        <v>0</v>
      </c>
      <c r="I13" s="3246">
        <f>J13*D47</f>
        <v>204.48050410666323</v>
      </c>
      <c r="J13" s="3216">
        <v>0.27550000000000002</v>
      </c>
      <c r="K13" s="3217" t="s">
        <v>287</v>
      </c>
      <c r="L13" s="1763"/>
    </row>
    <row r="14" spans="1:18" ht="18.5">
      <c r="A14" s="1761"/>
      <c r="B14" s="3187" t="s">
        <v>4</v>
      </c>
      <c r="C14" s="1870">
        <f>'CDP + Flare PStreams'!G67</f>
        <v>354.40536797919998</v>
      </c>
      <c r="D14" s="3285">
        <f t="shared" si="0"/>
        <v>354.40536797919998</v>
      </c>
      <c r="E14" s="3107">
        <v>0</v>
      </c>
      <c r="F14" s="3108">
        <f>D14*(1-E14)</f>
        <v>354.40536797919998</v>
      </c>
      <c r="G14" s="3100"/>
      <c r="H14" s="3245" t="s">
        <v>51</v>
      </c>
      <c r="I14" s="3247">
        <f>D45</f>
        <v>5.0643749702923742E-2</v>
      </c>
      <c r="J14" s="3248" t="s">
        <v>445</v>
      </c>
      <c r="K14" s="3249" t="s">
        <v>445</v>
      </c>
      <c r="L14" s="1763"/>
    </row>
    <row r="15" spans="1:18" ht="18.5">
      <c r="A15" s="1761"/>
      <c r="B15" s="3187" t="s">
        <v>3</v>
      </c>
      <c r="C15" s="1870">
        <f>'CDP + Flare PStreams'!G68</f>
        <v>118.3150080477</v>
      </c>
      <c r="D15" s="3285">
        <f t="shared" si="0"/>
        <v>118.3150080477</v>
      </c>
      <c r="E15" s="3107">
        <v>0</v>
      </c>
      <c r="F15" s="3108">
        <f>D15*(1-E15)</f>
        <v>118.3150080477</v>
      </c>
      <c r="G15" s="3100"/>
      <c r="H15" s="3245" t="s">
        <v>1950</v>
      </c>
      <c r="I15" s="3247">
        <f>J15*$D$46/10^6*F40/1020</f>
        <v>5.2857362398266847</v>
      </c>
      <c r="J15" s="1900">
        <v>7.6</v>
      </c>
      <c r="K15" s="3250" t="s">
        <v>587</v>
      </c>
      <c r="L15" s="1763"/>
    </row>
    <row r="16" spans="1:18" ht="18.5">
      <c r="A16" s="1761"/>
      <c r="B16" s="3187" t="s">
        <v>6</v>
      </c>
      <c r="C16" s="1870">
        <f>'CDP + Flare PStreams'!G69</f>
        <v>17637.02011718</v>
      </c>
      <c r="D16" s="3285">
        <f t="shared" si="0"/>
        <v>17637.02011718</v>
      </c>
      <c r="E16" s="3107">
        <f t="shared" ref="E16:E39" si="1">$J$19/100</f>
        <v>0.98</v>
      </c>
      <c r="F16" s="3108">
        <f t="shared" ref="F16:F39" si="2">D16*(1-E16)</f>
        <v>352.74040234360029</v>
      </c>
      <c r="G16" s="3100"/>
      <c r="H16" s="3245" t="s">
        <v>1951</v>
      </c>
      <c r="I16" s="3247">
        <f>J16*$D$46/10^6*F40/1020</f>
        <v>5.2857362398266847</v>
      </c>
      <c r="J16" s="1900">
        <v>7.6</v>
      </c>
      <c r="K16" s="3250" t="s">
        <v>587</v>
      </c>
      <c r="L16" s="1763"/>
    </row>
    <row r="17" spans="1:12" ht="19" thickBot="1">
      <c r="A17" s="1761"/>
      <c r="B17" s="3187" t="s">
        <v>7</v>
      </c>
      <c r="C17" s="1870">
        <f>'CDP + Flare PStreams'!G70</f>
        <v>7337.1934654349998</v>
      </c>
      <c r="D17" s="3285">
        <f t="shared" si="0"/>
        <v>7337.1934654349998</v>
      </c>
      <c r="E17" s="3107">
        <f t="shared" si="1"/>
        <v>0.98</v>
      </c>
      <c r="F17" s="3108">
        <f t="shared" si="2"/>
        <v>146.74386930870011</v>
      </c>
      <c r="G17" s="3100"/>
      <c r="H17" s="3251" t="s">
        <v>1952</v>
      </c>
      <c r="I17" s="3252">
        <f>F13</f>
        <v>5.3885076174700044E-4</v>
      </c>
      <c r="J17" s="3253" t="s">
        <v>445</v>
      </c>
      <c r="K17" s="3254" t="s">
        <v>445</v>
      </c>
      <c r="L17" s="1763"/>
    </row>
    <row r="18" spans="1:12" ht="16" thickBot="1">
      <c r="A18" s="1761"/>
      <c r="B18" s="3187" t="s">
        <v>8</v>
      </c>
      <c r="C18" s="1870">
        <f>'CDP + Flare PStreams'!G71</f>
        <v>6122.579752736</v>
      </c>
      <c r="D18" s="3285">
        <f t="shared" si="0"/>
        <v>6122.579752736</v>
      </c>
      <c r="E18" s="3107">
        <f t="shared" si="1"/>
        <v>0.98</v>
      </c>
      <c r="F18" s="3108">
        <f t="shared" si="2"/>
        <v>122.45159505472012</v>
      </c>
      <c r="G18" s="3100"/>
      <c r="H18" s="3123"/>
      <c r="I18" s="3124"/>
      <c r="J18" s="3125"/>
      <c r="K18" s="1766"/>
      <c r="L18" s="1763"/>
    </row>
    <row r="19" spans="1:12" ht="16" thickBot="1">
      <c r="A19" s="1761"/>
      <c r="B19" s="3187" t="s">
        <v>747</v>
      </c>
      <c r="C19" s="1870">
        <f>'CDP + Flare PStreams'!G72</f>
        <v>974.29930227529997</v>
      </c>
      <c r="D19" s="3285">
        <f t="shared" si="0"/>
        <v>974.29930227529997</v>
      </c>
      <c r="E19" s="3107">
        <f t="shared" si="1"/>
        <v>0.98</v>
      </c>
      <c r="F19" s="3108">
        <f t="shared" si="2"/>
        <v>19.485986045506017</v>
      </c>
      <c r="G19" s="3100"/>
      <c r="H19" s="4724" t="s">
        <v>744</v>
      </c>
      <c r="I19" s="4725"/>
      <c r="J19" s="3126">
        <v>98</v>
      </c>
      <c r="K19" s="3127" t="s">
        <v>296</v>
      </c>
      <c r="L19" s="3222"/>
    </row>
    <row r="20" spans="1:12" ht="16" thickBot="1">
      <c r="A20" s="1761"/>
      <c r="B20" s="3187" t="s">
        <v>748</v>
      </c>
      <c r="C20" s="1870">
        <f>'CDP + Flare PStreams'!G73</f>
        <v>2233.5351929520002</v>
      </c>
      <c r="D20" s="3285">
        <f t="shared" si="0"/>
        <v>2233.5351929520002</v>
      </c>
      <c r="E20" s="3107">
        <f t="shared" si="1"/>
        <v>0.98</v>
      </c>
      <c r="F20" s="3108">
        <f t="shared" si="2"/>
        <v>44.670703859040046</v>
      </c>
      <c r="G20" s="3100"/>
      <c r="H20" s="3123"/>
      <c r="I20" s="3124"/>
      <c r="J20" s="3125"/>
      <c r="K20" s="1766"/>
      <c r="L20" s="1763"/>
    </row>
    <row r="21" spans="1:12" ht="15.5">
      <c r="A21" s="1761"/>
      <c r="B21" s="3187" t="s">
        <v>749</v>
      </c>
      <c r="C21" s="1870">
        <f>'CDP + Flare PStreams'!G74</f>
        <v>467.79689002909998</v>
      </c>
      <c r="D21" s="3285">
        <f t="shared" si="0"/>
        <v>467.79689002909998</v>
      </c>
      <c r="E21" s="3107">
        <f t="shared" si="1"/>
        <v>0.98</v>
      </c>
      <c r="F21" s="3108">
        <f t="shared" si="2"/>
        <v>9.3559378005820086</v>
      </c>
      <c r="G21" s="3100"/>
      <c r="H21" s="4516" t="s">
        <v>1801</v>
      </c>
      <c r="I21" s="4726"/>
      <c r="J21" s="1835">
        <v>2</v>
      </c>
      <c r="K21" s="3270" t="s">
        <v>1302</v>
      </c>
      <c r="L21" s="1763"/>
    </row>
    <row r="22" spans="1:12" ht="16" thickBot="1">
      <c r="A22" s="1761"/>
      <c r="B22" s="3187" t="s">
        <v>750</v>
      </c>
      <c r="C22" s="1870">
        <f>'CDP + Flare PStreams'!G75</f>
        <v>422.15816905060001</v>
      </c>
      <c r="D22" s="3285">
        <f t="shared" si="0"/>
        <v>422.15816905060001</v>
      </c>
      <c r="E22" s="3107">
        <f t="shared" si="1"/>
        <v>0.98</v>
      </c>
      <c r="F22" s="3108">
        <f t="shared" si="2"/>
        <v>8.4431633810120079</v>
      </c>
      <c r="G22" s="3100"/>
      <c r="H22" s="4727"/>
      <c r="I22" s="4728"/>
      <c r="J22" s="3186">
        <f>J21*182</f>
        <v>364</v>
      </c>
      <c r="K22" s="3271" t="s">
        <v>1303</v>
      </c>
      <c r="L22" s="1763"/>
    </row>
    <row r="23" spans="1:12" ht="15.5">
      <c r="A23" s="1761"/>
      <c r="B23" s="3187" t="s">
        <v>800</v>
      </c>
      <c r="C23" s="1870">
        <f>'CDP + Flare PStreams'!G76</f>
        <v>0</v>
      </c>
      <c r="D23" s="3285">
        <f t="shared" si="0"/>
        <v>0</v>
      </c>
      <c r="E23" s="3107">
        <f t="shared" si="1"/>
        <v>0.98</v>
      </c>
      <c r="F23" s="3108">
        <f t="shared" si="2"/>
        <v>0</v>
      </c>
      <c r="G23" s="3100"/>
      <c r="H23" s="3123"/>
      <c r="I23" s="3124"/>
      <c r="J23" s="3125"/>
      <c r="K23" s="1766"/>
      <c r="L23" s="1763"/>
    </row>
    <row r="24" spans="1:12" ht="15.5">
      <c r="A24" s="1761"/>
      <c r="B24" s="3187" t="s">
        <v>292</v>
      </c>
      <c r="C24" s="1870">
        <f>'CDP + Flare PStreams'!G77</f>
        <v>122.6507187381</v>
      </c>
      <c r="D24" s="3285">
        <f t="shared" si="0"/>
        <v>122.6507187381</v>
      </c>
      <c r="E24" s="3107">
        <f t="shared" si="1"/>
        <v>0.98</v>
      </c>
      <c r="F24" s="3108">
        <f t="shared" si="2"/>
        <v>2.4530143747620019</v>
      </c>
      <c r="G24" s="3100"/>
      <c r="H24" s="3123"/>
      <c r="I24" s="3124"/>
      <c r="J24" s="3125"/>
      <c r="K24" s="1766"/>
      <c r="L24" s="1763"/>
    </row>
    <row r="25" spans="1:12" ht="15.5">
      <c r="A25" s="1761"/>
      <c r="B25" s="3187" t="s">
        <v>10</v>
      </c>
      <c r="C25" s="1870">
        <f>'CDP + Flare PStreams'!G78</f>
        <v>40.883572912710001</v>
      </c>
      <c r="D25" s="3285">
        <f t="shared" si="0"/>
        <v>40.883572912710001</v>
      </c>
      <c r="E25" s="3107">
        <f t="shared" si="1"/>
        <v>0.98</v>
      </c>
      <c r="F25" s="3108">
        <f t="shared" si="2"/>
        <v>0.81767145825420073</v>
      </c>
      <c r="G25" s="3100"/>
      <c r="H25" s="3123"/>
      <c r="I25" s="3124"/>
      <c r="J25" s="3125"/>
      <c r="K25" s="1766"/>
      <c r="L25" s="1763"/>
    </row>
    <row r="26" spans="1:12" ht="15.5">
      <c r="A26" s="1761"/>
      <c r="B26" s="3187" t="s">
        <v>9</v>
      </c>
      <c r="C26" s="1870">
        <f>'CDP + Flare PStreams'!G79</f>
        <v>26.618128715489998</v>
      </c>
      <c r="D26" s="3285">
        <f t="shared" si="0"/>
        <v>26.618128715489998</v>
      </c>
      <c r="E26" s="3107">
        <f t="shared" si="1"/>
        <v>0.98</v>
      </c>
      <c r="F26" s="3108">
        <f t="shared" si="2"/>
        <v>0.53236257430980038</v>
      </c>
      <c r="G26" s="3100"/>
      <c r="H26" s="3123"/>
      <c r="I26" s="3124"/>
      <c r="J26" s="3125"/>
      <c r="K26" s="1766"/>
      <c r="L26" s="1763"/>
    </row>
    <row r="27" spans="1:12" ht="15.5">
      <c r="A27" s="1761"/>
      <c r="B27" s="3187" t="s">
        <v>11</v>
      </c>
      <c r="C27" s="1870">
        <f>'CDP + Flare PStreams'!G80</f>
        <v>24.70536903655</v>
      </c>
      <c r="D27" s="3285">
        <f t="shared" si="0"/>
        <v>24.70536903655</v>
      </c>
      <c r="E27" s="3107">
        <f t="shared" si="1"/>
        <v>0.98</v>
      </c>
      <c r="F27" s="3108">
        <f t="shared" si="2"/>
        <v>0.49410738073100041</v>
      </c>
      <c r="G27" s="3100"/>
      <c r="H27" s="3123"/>
      <c r="I27" s="3124"/>
      <c r="J27" s="3125"/>
      <c r="K27" s="1766"/>
      <c r="L27" s="1763"/>
    </row>
    <row r="28" spans="1:12" ht="15.5">
      <c r="A28" s="1761"/>
      <c r="B28" s="3187" t="s">
        <v>12</v>
      </c>
      <c r="C28" s="1870">
        <f>'CDP + Flare PStreams'!G81</f>
        <v>39.927193073230001</v>
      </c>
      <c r="D28" s="3285">
        <f t="shared" si="0"/>
        <v>39.927193073230001</v>
      </c>
      <c r="E28" s="3107">
        <f t="shared" si="1"/>
        <v>0.98</v>
      </c>
      <c r="F28" s="3108">
        <f t="shared" si="2"/>
        <v>0.79854386146460077</v>
      </c>
      <c r="G28" s="3100"/>
      <c r="H28" s="3123"/>
      <c r="I28" s="3124"/>
      <c r="J28" s="3125"/>
      <c r="K28" s="1766"/>
      <c r="L28" s="1763"/>
    </row>
    <row r="29" spans="1:12" ht="15.5">
      <c r="A29" s="1761"/>
      <c r="B29" s="3187" t="s">
        <v>286</v>
      </c>
      <c r="C29" s="1870">
        <f>'CDP + Flare PStreams'!G82</f>
        <v>0</v>
      </c>
      <c r="D29" s="3285">
        <f t="shared" si="0"/>
        <v>0</v>
      </c>
      <c r="E29" s="3107">
        <f t="shared" si="1"/>
        <v>0.98</v>
      </c>
      <c r="F29" s="3108">
        <f t="shared" si="2"/>
        <v>0</v>
      </c>
      <c r="G29" s="3100"/>
      <c r="H29" s="3123"/>
      <c r="I29" s="3124"/>
      <c r="J29" s="3125"/>
      <c r="K29" s="1766"/>
      <c r="L29" s="1763"/>
    </row>
    <row r="30" spans="1:12" ht="15.5">
      <c r="A30" s="1761"/>
      <c r="B30" s="3187" t="s">
        <v>801</v>
      </c>
      <c r="C30" s="1870">
        <f>'CDP + Flare PStreams'!G83</f>
        <v>15.84603503053</v>
      </c>
      <c r="D30" s="3285">
        <f t="shared" si="0"/>
        <v>15.84603503053</v>
      </c>
      <c r="E30" s="3107">
        <f t="shared" si="1"/>
        <v>0.98</v>
      </c>
      <c r="F30" s="3108">
        <f t="shared" si="2"/>
        <v>0.31692070061060029</v>
      </c>
      <c r="G30" s="3100"/>
      <c r="H30" s="3123"/>
      <c r="I30" s="3124"/>
      <c r="J30" s="3125"/>
      <c r="K30" s="1766"/>
      <c r="L30" s="1763"/>
    </row>
    <row r="31" spans="1:12" ht="15.5">
      <c r="A31" s="1761"/>
      <c r="B31" s="3187" t="s">
        <v>65</v>
      </c>
      <c r="C31" s="1870">
        <f>'CDP + Flare PStreams'!G84</f>
        <v>15.5272417507</v>
      </c>
      <c r="D31" s="3285">
        <f t="shared" si="0"/>
        <v>15.5272417507</v>
      </c>
      <c r="E31" s="3107">
        <f t="shared" si="1"/>
        <v>0.98</v>
      </c>
      <c r="F31" s="3108">
        <f t="shared" si="2"/>
        <v>0.31054483501400026</v>
      </c>
      <c r="G31" s="3100"/>
      <c r="H31" s="3123"/>
      <c r="I31" s="3124"/>
      <c r="J31" s="3125"/>
      <c r="K31" s="1766"/>
      <c r="L31" s="1763"/>
    </row>
    <row r="32" spans="1:12" ht="15.5">
      <c r="A32" s="1761"/>
      <c r="B32" s="3187" t="s">
        <v>13</v>
      </c>
      <c r="C32" s="1870">
        <f>'CDP + Flare PStreams'!G85</f>
        <v>0</v>
      </c>
      <c r="D32" s="3285">
        <f t="shared" si="0"/>
        <v>0</v>
      </c>
      <c r="E32" s="3107">
        <f t="shared" si="1"/>
        <v>0.98</v>
      </c>
      <c r="F32" s="3108">
        <f t="shared" si="2"/>
        <v>0</v>
      </c>
      <c r="G32" s="3100"/>
      <c r="H32" s="3123"/>
      <c r="I32" s="3124"/>
      <c r="J32" s="3125"/>
      <c r="K32" s="1766"/>
      <c r="L32" s="1763"/>
    </row>
    <row r="33" spans="1:13" ht="15.5">
      <c r="A33" s="1761"/>
      <c r="B33" s="3187" t="s">
        <v>14</v>
      </c>
      <c r="C33" s="1870">
        <f>'CDP + Flare PStreams'!G86</f>
        <v>0</v>
      </c>
      <c r="D33" s="3285">
        <f t="shared" si="0"/>
        <v>0</v>
      </c>
      <c r="E33" s="3107">
        <f t="shared" si="1"/>
        <v>0.98</v>
      </c>
      <c r="F33" s="3108">
        <f t="shared" si="2"/>
        <v>0</v>
      </c>
      <c r="G33" s="3100"/>
      <c r="H33" s="3123"/>
      <c r="I33" s="3124"/>
      <c r="J33" s="3125"/>
      <c r="K33" s="1766"/>
      <c r="L33" s="1763"/>
    </row>
    <row r="34" spans="1:13" ht="15.5">
      <c r="A34" s="1761"/>
      <c r="B34" s="3187" t="s">
        <v>804</v>
      </c>
      <c r="C34" s="1870">
        <f>'CDP + Flare PStreams'!G87</f>
        <v>0</v>
      </c>
      <c r="D34" s="3285">
        <f t="shared" si="0"/>
        <v>0</v>
      </c>
      <c r="E34" s="3107">
        <f t="shared" si="1"/>
        <v>0.98</v>
      </c>
      <c r="F34" s="3108">
        <f t="shared" si="2"/>
        <v>0</v>
      </c>
      <c r="G34" s="3100"/>
      <c r="H34" s="3123"/>
      <c r="I34" s="3124"/>
      <c r="J34" s="3125"/>
      <c r="K34" s="1766"/>
      <c r="L34" s="1763"/>
    </row>
    <row r="35" spans="1:13" ht="15.5">
      <c r="A35" s="1761"/>
      <c r="B35" s="3187" t="s">
        <v>16</v>
      </c>
      <c r="C35" s="1870">
        <f>'CDP + Flare PStreams'!G88</f>
        <v>0</v>
      </c>
      <c r="D35" s="3285">
        <f t="shared" si="0"/>
        <v>0</v>
      </c>
      <c r="E35" s="3107">
        <f t="shared" si="1"/>
        <v>0.98</v>
      </c>
      <c r="F35" s="3108">
        <f t="shared" si="2"/>
        <v>0</v>
      </c>
      <c r="G35" s="3100"/>
      <c r="H35" s="3123"/>
      <c r="I35" s="3124"/>
      <c r="J35" s="3125"/>
      <c r="K35" s="1766"/>
      <c r="L35" s="1763"/>
    </row>
    <row r="36" spans="1:13" ht="15.5">
      <c r="A36" s="1761"/>
      <c r="B36" s="3187" t="s">
        <v>802</v>
      </c>
      <c r="C36" s="1870">
        <f>'CDP + Flare PStreams'!G89</f>
        <v>0</v>
      </c>
      <c r="D36" s="3285">
        <f t="shared" si="0"/>
        <v>0</v>
      </c>
      <c r="E36" s="3107">
        <f t="shared" si="1"/>
        <v>0.98</v>
      </c>
      <c r="F36" s="3108">
        <f t="shared" si="2"/>
        <v>0</v>
      </c>
      <c r="G36" s="3100"/>
      <c r="H36" s="3123"/>
      <c r="I36" s="3124"/>
      <c r="J36" s="3125"/>
      <c r="K36" s="1766"/>
      <c r="L36" s="1763"/>
    </row>
    <row r="37" spans="1:13" ht="15.5">
      <c r="A37" s="1761"/>
      <c r="B37" s="3187" t="s">
        <v>803</v>
      </c>
      <c r="C37" s="1870">
        <f>'CDP + Flare PStreams'!G90</f>
        <v>0</v>
      </c>
      <c r="D37" s="3285">
        <f t="shared" si="0"/>
        <v>0</v>
      </c>
      <c r="E37" s="3107">
        <f t="shared" si="1"/>
        <v>0.98</v>
      </c>
      <c r="F37" s="3108">
        <f t="shared" si="2"/>
        <v>0</v>
      </c>
      <c r="G37" s="3100"/>
      <c r="H37" s="3123"/>
      <c r="I37" s="3124"/>
      <c r="J37" s="3125"/>
      <c r="K37" s="1766"/>
      <c r="L37" s="1763"/>
    </row>
    <row r="38" spans="1:13" ht="15.5">
      <c r="A38" s="1761"/>
      <c r="B38" s="3187" t="s">
        <v>805</v>
      </c>
      <c r="C38" s="1870">
        <f>'CDP + Flare PStreams'!G91</f>
        <v>0</v>
      </c>
      <c r="D38" s="3285">
        <f t="shared" si="0"/>
        <v>0</v>
      </c>
      <c r="E38" s="3107">
        <f t="shared" si="1"/>
        <v>0.98</v>
      </c>
      <c r="F38" s="3108">
        <f t="shared" si="2"/>
        <v>0</v>
      </c>
      <c r="G38" s="3100"/>
      <c r="H38" s="3123"/>
      <c r="I38" s="3124"/>
      <c r="J38" s="3125"/>
      <c r="K38" s="1766"/>
      <c r="L38" s="1763"/>
    </row>
    <row r="39" spans="1:13" ht="16" thickBot="1">
      <c r="A39" s="1761"/>
      <c r="B39" s="3189" t="s">
        <v>752</v>
      </c>
      <c r="C39" s="1870">
        <f>'CDP + Flare PStreams'!G92</f>
        <v>0</v>
      </c>
      <c r="D39" s="3286">
        <f t="shared" si="0"/>
        <v>0</v>
      </c>
      <c r="E39" s="3131">
        <f t="shared" si="1"/>
        <v>0.98</v>
      </c>
      <c r="F39" s="3132">
        <f t="shared" si="2"/>
        <v>0</v>
      </c>
      <c r="G39" s="3100"/>
      <c r="H39" s="3123"/>
      <c r="I39" s="3124"/>
      <c r="J39" s="3125"/>
      <c r="K39" s="1766"/>
      <c r="L39" s="1763"/>
    </row>
    <row r="40" spans="1:13" ht="15.5">
      <c r="A40" s="1761"/>
      <c r="B40" s="3133" t="s">
        <v>692</v>
      </c>
      <c r="C40" s="3134">
        <f>SUM(C12:C39)</f>
        <v>35953.488467480303</v>
      </c>
      <c r="D40" s="3136">
        <f>SUM(D12:D39)</f>
        <v>35953.488467480303</v>
      </c>
      <c r="E40" s="3287" t="s">
        <v>445</v>
      </c>
      <c r="F40" s="3099">
        <f>SUM(F12:F39)</f>
        <v>1182.335737855969</v>
      </c>
      <c r="G40" s="3100"/>
      <c r="H40" s="1762"/>
      <c r="I40" s="1762"/>
      <c r="J40" s="1762"/>
      <c r="K40" s="1762"/>
      <c r="L40" s="1763"/>
    </row>
    <row r="41" spans="1:13" ht="15.5">
      <c r="A41" s="1761"/>
      <c r="B41" s="3187" t="s">
        <v>55</v>
      </c>
      <c r="C41" s="3188">
        <f>SUM(C18:C39)</f>
        <v>10506.527566300312</v>
      </c>
      <c r="D41" s="3141">
        <f>SUM(D18:D39)</f>
        <v>10506.527566300312</v>
      </c>
      <c r="E41" s="3288" t="s">
        <v>445</v>
      </c>
      <c r="F41" s="3108">
        <f>SUM(F18:F39)</f>
        <v>210.13055132600644</v>
      </c>
      <c r="G41" s="3100"/>
      <c r="H41" s="1762"/>
      <c r="I41" s="1762"/>
      <c r="J41" s="1762"/>
      <c r="K41" s="1762"/>
      <c r="L41" s="1763"/>
    </row>
    <row r="42" spans="1:13" ht="16" thickBot="1">
      <c r="A42" s="1761"/>
      <c r="B42" s="3189" t="s">
        <v>693</v>
      </c>
      <c r="C42" s="3289">
        <f>SUM(C25,C33,C35,C36,C27,C29)</f>
        <v>65.588941949260004</v>
      </c>
      <c r="D42" s="3146">
        <f>SUM(D25,D33,D35,D36,D27,D29)</f>
        <v>65.588941949260004</v>
      </c>
      <c r="E42" s="3290" t="s">
        <v>445</v>
      </c>
      <c r="F42" s="3148">
        <f>SUM(F25,F33,F35,F36,F27,F29)</f>
        <v>1.3117788389852012</v>
      </c>
      <c r="G42" s="3100"/>
      <c r="H42" s="1762"/>
      <c r="I42" s="1762"/>
      <c r="J42" s="1762"/>
      <c r="K42" s="1762"/>
      <c r="L42" s="1763"/>
    </row>
    <row r="43" spans="1:13" ht="15.5">
      <c r="A43" s="1761"/>
      <c r="B43" s="3277" t="s">
        <v>694</v>
      </c>
      <c r="C43" s="3291">
        <f>'CDP + Flare PStreams'!G135</f>
        <v>1237.0266431135101</v>
      </c>
      <c r="D43" s="3256">
        <f>SUMPRODUCT(C43:C43,C46:C46)/D46</f>
        <v>1237.0266431135101</v>
      </c>
      <c r="E43" s="1762"/>
      <c r="F43" s="1762"/>
      <c r="G43" s="1762"/>
      <c r="H43" s="1762"/>
      <c r="I43" s="1762"/>
      <c r="J43" s="1762"/>
      <c r="K43" s="1762"/>
      <c r="L43" s="1763"/>
    </row>
    <row r="44" spans="1:13" ht="15.5">
      <c r="A44" s="1761"/>
      <c r="B44" s="3279" t="s">
        <v>20</v>
      </c>
      <c r="C44" s="3292">
        <f>'CDP + Flare PStreams'!G131</f>
        <v>22.739620047506499</v>
      </c>
      <c r="D44" s="3258" t="s">
        <v>445</v>
      </c>
      <c r="E44" s="3157"/>
      <c r="F44" s="3157"/>
      <c r="G44" s="3157"/>
      <c r="H44" s="3157"/>
      <c r="I44" s="3157"/>
      <c r="J44" s="3157"/>
      <c r="K44" s="3157"/>
      <c r="L44" s="3158"/>
    </row>
    <row r="45" spans="1:13" ht="15.5">
      <c r="A45" s="1761"/>
      <c r="B45" s="3279" t="s">
        <v>695</v>
      </c>
      <c r="C45" s="3293">
        <f>C13*($Q$10/$Q$9)</f>
        <v>5.0643749702923742E-2</v>
      </c>
      <c r="D45" s="3261">
        <f>C45</f>
        <v>5.0643749702923742E-2</v>
      </c>
      <c r="E45" s="3157"/>
      <c r="F45" s="3157"/>
      <c r="G45" s="3157"/>
      <c r="H45" s="3157"/>
      <c r="I45" s="3157"/>
      <c r="J45" s="3157"/>
      <c r="K45" s="3157"/>
      <c r="L45" s="3158"/>
    </row>
    <row r="46" spans="1:13" ht="15.5">
      <c r="A46" s="1761"/>
      <c r="B46" s="3279" t="s">
        <v>696</v>
      </c>
      <c r="C46" s="3292">
        <f>'CDP + Flare PStreams'!G133*10^6/24</f>
        <v>600000</v>
      </c>
      <c r="D46" s="3261">
        <f>SUM(C46:C46)</f>
        <v>600000</v>
      </c>
      <c r="E46" s="3157"/>
      <c r="F46" s="3157"/>
      <c r="G46" s="3157"/>
      <c r="H46" s="3157"/>
      <c r="I46" s="3157"/>
      <c r="J46" s="3157"/>
      <c r="K46" s="3157"/>
      <c r="L46" s="3158"/>
    </row>
    <row r="47" spans="1:13" ht="16" thickBot="1">
      <c r="A47" s="1761"/>
      <c r="B47" s="3283" t="s">
        <v>697</v>
      </c>
      <c r="C47" s="3294">
        <f>C43*C46/10^6</f>
        <v>742.21598586810603</v>
      </c>
      <c r="D47" s="3263">
        <f>SUMPRODUCT(C43:C43,C46:C46)/10^6</f>
        <v>742.21598586810603</v>
      </c>
      <c r="E47" s="3157"/>
      <c r="F47" s="3157"/>
      <c r="G47" s="3157"/>
      <c r="H47" s="3157"/>
      <c r="I47" s="3157"/>
      <c r="J47" s="3157"/>
      <c r="K47" s="3157"/>
      <c r="L47" s="3158"/>
      <c r="M47" s="47">
        <f>D46*2</f>
        <v>1200000</v>
      </c>
    </row>
    <row r="48" spans="1:13" ht="13">
      <c r="A48" s="643"/>
      <c r="B48" s="657"/>
      <c r="C48" s="657"/>
      <c r="D48" s="659"/>
      <c r="E48" s="659"/>
      <c r="F48" s="659"/>
      <c r="G48" s="659"/>
      <c r="H48" s="659"/>
      <c r="I48" s="659"/>
      <c r="J48" s="659"/>
      <c r="K48" s="659"/>
      <c r="L48" s="660"/>
    </row>
    <row r="49" spans="1:18" ht="13.5" thickBot="1">
      <c r="A49" s="643"/>
      <c r="B49" s="657"/>
      <c r="C49" s="657"/>
      <c r="D49" s="659"/>
      <c r="E49" s="659"/>
      <c r="F49" s="659"/>
      <c r="G49" s="659"/>
      <c r="H49" s="659"/>
      <c r="I49" s="659"/>
      <c r="J49" s="659"/>
      <c r="K49" s="659"/>
      <c r="L49" s="660"/>
    </row>
    <row r="50" spans="1:18" ht="13">
      <c r="A50" s="643"/>
      <c r="B50" s="661" t="s">
        <v>698</v>
      </c>
      <c r="C50" s="662"/>
      <c r="D50" s="663"/>
      <c r="E50" s="663"/>
      <c r="F50" s="663"/>
      <c r="G50" s="663"/>
      <c r="H50" s="663"/>
      <c r="I50" s="664"/>
      <c r="J50" s="657"/>
      <c r="K50" s="657"/>
      <c r="L50" s="51"/>
    </row>
    <row r="51" spans="1:18" ht="14.5">
      <c r="A51" s="643"/>
      <c r="B51" s="665" t="s">
        <v>699</v>
      </c>
      <c r="C51" s="666"/>
      <c r="D51" s="667"/>
      <c r="E51" s="667"/>
      <c r="F51" s="667"/>
      <c r="G51" s="667"/>
      <c r="H51" s="667"/>
      <c r="I51" s="668"/>
      <c r="J51" s="657"/>
      <c r="K51" s="657"/>
      <c r="L51" s="51"/>
    </row>
    <row r="52" spans="1:18" ht="29.75" customHeight="1" thickBot="1">
      <c r="A52" s="643"/>
      <c r="B52" s="4729" t="s">
        <v>745</v>
      </c>
      <c r="C52" s="4730"/>
      <c r="D52" s="4730"/>
      <c r="E52" s="4730"/>
      <c r="F52" s="4730"/>
      <c r="G52" s="4730"/>
      <c r="H52" s="4730"/>
      <c r="I52" s="4731"/>
      <c r="J52" s="669"/>
      <c r="K52" s="669"/>
      <c r="L52" s="670"/>
      <c r="P52" s="47">
        <f>4794*0.02</f>
        <v>95.88</v>
      </c>
    </row>
    <row r="53" spans="1:18">
      <c r="A53" s="760"/>
      <c r="B53" s="30"/>
      <c r="C53" s="30"/>
      <c r="D53" s="30"/>
      <c r="E53" s="30"/>
      <c r="F53" s="30"/>
      <c r="G53" s="30"/>
      <c r="H53" s="30"/>
      <c r="I53" s="30"/>
      <c r="J53" s="30"/>
      <c r="K53" s="30"/>
      <c r="L53" s="762"/>
    </row>
    <row r="54" spans="1:18" ht="13" thickBot="1">
      <c r="A54" s="1582"/>
      <c r="B54" s="1580"/>
      <c r="C54" s="1580"/>
      <c r="D54" s="1580"/>
      <c r="E54" s="1580"/>
      <c r="F54" s="1580"/>
      <c r="G54" s="1580"/>
      <c r="H54" s="1580"/>
      <c r="I54" s="1580"/>
      <c r="J54" s="1580"/>
      <c r="K54" s="1580"/>
      <c r="L54" s="1583"/>
    </row>
    <row r="55" spans="1:18">
      <c r="P55" s="47" t="s">
        <v>57</v>
      </c>
      <c r="Q55" s="47" t="s">
        <v>1219</v>
      </c>
      <c r="R55" s="47" t="s">
        <v>37</v>
      </c>
    </row>
    <row r="56" spans="1:18">
      <c r="P56" s="1207">
        <f>0.00125*1.2*10^9</f>
        <v>1500000</v>
      </c>
      <c r="Q56" s="1208">
        <f>P56*365</f>
        <v>547500000</v>
      </c>
    </row>
    <row r="58" spans="1:18">
      <c r="P58" s="47">
        <v>500000</v>
      </c>
      <c r="Q58" s="47">
        <f>P58*365</f>
        <v>182500000</v>
      </c>
      <c r="R58" s="47">
        <f>1598*0.02</f>
        <v>31.96</v>
      </c>
    </row>
  </sheetData>
  <mergeCells count="19">
    <mergeCell ref="B8:F8"/>
    <mergeCell ref="H8:K8"/>
    <mergeCell ref="B2:K2"/>
    <mergeCell ref="B3:K3"/>
    <mergeCell ref="B4:K4"/>
    <mergeCell ref="A6:L6"/>
    <mergeCell ref="A7:B7"/>
    <mergeCell ref="J9:J11"/>
    <mergeCell ref="K9:K11"/>
    <mergeCell ref="H19:I19"/>
    <mergeCell ref="H21:I22"/>
    <mergeCell ref="B52:I52"/>
    <mergeCell ref="B9:B11"/>
    <mergeCell ref="C9:C10"/>
    <mergeCell ref="D9:D10"/>
    <mergeCell ref="E9:E10"/>
    <mergeCell ref="F9:F10"/>
    <mergeCell ref="H9:H11"/>
    <mergeCell ref="I9:I10"/>
  </mergeCells>
  <printOptions horizontalCentered="1"/>
  <pageMargins left="0.7" right="0.7" top="0.75" bottom="0.75" header="0.3" footer="0.3"/>
  <pageSetup scale="64" orientation="portrait" r:id="rId1"/>
  <headerFooter>
    <oddFooter>&amp;CCalculations: Page &amp;P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3" tint="-0.249977111117893"/>
    <pageSetUpPr fitToPage="1"/>
  </sheetPr>
  <dimension ref="A1:Q54"/>
  <sheetViews>
    <sheetView view="pageLayout" topLeftCell="A40" zoomScale="85" zoomScaleNormal="100" zoomScaleSheetLayoutView="85" zoomScalePageLayoutView="85" workbookViewId="0">
      <selection activeCell="E19" sqref="E19:R19"/>
    </sheetView>
  </sheetViews>
  <sheetFormatPr defaultColWidth="9.36328125" defaultRowHeight="12.5"/>
  <cols>
    <col min="1" max="1" width="5.54296875" style="47" customWidth="1"/>
    <col min="2" max="2" width="28.36328125" style="47" customWidth="1"/>
    <col min="3" max="3" width="12.54296875" style="47" customWidth="1"/>
    <col min="4" max="4" width="14.36328125" style="47" customWidth="1"/>
    <col min="5" max="5" width="12.36328125" style="47" customWidth="1"/>
    <col min="6" max="6" width="15.6328125" style="47" customWidth="1"/>
    <col min="7" max="7" width="3" style="47" customWidth="1"/>
    <col min="8" max="8" width="12.36328125" style="47" customWidth="1"/>
    <col min="9" max="9" width="12.6328125" style="47" customWidth="1"/>
    <col min="10" max="10" width="10.453125" style="47" customWidth="1"/>
    <col min="11" max="11" width="13.6328125" style="47" customWidth="1"/>
    <col min="12" max="12" width="5.54296875" style="47" customWidth="1"/>
    <col min="13" max="16384" width="9.36328125" style="47"/>
  </cols>
  <sheetData>
    <row r="1" spans="1:17" ht="13.5" thickBot="1">
      <c r="A1" s="640"/>
      <c r="B1" s="641"/>
      <c r="C1" s="641"/>
      <c r="D1" s="641"/>
      <c r="E1" s="641"/>
      <c r="F1" s="641"/>
      <c r="G1" s="641"/>
      <c r="H1" s="641"/>
      <c r="I1" s="641"/>
      <c r="J1" s="641"/>
      <c r="K1" s="641"/>
      <c r="L1" s="642"/>
    </row>
    <row r="2" spans="1:17" ht="20.5">
      <c r="A2" s="643"/>
      <c r="B2" s="4657" t="s">
        <v>54</v>
      </c>
      <c r="C2" s="4658"/>
      <c r="D2" s="4658"/>
      <c r="E2" s="4658"/>
      <c r="F2" s="4658"/>
      <c r="G2" s="4658"/>
      <c r="H2" s="4658"/>
      <c r="I2" s="4658"/>
      <c r="J2" s="4658"/>
      <c r="K2" s="4659"/>
      <c r="L2" s="644"/>
    </row>
    <row r="3" spans="1:17" ht="20.5">
      <c r="A3" s="643"/>
      <c r="B3" s="4660" t="str">
        <f>'TO Ann (TO1-TO3)'!B3:M3</f>
        <v>HUSKY CDP</v>
      </c>
      <c r="C3" s="4661"/>
      <c r="D3" s="4661"/>
      <c r="E3" s="4661"/>
      <c r="F3" s="4661"/>
      <c r="G3" s="4661"/>
      <c r="H3" s="4661"/>
      <c r="I3" s="4661"/>
      <c r="J3" s="4661"/>
      <c r="K3" s="4662"/>
      <c r="L3" s="644"/>
    </row>
    <row r="4" spans="1:17" ht="21" thickBot="1">
      <c r="A4" s="643"/>
      <c r="B4" s="4663" t="s">
        <v>1800</v>
      </c>
      <c r="C4" s="4665"/>
      <c r="D4" s="4665"/>
      <c r="E4" s="4665"/>
      <c r="F4" s="4665"/>
      <c r="G4" s="4665"/>
      <c r="H4" s="4665"/>
      <c r="I4" s="4665"/>
      <c r="J4" s="4665"/>
      <c r="K4" s="4666"/>
      <c r="L4" s="644"/>
    </row>
    <row r="5" spans="1:17" ht="18.5" thickBot="1">
      <c r="A5" s="645"/>
      <c r="B5" s="646"/>
      <c r="C5" s="646"/>
      <c r="D5" s="646"/>
      <c r="E5" s="646"/>
      <c r="F5" s="646"/>
      <c r="G5" s="646"/>
      <c r="H5" s="646"/>
      <c r="I5" s="646"/>
      <c r="J5" s="646"/>
      <c r="K5" s="646"/>
      <c r="L5" s="647"/>
    </row>
    <row r="6" spans="1:17" ht="16" thickBot="1">
      <c r="A6" s="4682" t="s">
        <v>1803</v>
      </c>
      <c r="B6" s="4683"/>
      <c r="C6" s="4683"/>
      <c r="D6" s="4683"/>
      <c r="E6" s="4683"/>
      <c r="F6" s="4683"/>
      <c r="G6" s="4683"/>
      <c r="H6" s="4683"/>
      <c r="I6" s="4683"/>
      <c r="J6" s="4683"/>
      <c r="K6" s="4683"/>
      <c r="L6" s="4684"/>
    </row>
    <row r="7" spans="1:17" ht="16" thickBot="1">
      <c r="A7" s="4753"/>
      <c r="B7" s="4754"/>
      <c r="C7" s="4754"/>
      <c r="D7" s="1774"/>
      <c r="E7" s="1774"/>
      <c r="F7" s="1774"/>
      <c r="G7" s="1774"/>
      <c r="H7" s="1774"/>
      <c r="I7" s="1774"/>
      <c r="J7" s="1774"/>
      <c r="K7" s="1774"/>
      <c r="L7" s="3295"/>
    </row>
    <row r="8" spans="1:17" ht="19" thickBot="1">
      <c r="A8" s="1761"/>
      <c r="B8" s="4682" t="s">
        <v>1960</v>
      </c>
      <c r="C8" s="4671"/>
      <c r="D8" s="4671"/>
      <c r="E8" s="4671"/>
      <c r="F8" s="4654"/>
      <c r="G8" s="1765"/>
      <c r="H8" s="4747" t="s">
        <v>1956</v>
      </c>
      <c r="I8" s="4748"/>
      <c r="J8" s="4748"/>
      <c r="K8" s="4749"/>
      <c r="L8" s="1763"/>
      <c r="O8" s="650" t="s">
        <v>688</v>
      </c>
      <c r="P8" s="650"/>
      <c r="Q8" s="650">
        <v>34.08</v>
      </c>
    </row>
    <row r="9" spans="1:17" ht="13.25" customHeight="1">
      <c r="A9" s="1761"/>
      <c r="B9" s="4759" t="s">
        <v>2</v>
      </c>
      <c r="C9" s="4735" t="s">
        <v>1807</v>
      </c>
      <c r="D9" s="4762" t="s">
        <v>19</v>
      </c>
      <c r="E9" s="4739" t="s">
        <v>683</v>
      </c>
      <c r="F9" s="4518" t="s">
        <v>700</v>
      </c>
      <c r="G9" s="3088"/>
      <c r="H9" s="4742" t="s">
        <v>2</v>
      </c>
      <c r="I9" s="4745" t="s">
        <v>685</v>
      </c>
      <c r="J9" s="4516" t="s">
        <v>686</v>
      </c>
      <c r="K9" s="4518" t="s">
        <v>687</v>
      </c>
      <c r="L9" s="1763"/>
      <c r="O9" s="650" t="s">
        <v>689</v>
      </c>
      <c r="P9" s="650"/>
      <c r="Q9" s="650">
        <v>64.06</v>
      </c>
    </row>
    <row r="10" spans="1:17" ht="36.75" customHeight="1">
      <c r="A10" s="1761"/>
      <c r="B10" s="4760"/>
      <c r="C10" s="4736"/>
      <c r="D10" s="4763"/>
      <c r="E10" s="4740"/>
      <c r="F10" s="4741"/>
      <c r="G10" s="3088"/>
      <c r="H10" s="4764"/>
      <c r="I10" s="4755"/>
      <c r="J10" s="4756"/>
      <c r="K10" s="4741"/>
      <c r="L10" s="1763"/>
      <c r="O10" s="650" t="s">
        <v>691</v>
      </c>
      <c r="P10" s="650"/>
      <c r="Q10" s="651">
        <v>0.99</v>
      </c>
    </row>
    <row r="11" spans="1:17" ht="14.25" customHeight="1" thickBot="1">
      <c r="A11" s="1761"/>
      <c r="B11" s="4761"/>
      <c r="C11" s="3168" t="s">
        <v>701</v>
      </c>
      <c r="D11" s="3264" t="s">
        <v>155</v>
      </c>
      <c r="E11" s="3091" t="s">
        <v>690</v>
      </c>
      <c r="F11" s="3094" t="s">
        <v>701</v>
      </c>
      <c r="G11" s="1765"/>
      <c r="H11" s="4765"/>
      <c r="I11" s="3093" t="s">
        <v>155</v>
      </c>
      <c r="J11" s="4727"/>
      <c r="K11" s="4757"/>
      <c r="L11" s="1763"/>
    </row>
    <row r="12" spans="1:17" ht="18.5">
      <c r="A12" s="1761"/>
      <c r="B12" s="3133" t="s">
        <v>298</v>
      </c>
      <c r="C12" s="3265">
        <f>'Hrly (FL1-FL3CRYO-SSM)'!C12*J22/2000</f>
        <v>0</v>
      </c>
      <c r="D12" s="1836">
        <f t="shared" ref="D12:D39" si="0">SUM(C12:C12)</f>
        <v>0</v>
      </c>
      <c r="E12" s="3210">
        <v>0</v>
      </c>
      <c r="F12" s="3171">
        <f>D12*(1-E12)</f>
        <v>0</v>
      </c>
      <c r="G12" s="3100"/>
      <c r="H12" s="3101" t="s">
        <v>1949</v>
      </c>
      <c r="I12" s="3211">
        <f>'Hrly (FL1-FL3CRYO-SSM)'!I12*J22/2000</f>
        <v>18.641496701063353</v>
      </c>
      <c r="J12" s="3212">
        <v>0.13800000000000001</v>
      </c>
      <c r="K12" s="3213" t="s">
        <v>287</v>
      </c>
      <c r="L12" s="1763"/>
    </row>
    <row r="13" spans="1:17" ht="15.5">
      <c r="A13" s="1761"/>
      <c r="B13" s="3187" t="s">
        <v>5</v>
      </c>
      <c r="C13" s="3071">
        <f>'Hrly (FL1-FL3CRYO-SSM)'!C13*$J$22/2000</f>
        <v>4.9035419318977005E-3</v>
      </c>
      <c r="D13" s="3106">
        <f t="shared" si="0"/>
        <v>4.9035419318977005E-3</v>
      </c>
      <c r="E13" s="3107">
        <v>0.98</v>
      </c>
      <c r="F13" s="3108">
        <f>D13*(1-E13)</f>
        <v>9.80708386379541E-5</v>
      </c>
      <c r="G13" s="3100"/>
      <c r="H13" s="3109" t="s">
        <v>0</v>
      </c>
      <c r="I13" s="3215">
        <f>'Hrly (FL1-FL3CRYO-SSM)'!I13*J22/2000</f>
        <v>37.215451747412708</v>
      </c>
      <c r="J13" s="3216">
        <v>0.54959999999999998</v>
      </c>
      <c r="K13" s="3217" t="s">
        <v>287</v>
      </c>
      <c r="L13" s="1763"/>
    </row>
    <row r="14" spans="1:17" ht="18.5">
      <c r="A14" s="1761"/>
      <c r="B14" s="3187" t="s">
        <v>4</v>
      </c>
      <c r="C14" s="3071">
        <f>'Hrly (FL1-FL3CRYO-SSM)'!C14*$J$22/2000</f>
        <v>64.501776972214387</v>
      </c>
      <c r="D14" s="3106">
        <f t="shared" si="0"/>
        <v>64.501776972214387</v>
      </c>
      <c r="E14" s="3107">
        <v>0</v>
      </c>
      <c r="F14" s="3108">
        <f>D14*(1-E14)</f>
        <v>64.501776972214387</v>
      </c>
      <c r="G14" s="3100"/>
      <c r="H14" s="3109" t="s">
        <v>51</v>
      </c>
      <c r="I14" s="3215">
        <f>'Hrly (FL1-FL3CRYO-SSM)'!I14*8760/2000</f>
        <v>0.22181962369880601</v>
      </c>
      <c r="J14" s="3113" t="s">
        <v>445</v>
      </c>
      <c r="K14" s="3114" t="s">
        <v>445</v>
      </c>
      <c r="L14" s="1763"/>
    </row>
    <row r="15" spans="1:17" ht="18.5">
      <c r="A15" s="1761"/>
      <c r="B15" s="3187" t="s">
        <v>3</v>
      </c>
      <c r="C15" s="3071">
        <f>'Hrly (FL1-FL3CRYO-SSM)'!C15*$J$22/2000</f>
        <v>21.5333314646814</v>
      </c>
      <c r="D15" s="3106">
        <f t="shared" si="0"/>
        <v>21.5333314646814</v>
      </c>
      <c r="E15" s="3107">
        <v>0</v>
      </c>
      <c r="F15" s="3108">
        <f>D15*(1-E15)</f>
        <v>21.5333314646814</v>
      </c>
      <c r="G15" s="3100"/>
      <c r="H15" s="3266" t="s">
        <v>1950</v>
      </c>
      <c r="I15" s="3267">
        <f>C46/10^6*J15/2000</f>
        <v>0.82991999999999999</v>
      </c>
      <c r="J15" s="3268">
        <v>7.6</v>
      </c>
      <c r="K15" s="3269" t="s">
        <v>587</v>
      </c>
      <c r="L15" s="1763"/>
    </row>
    <row r="16" spans="1:17" ht="18.5">
      <c r="A16" s="1761"/>
      <c r="B16" s="3187" t="s">
        <v>6</v>
      </c>
      <c r="C16" s="3071">
        <f>'Hrly (FL1-FL3CRYO-SSM)'!C16*$J$22/2000</f>
        <v>3209.93766132676</v>
      </c>
      <c r="D16" s="3106">
        <f t="shared" si="0"/>
        <v>3209.93766132676</v>
      </c>
      <c r="E16" s="3107">
        <v>0.98</v>
      </c>
      <c r="F16" s="3108">
        <f t="shared" ref="F16:F39" si="1">D16*(1-E16)</f>
        <v>64.19875322653526</v>
      </c>
      <c r="G16" s="3100"/>
      <c r="H16" s="3266" t="s">
        <v>1951</v>
      </c>
      <c r="I16" s="3267">
        <f>C46/10^6*J16/2000</f>
        <v>0.82991999999999999</v>
      </c>
      <c r="J16" s="3268">
        <v>7.6</v>
      </c>
      <c r="K16" s="3269" t="s">
        <v>587</v>
      </c>
      <c r="L16" s="1763"/>
    </row>
    <row r="17" spans="1:12" ht="19" thickBot="1">
      <c r="A17" s="1761"/>
      <c r="B17" s="3187" t="s">
        <v>7</v>
      </c>
      <c r="C17" s="3071">
        <f>'Hrly (FL1-FL3CRYO-SSM)'!C17*$J$22/2000</f>
        <v>1335.3692107091699</v>
      </c>
      <c r="D17" s="3106">
        <f t="shared" si="0"/>
        <v>1335.3692107091699</v>
      </c>
      <c r="E17" s="3107">
        <v>0.98</v>
      </c>
      <c r="F17" s="3108">
        <f t="shared" si="1"/>
        <v>26.707384214183421</v>
      </c>
      <c r="G17" s="3100"/>
      <c r="H17" s="3119" t="s">
        <v>1952</v>
      </c>
      <c r="I17" s="3218">
        <f>'Hrly (FL1-FL3)'!J4*8760/2000</f>
        <v>0</v>
      </c>
      <c r="J17" s="3121" t="s">
        <v>445</v>
      </c>
      <c r="K17" s="3122" t="s">
        <v>445</v>
      </c>
      <c r="L17" s="1763"/>
    </row>
    <row r="18" spans="1:12" ht="16" thickBot="1">
      <c r="A18" s="1761"/>
      <c r="B18" s="3187" t="s">
        <v>8</v>
      </c>
      <c r="C18" s="3071">
        <f>'Hrly (FL1-FL3CRYO-SSM)'!C18*$J$22/2000</f>
        <v>1114.309514997952</v>
      </c>
      <c r="D18" s="3106">
        <f t="shared" si="0"/>
        <v>1114.309514997952</v>
      </c>
      <c r="E18" s="3107">
        <v>0.98</v>
      </c>
      <c r="F18" s="3108">
        <f t="shared" si="1"/>
        <v>22.28619029995906</v>
      </c>
      <c r="G18" s="3100"/>
      <c r="H18" s="3123"/>
      <c r="I18" s="3219"/>
      <c r="J18" s="3129"/>
      <c r="K18" s="3129"/>
      <c r="L18" s="1763"/>
    </row>
    <row r="19" spans="1:12" ht="16" thickBot="1">
      <c r="A19" s="1761"/>
      <c r="B19" s="3187" t="s">
        <v>747</v>
      </c>
      <c r="C19" s="3071">
        <f>'Hrly (FL1-FL3CRYO-SSM)'!C19*$J$22/2000</f>
        <v>177.32247301410459</v>
      </c>
      <c r="D19" s="3106">
        <f t="shared" si="0"/>
        <v>177.32247301410459</v>
      </c>
      <c r="E19" s="3107">
        <f t="shared" ref="E19:E38" si="2">$J$19/100</f>
        <v>0.98</v>
      </c>
      <c r="F19" s="3108">
        <f t="shared" si="1"/>
        <v>3.5464494602820951</v>
      </c>
      <c r="G19" s="3100"/>
      <c r="H19" s="4724" t="s">
        <v>744</v>
      </c>
      <c r="I19" s="4725"/>
      <c r="J19" s="3126">
        <v>98</v>
      </c>
      <c r="K19" s="3127" t="s">
        <v>296</v>
      </c>
      <c r="L19" s="1763"/>
    </row>
    <row r="20" spans="1:12" ht="16" thickBot="1">
      <c r="A20" s="1761"/>
      <c r="B20" s="3187" t="s">
        <v>748</v>
      </c>
      <c r="C20" s="3071">
        <f>'Hrly (FL1-FL3CRYO-SSM)'!C20*$J$22/2000</f>
        <v>406.50340511726404</v>
      </c>
      <c r="D20" s="3106">
        <f t="shared" si="0"/>
        <v>406.50340511726404</v>
      </c>
      <c r="E20" s="3107">
        <f t="shared" si="2"/>
        <v>0.98</v>
      </c>
      <c r="F20" s="3108">
        <f t="shared" si="1"/>
        <v>8.1300681023452874</v>
      </c>
      <c r="G20" s="3100"/>
      <c r="H20" s="3123"/>
      <c r="I20" s="3219"/>
      <c r="J20" s="3129"/>
      <c r="K20" s="3129"/>
      <c r="L20" s="1763"/>
    </row>
    <row r="21" spans="1:12" ht="15.5">
      <c r="A21" s="1761"/>
      <c r="B21" s="3187" t="s">
        <v>749</v>
      </c>
      <c r="C21" s="3071">
        <f>'Hrly (FL1-FL3CRYO-SSM)'!C21*$J$22/2000</f>
        <v>85.139033985296194</v>
      </c>
      <c r="D21" s="3106">
        <f t="shared" si="0"/>
        <v>85.139033985296194</v>
      </c>
      <c r="E21" s="3107">
        <f t="shared" si="2"/>
        <v>0.98</v>
      </c>
      <c r="F21" s="3108">
        <f t="shared" si="1"/>
        <v>1.7027806797059255</v>
      </c>
      <c r="G21" s="3100"/>
      <c r="H21" s="4653" t="s">
        <v>1801</v>
      </c>
      <c r="I21" s="4671"/>
      <c r="J21" s="1835">
        <v>2</v>
      </c>
      <c r="K21" s="3270" t="s">
        <v>1302</v>
      </c>
      <c r="L21" s="1763"/>
    </row>
    <row r="22" spans="1:12" ht="15.5">
      <c r="A22" s="1761"/>
      <c r="B22" s="3187" t="s">
        <v>750</v>
      </c>
      <c r="C22" s="3071">
        <f>'Hrly (FL1-FL3CRYO-SSM)'!C22*$J$22/2000</f>
        <v>76.8327867672092</v>
      </c>
      <c r="D22" s="3106">
        <f t="shared" si="0"/>
        <v>76.8327867672092</v>
      </c>
      <c r="E22" s="3107">
        <f t="shared" si="2"/>
        <v>0.98</v>
      </c>
      <c r="F22" s="3108">
        <f>D22*(1-E22)</f>
        <v>1.5366557353441854</v>
      </c>
      <c r="G22" s="3100"/>
      <c r="H22" s="4766"/>
      <c r="I22" s="4767"/>
      <c r="J22" s="1853">
        <f>J21*182</f>
        <v>364</v>
      </c>
      <c r="K22" s="3296" t="s">
        <v>1303</v>
      </c>
      <c r="L22" s="1763"/>
    </row>
    <row r="23" spans="1:12" ht="16" thickBot="1">
      <c r="A23" s="1761"/>
      <c r="B23" s="3187" t="s">
        <v>800</v>
      </c>
      <c r="C23" s="3071">
        <f>'Hrly (FL1-FL3CRYO-SSM)'!C23*$J$22/2000</f>
        <v>0</v>
      </c>
      <c r="D23" s="3106">
        <f t="shared" si="0"/>
        <v>0</v>
      </c>
      <c r="E23" s="3107">
        <f t="shared" si="2"/>
        <v>0.98</v>
      </c>
      <c r="F23" s="3108">
        <f t="shared" si="1"/>
        <v>0</v>
      </c>
      <c r="G23" s="3100"/>
      <c r="H23" s="4655"/>
      <c r="I23" s="4672"/>
      <c r="J23" s="3297">
        <f>J21*'Hrly (FL1-FL3CRYO-SSM)'!C46</f>
        <v>1200000</v>
      </c>
      <c r="K23" s="3298" t="s">
        <v>1943</v>
      </c>
      <c r="L23" s="1763"/>
    </row>
    <row r="24" spans="1:12" ht="15.5">
      <c r="A24" s="1761"/>
      <c r="B24" s="3187" t="s">
        <v>292</v>
      </c>
      <c r="C24" s="3071">
        <f>'Hrly (FL1-FL3CRYO-SSM)'!C24*$J$22/2000</f>
        <v>22.3224308103342</v>
      </c>
      <c r="D24" s="3106">
        <f t="shared" si="0"/>
        <v>22.3224308103342</v>
      </c>
      <c r="E24" s="3107">
        <f t="shared" si="2"/>
        <v>0.98</v>
      </c>
      <c r="F24" s="3108">
        <f t="shared" si="1"/>
        <v>0.44644861620668441</v>
      </c>
      <c r="G24" s="3100"/>
      <c r="H24" s="3123"/>
      <c r="I24" s="3219"/>
      <c r="J24" s="3129"/>
      <c r="K24" s="3129"/>
      <c r="L24" s="1763"/>
    </row>
    <row r="25" spans="1:12" ht="15.5">
      <c r="A25" s="1761"/>
      <c r="B25" s="3187" t="s">
        <v>10</v>
      </c>
      <c r="C25" s="3071">
        <f>'Hrly (FL1-FL3CRYO-SSM)'!C25*$J$22/2000</f>
        <v>7.4408102701132206</v>
      </c>
      <c r="D25" s="3106">
        <f t="shared" si="0"/>
        <v>7.4408102701132206</v>
      </c>
      <c r="E25" s="3107">
        <f t="shared" si="2"/>
        <v>0.98</v>
      </c>
      <c r="F25" s="3108">
        <f t="shared" si="1"/>
        <v>0.14881620540226453</v>
      </c>
      <c r="G25" s="3100"/>
      <c r="H25" s="3123"/>
      <c r="I25" s="3219"/>
      <c r="J25" s="3129"/>
      <c r="K25" s="3129"/>
      <c r="L25" s="1763"/>
    </row>
    <row r="26" spans="1:12" ht="15.5">
      <c r="A26" s="1761"/>
      <c r="B26" s="3187" t="s">
        <v>9</v>
      </c>
      <c r="C26" s="3071">
        <f>'Hrly (FL1-FL3CRYO-SSM)'!C26*$J$22/2000</f>
        <v>4.8444994262191798</v>
      </c>
      <c r="D26" s="3106">
        <f t="shared" si="0"/>
        <v>4.8444994262191798</v>
      </c>
      <c r="E26" s="3107">
        <f t="shared" si="2"/>
        <v>0.98</v>
      </c>
      <c r="F26" s="3108">
        <f t="shared" si="1"/>
        <v>9.6889988524383686E-2</v>
      </c>
      <c r="G26" s="3100"/>
      <c r="H26" s="3123"/>
      <c r="I26" s="3219"/>
      <c r="J26" s="3129"/>
      <c r="K26" s="3129"/>
      <c r="L26" s="1763"/>
    </row>
    <row r="27" spans="1:12" ht="15.5">
      <c r="A27" s="1761"/>
      <c r="B27" s="3187" t="s">
        <v>11</v>
      </c>
      <c r="C27" s="3071">
        <f>'Hrly (FL1-FL3CRYO-SSM)'!C27*$J$22/2000</f>
        <v>4.4963771646520998</v>
      </c>
      <c r="D27" s="3106">
        <f t="shared" si="0"/>
        <v>4.4963771646520998</v>
      </c>
      <c r="E27" s="3107">
        <f t="shared" si="2"/>
        <v>0.98</v>
      </c>
      <c r="F27" s="3108">
        <f t="shared" si="1"/>
        <v>8.9927543293042075E-2</v>
      </c>
      <c r="G27" s="3100"/>
      <c r="H27" s="3123"/>
      <c r="I27" s="3219"/>
      <c r="J27" s="3129"/>
      <c r="K27" s="3129"/>
      <c r="L27" s="1763"/>
    </row>
    <row r="28" spans="1:12" ht="15.5">
      <c r="A28" s="1761"/>
      <c r="B28" s="3187" t="s">
        <v>12</v>
      </c>
      <c r="C28" s="3071">
        <f>'Hrly (FL1-FL3CRYO-SSM)'!C28*$J$22/2000</f>
        <v>7.2667491393278594</v>
      </c>
      <c r="D28" s="3106">
        <f t="shared" si="0"/>
        <v>7.2667491393278594</v>
      </c>
      <c r="E28" s="3107">
        <f t="shared" si="2"/>
        <v>0.98</v>
      </c>
      <c r="F28" s="3108">
        <f t="shared" si="1"/>
        <v>0.14533498278655732</v>
      </c>
      <c r="G28" s="3100"/>
      <c r="H28" s="3123"/>
      <c r="I28" s="3219"/>
      <c r="J28" s="3125"/>
      <c r="K28" s="1766"/>
      <c r="L28" s="1763"/>
    </row>
    <row r="29" spans="1:12" ht="15.5">
      <c r="A29" s="1761"/>
      <c r="B29" s="3187" t="s">
        <v>286</v>
      </c>
      <c r="C29" s="3071">
        <f>'Hrly (FL1-FL3CRYO-SSM)'!C29*$J$22/2000</f>
        <v>0</v>
      </c>
      <c r="D29" s="3106">
        <f t="shared" si="0"/>
        <v>0</v>
      </c>
      <c r="E29" s="3107">
        <f t="shared" si="2"/>
        <v>0.98</v>
      </c>
      <c r="F29" s="3108">
        <f t="shared" si="1"/>
        <v>0</v>
      </c>
      <c r="G29" s="3100"/>
      <c r="H29" s="3123"/>
      <c r="I29" s="3219"/>
      <c r="J29" s="3125"/>
      <c r="K29" s="1766"/>
      <c r="L29" s="1763"/>
    </row>
    <row r="30" spans="1:12" ht="15.5">
      <c r="A30" s="1761"/>
      <c r="B30" s="3187" t="s">
        <v>801</v>
      </c>
      <c r="C30" s="3071">
        <f>'Hrly (FL1-FL3CRYO-SSM)'!C30*$J$22/2000</f>
        <v>2.8839783755564601</v>
      </c>
      <c r="D30" s="3106">
        <f t="shared" si="0"/>
        <v>2.8839783755564601</v>
      </c>
      <c r="E30" s="3107">
        <f t="shared" si="2"/>
        <v>0.98</v>
      </c>
      <c r="F30" s="3108">
        <f t="shared" si="1"/>
        <v>5.7679567511129251E-2</v>
      </c>
      <c r="G30" s="3100"/>
      <c r="H30" s="3123"/>
      <c r="I30" s="3219"/>
      <c r="J30" s="3129"/>
      <c r="K30" s="3129"/>
      <c r="L30" s="1763"/>
    </row>
    <row r="31" spans="1:12" ht="15.5">
      <c r="A31" s="1761"/>
      <c r="B31" s="3187" t="s">
        <v>65</v>
      </c>
      <c r="C31" s="3071">
        <f>'Hrly (FL1-FL3CRYO-SSM)'!C31*$J$22/2000</f>
        <v>2.8259579986274002</v>
      </c>
      <c r="D31" s="3106">
        <f t="shared" si="0"/>
        <v>2.8259579986274002</v>
      </c>
      <c r="E31" s="3107">
        <f t="shared" si="2"/>
        <v>0.98</v>
      </c>
      <c r="F31" s="3108">
        <f t="shared" si="1"/>
        <v>5.6519159972548055E-2</v>
      </c>
      <c r="G31" s="3100"/>
      <c r="H31" s="3123"/>
      <c r="I31" s="3124"/>
      <c r="J31" s="3125"/>
      <c r="K31" s="1766"/>
      <c r="L31" s="1763"/>
    </row>
    <row r="32" spans="1:12" ht="15.5">
      <c r="A32" s="1761"/>
      <c r="B32" s="3187" t="s">
        <v>13</v>
      </c>
      <c r="C32" s="3071">
        <f>'Hrly (FL1-FL3CRYO-SSM)'!C32*$J$22/2000</f>
        <v>0</v>
      </c>
      <c r="D32" s="3106">
        <f t="shared" si="0"/>
        <v>0</v>
      </c>
      <c r="E32" s="3107">
        <f t="shared" si="2"/>
        <v>0.98</v>
      </c>
      <c r="F32" s="3108">
        <f t="shared" si="1"/>
        <v>0</v>
      </c>
      <c r="G32" s="3100"/>
      <c r="H32" s="4758"/>
      <c r="I32" s="4758"/>
      <c r="J32" s="3220"/>
      <c r="K32" s="3221"/>
      <c r="L32" s="3222"/>
    </row>
    <row r="33" spans="1:12" ht="15.5">
      <c r="A33" s="1761"/>
      <c r="B33" s="3187" t="s">
        <v>14</v>
      </c>
      <c r="C33" s="3071">
        <f>'Hrly (FL1-FL3CRYO-SSM)'!C33*$J$22/2000</f>
        <v>0</v>
      </c>
      <c r="D33" s="3106">
        <f t="shared" si="0"/>
        <v>0</v>
      </c>
      <c r="E33" s="3107">
        <f t="shared" si="2"/>
        <v>0.98</v>
      </c>
      <c r="F33" s="3108">
        <f t="shared" si="1"/>
        <v>0</v>
      </c>
      <c r="G33" s="3100"/>
      <c r="H33" s="3123"/>
      <c r="I33" s="3124"/>
      <c r="J33" s="3125"/>
      <c r="K33" s="1766"/>
      <c r="L33" s="1763"/>
    </row>
    <row r="34" spans="1:12" ht="15.5">
      <c r="A34" s="1761"/>
      <c r="B34" s="3187" t="s">
        <v>804</v>
      </c>
      <c r="C34" s="3071">
        <f>'Hrly (FL1-FL3CRYO-SSM)'!C34*$J$22/2000</f>
        <v>0</v>
      </c>
      <c r="D34" s="3106">
        <f t="shared" si="0"/>
        <v>0</v>
      </c>
      <c r="E34" s="3107">
        <f t="shared" si="2"/>
        <v>0.98</v>
      </c>
      <c r="F34" s="3108">
        <f t="shared" si="1"/>
        <v>0</v>
      </c>
      <c r="G34" s="3100"/>
      <c r="H34" s="3123"/>
      <c r="I34" s="3124"/>
      <c r="J34" s="3125"/>
      <c r="K34" s="1766"/>
      <c r="L34" s="1763"/>
    </row>
    <row r="35" spans="1:12" ht="15.5">
      <c r="A35" s="1761"/>
      <c r="B35" s="3187" t="s">
        <v>16</v>
      </c>
      <c r="C35" s="3071">
        <f>'Hrly (FL1-FL3CRYO-SSM)'!C35*$J$22/2000</f>
        <v>0</v>
      </c>
      <c r="D35" s="3106">
        <f t="shared" si="0"/>
        <v>0</v>
      </c>
      <c r="E35" s="3107">
        <f t="shared" si="2"/>
        <v>0.98</v>
      </c>
      <c r="F35" s="3108">
        <f t="shared" si="1"/>
        <v>0</v>
      </c>
      <c r="G35" s="3100"/>
      <c r="H35" s="3123"/>
      <c r="I35" s="3124"/>
      <c r="J35" s="3125"/>
      <c r="K35" s="1766"/>
      <c r="L35" s="1763"/>
    </row>
    <row r="36" spans="1:12" ht="15.5">
      <c r="A36" s="1761"/>
      <c r="B36" s="3187" t="s">
        <v>802</v>
      </c>
      <c r="C36" s="3071">
        <f>'Hrly (FL1-FL3CRYO-SSM)'!C36*$J$22/2000</f>
        <v>0</v>
      </c>
      <c r="D36" s="3106">
        <f t="shared" si="0"/>
        <v>0</v>
      </c>
      <c r="E36" s="3107">
        <f t="shared" si="2"/>
        <v>0.98</v>
      </c>
      <c r="F36" s="3108">
        <f t="shared" si="1"/>
        <v>0</v>
      </c>
      <c r="G36" s="3100"/>
      <c r="H36" s="3123"/>
      <c r="I36" s="3124"/>
      <c r="J36" s="3125"/>
      <c r="K36" s="1766"/>
      <c r="L36" s="1763"/>
    </row>
    <row r="37" spans="1:12" ht="15.5">
      <c r="A37" s="1761"/>
      <c r="B37" s="3187" t="s">
        <v>803</v>
      </c>
      <c r="C37" s="3071">
        <f>'Hrly (FL1-FL3CRYO-SSM)'!C37*$J$22/2000</f>
        <v>0</v>
      </c>
      <c r="D37" s="3106">
        <f t="shared" si="0"/>
        <v>0</v>
      </c>
      <c r="E37" s="3107">
        <f t="shared" si="2"/>
        <v>0.98</v>
      </c>
      <c r="F37" s="3108">
        <f t="shared" si="1"/>
        <v>0</v>
      </c>
      <c r="G37" s="3100"/>
      <c r="H37" s="3123"/>
      <c r="I37" s="3124"/>
      <c r="J37" s="3125"/>
      <c r="K37" s="1766"/>
      <c r="L37" s="1763"/>
    </row>
    <row r="38" spans="1:12" ht="15.5">
      <c r="A38" s="1761"/>
      <c r="B38" s="3187" t="s">
        <v>805</v>
      </c>
      <c r="C38" s="3071">
        <f>'Hrly (FL1-FL3CRYO-SSM)'!C38*$J$22/2000</f>
        <v>0</v>
      </c>
      <c r="D38" s="3106">
        <f t="shared" si="0"/>
        <v>0</v>
      </c>
      <c r="E38" s="3107">
        <f t="shared" si="2"/>
        <v>0.98</v>
      </c>
      <c r="F38" s="3108">
        <f t="shared" si="1"/>
        <v>0</v>
      </c>
      <c r="G38" s="3100"/>
      <c r="H38" s="3123"/>
      <c r="I38" s="3124"/>
      <c r="J38" s="3125"/>
      <c r="K38" s="1766"/>
      <c r="L38" s="1763"/>
    </row>
    <row r="39" spans="1:12" ht="16" thickBot="1">
      <c r="A39" s="1761"/>
      <c r="B39" s="3272" t="s">
        <v>752</v>
      </c>
      <c r="C39" s="3072">
        <f>'Hrly (FL1-FL3CRYO-SSM)'!C39*$J$22/2000</f>
        <v>0</v>
      </c>
      <c r="D39" s="3223">
        <f t="shared" si="0"/>
        <v>0</v>
      </c>
      <c r="E39" s="3107">
        <f>$J$19/100</f>
        <v>0.98</v>
      </c>
      <c r="F39" s="3108">
        <f t="shared" si="1"/>
        <v>0</v>
      </c>
      <c r="G39" s="3100"/>
      <c r="H39" s="3123"/>
      <c r="I39" s="3124"/>
      <c r="J39" s="3125"/>
      <c r="K39" s="1766"/>
      <c r="L39" s="1763"/>
    </row>
    <row r="40" spans="1:12" ht="15.5">
      <c r="A40" s="1761"/>
      <c r="B40" s="3133" t="s">
        <v>692</v>
      </c>
      <c r="C40" s="3273">
        <f>SUM(C12:C39)</f>
        <v>6543.5349010814134</v>
      </c>
      <c r="D40" s="3171">
        <f>SUM(D12:D39)</f>
        <v>6543.5349010814134</v>
      </c>
      <c r="E40" s="3225" t="s">
        <v>445</v>
      </c>
      <c r="F40" s="3099">
        <f>SUM(F12:F39)</f>
        <v>215.18510428978627</v>
      </c>
      <c r="G40" s="3100"/>
      <c r="H40" s="1762"/>
      <c r="I40" s="1762"/>
      <c r="J40" s="1762"/>
      <c r="K40" s="1762"/>
      <c r="L40" s="1763"/>
    </row>
    <row r="41" spans="1:12" ht="15.5">
      <c r="A41" s="1761"/>
      <c r="B41" s="3187" t="s">
        <v>55</v>
      </c>
      <c r="C41" s="3274">
        <f>SUM(C18:C39)</f>
        <v>1912.1880170666566</v>
      </c>
      <c r="D41" s="3275">
        <f>SUM(D18:D39)</f>
        <v>1912.1880170666566</v>
      </c>
      <c r="E41" s="3228" t="s">
        <v>445</v>
      </c>
      <c r="F41" s="3108">
        <f>SUM(F18:F39)</f>
        <v>38.243760341333157</v>
      </c>
      <c r="G41" s="3100"/>
      <c r="H41" s="1762"/>
      <c r="I41" s="1762"/>
      <c r="J41" s="1762"/>
      <c r="K41" s="1762"/>
      <c r="L41" s="1763"/>
    </row>
    <row r="42" spans="1:12" ht="16" thickBot="1">
      <c r="A42" s="1761"/>
      <c r="B42" s="3189" t="s">
        <v>693</v>
      </c>
      <c r="C42" s="3276">
        <f>SUM(C25,C33,C35,C36,C27,C29)</f>
        <v>11.93718743476532</v>
      </c>
      <c r="D42" s="3148">
        <f>SUM(D36)</f>
        <v>0</v>
      </c>
      <c r="E42" s="3231" t="s">
        <v>445</v>
      </c>
      <c r="F42" s="3148">
        <f>SUM(F25,F33,F35,F36,F27,F29)</f>
        <v>0.23874374869530662</v>
      </c>
      <c r="G42" s="3100"/>
      <c r="H42" s="1762"/>
      <c r="I42" s="1762"/>
      <c r="J42" s="1762"/>
      <c r="K42" s="1762"/>
      <c r="L42" s="1763"/>
    </row>
    <row r="43" spans="1:12" ht="15.5">
      <c r="A43" s="1761"/>
      <c r="B43" s="3277" t="s">
        <v>694</v>
      </c>
      <c r="C43" s="3278">
        <f>'Hrly (FL1-FL3CRYO-SSM)'!C43</f>
        <v>1237.0266431135101</v>
      </c>
      <c r="D43" s="3256">
        <f>SUMPRODUCT(C43:C43,C46:C46)/D46</f>
        <v>1237.0266431135101</v>
      </c>
      <c r="E43" s="1762"/>
      <c r="F43" s="1762"/>
      <c r="G43" s="1762"/>
      <c r="H43" s="1762"/>
      <c r="I43" s="1762"/>
      <c r="J43" s="1762"/>
      <c r="K43" s="1762"/>
      <c r="L43" s="1763"/>
    </row>
    <row r="44" spans="1:12" ht="15.5">
      <c r="A44" s="1761"/>
      <c r="B44" s="3279" t="s">
        <v>20</v>
      </c>
      <c r="C44" s="3278">
        <f>'Hrly (FL1-FL3CRYO-SSM)'!C44</f>
        <v>22.739620047506499</v>
      </c>
      <c r="D44" s="3258" t="s">
        <v>445</v>
      </c>
      <c r="E44" s="3157"/>
      <c r="F44" s="3157"/>
      <c r="G44" s="3157"/>
      <c r="H44" s="3157"/>
      <c r="I44" s="3157"/>
      <c r="J44" s="3157"/>
      <c r="K44" s="3157"/>
      <c r="L44" s="3158"/>
    </row>
    <row r="45" spans="1:12" ht="15.5">
      <c r="A45" s="1761"/>
      <c r="B45" s="3279" t="s">
        <v>695</v>
      </c>
      <c r="C45" s="3280">
        <f>'TO Hrly (TO1-TO3)'!D36*8760/2000</f>
        <v>9.3482517099949362E-3</v>
      </c>
      <c r="D45" s="3261">
        <f>SUM(C45:C45)</f>
        <v>9.3482517099949362E-3</v>
      </c>
      <c r="E45" s="3157"/>
      <c r="F45" s="3157"/>
      <c r="G45" s="3157"/>
      <c r="H45" s="3157"/>
      <c r="I45" s="3157"/>
      <c r="J45" s="3157"/>
      <c r="K45" s="3157"/>
      <c r="L45" s="3158"/>
    </row>
    <row r="46" spans="1:12" ht="15.5">
      <c r="A46" s="1761"/>
      <c r="B46" s="3279" t="s">
        <v>907</v>
      </c>
      <c r="C46" s="3281">
        <f>'Hrly (FL1-FL3CRYO-SSM)'!C46*J22</f>
        <v>218400000</v>
      </c>
      <c r="D46" s="3282">
        <f>SUM(C46:C46)</f>
        <v>218400000</v>
      </c>
      <c r="E46" s="3157"/>
      <c r="F46" s="3157"/>
      <c r="G46" s="3157"/>
      <c r="H46" s="3157"/>
      <c r="I46" s="3157"/>
      <c r="J46" s="3157"/>
      <c r="K46" s="3157"/>
      <c r="L46" s="3158"/>
    </row>
    <row r="47" spans="1:12" ht="16" thickBot="1">
      <c r="A47" s="1761"/>
      <c r="B47" s="3283" t="s">
        <v>697</v>
      </c>
      <c r="C47" s="3284">
        <f>C43*C46/10^6</f>
        <v>270166.61885599059</v>
      </c>
      <c r="D47" s="3263">
        <f>SUMPRODUCT(C43:C43,C46:C46)/10^6</f>
        <v>270166.61885599059</v>
      </c>
      <c r="E47" s="3157"/>
      <c r="F47" s="3157"/>
      <c r="G47" s="3157"/>
      <c r="H47" s="3157"/>
      <c r="I47" s="3157"/>
      <c r="J47" s="3157"/>
      <c r="K47" s="3157"/>
      <c r="L47" s="3158"/>
    </row>
    <row r="48" spans="1:12" ht="13">
      <c r="A48" s="643"/>
      <c r="B48" s="657"/>
      <c r="C48" s="657"/>
      <c r="D48" s="659"/>
      <c r="E48" s="659"/>
      <c r="F48" s="659"/>
      <c r="G48" s="659"/>
      <c r="H48" s="659"/>
      <c r="I48" s="659"/>
      <c r="J48" s="659"/>
      <c r="K48" s="659"/>
      <c r="L48" s="660"/>
    </row>
    <row r="49" spans="1:12" ht="13.5" thickBot="1">
      <c r="A49" s="643"/>
      <c r="B49" s="657"/>
      <c r="C49" s="657"/>
      <c r="D49" s="659"/>
      <c r="E49" s="659"/>
      <c r="F49" s="659"/>
      <c r="G49" s="659"/>
      <c r="H49" s="659"/>
      <c r="I49" s="659"/>
      <c r="J49" s="659"/>
      <c r="K49" s="659"/>
      <c r="L49" s="660"/>
    </row>
    <row r="50" spans="1:12" ht="13">
      <c r="A50" s="643"/>
      <c r="B50" s="661" t="s">
        <v>698</v>
      </c>
      <c r="C50" s="662"/>
      <c r="D50" s="663"/>
      <c r="E50" s="663"/>
      <c r="F50" s="663"/>
      <c r="G50" s="663"/>
      <c r="H50" s="663"/>
      <c r="I50" s="664"/>
      <c r="J50" s="657"/>
      <c r="K50" s="657"/>
      <c r="L50" s="51"/>
    </row>
    <row r="51" spans="1:12" ht="14.5">
      <c r="A51" s="643"/>
      <c r="B51" s="665" t="s">
        <v>699</v>
      </c>
      <c r="C51" s="666"/>
      <c r="D51" s="667"/>
      <c r="E51" s="667"/>
      <c r="F51" s="667"/>
      <c r="G51" s="667"/>
      <c r="H51" s="667"/>
      <c r="I51" s="668"/>
      <c r="J51" s="657"/>
      <c r="K51" s="657"/>
      <c r="L51" s="51"/>
    </row>
    <row r="52" spans="1:12" ht="26.75" customHeight="1" thickBot="1">
      <c r="A52" s="643"/>
      <c r="B52" s="4729" t="s">
        <v>745</v>
      </c>
      <c r="C52" s="4730"/>
      <c r="D52" s="4730"/>
      <c r="E52" s="4730"/>
      <c r="F52" s="4730"/>
      <c r="G52" s="4730"/>
      <c r="H52" s="4730"/>
      <c r="I52" s="4731"/>
      <c r="J52" s="669"/>
      <c r="K52" s="669"/>
      <c r="L52" s="670"/>
    </row>
    <row r="53" spans="1:12">
      <c r="A53" s="760"/>
      <c r="B53" s="30"/>
      <c r="C53" s="30"/>
      <c r="D53" s="30"/>
      <c r="E53" s="30"/>
      <c r="F53" s="30"/>
      <c r="G53" s="30"/>
      <c r="H53" s="30"/>
      <c r="I53" s="30"/>
      <c r="J53" s="30"/>
      <c r="K53" s="30"/>
      <c r="L53" s="762"/>
    </row>
    <row r="54" spans="1:12" ht="13" thickBot="1">
      <c r="A54" s="768"/>
      <c r="B54" s="770"/>
      <c r="C54" s="770"/>
      <c r="D54" s="770"/>
      <c r="E54" s="770"/>
      <c r="F54" s="770"/>
      <c r="G54" s="770"/>
      <c r="H54" s="770"/>
      <c r="I54" s="770"/>
      <c r="J54" s="770"/>
      <c r="K54" s="770"/>
      <c r="L54" s="773"/>
    </row>
  </sheetData>
  <mergeCells count="20">
    <mergeCell ref="B8:F8"/>
    <mergeCell ref="H8:K8"/>
    <mergeCell ref="B2:K2"/>
    <mergeCell ref="B3:K3"/>
    <mergeCell ref="B4:K4"/>
    <mergeCell ref="A6:L6"/>
    <mergeCell ref="A7:C7"/>
    <mergeCell ref="B52:I52"/>
    <mergeCell ref="I9:I10"/>
    <mergeCell ref="J9:J11"/>
    <mergeCell ref="K9:K11"/>
    <mergeCell ref="H19:I19"/>
    <mergeCell ref="H32:I32"/>
    <mergeCell ref="B9:B11"/>
    <mergeCell ref="C9:C10"/>
    <mergeCell ref="D9:D10"/>
    <mergeCell ref="E9:E10"/>
    <mergeCell ref="F9:F10"/>
    <mergeCell ref="H9:H11"/>
    <mergeCell ref="H21:I23"/>
  </mergeCells>
  <printOptions horizontalCentered="1"/>
  <pageMargins left="0.7" right="0.7" top="0.75" bottom="0.75" header="0.3" footer="0.3"/>
  <pageSetup scale="63" orientation="portrait" r:id="rId1"/>
  <headerFooter>
    <oddFooter>&amp;CCalculations: 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1"/>
  </sheetPr>
  <dimension ref="A1:Q531"/>
  <sheetViews>
    <sheetView view="pageLayout" topLeftCell="A13" zoomScaleNormal="100" zoomScaleSheetLayoutView="85" workbookViewId="0">
      <selection activeCell="G29" sqref="G29:G32"/>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10" width="8.54296875" style="56"/>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1767</v>
      </c>
      <c r="B1" s="3843"/>
      <c r="C1" s="3843"/>
      <c r="D1" s="3843"/>
      <c r="E1" s="3843"/>
      <c r="F1" s="3843"/>
      <c r="G1" s="3843"/>
      <c r="H1" s="3844"/>
      <c r="I1" s="3844"/>
      <c r="J1" s="3844"/>
      <c r="K1" s="3844"/>
      <c r="L1" s="3844"/>
      <c r="M1" s="3844"/>
      <c r="N1" s="55"/>
      <c r="O1" s="55"/>
      <c r="P1" s="55"/>
    </row>
    <row r="2" spans="1:17" ht="17.149999999999999" customHeight="1" thickBot="1">
      <c r="A2" s="3845" t="s">
        <v>1492</v>
      </c>
      <c r="B2" s="3845"/>
      <c r="C2" s="3845"/>
      <c r="D2" s="3845"/>
      <c r="E2" s="3845"/>
      <c r="F2" s="3845"/>
      <c r="G2" s="3845"/>
      <c r="H2" s="3846"/>
      <c r="I2" s="3846"/>
      <c r="J2" s="3846"/>
      <c r="K2" s="3846"/>
      <c r="L2" s="3846"/>
      <c r="M2" s="3846"/>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tr">
        <f>'2-A All'!A7:A8</f>
        <v>SHTR1</v>
      </c>
      <c r="B7" s="3816" t="str">
        <f>'2-A All'!B7:B8</f>
        <v>Stabilization Hot Oil Heater
(64.83 MMBtu/hr)</v>
      </c>
      <c r="C7" s="3816" t="str">
        <f>'2-A All'!C7:C8</f>
        <v>THM</v>
      </c>
      <c r="D7" s="3816" t="str">
        <f>'2-A All'!D7:D8</f>
        <v>N/A</v>
      </c>
      <c r="E7" s="3816" t="str">
        <f>'2-A All'!E7:E8</f>
        <v>TBD</v>
      </c>
      <c r="F7" s="3816" t="str">
        <f>'2-A All'!F7:F8</f>
        <v>64.83 MMBtu/hr</v>
      </c>
      <c r="G7" s="3816" t="str">
        <f>'2-A All'!G7:G8</f>
        <v>64.83 MMBtu/hr</v>
      </c>
      <c r="H7" s="2371" t="s">
        <v>94</v>
      </c>
      <c r="I7" s="567" t="s">
        <v>604</v>
      </c>
      <c r="J7" s="3800">
        <v>31000403</v>
      </c>
      <c r="K7" s="3805" t="s">
        <v>1263</v>
      </c>
      <c r="L7" s="3809" t="s">
        <v>133</v>
      </c>
      <c r="M7" s="3807" t="s">
        <v>133</v>
      </c>
    </row>
    <row r="8" spans="1:17" s="568" customFormat="1" ht="20.25" customHeight="1">
      <c r="A8" s="3799"/>
      <c r="B8" s="3801"/>
      <c r="C8" s="3801"/>
      <c r="D8" s="3801"/>
      <c r="E8" s="3801"/>
      <c r="F8" s="3801"/>
      <c r="G8" s="3801"/>
      <c r="H8" s="569" t="s">
        <v>94</v>
      </c>
      <c r="I8" s="569" t="str">
        <f>A7</f>
        <v>SHTR1</v>
      </c>
      <c r="J8" s="3801"/>
      <c r="K8" s="3806"/>
      <c r="L8" s="3810"/>
      <c r="M8" s="3808"/>
    </row>
    <row r="9" spans="1:17" s="568" customFormat="1" ht="20.25" customHeight="1">
      <c r="A9" s="3798" t="str">
        <f>'2-A All'!A9:A10</f>
        <v>SHTR2</v>
      </c>
      <c r="B9" s="3816" t="str">
        <f>'2-A All'!B9:B10</f>
        <v>Stabilization Hot Oil Heater
(64.83 MMBtu/hr)</v>
      </c>
      <c r="C9" s="3816" t="str">
        <f>'2-A All'!C9:C10</f>
        <v>THM</v>
      </c>
      <c r="D9" s="3816" t="str">
        <f>'2-A All'!D9:D10</f>
        <v>N/A</v>
      </c>
      <c r="E9" s="3816" t="str">
        <f>'2-A All'!E9:E10</f>
        <v>TBD</v>
      </c>
      <c r="F9" s="3816" t="str">
        <f>'2-A All'!F9:F10</f>
        <v>64.83 MMBtu/hr</v>
      </c>
      <c r="G9" s="3816" t="str">
        <f>'2-A All'!G9:G10</f>
        <v>64.83 MMBtu/hr</v>
      </c>
      <c r="H9" s="2371" t="s">
        <v>94</v>
      </c>
      <c r="I9" s="567" t="s">
        <v>604</v>
      </c>
      <c r="J9" s="3800">
        <v>31000403</v>
      </c>
      <c r="K9" s="3805" t="s">
        <v>1263</v>
      </c>
      <c r="L9" s="3809" t="s">
        <v>133</v>
      </c>
      <c r="M9" s="3807" t="s">
        <v>133</v>
      </c>
    </row>
    <row r="10" spans="1:17" s="568" customFormat="1" ht="20.25" customHeight="1">
      <c r="A10" s="3799"/>
      <c r="B10" s="3801"/>
      <c r="C10" s="3801"/>
      <c r="D10" s="3801"/>
      <c r="E10" s="3801"/>
      <c r="F10" s="3801"/>
      <c r="G10" s="3801"/>
      <c r="H10" s="569" t="s">
        <v>94</v>
      </c>
      <c r="I10" s="569" t="str">
        <f>A9</f>
        <v>SHTR2</v>
      </c>
      <c r="J10" s="3801"/>
      <c r="K10" s="3806"/>
      <c r="L10" s="3810"/>
      <c r="M10" s="3808"/>
    </row>
    <row r="11" spans="1:17" s="568" customFormat="1" ht="20.25" customHeight="1">
      <c r="A11" s="3798" t="str">
        <f>'2-A All'!A11:A12</f>
        <v>SHTR3</v>
      </c>
      <c r="B11" s="3816" t="str">
        <f>'2-A All'!B11:B12</f>
        <v>Stabilization Hot Oil Heater
(64.83 MMBtu/hr)</v>
      </c>
      <c r="C11" s="3816" t="str">
        <f>'2-A All'!C11:C12</f>
        <v>THM</v>
      </c>
      <c r="D11" s="3816" t="str">
        <f>'2-A All'!D11:D12</f>
        <v>N/A</v>
      </c>
      <c r="E11" s="3816" t="str">
        <f>'2-A All'!E11:E12</f>
        <v>TBD</v>
      </c>
      <c r="F11" s="3816" t="str">
        <f>'2-A All'!F11:F12</f>
        <v>64.83 MMBtu/hr</v>
      </c>
      <c r="G11" s="3816" t="str">
        <f>'2-A All'!G11:G12</f>
        <v>64.83 MMBtu/hr</v>
      </c>
      <c r="H11" s="2430" t="s">
        <v>94</v>
      </c>
      <c r="I11" s="567" t="s">
        <v>604</v>
      </c>
      <c r="J11" s="3800">
        <v>31000403</v>
      </c>
      <c r="K11" s="3805" t="s">
        <v>1263</v>
      </c>
      <c r="L11" s="3809" t="s">
        <v>133</v>
      </c>
      <c r="M11" s="3807" t="s">
        <v>133</v>
      </c>
    </row>
    <row r="12" spans="1:17" s="568" customFormat="1" ht="20.25" customHeight="1">
      <c r="A12" s="3799"/>
      <c r="B12" s="3801"/>
      <c r="C12" s="3801"/>
      <c r="D12" s="3801"/>
      <c r="E12" s="3801"/>
      <c r="F12" s="3801"/>
      <c r="G12" s="3801"/>
      <c r="H12" s="569" t="s">
        <v>94</v>
      </c>
      <c r="I12" s="569" t="str">
        <f>A11</f>
        <v>SHTR3</v>
      </c>
      <c r="J12" s="3801"/>
      <c r="K12" s="3806"/>
      <c r="L12" s="3810"/>
      <c r="M12" s="3808"/>
    </row>
    <row r="13" spans="1:17" s="568" customFormat="1" ht="20.25" customHeight="1">
      <c r="A13" s="3798" t="str">
        <f>'2-A All'!A13:A14</f>
        <v>SHTR4</v>
      </c>
      <c r="B13" s="3816" t="str">
        <f>'2-A All'!B13:B14</f>
        <v>Stabilization Hot Oil Heater
(64.83 MMBtu/hr)</v>
      </c>
      <c r="C13" s="3816" t="str">
        <f>'2-A All'!C13:C14</f>
        <v>THM</v>
      </c>
      <c r="D13" s="3816" t="str">
        <f>'2-A All'!D13:D14</f>
        <v>N/A</v>
      </c>
      <c r="E13" s="3816" t="str">
        <f>'2-A All'!E13:E14</f>
        <v>TBD</v>
      </c>
      <c r="F13" s="3816" t="str">
        <f>'2-A All'!F13:F14</f>
        <v>64.83 MMBtu/hr</v>
      </c>
      <c r="G13" s="3816" t="str">
        <f>'2-A All'!G13:G14</f>
        <v>64.83 MMBtu/hr</v>
      </c>
      <c r="H13" s="2430" t="s">
        <v>94</v>
      </c>
      <c r="I13" s="567" t="s">
        <v>604</v>
      </c>
      <c r="J13" s="3800">
        <v>31000403</v>
      </c>
      <c r="K13" s="3805" t="s">
        <v>1263</v>
      </c>
      <c r="L13" s="3809" t="s">
        <v>133</v>
      </c>
      <c r="M13" s="3807" t="s">
        <v>133</v>
      </c>
    </row>
    <row r="14" spans="1:17" s="568" customFormat="1" ht="20.25" customHeight="1">
      <c r="A14" s="3799"/>
      <c r="B14" s="3801"/>
      <c r="C14" s="3801"/>
      <c r="D14" s="3801"/>
      <c r="E14" s="3801"/>
      <c r="F14" s="3801"/>
      <c r="G14" s="3801"/>
      <c r="H14" s="569" t="s">
        <v>94</v>
      </c>
      <c r="I14" s="569" t="str">
        <f>A13</f>
        <v>SHTR4</v>
      </c>
      <c r="J14" s="3801"/>
      <c r="K14" s="3806"/>
      <c r="L14" s="3810"/>
      <c r="M14" s="3808"/>
    </row>
    <row r="15" spans="1:17" s="568" customFormat="1" ht="20.25" customHeight="1">
      <c r="A15" s="3830" t="str">
        <f>'2-A All'!A31</f>
        <v>CHTR1</v>
      </c>
      <c r="B15" s="3816" t="str">
        <f>'2-A All'!B31</f>
        <v>Cryo Hot Oil Heater
(103.99 MMBtu/hr)</v>
      </c>
      <c r="C15" s="3816" t="str">
        <f>'2-A All'!C31</f>
        <v>THM</v>
      </c>
      <c r="D15" s="3816" t="str">
        <f>'2-A All'!D31</f>
        <v>N/A</v>
      </c>
      <c r="E15" s="3816" t="str">
        <f>'2-A All'!E31</f>
        <v>TBD</v>
      </c>
      <c r="F15" s="3816" t="str">
        <f>'2-A All'!F31</f>
        <v>103.99 MMBtu/hr</v>
      </c>
      <c r="G15" s="3816" t="str">
        <f>'2-A All'!G31</f>
        <v>103.99 MMBtu/hr</v>
      </c>
      <c r="H15" s="2371" t="s">
        <v>94</v>
      </c>
      <c r="I15" s="567" t="s">
        <v>604</v>
      </c>
      <c r="J15" s="3816">
        <v>31000403</v>
      </c>
      <c r="K15" s="3817" t="s">
        <v>1263</v>
      </c>
      <c r="L15" s="3816" t="s">
        <v>133</v>
      </c>
      <c r="M15" s="3828" t="s">
        <v>133</v>
      </c>
    </row>
    <row r="16" spans="1:17" s="568" customFormat="1" ht="20.25" customHeight="1">
      <c r="A16" s="3831"/>
      <c r="B16" s="3801"/>
      <c r="C16" s="3801"/>
      <c r="D16" s="3801"/>
      <c r="E16" s="3801"/>
      <c r="F16" s="3801"/>
      <c r="G16" s="3801"/>
      <c r="H16" s="569" t="s">
        <v>94</v>
      </c>
      <c r="I16" s="569" t="str">
        <f>A15</f>
        <v>CHTR1</v>
      </c>
      <c r="J16" s="3801"/>
      <c r="K16" s="3806"/>
      <c r="L16" s="3801"/>
      <c r="M16" s="3829"/>
    </row>
    <row r="17" spans="1:13" s="568" customFormat="1" ht="20.25" customHeight="1">
      <c r="A17" s="3798" t="str">
        <f>'2-A All'!A37</f>
        <v>RHTR1</v>
      </c>
      <c r="B17" s="3800" t="str">
        <f>'2-A All'!B37</f>
        <v>Regen Heater 
(39.14 MMBtu/hr)</v>
      </c>
      <c r="C17" s="3800" t="str">
        <f>'2-A All'!C37</f>
        <v>THM</v>
      </c>
      <c r="D17" s="3800" t="str">
        <f>'2-A All'!D37</f>
        <v>N/A</v>
      </c>
      <c r="E17" s="3800" t="str">
        <f>'2-A All'!E37</f>
        <v>TBD</v>
      </c>
      <c r="F17" s="3800" t="str">
        <f>'2-A All'!F37</f>
        <v>39.14 MMBtu/hr</v>
      </c>
      <c r="G17" s="3800" t="str">
        <f>'2-A All'!G37</f>
        <v>39.14 MMBtu/hr</v>
      </c>
      <c r="H17" s="2371" t="s">
        <v>94</v>
      </c>
      <c r="I17" s="567" t="s">
        <v>604</v>
      </c>
      <c r="J17" s="3800">
        <v>31000405</v>
      </c>
      <c r="K17" s="3805" t="s">
        <v>1263</v>
      </c>
      <c r="L17" s="3809" t="s">
        <v>133</v>
      </c>
      <c r="M17" s="3807" t="s">
        <v>133</v>
      </c>
    </row>
    <row r="18" spans="1:13" s="568" customFormat="1" ht="20.25" customHeight="1">
      <c r="A18" s="3799"/>
      <c r="B18" s="3804"/>
      <c r="C18" s="3804"/>
      <c r="D18" s="3804"/>
      <c r="E18" s="3804"/>
      <c r="F18" s="3804"/>
      <c r="G18" s="3804"/>
      <c r="H18" s="569" t="s">
        <v>94</v>
      </c>
      <c r="I18" s="569" t="str">
        <f>A17</f>
        <v>RHTR1</v>
      </c>
      <c r="J18" s="3801"/>
      <c r="K18" s="3806"/>
      <c r="L18" s="3810"/>
      <c r="M18" s="3808"/>
    </row>
    <row r="19" spans="1:13" s="568" customFormat="1" ht="20.25" customHeight="1">
      <c r="A19" s="3798" t="str">
        <f>'2-A All'!A39</f>
        <v>RHTR2</v>
      </c>
      <c r="B19" s="3800" t="str">
        <f>'2-A All'!B39</f>
        <v>Regen Heater
(39.14 MMBtu/hr)</v>
      </c>
      <c r="C19" s="3800" t="str">
        <f>'2-A All'!C39</f>
        <v>THM</v>
      </c>
      <c r="D19" s="3800" t="str">
        <f>'2-A All'!D39</f>
        <v>N/A</v>
      </c>
      <c r="E19" s="3800" t="str">
        <f>'2-A All'!E39</f>
        <v>TBD</v>
      </c>
      <c r="F19" s="3800" t="str">
        <f>'2-A All'!F39</f>
        <v>39.14 MMBtu/hr</v>
      </c>
      <c r="G19" s="3800" t="str">
        <f>'2-A All'!G39</f>
        <v>39.14 MMBtu/hr</v>
      </c>
      <c r="H19" s="2371" t="s">
        <v>94</v>
      </c>
      <c r="I19" s="567" t="s">
        <v>604</v>
      </c>
      <c r="J19" s="3800">
        <v>31000405</v>
      </c>
      <c r="K19" s="3805" t="s">
        <v>1263</v>
      </c>
      <c r="L19" s="3809" t="s">
        <v>133</v>
      </c>
      <c r="M19" s="3807" t="s">
        <v>133</v>
      </c>
    </row>
    <row r="20" spans="1:13" s="568" customFormat="1" ht="20.25" customHeight="1">
      <c r="A20" s="3799"/>
      <c r="B20" s="3804"/>
      <c r="C20" s="3804"/>
      <c r="D20" s="3804"/>
      <c r="E20" s="3804"/>
      <c r="F20" s="3804"/>
      <c r="G20" s="3804"/>
      <c r="H20" s="569" t="s">
        <v>94</v>
      </c>
      <c r="I20" s="569" t="str">
        <f>A19</f>
        <v>RHTR2</v>
      </c>
      <c r="J20" s="3801"/>
      <c r="K20" s="3806"/>
      <c r="L20" s="3810"/>
      <c r="M20" s="3808"/>
    </row>
    <row r="21" spans="1:13" s="568" customFormat="1" ht="20.25" customHeight="1">
      <c r="A21" s="3798" t="str">
        <f>'2-A All'!A41</f>
        <v>RHTR3</v>
      </c>
      <c r="B21" s="3800" t="str">
        <f>'2-A All'!B41</f>
        <v>Regen Heater
(39.14 MMBtu/hr)</v>
      </c>
      <c r="C21" s="3800" t="str">
        <f>'2-A All'!C41</f>
        <v>THM</v>
      </c>
      <c r="D21" s="3800" t="str">
        <f>'2-A All'!D41</f>
        <v>N/A</v>
      </c>
      <c r="E21" s="3800" t="str">
        <f>'2-A All'!E41</f>
        <v>TBD</v>
      </c>
      <c r="F21" s="3800" t="str">
        <f>'2-A All'!F41</f>
        <v>39.14 MMBtu/hr</v>
      </c>
      <c r="G21" s="3800" t="str">
        <f>'2-A All'!G41</f>
        <v>39.14 MMBtu/hr</v>
      </c>
      <c r="H21" s="2371" t="s">
        <v>94</v>
      </c>
      <c r="I21" s="567" t="s">
        <v>604</v>
      </c>
      <c r="J21" s="3800">
        <v>31000405</v>
      </c>
      <c r="K21" s="3805" t="s">
        <v>1263</v>
      </c>
      <c r="L21" s="3809" t="s">
        <v>133</v>
      </c>
      <c r="M21" s="3807" t="s">
        <v>133</v>
      </c>
    </row>
    <row r="22" spans="1:13" s="568" customFormat="1" ht="20.25" customHeight="1">
      <c r="A22" s="3799"/>
      <c r="B22" s="3804"/>
      <c r="C22" s="3804"/>
      <c r="D22" s="3804"/>
      <c r="E22" s="3804"/>
      <c r="F22" s="3804"/>
      <c r="G22" s="3804"/>
      <c r="H22" s="569" t="s">
        <v>94</v>
      </c>
      <c r="I22" s="569" t="str">
        <f>A21</f>
        <v>RHTR3</v>
      </c>
      <c r="J22" s="3801"/>
      <c r="K22" s="3806"/>
      <c r="L22" s="3810"/>
      <c r="M22" s="3808"/>
    </row>
    <row r="23" spans="1:13" s="568" customFormat="1" ht="20.25" customHeight="1">
      <c r="A23" s="3798" t="str">
        <f>'2-A All'!A43</f>
        <v>FL1</v>
      </c>
      <c r="B23" s="3800" t="str">
        <f>'2-A All'!B43</f>
        <v>SSM/Emergency 
Flare 1 
(Dual Tip Flare)</v>
      </c>
      <c r="C23" s="3800" t="str">
        <f>'2-A All'!C43</f>
        <v>Zeeco, Inc.</v>
      </c>
      <c r="D23" s="3800" t="str">
        <f>'2-A All'!D43</f>
        <v>N/A</v>
      </c>
      <c r="E23" s="3800" t="str">
        <f>'2-A All'!E43</f>
        <v>TBD</v>
      </c>
      <c r="F23" s="3800" t="str">
        <f>'2-A All'!F43</f>
        <v>250
MMscfd</v>
      </c>
      <c r="G23" s="3800" t="str">
        <f>'2-A All'!G43</f>
        <v>250
MMscfd</v>
      </c>
      <c r="H23" s="2371" t="s">
        <v>94</v>
      </c>
      <c r="I23" s="567" t="s">
        <v>604</v>
      </c>
      <c r="J23" s="3811">
        <v>31000160</v>
      </c>
      <c r="K23" s="3805" t="s">
        <v>1263</v>
      </c>
      <c r="L23" s="3809" t="s">
        <v>133</v>
      </c>
      <c r="M23" s="3807" t="s">
        <v>133</v>
      </c>
    </row>
    <row r="24" spans="1:13" s="568" customFormat="1" ht="20.25" customHeight="1">
      <c r="A24" s="3799"/>
      <c r="B24" s="3804"/>
      <c r="C24" s="3804"/>
      <c r="D24" s="3804"/>
      <c r="E24" s="3804"/>
      <c r="F24" s="3804"/>
      <c r="G24" s="3804"/>
      <c r="H24" s="569" t="s">
        <v>94</v>
      </c>
      <c r="I24" s="569" t="str">
        <f>A23</f>
        <v>FL1</v>
      </c>
      <c r="J24" s="3812"/>
      <c r="K24" s="3806"/>
      <c r="L24" s="3810"/>
      <c r="M24" s="3808"/>
    </row>
    <row r="25" spans="1:13" s="568" customFormat="1" ht="20.25" customHeight="1">
      <c r="A25" s="3798" t="str">
        <f>'2-A All'!A45</f>
        <v>FL2</v>
      </c>
      <c r="B25" s="3800" t="str">
        <f>'2-A All'!B45</f>
        <v>SSM/Emergency 
Flare 2 
(Dual Tip Flare)</v>
      </c>
      <c r="C25" s="3800" t="str">
        <f>'2-A All'!C45</f>
        <v>Zeeco, Inc.</v>
      </c>
      <c r="D25" s="3800" t="str">
        <f>'2-A All'!D45</f>
        <v>N/A</v>
      </c>
      <c r="E25" s="3800" t="str">
        <f>'2-A All'!E45</f>
        <v>TBD</v>
      </c>
      <c r="F25" s="3800" t="str">
        <f>'2-A All'!F45</f>
        <v>250
MMscfd</v>
      </c>
      <c r="G25" s="3800" t="str">
        <f>'2-A All'!G45</f>
        <v>250
MMscfd</v>
      </c>
      <c r="H25" s="2371" t="s">
        <v>94</v>
      </c>
      <c r="I25" s="567" t="s">
        <v>604</v>
      </c>
      <c r="J25" s="3811">
        <v>31000160</v>
      </c>
      <c r="K25" s="3805" t="s">
        <v>1263</v>
      </c>
      <c r="L25" s="3809" t="s">
        <v>133</v>
      </c>
      <c r="M25" s="3807" t="s">
        <v>133</v>
      </c>
    </row>
    <row r="26" spans="1:13" s="568" customFormat="1" ht="20.25" customHeight="1">
      <c r="A26" s="3799"/>
      <c r="B26" s="3804"/>
      <c r="C26" s="3804"/>
      <c r="D26" s="3804"/>
      <c r="E26" s="3804"/>
      <c r="F26" s="3804"/>
      <c r="G26" s="3804"/>
      <c r="H26" s="569" t="s">
        <v>94</v>
      </c>
      <c r="I26" s="569" t="str">
        <f>A25</f>
        <v>FL2</v>
      </c>
      <c r="J26" s="3812"/>
      <c r="K26" s="3806"/>
      <c r="L26" s="3810"/>
      <c r="M26" s="3808"/>
    </row>
    <row r="27" spans="1:13" s="568" customFormat="1" ht="20.25" customHeight="1">
      <c r="A27" s="3798" t="str">
        <f>'2-A All'!A47</f>
        <v>FL3</v>
      </c>
      <c r="B27" s="3800" t="str">
        <f>'2-A All'!B47</f>
        <v>Backup SSM/Emergency 
Flare 3 
(Dual Tip Flare)</v>
      </c>
      <c r="C27" s="3800" t="str">
        <f>'2-A All'!C47</f>
        <v>Zeeco, Inc.</v>
      </c>
      <c r="D27" s="3800" t="str">
        <f>'2-A All'!D47</f>
        <v>N/A</v>
      </c>
      <c r="E27" s="3800" t="str">
        <f>'2-A All'!E47</f>
        <v>TBD</v>
      </c>
      <c r="F27" s="3800" t="str">
        <f>'2-A All'!F47</f>
        <v>250
MMscfd</v>
      </c>
      <c r="G27" s="3800" t="str">
        <f>'2-A All'!G47</f>
        <v>250
MMscfd</v>
      </c>
      <c r="H27" s="2371" t="s">
        <v>94</v>
      </c>
      <c r="I27" s="567" t="s">
        <v>604</v>
      </c>
      <c r="J27" s="3811">
        <v>31000160</v>
      </c>
      <c r="K27" s="3805" t="s">
        <v>1263</v>
      </c>
      <c r="L27" s="3809" t="s">
        <v>133</v>
      </c>
      <c r="M27" s="3807" t="s">
        <v>133</v>
      </c>
    </row>
    <row r="28" spans="1:13" s="568" customFormat="1" ht="20.25" customHeight="1">
      <c r="A28" s="3799"/>
      <c r="B28" s="3804"/>
      <c r="C28" s="3804"/>
      <c r="D28" s="3804"/>
      <c r="E28" s="3804"/>
      <c r="F28" s="3804"/>
      <c r="G28" s="3804"/>
      <c r="H28" s="569" t="s">
        <v>94</v>
      </c>
      <c r="I28" s="569" t="str">
        <f>A27</f>
        <v>FL3</v>
      </c>
      <c r="J28" s="3812"/>
      <c r="K28" s="3806"/>
      <c r="L28" s="3810"/>
      <c r="M28" s="3808"/>
    </row>
    <row r="29" spans="1:13" s="568" customFormat="1" ht="20.25" customHeight="1">
      <c r="A29" s="3798" t="str">
        <f>'2-A All'!A53</f>
        <v>IFR1</v>
      </c>
      <c r="B29" s="3800" t="str">
        <f>'2-A All'!B53</f>
        <v>Oil Storage 1 (100,000 bbl)</v>
      </c>
      <c r="C29" s="3800" t="str">
        <f>'2-A All'!C53</f>
        <v>Advance Tank</v>
      </c>
      <c r="D29" s="3800" t="str">
        <f>'2-A All'!D53</f>
        <v>N/A</v>
      </c>
      <c r="E29" s="3800" t="str">
        <f>'2-A All'!E53</f>
        <v>TBD</v>
      </c>
      <c r="F29" s="3800" t="str">
        <f>'2-A All'!F53</f>
        <v>100,000 bbl</v>
      </c>
      <c r="G29" s="3800" t="str">
        <f>'2-A All'!G53</f>
        <v>100,000 bbl</v>
      </c>
      <c r="H29" s="2371" t="s">
        <v>94</v>
      </c>
      <c r="I29" s="567" t="s">
        <v>604</v>
      </c>
      <c r="J29" s="3800">
        <v>40400331</v>
      </c>
      <c r="K29" s="3805" t="s">
        <v>1263</v>
      </c>
      <c r="L29" s="3809" t="s">
        <v>133</v>
      </c>
      <c r="M29" s="3807" t="s">
        <v>133</v>
      </c>
    </row>
    <row r="30" spans="1:13" s="568" customFormat="1" ht="20.25" customHeight="1">
      <c r="A30" s="3799"/>
      <c r="B30" s="3804"/>
      <c r="C30" s="3804"/>
      <c r="D30" s="3804"/>
      <c r="E30" s="3804"/>
      <c r="F30" s="3804"/>
      <c r="G30" s="3804"/>
      <c r="H30" s="569" t="s">
        <v>94</v>
      </c>
      <c r="I30" s="569" t="str">
        <f>A29</f>
        <v>IFR1</v>
      </c>
      <c r="J30" s="3804"/>
      <c r="K30" s="3806"/>
      <c r="L30" s="3810"/>
      <c r="M30" s="3808"/>
    </row>
    <row r="31" spans="1:13" s="568" customFormat="1" ht="20.25" customHeight="1">
      <c r="A31" s="3798" t="str">
        <f>'2-A All'!A55</f>
        <v>IFR2</v>
      </c>
      <c r="B31" s="3800" t="str">
        <f>'2-A All'!B55</f>
        <v>Oil Storage 2 (100,000 bbl)</v>
      </c>
      <c r="C31" s="3800" t="str">
        <f>'2-A All'!C55</f>
        <v>Advance Tank</v>
      </c>
      <c r="D31" s="3800" t="str">
        <f>'2-A All'!D55</f>
        <v>N/A</v>
      </c>
      <c r="E31" s="3800" t="str">
        <f>'2-A All'!E55</f>
        <v>TBD</v>
      </c>
      <c r="F31" s="3800" t="str">
        <f>'2-A All'!F55</f>
        <v>100,000 bbl</v>
      </c>
      <c r="G31" s="3800" t="str">
        <f>'2-A All'!G55</f>
        <v>100,000 bbl</v>
      </c>
      <c r="H31" s="2371" t="s">
        <v>94</v>
      </c>
      <c r="I31" s="567" t="s">
        <v>604</v>
      </c>
      <c r="J31" s="3800">
        <v>40400331</v>
      </c>
      <c r="K31" s="3805" t="s">
        <v>1263</v>
      </c>
      <c r="L31" s="3809" t="s">
        <v>133</v>
      </c>
      <c r="M31" s="3807" t="s">
        <v>133</v>
      </c>
    </row>
    <row r="32" spans="1:13" s="568" customFormat="1" ht="20.25" customHeight="1">
      <c r="A32" s="3799"/>
      <c r="B32" s="3804"/>
      <c r="C32" s="3804"/>
      <c r="D32" s="3804"/>
      <c r="E32" s="3804"/>
      <c r="F32" s="3804"/>
      <c r="G32" s="3804"/>
      <c r="H32" s="569" t="s">
        <v>94</v>
      </c>
      <c r="I32" s="569" t="str">
        <f>A31</f>
        <v>IFR2</v>
      </c>
      <c r="J32" s="3804"/>
      <c r="K32" s="3806"/>
      <c r="L32" s="3810"/>
      <c r="M32" s="3808"/>
    </row>
    <row r="33" spans="1:13" s="568" customFormat="1" ht="20.25" customHeight="1">
      <c r="A33" s="3798" t="str">
        <f>'2-A All'!A57</f>
        <v>IFR3</v>
      </c>
      <c r="B33" s="3800" t="str">
        <f>'2-A All'!B57</f>
        <v>Oil Storage 3 (100,000 bbl)</v>
      </c>
      <c r="C33" s="3800" t="str">
        <f>'2-A All'!C57</f>
        <v>Advance Tank</v>
      </c>
      <c r="D33" s="3800" t="str">
        <f>'2-A All'!D57</f>
        <v>N/A</v>
      </c>
      <c r="E33" s="3800" t="str">
        <f>'2-A All'!E57</f>
        <v>TBD</v>
      </c>
      <c r="F33" s="3800" t="str">
        <f>'2-A All'!F57</f>
        <v>100,000 bbl</v>
      </c>
      <c r="G33" s="3800" t="str">
        <f>'2-A All'!G57</f>
        <v>100,000 bbl</v>
      </c>
      <c r="H33" s="2371" t="s">
        <v>94</v>
      </c>
      <c r="I33" s="567" t="s">
        <v>604</v>
      </c>
      <c r="J33" s="3800">
        <v>40400331</v>
      </c>
      <c r="K33" s="3805" t="s">
        <v>1263</v>
      </c>
      <c r="L33" s="3809" t="s">
        <v>133</v>
      </c>
      <c r="M33" s="3807" t="s">
        <v>133</v>
      </c>
    </row>
    <row r="34" spans="1:13" s="568" customFormat="1" ht="20.25" customHeight="1">
      <c r="A34" s="3799"/>
      <c r="B34" s="3804"/>
      <c r="C34" s="3804"/>
      <c r="D34" s="3804"/>
      <c r="E34" s="3804"/>
      <c r="F34" s="3804"/>
      <c r="G34" s="3804"/>
      <c r="H34" s="569" t="s">
        <v>94</v>
      </c>
      <c r="I34" s="569" t="str">
        <f>A33</f>
        <v>IFR3</v>
      </c>
      <c r="J34" s="3804"/>
      <c r="K34" s="3806"/>
      <c r="L34" s="3810"/>
      <c r="M34" s="3808"/>
    </row>
    <row r="35" spans="1:13" s="568" customFormat="1" ht="20.25" customHeight="1">
      <c r="A35" s="3798" t="str">
        <f>'2-A All'!A59</f>
        <v>IFR4</v>
      </c>
      <c r="B35" s="3800" t="str">
        <f>'2-A All'!B59</f>
        <v>Oil Storage 4 (100,000 bbl)</v>
      </c>
      <c r="C35" s="3800" t="str">
        <f>'2-A All'!C59</f>
        <v>Advance Tank</v>
      </c>
      <c r="D35" s="3800" t="str">
        <f>'2-A All'!D59</f>
        <v>N/A</v>
      </c>
      <c r="E35" s="3800" t="str">
        <f>'2-A All'!E59</f>
        <v>TBD</v>
      </c>
      <c r="F35" s="3800" t="str">
        <f>'2-A All'!F59</f>
        <v>100,000 bbl</v>
      </c>
      <c r="G35" s="3800" t="str">
        <f>'2-A All'!G59</f>
        <v>100,000 bbl</v>
      </c>
      <c r="H35" s="2371" t="s">
        <v>94</v>
      </c>
      <c r="I35" s="567" t="s">
        <v>604</v>
      </c>
      <c r="J35" s="3800">
        <v>40400331</v>
      </c>
      <c r="K35" s="3805" t="s">
        <v>1263</v>
      </c>
      <c r="L35" s="3809" t="s">
        <v>133</v>
      </c>
      <c r="M35" s="3807" t="s">
        <v>133</v>
      </c>
    </row>
    <row r="36" spans="1:13" s="568" customFormat="1" ht="20.25" customHeight="1">
      <c r="A36" s="3799"/>
      <c r="B36" s="3804"/>
      <c r="C36" s="3804"/>
      <c r="D36" s="3804"/>
      <c r="E36" s="3804"/>
      <c r="F36" s="3804"/>
      <c r="G36" s="3804"/>
      <c r="H36" s="569" t="s">
        <v>94</v>
      </c>
      <c r="I36" s="569" t="str">
        <f>A35</f>
        <v>IFR4</v>
      </c>
      <c r="J36" s="3804"/>
      <c r="K36" s="3806"/>
      <c r="L36" s="3810"/>
      <c r="M36" s="3808"/>
    </row>
    <row r="37" spans="1:13" s="568" customFormat="1" ht="20.25" customHeight="1">
      <c r="A37" s="3798" t="str">
        <f>'2-A All'!A61</f>
        <v>OTK1</v>
      </c>
      <c r="B37" s="3800" t="str">
        <f>'2-A All'!B61</f>
        <v>3rd-Party Oil Storage 1</v>
      </c>
      <c r="C37" s="3800" t="str">
        <f>'2-A All'!C61</f>
        <v>Advance Tank</v>
      </c>
      <c r="D37" s="3800" t="str">
        <f>'2-A All'!D61</f>
        <v>N/A</v>
      </c>
      <c r="E37" s="3800" t="str">
        <f>'2-A All'!E61</f>
        <v>TBD</v>
      </c>
      <c r="F37" s="3800" t="str">
        <f>'2-A All'!F61</f>
        <v>2,000 bbl</v>
      </c>
      <c r="G37" s="3800" t="str">
        <f>'2-A All'!G61</f>
        <v>2,000 bbl</v>
      </c>
      <c r="H37" s="2371" t="s">
        <v>94</v>
      </c>
      <c r="I37" s="567" t="str">
        <f>A49</f>
        <v>ECD1</v>
      </c>
      <c r="J37" s="3800">
        <v>40400311</v>
      </c>
      <c r="K37" s="3805" t="s">
        <v>1263</v>
      </c>
      <c r="L37" s="3809" t="s">
        <v>133</v>
      </c>
      <c r="M37" s="3807" t="s">
        <v>133</v>
      </c>
    </row>
    <row r="38" spans="1:13" s="568" customFormat="1" ht="20.25" customHeight="1">
      <c r="A38" s="3799"/>
      <c r="B38" s="3804"/>
      <c r="C38" s="3804"/>
      <c r="D38" s="3804"/>
      <c r="E38" s="3804"/>
      <c r="F38" s="3804"/>
      <c r="G38" s="3804"/>
      <c r="H38" s="569" t="s">
        <v>94</v>
      </c>
      <c r="I38" s="569" t="str">
        <f>I37</f>
        <v>ECD1</v>
      </c>
      <c r="J38" s="3804"/>
      <c r="K38" s="3806"/>
      <c r="L38" s="3810"/>
      <c r="M38" s="3808"/>
    </row>
    <row r="39" spans="1:13" s="568" customFormat="1" ht="20.25" customHeight="1">
      <c r="A39" s="3798" t="str">
        <f>'2-A All'!A63</f>
        <v>OTK2</v>
      </c>
      <c r="B39" s="3800" t="str">
        <f>'2-A All'!B63</f>
        <v>3rd-Party Oil Storage 2</v>
      </c>
      <c r="C39" s="3800" t="str">
        <f>'2-A All'!C63</f>
        <v>Advance Tank</v>
      </c>
      <c r="D39" s="3800" t="str">
        <f>'2-A All'!D63</f>
        <v>N/A</v>
      </c>
      <c r="E39" s="3800" t="str">
        <f>'2-A All'!E63</f>
        <v>TBD</v>
      </c>
      <c r="F39" s="3800" t="str">
        <f>'2-A All'!F63</f>
        <v>2,000 bbl</v>
      </c>
      <c r="G39" s="3800" t="str">
        <f>'2-A All'!G63</f>
        <v>2,000 bbl</v>
      </c>
      <c r="H39" s="2371" t="s">
        <v>94</v>
      </c>
      <c r="I39" s="567" t="str">
        <f>A49</f>
        <v>ECD1</v>
      </c>
      <c r="J39" s="3800">
        <v>40400311</v>
      </c>
      <c r="K39" s="3805" t="s">
        <v>1263</v>
      </c>
      <c r="L39" s="3809" t="s">
        <v>133</v>
      </c>
      <c r="M39" s="3807" t="s">
        <v>133</v>
      </c>
    </row>
    <row r="40" spans="1:13" s="568" customFormat="1" ht="20.25" customHeight="1">
      <c r="A40" s="3799"/>
      <c r="B40" s="3804"/>
      <c r="C40" s="3804"/>
      <c r="D40" s="3804"/>
      <c r="E40" s="3804"/>
      <c r="F40" s="3804"/>
      <c r="G40" s="3804"/>
      <c r="H40" s="569" t="s">
        <v>94</v>
      </c>
      <c r="I40" s="569" t="str">
        <f>I39</f>
        <v>ECD1</v>
      </c>
      <c r="J40" s="3804"/>
      <c r="K40" s="3806"/>
      <c r="L40" s="3810"/>
      <c r="M40" s="3808"/>
    </row>
    <row r="41" spans="1:13" s="568" customFormat="1" ht="20.25" customHeight="1">
      <c r="A41" s="3798" t="str">
        <f>'2-A All'!A65</f>
        <v>OTK3</v>
      </c>
      <c r="B41" s="3800" t="str">
        <f>'2-A All'!B65</f>
        <v>3rd-Party Oil Storage 3</v>
      </c>
      <c r="C41" s="3800" t="str">
        <f>'2-A All'!C65</f>
        <v>Advance Tank</v>
      </c>
      <c r="D41" s="3800" t="str">
        <f>'2-A All'!D65</f>
        <v>N/A</v>
      </c>
      <c r="E41" s="3800" t="str">
        <f>'2-A All'!E65</f>
        <v>TBD</v>
      </c>
      <c r="F41" s="3800" t="str">
        <f>'2-A All'!F65</f>
        <v>2,000 bbl</v>
      </c>
      <c r="G41" s="3800" t="str">
        <f>'2-A All'!G65</f>
        <v>2,000 bbl</v>
      </c>
      <c r="H41" s="2371" t="s">
        <v>94</v>
      </c>
      <c r="I41" s="567" t="str">
        <f>A49</f>
        <v>ECD1</v>
      </c>
      <c r="J41" s="3800">
        <v>40400311</v>
      </c>
      <c r="K41" s="3805" t="s">
        <v>1263</v>
      </c>
      <c r="L41" s="3809" t="s">
        <v>133</v>
      </c>
      <c r="M41" s="3807" t="s">
        <v>133</v>
      </c>
    </row>
    <row r="42" spans="1:13" s="568" customFormat="1" ht="20.25" customHeight="1">
      <c r="A42" s="3799"/>
      <c r="B42" s="3804"/>
      <c r="C42" s="3804"/>
      <c r="D42" s="3804"/>
      <c r="E42" s="3804"/>
      <c r="F42" s="3804"/>
      <c r="G42" s="3804"/>
      <c r="H42" s="569" t="s">
        <v>94</v>
      </c>
      <c r="I42" s="569" t="str">
        <f>I41</f>
        <v>ECD1</v>
      </c>
      <c r="J42" s="3804"/>
      <c r="K42" s="3806"/>
      <c r="L42" s="3810"/>
      <c r="M42" s="3808"/>
    </row>
    <row r="43" spans="1:13" s="568" customFormat="1" ht="20.25" customHeight="1">
      <c r="A43" s="3798" t="str">
        <f>'2-A All'!A67</f>
        <v>OTK4</v>
      </c>
      <c r="B43" s="3800" t="str">
        <f>'2-A All'!B67</f>
        <v>3rd-Party Oil Storage 4</v>
      </c>
      <c r="C43" s="3800" t="str">
        <f>'2-A All'!C67</f>
        <v>Advance Tank</v>
      </c>
      <c r="D43" s="3800" t="str">
        <f>'2-A All'!D67</f>
        <v>N/A</v>
      </c>
      <c r="E43" s="3800" t="str">
        <f>'2-A All'!E67</f>
        <v>TBD</v>
      </c>
      <c r="F43" s="3800" t="str">
        <f>'2-A All'!F67</f>
        <v>2,000 bbl</v>
      </c>
      <c r="G43" s="3800" t="str">
        <f>'2-A All'!G67</f>
        <v>2,000 bbl</v>
      </c>
      <c r="H43" s="2371" t="s">
        <v>94</v>
      </c>
      <c r="I43" s="567" t="str">
        <f>A49</f>
        <v>ECD1</v>
      </c>
      <c r="J43" s="3800">
        <v>40400311</v>
      </c>
      <c r="K43" s="3805" t="s">
        <v>1263</v>
      </c>
      <c r="L43" s="3809" t="s">
        <v>133</v>
      </c>
      <c r="M43" s="3807" t="s">
        <v>133</v>
      </c>
    </row>
    <row r="44" spans="1:13" s="568" customFormat="1" ht="20.25" customHeight="1">
      <c r="A44" s="3799"/>
      <c r="B44" s="3804"/>
      <c r="C44" s="3804"/>
      <c r="D44" s="3804"/>
      <c r="E44" s="3804"/>
      <c r="F44" s="3804"/>
      <c r="G44" s="3804"/>
      <c r="H44" s="569" t="s">
        <v>94</v>
      </c>
      <c r="I44" s="569" t="str">
        <f>I43</f>
        <v>ECD1</v>
      </c>
      <c r="J44" s="3804"/>
      <c r="K44" s="3806"/>
      <c r="L44" s="3810"/>
      <c r="M44" s="3808"/>
    </row>
    <row r="45" spans="1:13" s="568" customFormat="1" ht="20.25" customHeight="1">
      <c r="A45" s="3798" t="str">
        <f>'2-A All'!A69</f>
        <v>OTK5</v>
      </c>
      <c r="B45" s="3800" t="str">
        <f>'2-A All'!B69</f>
        <v>3rd-Party Oil Storage 5</v>
      </c>
      <c r="C45" s="3800" t="str">
        <f>'2-A All'!C69</f>
        <v>Advance Tank</v>
      </c>
      <c r="D45" s="3800" t="str">
        <f>'2-A All'!D69</f>
        <v>N/A</v>
      </c>
      <c r="E45" s="3800" t="str">
        <f>'2-A All'!E69</f>
        <v>TBD</v>
      </c>
      <c r="F45" s="3800" t="str">
        <f>'2-A All'!F69</f>
        <v>2,000 bbl</v>
      </c>
      <c r="G45" s="3800" t="str">
        <f>'2-A All'!G69</f>
        <v>2,000 bbl</v>
      </c>
      <c r="H45" s="2371" t="s">
        <v>94</v>
      </c>
      <c r="I45" s="567" t="str">
        <f>A49</f>
        <v>ECD1</v>
      </c>
      <c r="J45" s="3800">
        <v>40400311</v>
      </c>
      <c r="K45" s="3805" t="s">
        <v>1263</v>
      </c>
      <c r="L45" s="3809" t="s">
        <v>133</v>
      </c>
      <c r="M45" s="3807" t="s">
        <v>133</v>
      </c>
    </row>
    <row r="46" spans="1:13" s="568" customFormat="1" ht="20.25" customHeight="1">
      <c r="A46" s="3799"/>
      <c r="B46" s="3804"/>
      <c r="C46" s="3804"/>
      <c r="D46" s="3804"/>
      <c r="E46" s="3804"/>
      <c r="F46" s="3804"/>
      <c r="G46" s="3804"/>
      <c r="H46" s="569" t="s">
        <v>94</v>
      </c>
      <c r="I46" s="569" t="str">
        <f>I45</f>
        <v>ECD1</v>
      </c>
      <c r="J46" s="3804"/>
      <c r="K46" s="3806"/>
      <c r="L46" s="3810"/>
      <c r="M46" s="3808"/>
    </row>
    <row r="47" spans="1:13" s="568" customFormat="1" ht="20.25" customHeight="1">
      <c r="A47" s="3798" t="str">
        <f>'2-A All'!A71</f>
        <v>OTK6</v>
      </c>
      <c r="B47" s="3800" t="str">
        <f>'2-A All'!B71</f>
        <v>3rd-Party Oil Storage 6</v>
      </c>
      <c r="C47" s="3800" t="str">
        <f>'2-A All'!C71</f>
        <v>Advance Tank</v>
      </c>
      <c r="D47" s="3800" t="str">
        <f>'2-A All'!D71</f>
        <v>N/A</v>
      </c>
      <c r="E47" s="3800" t="str">
        <f>'2-A All'!E71</f>
        <v>TBD</v>
      </c>
      <c r="F47" s="3800" t="str">
        <f>'2-A All'!F71</f>
        <v>2,000 bbl</v>
      </c>
      <c r="G47" s="3800" t="str">
        <f>'2-A All'!G71</f>
        <v>2,000 bbl</v>
      </c>
      <c r="H47" s="2371" t="s">
        <v>94</v>
      </c>
      <c r="I47" s="567" t="str">
        <f>A49</f>
        <v>ECD1</v>
      </c>
      <c r="J47" s="3800">
        <v>40400311</v>
      </c>
      <c r="K47" s="3805" t="s">
        <v>1263</v>
      </c>
      <c r="L47" s="3809" t="s">
        <v>133</v>
      </c>
      <c r="M47" s="3807" t="s">
        <v>133</v>
      </c>
    </row>
    <row r="48" spans="1:13" s="568" customFormat="1" ht="20.25" customHeight="1">
      <c r="A48" s="3799"/>
      <c r="B48" s="3804"/>
      <c r="C48" s="3804"/>
      <c r="D48" s="3804"/>
      <c r="E48" s="3804"/>
      <c r="F48" s="3804"/>
      <c r="G48" s="3804"/>
      <c r="H48" s="569" t="s">
        <v>94</v>
      </c>
      <c r="I48" s="569" t="str">
        <f>I47</f>
        <v>ECD1</v>
      </c>
      <c r="J48" s="3804"/>
      <c r="K48" s="3806"/>
      <c r="L48" s="3810"/>
      <c r="M48" s="3808"/>
    </row>
    <row r="49" spans="1:13" s="568" customFormat="1" ht="20.25" customHeight="1">
      <c r="A49" s="3798" t="str">
        <f>'2-A All'!A73</f>
        <v>ECD1</v>
      </c>
      <c r="B49" s="3800" t="str">
        <f>'2-A All'!B73</f>
        <v>Combustor</v>
      </c>
      <c r="C49" s="3800" t="str">
        <f>'2-A All'!C73</f>
        <v>Zeeco, Inc.</v>
      </c>
      <c r="D49" s="3800" t="str">
        <f>'2-A All'!D73</f>
        <v>N/A</v>
      </c>
      <c r="E49" s="3800" t="str">
        <f>'2-A All'!E73</f>
        <v>TBD</v>
      </c>
      <c r="F49" s="3800" t="str">
        <f>'2-A All'!F73</f>
        <v>N/A</v>
      </c>
      <c r="G49" s="3800" t="str">
        <f>'2-A All'!G73</f>
        <v>N/A</v>
      </c>
      <c r="H49" s="2371" t="s">
        <v>94</v>
      </c>
      <c r="I49" s="567" t="s">
        <v>604</v>
      </c>
      <c r="J49" s="3811">
        <v>31000209</v>
      </c>
      <c r="K49" s="3805" t="s">
        <v>1263</v>
      </c>
      <c r="L49" s="3809" t="s">
        <v>133</v>
      </c>
      <c r="M49" s="3807" t="s">
        <v>133</v>
      </c>
    </row>
    <row r="50" spans="1:13" s="568" customFormat="1" ht="20.25" customHeight="1">
      <c r="A50" s="3799"/>
      <c r="B50" s="3804"/>
      <c r="C50" s="3804"/>
      <c r="D50" s="3804"/>
      <c r="E50" s="3804"/>
      <c r="F50" s="3804"/>
      <c r="G50" s="3804"/>
      <c r="H50" s="569" t="s">
        <v>94</v>
      </c>
      <c r="I50" s="569" t="str">
        <f>A49</f>
        <v>ECD1</v>
      </c>
      <c r="J50" s="3812"/>
      <c r="K50" s="3806"/>
      <c r="L50" s="3810"/>
      <c r="M50" s="3808"/>
    </row>
    <row r="51" spans="1:13" s="568" customFormat="1" ht="20.25" customHeight="1">
      <c r="A51" s="3798" t="str">
        <f>'2-A All'!A75</f>
        <v>TO1</v>
      </c>
      <c r="B51" s="3800" t="str">
        <f>'2-A All'!B75</f>
        <v>Thermal Oxidizer</v>
      </c>
      <c r="C51" s="3800" t="str">
        <f>'2-A All'!C75</f>
        <v>Zeeco, Inc.</v>
      </c>
      <c r="D51" s="3800" t="str">
        <f>'2-A All'!D75</f>
        <v>N/A</v>
      </c>
      <c r="E51" s="3800" t="str">
        <f>'2-A All'!E75</f>
        <v>TBD</v>
      </c>
      <c r="F51" s="3800" t="str">
        <f>'2-A All'!F75</f>
        <v xml:space="preserve">31.5 MMBtu/hr </v>
      </c>
      <c r="G51" s="3800" t="str">
        <f>'2-A All'!G75</f>
        <v xml:space="preserve">31.5 MMBtu/hr </v>
      </c>
      <c r="H51" s="2371" t="s">
        <v>94</v>
      </c>
      <c r="I51" s="567" t="s">
        <v>604</v>
      </c>
      <c r="J51" s="3811">
        <v>31000209</v>
      </c>
      <c r="K51" s="3805" t="s">
        <v>1263</v>
      </c>
      <c r="L51" s="3809" t="s">
        <v>133</v>
      </c>
      <c r="M51" s="3807" t="s">
        <v>133</v>
      </c>
    </row>
    <row r="52" spans="1:13" s="568" customFormat="1" ht="20.25" customHeight="1">
      <c r="A52" s="3799"/>
      <c r="B52" s="3804"/>
      <c r="C52" s="3804"/>
      <c r="D52" s="3804"/>
      <c r="E52" s="3804"/>
      <c r="F52" s="3804"/>
      <c r="G52" s="3804"/>
      <c r="H52" s="569" t="s">
        <v>94</v>
      </c>
      <c r="I52" s="569" t="str">
        <f>A51</f>
        <v>TO1</v>
      </c>
      <c r="J52" s="3812"/>
      <c r="K52" s="3806"/>
      <c r="L52" s="3810"/>
      <c r="M52" s="3808"/>
    </row>
    <row r="53" spans="1:13" s="568" customFormat="1" ht="20.25" customHeight="1">
      <c r="A53" s="3798" t="str">
        <f>'2-A All'!A77</f>
        <v>TO2</v>
      </c>
      <c r="B53" s="3800" t="str">
        <f>'2-A All'!B77</f>
        <v>Thermal Oxidizer</v>
      </c>
      <c r="C53" s="3800" t="str">
        <f>'2-A All'!C77</f>
        <v>Zeeco, Inc.</v>
      </c>
      <c r="D53" s="3800" t="str">
        <f>'2-A All'!D77</f>
        <v>N/A</v>
      </c>
      <c r="E53" s="3800" t="str">
        <f>'2-A All'!E77</f>
        <v>TBD</v>
      </c>
      <c r="F53" s="3800" t="str">
        <f>'2-A All'!F77</f>
        <v xml:space="preserve">31.5 MMBtu/hr </v>
      </c>
      <c r="G53" s="3800" t="str">
        <f>'2-A All'!G77</f>
        <v xml:space="preserve">31.5 MMBtu/hr </v>
      </c>
      <c r="H53" s="2371" t="s">
        <v>94</v>
      </c>
      <c r="I53" s="567" t="s">
        <v>604</v>
      </c>
      <c r="J53" s="3811">
        <v>31000209</v>
      </c>
      <c r="K53" s="3805" t="s">
        <v>1263</v>
      </c>
      <c r="L53" s="3809" t="s">
        <v>133</v>
      </c>
      <c r="M53" s="3807" t="s">
        <v>133</v>
      </c>
    </row>
    <row r="54" spans="1:13" s="568" customFormat="1" ht="20.25" customHeight="1">
      <c r="A54" s="3799"/>
      <c r="B54" s="3804"/>
      <c r="C54" s="3804"/>
      <c r="D54" s="3804"/>
      <c r="E54" s="3804"/>
      <c r="F54" s="3804"/>
      <c r="G54" s="3804"/>
      <c r="H54" s="569" t="s">
        <v>94</v>
      </c>
      <c r="I54" s="569" t="str">
        <f>A53</f>
        <v>TO2</v>
      </c>
      <c r="J54" s="3815"/>
      <c r="K54" s="3806"/>
      <c r="L54" s="3810"/>
      <c r="M54" s="3808"/>
    </row>
    <row r="55" spans="1:13" s="568" customFormat="1" ht="20.25" customHeight="1">
      <c r="A55" s="3798" t="str">
        <f>'2-A All'!A79</f>
        <v>TO3</v>
      </c>
      <c r="B55" s="3800" t="str">
        <f>'2-A All'!B79</f>
        <v>Thermal Oxidizer</v>
      </c>
      <c r="C55" s="3800" t="str">
        <f>'2-A All'!C79</f>
        <v>Zeeco, Inc.</v>
      </c>
      <c r="D55" s="3800" t="str">
        <f>'2-A All'!D79</f>
        <v>N/A</v>
      </c>
      <c r="E55" s="3800" t="str">
        <f>'2-A All'!E79</f>
        <v>TBD</v>
      </c>
      <c r="F55" s="3800" t="str">
        <f>'2-A All'!F79</f>
        <v xml:space="preserve">31.5 MMBtu/hr </v>
      </c>
      <c r="G55" s="3800" t="str">
        <f>'2-A All'!G79</f>
        <v xml:space="preserve">31.5 MMBtu/hr </v>
      </c>
      <c r="H55" s="2371" t="s">
        <v>94</v>
      </c>
      <c r="I55" s="567" t="s">
        <v>604</v>
      </c>
      <c r="J55" s="3811">
        <v>31000209</v>
      </c>
      <c r="K55" s="3805" t="s">
        <v>1263</v>
      </c>
      <c r="L55" s="3809" t="s">
        <v>133</v>
      </c>
      <c r="M55" s="3807" t="s">
        <v>133</v>
      </c>
    </row>
    <row r="56" spans="1:13" s="568" customFormat="1" ht="20.25" customHeight="1">
      <c r="A56" s="3799"/>
      <c r="B56" s="3804"/>
      <c r="C56" s="3804"/>
      <c r="D56" s="3804"/>
      <c r="E56" s="3804"/>
      <c r="F56" s="3804"/>
      <c r="G56" s="3804"/>
      <c r="H56" s="569" t="s">
        <v>94</v>
      </c>
      <c r="I56" s="569" t="str">
        <f>A55</f>
        <v>TO3</v>
      </c>
      <c r="J56" s="3815"/>
      <c r="K56" s="3806"/>
      <c r="L56" s="3810"/>
      <c r="M56" s="3808"/>
    </row>
    <row r="57" spans="1:13" s="568" customFormat="1" ht="20.25" customHeight="1">
      <c r="A57" s="3798" t="str">
        <f>'2-A All'!A81</f>
        <v>FUG</v>
      </c>
      <c r="B57" s="3800" t="str">
        <f>'2-A All'!B81</f>
        <v>Fugitives</v>
      </c>
      <c r="C57" s="3800" t="str">
        <f>'2-A All'!C81</f>
        <v>N/A</v>
      </c>
      <c r="D57" s="3800" t="str">
        <f>'2-A All'!D81</f>
        <v>N/A</v>
      </c>
      <c r="E57" s="3800" t="str">
        <f>'2-A All'!E81</f>
        <v>N/A</v>
      </c>
      <c r="F57" s="3800" t="str">
        <f>'2-A All'!F81</f>
        <v>N/A</v>
      </c>
      <c r="G57" s="3800" t="str">
        <f>'2-A All'!G81</f>
        <v>N/A</v>
      </c>
      <c r="H57" s="2371" t="s">
        <v>94</v>
      </c>
      <c r="I57" s="567" t="s">
        <v>604</v>
      </c>
      <c r="J57" s="3811">
        <v>31088811</v>
      </c>
      <c r="K57" s="3805" t="s">
        <v>1263</v>
      </c>
      <c r="L57" s="3809" t="s">
        <v>133</v>
      </c>
      <c r="M57" s="3807" t="s">
        <v>133</v>
      </c>
    </row>
    <row r="58" spans="1:13" s="568" customFormat="1" ht="20.25" customHeight="1">
      <c r="A58" s="3799"/>
      <c r="B58" s="3804"/>
      <c r="C58" s="3804"/>
      <c r="D58" s="3804"/>
      <c r="E58" s="3804"/>
      <c r="F58" s="3804"/>
      <c r="G58" s="3804"/>
      <c r="H58" s="569" t="s">
        <v>94</v>
      </c>
      <c r="I58" s="569" t="str">
        <f>A57</f>
        <v>FUG</v>
      </c>
      <c r="J58" s="3812"/>
      <c r="K58" s="3806"/>
      <c r="L58" s="3810"/>
      <c r="M58" s="3808"/>
    </row>
    <row r="59" spans="1:13" s="568" customFormat="1" ht="20.25" customHeight="1">
      <c r="A59" s="3798" t="str">
        <f>'2-A All'!A83</f>
        <v>SSM</v>
      </c>
      <c r="B59" s="3800" t="str">
        <f>'2-A All'!B83</f>
        <v>Storage Tank SSM Emissions</v>
      </c>
      <c r="C59" s="3800" t="str">
        <f>'2-A All'!C83</f>
        <v>N/A</v>
      </c>
      <c r="D59" s="3800" t="str">
        <f>'2-A All'!D83</f>
        <v>N/A</v>
      </c>
      <c r="E59" s="3800" t="str">
        <f>'2-A All'!E83</f>
        <v>N/A</v>
      </c>
      <c r="F59" s="3800" t="str">
        <f>'2-A All'!F83</f>
        <v>N/A</v>
      </c>
      <c r="G59" s="3800" t="str">
        <f>'2-A All'!G83</f>
        <v>N/A</v>
      </c>
      <c r="H59" s="2371" t="s">
        <v>94</v>
      </c>
      <c r="I59" s="567" t="s">
        <v>604</v>
      </c>
      <c r="J59" s="3811">
        <v>31088811</v>
      </c>
      <c r="K59" s="3805" t="s">
        <v>1263</v>
      </c>
      <c r="L59" s="3809" t="s">
        <v>133</v>
      </c>
      <c r="M59" s="3807" t="s">
        <v>133</v>
      </c>
    </row>
    <row r="60" spans="1:13" s="568" customFormat="1" ht="20.25" customHeight="1">
      <c r="A60" s="3799"/>
      <c r="B60" s="3804"/>
      <c r="C60" s="3804"/>
      <c r="D60" s="3804"/>
      <c r="E60" s="3804"/>
      <c r="F60" s="3804"/>
      <c r="G60" s="3804"/>
      <c r="H60" s="569" t="s">
        <v>94</v>
      </c>
      <c r="I60" s="569" t="str">
        <f>A59</f>
        <v>SSM</v>
      </c>
      <c r="J60" s="3812"/>
      <c r="K60" s="3806"/>
      <c r="L60" s="3810"/>
      <c r="M60" s="3808"/>
    </row>
    <row r="61" spans="1:13" s="568" customFormat="1" ht="20.25" customHeight="1">
      <c r="A61" s="3798" t="str">
        <f>'2-A All'!A85</f>
        <v>ROAD</v>
      </c>
      <c r="B61" s="3800" t="str">
        <f>'2-A All'!B85</f>
        <v>Haul Road Fugitives</v>
      </c>
      <c r="C61" s="3800" t="str">
        <f>'2-A All'!C85</f>
        <v>N/A</v>
      </c>
      <c r="D61" s="3800" t="str">
        <f>'2-A All'!D85</f>
        <v>N/A</v>
      </c>
      <c r="E61" s="3800" t="str">
        <f>'2-A All'!E85</f>
        <v>N/A</v>
      </c>
      <c r="F61" s="3800" t="str">
        <f>'2-A All'!F85</f>
        <v>N/A</v>
      </c>
      <c r="G61" s="3800" t="str">
        <f>'2-A All'!G85</f>
        <v>N/A</v>
      </c>
      <c r="H61" s="2371" t="s">
        <v>94</v>
      </c>
      <c r="I61" s="567" t="s">
        <v>604</v>
      </c>
      <c r="J61" s="3811">
        <v>31088811</v>
      </c>
      <c r="K61" s="3805" t="s">
        <v>1263</v>
      </c>
      <c r="L61" s="3809" t="s">
        <v>133</v>
      </c>
      <c r="M61" s="3807" t="s">
        <v>133</v>
      </c>
    </row>
    <row r="62" spans="1:13" s="568" customFormat="1" ht="20.25" customHeight="1">
      <c r="A62" s="3799"/>
      <c r="B62" s="3804"/>
      <c r="C62" s="3804"/>
      <c r="D62" s="3804"/>
      <c r="E62" s="3804"/>
      <c r="F62" s="3804"/>
      <c r="G62" s="3804"/>
      <c r="H62" s="569" t="s">
        <v>94</v>
      </c>
      <c r="I62" s="569" t="str">
        <f>A61</f>
        <v>ROAD</v>
      </c>
      <c r="J62" s="3812"/>
      <c r="K62" s="3806"/>
      <c r="L62" s="3810"/>
      <c r="M62" s="3808"/>
    </row>
    <row r="63" spans="1:13" s="568" customFormat="1" ht="20.25" customHeight="1">
      <c r="A63" s="3798" t="str">
        <f>'2-A All'!A87</f>
        <v>PWTK1</v>
      </c>
      <c r="B63" s="3800" t="str">
        <f>'2-A All'!B87</f>
        <v>Produced Water Tank 1</v>
      </c>
      <c r="C63" s="3800" t="str">
        <f>'2-A All'!C87</f>
        <v>TBD</v>
      </c>
      <c r="D63" s="3800" t="str">
        <f>'2-A All'!D87</f>
        <v>N/A</v>
      </c>
      <c r="E63" s="3800" t="str">
        <f>'2-A All'!E87</f>
        <v>TBD</v>
      </c>
      <c r="F63" s="3800" t="str">
        <f>'2-A All'!F87</f>
        <v>750 bbl</v>
      </c>
      <c r="G63" s="3800" t="str">
        <f>'2-A All'!G87</f>
        <v>750 bbl</v>
      </c>
      <c r="H63" s="2371" t="s">
        <v>94</v>
      </c>
      <c r="I63" s="567" t="str">
        <f>A49</f>
        <v>ECD1</v>
      </c>
      <c r="J63" s="3800">
        <v>40400315</v>
      </c>
      <c r="K63" s="3805" t="s">
        <v>1263</v>
      </c>
      <c r="L63" s="3809" t="s">
        <v>133</v>
      </c>
      <c r="M63" s="3807" t="s">
        <v>133</v>
      </c>
    </row>
    <row r="64" spans="1:13" s="568" customFormat="1" ht="20.25" customHeight="1">
      <c r="A64" s="3799"/>
      <c r="B64" s="3804"/>
      <c r="C64" s="3804"/>
      <c r="D64" s="3804"/>
      <c r="E64" s="3804"/>
      <c r="F64" s="3804"/>
      <c r="G64" s="3804"/>
      <c r="H64" s="569" t="s">
        <v>94</v>
      </c>
      <c r="I64" s="569" t="str">
        <f>I63</f>
        <v>ECD1</v>
      </c>
      <c r="J64" s="3804"/>
      <c r="K64" s="3806"/>
      <c r="L64" s="3810"/>
      <c r="M64" s="3808"/>
    </row>
    <row r="65" spans="1:13" s="568" customFormat="1" ht="20.25" customHeight="1">
      <c r="A65" s="3798" t="str">
        <f>'2-A All'!A89</f>
        <v>PWTK2</v>
      </c>
      <c r="B65" s="3800" t="str">
        <f>'2-A All'!B89</f>
        <v>Produced Water Tank 2</v>
      </c>
      <c r="C65" s="3800" t="str">
        <f>'2-A All'!C89</f>
        <v>TBD</v>
      </c>
      <c r="D65" s="3800" t="str">
        <f>'2-A All'!D89</f>
        <v>N/A</v>
      </c>
      <c r="E65" s="3800" t="str">
        <f>'2-A All'!E89</f>
        <v>TBD</v>
      </c>
      <c r="F65" s="3800" t="str">
        <f>'2-A All'!F89</f>
        <v>750 bbl</v>
      </c>
      <c r="G65" s="3800" t="str">
        <f>'2-A All'!G89</f>
        <v>750 bbl</v>
      </c>
      <c r="H65" s="2371" t="s">
        <v>94</v>
      </c>
      <c r="I65" s="567" t="str">
        <f>A49</f>
        <v>ECD1</v>
      </c>
      <c r="J65" s="3800">
        <v>40400315</v>
      </c>
      <c r="K65" s="3805" t="s">
        <v>1263</v>
      </c>
      <c r="L65" s="3809" t="s">
        <v>133</v>
      </c>
      <c r="M65" s="3807" t="s">
        <v>133</v>
      </c>
    </row>
    <row r="66" spans="1:13" s="568" customFormat="1" ht="20.25" customHeight="1">
      <c r="A66" s="3799"/>
      <c r="B66" s="3804"/>
      <c r="C66" s="3804"/>
      <c r="D66" s="3804"/>
      <c r="E66" s="3804"/>
      <c r="F66" s="3804"/>
      <c r="G66" s="3804"/>
      <c r="H66" s="569" t="s">
        <v>94</v>
      </c>
      <c r="I66" s="569" t="str">
        <f>I65</f>
        <v>ECD1</v>
      </c>
      <c r="J66" s="3804"/>
      <c r="K66" s="3806"/>
      <c r="L66" s="3810"/>
      <c r="M66" s="3808"/>
    </row>
    <row r="67" spans="1:13" s="568" customFormat="1" ht="20.25" customHeight="1">
      <c r="A67" s="3798" t="str">
        <f>'2-A All'!A91</f>
        <v>PWTL</v>
      </c>
      <c r="B67" s="3800" t="str">
        <f>'2-A All'!B91</f>
        <v>Produced Water Loading</v>
      </c>
      <c r="C67" s="3800" t="str">
        <f>'2-A All'!C91</f>
        <v>N/A</v>
      </c>
      <c r="D67" s="3800" t="str">
        <f>'2-A All'!D91</f>
        <v>N/A</v>
      </c>
      <c r="E67" s="3800" t="str">
        <f>'2-A All'!E91</f>
        <v>N/A</v>
      </c>
      <c r="F67" s="3800" t="str">
        <f>'2-A All'!F91</f>
        <v>N/A</v>
      </c>
      <c r="G67" s="3800" t="str">
        <f>'2-A All'!G91</f>
        <v>10,308 bbl/day</v>
      </c>
      <c r="H67" s="2371" t="s">
        <v>94</v>
      </c>
      <c r="I67" s="567" t="s">
        <v>604</v>
      </c>
      <c r="J67" s="3814">
        <v>40400250</v>
      </c>
      <c r="K67" s="3805" t="s">
        <v>1263</v>
      </c>
      <c r="L67" s="3809" t="s">
        <v>133</v>
      </c>
      <c r="M67" s="3807" t="s">
        <v>133</v>
      </c>
    </row>
    <row r="68" spans="1:13" s="568" customFormat="1" ht="20.25" customHeight="1">
      <c r="A68" s="3799"/>
      <c r="B68" s="3804"/>
      <c r="C68" s="3804"/>
      <c r="D68" s="3804"/>
      <c r="E68" s="3804"/>
      <c r="F68" s="3804"/>
      <c r="G68" s="3804"/>
      <c r="H68" s="569" t="s">
        <v>94</v>
      </c>
      <c r="I68" s="569" t="str">
        <f>A67</f>
        <v>PWTL</v>
      </c>
      <c r="J68" s="3815"/>
      <c r="K68" s="3806"/>
      <c r="L68" s="3810"/>
      <c r="M68" s="3808"/>
    </row>
    <row r="69" spans="1:13" s="568" customFormat="1" ht="20.25" customHeight="1">
      <c r="A69" s="3798" t="str">
        <f>'2-A All'!A93</f>
        <v>OTL</v>
      </c>
      <c r="B69" s="3800" t="str">
        <f>'2-A All'!B93</f>
        <v>Slop Oil Loading</v>
      </c>
      <c r="C69" s="3800" t="str">
        <f>'2-A All'!C93</f>
        <v>N/A</v>
      </c>
      <c r="D69" s="3800" t="str">
        <f>'2-A All'!D93</f>
        <v>N/A</v>
      </c>
      <c r="E69" s="3800" t="str">
        <f>'2-A All'!E93</f>
        <v>N/A</v>
      </c>
      <c r="F69" s="3800" t="str">
        <f>'2-A All'!F93</f>
        <v>210 bbl/day</v>
      </c>
      <c r="G69" s="3800" t="str">
        <f>'2-A All'!G93</f>
        <v>210 bbl/day</v>
      </c>
      <c r="H69" s="2371" t="s">
        <v>94</v>
      </c>
      <c r="I69" s="567" t="s">
        <v>604</v>
      </c>
      <c r="J69" s="3814">
        <v>40400250</v>
      </c>
      <c r="K69" s="3805" t="s">
        <v>1263</v>
      </c>
      <c r="L69" s="3809" t="s">
        <v>133</v>
      </c>
      <c r="M69" s="3807" t="s">
        <v>133</v>
      </c>
    </row>
    <row r="70" spans="1:13" s="568" customFormat="1" ht="20.25" customHeight="1">
      <c r="A70" s="3799"/>
      <c r="B70" s="3804"/>
      <c r="C70" s="3804"/>
      <c r="D70" s="3804"/>
      <c r="E70" s="3804"/>
      <c r="F70" s="3804"/>
      <c r="G70" s="3804"/>
      <c r="H70" s="569" t="s">
        <v>94</v>
      </c>
      <c r="I70" s="569" t="str">
        <f>A69</f>
        <v>OTL</v>
      </c>
      <c r="J70" s="3815"/>
      <c r="K70" s="3806"/>
      <c r="L70" s="3810"/>
      <c r="M70" s="3808"/>
    </row>
    <row r="71" spans="1:13" s="568" customFormat="1" ht="20.25" customHeight="1">
      <c r="A71" s="3798" t="str">
        <f>'2-A All'!A95</f>
        <v>AU1</v>
      </c>
      <c r="B71" s="3800" t="str">
        <f>'2-A All'!B95</f>
        <v>Amine Unit 1</v>
      </c>
      <c r="C71" s="3800" t="str">
        <f>'2-A All'!C95</f>
        <v>TBD</v>
      </c>
      <c r="D71" s="3800" t="str">
        <f>'2-A All'!D95</f>
        <v>N/A</v>
      </c>
      <c r="E71" s="3800" t="str">
        <f>'2-A All'!E95</f>
        <v>TBD</v>
      </c>
      <c r="F71" s="3800" t="str">
        <f>'2-A All'!F95</f>
        <v>250 MMSCFD</v>
      </c>
      <c r="G71" s="3800" t="str">
        <f>'2-A All'!G95</f>
        <v>250 MMSCFD</v>
      </c>
      <c r="H71" s="2371" t="s">
        <v>94</v>
      </c>
      <c r="I71" s="567" t="str">
        <f>A51</f>
        <v>TO1</v>
      </c>
      <c r="J71" s="3811">
        <v>31000305</v>
      </c>
      <c r="K71" s="3805" t="s">
        <v>1263</v>
      </c>
      <c r="L71" s="3809" t="s">
        <v>133</v>
      </c>
      <c r="M71" s="3807" t="s">
        <v>133</v>
      </c>
    </row>
    <row r="72" spans="1:13" s="568" customFormat="1" ht="20.25" customHeight="1">
      <c r="A72" s="3799"/>
      <c r="B72" s="3804"/>
      <c r="C72" s="3804"/>
      <c r="D72" s="3804"/>
      <c r="E72" s="3804"/>
      <c r="F72" s="3804"/>
      <c r="G72" s="3804"/>
      <c r="H72" s="569" t="s">
        <v>94</v>
      </c>
      <c r="I72" s="569" t="str">
        <f>I71</f>
        <v>TO1</v>
      </c>
      <c r="J72" s="3812"/>
      <c r="K72" s="3806"/>
      <c r="L72" s="3810"/>
      <c r="M72" s="3808"/>
    </row>
    <row r="73" spans="1:13" s="568" customFormat="1" ht="20.25" customHeight="1">
      <c r="A73" s="3798" t="str">
        <f>'2-A All'!A97</f>
        <v>AU2</v>
      </c>
      <c r="B73" s="3800" t="str">
        <f>'2-A All'!B97</f>
        <v>Amine Unit 2</v>
      </c>
      <c r="C73" s="3800" t="str">
        <f>'2-A All'!C97</f>
        <v>TBD</v>
      </c>
      <c r="D73" s="3800" t="str">
        <f>'2-A All'!D97</f>
        <v>N/A</v>
      </c>
      <c r="E73" s="3800" t="str">
        <f>'2-A All'!E97</f>
        <v>TBD</v>
      </c>
      <c r="F73" s="3800" t="str">
        <f>'2-A All'!F97</f>
        <v>250 MMSCFD</v>
      </c>
      <c r="G73" s="3800" t="str">
        <f>'2-A All'!G97</f>
        <v>250 MMSCFD</v>
      </c>
      <c r="H73" s="2371" t="s">
        <v>94</v>
      </c>
      <c r="I73" s="567" t="str">
        <f>A53</f>
        <v>TO2</v>
      </c>
      <c r="J73" s="3811">
        <v>31000305</v>
      </c>
      <c r="K73" s="3805" t="s">
        <v>1263</v>
      </c>
      <c r="L73" s="3809" t="s">
        <v>133</v>
      </c>
      <c r="M73" s="3807" t="s">
        <v>133</v>
      </c>
    </row>
    <row r="74" spans="1:13" s="568" customFormat="1" ht="20.25" customHeight="1">
      <c r="A74" s="3799"/>
      <c r="B74" s="3804"/>
      <c r="C74" s="3804"/>
      <c r="D74" s="3804"/>
      <c r="E74" s="3804"/>
      <c r="F74" s="3804"/>
      <c r="G74" s="3804"/>
      <c r="H74" s="569" t="s">
        <v>94</v>
      </c>
      <c r="I74" s="569" t="str">
        <f>I73</f>
        <v>TO2</v>
      </c>
      <c r="J74" s="3812"/>
      <c r="K74" s="3806"/>
      <c r="L74" s="3810"/>
      <c r="M74" s="3808"/>
    </row>
    <row r="75" spans="1:13" s="568" customFormat="1" ht="20.25" customHeight="1">
      <c r="A75" s="3798" t="str">
        <f>'2-A All'!A99</f>
        <v>AU3</v>
      </c>
      <c r="B75" s="3800" t="str">
        <f>'2-A All'!B99</f>
        <v>Amine Unit 3</v>
      </c>
      <c r="C75" s="3800" t="str">
        <f>'2-A All'!C99</f>
        <v>TBD</v>
      </c>
      <c r="D75" s="3800" t="str">
        <f>'2-A All'!D99</f>
        <v>N/A</v>
      </c>
      <c r="E75" s="3800" t="str">
        <f>'2-A All'!E99</f>
        <v>TBD</v>
      </c>
      <c r="F75" s="3800" t="str">
        <f>'2-A All'!F99</f>
        <v>250 MMSCFD</v>
      </c>
      <c r="G75" s="3800" t="str">
        <f>'2-A All'!G99</f>
        <v>250 MMSCFD</v>
      </c>
      <c r="H75" s="2371" t="s">
        <v>94</v>
      </c>
      <c r="I75" s="567" t="str">
        <f>A55</f>
        <v>TO3</v>
      </c>
      <c r="J75" s="3811">
        <v>31000305</v>
      </c>
      <c r="K75" s="3805" t="s">
        <v>1263</v>
      </c>
      <c r="L75" s="3809" t="s">
        <v>133</v>
      </c>
      <c r="M75" s="3807" t="s">
        <v>133</v>
      </c>
    </row>
    <row r="76" spans="1:13" s="568" customFormat="1" ht="20.25" customHeight="1">
      <c r="A76" s="3799"/>
      <c r="B76" s="3804"/>
      <c r="C76" s="3804"/>
      <c r="D76" s="3804"/>
      <c r="E76" s="3804"/>
      <c r="F76" s="3804"/>
      <c r="G76" s="3804"/>
      <c r="H76" s="569" t="s">
        <v>94</v>
      </c>
      <c r="I76" s="569" t="str">
        <f>I75</f>
        <v>TO3</v>
      </c>
      <c r="J76" s="3812"/>
      <c r="K76" s="3806"/>
      <c r="L76" s="3810"/>
      <c r="M76" s="3808"/>
    </row>
    <row r="77" spans="1:13" s="568" customFormat="1" ht="20.25" customHeight="1">
      <c r="A77" s="3798" t="str">
        <f>'2-A All'!A101</f>
        <v>GBS1</v>
      </c>
      <c r="B77" s="3800" t="str">
        <f>'2-A All'!B101</f>
        <v>Gunbarrel Tank</v>
      </c>
      <c r="C77" s="3800" t="str">
        <f>'2-A All'!C101</f>
        <v>Advance Tank</v>
      </c>
      <c r="D77" s="3800" t="str">
        <f>'2-A All'!D101</f>
        <v>N/A</v>
      </c>
      <c r="E77" s="3800" t="str">
        <f>'2-A All'!E101</f>
        <v>TBD</v>
      </c>
      <c r="F77" s="3800" t="str">
        <f>'2-A All'!F101</f>
        <v>1,000 bbl</v>
      </c>
      <c r="G77" s="3800" t="str">
        <f>'2-A All'!G101</f>
        <v>1,000 bbl</v>
      </c>
      <c r="H77" s="2371" t="s">
        <v>94</v>
      </c>
      <c r="I77" s="567" t="str">
        <f>A49</f>
        <v>ECD1</v>
      </c>
      <c r="J77" s="3800">
        <v>31000506</v>
      </c>
      <c r="K77" s="3805" t="s">
        <v>1263</v>
      </c>
      <c r="L77" s="3809" t="s">
        <v>133</v>
      </c>
      <c r="M77" s="3807" t="s">
        <v>133</v>
      </c>
    </row>
    <row r="78" spans="1:13" s="568" customFormat="1" ht="20.25" customHeight="1">
      <c r="A78" s="3799"/>
      <c r="B78" s="3804"/>
      <c r="C78" s="3804"/>
      <c r="D78" s="3804"/>
      <c r="E78" s="3804"/>
      <c r="F78" s="3804"/>
      <c r="G78" s="3804"/>
      <c r="H78" s="569" t="s">
        <v>94</v>
      </c>
      <c r="I78" s="569" t="str">
        <f>I77</f>
        <v>ECD1</v>
      </c>
      <c r="J78" s="3804"/>
      <c r="K78" s="3806"/>
      <c r="L78" s="3810"/>
      <c r="M78" s="3808"/>
    </row>
    <row r="79" spans="1:13" s="568" customFormat="1" ht="20.25" customHeight="1">
      <c r="A79" s="3798" t="str">
        <f>'2-A All'!A103</f>
        <v>OTK7</v>
      </c>
      <c r="B79" s="3800" t="str">
        <f>'2-A All'!B103</f>
        <v>Slop Oil Tank</v>
      </c>
      <c r="C79" s="3800" t="str">
        <f>'2-A All'!C103</f>
        <v>Advance Tank</v>
      </c>
      <c r="D79" s="3800" t="str">
        <f>'2-A All'!D103</f>
        <v>N/A</v>
      </c>
      <c r="E79" s="3800" t="str">
        <f>'2-A All'!E103</f>
        <v>TBD</v>
      </c>
      <c r="F79" s="3800" t="str">
        <f>'2-A All'!F103</f>
        <v>500 bbl</v>
      </c>
      <c r="G79" s="3800" t="str">
        <f>'2-A All'!G103</f>
        <v>500 bbl</v>
      </c>
      <c r="H79" s="2371" t="s">
        <v>94</v>
      </c>
      <c r="I79" s="567" t="str">
        <f>A49</f>
        <v>ECD1</v>
      </c>
      <c r="J79" s="3800">
        <v>40400311</v>
      </c>
      <c r="K79" s="3805" t="s">
        <v>1263</v>
      </c>
      <c r="L79" s="3809" t="s">
        <v>133</v>
      </c>
      <c r="M79" s="3807" t="s">
        <v>133</v>
      </c>
    </row>
    <row r="80" spans="1:13" s="568" customFormat="1" ht="20.25" customHeight="1">
      <c r="A80" s="3799"/>
      <c r="B80" s="3804"/>
      <c r="C80" s="3804"/>
      <c r="D80" s="3804"/>
      <c r="E80" s="3804"/>
      <c r="F80" s="3804"/>
      <c r="G80" s="3804"/>
      <c r="H80" s="569" t="s">
        <v>94</v>
      </c>
      <c r="I80" s="569" t="str">
        <f>I79</f>
        <v>ECD1</v>
      </c>
      <c r="J80" s="3804"/>
      <c r="K80" s="3806"/>
      <c r="L80" s="3810"/>
      <c r="M80" s="3808"/>
    </row>
    <row r="81" spans="1:13" s="60" customFormat="1" ht="17.25" customHeight="1">
      <c r="A81" s="3798" t="str">
        <f>'2-A All'!A105</f>
        <v>TUR1</v>
      </c>
      <c r="B81" s="3800" t="str">
        <f>'2-A All'!B105</f>
        <v>Turbine</v>
      </c>
      <c r="C81" s="3800" t="str">
        <f>'2-A All'!C105</f>
        <v>Mitsubishi</v>
      </c>
      <c r="D81" s="3800" t="str">
        <f>'2-A All'!D105</f>
        <v>H-100</v>
      </c>
      <c r="E81" s="3800" t="str">
        <f>'2-A All'!E105</f>
        <v>TBD</v>
      </c>
      <c r="F81" s="3800" t="str">
        <f>'2-A All'!F105</f>
        <v>120 MW</v>
      </c>
      <c r="G81" s="3800" t="str">
        <f>'2-A All'!G105</f>
        <v>120 MW</v>
      </c>
      <c r="H81" s="2371" t="s">
        <v>94</v>
      </c>
      <c r="I81" s="1703" t="s">
        <v>1504</v>
      </c>
      <c r="J81" s="3854">
        <v>20200203</v>
      </c>
      <c r="K81" s="3805" t="s">
        <v>1263</v>
      </c>
      <c r="L81" s="3794" t="s">
        <v>133</v>
      </c>
      <c r="M81" s="3796" t="s">
        <v>133</v>
      </c>
    </row>
    <row r="82" spans="1:13" s="60" customFormat="1" ht="17.149999999999999" customHeight="1">
      <c r="A82" s="3799"/>
      <c r="B82" s="3804"/>
      <c r="C82" s="3804"/>
      <c r="D82" s="3804"/>
      <c r="E82" s="3804"/>
      <c r="F82" s="3804"/>
      <c r="G82" s="3804"/>
      <c r="H82" s="569" t="s">
        <v>94</v>
      </c>
      <c r="I82" s="545" t="str">
        <f>A81</f>
        <v>TUR1</v>
      </c>
      <c r="J82" s="3855"/>
      <c r="K82" s="3806"/>
      <c r="L82" s="3795"/>
      <c r="M82" s="3797"/>
    </row>
    <row r="83" spans="1:13" s="60" customFormat="1" ht="17.25" customHeight="1">
      <c r="A83" s="3798" t="str">
        <f>'2-A All'!A107</f>
        <v>TUR2</v>
      </c>
      <c r="B83" s="3800" t="str">
        <f>'2-A All'!B107</f>
        <v>Turbine</v>
      </c>
      <c r="C83" s="3800" t="str">
        <f>'2-A All'!C107</f>
        <v>Mitsubishi</v>
      </c>
      <c r="D83" s="3800" t="str">
        <f>'2-A All'!D107</f>
        <v>H-100</v>
      </c>
      <c r="E83" s="3800" t="str">
        <f>'2-A All'!E107</f>
        <v>TBD</v>
      </c>
      <c r="F83" s="3800" t="str">
        <f>'2-A All'!F107</f>
        <v>120 MW</v>
      </c>
      <c r="G83" s="3800" t="str">
        <f>'2-A All'!G107</f>
        <v>120 MW</v>
      </c>
      <c r="H83" s="2371" t="s">
        <v>94</v>
      </c>
      <c r="I83" s="1703" t="s">
        <v>1505</v>
      </c>
      <c r="J83" s="3854">
        <v>20200203</v>
      </c>
      <c r="K83" s="3805" t="s">
        <v>1263</v>
      </c>
      <c r="L83" s="3794" t="s">
        <v>133</v>
      </c>
      <c r="M83" s="3796" t="s">
        <v>133</v>
      </c>
    </row>
    <row r="84" spans="1:13" s="60" customFormat="1" ht="17.149999999999999" customHeight="1">
      <c r="A84" s="3799"/>
      <c r="B84" s="3804"/>
      <c r="C84" s="3804"/>
      <c r="D84" s="3804"/>
      <c r="E84" s="3804"/>
      <c r="F84" s="3804"/>
      <c r="G84" s="3804"/>
      <c r="H84" s="569" t="s">
        <v>94</v>
      </c>
      <c r="I84" s="545" t="str">
        <f>A83</f>
        <v>TUR2</v>
      </c>
      <c r="J84" s="3855"/>
      <c r="K84" s="3806"/>
      <c r="L84" s="3795"/>
      <c r="M84" s="3797"/>
    </row>
    <row r="85" spans="1:13" s="60" customFormat="1" ht="17.25" customHeight="1">
      <c r="A85" s="3798" t="str">
        <f>'2-A All'!A109</f>
        <v>TUR3</v>
      </c>
      <c r="B85" s="3800" t="str">
        <f>'2-A All'!B109</f>
        <v>Turbine</v>
      </c>
      <c r="C85" s="3800" t="str">
        <f>'2-A All'!C109</f>
        <v>Mitsubishi</v>
      </c>
      <c r="D85" s="3800" t="str">
        <f>'2-A All'!D109</f>
        <v>H-100</v>
      </c>
      <c r="E85" s="3800" t="str">
        <f>'2-A All'!E109</f>
        <v>TBD</v>
      </c>
      <c r="F85" s="3800" t="str">
        <f>'2-A All'!F109</f>
        <v>120 MW</v>
      </c>
      <c r="G85" s="3800" t="str">
        <f>'2-A All'!G109</f>
        <v>120 MW</v>
      </c>
      <c r="H85" s="2371" t="s">
        <v>94</v>
      </c>
      <c r="I85" s="1704" t="s">
        <v>1506</v>
      </c>
      <c r="J85" s="3854">
        <v>20200203</v>
      </c>
      <c r="K85" s="3805" t="s">
        <v>1263</v>
      </c>
      <c r="L85" s="3794" t="s">
        <v>133</v>
      </c>
      <c r="M85" s="3796" t="s">
        <v>133</v>
      </c>
    </row>
    <row r="86" spans="1:13" s="60" customFormat="1" ht="17.25" customHeight="1">
      <c r="A86" s="3799"/>
      <c r="B86" s="3804"/>
      <c r="C86" s="3804"/>
      <c r="D86" s="3804"/>
      <c r="E86" s="3804"/>
      <c r="F86" s="3804"/>
      <c r="G86" s="3804"/>
      <c r="H86" s="569" t="s">
        <v>94</v>
      </c>
      <c r="I86" s="272" t="str">
        <f>A85</f>
        <v>TUR3</v>
      </c>
      <c r="J86" s="3855"/>
      <c r="K86" s="3806"/>
      <c r="L86" s="3795"/>
      <c r="M86" s="3797"/>
    </row>
    <row r="87" spans="1:13" s="62" customFormat="1" ht="11.25" customHeight="1">
      <c r="A87" s="61" t="s">
        <v>134</v>
      </c>
    </row>
    <row r="88" spans="1:13" s="62" customFormat="1" ht="11.25" customHeight="1">
      <c r="A88" s="61" t="s">
        <v>135</v>
      </c>
    </row>
    <row r="89" spans="1:13" s="62" customFormat="1" ht="11.25" customHeight="1">
      <c r="A89" s="61" t="s">
        <v>136</v>
      </c>
    </row>
    <row r="90" spans="1:13" ht="11.25" customHeight="1">
      <c r="A90" s="61" t="s">
        <v>137</v>
      </c>
      <c r="B90" s="56"/>
      <c r="C90" s="56"/>
      <c r="D90" s="56"/>
      <c r="E90" s="56"/>
      <c r="F90" s="56"/>
      <c r="G90" s="56"/>
    </row>
    <row r="91" spans="1:13" ht="20.75" customHeight="1">
      <c r="A91" s="56"/>
      <c r="B91" s="56"/>
      <c r="C91" s="56"/>
      <c r="D91" s="56"/>
      <c r="E91" s="56"/>
      <c r="F91" s="56"/>
      <c r="G91" s="56"/>
    </row>
    <row r="92" spans="1:13" ht="20.75" customHeight="1">
      <c r="A92" s="56"/>
      <c r="B92" s="56"/>
      <c r="C92" s="56"/>
      <c r="D92" s="56"/>
      <c r="E92" s="56"/>
      <c r="F92" s="56"/>
      <c r="G92" s="56"/>
    </row>
    <row r="93" spans="1:13" ht="20.75" customHeight="1">
      <c r="A93" s="56"/>
      <c r="B93" s="56"/>
      <c r="C93" s="56"/>
      <c r="D93" s="56"/>
      <c r="E93" s="56"/>
      <c r="F93" s="56"/>
      <c r="G93" s="56"/>
    </row>
    <row r="94" spans="1:13" ht="20.75" customHeight="1">
      <c r="A94" s="56"/>
      <c r="B94" s="56"/>
      <c r="C94" s="56"/>
      <c r="D94" s="56"/>
      <c r="E94" s="56"/>
      <c r="F94" s="56"/>
      <c r="G94" s="56"/>
    </row>
    <row r="95" spans="1:13" ht="20.75" customHeight="1">
      <c r="A95" s="56"/>
      <c r="B95" s="56"/>
      <c r="C95" s="56"/>
      <c r="D95" s="56"/>
      <c r="E95" s="56"/>
      <c r="F95" s="56"/>
      <c r="G95" s="56"/>
    </row>
    <row r="96" spans="1:13" ht="20.75" customHeight="1">
      <c r="A96" s="56"/>
      <c r="B96" s="56"/>
      <c r="C96" s="56"/>
      <c r="D96" s="56"/>
      <c r="E96" s="56"/>
      <c r="F96" s="56"/>
      <c r="G96" s="56"/>
    </row>
    <row r="97" spans="1:7" ht="20.75" customHeight="1">
      <c r="A97" s="56"/>
      <c r="B97" s="56"/>
      <c r="C97" s="56"/>
      <c r="D97" s="56"/>
      <c r="E97" s="56"/>
      <c r="F97" s="56"/>
      <c r="G97" s="56"/>
    </row>
    <row r="98" spans="1:7" ht="20.75" customHeight="1">
      <c r="A98" s="56"/>
      <c r="B98" s="56"/>
      <c r="C98" s="56"/>
      <c r="D98" s="56"/>
      <c r="E98" s="56"/>
      <c r="F98" s="56"/>
      <c r="G98" s="56"/>
    </row>
    <row r="99" spans="1:7" ht="20.75" customHeight="1">
      <c r="A99" s="56"/>
      <c r="B99" s="56"/>
      <c r="C99" s="56"/>
      <c r="D99" s="56"/>
      <c r="E99" s="56"/>
      <c r="F99" s="56"/>
      <c r="G99" s="56"/>
    </row>
    <row r="100" spans="1:7" ht="20.75" customHeight="1">
      <c r="A100" s="56"/>
      <c r="B100" s="56"/>
      <c r="C100" s="56"/>
      <c r="D100" s="56"/>
      <c r="E100" s="56"/>
      <c r="F100" s="56"/>
      <c r="G100" s="56"/>
    </row>
    <row r="101" spans="1:7" ht="20.75" customHeight="1">
      <c r="A101" s="56"/>
      <c r="B101" s="56"/>
      <c r="C101" s="56"/>
      <c r="D101" s="56"/>
      <c r="E101" s="56"/>
      <c r="F101" s="56"/>
      <c r="G101" s="56"/>
    </row>
    <row r="102" spans="1:7" ht="20.75" customHeight="1">
      <c r="A102" s="56"/>
      <c r="B102" s="56"/>
      <c r="C102" s="56"/>
      <c r="D102" s="56"/>
      <c r="E102" s="56"/>
      <c r="F102" s="56"/>
      <c r="G102" s="56"/>
    </row>
    <row r="103" spans="1:7" ht="20.75" customHeight="1">
      <c r="A103" s="56"/>
      <c r="B103" s="56"/>
      <c r="C103" s="56"/>
      <c r="D103" s="56"/>
      <c r="E103" s="56"/>
      <c r="F103" s="56"/>
      <c r="G103" s="56"/>
    </row>
    <row r="104" spans="1:7" ht="20.75" customHeight="1">
      <c r="A104" s="56"/>
      <c r="B104" s="56"/>
      <c r="C104" s="56"/>
      <c r="D104" s="56"/>
      <c r="E104" s="56"/>
      <c r="F104" s="56"/>
      <c r="G104" s="56"/>
    </row>
    <row r="105" spans="1:7" ht="20.75" customHeight="1">
      <c r="A105" s="56"/>
      <c r="B105" s="56"/>
      <c r="C105" s="56"/>
      <c r="D105" s="56"/>
      <c r="E105" s="56"/>
      <c r="F105" s="56"/>
      <c r="G105" s="56"/>
    </row>
    <row r="106" spans="1:7" ht="20.75" customHeight="1">
      <c r="A106" s="56"/>
      <c r="B106" s="56"/>
      <c r="C106" s="56"/>
      <c r="D106" s="56"/>
      <c r="E106" s="56"/>
      <c r="F106" s="56"/>
      <c r="G106" s="56"/>
    </row>
    <row r="107" spans="1:7" ht="20.75" customHeight="1">
      <c r="A107" s="56"/>
      <c r="B107" s="56"/>
      <c r="C107" s="56"/>
      <c r="D107" s="56"/>
      <c r="E107" s="56"/>
      <c r="F107" s="56"/>
      <c r="G107" s="56"/>
    </row>
    <row r="108" spans="1:7" ht="20.75" customHeight="1">
      <c r="A108" s="56"/>
      <c r="B108" s="56"/>
      <c r="C108" s="56"/>
      <c r="D108" s="56"/>
      <c r="E108" s="56"/>
      <c r="F108" s="56"/>
      <c r="G108" s="56"/>
    </row>
    <row r="109" spans="1:7" ht="20.75" customHeight="1">
      <c r="A109" s="56"/>
      <c r="B109" s="56"/>
      <c r="C109" s="56"/>
      <c r="D109" s="56"/>
      <c r="E109" s="56"/>
      <c r="F109" s="56"/>
      <c r="G109" s="56"/>
    </row>
    <row r="110" spans="1:7" ht="20.75" customHeight="1">
      <c r="A110" s="56"/>
      <c r="B110" s="56"/>
      <c r="C110" s="56"/>
      <c r="D110" s="56"/>
      <c r="E110" s="56"/>
      <c r="F110" s="56"/>
      <c r="G110" s="56"/>
    </row>
    <row r="111" spans="1:7" ht="36" customHeight="1">
      <c r="A111" s="56"/>
      <c r="B111" s="56"/>
      <c r="C111" s="56"/>
      <c r="D111" s="56"/>
      <c r="E111" s="56"/>
      <c r="F111" s="56"/>
      <c r="G111" s="56"/>
    </row>
    <row r="112" spans="1:7">
      <c r="A112" s="56"/>
      <c r="B112" s="56"/>
      <c r="C112" s="56"/>
      <c r="D112" s="56"/>
      <c r="E112" s="56"/>
      <c r="F112" s="56"/>
      <c r="G112" s="56"/>
    </row>
    <row r="113" spans="1:7" ht="20.75" customHeight="1">
      <c r="A113" s="56"/>
      <c r="B113" s="56"/>
      <c r="C113" s="56"/>
      <c r="D113" s="56"/>
      <c r="E113" s="56"/>
      <c r="F113" s="56"/>
      <c r="G113" s="56"/>
    </row>
    <row r="114" spans="1:7" ht="20.75" customHeight="1">
      <c r="A114" s="56"/>
      <c r="B114" s="56"/>
      <c r="C114" s="56"/>
      <c r="D114" s="56"/>
      <c r="E114" s="56"/>
      <c r="F114" s="56"/>
      <c r="G114" s="56"/>
    </row>
    <row r="115" spans="1:7" ht="20.75" customHeight="1">
      <c r="A115" s="56"/>
      <c r="B115" s="56"/>
      <c r="C115" s="56"/>
      <c r="D115" s="56"/>
      <c r="E115" s="56"/>
      <c r="F115" s="56"/>
      <c r="G115" s="56"/>
    </row>
    <row r="116" spans="1:7" ht="20.75" customHeight="1">
      <c r="A116" s="56"/>
      <c r="B116" s="56"/>
      <c r="C116" s="56"/>
      <c r="D116" s="56"/>
      <c r="E116" s="56"/>
      <c r="F116" s="56"/>
      <c r="G116" s="56"/>
    </row>
    <row r="117" spans="1:7" ht="25.25" customHeight="1">
      <c r="A117" s="56"/>
      <c r="B117" s="56"/>
      <c r="C117" s="56"/>
      <c r="D117" s="56"/>
      <c r="E117" s="56"/>
      <c r="F117" s="56"/>
      <c r="G117" s="56"/>
    </row>
    <row r="118" spans="1:7" ht="25.25" customHeight="1">
      <c r="A118" s="56"/>
      <c r="B118" s="56"/>
      <c r="C118" s="56"/>
      <c r="D118" s="56"/>
      <c r="E118" s="56"/>
      <c r="F118" s="56"/>
      <c r="G118" s="56"/>
    </row>
    <row r="119" spans="1:7">
      <c r="A119" s="56"/>
      <c r="B119" s="56"/>
      <c r="C119" s="56"/>
      <c r="D119" s="56"/>
      <c r="E119" s="56"/>
      <c r="F119" s="56"/>
      <c r="G119" s="56"/>
    </row>
    <row r="120" spans="1:7">
      <c r="A120" s="56"/>
      <c r="B120" s="56"/>
      <c r="C120" s="56"/>
      <c r="D120" s="56"/>
      <c r="E120" s="56"/>
      <c r="F120" s="56"/>
      <c r="G120" s="56"/>
    </row>
    <row r="121" spans="1:7">
      <c r="A121" s="56"/>
      <c r="B121" s="56"/>
      <c r="C121" s="56"/>
      <c r="D121" s="56"/>
      <c r="E121" s="56"/>
      <c r="F121" s="56"/>
      <c r="G121" s="56"/>
    </row>
    <row r="122" spans="1:7">
      <c r="A122" s="56"/>
      <c r="B122" s="56"/>
      <c r="C122" s="56"/>
      <c r="D122" s="56"/>
      <c r="E122" s="56"/>
      <c r="F122" s="56"/>
      <c r="G122" s="56"/>
    </row>
    <row r="123" spans="1:7">
      <c r="A123" s="56"/>
      <c r="B123" s="56"/>
      <c r="C123" s="56"/>
      <c r="D123" s="56"/>
      <c r="E123" s="56"/>
      <c r="F123" s="56"/>
      <c r="G123" s="56"/>
    </row>
    <row r="124" spans="1:7">
      <c r="A124" s="56"/>
      <c r="B124" s="56"/>
      <c r="C124" s="56"/>
      <c r="D124" s="56"/>
      <c r="E124" s="56"/>
      <c r="F124" s="56"/>
      <c r="G124" s="56"/>
    </row>
    <row r="125" spans="1:7">
      <c r="A125" s="56"/>
      <c r="B125" s="56"/>
      <c r="C125" s="56"/>
      <c r="D125" s="56"/>
      <c r="E125" s="56"/>
      <c r="F125" s="56"/>
      <c r="G125" s="56"/>
    </row>
    <row r="126" spans="1:7">
      <c r="A126" s="56"/>
      <c r="B126" s="56"/>
      <c r="C126" s="56"/>
      <c r="D126" s="56"/>
      <c r="E126" s="56"/>
      <c r="F126" s="56"/>
      <c r="G126" s="56"/>
    </row>
    <row r="127" spans="1:7">
      <c r="A127" s="56"/>
      <c r="B127" s="56"/>
      <c r="C127" s="56"/>
      <c r="D127" s="56"/>
      <c r="E127" s="56"/>
      <c r="F127" s="56"/>
      <c r="G127" s="56"/>
    </row>
    <row r="128" spans="1:7">
      <c r="A128" s="56"/>
      <c r="B128" s="56"/>
      <c r="C128" s="56"/>
      <c r="D128" s="56"/>
      <c r="E128" s="56"/>
      <c r="F128" s="56"/>
      <c r="G128" s="56"/>
    </row>
    <row r="129" spans="1:7">
      <c r="A129" s="56"/>
      <c r="B129" s="56"/>
      <c r="C129" s="56"/>
      <c r="D129" s="56"/>
      <c r="E129" s="56"/>
      <c r="F129" s="56"/>
      <c r="G129" s="56"/>
    </row>
    <row r="130" spans="1:7">
      <c r="A130" s="56"/>
      <c r="B130" s="56"/>
      <c r="C130" s="56"/>
      <c r="D130" s="56"/>
      <c r="E130" s="56"/>
      <c r="F130" s="56"/>
      <c r="G130" s="56"/>
    </row>
    <row r="131" spans="1:7">
      <c r="A131" s="56"/>
      <c r="B131" s="56"/>
      <c r="C131" s="56"/>
      <c r="D131" s="56"/>
      <c r="E131" s="56"/>
      <c r="F131" s="56"/>
      <c r="G131" s="56"/>
    </row>
    <row r="132" spans="1:7">
      <c r="A132" s="56"/>
      <c r="B132" s="56"/>
      <c r="C132" s="56"/>
      <c r="D132" s="56"/>
      <c r="E132" s="56"/>
      <c r="F132" s="56"/>
      <c r="G132" s="56"/>
    </row>
    <row r="133" spans="1:7">
      <c r="A133" s="56"/>
      <c r="B133" s="56"/>
      <c r="C133" s="56"/>
      <c r="D133" s="56"/>
      <c r="E133" s="56"/>
      <c r="F133" s="56"/>
      <c r="G133" s="56"/>
    </row>
    <row r="134" spans="1:7">
      <c r="A134" s="56"/>
      <c r="B134" s="56"/>
      <c r="C134" s="56"/>
      <c r="D134" s="56"/>
      <c r="E134" s="56"/>
      <c r="F134" s="56"/>
      <c r="G134" s="56"/>
    </row>
    <row r="135" spans="1:7">
      <c r="A135" s="56"/>
      <c r="B135" s="56"/>
      <c r="C135" s="56"/>
      <c r="D135" s="56"/>
      <c r="E135" s="56"/>
      <c r="F135" s="56"/>
      <c r="G135" s="56"/>
    </row>
    <row r="136" spans="1:7">
      <c r="A136" s="56"/>
      <c r="B136" s="56"/>
      <c r="C136" s="56"/>
      <c r="D136" s="56"/>
      <c r="E136" s="56"/>
      <c r="F136" s="56"/>
      <c r="G136" s="56"/>
    </row>
    <row r="137" spans="1:7">
      <c r="A137" s="56"/>
      <c r="B137" s="56"/>
      <c r="C137" s="56"/>
      <c r="D137" s="56"/>
      <c r="E137" s="56"/>
      <c r="F137" s="56"/>
      <c r="G137" s="56"/>
    </row>
    <row r="138" spans="1:7">
      <c r="A138" s="56"/>
      <c r="B138" s="56"/>
      <c r="C138" s="56"/>
      <c r="D138" s="56"/>
      <c r="E138" s="56"/>
      <c r="F138" s="56"/>
      <c r="G138" s="56"/>
    </row>
    <row r="139" spans="1:7">
      <c r="A139" s="56"/>
      <c r="B139" s="56"/>
      <c r="C139" s="56"/>
      <c r="D139" s="56"/>
      <c r="E139" s="56"/>
      <c r="F139" s="56"/>
      <c r="G139" s="56"/>
    </row>
    <row r="140" spans="1:7">
      <c r="A140" s="56"/>
      <c r="B140" s="56"/>
      <c r="C140" s="56"/>
      <c r="D140" s="56"/>
      <c r="E140" s="56"/>
      <c r="F140" s="56"/>
      <c r="G140" s="56"/>
    </row>
    <row r="141" spans="1:7">
      <c r="A141" s="56"/>
      <c r="B141" s="56"/>
      <c r="C141" s="56"/>
      <c r="D141" s="56"/>
      <c r="E141" s="56"/>
      <c r="F141" s="56"/>
      <c r="G141" s="56"/>
    </row>
    <row r="142" spans="1:7">
      <c r="A142" s="56"/>
      <c r="B142" s="56"/>
      <c r="C142" s="56"/>
      <c r="D142" s="56"/>
      <c r="E142" s="56"/>
      <c r="F142" s="56"/>
      <c r="G142" s="56"/>
    </row>
    <row r="143" spans="1:7">
      <c r="A143" s="56"/>
      <c r="B143" s="56"/>
      <c r="C143" s="56"/>
      <c r="D143" s="56"/>
      <c r="E143" s="56"/>
      <c r="F143" s="56"/>
      <c r="G143" s="56"/>
    </row>
    <row r="144" spans="1:7">
      <c r="A144" s="56"/>
      <c r="B144" s="56"/>
      <c r="C144" s="56"/>
      <c r="D144" s="56"/>
      <c r="E144" s="56"/>
      <c r="F144" s="56"/>
      <c r="G144" s="56"/>
    </row>
    <row r="145" spans="1:7">
      <c r="A145" s="56"/>
      <c r="B145" s="56"/>
      <c r="C145" s="56"/>
      <c r="D145" s="56"/>
      <c r="E145" s="56"/>
      <c r="F145" s="56"/>
      <c r="G145" s="56"/>
    </row>
    <row r="146" spans="1:7">
      <c r="A146" s="56"/>
      <c r="B146" s="56"/>
      <c r="C146" s="56"/>
      <c r="D146" s="56"/>
      <c r="E146" s="56"/>
      <c r="F146" s="56"/>
      <c r="G146" s="56"/>
    </row>
    <row r="147" spans="1:7">
      <c r="A147" s="56"/>
      <c r="B147" s="56"/>
      <c r="C147" s="56"/>
      <c r="D147" s="56"/>
      <c r="E147" s="56"/>
      <c r="F147" s="56"/>
      <c r="G147" s="56"/>
    </row>
    <row r="148" spans="1:7">
      <c r="A148" s="56"/>
      <c r="B148" s="56"/>
      <c r="C148" s="56"/>
      <c r="D148" s="56"/>
      <c r="E148" s="56"/>
      <c r="F148" s="56"/>
      <c r="G148" s="56"/>
    </row>
    <row r="149" spans="1:7">
      <c r="A149" s="56"/>
      <c r="B149" s="56"/>
      <c r="C149" s="56"/>
      <c r="D149" s="56"/>
      <c r="E149" s="56"/>
      <c r="F149" s="56"/>
      <c r="G149" s="56"/>
    </row>
    <row r="150" spans="1:7">
      <c r="A150" s="56"/>
      <c r="B150" s="56"/>
      <c r="C150" s="56"/>
      <c r="D150" s="56"/>
      <c r="E150" s="56"/>
      <c r="F150" s="56"/>
      <c r="G150" s="56"/>
    </row>
    <row r="151" spans="1:7">
      <c r="A151" s="56"/>
      <c r="B151" s="56"/>
      <c r="C151" s="56"/>
      <c r="D151" s="56"/>
      <c r="E151" s="56"/>
      <c r="F151" s="56"/>
      <c r="G151" s="56"/>
    </row>
    <row r="152" spans="1:7">
      <c r="A152" s="56"/>
      <c r="B152" s="56"/>
      <c r="C152" s="56"/>
      <c r="D152" s="56"/>
      <c r="E152" s="56"/>
      <c r="F152" s="56"/>
      <c r="G152" s="56"/>
    </row>
    <row r="153" spans="1:7">
      <c r="A153" s="56"/>
      <c r="B153" s="56"/>
      <c r="C153" s="56"/>
      <c r="D153" s="56"/>
      <c r="E153" s="56"/>
      <c r="F153" s="56"/>
      <c r="G153" s="56"/>
    </row>
    <row r="154" spans="1:7">
      <c r="A154" s="56"/>
      <c r="B154" s="56"/>
      <c r="C154" s="56"/>
      <c r="D154" s="56"/>
      <c r="E154" s="56"/>
      <c r="F154" s="56"/>
      <c r="G154" s="56"/>
    </row>
    <row r="155" spans="1:7">
      <c r="A155" s="56"/>
      <c r="B155" s="56"/>
      <c r="C155" s="56"/>
      <c r="D155" s="56"/>
      <c r="E155" s="56"/>
      <c r="F155" s="56"/>
      <c r="G155" s="56"/>
    </row>
    <row r="156" spans="1:7">
      <c r="A156" s="56"/>
      <c r="B156" s="56"/>
      <c r="C156" s="56"/>
      <c r="D156" s="56"/>
      <c r="E156" s="56"/>
      <c r="F156" s="56"/>
      <c r="G156" s="56"/>
    </row>
    <row r="157" spans="1:7">
      <c r="A157" s="56"/>
      <c r="B157" s="56"/>
      <c r="C157" s="56"/>
      <c r="D157" s="56"/>
      <c r="E157" s="56"/>
      <c r="F157" s="56"/>
      <c r="G157" s="56"/>
    </row>
    <row r="158" spans="1:7">
      <c r="A158" s="56"/>
      <c r="B158" s="56"/>
      <c r="C158" s="56"/>
      <c r="D158" s="56"/>
      <c r="E158" s="56"/>
      <c r="F158" s="56"/>
      <c r="G158" s="56"/>
    </row>
    <row r="159" spans="1:7">
      <c r="A159" s="56"/>
      <c r="B159" s="56"/>
      <c r="C159" s="56"/>
      <c r="D159" s="56"/>
      <c r="E159" s="56"/>
      <c r="F159" s="56"/>
      <c r="G159" s="56"/>
    </row>
    <row r="160" spans="1:7">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sheetData>
  <mergeCells count="457">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A9:A10"/>
    <mergeCell ref="B9:B10"/>
    <mergeCell ref="C9:C10"/>
    <mergeCell ref="D9:D10"/>
    <mergeCell ref="E9:E10"/>
    <mergeCell ref="A7:A8"/>
    <mergeCell ref="B7:B8"/>
    <mergeCell ref="C7:C8"/>
    <mergeCell ref="D7:D8"/>
    <mergeCell ref="E7:E8"/>
    <mergeCell ref="F9:F10"/>
    <mergeCell ref="G9:G10"/>
    <mergeCell ref="J9:J10"/>
    <mergeCell ref="K9:K10"/>
    <mergeCell ref="L9:L10"/>
    <mergeCell ref="M9:M10"/>
    <mergeCell ref="G7:G8"/>
    <mergeCell ref="J7:J8"/>
    <mergeCell ref="K7:K8"/>
    <mergeCell ref="L7:L8"/>
    <mergeCell ref="M7:M8"/>
    <mergeCell ref="F7:F8"/>
    <mergeCell ref="G15:G16"/>
    <mergeCell ref="J15:J16"/>
    <mergeCell ref="K15:K16"/>
    <mergeCell ref="L15:L16"/>
    <mergeCell ref="M15:M16"/>
    <mergeCell ref="F15:F16"/>
    <mergeCell ref="A15:A16"/>
    <mergeCell ref="B15:B16"/>
    <mergeCell ref="C15:C16"/>
    <mergeCell ref="D15:D16"/>
    <mergeCell ref="E15:E16"/>
    <mergeCell ref="F17:F18"/>
    <mergeCell ref="G17:G18"/>
    <mergeCell ref="J17:J18"/>
    <mergeCell ref="K17:K18"/>
    <mergeCell ref="L17:L18"/>
    <mergeCell ref="M17:M18"/>
    <mergeCell ref="A17:A18"/>
    <mergeCell ref="B17:B18"/>
    <mergeCell ref="C17:C18"/>
    <mergeCell ref="D17:D18"/>
    <mergeCell ref="E17:E18"/>
    <mergeCell ref="A21:A22"/>
    <mergeCell ref="B21:B22"/>
    <mergeCell ref="C21:C22"/>
    <mergeCell ref="D21:D22"/>
    <mergeCell ref="E21:E22"/>
    <mergeCell ref="A19:A20"/>
    <mergeCell ref="B19:B20"/>
    <mergeCell ref="C19:C20"/>
    <mergeCell ref="D19:D20"/>
    <mergeCell ref="E19:E20"/>
    <mergeCell ref="F21:F22"/>
    <mergeCell ref="G21:G22"/>
    <mergeCell ref="J21:J22"/>
    <mergeCell ref="K21:K22"/>
    <mergeCell ref="L21:L22"/>
    <mergeCell ref="M21:M22"/>
    <mergeCell ref="G19:G20"/>
    <mergeCell ref="J19:J20"/>
    <mergeCell ref="K19:K20"/>
    <mergeCell ref="L19:L20"/>
    <mergeCell ref="M19:M20"/>
    <mergeCell ref="F19:F20"/>
    <mergeCell ref="A25:A26"/>
    <mergeCell ref="B25:B26"/>
    <mergeCell ref="C25:C26"/>
    <mergeCell ref="D25:D26"/>
    <mergeCell ref="E25:E26"/>
    <mergeCell ref="A23:A24"/>
    <mergeCell ref="B23:B24"/>
    <mergeCell ref="C23:C24"/>
    <mergeCell ref="D23:D24"/>
    <mergeCell ref="E23:E24"/>
    <mergeCell ref="F25:F26"/>
    <mergeCell ref="G25:G26"/>
    <mergeCell ref="J25:J26"/>
    <mergeCell ref="K25:K26"/>
    <mergeCell ref="L25:L26"/>
    <mergeCell ref="M25:M26"/>
    <mergeCell ref="G23:G24"/>
    <mergeCell ref="J23:J24"/>
    <mergeCell ref="K23:K24"/>
    <mergeCell ref="L23:L24"/>
    <mergeCell ref="M23:M24"/>
    <mergeCell ref="F23:F24"/>
    <mergeCell ref="A29:A30"/>
    <mergeCell ref="B29:B30"/>
    <mergeCell ref="C29:C30"/>
    <mergeCell ref="D29:D30"/>
    <mergeCell ref="E29:E30"/>
    <mergeCell ref="A27:A28"/>
    <mergeCell ref="B27:B28"/>
    <mergeCell ref="C27:C28"/>
    <mergeCell ref="D27:D28"/>
    <mergeCell ref="E27:E28"/>
    <mergeCell ref="F29:F30"/>
    <mergeCell ref="G29:G30"/>
    <mergeCell ref="J29:J30"/>
    <mergeCell ref="K29:K30"/>
    <mergeCell ref="L29:L30"/>
    <mergeCell ref="M29:M30"/>
    <mergeCell ref="G27:G28"/>
    <mergeCell ref="J27:J28"/>
    <mergeCell ref="K27:K28"/>
    <mergeCell ref="L27:L28"/>
    <mergeCell ref="M27:M28"/>
    <mergeCell ref="F27:F28"/>
    <mergeCell ref="A33:A34"/>
    <mergeCell ref="B33:B34"/>
    <mergeCell ref="C33:C34"/>
    <mergeCell ref="D33:D34"/>
    <mergeCell ref="E33:E34"/>
    <mergeCell ref="A31:A32"/>
    <mergeCell ref="B31:B32"/>
    <mergeCell ref="C31:C32"/>
    <mergeCell ref="D31:D32"/>
    <mergeCell ref="E31:E32"/>
    <mergeCell ref="F33:F34"/>
    <mergeCell ref="G33:G34"/>
    <mergeCell ref="J33:J34"/>
    <mergeCell ref="K33:K34"/>
    <mergeCell ref="L33:L34"/>
    <mergeCell ref="M33:M34"/>
    <mergeCell ref="G31:G32"/>
    <mergeCell ref="J31:J32"/>
    <mergeCell ref="K31:K32"/>
    <mergeCell ref="L31:L32"/>
    <mergeCell ref="M31:M32"/>
    <mergeCell ref="F31:F32"/>
    <mergeCell ref="A37:A38"/>
    <mergeCell ref="B37:B38"/>
    <mergeCell ref="C37:C38"/>
    <mergeCell ref="D37:D38"/>
    <mergeCell ref="E37:E38"/>
    <mergeCell ref="A35:A36"/>
    <mergeCell ref="B35:B36"/>
    <mergeCell ref="C35:C36"/>
    <mergeCell ref="D35:D36"/>
    <mergeCell ref="E35:E36"/>
    <mergeCell ref="F37:F38"/>
    <mergeCell ref="G37:G38"/>
    <mergeCell ref="J37:J38"/>
    <mergeCell ref="K37:K38"/>
    <mergeCell ref="L37:L38"/>
    <mergeCell ref="M37:M38"/>
    <mergeCell ref="G35:G36"/>
    <mergeCell ref="J35:J36"/>
    <mergeCell ref="K35:K36"/>
    <mergeCell ref="L35:L36"/>
    <mergeCell ref="M35:M36"/>
    <mergeCell ref="F35:F36"/>
    <mergeCell ref="A41:A42"/>
    <mergeCell ref="B41:B42"/>
    <mergeCell ref="C41:C42"/>
    <mergeCell ref="D41:D42"/>
    <mergeCell ref="E41:E42"/>
    <mergeCell ref="A39:A40"/>
    <mergeCell ref="B39:B40"/>
    <mergeCell ref="C39:C40"/>
    <mergeCell ref="D39:D40"/>
    <mergeCell ref="E39:E40"/>
    <mergeCell ref="F41:F42"/>
    <mergeCell ref="G41:G42"/>
    <mergeCell ref="J41:J42"/>
    <mergeCell ref="K41:K42"/>
    <mergeCell ref="L41:L42"/>
    <mergeCell ref="M41:M42"/>
    <mergeCell ref="G39:G40"/>
    <mergeCell ref="J39:J40"/>
    <mergeCell ref="K39:K40"/>
    <mergeCell ref="L39:L40"/>
    <mergeCell ref="M39:M40"/>
    <mergeCell ref="F39:F40"/>
    <mergeCell ref="A45:A46"/>
    <mergeCell ref="B45:B46"/>
    <mergeCell ref="C45:C46"/>
    <mergeCell ref="D45:D46"/>
    <mergeCell ref="E45:E46"/>
    <mergeCell ref="A43:A44"/>
    <mergeCell ref="B43:B44"/>
    <mergeCell ref="C43:C44"/>
    <mergeCell ref="D43:D44"/>
    <mergeCell ref="E43:E44"/>
    <mergeCell ref="F45:F46"/>
    <mergeCell ref="G45:G46"/>
    <mergeCell ref="J45:J46"/>
    <mergeCell ref="K45:K46"/>
    <mergeCell ref="L45:L46"/>
    <mergeCell ref="M45:M46"/>
    <mergeCell ref="G43:G44"/>
    <mergeCell ref="J43:J44"/>
    <mergeCell ref="K43:K44"/>
    <mergeCell ref="L43:L44"/>
    <mergeCell ref="M43:M44"/>
    <mergeCell ref="F43:F44"/>
    <mergeCell ref="A49:A50"/>
    <mergeCell ref="B49:B50"/>
    <mergeCell ref="C49:C50"/>
    <mergeCell ref="D49:D50"/>
    <mergeCell ref="E49:E50"/>
    <mergeCell ref="A47:A48"/>
    <mergeCell ref="B47:B48"/>
    <mergeCell ref="C47:C48"/>
    <mergeCell ref="D47:D48"/>
    <mergeCell ref="E47:E48"/>
    <mergeCell ref="F49:F50"/>
    <mergeCell ref="G49:G50"/>
    <mergeCell ref="J49:J50"/>
    <mergeCell ref="K49:K50"/>
    <mergeCell ref="L49:L50"/>
    <mergeCell ref="M49:M50"/>
    <mergeCell ref="G47:G48"/>
    <mergeCell ref="J47:J48"/>
    <mergeCell ref="K47:K48"/>
    <mergeCell ref="L47:L48"/>
    <mergeCell ref="M47:M48"/>
    <mergeCell ref="F47:F48"/>
    <mergeCell ref="A53:A54"/>
    <mergeCell ref="B53:B54"/>
    <mergeCell ref="C53:C54"/>
    <mergeCell ref="D53:D54"/>
    <mergeCell ref="E53:E54"/>
    <mergeCell ref="A51:A52"/>
    <mergeCell ref="B51:B52"/>
    <mergeCell ref="C51:C52"/>
    <mergeCell ref="D51:D52"/>
    <mergeCell ref="E51:E52"/>
    <mergeCell ref="F53:F54"/>
    <mergeCell ref="G53:G54"/>
    <mergeCell ref="J53:J54"/>
    <mergeCell ref="K53:K54"/>
    <mergeCell ref="L53:L54"/>
    <mergeCell ref="M53:M54"/>
    <mergeCell ref="G51:G52"/>
    <mergeCell ref="J51:J52"/>
    <mergeCell ref="K51:K52"/>
    <mergeCell ref="L51:L52"/>
    <mergeCell ref="M51:M52"/>
    <mergeCell ref="F51:F52"/>
    <mergeCell ref="A57:A58"/>
    <mergeCell ref="B57:B58"/>
    <mergeCell ref="C57:C58"/>
    <mergeCell ref="D57:D58"/>
    <mergeCell ref="E57:E58"/>
    <mergeCell ref="A55:A56"/>
    <mergeCell ref="B55:B56"/>
    <mergeCell ref="C55:C56"/>
    <mergeCell ref="D55:D56"/>
    <mergeCell ref="E55:E56"/>
    <mergeCell ref="F57:F58"/>
    <mergeCell ref="G57:G58"/>
    <mergeCell ref="J57:J58"/>
    <mergeCell ref="K57:K58"/>
    <mergeCell ref="L57:L58"/>
    <mergeCell ref="M57:M58"/>
    <mergeCell ref="G55:G56"/>
    <mergeCell ref="J55:J56"/>
    <mergeCell ref="K55:K56"/>
    <mergeCell ref="L55:L56"/>
    <mergeCell ref="M55:M56"/>
    <mergeCell ref="F55:F56"/>
    <mergeCell ref="A61:A62"/>
    <mergeCell ref="B61:B62"/>
    <mergeCell ref="C61:C62"/>
    <mergeCell ref="D61:D62"/>
    <mergeCell ref="E61:E62"/>
    <mergeCell ref="A59:A60"/>
    <mergeCell ref="B59:B60"/>
    <mergeCell ref="C59:C60"/>
    <mergeCell ref="D59:D60"/>
    <mergeCell ref="E59:E60"/>
    <mergeCell ref="F61:F62"/>
    <mergeCell ref="G61:G62"/>
    <mergeCell ref="J61:J62"/>
    <mergeCell ref="K61:K62"/>
    <mergeCell ref="L61:L62"/>
    <mergeCell ref="M61:M62"/>
    <mergeCell ref="G59:G60"/>
    <mergeCell ref="J59:J60"/>
    <mergeCell ref="K59:K60"/>
    <mergeCell ref="L59:L60"/>
    <mergeCell ref="M59:M60"/>
    <mergeCell ref="F59:F60"/>
    <mergeCell ref="A65:A66"/>
    <mergeCell ref="B65:B66"/>
    <mergeCell ref="C65:C66"/>
    <mergeCell ref="D65:D66"/>
    <mergeCell ref="E65:E66"/>
    <mergeCell ref="A63:A64"/>
    <mergeCell ref="B63:B64"/>
    <mergeCell ref="C63:C64"/>
    <mergeCell ref="D63:D64"/>
    <mergeCell ref="E63:E64"/>
    <mergeCell ref="F65:F66"/>
    <mergeCell ref="G65:G66"/>
    <mergeCell ref="J65:J66"/>
    <mergeCell ref="K65:K66"/>
    <mergeCell ref="L65:L66"/>
    <mergeCell ref="M65:M66"/>
    <mergeCell ref="G63:G64"/>
    <mergeCell ref="J63:J64"/>
    <mergeCell ref="K63:K64"/>
    <mergeCell ref="L63:L64"/>
    <mergeCell ref="M63:M64"/>
    <mergeCell ref="F63:F64"/>
    <mergeCell ref="A69:A70"/>
    <mergeCell ref="B69:B70"/>
    <mergeCell ref="C69:C70"/>
    <mergeCell ref="D69:D70"/>
    <mergeCell ref="E69:E70"/>
    <mergeCell ref="A67:A68"/>
    <mergeCell ref="B67:B68"/>
    <mergeCell ref="C67:C68"/>
    <mergeCell ref="D67:D68"/>
    <mergeCell ref="E67:E68"/>
    <mergeCell ref="F69:F70"/>
    <mergeCell ref="G69:G70"/>
    <mergeCell ref="J69:J70"/>
    <mergeCell ref="K69:K70"/>
    <mergeCell ref="L69:L70"/>
    <mergeCell ref="M69:M70"/>
    <mergeCell ref="G67:G68"/>
    <mergeCell ref="J67:J68"/>
    <mergeCell ref="K67:K68"/>
    <mergeCell ref="L67:L68"/>
    <mergeCell ref="M67:M68"/>
    <mergeCell ref="F67:F68"/>
    <mergeCell ref="A73:A74"/>
    <mergeCell ref="B73:B74"/>
    <mergeCell ref="C73:C74"/>
    <mergeCell ref="D73:D74"/>
    <mergeCell ref="E73:E74"/>
    <mergeCell ref="A71:A72"/>
    <mergeCell ref="B71:B72"/>
    <mergeCell ref="C71:C72"/>
    <mergeCell ref="D71:D72"/>
    <mergeCell ref="E71:E72"/>
    <mergeCell ref="F73:F74"/>
    <mergeCell ref="G73:G74"/>
    <mergeCell ref="J73:J74"/>
    <mergeCell ref="K73:K74"/>
    <mergeCell ref="L73:L74"/>
    <mergeCell ref="M73:M74"/>
    <mergeCell ref="G71:G72"/>
    <mergeCell ref="J71:J72"/>
    <mergeCell ref="K71:K72"/>
    <mergeCell ref="L71:L72"/>
    <mergeCell ref="M71:M72"/>
    <mergeCell ref="F71:F72"/>
    <mergeCell ref="A77:A78"/>
    <mergeCell ref="B77:B78"/>
    <mergeCell ref="C77:C78"/>
    <mergeCell ref="D77:D78"/>
    <mergeCell ref="E77:E78"/>
    <mergeCell ref="A75:A76"/>
    <mergeCell ref="B75:B76"/>
    <mergeCell ref="C75:C76"/>
    <mergeCell ref="D75:D76"/>
    <mergeCell ref="E75:E76"/>
    <mergeCell ref="F77:F78"/>
    <mergeCell ref="G77:G78"/>
    <mergeCell ref="J77:J78"/>
    <mergeCell ref="K77:K78"/>
    <mergeCell ref="L77:L78"/>
    <mergeCell ref="M77:M78"/>
    <mergeCell ref="G75:G76"/>
    <mergeCell ref="J75:J76"/>
    <mergeCell ref="K75:K76"/>
    <mergeCell ref="L75:L76"/>
    <mergeCell ref="M75:M76"/>
    <mergeCell ref="F75:F76"/>
    <mergeCell ref="A81:A82"/>
    <mergeCell ref="B81:B82"/>
    <mergeCell ref="C81:C82"/>
    <mergeCell ref="D81:D82"/>
    <mergeCell ref="E81:E82"/>
    <mergeCell ref="A79:A80"/>
    <mergeCell ref="B79:B80"/>
    <mergeCell ref="C79:C80"/>
    <mergeCell ref="D79:D80"/>
    <mergeCell ref="E79:E80"/>
    <mergeCell ref="F81:F82"/>
    <mergeCell ref="G81:G82"/>
    <mergeCell ref="J81:J82"/>
    <mergeCell ref="K81:K82"/>
    <mergeCell ref="L81:L82"/>
    <mergeCell ref="M81:M82"/>
    <mergeCell ref="G79:G80"/>
    <mergeCell ref="J79:J80"/>
    <mergeCell ref="K79:K80"/>
    <mergeCell ref="L79:L80"/>
    <mergeCell ref="M79:M80"/>
    <mergeCell ref="F79:F80"/>
    <mergeCell ref="A85:A86"/>
    <mergeCell ref="B85:B86"/>
    <mergeCell ref="C85:C86"/>
    <mergeCell ref="D85:D86"/>
    <mergeCell ref="E85:E86"/>
    <mergeCell ref="A83:A84"/>
    <mergeCell ref="B83:B84"/>
    <mergeCell ref="C83:C84"/>
    <mergeCell ref="D83:D84"/>
    <mergeCell ref="E83:E84"/>
    <mergeCell ref="F85:F86"/>
    <mergeCell ref="G85:G86"/>
    <mergeCell ref="J85:J86"/>
    <mergeCell ref="K85:K86"/>
    <mergeCell ref="L85:L86"/>
    <mergeCell ref="M85:M86"/>
    <mergeCell ref="G83:G84"/>
    <mergeCell ref="J83:J84"/>
    <mergeCell ref="K83:K84"/>
    <mergeCell ref="L83:L84"/>
    <mergeCell ref="M83:M84"/>
    <mergeCell ref="F83:F84"/>
    <mergeCell ref="L11:L12"/>
    <mergeCell ref="M11:M12"/>
    <mergeCell ref="A13:A14"/>
    <mergeCell ref="B13:B14"/>
    <mergeCell ref="C13:C14"/>
    <mergeCell ref="D13:D14"/>
    <mergeCell ref="E13:E14"/>
    <mergeCell ref="F13:F14"/>
    <mergeCell ref="G13:G14"/>
    <mergeCell ref="J13:J14"/>
    <mergeCell ref="K13:K14"/>
    <mergeCell ref="L13:L14"/>
    <mergeCell ref="M13:M14"/>
    <mergeCell ref="A11:A12"/>
    <mergeCell ref="B11:B12"/>
    <mergeCell ref="C11:C12"/>
    <mergeCell ref="D11:D12"/>
    <mergeCell ref="E11:E12"/>
    <mergeCell ref="F11:F12"/>
    <mergeCell ref="G11:G12"/>
    <mergeCell ref="J11:J12"/>
    <mergeCell ref="K11:K12"/>
  </mergeCells>
  <dataValidations disablePrompts="1" count="1">
    <dataValidation type="list" allowBlank="1" showInputMessage="1" showErrorMessage="1" sqref="L7:L80" xr:uid="{00000000-0002-0000-0500-000000000000}">
      <formula1>$L$88:$L$93</formula1>
    </dataValidation>
  </dataValidations>
  <printOptions horizontalCentered="1"/>
  <pageMargins left="0.5" right="0.5" top="0.5" bottom="0.5" header="0.35" footer="0.35"/>
  <pageSetup scale="83" fitToHeight="3" orientation="landscape" r:id="rId1"/>
  <headerFooter>
    <oddHeader>&amp;L&amp;8XTO Energy Inc.&amp;C&amp;8Husky CDP&amp;R&amp;8October 2019: Revision 0</oddHeader>
    <oddFooter>&amp;L&amp;8Form Revision: 5/3/2016&amp;C&amp;8Table 2-A:  Page &amp;P&amp;R&amp;8Printed &amp;D &amp;T</oddFooter>
  </headerFooter>
  <rowBreaks count="2" manualBreakCount="2">
    <brk id="32" max="12" man="1"/>
    <brk id="60"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6">
    <tabColor theme="3" tint="-0.249977111117893"/>
    <pageSetUpPr fitToPage="1"/>
  </sheetPr>
  <dimension ref="A1:R58"/>
  <sheetViews>
    <sheetView view="pageLayout" topLeftCell="A34" zoomScale="55" zoomScaleNormal="100" zoomScaleSheetLayoutView="70" zoomScalePageLayoutView="55" workbookViewId="0">
      <selection activeCell="E19" sqref="E19:R19"/>
    </sheetView>
  </sheetViews>
  <sheetFormatPr defaultColWidth="9.36328125" defaultRowHeight="12.5"/>
  <cols>
    <col min="1" max="1" width="4.36328125" style="47" customWidth="1"/>
    <col min="2" max="2" width="26.54296875" style="47" customWidth="1"/>
    <col min="3" max="3" width="11.6328125" style="47" customWidth="1"/>
    <col min="4" max="4" width="12.36328125" style="47" customWidth="1"/>
    <col min="5" max="5" width="12.453125" style="47" customWidth="1"/>
    <col min="6" max="6" width="16.6328125" style="47" customWidth="1"/>
    <col min="7" max="7" width="4" style="47" customWidth="1"/>
    <col min="8" max="8" width="12.36328125" style="47" customWidth="1"/>
    <col min="9" max="10" width="10.453125" style="47" customWidth="1"/>
    <col min="11" max="11" width="15.36328125" style="47" customWidth="1"/>
    <col min="12" max="12" width="5.54296875" style="47" customWidth="1"/>
    <col min="13" max="15" width="9.36328125" style="47"/>
    <col min="16" max="16" width="13" style="47" bestFit="1" customWidth="1"/>
    <col min="17" max="17" width="15" style="47" bestFit="1" customWidth="1"/>
    <col min="18" max="16384" width="9.36328125" style="47"/>
  </cols>
  <sheetData>
    <row r="1" spans="1:18" ht="13.5" thickBot="1">
      <c r="A1" s="640"/>
      <c r="B1" s="641"/>
      <c r="C1" s="641"/>
      <c r="D1" s="641"/>
      <c r="E1" s="641"/>
      <c r="F1" s="641"/>
      <c r="G1" s="641"/>
      <c r="H1" s="641"/>
      <c r="I1" s="641"/>
      <c r="J1" s="641"/>
      <c r="K1" s="641"/>
      <c r="L1" s="642"/>
    </row>
    <row r="2" spans="1:18" ht="19.5">
      <c r="A2" s="643"/>
      <c r="B2" s="4773" t="s">
        <v>54</v>
      </c>
      <c r="C2" s="4774"/>
      <c r="D2" s="4774"/>
      <c r="E2" s="4774"/>
      <c r="F2" s="4774"/>
      <c r="G2" s="4774"/>
      <c r="H2" s="4774"/>
      <c r="I2" s="4774"/>
      <c r="J2" s="4774"/>
      <c r="K2" s="4775"/>
      <c r="L2" s="644"/>
    </row>
    <row r="3" spans="1:18" ht="19.5">
      <c r="A3" s="643"/>
      <c r="B3" s="4776" t="str">
        <f>'TO Ann (TO1-TO3)'!B3:M3</f>
        <v>HUSKY CDP</v>
      </c>
      <c r="C3" s="4777"/>
      <c r="D3" s="4777"/>
      <c r="E3" s="4777"/>
      <c r="F3" s="4777"/>
      <c r="G3" s="4777"/>
      <c r="H3" s="4777"/>
      <c r="I3" s="4777"/>
      <c r="J3" s="4777"/>
      <c r="K3" s="4778"/>
      <c r="L3" s="644"/>
    </row>
    <row r="4" spans="1:18" ht="20" thickBot="1">
      <c r="A4" s="643"/>
      <c r="B4" s="4750" t="s">
        <v>1796</v>
      </c>
      <c r="C4" s="4751"/>
      <c r="D4" s="4751"/>
      <c r="E4" s="4751"/>
      <c r="F4" s="4751"/>
      <c r="G4" s="4751"/>
      <c r="H4" s="4751"/>
      <c r="I4" s="4751"/>
      <c r="J4" s="4751"/>
      <c r="K4" s="4752"/>
      <c r="L4" s="644"/>
    </row>
    <row r="5" spans="1:18" ht="18.5" thickBot="1">
      <c r="A5" s="645"/>
      <c r="B5" s="646"/>
      <c r="C5" s="646"/>
      <c r="D5" s="646"/>
      <c r="E5" s="646"/>
      <c r="F5" s="646"/>
      <c r="G5" s="646"/>
      <c r="H5" s="646"/>
      <c r="I5" s="646"/>
      <c r="J5" s="646"/>
      <c r="K5" s="646"/>
      <c r="L5" s="647"/>
    </row>
    <row r="6" spans="1:18" ht="13.5" thickBot="1">
      <c r="A6" s="4779" t="s">
        <v>1805</v>
      </c>
      <c r="B6" s="4689"/>
      <c r="C6" s="4689"/>
      <c r="D6" s="4689"/>
      <c r="E6" s="4689"/>
      <c r="F6" s="4689"/>
      <c r="G6" s="4689"/>
      <c r="H6" s="4689"/>
      <c r="I6" s="4689"/>
      <c r="J6" s="4689"/>
      <c r="K6" s="4689"/>
      <c r="L6" s="4780"/>
    </row>
    <row r="7" spans="1:18" ht="13.5" thickBot="1">
      <c r="A7" s="4781"/>
      <c r="B7" s="4782"/>
      <c r="C7" s="1320"/>
      <c r="D7" s="1320"/>
      <c r="E7" s="1320"/>
      <c r="F7" s="1320"/>
      <c r="G7" s="1320"/>
      <c r="H7" s="1320"/>
      <c r="I7" s="1320"/>
      <c r="J7" s="1320"/>
      <c r="K7" s="1320"/>
      <c r="L7" s="675"/>
    </row>
    <row r="8" spans="1:18" ht="20.149999999999999" customHeight="1" thickBot="1">
      <c r="A8" s="643"/>
      <c r="B8" s="4682" t="s">
        <v>1959</v>
      </c>
      <c r="C8" s="4671"/>
      <c r="D8" s="4671"/>
      <c r="E8" s="4671"/>
      <c r="F8" s="4654"/>
      <c r="G8" s="1765"/>
      <c r="H8" s="4747" t="s">
        <v>1956</v>
      </c>
      <c r="I8" s="4748"/>
      <c r="J8" s="4748"/>
      <c r="K8" s="4749"/>
      <c r="L8" s="51"/>
    </row>
    <row r="9" spans="1:18" ht="13.25" customHeight="1">
      <c r="A9" s="643"/>
      <c r="B9" s="4732" t="s">
        <v>2</v>
      </c>
      <c r="C9" s="4771" t="s">
        <v>1797</v>
      </c>
      <c r="D9" s="4737" t="s">
        <v>19</v>
      </c>
      <c r="E9" s="4739" t="s">
        <v>683</v>
      </c>
      <c r="F9" s="4518" t="s">
        <v>700</v>
      </c>
      <c r="G9" s="3088"/>
      <c r="H9" s="4742" t="s">
        <v>2</v>
      </c>
      <c r="I9" s="4745" t="s">
        <v>685</v>
      </c>
      <c r="J9" s="4516" t="s">
        <v>686</v>
      </c>
      <c r="K9" s="4518" t="s">
        <v>687</v>
      </c>
      <c r="L9" s="51"/>
      <c r="N9" s="48"/>
      <c r="O9" s="650" t="s">
        <v>688</v>
      </c>
      <c r="P9" s="650"/>
      <c r="Q9" s="650">
        <v>34.08</v>
      </c>
      <c r="R9" s="650"/>
    </row>
    <row r="10" spans="1:18" ht="36.75" customHeight="1">
      <c r="A10" s="643"/>
      <c r="B10" s="4733"/>
      <c r="C10" s="4772"/>
      <c r="D10" s="4738"/>
      <c r="E10" s="4740"/>
      <c r="F10" s="4741"/>
      <c r="G10" s="3088"/>
      <c r="H10" s="4743"/>
      <c r="I10" s="4746"/>
      <c r="J10" s="4720"/>
      <c r="K10" s="4722"/>
      <c r="L10" s="51"/>
      <c r="N10" s="48"/>
      <c r="O10" s="650" t="s">
        <v>689</v>
      </c>
      <c r="P10" s="650"/>
      <c r="Q10" s="650">
        <v>64.06</v>
      </c>
      <c r="R10" s="650"/>
    </row>
    <row r="11" spans="1:18" ht="15" customHeight="1" thickBot="1">
      <c r="A11" s="643"/>
      <c r="B11" s="4734"/>
      <c r="C11" s="3092" t="s">
        <v>56</v>
      </c>
      <c r="D11" s="3093" t="s">
        <v>56</v>
      </c>
      <c r="E11" s="3091" t="s">
        <v>690</v>
      </c>
      <c r="F11" s="3094" t="s">
        <v>56</v>
      </c>
      <c r="G11" s="1765"/>
      <c r="H11" s="4744"/>
      <c r="I11" s="3241" t="s">
        <v>56</v>
      </c>
      <c r="J11" s="4721"/>
      <c r="K11" s="4723"/>
      <c r="L11" s="51"/>
      <c r="N11" s="48"/>
      <c r="O11" s="650" t="s">
        <v>691</v>
      </c>
      <c r="P11" s="650"/>
      <c r="Q11" s="651">
        <v>0.99</v>
      </c>
      <c r="R11" s="651"/>
    </row>
    <row r="12" spans="1:18" ht="18.5">
      <c r="A12" s="643"/>
      <c r="B12" s="3133" t="s">
        <v>298</v>
      </c>
      <c r="C12" s="1870">
        <f>'CDP + Flare PStreams'!J65</f>
        <v>47.176393695448297</v>
      </c>
      <c r="D12" s="1866">
        <f t="shared" ref="D12:D39" si="0">SUM(C12:C12)</f>
        <v>47.176393695448297</v>
      </c>
      <c r="E12" s="3098">
        <v>0</v>
      </c>
      <c r="F12" s="3099">
        <f>D12*(1-E12)</f>
        <v>47.176393695448297</v>
      </c>
      <c r="G12" s="3100"/>
      <c r="H12" s="3101" t="s">
        <v>1949</v>
      </c>
      <c r="I12" s="3243">
        <f>J12*D47</f>
        <v>61.513056157500003</v>
      </c>
      <c r="J12" s="3212">
        <v>0.13800000000000001</v>
      </c>
      <c r="K12" s="3213" t="s">
        <v>287</v>
      </c>
      <c r="L12" s="51"/>
      <c r="N12" s="48"/>
      <c r="O12" s="48"/>
      <c r="P12" s="48"/>
      <c r="Q12" s="48"/>
      <c r="R12" s="48"/>
    </row>
    <row r="13" spans="1:18" ht="15.5">
      <c r="A13" s="643"/>
      <c r="B13" s="3187" t="s">
        <v>5</v>
      </c>
      <c r="C13" s="1870">
        <f>'CDP + Flare PStreams'!J66</f>
        <v>0</v>
      </c>
      <c r="D13" s="3285">
        <f t="shared" si="0"/>
        <v>0</v>
      </c>
      <c r="E13" s="3107">
        <v>0.98</v>
      </c>
      <c r="F13" s="3108">
        <f>D13*(1-E13)</f>
        <v>0</v>
      </c>
      <c r="G13" s="3100"/>
      <c r="H13" s="3245" t="s">
        <v>0</v>
      </c>
      <c r="I13" s="3246">
        <f>J13*D47</f>
        <v>122.80323892312499</v>
      </c>
      <c r="J13" s="3216">
        <v>0.27550000000000002</v>
      </c>
      <c r="K13" s="3217" t="s">
        <v>287</v>
      </c>
      <c r="L13" s="51"/>
    </row>
    <row r="14" spans="1:18" ht="18.5">
      <c r="A14" s="643"/>
      <c r="B14" s="3187" t="s">
        <v>4</v>
      </c>
      <c r="C14" s="1870">
        <f>'CDP + Flare PStreams'!J67</f>
        <v>0</v>
      </c>
      <c r="D14" s="3285">
        <f t="shared" si="0"/>
        <v>0</v>
      </c>
      <c r="E14" s="3107">
        <v>0</v>
      </c>
      <c r="F14" s="3108">
        <f>D14*(1-E14)</f>
        <v>0</v>
      </c>
      <c r="G14" s="3100"/>
      <c r="H14" s="3245" t="s">
        <v>51</v>
      </c>
      <c r="I14" s="3247">
        <f>D45</f>
        <v>0</v>
      </c>
      <c r="J14" s="3248" t="s">
        <v>445</v>
      </c>
      <c r="K14" s="3249" t="s">
        <v>445</v>
      </c>
      <c r="L14" s="51"/>
    </row>
    <row r="15" spans="1:18" ht="18.5">
      <c r="A15" s="643"/>
      <c r="B15" s="3187" t="s">
        <v>3</v>
      </c>
      <c r="C15" s="1870">
        <f>'CDP + Flare PStreams'!J68</f>
        <v>10.872371708799299</v>
      </c>
      <c r="D15" s="3285">
        <f t="shared" si="0"/>
        <v>10.872371708799299</v>
      </c>
      <c r="E15" s="3107">
        <v>0</v>
      </c>
      <c r="F15" s="3108">
        <f>D15*(1-E15)</f>
        <v>10.872371708799299</v>
      </c>
      <c r="G15" s="3100"/>
      <c r="H15" s="3245" t="s">
        <v>1950</v>
      </c>
      <c r="I15" s="3247">
        <f>J15*$D$46/10^6*D43/1020</f>
        <v>3.3212505455882351</v>
      </c>
      <c r="J15" s="1900">
        <v>7.6</v>
      </c>
      <c r="K15" s="3250" t="s">
        <v>587</v>
      </c>
      <c r="L15" s="51"/>
    </row>
    <row r="16" spans="1:18" ht="18.5">
      <c r="A16" s="643"/>
      <c r="B16" s="3187" t="s">
        <v>6</v>
      </c>
      <c r="C16" s="1870">
        <f>'CDP + Flare PStreams'!J69</f>
        <v>1.58529034179933</v>
      </c>
      <c r="D16" s="3285">
        <f t="shared" si="0"/>
        <v>1.58529034179933</v>
      </c>
      <c r="E16" s="3107">
        <f t="shared" ref="E16:E39" si="1">$J$19/100</f>
        <v>0.98</v>
      </c>
      <c r="F16" s="3108">
        <f t="shared" ref="F16:F39" si="2">D16*(1-E16)</f>
        <v>3.170580683598663E-2</v>
      </c>
      <c r="G16" s="3100"/>
      <c r="H16" s="3245" t="s">
        <v>1951</v>
      </c>
      <c r="I16" s="3247">
        <f>J16*$D$46/10^6*D43/1020</f>
        <v>3.3212505455882351</v>
      </c>
      <c r="J16" s="1900">
        <v>7.6</v>
      </c>
      <c r="K16" s="3250" t="s">
        <v>587</v>
      </c>
      <c r="L16" s="51"/>
    </row>
    <row r="17" spans="1:12" ht="19" thickBot="1">
      <c r="A17" s="643"/>
      <c r="B17" s="3187" t="s">
        <v>7</v>
      </c>
      <c r="C17" s="1870">
        <f>'CDP + Flare PStreams'!J70</f>
        <v>2228.5309749491798</v>
      </c>
      <c r="D17" s="3285">
        <f t="shared" si="0"/>
        <v>2228.5309749491798</v>
      </c>
      <c r="E17" s="3107">
        <f t="shared" si="1"/>
        <v>0.98</v>
      </c>
      <c r="F17" s="3108">
        <f t="shared" si="2"/>
        <v>44.570619498983639</v>
      </c>
      <c r="G17" s="3100"/>
      <c r="H17" s="3251" t="s">
        <v>1952</v>
      </c>
      <c r="I17" s="3252">
        <f>F13</f>
        <v>0</v>
      </c>
      <c r="J17" s="3253" t="s">
        <v>445</v>
      </c>
      <c r="K17" s="3254" t="s">
        <v>445</v>
      </c>
      <c r="L17" s="51"/>
    </row>
    <row r="18" spans="1:12" ht="16" thickBot="1">
      <c r="A18" s="643"/>
      <c r="B18" s="3187" t="s">
        <v>8</v>
      </c>
      <c r="C18" s="1870">
        <f>'CDP + Flare PStreams'!J71</f>
        <v>14142.1329402171</v>
      </c>
      <c r="D18" s="3285">
        <f t="shared" si="0"/>
        <v>14142.1329402171</v>
      </c>
      <c r="E18" s="3107">
        <f t="shared" si="1"/>
        <v>0.98</v>
      </c>
      <c r="F18" s="3108">
        <f t="shared" si="2"/>
        <v>282.84265880434225</v>
      </c>
      <c r="G18" s="3100"/>
      <c r="H18" s="3123"/>
      <c r="I18" s="3124"/>
      <c r="J18" s="3125"/>
      <c r="K18" s="1766"/>
      <c r="L18" s="51"/>
    </row>
    <row r="19" spans="1:12" ht="16" thickBot="1">
      <c r="A19" s="643"/>
      <c r="B19" s="3187" t="s">
        <v>747</v>
      </c>
      <c r="C19" s="1870">
        <f>'CDP + Flare PStreams'!J72</f>
        <v>1688.6017055622301</v>
      </c>
      <c r="D19" s="3285">
        <f t="shared" si="0"/>
        <v>1688.6017055622301</v>
      </c>
      <c r="E19" s="3107">
        <f t="shared" si="1"/>
        <v>0.98</v>
      </c>
      <c r="F19" s="3108">
        <f t="shared" si="2"/>
        <v>33.772034111244629</v>
      </c>
      <c r="G19" s="3100"/>
      <c r="H19" s="4724" t="s">
        <v>744</v>
      </c>
      <c r="I19" s="4725"/>
      <c r="J19" s="3126">
        <v>98</v>
      </c>
      <c r="K19" s="3127" t="s">
        <v>296</v>
      </c>
      <c r="L19" s="676"/>
    </row>
    <row r="20" spans="1:12" ht="16" thickBot="1">
      <c r="A20" s="643"/>
      <c r="B20" s="3187" t="s">
        <v>748</v>
      </c>
      <c r="C20" s="1870">
        <f>'CDP + Flare PStreams'!J73</f>
        <v>2639.1581078430099</v>
      </c>
      <c r="D20" s="3285">
        <f t="shared" si="0"/>
        <v>2639.1581078430099</v>
      </c>
      <c r="E20" s="3107">
        <f t="shared" si="1"/>
        <v>0.98</v>
      </c>
      <c r="F20" s="3108">
        <f t="shared" si="2"/>
        <v>52.783162156860243</v>
      </c>
      <c r="G20" s="3100"/>
      <c r="H20" s="3123"/>
      <c r="I20" s="3124"/>
      <c r="J20" s="3125"/>
      <c r="K20" s="1766"/>
      <c r="L20" s="51"/>
    </row>
    <row r="21" spans="1:12" ht="15.5">
      <c r="A21" s="643"/>
      <c r="B21" s="3187" t="s">
        <v>749</v>
      </c>
      <c r="C21" s="1870">
        <f>'CDP + Flare PStreams'!J74</f>
        <v>445.60171922901998</v>
      </c>
      <c r="D21" s="3285">
        <f t="shared" si="0"/>
        <v>445.60171922901998</v>
      </c>
      <c r="E21" s="3107">
        <f t="shared" si="1"/>
        <v>0.98</v>
      </c>
      <c r="F21" s="3108">
        <f t="shared" si="2"/>
        <v>8.9120343845804069</v>
      </c>
      <c r="G21" s="3100"/>
      <c r="H21" s="4516" t="s">
        <v>2022</v>
      </c>
      <c r="I21" s="4768"/>
      <c r="J21" s="1835">
        <v>2</v>
      </c>
      <c r="K21" s="3270" t="s">
        <v>1302</v>
      </c>
      <c r="L21" s="51"/>
    </row>
    <row r="22" spans="1:12" ht="16" thickBot="1">
      <c r="A22" s="643"/>
      <c r="B22" s="3187" t="s">
        <v>750</v>
      </c>
      <c r="C22" s="1870">
        <f>'CDP + Flare PStreams'!J75</f>
        <v>427.77765045985899</v>
      </c>
      <c r="D22" s="3285">
        <f t="shared" si="0"/>
        <v>427.77765045985899</v>
      </c>
      <c r="E22" s="3107">
        <f t="shared" si="1"/>
        <v>0.98</v>
      </c>
      <c r="F22" s="3108">
        <f t="shared" si="2"/>
        <v>8.5555530091971868</v>
      </c>
      <c r="G22" s="3100"/>
      <c r="H22" s="4769"/>
      <c r="I22" s="4770"/>
      <c r="J22" s="3186">
        <f>J21*182</f>
        <v>364</v>
      </c>
      <c r="K22" s="3271" t="s">
        <v>1303</v>
      </c>
      <c r="L22" s="51"/>
    </row>
    <row r="23" spans="1:12" ht="15.5">
      <c r="A23" s="643"/>
      <c r="B23" s="3187" t="s">
        <v>800</v>
      </c>
      <c r="C23" s="1870">
        <f>'CDP + Flare PStreams'!J76</f>
        <v>0</v>
      </c>
      <c r="D23" s="3285">
        <f t="shared" si="0"/>
        <v>0</v>
      </c>
      <c r="E23" s="3107">
        <f t="shared" si="1"/>
        <v>0.98</v>
      </c>
      <c r="F23" s="3108">
        <f t="shared" si="2"/>
        <v>0</v>
      </c>
      <c r="G23" s="3100"/>
      <c r="H23" s="3123"/>
      <c r="I23" s="3124"/>
      <c r="J23" s="3125"/>
      <c r="K23" s="1766"/>
      <c r="L23" s="51"/>
    </row>
    <row r="24" spans="1:12" ht="15.5">
      <c r="A24" s="643"/>
      <c r="B24" s="3187" t="s">
        <v>292</v>
      </c>
      <c r="C24" s="1870">
        <f>'CDP + Flare PStreams'!J77</f>
        <v>191.60351548043801</v>
      </c>
      <c r="D24" s="3285">
        <f t="shared" si="0"/>
        <v>191.60351548043801</v>
      </c>
      <c r="E24" s="3107">
        <f t="shared" si="1"/>
        <v>0.98</v>
      </c>
      <c r="F24" s="3108">
        <f t="shared" si="2"/>
        <v>3.8320703096087634</v>
      </c>
      <c r="G24" s="3100"/>
      <c r="H24" s="3123"/>
      <c r="I24" s="3124"/>
      <c r="J24" s="3125"/>
      <c r="K24" s="1766"/>
      <c r="L24" s="51"/>
    </row>
    <row r="25" spans="1:12" ht="15.5">
      <c r="A25" s="643"/>
      <c r="B25" s="3187" t="s">
        <v>10</v>
      </c>
      <c r="C25" s="1870">
        <f>'CDP + Flare PStreams'!J78</f>
        <v>97.930685690001496</v>
      </c>
      <c r="D25" s="3285">
        <f t="shared" si="0"/>
        <v>97.930685690001496</v>
      </c>
      <c r="E25" s="3107">
        <f t="shared" si="1"/>
        <v>0.98</v>
      </c>
      <c r="F25" s="3108">
        <f t="shared" si="2"/>
        <v>1.9586137138000317</v>
      </c>
      <c r="G25" s="3100"/>
      <c r="H25" s="3123"/>
      <c r="I25" s="3124"/>
      <c r="J25" s="3125"/>
      <c r="K25" s="1766"/>
      <c r="L25" s="51"/>
    </row>
    <row r="26" spans="1:12" ht="15.5">
      <c r="A26" s="643"/>
      <c r="B26" s="3187" t="s">
        <v>9</v>
      </c>
      <c r="C26" s="1870">
        <f>'CDP + Flare PStreams'!J79</f>
        <v>74.848551739177395</v>
      </c>
      <c r="D26" s="3285">
        <f t="shared" si="0"/>
        <v>74.848551739177395</v>
      </c>
      <c r="E26" s="3107">
        <f t="shared" si="1"/>
        <v>0.98</v>
      </c>
      <c r="F26" s="3108">
        <f t="shared" si="2"/>
        <v>1.4969710347835492</v>
      </c>
      <c r="G26" s="3100"/>
      <c r="H26" s="3123"/>
      <c r="I26" s="3124"/>
      <c r="J26" s="3125"/>
      <c r="K26" s="1766"/>
      <c r="L26" s="51"/>
    </row>
    <row r="27" spans="1:12" ht="15.5">
      <c r="A27" s="643"/>
      <c r="B27" s="3187" t="s">
        <v>11</v>
      </c>
      <c r="C27" s="1870">
        <f>'CDP + Flare PStreams'!J80</f>
        <v>73.329432179083298</v>
      </c>
      <c r="D27" s="3285">
        <f t="shared" si="0"/>
        <v>73.329432179083298</v>
      </c>
      <c r="E27" s="3107">
        <f t="shared" si="1"/>
        <v>0.98</v>
      </c>
      <c r="F27" s="3108">
        <f t="shared" si="2"/>
        <v>1.4665886435816673</v>
      </c>
      <c r="G27" s="3100"/>
      <c r="H27" s="3123"/>
      <c r="I27" s="3124"/>
      <c r="J27" s="3125"/>
      <c r="K27" s="1766"/>
      <c r="L27" s="51"/>
    </row>
    <row r="28" spans="1:12" ht="15.5">
      <c r="A28" s="643"/>
      <c r="B28" s="3187" t="s">
        <v>12</v>
      </c>
      <c r="C28" s="1870">
        <f>'CDP + Flare PStreams'!J81</f>
        <v>141.380597729557</v>
      </c>
      <c r="D28" s="3285">
        <f t="shared" si="0"/>
        <v>141.380597729557</v>
      </c>
      <c r="E28" s="3107">
        <f t="shared" si="1"/>
        <v>0.98</v>
      </c>
      <c r="F28" s="3108">
        <f t="shared" si="2"/>
        <v>2.8276119545911422</v>
      </c>
      <c r="G28" s="3100"/>
      <c r="H28" s="3123"/>
      <c r="I28" s="3124"/>
      <c r="J28" s="3125"/>
      <c r="K28" s="1766"/>
      <c r="L28" s="51"/>
    </row>
    <row r="29" spans="1:12" ht="15.5">
      <c r="A29" s="643"/>
      <c r="B29" s="3187" t="s">
        <v>286</v>
      </c>
      <c r="C29" s="1870">
        <f>'CDP + Flare PStreams'!J82</f>
        <v>0</v>
      </c>
      <c r="D29" s="3285">
        <f t="shared" si="0"/>
        <v>0</v>
      </c>
      <c r="E29" s="3107">
        <f t="shared" si="1"/>
        <v>0.98</v>
      </c>
      <c r="F29" s="3108">
        <f t="shared" si="2"/>
        <v>0</v>
      </c>
      <c r="G29" s="3100"/>
      <c r="H29" s="3123"/>
      <c r="I29" s="3124"/>
      <c r="J29" s="3125"/>
      <c r="K29" s="1766"/>
      <c r="L29" s="51"/>
    </row>
    <row r="30" spans="1:12" ht="15.5">
      <c r="A30" s="643"/>
      <c r="B30" s="3187" t="s">
        <v>801</v>
      </c>
      <c r="C30" s="1870">
        <f>'CDP + Flare PStreams'!J83</f>
        <v>34.656286317088799</v>
      </c>
      <c r="D30" s="3285">
        <f t="shared" si="0"/>
        <v>34.656286317088799</v>
      </c>
      <c r="E30" s="3107">
        <f t="shared" si="1"/>
        <v>0.98</v>
      </c>
      <c r="F30" s="3108">
        <f t="shared" si="2"/>
        <v>0.6931257263417766</v>
      </c>
      <c r="G30" s="3100"/>
      <c r="H30" s="3123"/>
      <c r="I30" s="3124"/>
      <c r="J30" s="3125"/>
      <c r="K30" s="1766"/>
      <c r="L30" s="51"/>
    </row>
    <row r="31" spans="1:12" ht="15.5">
      <c r="A31" s="643"/>
      <c r="B31" s="3187" t="s">
        <v>65</v>
      </c>
      <c r="C31" s="1870">
        <f>'CDP + Flare PStreams'!J84</f>
        <v>92.174605382505504</v>
      </c>
      <c r="D31" s="3285">
        <f t="shared" si="0"/>
        <v>92.174605382505504</v>
      </c>
      <c r="E31" s="3107">
        <f t="shared" si="1"/>
        <v>0.98</v>
      </c>
      <c r="F31" s="3108">
        <f t="shared" si="2"/>
        <v>1.8434921076501116</v>
      </c>
      <c r="G31" s="3100"/>
      <c r="H31" s="3123"/>
      <c r="I31" s="3124"/>
      <c r="J31" s="3125"/>
      <c r="K31" s="1766"/>
      <c r="L31" s="51"/>
    </row>
    <row r="32" spans="1:12" ht="15.5">
      <c r="A32" s="643"/>
      <c r="B32" s="3187" t="s">
        <v>13</v>
      </c>
      <c r="C32" s="1870">
        <f>'CDP + Flare PStreams'!J85</f>
        <v>54.459878498282499</v>
      </c>
      <c r="D32" s="3285">
        <f t="shared" si="0"/>
        <v>54.459878498282499</v>
      </c>
      <c r="E32" s="3107">
        <f t="shared" si="1"/>
        <v>0.98</v>
      </c>
      <c r="F32" s="3108">
        <f t="shared" si="2"/>
        <v>1.0891975699656509</v>
      </c>
      <c r="G32" s="3100"/>
      <c r="H32" s="3123"/>
      <c r="I32" s="3124"/>
      <c r="J32" s="3125"/>
      <c r="K32" s="1766"/>
      <c r="L32" s="51"/>
    </row>
    <row r="33" spans="1:13" ht="15.5">
      <c r="A33" s="643"/>
      <c r="B33" s="3187" t="s">
        <v>14</v>
      </c>
      <c r="C33" s="1870">
        <f>'CDP + Flare PStreams'!J86</f>
        <v>40.9723735016902</v>
      </c>
      <c r="D33" s="3285">
        <f t="shared" si="0"/>
        <v>40.9723735016902</v>
      </c>
      <c r="E33" s="3107">
        <f t="shared" si="1"/>
        <v>0.98</v>
      </c>
      <c r="F33" s="3108">
        <f t="shared" si="2"/>
        <v>0.81944747003380469</v>
      </c>
      <c r="G33" s="3100"/>
      <c r="H33" s="3123"/>
      <c r="I33" s="3124"/>
      <c r="J33" s="3125"/>
      <c r="K33" s="1766"/>
      <c r="L33" s="51"/>
    </row>
    <row r="34" spans="1:13" ht="15.5">
      <c r="A34" s="643"/>
      <c r="B34" s="3187" t="s">
        <v>804</v>
      </c>
      <c r="C34" s="1870">
        <f>'CDP + Flare PStreams'!J87</f>
        <v>39.507581337220699</v>
      </c>
      <c r="D34" s="3285">
        <f t="shared" si="0"/>
        <v>39.507581337220699</v>
      </c>
      <c r="E34" s="3107">
        <f t="shared" si="1"/>
        <v>0.98</v>
      </c>
      <c r="F34" s="3108">
        <f t="shared" si="2"/>
        <v>0.79015162674441464</v>
      </c>
      <c r="G34" s="3100"/>
      <c r="H34" s="3123"/>
      <c r="I34" s="3124"/>
      <c r="J34" s="3125"/>
      <c r="K34" s="1766"/>
      <c r="L34" s="51"/>
    </row>
    <row r="35" spans="1:13" ht="15.5">
      <c r="A35" s="643"/>
      <c r="B35" s="3187" t="s">
        <v>16</v>
      </c>
      <c r="C35" s="1870">
        <f>'CDP + Flare PStreams'!J88</f>
        <v>0</v>
      </c>
      <c r="D35" s="3285">
        <f t="shared" si="0"/>
        <v>0</v>
      </c>
      <c r="E35" s="3107">
        <f t="shared" si="1"/>
        <v>0.98</v>
      </c>
      <c r="F35" s="3108">
        <f t="shared" si="2"/>
        <v>0</v>
      </c>
      <c r="G35" s="3100"/>
      <c r="H35" s="3123"/>
      <c r="I35" s="3124"/>
      <c r="J35" s="3125"/>
      <c r="K35" s="1766"/>
      <c r="L35" s="51"/>
    </row>
    <row r="36" spans="1:13" ht="15.5">
      <c r="A36" s="643"/>
      <c r="B36" s="3187" t="s">
        <v>802</v>
      </c>
      <c r="C36" s="1870">
        <f>'CDP + Flare PStreams'!J89</f>
        <v>10.4910561807307</v>
      </c>
      <c r="D36" s="3285">
        <f t="shared" si="0"/>
        <v>10.4910561807307</v>
      </c>
      <c r="E36" s="3107">
        <f t="shared" si="1"/>
        <v>0.98</v>
      </c>
      <c r="F36" s="3108">
        <f t="shared" si="2"/>
        <v>0.20982112361461419</v>
      </c>
      <c r="G36" s="3100"/>
      <c r="H36" s="3123"/>
      <c r="I36" s="3124"/>
      <c r="J36" s="3125"/>
      <c r="K36" s="1766"/>
      <c r="L36" s="51"/>
    </row>
    <row r="37" spans="1:13" ht="15.5">
      <c r="A37" s="643"/>
      <c r="B37" s="3187" t="s">
        <v>803</v>
      </c>
      <c r="C37" s="1870">
        <f>'CDP + Flare PStreams'!J90</f>
        <v>12.6739646735293</v>
      </c>
      <c r="D37" s="3285">
        <f t="shared" si="0"/>
        <v>12.6739646735293</v>
      </c>
      <c r="E37" s="3107">
        <f t="shared" si="1"/>
        <v>0.98</v>
      </c>
      <c r="F37" s="3108">
        <f t="shared" si="2"/>
        <v>0.25347929347058623</v>
      </c>
      <c r="G37" s="3100"/>
      <c r="H37" s="3123"/>
      <c r="I37" s="3124"/>
      <c r="J37" s="3125"/>
      <c r="K37" s="1766"/>
      <c r="L37" s="51"/>
    </row>
    <row r="38" spans="1:13" ht="15.5">
      <c r="A38" s="643"/>
      <c r="B38" s="3187" t="s">
        <v>805</v>
      </c>
      <c r="C38" s="1870">
        <f>'CDP + Flare PStreams'!J91</f>
        <v>7.0300244824977796</v>
      </c>
      <c r="D38" s="3285">
        <f t="shared" si="0"/>
        <v>7.0300244824977796</v>
      </c>
      <c r="E38" s="3107">
        <f t="shared" si="1"/>
        <v>0.98</v>
      </c>
      <c r="F38" s="3108">
        <f t="shared" si="2"/>
        <v>0.14060048964995572</v>
      </c>
      <c r="G38" s="3100"/>
      <c r="H38" s="3123"/>
      <c r="I38" s="3124"/>
      <c r="J38" s="3125"/>
      <c r="K38" s="1766"/>
      <c r="L38" s="51"/>
    </row>
    <row r="39" spans="1:13" ht="16" thickBot="1">
      <c r="A39" s="643"/>
      <c r="B39" s="3189" t="s">
        <v>752</v>
      </c>
      <c r="C39" s="1870">
        <f>'CDP + Flare PStreams'!J92</f>
        <v>0</v>
      </c>
      <c r="D39" s="3286">
        <f t="shared" si="0"/>
        <v>0</v>
      </c>
      <c r="E39" s="3131">
        <f t="shared" si="1"/>
        <v>0.98</v>
      </c>
      <c r="F39" s="3132">
        <f t="shared" si="2"/>
        <v>0</v>
      </c>
      <c r="G39" s="3100"/>
      <c r="H39" s="3123"/>
      <c r="I39" s="3124"/>
      <c r="J39" s="3125"/>
      <c r="K39" s="1766"/>
      <c r="L39" s="51"/>
    </row>
    <row r="40" spans="1:13" ht="15.5">
      <c r="A40" s="643"/>
      <c r="B40" s="3133" t="s">
        <v>692</v>
      </c>
      <c r="C40" s="3134">
        <f>SUM(C12:C39)</f>
        <v>22502.495707198235</v>
      </c>
      <c r="D40" s="3136">
        <f>SUM(D12:D39)</f>
        <v>22502.495707198235</v>
      </c>
      <c r="E40" s="3287" t="s">
        <v>445</v>
      </c>
      <c r="F40" s="3099">
        <f>SUM(F12:F39)</f>
        <v>506.93770424012808</v>
      </c>
      <c r="G40" s="3100"/>
      <c r="H40" s="1762"/>
      <c r="I40" s="1762"/>
      <c r="J40" s="1762"/>
      <c r="K40" s="1762"/>
      <c r="L40" s="51"/>
    </row>
    <row r="41" spans="1:13" ht="15.5">
      <c r="A41" s="643"/>
      <c r="B41" s="3187" t="s">
        <v>55</v>
      </c>
      <c r="C41" s="3188">
        <f>SUM(C18:C39)</f>
        <v>20214.330676503014</v>
      </c>
      <c r="D41" s="3141">
        <f>SUM(D18:D39)</f>
        <v>20214.330676503014</v>
      </c>
      <c r="E41" s="3288" t="s">
        <v>445</v>
      </c>
      <c r="F41" s="3108">
        <f>SUM(F18:F39)</f>
        <v>404.28661353006083</v>
      </c>
      <c r="G41" s="3100"/>
      <c r="H41" s="1762"/>
      <c r="I41" s="1762"/>
      <c r="J41" s="1762"/>
      <c r="K41" s="1762"/>
      <c r="L41" s="51"/>
    </row>
    <row r="42" spans="1:13" ht="16" thickBot="1">
      <c r="A42" s="643"/>
      <c r="B42" s="3189" t="s">
        <v>693</v>
      </c>
      <c r="C42" s="3289">
        <f>SUM(C25,C33,C35,C36,C27,C29)</f>
        <v>222.7235475515057</v>
      </c>
      <c r="D42" s="3146">
        <f>SUM(D25,D33,D35,D36,D27,D29)</f>
        <v>222.7235475515057</v>
      </c>
      <c r="E42" s="3290" t="s">
        <v>445</v>
      </c>
      <c r="F42" s="3148">
        <f>SUM(F25,F33,F35,F36,F27,F29)</f>
        <v>4.4544709510301175</v>
      </c>
      <c r="G42" s="3100"/>
      <c r="H42" s="1762"/>
      <c r="I42" s="1762"/>
      <c r="J42" s="1762"/>
      <c r="K42" s="1762"/>
      <c r="L42" s="51"/>
    </row>
    <row r="43" spans="1:13" ht="15.5">
      <c r="A43" s="643"/>
      <c r="B43" s="3277" t="s">
        <v>694</v>
      </c>
      <c r="C43" s="3291">
        <f>'CDP + Flare PStreams'!J135</f>
        <v>2377.3161799999998</v>
      </c>
      <c r="D43" s="3256">
        <f>SUMPRODUCT(C43:C43,C46:C46)/D46</f>
        <v>2377.3161799999998</v>
      </c>
      <c r="E43" s="1762"/>
      <c r="F43" s="1762"/>
      <c r="G43" s="1762"/>
      <c r="H43" s="1762"/>
      <c r="I43" s="1762"/>
      <c r="J43" s="1762"/>
      <c r="K43" s="1762"/>
      <c r="L43" s="51"/>
    </row>
    <row r="44" spans="1:13" ht="15.5">
      <c r="A44" s="643"/>
      <c r="B44" s="3279" t="s">
        <v>20</v>
      </c>
      <c r="C44" s="3292">
        <f>'CDP + Flare PStreams'!J131</f>
        <v>45.543125793999998</v>
      </c>
      <c r="D44" s="3258" t="s">
        <v>445</v>
      </c>
      <c r="E44" s="3157"/>
      <c r="F44" s="3157"/>
      <c r="G44" s="3157"/>
      <c r="H44" s="3157"/>
      <c r="I44" s="3157"/>
      <c r="J44" s="3157"/>
      <c r="K44" s="3157"/>
      <c r="L44" s="658"/>
    </row>
    <row r="45" spans="1:13" ht="15.5">
      <c r="A45" s="643"/>
      <c r="B45" s="3279" t="s">
        <v>695</v>
      </c>
      <c r="C45" s="3293">
        <f>C13*($Q$10/$Q$9)</f>
        <v>0</v>
      </c>
      <c r="D45" s="3261">
        <f>C45</f>
        <v>0</v>
      </c>
      <c r="E45" s="3157"/>
      <c r="F45" s="3157"/>
      <c r="G45" s="3157"/>
      <c r="H45" s="3157"/>
      <c r="I45" s="3157"/>
      <c r="J45" s="3157"/>
      <c r="K45" s="3157"/>
      <c r="L45" s="658"/>
    </row>
    <row r="46" spans="1:13" ht="15.5">
      <c r="A46" s="643"/>
      <c r="B46" s="3279" t="s">
        <v>696</v>
      </c>
      <c r="C46" s="3292">
        <f>'CDP + Flare PStreams'!J133*10^6/24</f>
        <v>187500</v>
      </c>
      <c r="D46" s="3261">
        <f>SUM(C46:C46)</f>
        <v>187500</v>
      </c>
      <c r="E46" s="3157"/>
      <c r="F46" s="3157"/>
      <c r="G46" s="3157"/>
      <c r="H46" s="3157"/>
      <c r="I46" s="3157"/>
      <c r="J46" s="3157"/>
      <c r="K46" s="3157"/>
      <c r="L46" s="658"/>
    </row>
    <row r="47" spans="1:13" ht="16" thickBot="1">
      <c r="A47" s="643"/>
      <c r="B47" s="3283" t="s">
        <v>697</v>
      </c>
      <c r="C47" s="3294">
        <f>C43*C46/10^6</f>
        <v>445.74678374999996</v>
      </c>
      <c r="D47" s="3263">
        <f>SUMPRODUCT(C43:C43,C46:C46)/10^6</f>
        <v>445.74678374999996</v>
      </c>
      <c r="E47" s="3157"/>
      <c r="F47" s="3157"/>
      <c r="G47" s="3157"/>
      <c r="H47" s="3157"/>
      <c r="I47" s="3157"/>
      <c r="J47" s="3157"/>
      <c r="K47" s="3157"/>
      <c r="L47" s="658"/>
      <c r="M47" s="47">
        <f>D46*2</f>
        <v>375000</v>
      </c>
    </row>
    <row r="48" spans="1:13" ht="13">
      <c r="A48" s="643"/>
      <c r="B48" s="657"/>
      <c r="C48" s="657"/>
      <c r="D48" s="659"/>
      <c r="E48" s="659"/>
      <c r="F48" s="659"/>
      <c r="G48" s="659"/>
      <c r="H48" s="659"/>
      <c r="I48" s="659"/>
      <c r="J48" s="659"/>
      <c r="K48" s="659"/>
      <c r="L48" s="660"/>
    </row>
    <row r="49" spans="1:18" ht="13.5" thickBot="1">
      <c r="A49" s="643"/>
      <c r="B49" s="657"/>
      <c r="C49" s="657"/>
      <c r="D49" s="659"/>
      <c r="E49" s="659"/>
      <c r="F49" s="659"/>
      <c r="G49" s="659"/>
      <c r="H49" s="659"/>
      <c r="I49" s="659"/>
      <c r="J49" s="659"/>
      <c r="K49" s="659"/>
      <c r="L49" s="660"/>
    </row>
    <row r="50" spans="1:18" ht="13">
      <c r="A50" s="643"/>
      <c r="B50" s="661" t="s">
        <v>698</v>
      </c>
      <c r="C50" s="662"/>
      <c r="D50" s="663"/>
      <c r="E50" s="663"/>
      <c r="F50" s="663"/>
      <c r="G50" s="663"/>
      <c r="H50" s="663"/>
      <c r="I50" s="664"/>
      <c r="J50" s="657"/>
      <c r="K50" s="657"/>
      <c r="L50" s="51"/>
    </row>
    <row r="51" spans="1:18" ht="14.5">
      <c r="A51" s="643"/>
      <c r="B51" s="665" t="s">
        <v>699</v>
      </c>
      <c r="C51" s="666"/>
      <c r="D51" s="667"/>
      <c r="E51" s="667"/>
      <c r="F51" s="667"/>
      <c r="G51" s="667"/>
      <c r="H51" s="667"/>
      <c r="I51" s="668"/>
      <c r="J51" s="657"/>
      <c r="K51" s="657"/>
      <c r="L51" s="51"/>
    </row>
    <row r="52" spans="1:18" ht="29.75" customHeight="1" thickBot="1">
      <c r="A52" s="643"/>
      <c r="B52" s="4729" t="s">
        <v>745</v>
      </c>
      <c r="C52" s="4730"/>
      <c r="D52" s="4730"/>
      <c r="E52" s="4730"/>
      <c r="F52" s="4730"/>
      <c r="G52" s="4730"/>
      <c r="H52" s="4730"/>
      <c r="I52" s="4731"/>
      <c r="J52" s="669"/>
      <c r="K52" s="669"/>
      <c r="L52" s="670"/>
      <c r="P52" s="47">
        <f>4794*0.02</f>
        <v>95.88</v>
      </c>
    </row>
    <row r="53" spans="1:18">
      <c r="A53" s="760"/>
      <c r="B53" s="30"/>
      <c r="C53" s="30"/>
      <c r="D53" s="30"/>
      <c r="E53" s="30"/>
      <c r="F53" s="30"/>
      <c r="G53" s="30"/>
      <c r="H53" s="30"/>
      <c r="I53" s="30"/>
      <c r="J53" s="30"/>
      <c r="K53" s="30"/>
      <c r="L53" s="762"/>
    </row>
    <row r="54" spans="1:18" ht="13" thickBot="1">
      <c r="A54" s="1582"/>
      <c r="B54" s="1580"/>
      <c r="C54" s="1580"/>
      <c r="D54" s="1580"/>
      <c r="E54" s="1580"/>
      <c r="F54" s="1580"/>
      <c r="G54" s="1580"/>
      <c r="H54" s="1580"/>
      <c r="I54" s="1580"/>
      <c r="J54" s="1580"/>
      <c r="K54" s="1580"/>
      <c r="L54" s="1583"/>
    </row>
    <row r="55" spans="1:18">
      <c r="P55" s="47" t="s">
        <v>57</v>
      </c>
      <c r="Q55" s="47" t="s">
        <v>1219</v>
      </c>
      <c r="R55" s="47" t="s">
        <v>37</v>
      </c>
    </row>
    <row r="56" spans="1:18">
      <c r="P56" s="1207">
        <f>0.00125*1.2*10^9</f>
        <v>1500000</v>
      </c>
      <c r="Q56" s="1208">
        <f>P56*365</f>
        <v>547500000</v>
      </c>
    </row>
    <row r="58" spans="1:18">
      <c r="P58" s="47">
        <v>500000</v>
      </c>
      <c r="Q58" s="47">
        <f>P58*365</f>
        <v>182500000</v>
      </c>
      <c r="R58" s="47">
        <f>1598*0.02</f>
        <v>31.96</v>
      </c>
    </row>
  </sheetData>
  <mergeCells count="19">
    <mergeCell ref="B8:F8"/>
    <mergeCell ref="H8:K8"/>
    <mergeCell ref="B2:K2"/>
    <mergeCell ref="B3:K3"/>
    <mergeCell ref="B4:K4"/>
    <mergeCell ref="A6:L6"/>
    <mergeCell ref="A7:B7"/>
    <mergeCell ref="J9:J11"/>
    <mergeCell ref="K9:K11"/>
    <mergeCell ref="H19:I19"/>
    <mergeCell ref="B9:B11"/>
    <mergeCell ref="C9:C10"/>
    <mergeCell ref="D9:D10"/>
    <mergeCell ref="E9:E10"/>
    <mergeCell ref="B52:I52"/>
    <mergeCell ref="H21:I22"/>
    <mergeCell ref="F9:F10"/>
    <mergeCell ref="H9:H11"/>
    <mergeCell ref="I9:I10"/>
  </mergeCells>
  <printOptions horizontalCentered="1"/>
  <pageMargins left="0.7" right="0.7" top="0.75" bottom="0.75" header="0.3" footer="0.3"/>
  <pageSetup scale="64" orientation="portrait" r:id="rId1"/>
  <headerFooter>
    <oddFooter>&amp;CCalculations: Page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7">
    <tabColor theme="3" tint="-0.249977111117893"/>
    <pageSetUpPr fitToPage="1"/>
  </sheetPr>
  <dimension ref="A1:Q54"/>
  <sheetViews>
    <sheetView view="pageLayout" topLeftCell="A13" zoomScale="85" zoomScaleNormal="100" zoomScaleSheetLayoutView="85" zoomScalePageLayoutView="85" workbookViewId="0">
      <selection activeCell="E19" sqref="E19:R19"/>
    </sheetView>
  </sheetViews>
  <sheetFormatPr defaultColWidth="9.36328125" defaultRowHeight="12.5"/>
  <cols>
    <col min="1" max="1" width="5.54296875" style="47" customWidth="1"/>
    <col min="2" max="2" width="28.36328125" style="47" customWidth="1"/>
    <col min="3" max="3" width="12.54296875" style="47" customWidth="1"/>
    <col min="4" max="5" width="12.453125" style="47" customWidth="1"/>
    <col min="6" max="6" width="15.6328125" style="47" customWidth="1"/>
    <col min="7" max="7" width="3" style="47" customWidth="1"/>
    <col min="8" max="8" width="12.36328125" style="47" customWidth="1"/>
    <col min="9" max="9" width="12.6328125" style="47" customWidth="1"/>
    <col min="10" max="10" width="10.453125" style="47" customWidth="1"/>
    <col min="11" max="11" width="13.6328125" style="47" customWidth="1"/>
    <col min="12" max="12" width="5.54296875" style="47" customWidth="1"/>
    <col min="13" max="16384" width="9.36328125" style="47"/>
  </cols>
  <sheetData>
    <row r="1" spans="1:17" ht="13.5" thickBot="1">
      <c r="A1" s="640"/>
      <c r="B1" s="641"/>
      <c r="C1" s="641"/>
      <c r="D1" s="641"/>
      <c r="E1" s="641"/>
      <c r="F1" s="641"/>
      <c r="G1" s="641"/>
      <c r="H1" s="641"/>
      <c r="I1" s="641"/>
      <c r="J1" s="641"/>
      <c r="K1" s="641"/>
      <c r="L1" s="642"/>
    </row>
    <row r="2" spans="1:17" ht="19.5">
      <c r="A2" s="643"/>
      <c r="B2" s="4773" t="s">
        <v>54</v>
      </c>
      <c r="C2" s="4774"/>
      <c r="D2" s="4774"/>
      <c r="E2" s="4774"/>
      <c r="F2" s="4774"/>
      <c r="G2" s="4774"/>
      <c r="H2" s="4774"/>
      <c r="I2" s="4774"/>
      <c r="J2" s="4774"/>
      <c r="K2" s="4775"/>
      <c r="L2" s="644"/>
    </row>
    <row r="3" spans="1:17" ht="19.5">
      <c r="A3" s="643"/>
      <c r="B3" s="4776" t="str">
        <f>'TO Ann (TO1-TO3)'!B3:M3</f>
        <v>HUSKY CDP</v>
      </c>
      <c r="C3" s="4777"/>
      <c r="D3" s="4777"/>
      <c r="E3" s="4777"/>
      <c r="F3" s="4777"/>
      <c r="G3" s="4777"/>
      <c r="H3" s="4777"/>
      <c r="I3" s="4777"/>
      <c r="J3" s="4777"/>
      <c r="K3" s="4778"/>
      <c r="L3" s="644"/>
    </row>
    <row r="4" spans="1:17" ht="20" thickBot="1">
      <c r="A4" s="643"/>
      <c r="B4" s="4750" t="s">
        <v>1798</v>
      </c>
      <c r="C4" s="4751"/>
      <c r="D4" s="4751"/>
      <c r="E4" s="4751"/>
      <c r="F4" s="4751"/>
      <c r="G4" s="4751"/>
      <c r="H4" s="4751"/>
      <c r="I4" s="4751"/>
      <c r="J4" s="4751"/>
      <c r="K4" s="4752"/>
      <c r="L4" s="644"/>
    </row>
    <row r="5" spans="1:17" ht="18.5" thickBot="1">
      <c r="A5" s="645"/>
      <c r="B5" s="646"/>
      <c r="C5" s="646"/>
      <c r="D5" s="646"/>
      <c r="E5" s="646"/>
      <c r="F5" s="646"/>
      <c r="G5" s="646"/>
      <c r="H5" s="646"/>
      <c r="I5" s="646"/>
      <c r="J5" s="646"/>
      <c r="K5" s="646"/>
      <c r="L5" s="647"/>
    </row>
    <row r="6" spans="1:17" ht="15" thickBot="1">
      <c r="A6" s="4784" t="s">
        <v>1806</v>
      </c>
      <c r="B6" s="4785"/>
      <c r="C6" s="4785"/>
      <c r="D6" s="4785"/>
      <c r="E6" s="4785"/>
      <c r="F6" s="4785"/>
      <c r="G6" s="4785"/>
      <c r="H6" s="4785"/>
      <c r="I6" s="4785"/>
      <c r="J6" s="4785"/>
      <c r="K6" s="4785"/>
      <c r="L6" s="4786"/>
    </row>
    <row r="7" spans="1:17" ht="13.5" thickBot="1">
      <c r="A7" s="4781"/>
      <c r="B7" s="4782"/>
      <c r="C7" s="4782"/>
      <c r="D7" s="1320"/>
      <c r="E7" s="1320"/>
      <c r="F7" s="1320"/>
      <c r="G7" s="1320"/>
      <c r="H7" s="1320"/>
      <c r="I7" s="1320"/>
      <c r="J7" s="1320"/>
      <c r="K7" s="1320"/>
      <c r="L7" s="675"/>
    </row>
    <row r="8" spans="1:17" ht="19" thickBot="1">
      <c r="A8" s="643"/>
      <c r="B8" s="4682" t="s">
        <v>1958</v>
      </c>
      <c r="C8" s="4671"/>
      <c r="D8" s="4671"/>
      <c r="E8" s="4671"/>
      <c r="F8" s="4654"/>
      <c r="G8" s="1765"/>
      <c r="H8" s="4747" t="s">
        <v>1956</v>
      </c>
      <c r="I8" s="4748"/>
      <c r="J8" s="4748"/>
      <c r="K8" s="4749"/>
      <c r="L8" s="51"/>
      <c r="O8" s="650" t="s">
        <v>688</v>
      </c>
      <c r="P8" s="650"/>
      <c r="Q8" s="650">
        <v>34.08</v>
      </c>
    </row>
    <row r="9" spans="1:17" ht="13.25" customHeight="1">
      <c r="A9" s="643"/>
      <c r="B9" s="4759" t="s">
        <v>2</v>
      </c>
      <c r="C9" s="4735" t="s">
        <v>1797</v>
      </c>
      <c r="D9" s="4762" t="s">
        <v>19</v>
      </c>
      <c r="E9" s="4739" t="s">
        <v>683</v>
      </c>
      <c r="F9" s="4518" t="s">
        <v>700</v>
      </c>
      <c r="G9" s="3088"/>
      <c r="H9" s="4742" t="s">
        <v>2</v>
      </c>
      <c r="I9" s="4745" t="s">
        <v>685</v>
      </c>
      <c r="J9" s="4516" t="s">
        <v>686</v>
      </c>
      <c r="K9" s="4518" t="s">
        <v>687</v>
      </c>
      <c r="L9" s="51"/>
      <c r="O9" s="650" t="s">
        <v>689</v>
      </c>
      <c r="P9" s="650"/>
      <c r="Q9" s="650">
        <v>64.06</v>
      </c>
    </row>
    <row r="10" spans="1:17" ht="36.75" customHeight="1">
      <c r="A10" s="643"/>
      <c r="B10" s="4760"/>
      <c r="C10" s="4736"/>
      <c r="D10" s="4763"/>
      <c r="E10" s="4740"/>
      <c r="F10" s="4741"/>
      <c r="G10" s="3088"/>
      <c r="H10" s="4764"/>
      <c r="I10" s="4755"/>
      <c r="J10" s="4756"/>
      <c r="K10" s="4741"/>
      <c r="L10" s="51"/>
      <c r="O10" s="650" t="s">
        <v>691</v>
      </c>
      <c r="P10" s="650"/>
      <c r="Q10" s="651">
        <v>0.99</v>
      </c>
    </row>
    <row r="11" spans="1:17" ht="14.25" customHeight="1" thickBot="1">
      <c r="A11" s="643"/>
      <c r="B11" s="4761"/>
      <c r="C11" s="3168" t="s">
        <v>701</v>
      </c>
      <c r="D11" s="3264" t="s">
        <v>155</v>
      </c>
      <c r="E11" s="3091" t="s">
        <v>690</v>
      </c>
      <c r="F11" s="3094" t="s">
        <v>701</v>
      </c>
      <c r="G11" s="1765"/>
      <c r="H11" s="4765"/>
      <c r="I11" s="3093" t="s">
        <v>155</v>
      </c>
      <c r="J11" s="4727"/>
      <c r="K11" s="4757"/>
      <c r="L11" s="51"/>
    </row>
    <row r="12" spans="1:17" ht="18.5">
      <c r="A12" s="643"/>
      <c r="B12" s="3133" t="s">
        <v>298</v>
      </c>
      <c r="C12" s="3265">
        <f>'Hrly (FL1-FL3OVHD-SSM)'!C12*J22/2000</f>
        <v>8.5861036525715893</v>
      </c>
      <c r="D12" s="1836">
        <f t="shared" ref="D12:D39" si="0">SUM(C12:C12)</f>
        <v>8.5861036525715893</v>
      </c>
      <c r="E12" s="3210">
        <v>0</v>
      </c>
      <c r="F12" s="3171">
        <f>D12*(1-E12)</f>
        <v>8.5861036525715893</v>
      </c>
      <c r="G12" s="3100"/>
      <c r="H12" s="3101" t="s">
        <v>1949</v>
      </c>
      <c r="I12" s="3211">
        <f>'Hrly (FL1-FL3OVHD-SSM)'!I12*J22/2000</f>
        <v>11.195376220665</v>
      </c>
      <c r="J12" s="3212">
        <v>0.13800000000000001</v>
      </c>
      <c r="K12" s="3213" t="s">
        <v>287</v>
      </c>
      <c r="L12" s="51"/>
    </row>
    <row r="13" spans="1:17" ht="15.5">
      <c r="A13" s="643"/>
      <c r="B13" s="3187" t="s">
        <v>5</v>
      </c>
      <c r="C13" s="3071">
        <f>'Hrly (FL1-FL3OVHD-SSM)'!C13*$J$22/2000</f>
        <v>0</v>
      </c>
      <c r="D13" s="3106">
        <f t="shared" si="0"/>
        <v>0</v>
      </c>
      <c r="E13" s="3107">
        <v>0.98</v>
      </c>
      <c r="F13" s="3108">
        <f>D13*(1-E13)</f>
        <v>0</v>
      </c>
      <c r="G13" s="3100"/>
      <c r="H13" s="3109" t="s">
        <v>0</v>
      </c>
      <c r="I13" s="3215">
        <f>'Hrly (FL1-FL3OVHD-SSM)'!I13*J22/2000</f>
        <v>22.350189484008748</v>
      </c>
      <c r="J13" s="3216">
        <v>0.54959999999999998</v>
      </c>
      <c r="K13" s="3217" t="s">
        <v>287</v>
      </c>
      <c r="L13" s="51"/>
    </row>
    <row r="14" spans="1:17" ht="18.5">
      <c r="A14" s="643"/>
      <c r="B14" s="3187" t="s">
        <v>4</v>
      </c>
      <c r="C14" s="3071">
        <f>'Hrly (FL1-FL3OVHD-SSM)'!C14*$J$22/2000</f>
        <v>0</v>
      </c>
      <c r="D14" s="3106">
        <f t="shared" si="0"/>
        <v>0</v>
      </c>
      <c r="E14" s="3107">
        <v>0</v>
      </c>
      <c r="F14" s="3108">
        <f>D14*(1-E14)</f>
        <v>0</v>
      </c>
      <c r="G14" s="3100"/>
      <c r="H14" s="3109" t="s">
        <v>51</v>
      </c>
      <c r="I14" s="3215">
        <f>'Hrly (FL1-FL3OVHD-SSM)'!I14*8760/2000</f>
        <v>0</v>
      </c>
      <c r="J14" s="3113" t="s">
        <v>445</v>
      </c>
      <c r="K14" s="3114" t="s">
        <v>445</v>
      </c>
      <c r="L14" s="51"/>
    </row>
    <row r="15" spans="1:17" ht="18.5">
      <c r="A15" s="643"/>
      <c r="B15" s="3187" t="s">
        <v>3</v>
      </c>
      <c r="C15" s="3071">
        <f>'Hrly (FL1-FL3OVHD-SSM)'!C15*$J$22/2000</f>
        <v>1.9787716510014726</v>
      </c>
      <c r="D15" s="3106">
        <f t="shared" si="0"/>
        <v>1.9787716510014726</v>
      </c>
      <c r="E15" s="3107">
        <v>0</v>
      </c>
      <c r="F15" s="3108">
        <f>D15*(1-E15)</f>
        <v>1.9787716510014726</v>
      </c>
      <c r="G15" s="3100"/>
      <c r="H15" s="3266" t="s">
        <v>1950</v>
      </c>
      <c r="I15" s="3267">
        <f>C46/10^6*J15/2000</f>
        <v>0.25934999999999997</v>
      </c>
      <c r="J15" s="3268">
        <v>7.6</v>
      </c>
      <c r="K15" s="3269" t="s">
        <v>587</v>
      </c>
      <c r="L15" s="51"/>
    </row>
    <row r="16" spans="1:17" ht="18.5">
      <c r="A16" s="643"/>
      <c r="B16" s="3187" t="s">
        <v>6</v>
      </c>
      <c r="C16" s="3071">
        <f>'Hrly (FL1-FL3OVHD-SSM)'!C16*$J$22/2000</f>
        <v>0.28852284220747804</v>
      </c>
      <c r="D16" s="3106">
        <f t="shared" si="0"/>
        <v>0.28852284220747804</v>
      </c>
      <c r="E16" s="3107">
        <v>0.98</v>
      </c>
      <c r="F16" s="3108">
        <f t="shared" ref="F16:F39" si="1">D16*(1-E16)</f>
        <v>5.7704568441495655E-3</v>
      </c>
      <c r="G16" s="3100"/>
      <c r="H16" s="3266" t="s">
        <v>1951</v>
      </c>
      <c r="I16" s="3267">
        <f>C46/10^6*J16/2000</f>
        <v>0.25934999999999997</v>
      </c>
      <c r="J16" s="3268">
        <v>7.6</v>
      </c>
      <c r="K16" s="3269" t="s">
        <v>587</v>
      </c>
      <c r="L16" s="51"/>
    </row>
    <row r="17" spans="1:12" ht="19" thickBot="1">
      <c r="A17" s="643"/>
      <c r="B17" s="3187" t="s">
        <v>7</v>
      </c>
      <c r="C17" s="3071">
        <f>'Hrly (FL1-FL3OVHD-SSM)'!C17*$J$22/2000</f>
        <v>405.59263744075071</v>
      </c>
      <c r="D17" s="3106">
        <f t="shared" si="0"/>
        <v>405.59263744075071</v>
      </c>
      <c r="E17" s="3107">
        <v>0.98</v>
      </c>
      <c r="F17" s="3108">
        <f t="shared" si="1"/>
        <v>8.1118527488150214</v>
      </c>
      <c r="G17" s="3100"/>
      <c r="H17" s="3119" t="s">
        <v>1952</v>
      </c>
      <c r="I17" s="3218">
        <f>'Hrly (FL1-FL3)'!J4*8760/2000</f>
        <v>0</v>
      </c>
      <c r="J17" s="3121" t="s">
        <v>445</v>
      </c>
      <c r="K17" s="3122" t="s">
        <v>445</v>
      </c>
      <c r="L17" s="51"/>
    </row>
    <row r="18" spans="1:12" ht="16" thickBot="1">
      <c r="A18" s="643"/>
      <c r="B18" s="3187" t="s">
        <v>8</v>
      </c>
      <c r="C18" s="3071">
        <f>'Hrly (FL1-FL3OVHD-SSM)'!C18*$J$22/2000</f>
        <v>2573.8681951195122</v>
      </c>
      <c r="D18" s="3106">
        <f t="shared" si="0"/>
        <v>2573.8681951195122</v>
      </c>
      <c r="E18" s="3107">
        <v>0.98</v>
      </c>
      <c r="F18" s="3108">
        <f t="shared" si="1"/>
        <v>51.477363902390287</v>
      </c>
      <c r="G18" s="3100"/>
      <c r="H18" s="3123"/>
      <c r="I18" s="3219"/>
      <c r="J18" s="3129"/>
      <c r="K18" s="3129"/>
      <c r="L18" s="51"/>
    </row>
    <row r="19" spans="1:12" ht="16" thickBot="1">
      <c r="A19" s="643"/>
      <c r="B19" s="3187" t="s">
        <v>747</v>
      </c>
      <c r="C19" s="3071">
        <f>'Hrly (FL1-FL3OVHD-SSM)'!C19*$J$22/2000</f>
        <v>307.32551041232591</v>
      </c>
      <c r="D19" s="3106">
        <f t="shared" si="0"/>
        <v>307.32551041232591</v>
      </c>
      <c r="E19" s="3107">
        <f t="shared" ref="E19:E38" si="2">$J$19/100</f>
        <v>0.98</v>
      </c>
      <c r="F19" s="3108">
        <f t="shared" si="1"/>
        <v>6.1465102082465233</v>
      </c>
      <c r="G19" s="3100"/>
      <c r="H19" s="4724" t="s">
        <v>744</v>
      </c>
      <c r="I19" s="4725"/>
      <c r="J19" s="3126">
        <v>98</v>
      </c>
      <c r="K19" s="3127" t="s">
        <v>296</v>
      </c>
      <c r="L19" s="51"/>
    </row>
    <row r="20" spans="1:12" ht="16" thickBot="1">
      <c r="A20" s="643"/>
      <c r="B20" s="3187" t="s">
        <v>748</v>
      </c>
      <c r="C20" s="3071">
        <f>'Hrly (FL1-FL3OVHD-SSM)'!C20*$J$22/2000</f>
        <v>480.32677562742776</v>
      </c>
      <c r="D20" s="3106">
        <f t="shared" si="0"/>
        <v>480.32677562742776</v>
      </c>
      <c r="E20" s="3107">
        <f t="shared" si="2"/>
        <v>0.98</v>
      </c>
      <c r="F20" s="3108">
        <f t="shared" si="1"/>
        <v>9.6065355125485645</v>
      </c>
      <c r="G20" s="3100"/>
      <c r="H20" s="3123"/>
      <c r="I20" s="3219"/>
      <c r="J20" s="3129"/>
      <c r="K20" s="3129"/>
      <c r="L20" s="51"/>
    </row>
    <row r="21" spans="1:12" ht="15.5">
      <c r="A21" s="643"/>
      <c r="B21" s="3187" t="s">
        <v>749</v>
      </c>
      <c r="C21" s="3071">
        <f>'Hrly (FL1-FL3OVHD-SSM)'!C21*$J$22/2000</f>
        <v>81.099512899681628</v>
      </c>
      <c r="D21" s="3106">
        <f t="shared" si="0"/>
        <v>81.099512899681628</v>
      </c>
      <c r="E21" s="3107">
        <f t="shared" si="2"/>
        <v>0.98</v>
      </c>
      <c r="F21" s="3108">
        <f t="shared" si="1"/>
        <v>1.6219902579936341</v>
      </c>
      <c r="G21" s="3100"/>
      <c r="H21" s="4783" t="s">
        <v>1799</v>
      </c>
      <c r="I21" s="4768"/>
      <c r="J21" s="1835">
        <v>2</v>
      </c>
      <c r="K21" s="3270" t="s">
        <v>1302</v>
      </c>
      <c r="L21" s="51"/>
    </row>
    <row r="22" spans="1:12" ht="16" thickBot="1">
      <c r="A22" s="643"/>
      <c r="B22" s="3187" t="s">
        <v>750</v>
      </c>
      <c r="C22" s="3071">
        <f>'Hrly (FL1-FL3OVHD-SSM)'!C22*$J$22/2000</f>
        <v>77.855532383694339</v>
      </c>
      <c r="D22" s="3106">
        <f t="shared" si="0"/>
        <v>77.855532383694339</v>
      </c>
      <c r="E22" s="3107">
        <f t="shared" si="2"/>
        <v>0.98</v>
      </c>
      <c r="F22" s="3108">
        <f>D22*(1-E22)</f>
        <v>1.5571106476738881</v>
      </c>
      <c r="G22" s="3100"/>
      <c r="H22" s="4769"/>
      <c r="I22" s="4770"/>
      <c r="J22" s="3186">
        <f>J21*182</f>
        <v>364</v>
      </c>
      <c r="K22" s="3271" t="s">
        <v>1303</v>
      </c>
      <c r="L22" s="51"/>
    </row>
    <row r="23" spans="1:12" ht="15.5">
      <c r="A23" s="643"/>
      <c r="B23" s="3187" t="s">
        <v>800</v>
      </c>
      <c r="C23" s="3071">
        <f>'Hrly (FL1-FL3OVHD-SSM)'!C23*$J$22/2000</f>
        <v>0</v>
      </c>
      <c r="D23" s="3106">
        <f t="shared" si="0"/>
        <v>0</v>
      </c>
      <c r="E23" s="3107">
        <f t="shared" si="2"/>
        <v>0.98</v>
      </c>
      <c r="F23" s="3108">
        <f t="shared" si="1"/>
        <v>0</v>
      </c>
      <c r="G23" s="3100"/>
      <c r="H23" s="3123"/>
      <c r="I23" s="3219"/>
      <c r="J23" s="3129"/>
      <c r="K23" s="3129"/>
      <c r="L23" s="51"/>
    </row>
    <row r="24" spans="1:12" ht="15.5">
      <c r="A24" s="643"/>
      <c r="B24" s="3187" t="s">
        <v>292</v>
      </c>
      <c r="C24" s="3071">
        <f>'Hrly (FL1-FL3OVHD-SSM)'!C24*$J$22/2000</f>
        <v>34.871839817439714</v>
      </c>
      <c r="D24" s="3106">
        <f t="shared" si="0"/>
        <v>34.871839817439714</v>
      </c>
      <c r="E24" s="3107">
        <f t="shared" si="2"/>
        <v>0.98</v>
      </c>
      <c r="F24" s="3108">
        <f t="shared" si="1"/>
        <v>0.69743679634879485</v>
      </c>
      <c r="G24" s="3100"/>
      <c r="H24" s="3123"/>
      <c r="I24" s="3219"/>
      <c r="J24" s="3129"/>
      <c r="K24" s="3129"/>
      <c r="L24" s="51"/>
    </row>
    <row r="25" spans="1:12" ht="15.5">
      <c r="A25" s="643"/>
      <c r="B25" s="3187" t="s">
        <v>10</v>
      </c>
      <c r="C25" s="3071">
        <f>'Hrly (FL1-FL3OVHD-SSM)'!C25*$J$22/2000</f>
        <v>17.823384795580274</v>
      </c>
      <c r="D25" s="3106">
        <f t="shared" si="0"/>
        <v>17.823384795580274</v>
      </c>
      <c r="E25" s="3107">
        <f t="shared" si="2"/>
        <v>0.98</v>
      </c>
      <c r="F25" s="3108">
        <f t="shared" si="1"/>
        <v>0.35646769591160582</v>
      </c>
      <c r="G25" s="3100"/>
      <c r="H25" s="3123"/>
      <c r="I25" s="3219"/>
      <c r="J25" s="3129"/>
      <c r="K25" s="3129"/>
      <c r="L25" s="51"/>
    </row>
    <row r="26" spans="1:12" ht="15.5">
      <c r="A26" s="643"/>
      <c r="B26" s="3187" t="s">
        <v>9</v>
      </c>
      <c r="C26" s="3071">
        <f>'Hrly (FL1-FL3OVHD-SSM)'!C26*$J$22/2000</f>
        <v>13.622436416530286</v>
      </c>
      <c r="D26" s="3106">
        <f t="shared" si="0"/>
        <v>13.622436416530286</v>
      </c>
      <c r="E26" s="3107">
        <f t="shared" si="2"/>
        <v>0.98</v>
      </c>
      <c r="F26" s="3108">
        <f t="shared" si="1"/>
        <v>0.27244872833060596</v>
      </c>
      <c r="G26" s="3100"/>
      <c r="H26" s="3123"/>
      <c r="I26" s="3219"/>
      <c r="J26" s="3129"/>
      <c r="K26" s="3129"/>
      <c r="L26" s="51"/>
    </row>
    <row r="27" spans="1:12" ht="15.5">
      <c r="A27" s="643"/>
      <c r="B27" s="3187" t="s">
        <v>11</v>
      </c>
      <c r="C27" s="3071">
        <f>'Hrly (FL1-FL3OVHD-SSM)'!C27*$J$22/2000</f>
        <v>13.34595665659316</v>
      </c>
      <c r="D27" s="3106">
        <f t="shared" si="0"/>
        <v>13.34595665659316</v>
      </c>
      <c r="E27" s="3107">
        <f t="shared" si="2"/>
        <v>0.98</v>
      </c>
      <c r="F27" s="3108">
        <f t="shared" si="1"/>
        <v>0.26691913313186344</v>
      </c>
      <c r="G27" s="3100"/>
      <c r="H27" s="3123"/>
      <c r="I27" s="3219"/>
      <c r="J27" s="3129"/>
      <c r="K27" s="3129"/>
      <c r="L27" s="51"/>
    </row>
    <row r="28" spans="1:12" ht="15.5">
      <c r="A28" s="643"/>
      <c r="B28" s="3187" t="s">
        <v>12</v>
      </c>
      <c r="C28" s="3071">
        <f>'Hrly (FL1-FL3OVHD-SSM)'!C28*$J$22/2000</f>
        <v>25.731268786779371</v>
      </c>
      <c r="D28" s="3106">
        <f t="shared" si="0"/>
        <v>25.731268786779371</v>
      </c>
      <c r="E28" s="3107">
        <f t="shared" si="2"/>
        <v>0.98</v>
      </c>
      <c r="F28" s="3108">
        <f t="shared" si="1"/>
        <v>0.51462537573558786</v>
      </c>
      <c r="G28" s="3100"/>
      <c r="H28" s="3123"/>
      <c r="I28" s="3219"/>
      <c r="J28" s="3125"/>
      <c r="K28" s="1766"/>
      <c r="L28" s="51"/>
    </row>
    <row r="29" spans="1:12" ht="15.5">
      <c r="A29" s="643"/>
      <c r="B29" s="3187" t="s">
        <v>286</v>
      </c>
      <c r="C29" s="3071">
        <f>'Hrly (FL1-FL3OVHD-SSM)'!C29*$J$22/2000</f>
        <v>0</v>
      </c>
      <c r="D29" s="3106">
        <f t="shared" si="0"/>
        <v>0</v>
      </c>
      <c r="E29" s="3107">
        <f t="shared" si="2"/>
        <v>0.98</v>
      </c>
      <c r="F29" s="3108">
        <f t="shared" si="1"/>
        <v>0</v>
      </c>
      <c r="G29" s="3100"/>
      <c r="H29" s="3123"/>
      <c r="I29" s="3219"/>
      <c r="J29" s="3125"/>
      <c r="K29" s="1766"/>
      <c r="L29" s="51"/>
    </row>
    <row r="30" spans="1:12" ht="15.5">
      <c r="A30" s="643"/>
      <c r="B30" s="3187" t="s">
        <v>801</v>
      </c>
      <c r="C30" s="3071">
        <f>'Hrly (FL1-FL3OVHD-SSM)'!C30*$J$22/2000</f>
        <v>6.3074441097101621</v>
      </c>
      <c r="D30" s="3106">
        <f t="shared" si="0"/>
        <v>6.3074441097101621</v>
      </c>
      <c r="E30" s="3107">
        <f t="shared" si="2"/>
        <v>0.98</v>
      </c>
      <c r="F30" s="3108">
        <f t="shared" si="1"/>
        <v>0.12614888219420337</v>
      </c>
      <c r="G30" s="3100"/>
      <c r="H30" s="3123"/>
      <c r="I30" s="3219"/>
      <c r="J30" s="3129"/>
      <c r="K30" s="3129"/>
      <c r="L30" s="51"/>
    </row>
    <row r="31" spans="1:12" ht="15.5">
      <c r="A31" s="643"/>
      <c r="B31" s="3187" t="s">
        <v>65</v>
      </c>
      <c r="C31" s="3071">
        <f>'Hrly (FL1-FL3OVHD-SSM)'!C31*$J$22/2000</f>
        <v>16.775778179616001</v>
      </c>
      <c r="D31" s="3106">
        <f t="shared" si="0"/>
        <v>16.775778179616001</v>
      </c>
      <c r="E31" s="3107">
        <f t="shared" si="2"/>
        <v>0.98</v>
      </c>
      <c r="F31" s="3108">
        <f t="shared" si="1"/>
        <v>0.33551556359232032</v>
      </c>
      <c r="G31" s="3100"/>
      <c r="H31" s="3123"/>
      <c r="I31" s="3124"/>
      <c r="J31" s="3125"/>
      <c r="K31" s="1766"/>
      <c r="L31" s="51"/>
    </row>
    <row r="32" spans="1:12" ht="15.5">
      <c r="A32" s="643"/>
      <c r="B32" s="3187" t="s">
        <v>13</v>
      </c>
      <c r="C32" s="3071">
        <f>'Hrly (FL1-FL3OVHD-SSM)'!C32*$J$22/2000</f>
        <v>9.9116978866874135</v>
      </c>
      <c r="D32" s="3106">
        <f t="shared" si="0"/>
        <v>9.9116978866874135</v>
      </c>
      <c r="E32" s="3107">
        <f t="shared" si="2"/>
        <v>0.98</v>
      </c>
      <c r="F32" s="3108">
        <f t="shared" si="1"/>
        <v>0.19823395773374844</v>
      </c>
      <c r="G32" s="3100"/>
      <c r="H32" s="4758"/>
      <c r="I32" s="4758"/>
      <c r="J32" s="3220"/>
      <c r="K32" s="3221"/>
      <c r="L32" s="676"/>
    </row>
    <row r="33" spans="1:12" ht="15.5">
      <c r="A33" s="643"/>
      <c r="B33" s="3187" t="s">
        <v>14</v>
      </c>
      <c r="C33" s="3071">
        <f>'Hrly (FL1-FL3OVHD-SSM)'!C33*$J$22/2000</f>
        <v>7.4569719773076164</v>
      </c>
      <c r="D33" s="3106">
        <f t="shared" si="0"/>
        <v>7.4569719773076164</v>
      </c>
      <c r="E33" s="3107">
        <f t="shared" si="2"/>
        <v>0.98</v>
      </c>
      <c r="F33" s="3108">
        <f t="shared" si="1"/>
        <v>0.14913943954615247</v>
      </c>
      <c r="G33" s="3100"/>
      <c r="H33" s="3123"/>
      <c r="I33" s="3124"/>
      <c r="J33" s="3125"/>
      <c r="K33" s="1766"/>
      <c r="L33" s="51"/>
    </row>
    <row r="34" spans="1:12" ht="15.5">
      <c r="A34" s="643"/>
      <c r="B34" s="3187" t="s">
        <v>804</v>
      </c>
      <c r="C34" s="3071">
        <f>'Hrly (FL1-FL3OVHD-SSM)'!C34*$J$22/2000</f>
        <v>7.1903798033741682</v>
      </c>
      <c r="D34" s="3106">
        <f t="shared" si="0"/>
        <v>7.1903798033741682</v>
      </c>
      <c r="E34" s="3107">
        <f t="shared" si="2"/>
        <v>0.98</v>
      </c>
      <c r="F34" s="3108">
        <f t="shared" si="1"/>
        <v>0.1438075960674835</v>
      </c>
      <c r="G34" s="3100"/>
      <c r="H34" s="3123"/>
      <c r="I34" s="3124"/>
      <c r="J34" s="3125"/>
      <c r="K34" s="1766"/>
      <c r="L34" s="51"/>
    </row>
    <row r="35" spans="1:12" ht="15.5">
      <c r="A35" s="643"/>
      <c r="B35" s="3187" t="s">
        <v>16</v>
      </c>
      <c r="C35" s="3071">
        <f>'Hrly (FL1-FL3OVHD-SSM)'!C35*$J$22/2000</f>
        <v>0</v>
      </c>
      <c r="D35" s="3106">
        <f t="shared" si="0"/>
        <v>0</v>
      </c>
      <c r="E35" s="3107">
        <f t="shared" si="2"/>
        <v>0.98</v>
      </c>
      <c r="F35" s="3108">
        <f t="shared" si="1"/>
        <v>0</v>
      </c>
      <c r="G35" s="3100"/>
      <c r="H35" s="3123"/>
      <c r="I35" s="3124"/>
      <c r="J35" s="3125"/>
      <c r="K35" s="1766"/>
      <c r="L35" s="51"/>
    </row>
    <row r="36" spans="1:12" ht="15.5">
      <c r="A36" s="643"/>
      <c r="B36" s="3187" t="s">
        <v>802</v>
      </c>
      <c r="C36" s="3071">
        <f>'Hrly (FL1-FL3OVHD-SSM)'!C36*$J$22/2000</f>
        <v>1.9093722248929874</v>
      </c>
      <c r="D36" s="3106">
        <f t="shared" si="0"/>
        <v>1.9093722248929874</v>
      </c>
      <c r="E36" s="3107">
        <f t="shared" si="2"/>
        <v>0.98</v>
      </c>
      <c r="F36" s="3108">
        <f t="shared" si="1"/>
        <v>3.8187444497859782E-2</v>
      </c>
      <c r="G36" s="3100"/>
      <c r="H36" s="3123"/>
      <c r="I36" s="3124"/>
      <c r="J36" s="3125"/>
      <c r="K36" s="1766"/>
      <c r="L36" s="51"/>
    </row>
    <row r="37" spans="1:12" ht="15.5">
      <c r="A37" s="643"/>
      <c r="B37" s="3187" t="s">
        <v>803</v>
      </c>
      <c r="C37" s="3071">
        <f>'Hrly (FL1-FL3OVHD-SSM)'!C37*$J$22/2000</f>
        <v>2.3066615705823326</v>
      </c>
      <c r="D37" s="3106">
        <f t="shared" si="0"/>
        <v>2.3066615705823326</v>
      </c>
      <c r="E37" s="3107">
        <f t="shared" si="2"/>
        <v>0.98</v>
      </c>
      <c r="F37" s="3108">
        <f t="shared" si="1"/>
        <v>4.6133231411646693E-2</v>
      </c>
      <c r="G37" s="3100"/>
      <c r="H37" s="3123"/>
      <c r="I37" s="3124"/>
      <c r="J37" s="3125"/>
      <c r="K37" s="1766"/>
      <c r="L37" s="51"/>
    </row>
    <row r="38" spans="1:12" ht="15.5">
      <c r="A38" s="643"/>
      <c r="B38" s="3187" t="s">
        <v>805</v>
      </c>
      <c r="C38" s="3071">
        <f>'Hrly (FL1-FL3OVHD-SSM)'!C38*$J$22/2000</f>
        <v>1.2794644558145958</v>
      </c>
      <c r="D38" s="3106">
        <f t="shared" si="0"/>
        <v>1.2794644558145958</v>
      </c>
      <c r="E38" s="3107">
        <f t="shared" si="2"/>
        <v>0.98</v>
      </c>
      <c r="F38" s="3108">
        <f t="shared" si="1"/>
        <v>2.5589289116291939E-2</v>
      </c>
      <c r="G38" s="3100"/>
      <c r="H38" s="3123"/>
      <c r="I38" s="3124"/>
      <c r="J38" s="3125"/>
      <c r="K38" s="1766"/>
      <c r="L38" s="51"/>
    </row>
    <row r="39" spans="1:12" ht="16" thickBot="1">
      <c r="A39" s="643"/>
      <c r="B39" s="3272" t="s">
        <v>752</v>
      </c>
      <c r="C39" s="3072">
        <f>'Hrly (FL1-FL3OVHD-SSM)'!C39*$J$22/2000</f>
        <v>0</v>
      </c>
      <c r="D39" s="3223">
        <f t="shared" si="0"/>
        <v>0</v>
      </c>
      <c r="E39" s="3107">
        <f>$J$19/100</f>
        <v>0.98</v>
      </c>
      <c r="F39" s="3108">
        <f t="shared" si="1"/>
        <v>0</v>
      </c>
      <c r="G39" s="3100"/>
      <c r="H39" s="3123"/>
      <c r="I39" s="3124"/>
      <c r="J39" s="3125"/>
      <c r="K39" s="1766"/>
      <c r="L39" s="51"/>
    </row>
    <row r="40" spans="1:12" ht="15.5">
      <c r="A40" s="643"/>
      <c r="B40" s="3133" t="s">
        <v>692</v>
      </c>
      <c r="C40" s="3273">
        <f>SUM(C12:C39)</f>
        <v>4095.4542187100806</v>
      </c>
      <c r="D40" s="3171">
        <f>SUM(D12:D39)</f>
        <v>4095.4542187100806</v>
      </c>
      <c r="E40" s="3225" t="s">
        <v>445</v>
      </c>
      <c r="F40" s="3099">
        <f>SUM(F12:F39)</f>
        <v>92.262662171703312</v>
      </c>
      <c r="G40" s="3100"/>
      <c r="H40" s="1762"/>
      <c r="I40" s="1762"/>
      <c r="J40" s="1762"/>
      <c r="K40" s="1762"/>
      <c r="L40" s="51"/>
    </row>
    <row r="41" spans="1:12" ht="15.5">
      <c r="A41" s="643"/>
      <c r="B41" s="3187" t="s">
        <v>55</v>
      </c>
      <c r="C41" s="3274">
        <f>SUM(C18:C39)</f>
        <v>3679.0081831235493</v>
      </c>
      <c r="D41" s="3275">
        <f>SUM(D18:D39)</f>
        <v>3679.0081831235493</v>
      </c>
      <c r="E41" s="3228" t="s">
        <v>445</v>
      </c>
      <c r="F41" s="3108">
        <f>SUM(F18:F39)</f>
        <v>73.58016366247108</v>
      </c>
      <c r="G41" s="3100"/>
      <c r="H41" s="1762"/>
      <c r="I41" s="1762"/>
      <c r="J41" s="1762"/>
      <c r="K41" s="1762"/>
      <c r="L41" s="51"/>
    </row>
    <row r="42" spans="1:12" ht="16" thickBot="1">
      <c r="A42" s="643"/>
      <c r="B42" s="3189" t="s">
        <v>693</v>
      </c>
      <c r="C42" s="3276">
        <f>SUM(C25,C33,C35,C36,C27,C29)</f>
        <v>40.535685654374035</v>
      </c>
      <c r="D42" s="3148">
        <f>SUM(D36)</f>
        <v>1.9093722248929874</v>
      </c>
      <c r="E42" s="3231" t="s">
        <v>445</v>
      </c>
      <c r="F42" s="3148">
        <f>SUM(F25,F33,F35,F36,F27,F29)</f>
        <v>0.81071371308748152</v>
      </c>
      <c r="G42" s="3100"/>
      <c r="H42" s="1762"/>
      <c r="I42" s="1762"/>
      <c r="J42" s="1762"/>
      <c r="K42" s="1762"/>
      <c r="L42" s="51"/>
    </row>
    <row r="43" spans="1:12" ht="15.5">
      <c r="A43" s="643"/>
      <c r="B43" s="3277" t="s">
        <v>694</v>
      </c>
      <c r="C43" s="3278">
        <f>'Hrly (FL1-FL3OVHD-SSM)'!C43</f>
        <v>2377.3161799999998</v>
      </c>
      <c r="D43" s="3256">
        <f>SUMPRODUCT(C43:C43,C46:C46)/D46</f>
        <v>2377.3161799999998</v>
      </c>
      <c r="E43" s="1762"/>
      <c r="F43" s="1762"/>
      <c r="G43" s="1762"/>
      <c r="H43" s="1762"/>
      <c r="I43" s="1762"/>
      <c r="J43" s="1762"/>
      <c r="K43" s="1762"/>
      <c r="L43" s="51"/>
    </row>
    <row r="44" spans="1:12" ht="15.5">
      <c r="A44" s="643"/>
      <c r="B44" s="3279" t="s">
        <v>20</v>
      </c>
      <c r="C44" s="3278">
        <f>'Hrly (FL1-FL3OVHD-SSM)'!C44</f>
        <v>45.543125793999998</v>
      </c>
      <c r="D44" s="3258" t="s">
        <v>445</v>
      </c>
      <c r="E44" s="3157"/>
      <c r="F44" s="3157"/>
      <c r="G44" s="3157"/>
      <c r="H44" s="3157"/>
      <c r="I44" s="3157"/>
      <c r="J44" s="3157"/>
      <c r="K44" s="3157"/>
      <c r="L44" s="658"/>
    </row>
    <row r="45" spans="1:12" ht="15.5">
      <c r="A45" s="643"/>
      <c r="B45" s="3279" t="s">
        <v>695</v>
      </c>
      <c r="C45" s="3280">
        <f>'TO Hrly (TO1-TO3)'!D36*8760/2000</f>
        <v>9.3482517099949362E-3</v>
      </c>
      <c r="D45" s="3261">
        <f>SUM(C45:C45)</f>
        <v>9.3482517099949362E-3</v>
      </c>
      <c r="E45" s="3157"/>
      <c r="F45" s="3157"/>
      <c r="G45" s="3157"/>
      <c r="H45" s="3157"/>
      <c r="I45" s="3157"/>
      <c r="J45" s="3157"/>
      <c r="K45" s="3157"/>
      <c r="L45" s="658"/>
    </row>
    <row r="46" spans="1:12" ht="15.5">
      <c r="A46" s="643"/>
      <c r="B46" s="3279" t="s">
        <v>907</v>
      </c>
      <c r="C46" s="3281">
        <f>'Hrly (FL1-FL3OVHD-SSM)'!C46*J22</f>
        <v>68250000</v>
      </c>
      <c r="D46" s="3282">
        <f>SUM(C46:C46)</f>
        <v>68250000</v>
      </c>
      <c r="E46" s="3157"/>
      <c r="F46" s="3157"/>
      <c r="G46" s="3157"/>
      <c r="H46" s="3157"/>
      <c r="I46" s="3157"/>
      <c r="J46" s="3157"/>
      <c r="K46" s="3157"/>
      <c r="L46" s="658"/>
    </row>
    <row r="47" spans="1:12" ht="16" thickBot="1">
      <c r="A47" s="643"/>
      <c r="B47" s="3283" t="s">
        <v>697</v>
      </c>
      <c r="C47" s="3284">
        <f>C43*C46/10^6</f>
        <v>162251.82928500001</v>
      </c>
      <c r="D47" s="3263">
        <f>SUMPRODUCT(C43:C43,C46:C46)/10^6</f>
        <v>162251.82928500001</v>
      </c>
      <c r="E47" s="3157"/>
      <c r="F47" s="3157"/>
      <c r="G47" s="3157"/>
      <c r="H47" s="3157"/>
      <c r="I47" s="3157"/>
      <c r="J47" s="3157"/>
      <c r="K47" s="3157"/>
      <c r="L47" s="658"/>
    </row>
    <row r="48" spans="1:12" ht="13">
      <c r="A48" s="643"/>
      <c r="B48" s="657"/>
      <c r="C48" s="657"/>
      <c r="D48" s="659"/>
      <c r="E48" s="659"/>
      <c r="F48" s="659"/>
      <c r="G48" s="659"/>
      <c r="H48" s="659"/>
      <c r="I48" s="659"/>
      <c r="J48" s="659"/>
      <c r="K48" s="659"/>
      <c r="L48" s="660"/>
    </row>
    <row r="49" spans="1:12" ht="13.5" thickBot="1">
      <c r="A49" s="643"/>
      <c r="B49" s="657"/>
      <c r="C49" s="657"/>
      <c r="D49" s="659"/>
      <c r="E49" s="659"/>
      <c r="F49" s="659"/>
      <c r="G49" s="659"/>
      <c r="H49" s="659"/>
      <c r="I49" s="659"/>
      <c r="J49" s="659"/>
      <c r="K49" s="659"/>
      <c r="L49" s="660"/>
    </row>
    <row r="50" spans="1:12" ht="13">
      <c r="A50" s="643"/>
      <c r="B50" s="661" t="s">
        <v>698</v>
      </c>
      <c r="C50" s="662"/>
      <c r="D50" s="663"/>
      <c r="E50" s="663"/>
      <c r="F50" s="663"/>
      <c r="G50" s="663"/>
      <c r="H50" s="663"/>
      <c r="I50" s="664"/>
      <c r="J50" s="657"/>
      <c r="K50" s="657"/>
      <c r="L50" s="51"/>
    </row>
    <row r="51" spans="1:12" ht="14.5">
      <c r="A51" s="643"/>
      <c r="B51" s="665" t="s">
        <v>699</v>
      </c>
      <c r="C51" s="666"/>
      <c r="D51" s="667"/>
      <c r="E51" s="667"/>
      <c r="F51" s="667"/>
      <c r="G51" s="667"/>
      <c r="H51" s="667"/>
      <c r="I51" s="668"/>
      <c r="J51" s="657"/>
      <c r="K51" s="657"/>
      <c r="L51" s="51"/>
    </row>
    <row r="52" spans="1:12" ht="26.75" customHeight="1" thickBot="1">
      <c r="A52" s="643"/>
      <c r="B52" s="4729" t="s">
        <v>745</v>
      </c>
      <c r="C52" s="4730"/>
      <c r="D52" s="4730"/>
      <c r="E52" s="4730"/>
      <c r="F52" s="4730"/>
      <c r="G52" s="4730"/>
      <c r="H52" s="4730"/>
      <c r="I52" s="4731"/>
      <c r="J52" s="669"/>
      <c r="K52" s="669"/>
      <c r="L52" s="670"/>
    </row>
    <row r="53" spans="1:12">
      <c r="A53" s="760"/>
      <c r="B53" s="30"/>
      <c r="C53" s="30"/>
      <c r="D53" s="30"/>
      <c r="E53" s="30"/>
      <c r="F53" s="30"/>
      <c r="G53" s="30"/>
      <c r="H53" s="30"/>
      <c r="I53" s="30"/>
      <c r="J53" s="30"/>
      <c r="K53" s="30"/>
      <c r="L53" s="762"/>
    </row>
    <row r="54" spans="1:12" ht="13" thickBot="1">
      <c r="A54" s="768"/>
      <c r="B54" s="770"/>
      <c r="C54" s="770"/>
      <c r="D54" s="770"/>
      <c r="E54" s="770"/>
      <c r="F54" s="770"/>
      <c r="G54" s="770"/>
      <c r="H54" s="770"/>
      <c r="I54" s="770"/>
      <c r="J54" s="770"/>
      <c r="K54" s="770"/>
      <c r="L54" s="773"/>
    </row>
  </sheetData>
  <mergeCells count="20">
    <mergeCell ref="B8:F8"/>
    <mergeCell ref="H8:K8"/>
    <mergeCell ref="B2:K2"/>
    <mergeCell ref="B3:K3"/>
    <mergeCell ref="B4:K4"/>
    <mergeCell ref="A6:L6"/>
    <mergeCell ref="A7:C7"/>
    <mergeCell ref="J9:J11"/>
    <mergeCell ref="K9:K11"/>
    <mergeCell ref="B9:B11"/>
    <mergeCell ref="C9:C10"/>
    <mergeCell ref="D9:D10"/>
    <mergeCell ref="H32:I32"/>
    <mergeCell ref="B52:I52"/>
    <mergeCell ref="H19:I19"/>
    <mergeCell ref="H21:I22"/>
    <mergeCell ref="E9:E10"/>
    <mergeCell ref="F9:F10"/>
    <mergeCell ref="H9:H11"/>
    <mergeCell ref="I9:I10"/>
  </mergeCells>
  <printOptions horizontalCentered="1"/>
  <pageMargins left="0.7" right="0.7" top="0.75" bottom="0.75" header="0.3" footer="0.3"/>
  <pageSetup scale="64" orientation="portrait" r:id="rId1"/>
  <headerFooter>
    <oddFooter>&amp;CCalculations: Page &amp;P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4">
    <tabColor theme="3" tint="-0.249977111117893"/>
    <pageSetUpPr fitToPage="1"/>
  </sheetPr>
  <dimension ref="A1:T58"/>
  <sheetViews>
    <sheetView view="pageLayout" topLeftCell="A31" zoomScale="70" zoomScaleNormal="100" zoomScaleSheetLayoutView="85" zoomScalePageLayoutView="70" workbookViewId="0">
      <selection activeCell="E19" sqref="E19:R19"/>
    </sheetView>
  </sheetViews>
  <sheetFormatPr defaultRowHeight="12.5"/>
  <cols>
    <col min="2" max="2" width="27.36328125" customWidth="1"/>
    <col min="3" max="3" width="10.6328125" customWidth="1"/>
    <col min="4" max="4" width="14.453125" customWidth="1"/>
    <col min="5" max="5" width="13" customWidth="1"/>
    <col min="6" max="6" width="11.54296875" customWidth="1"/>
    <col min="7" max="7" width="12.453125" customWidth="1"/>
    <col min="8" max="8" width="16.6328125" customWidth="1"/>
    <col min="9" max="9" width="3.6328125" customWidth="1"/>
    <col min="10" max="10" width="12" customWidth="1"/>
    <col min="11" max="12" width="10.453125" customWidth="1"/>
    <col min="13" max="13" width="14" customWidth="1"/>
    <col min="18" max="18" width="13" bestFit="1" customWidth="1"/>
    <col min="19" max="19" width="15" bestFit="1" customWidth="1"/>
  </cols>
  <sheetData>
    <row r="1" spans="1:20" ht="13.5" thickBot="1">
      <c r="A1" s="640"/>
      <c r="B1" s="641"/>
      <c r="C1" s="641"/>
      <c r="D1" s="641"/>
      <c r="E1" s="641"/>
      <c r="F1" s="641"/>
      <c r="G1" s="641"/>
      <c r="H1" s="641"/>
      <c r="I1" s="641"/>
      <c r="J1" s="641"/>
      <c r="K1" s="641"/>
      <c r="L1" s="641"/>
      <c r="M1" s="641"/>
      <c r="N1" s="642"/>
    </row>
    <row r="2" spans="1:20" ht="20.5">
      <c r="A2" s="643"/>
      <c r="B2" s="4657" t="s">
        <v>54</v>
      </c>
      <c r="C2" s="4658"/>
      <c r="D2" s="4658"/>
      <c r="E2" s="4658"/>
      <c r="F2" s="4658"/>
      <c r="G2" s="4658"/>
      <c r="H2" s="4658"/>
      <c r="I2" s="4658"/>
      <c r="J2" s="4658"/>
      <c r="K2" s="4658"/>
      <c r="L2" s="4658"/>
      <c r="M2" s="4659"/>
      <c r="N2" s="644"/>
    </row>
    <row r="3" spans="1:20" ht="20.5">
      <c r="A3" s="643"/>
      <c r="B3" s="4660" t="str">
        <f>'TO Ann (TO1-TO3)'!B3:M3</f>
        <v>HUSKY CDP</v>
      </c>
      <c r="C3" s="4661"/>
      <c r="D3" s="4661"/>
      <c r="E3" s="4661"/>
      <c r="F3" s="4661"/>
      <c r="G3" s="4661"/>
      <c r="H3" s="4661"/>
      <c r="I3" s="4661"/>
      <c r="J3" s="4661"/>
      <c r="K3" s="4661"/>
      <c r="L3" s="4661"/>
      <c r="M3" s="4662"/>
      <c r="N3" s="644"/>
    </row>
    <row r="4" spans="1:20" ht="21" thickBot="1">
      <c r="A4" s="643"/>
      <c r="B4" s="4663" t="s">
        <v>1382</v>
      </c>
      <c r="C4" s="4665"/>
      <c r="D4" s="4665"/>
      <c r="E4" s="4665"/>
      <c r="F4" s="4665"/>
      <c r="G4" s="4665"/>
      <c r="H4" s="4665"/>
      <c r="I4" s="4665"/>
      <c r="J4" s="4665"/>
      <c r="K4" s="4665"/>
      <c r="L4" s="4665"/>
      <c r="M4" s="4666"/>
      <c r="N4" s="644"/>
    </row>
    <row r="5" spans="1:20" ht="18.5" thickBot="1">
      <c r="A5" s="645"/>
      <c r="B5" s="646"/>
      <c r="C5" s="646"/>
      <c r="D5" s="646"/>
      <c r="E5" s="646"/>
      <c r="F5" s="646"/>
      <c r="G5" s="646"/>
      <c r="H5" s="646"/>
      <c r="I5" s="646"/>
      <c r="J5" s="646"/>
      <c r="K5" s="646"/>
      <c r="L5" s="646"/>
      <c r="M5" s="646"/>
      <c r="N5" s="647"/>
    </row>
    <row r="6" spans="1:20" ht="16" thickBot="1">
      <c r="A6" s="4682" t="s">
        <v>1381</v>
      </c>
      <c r="B6" s="4683"/>
      <c r="C6" s="4683"/>
      <c r="D6" s="4683"/>
      <c r="E6" s="4683"/>
      <c r="F6" s="4683"/>
      <c r="G6" s="4683"/>
      <c r="H6" s="4683"/>
      <c r="I6" s="4683"/>
      <c r="J6" s="4683"/>
      <c r="K6" s="4683"/>
      <c r="L6" s="4683"/>
      <c r="M6" s="4683"/>
      <c r="N6" s="4684"/>
    </row>
    <row r="7" spans="1:20" ht="13.5" thickBot="1">
      <c r="A7" s="4781"/>
      <c r="B7" s="4782"/>
      <c r="C7" s="4782"/>
      <c r="D7" s="4782"/>
      <c r="E7" s="4782"/>
      <c r="F7" s="674"/>
      <c r="G7" s="674"/>
      <c r="H7" s="674"/>
      <c r="I7" s="674"/>
      <c r="J7" s="674"/>
      <c r="K7" s="674"/>
      <c r="L7" s="674"/>
      <c r="M7" s="674"/>
      <c r="N7" s="675"/>
    </row>
    <row r="8" spans="1:20" ht="20.149999999999999" customHeight="1" thickBot="1">
      <c r="A8" s="643"/>
      <c r="B8" s="4682" t="s">
        <v>1957</v>
      </c>
      <c r="C8" s="4671"/>
      <c r="D8" s="4671"/>
      <c r="E8" s="4671"/>
      <c r="F8" s="4671"/>
      <c r="G8" s="4671"/>
      <c r="H8" s="4654"/>
      <c r="I8" s="1765"/>
      <c r="J8" s="4747" t="s">
        <v>1956</v>
      </c>
      <c r="K8" s="4748"/>
      <c r="L8" s="4748"/>
      <c r="M8" s="4749"/>
      <c r="N8" s="51"/>
    </row>
    <row r="9" spans="1:20" ht="13.25" customHeight="1">
      <c r="A9" s="643"/>
      <c r="B9" s="4787" t="s">
        <v>2</v>
      </c>
      <c r="C9" s="4790" t="s">
        <v>742</v>
      </c>
      <c r="D9" s="4735" t="s">
        <v>738</v>
      </c>
      <c r="E9" s="4735" t="s">
        <v>739</v>
      </c>
      <c r="F9" s="4737" t="s">
        <v>19</v>
      </c>
      <c r="G9" s="4739" t="s">
        <v>683</v>
      </c>
      <c r="H9" s="4518" t="s">
        <v>700</v>
      </c>
      <c r="I9" s="3088"/>
      <c r="J9" s="4742" t="s">
        <v>2</v>
      </c>
      <c r="K9" s="4745" t="s">
        <v>685</v>
      </c>
      <c r="L9" s="4516" t="s">
        <v>686</v>
      </c>
      <c r="M9" s="4518" t="s">
        <v>687</v>
      </c>
      <c r="N9" s="51"/>
      <c r="P9" s="48"/>
      <c r="Q9" s="650" t="s">
        <v>688</v>
      </c>
      <c r="R9" s="650"/>
      <c r="S9" s="650">
        <v>34.08</v>
      </c>
      <c r="T9" s="650"/>
    </row>
    <row r="10" spans="1:20" ht="36.75" customHeight="1">
      <c r="A10" s="643"/>
      <c r="B10" s="4788"/>
      <c r="C10" s="4791"/>
      <c r="D10" s="4736"/>
      <c r="E10" s="4736"/>
      <c r="F10" s="4738"/>
      <c r="G10" s="4740"/>
      <c r="H10" s="4741"/>
      <c r="I10" s="3088"/>
      <c r="J10" s="4743"/>
      <c r="K10" s="4746"/>
      <c r="L10" s="4720"/>
      <c r="M10" s="4722"/>
      <c r="N10" s="51"/>
      <c r="P10" s="48"/>
      <c r="Q10" s="650" t="s">
        <v>689</v>
      </c>
      <c r="R10" s="650"/>
      <c r="S10" s="650">
        <v>64.06</v>
      </c>
      <c r="T10" s="650"/>
    </row>
    <row r="11" spans="1:20" ht="15" customHeight="1" thickBot="1">
      <c r="A11" s="643"/>
      <c r="B11" s="4789"/>
      <c r="C11" s="3229" t="s">
        <v>56</v>
      </c>
      <c r="D11" s="3092" t="s">
        <v>56</v>
      </c>
      <c r="E11" s="3092" t="s">
        <v>56</v>
      </c>
      <c r="F11" s="3093" t="s">
        <v>56</v>
      </c>
      <c r="G11" s="3091" t="s">
        <v>690</v>
      </c>
      <c r="H11" s="3094" t="s">
        <v>56</v>
      </c>
      <c r="I11" s="1765"/>
      <c r="J11" s="4744"/>
      <c r="K11" s="3241" t="s">
        <v>56</v>
      </c>
      <c r="L11" s="4721"/>
      <c r="M11" s="4723"/>
      <c r="N11" s="51"/>
      <c r="P11" s="48"/>
      <c r="Q11" s="650" t="s">
        <v>691</v>
      </c>
      <c r="R11" s="650"/>
      <c r="S11" s="651">
        <v>0.99</v>
      </c>
      <c r="T11" s="651"/>
    </row>
    <row r="12" spans="1:20" ht="18.5">
      <c r="A12" s="643"/>
      <c r="B12" s="3242" t="s">
        <v>298</v>
      </c>
      <c r="C12" s="3169">
        <f>'CDP + Flare PStreams'!I65</f>
        <v>0</v>
      </c>
      <c r="D12" s="1835">
        <f>'CDP + Flare PStreams'!H65</f>
        <v>0</v>
      </c>
      <c r="E12" s="1835">
        <f>'CDP + Flare PStreams'!E65</f>
        <v>0</v>
      </c>
      <c r="F12" s="1836">
        <f t="shared" ref="F12:F24" si="0">SUM(C12:E12)</f>
        <v>0</v>
      </c>
      <c r="G12" s="3210">
        <v>0</v>
      </c>
      <c r="H12" s="3171">
        <f>F12*(1-G12)</f>
        <v>0</v>
      </c>
      <c r="I12" s="3100"/>
      <c r="J12" s="3101" t="s">
        <v>1949</v>
      </c>
      <c r="K12" s="3243">
        <f>L12*F47</f>
        <v>1.3391568627219992</v>
      </c>
      <c r="L12" s="3212">
        <v>0.13800000000000001</v>
      </c>
      <c r="M12" s="3213" t="s">
        <v>287</v>
      </c>
      <c r="N12" s="51"/>
      <c r="P12" s="48"/>
      <c r="Q12" s="48"/>
      <c r="R12" s="48"/>
      <c r="S12" s="48"/>
      <c r="T12" s="48"/>
    </row>
    <row r="13" spans="1:20" ht="15.5">
      <c r="A13" s="643"/>
      <c r="B13" s="3244" t="s">
        <v>5</v>
      </c>
      <c r="C13" s="3097">
        <f>'CDP + Flare PStreams'!I66</f>
        <v>2.2452124053638198E-6</v>
      </c>
      <c r="D13" s="3214">
        <f>'CDP + Flare PStreams'!H66</f>
        <v>3.5923398485821097E-5</v>
      </c>
      <c r="E13" s="3214">
        <f>'CDP + Flare PStreams'!E66</f>
        <v>4.4904248125238003E-5</v>
      </c>
      <c r="F13" s="3106">
        <f t="shared" si="0"/>
        <v>8.3072859016422915E-5</v>
      </c>
      <c r="G13" s="3107">
        <v>0.98</v>
      </c>
      <c r="H13" s="3108">
        <f>F13*(1-G13)</f>
        <v>1.6614571803284597E-6</v>
      </c>
      <c r="I13" s="3100"/>
      <c r="J13" s="3245" t="s">
        <v>0</v>
      </c>
      <c r="K13" s="3246">
        <f>L13*F47</f>
        <v>2.6734617078254401</v>
      </c>
      <c r="L13" s="3216">
        <v>0.27550000000000002</v>
      </c>
      <c r="M13" s="3217" t="s">
        <v>287</v>
      </c>
      <c r="N13" s="51"/>
    </row>
    <row r="14" spans="1:20" ht="18.5">
      <c r="A14" s="643"/>
      <c r="B14" s="3244" t="s">
        <v>4</v>
      </c>
      <c r="C14" s="3097">
        <f>'CDP + Flare PStreams'!I67</f>
        <v>0.167939850032233</v>
      </c>
      <c r="D14" s="3214">
        <f>'CDP + Flare PStreams'!H67</f>
        <v>2.6870376005157302</v>
      </c>
      <c r="E14" s="3214">
        <f>'CDP + Flare PStreams'!E67</f>
        <v>3.3587970006446599</v>
      </c>
      <c r="F14" s="3106">
        <f t="shared" si="0"/>
        <v>6.2137744511926236</v>
      </c>
      <c r="G14" s="3107">
        <v>0</v>
      </c>
      <c r="H14" s="3108">
        <f>F14*(1-G14)</f>
        <v>6.2137744511926236</v>
      </c>
      <c r="I14" s="3100"/>
      <c r="J14" s="3245" t="s">
        <v>51</v>
      </c>
      <c r="K14" s="3247">
        <f>F45</f>
        <v>0</v>
      </c>
      <c r="L14" s="3248" t="s">
        <v>445</v>
      </c>
      <c r="M14" s="3249" t="s">
        <v>445</v>
      </c>
      <c r="N14" s="51"/>
      <c r="Q14" s="47"/>
    </row>
    <row r="15" spans="1:20" ht="18.5">
      <c r="A15" s="643"/>
      <c r="B15" s="3244" t="s">
        <v>3</v>
      </c>
      <c r="C15" s="3097">
        <f>'CDP + Flare PStreams'!I68</f>
        <v>0</v>
      </c>
      <c r="D15" s="3214">
        <f>'CDP + Flare PStreams'!H68</f>
        <v>0</v>
      </c>
      <c r="E15" s="3214">
        <f>'CDP + Flare PStreams'!E68</f>
        <v>0</v>
      </c>
      <c r="F15" s="3106">
        <f t="shared" si="0"/>
        <v>0</v>
      </c>
      <c r="G15" s="3107">
        <v>0</v>
      </c>
      <c r="H15" s="3108">
        <f>F15*(1-G15)</f>
        <v>0</v>
      </c>
      <c r="I15" s="3100"/>
      <c r="J15" s="3245" t="s">
        <v>1950</v>
      </c>
      <c r="K15" s="3247">
        <f>L15*$F$46/10^6*F43/1020</f>
        <v>7.2304576276550112E-2</v>
      </c>
      <c r="L15" s="1900">
        <v>7.6</v>
      </c>
      <c r="M15" s="3250" t="s">
        <v>587</v>
      </c>
      <c r="N15" s="51"/>
    </row>
    <row r="16" spans="1:20" ht="18.5">
      <c r="A16" s="643"/>
      <c r="B16" s="3244" t="s">
        <v>6</v>
      </c>
      <c r="C16" s="3097">
        <f>'CDP + Flare PStreams'!I69</f>
        <v>8.3882987897441303</v>
      </c>
      <c r="D16" s="3214">
        <f>'CDP + Flare PStreams'!H69</f>
        <v>134.212780635906</v>
      </c>
      <c r="E16" s="3214">
        <f>'CDP + Flare PStreams'!E69</f>
        <v>167.76597579488299</v>
      </c>
      <c r="F16" s="3106">
        <f t="shared" si="0"/>
        <v>310.36705522053313</v>
      </c>
      <c r="G16" s="3107">
        <f t="shared" ref="G16:G39" si="1">$L$19/100</f>
        <v>0.98</v>
      </c>
      <c r="H16" s="3108">
        <f t="shared" ref="H16:H39" si="2">F16*(1-G16)</f>
        <v>6.2073411044106681</v>
      </c>
      <c r="I16" s="3100"/>
      <c r="J16" s="3245" t="s">
        <v>1951</v>
      </c>
      <c r="K16" s="3247">
        <f>L16*$F$46/10^6*F43/1020</f>
        <v>7.2304576276550112E-2</v>
      </c>
      <c r="L16" s="1900">
        <v>7.6</v>
      </c>
      <c r="M16" s="3250" t="s">
        <v>587</v>
      </c>
      <c r="N16" s="51"/>
    </row>
    <row r="17" spans="1:14" ht="19" thickBot="1">
      <c r="A17" s="643"/>
      <c r="B17" s="3244" t="s">
        <v>7</v>
      </c>
      <c r="C17" s="3097">
        <f>'CDP + Flare PStreams'!I70</f>
        <v>3.3556720836006502</v>
      </c>
      <c r="D17" s="3214">
        <f>'CDP + Flare PStreams'!H70</f>
        <v>53.690753337610403</v>
      </c>
      <c r="E17" s="3214">
        <f>'CDP + Flare PStreams'!E70</f>
        <v>67.113441672012996</v>
      </c>
      <c r="F17" s="3106">
        <f t="shared" si="0"/>
        <v>124.15986709322405</v>
      </c>
      <c r="G17" s="3107">
        <f t="shared" si="1"/>
        <v>0.98</v>
      </c>
      <c r="H17" s="3108">
        <f t="shared" si="2"/>
        <v>2.483197341864483</v>
      </c>
      <c r="I17" s="3100"/>
      <c r="J17" s="3251" t="s">
        <v>1952</v>
      </c>
      <c r="K17" s="3252">
        <f>C12</f>
        <v>0</v>
      </c>
      <c r="L17" s="3253" t="s">
        <v>445</v>
      </c>
      <c r="M17" s="3254" t="s">
        <v>445</v>
      </c>
      <c r="N17" s="51"/>
    </row>
    <row r="18" spans="1:14" ht="16" thickBot="1">
      <c r="A18" s="643"/>
      <c r="B18" s="3244" t="s">
        <v>8</v>
      </c>
      <c r="C18" s="3097">
        <f>'CDP + Flare PStreams'!I71</f>
        <v>0.54322982496024097</v>
      </c>
      <c r="D18" s="3214">
        <f>'CDP + Flare PStreams'!H71</f>
        <v>8.6916771993638502</v>
      </c>
      <c r="E18" s="3214">
        <f>'CDP + Flare PStreams'!E71</f>
        <v>10.864596499204801</v>
      </c>
      <c r="F18" s="3106">
        <f t="shared" si="0"/>
        <v>20.099503523528892</v>
      </c>
      <c r="G18" s="3107">
        <f t="shared" si="1"/>
        <v>0.98</v>
      </c>
      <c r="H18" s="3108">
        <f t="shared" si="2"/>
        <v>0.40199007047057816</v>
      </c>
      <c r="I18" s="3100"/>
      <c r="J18" s="3123"/>
      <c r="K18" s="3124"/>
      <c r="L18" s="3125"/>
      <c r="M18" s="1766"/>
      <c r="N18" s="51"/>
    </row>
    <row r="19" spans="1:14" ht="16" thickBot="1">
      <c r="A19" s="643"/>
      <c r="B19" s="3244" t="s">
        <v>747</v>
      </c>
      <c r="C19" s="3097">
        <f>'CDP + Flare PStreams'!I72</f>
        <v>0</v>
      </c>
      <c r="D19" s="3214">
        <f>'CDP + Flare PStreams'!H72</f>
        <v>0</v>
      </c>
      <c r="E19" s="3214">
        <f>'CDP + Flare PStreams'!E72</f>
        <v>0</v>
      </c>
      <c r="F19" s="3106">
        <f t="shared" si="0"/>
        <v>0</v>
      </c>
      <c r="G19" s="3107">
        <f t="shared" si="1"/>
        <v>0.98</v>
      </c>
      <c r="H19" s="3108">
        <f t="shared" si="2"/>
        <v>0</v>
      </c>
      <c r="I19" s="3100"/>
      <c r="J19" s="4724" t="s">
        <v>744</v>
      </c>
      <c r="K19" s="4725"/>
      <c r="L19" s="3126">
        <v>98</v>
      </c>
      <c r="M19" s="3127" t="s">
        <v>296</v>
      </c>
      <c r="N19" s="676"/>
    </row>
    <row r="20" spans="1:14" ht="15.5">
      <c r="A20" s="643"/>
      <c r="B20" s="3244" t="s">
        <v>748</v>
      </c>
      <c r="C20" s="3097">
        <f>'CDP + Flare PStreams'!I73</f>
        <v>0</v>
      </c>
      <c r="D20" s="3214">
        <f>'CDP + Flare PStreams'!H73</f>
        <v>0</v>
      </c>
      <c r="E20" s="3214">
        <f>'CDP + Flare PStreams'!E73</f>
        <v>0</v>
      </c>
      <c r="F20" s="3106">
        <f t="shared" si="0"/>
        <v>0</v>
      </c>
      <c r="G20" s="3107">
        <f t="shared" si="1"/>
        <v>0.98</v>
      </c>
      <c r="H20" s="3108">
        <f t="shared" si="2"/>
        <v>0</v>
      </c>
      <c r="I20" s="3100"/>
      <c r="J20" s="3123"/>
      <c r="K20" s="3124"/>
      <c r="L20" s="3125"/>
      <c r="M20" s="1766"/>
      <c r="N20" s="51"/>
    </row>
    <row r="21" spans="1:14" ht="15.5">
      <c r="A21" s="643"/>
      <c r="B21" s="3244" t="s">
        <v>749</v>
      </c>
      <c r="C21" s="3097">
        <f>'CDP + Flare PStreams'!I74</f>
        <v>0</v>
      </c>
      <c r="D21" s="3214">
        <f>'CDP + Flare PStreams'!H74</f>
        <v>0</v>
      </c>
      <c r="E21" s="3214">
        <f>'CDP + Flare PStreams'!E74</f>
        <v>0</v>
      </c>
      <c r="F21" s="3106">
        <f t="shared" si="0"/>
        <v>0</v>
      </c>
      <c r="G21" s="3107">
        <f t="shared" si="1"/>
        <v>0.98</v>
      </c>
      <c r="H21" s="3108">
        <f t="shared" si="2"/>
        <v>0</v>
      </c>
      <c r="I21" s="3100"/>
      <c r="J21" s="3123"/>
      <c r="K21" s="3124"/>
      <c r="L21" s="3125"/>
      <c r="M21" s="1766"/>
      <c r="N21" s="51"/>
    </row>
    <row r="22" spans="1:14" ht="15.5">
      <c r="A22" s="643"/>
      <c r="B22" s="3244" t="s">
        <v>750</v>
      </c>
      <c r="C22" s="3097">
        <f>'CDP + Flare PStreams'!I75</f>
        <v>0</v>
      </c>
      <c r="D22" s="3214">
        <f>'CDP + Flare PStreams'!H75</f>
        <v>0</v>
      </c>
      <c r="E22" s="3214">
        <f>'CDP + Flare PStreams'!E75</f>
        <v>0</v>
      </c>
      <c r="F22" s="3106">
        <f t="shared" si="0"/>
        <v>0</v>
      </c>
      <c r="G22" s="3107">
        <f t="shared" si="1"/>
        <v>0.98</v>
      </c>
      <c r="H22" s="3108">
        <f t="shared" si="2"/>
        <v>0</v>
      </c>
      <c r="I22" s="3100"/>
      <c r="J22" s="3123"/>
      <c r="K22" s="3124"/>
      <c r="L22" s="3125"/>
      <c r="M22" s="1766"/>
      <c r="N22" s="51"/>
    </row>
    <row r="23" spans="1:14" ht="15.5">
      <c r="A23" s="643"/>
      <c r="B23" s="3244" t="s">
        <v>800</v>
      </c>
      <c r="C23" s="3097">
        <f>'CDP + Flare PStreams'!I76</f>
        <v>0</v>
      </c>
      <c r="D23" s="3214">
        <f>'CDP + Flare PStreams'!H76</f>
        <v>0</v>
      </c>
      <c r="E23" s="3214">
        <f>'CDP + Flare PStreams'!E76</f>
        <v>0</v>
      </c>
      <c r="F23" s="3106">
        <f t="shared" si="0"/>
        <v>0</v>
      </c>
      <c r="G23" s="3107">
        <f t="shared" si="1"/>
        <v>0.98</v>
      </c>
      <c r="H23" s="3108">
        <f t="shared" si="2"/>
        <v>0</v>
      </c>
      <c r="I23" s="3100"/>
      <c r="J23" s="3123"/>
      <c r="K23" s="3124"/>
      <c r="L23" s="3125"/>
      <c r="M23" s="1766"/>
      <c r="N23" s="51"/>
    </row>
    <row r="24" spans="1:14" ht="15.5">
      <c r="A24" s="643"/>
      <c r="B24" s="3244" t="s">
        <v>292</v>
      </c>
      <c r="C24" s="3097">
        <f>'CDP + Flare PStreams'!I77</f>
        <v>0</v>
      </c>
      <c r="D24" s="3214">
        <f>'CDP + Flare PStreams'!H77</f>
        <v>0</v>
      </c>
      <c r="E24" s="3214">
        <f>'CDP + Flare PStreams'!E77</f>
        <v>0</v>
      </c>
      <c r="F24" s="3106">
        <f t="shared" si="0"/>
        <v>0</v>
      </c>
      <c r="G24" s="3107">
        <f t="shared" si="1"/>
        <v>0.98</v>
      </c>
      <c r="H24" s="3108">
        <f t="shared" si="2"/>
        <v>0</v>
      </c>
      <c r="I24" s="3100"/>
      <c r="J24" s="3123"/>
      <c r="K24" s="3124"/>
      <c r="L24" s="3125"/>
      <c r="M24" s="1766"/>
      <c r="N24" s="51"/>
    </row>
    <row r="25" spans="1:14" s="47" customFormat="1" ht="15.5">
      <c r="A25" s="643"/>
      <c r="B25" s="3105" t="s">
        <v>10</v>
      </c>
      <c r="C25" s="3097">
        <f>'CDP + Flare PStreams'!I78</f>
        <v>0</v>
      </c>
      <c r="D25" s="3214">
        <f>'CDP + Flare PStreams'!H78</f>
        <v>0</v>
      </c>
      <c r="E25" s="3214">
        <f>'CDP + Flare PStreams'!E78</f>
        <v>0</v>
      </c>
      <c r="F25" s="3106">
        <f t="shared" ref="F25:F39" si="3">SUM(C25:E25)</f>
        <v>0</v>
      </c>
      <c r="G25" s="3107">
        <f t="shared" si="1"/>
        <v>0.98</v>
      </c>
      <c r="H25" s="3108">
        <f t="shared" si="2"/>
        <v>0</v>
      </c>
      <c r="I25" s="3100"/>
      <c r="J25" s="3123"/>
      <c r="K25" s="3124"/>
      <c r="L25" s="3125"/>
      <c r="M25" s="1766"/>
      <c r="N25" s="51"/>
    </row>
    <row r="26" spans="1:14" s="47" customFormat="1" ht="15.5">
      <c r="A26" s="643"/>
      <c r="B26" s="3105" t="s">
        <v>9</v>
      </c>
      <c r="C26" s="3097">
        <f>'CDP + Flare PStreams'!I79</f>
        <v>0</v>
      </c>
      <c r="D26" s="3214">
        <f>'CDP + Flare PStreams'!H79</f>
        <v>0</v>
      </c>
      <c r="E26" s="3214">
        <f>'CDP + Flare PStreams'!E79</f>
        <v>0</v>
      </c>
      <c r="F26" s="3106">
        <f t="shared" si="3"/>
        <v>0</v>
      </c>
      <c r="G26" s="3107">
        <f t="shared" si="1"/>
        <v>0.98</v>
      </c>
      <c r="H26" s="3108">
        <f t="shared" si="2"/>
        <v>0</v>
      </c>
      <c r="I26" s="3100"/>
      <c r="J26" s="3123"/>
      <c r="K26" s="3124"/>
      <c r="L26" s="3125"/>
      <c r="M26" s="1766"/>
      <c r="N26" s="51"/>
    </row>
    <row r="27" spans="1:14" s="47" customFormat="1" ht="15.5">
      <c r="A27" s="643"/>
      <c r="B27" s="3105" t="s">
        <v>11</v>
      </c>
      <c r="C27" s="3097">
        <f>'CDP + Flare PStreams'!I80</f>
        <v>0</v>
      </c>
      <c r="D27" s="3214">
        <f>'CDP + Flare PStreams'!H80</f>
        <v>0</v>
      </c>
      <c r="E27" s="3214">
        <f>'CDP + Flare PStreams'!E80</f>
        <v>0</v>
      </c>
      <c r="F27" s="3106">
        <f t="shared" si="3"/>
        <v>0</v>
      </c>
      <c r="G27" s="3107">
        <f t="shared" si="1"/>
        <v>0.98</v>
      </c>
      <c r="H27" s="3108">
        <f t="shared" si="2"/>
        <v>0</v>
      </c>
      <c r="I27" s="3100"/>
      <c r="J27" s="3123"/>
      <c r="K27" s="3124"/>
      <c r="L27" s="3125"/>
      <c r="M27" s="1766"/>
      <c r="N27" s="51"/>
    </row>
    <row r="28" spans="1:14" s="47" customFormat="1" ht="15.5">
      <c r="A28" s="643"/>
      <c r="B28" s="3105" t="s">
        <v>12</v>
      </c>
      <c r="C28" s="3097">
        <f>'CDP + Flare PStreams'!I81</f>
        <v>0</v>
      </c>
      <c r="D28" s="3214">
        <f>'CDP + Flare PStreams'!H81</f>
        <v>0</v>
      </c>
      <c r="E28" s="3214">
        <f>'CDP + Flare PStreams'!E81</f>
        <v>0</v>
      </c>
      <c r="F28" s="3106">
        <f t="shared" si="3"/>
        <v>0</v>
      </c>
      <c r="G28" s="3107">
        <f t="shared" si="1"/>
        <v>0.98</v>
      </c>
      <c r="H28" s="3108">
        <f t="shared" si="2"/>
        <v>0</v>
      </c>
      <c r="I28" s="3100"/>
      <c r="J28" s="3123"/>
      <c r="K28" s="3124"/>
      <c r="L28" s="3125"/>
      <c r="M28" s="1766"/>
      <c r="N28" s="51"/>
    </row>
    <row r="29" spans="1:14" s="47" customFormat="1" ht="15.5">
      <c r="A29" s="643"/>
      <c r="B29" s="3105" t="s">
        <v>286</v>
      </c>
      <c r="C29" s="3097">
        <f>'CDP + Flare PStreams'!I82</f>
        <v>0</v>
      </c>
      <c r="D29" s="3214">
        <f>'CDP + Flare PStreams'!H82</f>
        <v>0</v>
      </c>
      <c r="E29" s="3214">
        <f>'CDP + Flare PStreams'!E82</f>
        <v>0</v>
      </c>
      <c r="F29" s="3106">
        <f t="shared" si="3"/>
        <v>0</v>
      </c>
      <c r="G29" s="3107">
        <f t="shared" si="1"/>
        <v>0.98</v>
      </c>
      <c r="H29" s="3108">
        <f t="shared" si="2"/>
        <v>0</v>
      </c>
      <c r="I29" s="3100"/>
      <c r="J29" s="3123"/>
      <c r="K29" s="3124"/>
      <c r="L29" s="3125"/>
      <c r="M29" s="1766"/>
      <c r="N29" s="51"/>
    </row>
    <row r="30" spans="1:14" s="47" customFormat="1" ht="15.5">
      <c r="A30" s="643"/>
      <c r="B30" s="3105" t="s">
        <v>801</v>
      </c>
      <c r="C30" s="3097">
        <f>'CDP + Flare PStreams'!I83</f>
        <v>0</v>
      </c>
      <c r="D30" s="3214">
        <f>'CDP + Flare PStreams'!H83</f>
        <v>0</v>
      </c>
      <c r="E30" s="3214">
        <f>'CDP + Flare PStreams'!E83</f>
        <v>0</v>
      </c>
      <c r="F30" s="3106">
        <f t="shared" si="3"/>
        <v>0</v>
      </c>
      <c r="G30" s="3107">
        <f t="shared" si="1"/>
        <v>0.98</v>
      </c>
      <c r="H30" s="3108">
        <f t="shared" si="2"/>
        <v>0</v>
      </c>
      <c r="I30" s="3100"/>
      <c r="J30" s="3123"/>
      <c r="K30" s="3124"/>
      <c r="L30" s="3125"/>
      <c r="M30" s="1766"/>
      <c r="N30" s="51"/>
    </row>
    <row r="31" spans="1:14" s="47" customFormat="1" ht="15.5">
      <c r="A31" s="643"/>
      <c r="B31" s="3105" t="s">
        <v>65</v>
      </c>
      <c r="C31" s="3097">
        <f>'CDP + Flare PStreams'!I84</f>
        <v>0</v>
      </c>
      <c r="D31" s="3214">
        <f>'CDP + Flare PStreams'!H84</f>
        <v>0</v>
      </c>
      <c r="E31" s="3214">
        <f>'CDP + Flare PStreams'!E84</f>
        <v>0</v>
      </c>
      <c r="F31" s="3106">
        <f t="shared" si="3"/>
        <v>0</v>
      </c>
      <c r="G31" s="3107">
        <f t="shared" si="1"/>
        <v>0.98</v>
      </c>
      <c r="H31" s="3108">
        <f t="shared" si="2"/>
        <v>0</v>
      </c>
      <c r="I31" s="3100"/>
      <c r="J31" s="3123"/>
      <c r="K31" s="3124"/>
      <c r="L31" s="3125"/>
      <c r="M31" s="1766"/>
      <c r="N31" s="51"/>
    </row>
    <row r="32" spans="1:14" s="47" customFormat="1" ht="15.5">
      <c r="A32" s="643"/>
      <c r="B32" s="3105" t="s">
        <v>13</v>
      </c>
      <c r="C32" s="3097">
        <f>'CDP + Flare PStreams'!I85</f>
        <v>0</v>
      </c>
      <c r="D32" s="3214">
        <f>'CDP + Flare PStreams'!H85</f>
        <v>0</v>
      </c>
      <c r="E32" s="3214">
        <f>'CDP + Flare PStreams'!E85</f>
        <v>0</v>
      </c>
      <c r="F32" s="3106">
        <f t="shared" si="3"/>
        <v>0</v>
      </c>
      <c r="G32" s="3107">
        <f t="shared" si="1"/>
        <v>0.98</v>
      </c>
      <c r="H32" s="3108">
        <f t="shared" si="2"/>
        <v>0</v>
      </c>
      <c r="I32" s="3100"/>
      <c r="J32" s="3123"/>
      <c r="K32" s="3124"/>
      <c r="L32" s="3125"/>
      <c r="M32" s="1766"/>
      <c r="N32" s="51"/>
    </row>
    <row r="33" spans="1:14" s="47" customFormat="1" ht="15.5">
      <c r="A33" s="643"/>
      <c r="B33" s="3105" t="s">
        <v>14</v>
      </c>
      <c r="C33" s="3097">
        <f>'CDP + Flare PStreams'!I86</f>
        <v>0</v>
      </c>
      <c r="D33" s="3214">
        <f>'CDP + Flare PStreams'!H86</f>
        <v>0</v>
      </c>
      <c r="E33" s="3214">
        <f>'CDP + Flare PStreams'!E86</f>
        <v>0</v>
      </c>
      <c r="F33" s="3106">
        <f t="shared" si="3"/>
        <v>0</v>
      </c>
      <c r="G33" s="3107">
        <f t="shared" si="1"/>
        <v>0.98</v>
      </c>
      <c r="H33" s="3108">
        <f t="shared" si="2"/>
        <v>0</v>
      </c>
      <c r="I33" s="3100"/>
      <c r="J33" s="3123"/>
      <c r="K33" s="3124"/>
      <c r="L33" s="3125"/>
      <c r="M33" s="1766"/>
      <c r="N33" s="51"/>
    </row>
    <row r="34" spans="1:14" s="47" customFormat="1" ht="15.5">
      <c r="A34" s="643"/>
      <c r="B34" s="3105" t="s">
        <v>804</v>
      </c>
      <c r="C34" s="3097">
        <f>'CDP + Flare PStreams'!I87</f>
        <v>0</v>
      </c>
      <c r="D34" s="3214">
        <f>'CDP + Flare PStreams'!H87</f>
        <v>0</v>
      </c>
      <c r="E34" s="3214">
        <f>'CDP + Flare PStreams'!E87</f>
        <v>0</v>
      </c>
      <c r="F34" s="3106">
        <f t="shared" si="3"/>
        <v>0</v>
      </c>
      <c r="G34" s="3107">
        <f t="shared" si="1"/>
        <v>0.98</v>
      </c>
      <c r="H34" s="3108">
        <f t="shared" si="2"/>
        <v>0</v>
      </c>
      <c r="I34" s="3100"/>
      <c r="J34" s="3123"/>
      <c r="K34" s="3124"/>
      <c r="L34" s="3125"/>
      <c r="M34" s="1766"/>
      <c r="N34" s="51"/>
    </row>
    <row r="35" spans="1:14" s="47" customFormat="1" ht="15.5">
      <c r="A35" s="643"/>
      <c r="B35" s="3105" t="s">
        <v>16</v>
      </c>
      <c r="C35" s="3097">
        <f>'CDP + Flare PStreams'!I88</f>
        <v>0</v>
      </c>
      <c r="D35" s="3214">
        <f>'CDP + Flare PStreams'!H88</f>
        <v>0</v>
      </c>
      <c r="E35" s="3214">
        <f>'CDP + Flare PStreams'!E88</f>
        <v>0</v>
      </c>
      <c r="F35" s="3106">
        <f t="shared" si="3"/>
        <v>0</v>
      </c>
      <c r="G35" s="3107">
        <f t="shared" si="1"/>
        <v>0.98</v>
      </c>
      <c r="H35" s="3108">
        <f t="shared" si="2"/>
        <v>0</v>
      </c>
      <c r="I35" s="3100"/>
      <c r="J35" s="3123"/>
      <c r="K35" s="3124"/>
      <c r="L35" s="3125"/>
      <c r="M35" s="1766"/>
      <c r="N35" s="51"/>
    </row>
    <row r="36" spans="1:14" s="47" customFormat="1" ht="15.5">
      <c r="A36" s="643"/>
      <c r="B36" s="3105" t="s">
        <v>802</v>
      </c>
      <c r="C36" s="3097">
        <f>'CDP + Flare PStreams'!I89</f>
        <v>0</v>
      </c>
      <c r="D36" s="3214">
        <f>'CDP + Flare PStreams'!H89</f>
        <v>0</v>
      </c>
      <c r="E36" s="3214">
        <f>'CDP + Flare PStreams'!E89</f>
        <v>0</v>
      </c>
      <c r="F36" s="3106">
        <f t="shared" si="3"/>
        <v>0</v>
      </c>
      <c r="G36" s="3107">
        <f t="shared" si="1"/>
        <v>0.98</v>
      </c>
      <c r="H36" s="3108">
        <f t="shared" si="2"/>
        <v>0</v>
      </c>
      <c r="I36" s="3100"/>
      <c r="J36" s="3123"/>
      <c r="K36" s="3124"/>
      <c r="L36" s="3125"/>
      <c r="M36" s="1766"/>
      <c r="N36" s="51"/>
    </row>
    <row r="37" spans="1:14" s="47" customFormat="1" ht="15.5">
      <c r="A37" s="643"/>
      <c r="B37" s="3105" t="s">
        <v>803</v>
      </c>
      <c r="C37" s="3097">
        <f>'CDP + Flare PStreams'!I90</f>
        <v>0</v>
      </c>
      <c r="D37" s="3214">
        <f>'CDP + Flare PStreams'!H90</f>
        <v>0</v>
      </c>
      <c r="E37" s="3214">
        <f>'CDP + Flare PStreams'!E90</f>
        <v>0</v>
      </c>
      <c r="F37" s="3106">
        <f t="shared" si="3"/>
        <v>0</v>
      </c>
      <c r="G37" s="3107">
        <f t="shared" si="1"/>
        <v>0.98</v>
      </c>
      <c r="H37" s="3108">
        <f t="shared" si="2"/>
        <v>0</v>
      </c>
      <c r="I37" s="3100"/>
      <c r="J37" s="3123"/>
      <c r="K37" s="3124"/>
      <c r="L37" s="3125"/>
      <c r="M37" s="1766"/>
      <c r="N37" s="51"/>
    </row>
    <row r="38" spans="1:14" s="47" customFormat="1" ht="15.5">
      <c r="A38" s="643"/>
      <c r="B38" s="3105" t="s">
        <v>805</v>
      </c>
      <c r="C38" s="3097">
        <f>'CDP + Flare PStreams'!I91</f>
        <v>0</v>
      </c>
      <c r="D38" s="3214">
        <f>'CDP + Flare PStreams'!H91</f>
        <v>0</v>
      </c>
      <c r="E38" s="3214">
        <f>'CDP + Flare PStreams'!E91</f>
        <v>0</v>
      </c>
      <c r="F38" s="3106">
        <f t="shared" si="3"/>
        <v>0</v>
      </c>
      <c r="G38" s="3107">
        <f t="shared" si="1"/>
        <v>0.98</v>
      </c>
      <c r="H38" s="3108">
        <f t="shared" si="2"/>
        <v>0</v>
      </c>
      <c r="I38" s="3100"/>
      <c r="J38" s="3123"/>
      <c r="K38" s="3124"/>
      <c r="L38" s="3125"/>
      <c r="M38" s="1766"/>
      <c r="N38" s="51"/>
    </row>
    <row r="39" spans="1:14" s="47" customFormat="1" ht="16" thickBot="1">
      <c r="A39" s="643"/>
      <c r="B39" s="3105" t="s">
        <v>752</v>
      </c>
      <c r="C39" s="3185">
        <f>'CDP + Flare PStreams'!I92</f>
        <v>0</v>
      </c>
      <c r="D39" s="3186">
        <f>'CDP + Flare PStreams'!H92</f>
        <v>0</v>
      </c>
      <c r="E39" s="3186">
        <f>'CDP + Flare PStreams'!E92</f>
        <v>0</v>
      </c>
      <c r="F39" s="3223">
        <f t="shared" si="3"/>
        <v>0</v>
      </c>
      <c r="G39" s="3107">
        <f t="shared" si="1"/>
        <v>0.98</v>
      </c>
      <c r="H39" s="3108">
        <f t="shared" si="2"/>
        <v>0</v>
      </c>
      <c r="I39" s="3100"/>
      <c r="J39" s="3123"/>
      <c r="K39" s="3124"/>
      <c r="L39" s="3125"/>
      <c r="M39" s="1766"/>
      <c r="N39" s="51"/>
    </row>
    <row r="40" spans="1:14" ht="15.5">
      <c r="A40" s="643"/>
      <c r="B40" s="3096" t="s">
        <v>692</v>
      </c>
      <c r="C40" s="3224">
        <f>SUM(C12:C39)</f>
        <v>12.45514279354966</v>
      </c>
      <c r="D40" s="3135">
        <f>SUM(D12:D39)</f>
        <v>199.28228469679448</v>
      </c>
      <c r="E40" s="3135">
        <f>SUM(E12:E39)</f>
        <v>249.10285587099358</v>
      </c>
      <c r="F40" s="3099">
        <f>SUM(F12:F39)</f>
        <v>460.84028336133775</v>
      </c>
      <c r="G40" s="3225" t="s">
        <v>445</v>
      </c>
      <c r="H40" s="3099">
        <f>SUM(H12:H39)</f>
        <v>15.306304629395534</v>
      </c>
      <c r="I40" s="3100"/>
      <c r="J40" s="1762"/>
      <c r="K40" s="1762"/>
      <c r="L40" s="1762"/>
      <c r="M40" s="1762"/>
      <c r="N40" s="51"/>
    </row>
    <row r="41" spans="1:14" ht="15.5">
      <c r="A41" s="643"/>
      <c r="B41" s="3244" t="s">
        <v>55</v>
      </c>
      <c r="C41" s="3226">
        <f>SUM(C18:C39)</f>
        <v>0.54322982496024097</v>
      </c>
      <c r="D41" s="3227">
        <f>SUM(D18:D39)</f>
        <v>8.6916771993638502</v>
      </c>
      <c r="E41" s="3227">
        <f>SUM(E18:E39)</f>
        <v>10.864596499204801</v>
      </c>
      <c r="F41" s="3108">
        <f>SUM(F18:F39)</f>
        <v>20.099503523528892</v>
      </c>
      <c r="G41" s="3228" t="s">
        <v>445</v>
      </c>
      <c r="H41" s="3108">
        <f>SUM(H18:H39)</f>
        <v>0.40199007047057816</v>
      </c>
      <c r="I41" s="3100"/>
      <c r="J41" s="1762"/>
      <c r="K41" s="1762"/>
      <c r="L41" s="1762"/>
      <c r="M41" s="1762"/>
      <c r="N41" s="51"/>
    </row>
    <row r="42" spans="1:14" ht="16" thickBot="1">
      <c r="A42" s="643"/>
      <c r="B42" s="3255" t="s">
        <v>693</v>
      </c>
      <c r="C42" s="3230">
        <f>SUM(C25,C33,C35,C36,C27,C29)</f>
        <v>0</v>
      </c>
      <c r="D42" s="3145">
        <f>SUM(D25,D33,D35,D36,D27,D29)</f>
        <v>0</v>
      </c>
      <c r="E42" s="3145">
        <f>SUM(E25,E33,E35,E36,E27,E29)</f>
        <v>0</v>
      </c>
      <c r="F42" s="3148">
        <f>SUM(F25,F33,F35,F36,F27,F29)</f>
        <v>0</v>
      </c>
      <c r="G42" s="3231" t="s">
        <v>445</v>
      </c>
      <c r="H42" s="3148">
        <f>SUM(H25,H33,H35,H36,H27,H29)</f>
        <v>0</v>
      </c>
      <c r="I42" s="3100"/>
      <c r="J42" s="1762"/>
      <c r="K42" s="1762"/>
      <c r="L42" s="1762"/>
      <c r="M42" s="1762"/>
      <c r="N42" s="51"/>
    </row>
    <row r="43" spans="1:14" ht="15.5">
      <c r="A43" s="643"/>
      <c r="B43" s="3232" t="s">
        <v>694</v>
      </c>
      <c r="C43" s="3150">
        <f>'CDP + Flare PStreams'!I135</f>
        <v>1049.08489049902</v>
      </c>
      <c r="D43" s="3151">
        <f>'CDP + Flare PStreams'!H135</f>
        <v>1049.08489049902</v>
      </c>
      <c r="E43" s="3151">
        <f>'CDP + Flare PStreams'!E135</f>
        <v>1049.08489049902</v>
      </c>
      <c r="F43" s="3256">
        <f>SUMPRODUCT(C43:E43,C46:E46)/F46</f>
        <v>1049.08489049902</v>
      </c>
      <c r="G43" s="1762"/>
      <c r="H43" s="1762"/>
      <c r="I43" s="1762"/>
      <c r="J43" s="1762"/>
      <c r="K43" s="1762"/>
      <c r="L43" s="1762"/>
      <c r="M43" s="1762"/>
      <c r="N43" s="51"/>
    </row>
    <row r="44" spans="1:14" ht="15.5">
      <c r="A44" s="643"/>
      <c r="B44" s="3257" t="s">
        <v>20</v>
      </c>
      <c r="C44" s="3154">
        <f>'CDP + Flare PStreams'!I131</f>
        <v>18.906107429477601</v>
      </c>
      <c r="D44" s="3236">
        <f>'CDP + Flare PStreams'!H131</f>
        <v>18.906107429477601</v>
      </c>
      <c r="E44" s="3236">
        <f>'CDP + Flare PStreams'!E131</f>
        <v>18.906107429477601</v>
      </c>
      <c r="F44" s="3258" t="s">
        <v>445</v>
      </c>
      <c r="G44" s="3157"/>
      <c r="H44" s="3157"/>
      <c r="I44" s="3157"/>
      <c r="J44" s="3157"/>
      <c r="K44" s="3157"/>
      <c r="L44" s="3157"/>
      <c r="M44" s="3157"/>
      <c r="N44" s="658"/>
    </row>
    <row r="45" spans="1:14" ht="15.5">
      <c r="A45" s="643"/>
      <c r="B45" s="3257" t="s">
        <v>695</v>
      </c>
      <c r="C45" s="3259">
        <f>C12*($S$10/$S$9)</f>
        <v>0</v>
      </c>
      <c r="D45" s="3260">
        <f>D12*($S$10/$S$9)</f>
        <v>0</v>
      </c>
      <c r="E45" s="3260">
        <f>E12*($S$10/$S$9)</f>
        <v>0</v>
      </c>
      <c r="F45" s="3261">
        <f>SUM(C45:E45)</f>
        <v>0</v>
      </c>
      <c r="G45" s="3157"/>
      <c r="H45" s="3157"/>
      <c r="I45" s="3157"/>
      <c r="J45" s="3157"/>
      <c r="K45" s="3157"/>
      <c r="L45" s="3157"/>
      <c r="M45" s="3157"/>
      <c r="N45" s="658"/>
    </row>
    <row r="46" spans="1:14" ht="15.5">
      <c r="A46" s="643"/>
      <c r="B46" s="3257" t="s">
        <v>696</v>
      </c>
      <c r="C46" s="3154">
        <f>'CDP + Flare PStreams'!I133*10^6/24</f>
        <v>250</v>
      </c>
      <c r="D46" s="3236">
        <f>'CDP + Flare PStreams'!H133*10^6/24</f>
        <v>4000</v>
      </c>
      <c r="E46" s="3236">
        <f>'CDP + Flare PStreams'!E133*10^6/24</f>
        <v>5000</v>
      </c>
      <c r="F46" s="3261">
        <f>SUM(C46:E46)</f>
        <v>9250</v>
      </c>
      <c r="G46" s="3157"/>
      <c r="H46" s="3157"/>
      <c r="I46" s="3157"/>
      <c r="J46" s="3157"/>
      <c r="K46" s="3157"/>
      <c r="L46" s="3157"/>
      <c r="M46" s="3157"/>
      <c r="N46" s="658"/>
    </row>
    <row r="47" spans="1:14" ht="16" thickBot="1">
      <c r="A47" s="643"/>
      <c r="B47" s="3262" t="s">
        <v>697</v>
      </c>
      <c r="C47" s="3163">
        <f>C43*C46/10^6</f>
        <v>0.262271222624755</v>
      </c>
      <c r="D47" s="3164">
        <f>D43*D46/10^6</f>
        <v>4.1963395619960799</v>
      </c>
      <c r="E47" s="3164">
        <f>E43*E46/10^6</f>
        <v>5.2454244524950999</v>
      </c>
      <c r="F47" s="3263">
        <f>SUMPRODUCT(C43:E43,C46:E46)/10^6</f>
        <v>9.7040352371159351</v>
      </c>
      <c r="G47" s="3157"/>
      <c r="H47" s="3157"/>
      <c r="I47" s="3157"/>
      <c r="J47" s="3157"/>
      <c r="K47" s="3157"/>
      <c r="L47" s="3157"/>
      <c r="M47" s="3157"/>
      <c r="N47" s="658"/>
    </row>
    <row r="48" spans="1:14" ht="13">
      <c r="A48" s="643"/>
      <c r="B48" s="657"/>
      <c r="C48" s="657"/>
      <c r="D48" s="657"/>
      <c r="E48" s="659"/>
      <c r="F48" s="659"/>
      <c r="G48" s="659"/>
      <c r="H48" s="659"/>
      <c r="I48" s="659"/>
      <c r="J48" s="659"/>
      <c r="K48" s="659"/>
      <c r="L48" s="659"/>
      <c r="M48" s="659"/>
      <c r="N48" s="660"/>
    </row>
    <row r="49" spans="1:20" ht="13.5" thickBot="1">
      <c r="A49" s="643"/>
      <c r="B49" s="657"/>
      <c r="C49" s="657"/>
      <c r="D49" s="657"/>
      <c r="E49" s="659"/>
      <c r="F49" s="659"/>
      <c r="G49" s="659"/>
      <c r="H49" s="659"/>
      <c r="I49" s="659"/>
      <c r="J49" s="659"/>
      <c r="K49" s="659"/>
      <c r="L49" s="659"/>
      <c r="M49" s="659"/>
      <c r="N49" s="660"/>
    </row>
    <row r="50" spans="1:20" ht="13">
      <c r="A50" s="643"/>
      <c r="B50" s="661" t="s">
        <v>698</v>
      </c>
      <c r="C50" s="662"/>
      <c r="D50" s="662"/>
      <c r="E50" s="663"/>
      <c r="F50" s="663"/>
      <c r="G50" s="663"/>
      <c r="H50" s="663"/>
      <c r="I50" s="663"/>
      <c r="J50" s="663"/>
      <c r="K50" s="664"/>
      <c r="L50" s="657"/>
      <c r="M50" s="657"/>
      <c r="N50" s="51"/>
    </row>
    <row r="51" spans="1:20" ht="14.5">
      <c r="A51" s="643"/>
      <c r="B51" s="665" t="s">
        <v>699</v>
      </c>
      <c r="C51" s="666"/>
      <c r="D51" s="666"/>
      <c r="E51" s="667"/>
      <c r="F51" s="667"/>
      <c r="G51" s="667"/>
      <c r="H51" s="667"/>
      <c r="I51" s="667"/>
      <c r="J51" s="667"/>
      <c r="K51" s="668"/>
      <c r="L51" s="657"/>
      <c r="M51" s="657"/>
      <c r="N51" s="51"/>
    </row>
    <row r="52" spans="1:20" ht="29.75" customHeight="1" thickBot="1">
      <c r="A52" s="643"/>
      <c r="B52" s="4729" t="s">
        <v>745</v>
      </c>
      <c r="C52" s="4730"/>
      <c r="D52" s="4730"/>
      <c r="E52" s="4730"/>
      <c r="F52" s="4730"/>
      <c r="G52" s="4730"/>
      <c r="H52" s="4730"/>
      <c r="I52" s="4730"/>
      <c r="J52" s="4730"/>
      <c r="K52" s="4731"/>
      <c r="L52" s="669"/>
      <c r="M52" s="669"/>
      <c r="N52" s="670"/>
      <c r="R52">
        <f>4794*0.02</f>
        <v>95.88</v>
      </c>
    </row>
    <row r="53" spans="1:20">
      <c r="A53" s="760"/>
      <c r="B53" s="30"/>
      <c r="C53" s="30"/>
      <c r="D53" s="30"/>
      <c r="E53" s="30"/>
      <c r="F53" s="30"/>
      <c r="G53" s="30"/>
      <c r="H53" s="30"/>
      <c r="I53" s="30"/>
      <c r="J53" s="30"/>
      <c r="K53" s="30"/>
      <c r="L53" s="30"/>
      <c r="M53" s="30"/>
      <c r="N53" s="762"/>
    </row>
    <row r="54" spans="1:20" ht="13" thickBot="1">
      <c r="A54" s="1582"/>
      <c r="B54" s="1580"/>
      <c r="C54" s="1580"/>
      <c r="D54" s="1580"/>
      <c r="E54" s="1580"/>
      <c r="F54" s="1580"/>
      <c r="G54" s="1580"/>
      <c r="H54" s="1580"/>
      <c r="I54" s="1580"/>
      <c r="J54" s="1580"/>
      <c r="K54" s="1580"/>
      <c r="L54" s="1580"/>
      <c r="M54" s="1580"/>
      <c r="N54" s="1583"/>
    </row>
    <row r="55" spans="1:20">
      <c r="R55" t="s">
        <v>57</v>
      </c>
      <c r="S55" t="s">
        <v>1219</v>
      </c>
      <c r="T55" t="s">
        <v>37</v>
      </c>
    </row>
    <row r="56" spans="1:20">
      <c r="R56" s="1207">
        <f>0.00125*1.2*10^9</f>
        <v>1500000</v>
      </c>
      <c r="S56" s="1208">
        <f>R56*365</f>
        <v>547500000</v>
      </c>
    </row>
    <row r="58" spans="1:20">
      <c r="R58">
        <v>500000</v>
      </c>
      <c r="S58">
        <f>R58*365</f>
        <v>182500000</v>
      </c>
      <c r="T58">
        <f>1598*0.02</f>
        <v>31.96</v>
      </c>
    </row>
  </sheetData>
  <mergeCells count="20">
    <mergeCell ref="B8:H8"/>
    <mergeCell ref="J8:M8"/>
    <mergeCell ref="B2:M2"/>
    <mergeCell ref="B3:M3"/>
    <mergeCell ref="B4:M4"/>
    <mergeCell ref="A6:N6"/>
    <mergeCell ref="A7:E7"/>
    <mergeCell ref="M9:M11"/>
    <mergeCell ref="J19:K19"/>
    <mergeCell ref="B9:B11"/>
    <mergeCell ref="C9:C10"/>
    <mergeCell ref="D9:D10"/>
    <mergeCell ref="E9:E10"/>
    <mergeCell ref="F9:F10"/>
    <mergeCell ref="G9:G10"/>
    <mergeCell ref="B52:K52"/>
    <mergeCell ref="H9:H10"/>
    <mergeCell ref="J9:J11"/>
    <mergeCell ref="K9:K10"/>
    <mergeCell ref="L9:L11"/>
  </mergeCells>
  <pageMargins left="0.7" right="0.7" top="0.75" bottom="0.75" header="0.3" footer="0.3"/>
  <pageSetup scale="53" orientation="portrait" r:id="rId1"/>
  <headerFooter>
    <oddFooter>&amp;CCalculations: Page &amp;P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5">
    <tabColor theme="3" tint="-0.249977111117893"/>
    <pageSetUpPr fitToPage="1"/>
  </sheetPr>
  <dimension ref="A1:S53"/>
  <sheetViews>
    <sheetView view="pageLayout" topLeftCell="A10" zoomScale="85" zoomScaleNormal="100" zoomScaleSheetLayoutView="55" zoomScalePageLayoutView="85" workbookViewId="0">
      <selection activeCell="E19" sqref="E19:R19"/>
    </sheetView>
  </sheetViews>
  <sheetFormatPr defaultColWidth="8.54296875" defaultRowHeight="12.5"/>
  <cols>
    <col min="1" max="1" width="5.54296875" style="47" customWidth="1"/>
    <col min="2" max="2" width="28" style="47" customWidth="1"/>
    <col min="3" max="3" width="10.6328125" style="47" customWidth="1"/>
    <col min="4" max="6" width="12.453125" style="47" customWidth="1"/>
    <col min="7" max="7" width="12" style="47" customWidth="1"/>
    <col min="8" max="8" width="15.6328125" style="47" customWidth="1"/>
    <col min="9" max="9" width="3.453125" style="47" customWidth="1"/>
    <col min="10" max="10" width="12.36328125" style="47" customWidth="1"/>
    <col min="11" max="11" width="12.6328125" style="47" customWidth="1"/>
    <col min="12" max="12" width="10.453125" style="47" customWidth="1"/>
    <col min="13" max="13" width="13.6328125" style="47" customWidth="1"/>
    <col min="14" max="14" width="5.54296875" style="47" customWidth="1"/>
    <col min="18" max="18" width="14.36328125" customWidth="1"/>
  </cols>
  <sheetData>
    <row r="1" spans="1:19" ht="13.5" thickBot="1">
      <c r="A1" s="640"/>
      <c r="B1" s="641"/>
      <c r="C1" s="641"/>
      <c r="D1" s="641"/>
      <c r="E1" s="641"/>
      <c r="F1" s="641"/>
      <c r="G1" s="641"/>
      <c r="H1" s="641"/>
      <c r="I1" s="641"/>
      <c r="J1" s="641"/>
      <c r="K1" s="641"/>
      <c r="L1" s="641"/>
      <c r="M1" s="641"/>
      <c r="N1" s="642"/>
    </row>
    <row r="2" spans="1:19" ht="20.5">
      <c r="A2" s="643"/>
      <c r="B2" s="4657" t="s">
        <v>54</v>
      </c>
      <c r="C2" s="4658"/>
      <c r="D2" s="4658"/>
      <c r="E2" s="4658"/>
      <c r="F2" s="4658"/>
      <c r="G2" s="4658"/>
      <c r="H2" s="4658"/>
      <c r="I2" s="4658"/>
      <c r="J2" s="4658"/>
      <c r="K2" s="4658"/>
      <c r="L2" s="4658"/>
      <c r="M2" s="4659"/>
      <c r="N2" s="644"/>
    </row>
    <row r="3" spans="1:19" ht="20.5">
      <c r="A3" s="643"/>
      <c r="B3" s="4660" t="str">
        <f>'TO Ann (TO1-TO3)'!B3:M3</f>
        <v>HUSKY CDP</v>
      </c>
      <c r="C3" s="4661"/>
      <c r="D3" s="4661"/>
      <c r="E3" s="4661"/>
      <c r="F3" s="4661"/>
      <c r="G3" s="4661"/>
      <c r="H3" s="4661"/>
      <c r="I3" s="4661"/>
      <c r="J3" s="4661"/>
      <c r="K3" s="4661"/>
      <c r="L3" s="4661"/>
      <c r="M3" s="4662"/>
      <c r="N3" s="644"/>
    </row>
    <row r="4" spans="1:19" ht="21" thickBot="1">
      <c r="A4" s="643"/>
      <c r="B4" s="4663" t="s">
        <v>1383</v>
      </c>
      <c r="C4" s="4665"/>
      <c r="D4" s="4665"/>
      <c r="E4" s="4665"/>
      <c r="F4" s="4665"/>
      <c r="G4" s="4665"/>
      <c r="H4" s="4665"/>
      <c r="I4" s="4665"/>
      <c r="J4" s="4665"/>
      <c r="K4" s="4665"/>
      <c r="L4" s="4665"/>
      <c r="M4" s="4666"/>
      <c r="N4" s="644"/>
    </row>
    <row r="5" spans="1:19" ht="18.5" thickBot="1">
      <c r="A5" s="645"/>
      <c r="B5" s="646"/>
      <c r="C5" s="646"/>
      <c r="D5" s="646"/>
      <c r="E5" s="646"/>
      <c r="F5" s="646"/>
      <c r="G5" s="646"/>
      <c r="H5" s="646"/>
      <c r="I5" s="646"/>
      <c r="J5" s="646"/>
      <c r="K5" s="646"/>
      <c r="L5" s="646"/>
      <c r="M5" s="646"/>
      <c r="N5" s="647"/>
    </row>
    <row r="6" spans="1:19" ht="16" thickBot="1">
      <c r="A6" s="4682" t="s">
        <v>1380</v>
      </c>
      <c r="B6" s="4683"/>
      <c r="C6" s="4683"/>
      <c r="D6" s="4683"/>
      <c r="E6" s="4683"/>
      <c r="F6" s="4683"/>
      <c r="G6" s="4683"/>
      <c r="H6" s="4683"/>
      <c r="I6" s="4683"/>
      <c r="J6" s="4683"/>
      <c r="K6" s="4683"/>
      <c r="L6" s="4683"/>
      <c r="M6" s="4683"/>
      <c r="N6" s="4684"/>
    </row>
    <row r="7" spans="1:19" ht="13.5" thickBot="1">
      <c r="A7" s="4781"/>
      <c r="B7" s="4782"/>
      <c r="C7" s="4782"/>
      <c r="D7" s="4782"/>
      <c r="E7" s="4782"/>
      <c r="F7" s="2409"/>
      <c r="G7" s="2409"/>
      <c r="H7" s="2409"/>
      <c r="I7" s="2409"/>
      <c r="J7" s="2409"/>
      <c r="K7" s="2409"/>
      <c r="L7" s="2409"/>
      <c r="M7" s="2409"/>
      <c r="N7" s="675"/>
    </row>
    <row r="8" spans="1:19" ht="19" thickBot="1">
      <c r="A8" s="643"/>
      <c r="B8" s="4682" t="s">
        <v>1955</v>
      </c>
      <c r="C8" s="4671"/>
      <c r="D8" s="4671"/>
      <c r="E8" s="4671"/>
      <c r="F8" s="4671"/>
      <c r="G8" s="4671"/>
      <c r="H8" s="4654"/>
      <c r="I8" s="1765"/>
      <c r="J8" s="4747" t="s">
        <v>1956</v>
      </c>
      <c r="K8" s="4748"/>
      <c r="L8" s="4748"/>
      <c r="M8" s="4749"/>
      <c r="N8" s="1763"/>
      <c r="Q8" s="650" t="s">
        <v>688</v>
      </c>
      <c r="R8" s="650"/>
      <c r="S8" s="650">
        <v>34.08</v>
      </c>
    </row>
    <row r="9" spans="1:19" ht="13.25" customHeight="1">
      <c r="A9" s="643"/>
      <c r="B9" s="4759" t="s">
        <v>2</v>
      </c>
      <c r="C9" s="4670" t="s">
        <v>742</v>
      </c>
      <c r="D9" s="4735" t="s">
        <v>738</v>
      </c>
      <c r="E9" s="4735" t="s">
        <v>739</v>
      </c>
      <c r="F9" s="4737" t="s">
        <v>19</v>
      </c>
      <c r="G9" s="4739" t="s">
        <v>683</v>
      </c>
      <c r="H9" s="4518" t="s">
        <v>700</v>
      </c>
      <c r="I9" s="3088"/>
      <c r="J9" s="4742" t="s">
        <v>2</v>
      </c>
      <c r="K9" s="4745" t="s">
        <v>685</v>
      </c>
      <c r="L9" s="4516" t="s">
        <v>686</v>
      </c>
      <c r="M9" s="4518" t="s">
        <v>687</v>
      </c>
      <c r="N9" s="1763"/>
      <c r="Q9" s="650" t="s">
        <v>689</v>
      </c>
      <c r="R9" s="650"/>
      <c r="S9" s="650">
        <v>64.06</v>
      </c>
    </row>
    <row r="10" spans="1:19" ht="36.75" customHeight="1">
      <c r="A10" s="643"/>
      <c r="B10" s="4760"/>
      <c r="C10" s="4795"/>
      <c r="D10" s="4736"/>
      <c r="E10" s="4736"/>
      <c r="F10" s="4738"/>
      <c r="G10" s="4740"/>
      <c r="H10" s="4741"/>
      <c r="I10" s="3088"/>
      <c r="J10" s="4764"/>
      <c r="K10" s="4755"/>
      <c r="L10" s="4756"/>
      <c r="M10" s="4741"/>
      <c r="N10" s="1763"/>
      <c r="Q10" s="650" t="s">
        <v>683</v>
      </c>
      <c r="R10" s="650"/>
      <c r="S10" s="651">
        <v>0.99</v>
      </c>
    </row>
    <row r="11" spans="1:19" ht="14.25" customHeight="1" thickBot="1">
      <c r="A11" s="643"/>
      <c r="B11" s="4761"/>
      <c r="C11" s="3167" t="s">
        <v>701</v>
      </c>
      <c r="D11" s="3168" t="s">
        <v>701</v>
      </c>
      <c r="E11" s="3168" t="s">
        <v>701</v>
      </c>
      <c r="F11" s="3168" t="s">
        <v>701</v>
      </c>
      <c r="G11" s="3091" t="s">
        <v>690</v>
      </c>
      <c r="H11" s="3094" t="s">
        <v>701</v>
      </c>
      <c r="I11" s="1765"/>
      <c r="J11" s="4765"/>
      <c r="K11" s="3093" t="s">
        <v>155</v>
      </c>
      <c r="L11" s="4727"/>
      <c r="M11" s="4757"/>
      <c r="N11" s="1763"/>
    </row>
    <row r="12" spans="1:19" ht="18.5">
      <c r="A12" s="643"/>
      <c r="B12" s="3096" t="s">
        <v>298</v>
      </c>
      <c r="C12" s="3169">
        <f>'Hrly (FL1-FL3)'!C12*(8760-'Ann (FL1-FL3OVHD-MSS)'!$J$22)/2000</f>
        <v>0</v>
      </c>
      <c r="D12" s="1835">
        <f>'Hrly (FL1-FL3)'!D12*8760/2000</f>
        <v>0</v>
      </c>
      <c r="E12" s="1835">
        <f>'Hrly (FL1-FL3)'!E12*8760/2000</f>
        <v>0</v>
      </c>
      <c r="F12" s="1836">
        <f>'Hrly (FL1-FL3)'!F12*8760/2000</f>
        <v>0</v>
      </c>
      <c r="G12" s="3210">
        <v>0</v>
      </c>
      <c r="H12" s="3171">
        <f>F12*(1-G12)</f>
        <v>0</v>
      </c>
      <c r="I12" s="3100"/>
      <c r="J12" s="3101" t="s">
        <v>1949</v>
      </c>
      <c r="K12" s="3211">
        <f>'Hrly (FL1-FL3)'!K12*8760/2000</f>
        <v>5.8655070587223559</v>
      </c>
      <c r="L12" s="3212">
        <v>0.13800000000000001</v>
      </c>
      <c r="M12" s="3213" t="s">
        <v>287</v>
      </c>
      <c r="N12" s="1763"/>
    </row>
    <row r="13" spans="1:19" ht="15.5">
      <c r="A13" s="643"/>
      <c r="B13" s="3105" t="s">
        <v>5</v>
      </c>
      <c r="C13" s="3097">
        <f>'Hrly (FL1-FL3)'!C13*8760/2000</f>
        <v>9.8340303354935312E-6</v>
      </c>
      <c r="D13" s="3214">
        <f>'Hrly (FL1-FL3)'!D13*8760/2000</f>
        <v>1.5734448536789642E-4</v>
      </c>
      <c r="E13" s="3214">
        <f>'Hrly (FL1-FL3)'!E13*8760/2000</f>
        <v>1.9668060678854247E-4</v>
      </c>
      <c r="F13" s="3106">
        <f>'Hrly (FL1-FL3)'!F13*8760/2000</f>
        <v>3.6385912249193236E-4</v>
      </c>
      <c r="G13" s="3107">
        <v>0.98</v>
      </c>
      <c r="H13" s="3108">
        <f>F13*(1-G13)</f>
        <v>7.2771824498386538E-6</v>
      </c>
      <c r="I13" s="3100"/>
      <c r="J13" s="3109" t="s">
        <v>0</v>
      </c>
      <c r="K13" s="3215">
        <f>'Hrly (FL1-FL3)'!K13*8760/2000</f>
        <v>11.709762280275429</v>
      </c>
      <c r="L13" s="3216">
        <v>0.54959999999999998</v>
      </c>
      <c r="M13" s="3217" t="s">
        <v>287</v>
      </c>
      <c r="N13" s="1763"/>
    </row>
    <row r="14" spans="1:19" ht="18.5">
      <c r="A14" s="643"/>
      <c r="B14" s="3105" t="s">
        <v>4</v>
      </c>
      <c r="C14" s="3097">
        <f>'Hrly (FL1-FL3)'!C14*8760/2000</f>
        <v>0.73557654314118048</v>
      </c>
      <c r="D14" s="3214">
        <f>'Hrly (FL1-FL3)'!D14*8760/2000</f>
        <v>11.769224690258898</v>
      </c>
      <c r="E14" s="3214">
        <f>'Hrly (FL1-FL3)'!E14*8760/2000</f>
        <v>14.711530862823611</v>
      </c>
      <c r="F14" s="3106">
        <f>'Hrly (FL1-FL3)'!F14*8760/2000</f>
        <v>27.216332096223692</v>
      </c>
      <c r="G14" s="3107">
        <v>0</v>
      </c>
      <c r="H14" s="3108">
        <f>F14*(1-G14)</f>
        <v>27.216332096223692</v>
      </c>
      <c r="I14" s="3100"/>
      <c r="J14" s="3109" t="s">
        <v>51</v>
      </c>
      <c r="K14" s="3215">
        <f>'Hrly (FL1-FL3)'!K14*8760/2000</f>
        <v>0</v>
      </c>
      <c r="L14" s="3113" t="s">
        <v>445</v>
      </c>
      <c r="M14" s="3114" t="s">
        <v>445</v>
      </c>
      <c r="N14" s="1763"/>
    </row>
    <row r="15" spans="1:19" s="47" customFormat="1" ht="18.5">
      <c r="A15" s="643"/>
      <c r="B15" s="3105" t="s">
        <v>3</v>
      </c>
      <c r="C15" s="3097">
        <f>'Hrly (FL1-FL3)'!C15*8760/2000</f>
        <v>0</v>
      </c>
      <c r="D15" s="3214">
        <f>'Hrly (FL1-FL3)'!D15*8760/2000</f>
        <v>0</v>
      </c>
      <c r="E15" s="3214">
        <f>'Hrly (FL1-FL3)'!E15*8760/2000</f>
        <v>0</v>
      </c>
      <c r="F15" s="3106">
        <f>'Hrly (FL1-FL3)'!F15*8760/2000</f>
        <v>0</v>
      </c>
      <c r="G15" s="3107">
        <v>0</v>
      </c>
      <c r="H15" s="3108">
        <f>F15*(1-G15)</f>
        <v>0</v>
      </c>
      <c r="I15" s="3100"/>
      <c r="J15" s="3109" t="s">
        <v>1950</v>
      </c>
      <c r="K15" s="3215">
        <f>F46/10^6*L15/2000</f>
        <v>0.30791399999999997</v>
      </c>
      <c r="L15" s="3097">
        <v>7.6</v>
      </c>
      <c r="M15" s="3117" t="s">
        <v>587</v>
      </c>
      <c r="N15" s="1763"/>
    </row>
    <row r="16" spans="1:19" s="47" customFormat="1" ht="18.5">
      <c r="A16" s="643"/>
      <c r="B16" s="3105" t="s">
        <v>6</v>
      </c>
      <c r="C16" s="3097">
        <f>'Hrly (FL1-FL3)'!C16*8760/2000</f>
        <v>36.74074869907929</v>
      </c>
      <c r="D16" s="3214">
        <f>'Hrly (FL1-FL3)'!D16*8760/2000</f>
        <v>587.85197918526831</v>
      </c>
      <c r="E16" s="3214">
        <f>'Hrly (FL1-FL3)'!E16*8760/2000</f>
        <v>734.8149739815874</v>
      </c>
      <c r="F16" s="3106">
        <f>'Hrly (FL1-FL3)'!F16*8760/2000</f>
        <v>1359.4077018659352</v>
      </c>
      <c r="G16" s="3107">
        <f t="shared" ref="G16:G39" si="0">$L$19/100</f>
        <v>0.98</v>
      </c>
      <c r="H16" s="3108">
        <f t="shared" ref="H16:H39" si="1">F16*(1-G16)</f>
        <v>27.188154037318728</v>
      </c>
      <c r="I16" s="3100"/>
      <c r="J16" s="3109" t="s">
        <v>1951</v>
      </c>
      <c r="K16" s="3215">
        <f>F46/10^6*L16/2000</f>
        <v>0.30791399999999997</v>
      </c>
      <c r="L16" s="3097">
        <v>7.6</v>
      </c>
      <c r="M16" s="3117" t="s">
        <v>587</v>
      </c>
      <c r="N16" s="1763"/>
    </row>
    <row r="17" spans="1:14" s="47" customFormat="1" ht="19" thickBot="1">
      <c r="A17" s="643"/>
      <c r="B17" s="3105" t="s">
        <v>7</v>
      </c>
      <c r="C17" s="3097">
        <f>'Hrly (FL1-FL3)'!C17*8760/2000</f>
        <v>14.697843726170849</v>
      </c>
      <c r="D17" s="3214">
        <f>'Hrly (FL1-FL3)'!D17*8760/2000</f>
        <v>235.16549961873358</v>
      </c>
      <c r="E17" s="3214">
        <f>'Hrly (FL1-FL3)'!E17*8760/2000</f>
        <v>293.9568745234169</v>
      </c>
      <c r="F17" s="3106">
        <f>'Hrly (FL1-FL3)'!F17*8760/2000</f>
        <v>543.82021786832138</v>
      </c>
      <c r="G17" s="3107">
        <f t="shared" si="0"/>
        <v>0.98</v>
      </c>
      <c r="H17" s="3108">
        <f t="shared" si="1"/>
        <v>10.876404357366438</v>
      </c>
      <c r="I17" s="3100"/>
      <c r="J17" s="3119" t="s">
        <v>1952</v>
      </c>
      <c r="K17" s="3218">
        <f>'Hrly (FL1-FL3)'!K4*8760/2000</f>
        <v>0</v>
      </c>
      <c r="L17" s="3121" t="s">
        <v>445</v>
      </c>
      <c r="M17" s="3122" t="s">
        <v>445</v>
      </c>
      <c r="N17" s="1763"/>
    </row>
    <row r="18" spans="1:14" s="47" customFormat="1" ht="16" thickBot="1">
      <c r="A18" s="643"/>
      <c r="B18" s="3105" t="s">
        <v>8</v>
      </c>
      <c r="C18" s="3097">
        <f>'Hrly (FL1-FL3)'!C18*8760/2000</f>
        <v>2.3793466333258553</v>
      </c>
      <c r="D18" s="3214">
        <f>'Hrly (FL1-FL3)'!D18*8760/2000</f>
        <v>38.069546133213663</v>
      </c>
      <c r="E18" s="3214">
        <f>'Hrly (FL1-FL3)'!E18*8760/2000</f>
        <v>47.586932666517029</v>
      </c>
      <c r="F18" s="3106">
        <f>'Hrly (FL1-FL3)'!F18*8760/2000</f>
        <v>88.035825433056544</v>
      </c>
      <c r="G18" s="3107">
        <f t="shared" si="0"/>
        <v>0.98</v>
      </c>
      <c r="H18" s="3108">
        <f t="shared" si="1"/>
        <v>1.7607165086611325</v>
      </c>
      <c r="I18" s="3100"/>
      <c r="J18" s="3123"/>
      <c r="K18" s="3219"/>
      <c r="L18" s="3129"/>
      <c r="M18" s="3129"/>
      <c r="N18" s="1763"/>
    </row>
    <row r="19" spans="1:14" s="47" customFormat="1" ht="16" thickBot="1">
      <c r="A19" s="643"/>
      <c r="B19" s="3105" t="s">
        <v>747</v>
      </c>
      <c r="C19" s="3097">
        <f>'Hrly (FL1-FL3)'!C19*8760/2000</f>
        <v>0</v>
      </c>
      <c r="D19" s="3214">
        <f>'Hrly (FL1-FL3)'!D19*8760/2000</f>
        <v>0</v>
      </c>
      <c r="E19" s="3214">
        <f>'Hrly (FL1-FL3)'!E19*8760/2000</f>
        <v>0</v>
      </c>
      <c r="F19" s="3106">
        <f>'Hrly (FL1-FL3)'!F19*8760/2000</f>
        <v>0</v>
      </c>
      <c r="G19" s="3107">
        <f t="shared" si="0"/>
        <v>0.98</v>
      </c>
      <c r="H19" s="3108">
        <f t="shared" si="1"/>
        <v>0</v>
      </c>
      <c r="I19" s="3100"/>
      <c r="J19" s="4724" t="s">
        <v>744</v>
      </c>
      <c r="K19" s="4725"/>
      <c r="L19" s="3126">
        <v>98</v>
      </c>
      <c r="M19" s="3127" t="s">
        <v>296</v>
      </c>
      <c r="N19" s="1763"/>
    </row>
    <row r="20" spans="1:14" s="47" customFormat="1" ht="15.5">
      <c r="A20" s="643"/>
      <c r="B20" s="3105" t="s">
        <v>748</v>
      </c>
      <c r="C20" s="3097">
        <f>'Hrly (FL1-FL3)'!C20*8760/2000</f>
        <v>0</v>
      </c>
      <c r="D20" s="3214">
        <f>'Hrly (FL1-FL3)'!D20*8760/2000</f>
        <v>0</v>
      </c>
      <c r="E20" s="3214">
        <f>'Hrly (FL1-FL3)'!E20*8760/2000</f>
        <v>0</v>
      </c>
      <c r="F20" s="3106">
        <f>'Hrly (FL1-FL3)'!F20*8760/2000</f>
        <v>0</v>
      </c>
      <c r="G20" s="3107">
        <f t="shared" si="0"/>
        <v>0.98</v>
      </c>
      <c r="H20" s="3108">
        <f t="shared" si="1"/>
        <v>0</v>
      </c>
      <c r="I20" s="3100"/>
      <c r="J20" s="3123"/>
      <c r="K20" s="3219"/>
      <c r="L20" s="3129"/>
      <c r="M20" s="3129"/>
      <c r="N20" s="1763"/>
    </row>
    <row r="21" spans="1:14" s="47" customFormat="1" ht="15.5">
      <c r="A21" s="643"/>
      <c r="B21" s="3105" t="s">
        <v>749</v>
      </c>
      <c r="C21" s="3097">
        <f>'Hrly (FL1-FL3)'!C21*8760/2000</f>
        <v>0</v>
      </c>
      <c r="D21" s="3214">
        <f>'Hrly (FL1-FL3)'!D21*8760/2000</f>
        <v>0</v>
      </c>
      <c r="E21" s="3214">
        <f>'Hrly (FL1-FL3)'!E21*8760/2000</f>
        <v>0</v>
      </c>
      <c r="F21" s="3106">
        <f>'Hrly (FL1-FL3)'!F21*8760/2000</f>
        <v>0</v>
      </c>
      <c r="G21" s="3107">
        <f t="shared" si="0"/>
        <v>0.98</v>
      </c>
      <c r="H21" s="3108">
        <f t="shared" si="1"/>
        <v>0</v>
      </c>
      <c r="I21" s="3100"/>
      <c r="J21" s="3123"/>
      <c r="K21" s="3219"/>
      <c r="L21" s="3129"/>
      <c r="M21" s="3129"/>
      <c r="N21" s="1763"/>
    </row>
    <row r="22" spans="1:14" s="47" customFormat="1" ht="15.5">
      <c r="A22" s="643"/>
      <c r="B22" s="3105" t="s">
        <v>750</v>
      </c>
      <c r="C22" s="3097">
        <f>'Hrly (FL1-FL3)'!C22*8760/2000</f>
        <v>0</v>
      </c>
      <c r="D22" s="3214">
        <f>'Hrly (FL1-FL3)'!D22*8760/2000</f>
        <v>0</v>
      </c>
      <c r="E22" s="3214">
        <f>'Hrly (FL1-FL3)'!E22*8760/2000</f>
        <v>0</v>
      </c>
      <c r="F22" s="3106">
        <f>'Hrly (FL1-FL3)'!F22*8760/2000</f>
        <v>0</v>
      </c>
      <c r="G22" s="3107">
        <f t="shared" si="0"/>
        <v>0.98</v>
      </c>
      <c r="H22" s="3108">
        <f t="shared" si="1"/>
        <v>0</v>
      </c>
      <c r="I22" s="3100"/>
      <c r="J22" s="3123"/>
      <c r="K22" s="3219"/>
      <c r="L22" s="3129"/>
      <c r="M22" s="3129"/>
      <c r="N22" s="1763"/>
    </row>
    <row r="23" spans="1:14" s="47" customFormat="1" ht="15.5">
      <c r="A23" s="643"/>
      <c r="B23" s="3105" t="s">
        <v>800</v>
      </c>
      <c r="C23" s="3097">
        <f>'Hrly (FL1-FL3)'!C23*8760/2000</f>
        <v>0</v>
      </c>
      <c r="D23" s="3214">
        <f>'Hrly (FL1-FL3)'!D23*8760/2000</f>
        <v>0</v>
      </c>
      <c r="E23" s="3214">
        <f>'Hrly (FL1-FL3)'!E23*8760/2000</f>
        <v>0</v>
      </c>
      <c r="F23" s="3106">
        <f>'Hrly (FL1-FL3)'!F23*8760/2000</f>
        <v>0</v>
      </c>
      <c r="G23" s="3107">
        <f t="shared" si="0"/>
        <v>0.98</v>
      </c>
      <c r="H23" s="3108">
        <f t="shared" si="1"/>
        <v>0</v>
      </c>
      <c r="I23" s="3100"/>
      <c r="J23" s="3123"/>
      <c r="K23" s="3219"/>
      <c r="L23" s="3129"/>
      <c r="M23" s="3129"/>
      <c r="N23" s="1763"/>
    </row>
    <row r="24" spans="1:14" s="47" customFormat="1" ht="15.5">
      <c r="A24" s="643"/>
      <c r="B24" s="3105" t="s">
        <v>292</v>
      </c>
      <c r="C24" s="3097">
        <f>'Hrly (FL1-FL3)'!C24*8760/2000</f>
        <v>0</v>
      </c>
      <c r="D24" s="3214">
        <f>'Hrly (FL1-FL3)'!D24*8760/2000</f>
        <v>0</v>
      </c>
      <c r="E24" s="3214">
        <f>'Hrly (FL1-FL3)'!E24*8760/2000</f>
        <v>0</v>
      </c>
      <c r="F24" s="3106">
        <f>'Hrly (FL1-FL3)'!F24*8760/2000</f>
        <v>0</v>
      </c>
      <c r="G24" s="3107">
        <f t="shared" si="0"/>
        <v>0.98</v>
      </c>
      <c r="H24" s="3108">
        <f t="shared" si="1"/>
        <v>0</v>
      </c>
      <c r="I24" s="3100"/>
      <c r="J24" s="3123"/>
      <c r="K24" s="3219"/>
      <c r="L24" s="3129"/>
      <c r="M24" s="3129"/>
      <c r="N24" s="1763"/>
    </row>
    <row r="25" spans="1:14" s="47" customFormat="1" ht="15.5">
      <c r="A25" s="643"/>
      <c r="B25" s="3105" t="s">
        <v>10</v>
      </c>
      <c r="C25" s="3097">
        <f>'Hrly (FL1-FL3)'!C25*8760/2000</f>
        <v>0</v>
      </c>
      <c r="D25" s="3214">
        <f>'Hrly (FL1-FL3)'!D25*8760/2000</f>
        <v>0</v>
      </c>
      <c r="E25" s="3214">
        <f>'Hrly (FL1-FL3)'!E25*8760/2000</f>
        <v>0</v>
      </c>
      <c r="F25" s="3106">
        <f>'Hrly (FL1-FL3)'!F25*8760/2000</f>
        <v>0</v>
      </c>
      <c r="G25" s="3107">
        <f t="shared" si="0"/>
        <v>0.98</v>
      </c>
      <c r="H25" s="3108">
        <f t="shared" si="1"/>
        <v>0</v>
      </c>
      <c r="I25" s="3100"/>
      <c r="J25" s="3123"/>
      <c r="K25" s="3219"/>
      <c r="L25" s="3129"/>
      <c r="M25" s="3129"/>
      <c r="N25" s="1763"/>
    </row>
    <row r="26" spans="1:14" s="47" customFormat="1" ht="15.5">
      <c r="A26" s="643"/>
      <c r="B26" s="3105" t="s">
        <v>9</v>
      </c>
      <c r="C26" s="3097">
        <f>'Hrly (FL1-FL3)'!C26*8760/2000</f>
        <v>0</v>
      </c>
      <c r="D26" s="3214">
        <f>'Hrly (FL1-FL3)'!D26*8760/2000</f>
        <v>0</v>
      </c>
      <c r="E26" s="3214">
        <f>'Hrly (FL1-FL3)'!E26*8760/2000</f>
        <v>0</v>
      </c>
      <c r="F26" s="3106">
        <f>'Hrly (FL1-FL3)'!F26*8760/2000</f>
        <v>0</v>
      </c>
      <c r="G26" s="3107">
        <f t="shared" si="0"/>
        <v>0.98</v>
      </c>
      <c r="H26" s="3108">
        <f t="shared" si="1"/>
        <v>0</v>
      </c>
      <c r="I26" s="3100"/>
      <c r="J26" s="3123"/>
      <c r="K26" s="3219"/>
      <c r="L26" s="3129"/>
      <c r="M26" s="3129"/>
      <c r="N26" s="1763"/>
    </row>
    <row r="27" spans="1:14" s="47" customFormat="1" ht="15.5">
      <c r="A27" s="643"/>
      <c r="B27" s="3105" t="s">
        <v>11</v>
      </c>
      <c r="C27" s="3097">
        <f>'Hrly (FL1-FL3)'!C27*8760/2000</f>
        <v>0</v>
      </c>
      <c r="D27" s="3214">
        <f>'Hrly (FL1-FL3)'!D27*8760/2000</f>
        <v>0</v>
      </c>
      <c r="E27" s="3214">
        <f>'Hrly (FL1-FL3)'!E27*8760/2000</f>
        <v>0</v>
      </c>
      <c r="F27" s="3106">
        <f>'Hrly (FL1-FL3)'!F27*8760/2000</f>
        <v>0</v>
      </c>
      <c r="G27" s="3107">
        <f t="shared" si="0"/>
        <v>0.98</v>
      </c>
      <c r="H27" s="3108">
        <f t="shared" si="1"/>
        <v>0</v>
      </c>
      <c r="I27" s="3100"/>
      <c r="J27" s="3123"/>
      <c r="K27" s="3219"/>
      <c r="L27" s="3129"/>
      <c r="M27" s="3129"/>
      <c r="N27" s="1763"/>
    </row>
    <row r="28" spans="1:14" ht="15.5">
      <c r="A28" s="643"/>
      <c r="B28" s="3105" t="s">
        <v>12</v>
      </c>
      <c r="C28" s="3097">
        <f>'Hrly (FL1-FL3)'!C28*8760/2000</f>
        <v>0</v>
      </c>
      <c r="D28" s="3214">
        <f>'Hrly (FL1-FL3)'!D28*8760/2000</f>
        <v>0</v>
      </c>
      <c r="E28" s="3214">
        <f>'Hrly (FL1-FL3)'!E28*8760/2000</f>
        <v>0</v>
      </c>
      <c r="F28" s="3106">
        <f>'Hrly (FL1-FL3)'!F28*8760/2000</f>
        <v>0</v>
      </c>
      <c r="G28" s="3107">
        <f t="shared" si="0"/>
        <v>0.98</v>
      </c>
      <c r="H28" s="3108">
        <f t="shared" si="1"/>
        <v>0</v>
      </c>
      <c r="I28" s="3100"/>
      <c r="J28" s="3123"/>
      <c r="K28" s="3219"/>
      <c r="L28" s="3125"/>
      <c r="M28" s="1766"/>
      <c r="N28" s="1763"/>
    </row>
    <row r="29" spans="1:14" ht="15.5">
      <c r="A29" s="643"/>
      <c r="B29" s="3105" t="s">
        <v>286</v>
      </c>
      <c r="C29" s="3097">
        <f>'Hrly (FL1-FL3)'!C29*8760/2000</f>
        <v>0</v>
      </c>
      <c r="D29" s="3214">
        <f>'Hrly (FL1-FL3)'!D29*8760/2000</f>
        <v>0</v>
      </c>
      <c r="E29" s="3214">
        <f>'Hrly (FL1-FL3)'!E29*8760/2000</f>
        <v>0</v>
      </c>
      <c r="F29" s="3106">
        <f>'Hrly (FL1-FL3)'!F29*8760/2000</f>
        <v>0</v>
      </c>
      <c r="G29" s="3107">
        <f t="shared" si="0"/>
        <v>0.98</v>
      </c>
      <c r="H29" s="3108">
        <f t="shared" si="1"/>
        <v>0</v>
      </c>
      <c r="I29" s="3100"/>
      <c r="J29" s="3123"/>
      <c r="K29" s="3219"/>
      <c r="L29" s="3125"/>
      <c r="M29" s="1766"/>
      <c r="N29" s="1763"/>
    </row>
    <row r="30" spans="1:14" ht="15.5">
      <c r="A30" s="643"/>
      <c r="B30" s="3105" t="s">
        <v>801</v>
      </c>
      <c r="C30" s="3097">
        <f>'Hrly (FL1-FL3)'!C30*8760/2000</f>
        <v>0</v>
      </c>
      <c r="D30" s="3214">
        <f>'Hrly (FL1-FL3)'!D30*8760/2000</f>
        <v>0</v>
      </c>
      <c r="E30" s="3214">
        <f>'Hrly (FL1-FL3)'!E30*8760/2000</f>
        <v>0</v>
      </c>
      <c r="F30" s="3106">
        <f>'Hrly (FL1-FL3)'!F30*8760/2000</f>
        <v>0</v>
      </c>
      <c r="G30" s="3107">
        <f t="shared" si="0"/>
        <v>0.98</v>
      </c>
      <c r="H30" s="3108">
        <f t="shared" si="1"/>
        <v>0</v>
      </c>
      <c r="I30" s="3100"/>
      <c r="J30" s="3123"/>
      <c r="K30" s="3219"/>
      <c r="L30" s="3129"/>
      <c r="M30" s="3129"/>
      <c r="N30" s="1763"/>
    </row>
    <row r="31" spans="1:14" ht="15.5">
      <c r="A31" s="643"/>
      <c r="B31" s="3105" t="s">
        <v>65</v>
      </c>
      <c r="C31" s="3097">
        <f>'Hrly (FL1-FL3)'!C31*8760/2000</f>
        <v>0</v>
      </c>
      <c r="D31" s="3214">
        <f>'Hrly (FL1-FL3)'!D31*8760/2000</f>
        <v>0</v>
      </c>
      <c r="E31" s="3214">
        <f>'Hrly (FL1-FL3)'!E31*8760/2000</f>
        <v>0</v>
      </c>
      <c r="F31" s="3106">
        <f>'Hrly (FL1-FL3)'!F31*8760/2000</f>
        <v>0</v>
      </c>
      <c r="G31" s="3107">
        <f t="shared" si="0"/>
        <v>0.98</v>
      </c>
      <c r="H31" s="3108">
        <f t="shared" si="1"/>
        <v>0</v>
      </c>
      <c r="I31" s="3100"/>
      <c r="J31" s="3123"/>
      <c r="K31" s="3124"/>
      <c r="L31" s="3125"/>
      <c r="M31" s="1766"/>
      <c r="N31" s="1763"/>
    </row>
    <row r="32" spans="1:14" ht="15.5">
      <c r="A32" s="643"/>
      <c r="B32" s="3105" t="s">
        <v>13</v>
      </c>
      <c r="C32" s="3097">
        <f>'Hrly (FL1-FL3)'!C32*8760/2000</f>
        <v>0</v>
      </c>
      <c r="D32" s="3214">
        <f>'Hrly (FL1-FL3)'!D32*8760/2000</f>
        <v>0</v>
      </c>
      <c r="E32" s="3214">
        <f>'Hrly (FL1-FL3)'!E32*8760/2000</f>
        <v>0</v>
      </c>
      <c r="F32" s="3106">
        <f>'Hrly (FL1-FL3)'!F32*8760/2000</f>
        <v>0</v>
      </c>
      <c r="G32" s="3107">
        <f t="shared" si="0"/>
        <v>0.98</v>
      </c>
      <c r="H32" s="3108">
        <f t="shared" si="1"/>
        <v>0</v>
      </c>
      <c r="I32" s="3100"/>
      <c r="J32" s="4758"/>
      <c r="K32" s="4758"/>
      <c r="L32" s="3220"/>
      <c r="M32" s="3221"/>
      <c r="N32" s="3222"/>
    </row>
    <row r="33" spans="1:14" ht="15.5">
      <c r="A33" s="643"/>
      <c r="B33" s="3105" t="s">
        <v>14</v>
      </c>
      <c r="C33" s="3097">
        <f>'Hrly (FL1-FL3)'!C33*8760/2000</f>
        <v>0</v>
      </c>
      <c r="D33" s="3214">
        <f>'Hrly (FL1-FL3)'!D33*8760/2000</f>
        <v>0</v>
      </c>
      <c r="E33" s="3214">
        <f>'Hrly (FL1-FL3)'!E33*8760/2000</f>
        <v>0</v>
      </c>
      <c r="F33" s="3106">
        <f>'Hrly (FL1-FL3)'!F33*8760/2000</f>
        <v>0</v>
      </c>
      <c r="G33" s="3107">
        <f t="shared" si="0"/>
        <v>0.98</v>
      </c>
      <c r="H33" s="3108">
        <f t="shared" si="1"/>
        <v>0</v>
      </c>
      <c r="I33" s="3100"/>
      <c r="J33" s="3123"/>
      <c r="K33" s="3124"/>
      <c r="L33" s="3125"/>
      <c r="M33" s="1766"/>
      <c r="N33" s="1763"/>
    </row>
    <row r="34" spans="1:14" ht="15.5">
      <c r="A34" s="643"/>
      <c r="B34" s="3105" t="s">
        <v>804</v>
      </c>
      <c r="C34" s="3097">
        <f>'Hrly (FL1-FL3)'!C34*8760/2000</f>
        <v>0</v>
      </c>
      <c r="D34" s="3214">
        <f>'Hrly (FL1-FL3)'!D34*8760/2000</f>
        <v>0</v>
      </c>
      <c r="E34" s="3214">
        <f>'Hrly (FL1-FL3)'!E34*8760/2000</f>
        <v>0</v>
      </c>
      <c r="F34" s="3106">
        <f>'Hrly (FL1-FL3)'!F34*8760/2000</f>
        <v>0</v>
      </c>
      <c r="G34" s="3107">
        <f t="shared" si="0"/>
        <v>0.98</v>
      </c>
      <c r="H34" s="3108">
        <f t="shared" si="1"/>
        <v>0</v>
      </c>
      <c r="I34" s="3100"/>
      <c r="J34" s="3123"/>
      <c r="K34" s="3124"/>
      <c r="L34" s="3125"/>
      <c r="M34" s="1766"/>
      <c r="N34" s="1763"/>
    </row>
    <row r="35" spans="1:14" ht="15.5">
      <c r="A35" s="643"/>
      <c r="B35" s="3105" t="s">
        <v>16</v>
      </c>
      <c r="C35" s="3097">
        <f>'Hrly (FL1-FL3)'!C35*8760/2000</f>
        <v>0</v>
      </c>
      <c r="D35" s="3214">
        <f>'Hrly (FL1-FL3)'!D35*8760/2000</f>
        <v>0</v>
      </c>
      <c r="E35" s="3214">
        <f>'Hrly (FL1-FL3)'!E35*8760/2000</f>
        <v>0</v>
      </c>
      <c r="F35" s="3106">
        <f>'Hrly (FL1-FL3)'!F35*8760/2000</f>
        <v>0</v>
      </c>
      <c r="G35" s="3107">
        <f t="shared" si="0"/>
        <v>0.98</v>
      </c>
      <c r="H35" s="3108">
        <f t="shared" si="1"/>
        <v>0</v>
      </c>
      <c r="I35" s="3100"/>
      <c r="J35" s="3123"/>
      <c r="K35" s="3124"/>
      <c r="L35" s="3125"/>
      <c r="M35" s="1766"/>
      <c r="N35" s="1763"/>
    </row>
    <row r="36" spans="1:14" ht="15.5">
      <c r="A36" s="643"/>
      <c r="B36" s="3105" t="s">
        <v>802</v>
      </c>
      <c r="C36" s="3097">
        <f>'Hrly (FL1-FL3)'!C36*8760/2000</f>
        <v>0</v>
      </c>
      <c r="D36" s="3214">
        <f>'Hrly (FL1-FL3)'!D36*8760/2000</f>
        <v>0</v>
      </c>
      <c r="E36" s="3214">
        <f>'Hrly (FL1-FL3)'!E36*8760/2000</f>
        <v>0</v>
      </c>
      <c r="F36" s="3106">
        <f>'Hrly (FL1-FL3)'!F36*8760/2000</f>
        <v>0</v>
      </c>
      <c r="G36" s="3107">
        <f t="shared" si="0"/>
        <v>0.98</v>
      </c>
      <c r="H36" s="3108">
        <f t="shared" si="1"/>
        <v>0</v>
      </c>
      <c r="I36" s="3100"/>
      <c r="J36" s="3123"/>
      <c r="K36" s="3124"/>
      <c r="L36" s="3125"/>
      <c r="M36" s="1766"/>
      <c r="N36" s="1763"/>
    </row>
    <row r="37" spans="1:14" ht="15.5">
      <c r="A37" s="643"/>
      <c r="B37" s="3105" t="s">
        <v>803</v>
      </c>
      <c r="C37" s="3097">
        <f>'Hrly (FL1-FL3)'!C37*8760/2000</f>
        <v>0</v>
      </c>
      <c r="D37" s="3214">
        <f>'Hrly (FL1-FL3)'!D37*8760/2000</f>
        <v>0</v>
      </c>
      <c r="E37" s="3214">
        <f>'Hrly (FL1-FL3)'!E37*8760/2000</f>
        <v>0</v>
      </c>
      <c r="F37" s="3106">
        <f>'Hrly (FL1-FL3)'!F37*8760/2000</f>
        <v>0</v>
      </c>
      <c r="G37" s="3107">
        <f t="shared" si="0"/>
        <v>0.98</v>
      </c>
      <c r="H37" s="3108">
        <f t="shared" si="1"/>
        <v>0</v>
      </c>
      <c r="I37" s="3100"/>
      <c r="J37" s="3123"/>
      <c r="K37" s="3124"/>
      <c r="L37" s="3125"/>
      <c r="M37" s="1766"/>
      <c r="N37" s="1763"/>
    </row>
    <row r="38" spans="1:14" ht="15.5">
      <c r="A38" s="643"/>
      <c r="B38" s="3105" t="s">
        <v>805</v>
      </c>
      <c r="C38" s="3097">
        <f>'Hrly (FL1-FL3)'!C38*8760/2000</f>
        <v>0</v>
      </c>
      <c r="D38" s="3214">
        <f>'Hrly (FL1-FL3)'!D38*8760/2000</f>
        <v>0</v>
      </c>
      <c r="E38" s="3214">
        <f>'Hrly (FL1-FL3)'!E38*8760/2000</f>
        <v>0</v>
      </c>
      <c r="F38" s="3106">
        <f>'Hrly (FL1-FL3)'!F38*8760/2000</f>
        <v>0</v>
      </c>
      <c r="G38" s="3107">
        <f t="shared" si="0"/>
        <v>0.98</v>
      </c>
      <c r="H38" s="3108">
        <f t="shared" si="1"/>
        <v>0</v>
      </c>
      <c r="I38" s="3100"/>
      <c r="J38" s="3123"/>
      <c r="K38" s="3124"/>
      <c r="L38" s="3125"/>
      <c r="M38" s="1766"/>
      <c r="N38" s="1763"/>
    </row>
    <row r="39" spans="1:14" ht="16" thickBot="1">
      <c r="A39" s="643"/>
      <c r="B39" s="3130" t="s">
        <v>752</v>
      </c>
      <c r="C39" s="3185">
        <f>'Hrly (FL1-FL3)'!C39*8760/2000</f>
        <v>0</v>
      </c>
      <c r="D39" s="3186">
        <f>'Hrly (FL1-FL3)'!D39*8760/2000</f>
        <v>0</v>
      </c>
      <c r="E39" s="3186">
        <f>'Hrly (FL1-FL3)'!E39*8760/2000</f>
        <v>0</v>
      </c>
      <c r="F39" s="3223">
        <f>'Hrly (FL1-FL3)'!F39*8760/2000</f>
        <v>0</v>
      </c>
      <c r="G39" s="3107">
        <f t="shared" si="0"/>
        <v>0.98</v>
      </c>
      <c r="H39" s="3108">
        <f t="shared" si="1"/>
        <v>0</v>
      </c>
      <c r="I39" s="3100"/>
      <c r="J39" s="3123"/>
      <c r="K39" s="3124"/>
      <c r="L39" s="3125"/>
      <c r="M39" s="1766"/>
      <c r="N39" s="1763"/>
    </row>
    <row r="40" spans="1:14" ht="15.5">
      <c r="A40" s="643"/>
      <c r="B40" s="3096" t="s">
        <v>692</v>
      </c>
      <c r="C40" s="3224">
        <f>SUM(C12:C39)</f>
        <v>54.553525435747503</v>
      </c>
      <c r="D40" s="3135">
        <f>SUM(D12:D39)</f>
        <v>872.85640697195981</v>
      </c>
      <c r="E40" s="3135">
        <f>SUM(E12:E39)</f>
        <v>1091.0705087149518</v>
      </c>
      <c r="F40" s="3099">
        <f>SUM(F12:F39)</f>
        <v>2018.4804411226594</v>
      </c>
      <c r="G40" s="3225" t="s">
        <v>445</v>
      </c>
      <c r="H40" s="3099">
        <f>SUM(H12:H39)</f>
        <v>67.041614276752441</v>
      </c>
      <c r="I40" s="3100"/>
      <c r="J40" s="1762"/>
      <c r="K40" s="1762"/>
      <c r="L40" s="1762"/>
      <c r="M40" s="1762"/>
      <c r="N40" s="1763"/>
    </row>
    <row r="41" spans="1:14" ht="15.5">
      <c r="A41" s="643"/>
      <c r="B41" s="3105" t="s">
        <v>55</v>
      </c>
      <c r="C41" s="3226">
        <f>SUM(C18:C39)</f>
        <v>2.3793466333258553</v>
      </c>
      <c r="D41" s="3227">
        <f>SUM(D18:D39)</f>
        <v>38.069546133213663</v>
      </c>
      <c r="E41" s="3227">
        <f>SUM(E18:E39)</f>
        <v>47.586932666517029</v>
      </c>
      <c r="F41" s="3108">
        <f>SUM(F18:F39)</f>
        <v>88.035825433056544</v>
      </c>
      <c r="G41" s="3228" t="s">
        <v>445</v>
      </c>
      <c r="H41" s="3108">
        <f>SUM(H18:H39)</f>
        <v>1.7607165086611325</v>
      </c>
      <c r="I41" s="3100"/>
      <c r="J41" s="1762"/>
      <c r="K41" s="1762"/>
      <c r="L41" s="1762"/>
      <c r="M41" s="1762"/>
      <c r="N41" s="1763"/>
    </row>
    <row r="42" spans="1:14" ht="16" thickBot="1">
      <c r="A42" s="643"/>
      <c r="B42" s="3229" t="s">
        <v>693</v>
      </c>
      <c r="C42" s="3230">
        <f>SUM(C25,C33,C35,C36,C27,C29)</f>
        <v>0</v>
      </c>
      <c r="D42" s="3145">
        <f>SUM(D25,D33,D35,D36,D27,D29)</f>
        <v>0</v>
      </c>
      <c r="E42" s="3145">
        <f>SUM(E25,E33,E35,E36,E27,E29)</f>
        <v>0</v>
      </c>
      <c r="F42" s="3148">
        <f>SUM(F25,F33,F35,F36,F27,F29)</f>
        <v>0</v>
      </c>
      <c r="G42" s="3231" t="s">
        <v>445</v>
      </c>
      <c r="H42" s="3148">
        <f>SUM(H25,H33,H35,H36,H27,H29)</f>
        <v>0</v>
      </c>
      <c r="I42" s="3100"/>
      <c r="J42" s="1762"/>
      <c r="K42" s="1762"/>
      <c r="L42" s="1762"/>
      <c r="M42" s="1762"/>
      <c r="N42" s="1763"/>
    </row>
    <row r="43" spans="1:14" ht="15.5">
      <c r="A43" s="643"/>
      <c r="B43" s="3232" t="s">
        <v>694</v>
      </c>
      <c r="C43" s="3233">
        <f>'Hrly (FL1-FL3)'!C43</f>
        <v>1049.08489049902</v>
      </c>
      <c r="D43" s="3194">
        <f>'Hrly (FL1-FL3)'!D43</f>
        <v>1049.08489049902</v>
      </c>
      <c r="E43" s="3194">
        <f>'Hrly (FL1-FL3)'!E43</f>
        <v>1049.08489049902</v>
      </c>
      <c r="F43" s="3234">
        <f>SUMPRODUCT(C43:E43,C46:E46)/F46</f>
        <v>1049.08489049902</v>
      </c>
      <c r="G43" s="1762"/>
      <c r="H43" s="1762"/>
      <c r="I43" s="1762"/>
      <c r="J43" s="1762"/>
      <c r="K43" s="1762"/>
      <c r="L43" s="1762"/>
      <c r="M43" s="1762"/>
      <c r="N43" s="1763"/>
    </row>
    <row r="44" spans="1:14" ht="15.5">
      <c r="A44" s="643"/>
      <c r="B44" s="3153" t="s">
        <v>20</v>
      </c>
      <c r="C44" s="3235">
        <f>'Hrly (FL1-FL3)'!C44</f>
        <v>18.906107429477601</v>
      </c>
      <c r="D44" s="3151">
        <f>'Hrly (FL1-FL3)'!D44</f>
        <v>18.906107429477601</v>
      </c>
      <c r="E44" s="3151">
        <f>'Hrly (FL1-FL3)'!E44</f>
        <v>18.906107429477601</v>
      </c>
      <c r="F44" s="3156" t="s">
        <v>445</v>
      </c>
      <c r="G44" s="3157"/>
      <c r="H44" s="3157"/>
      <c r="I44" s="3157"/>
      <c r="J44" s="3157"/>
      <c r="K44" s="3157"/>
      <c r="L44" s="3157"/>
      <c r="M44" s="3157"/>
      <c r="N44" s="3158"/>
    </row>
    <row r="45" spans="1:14" ht="15.5">
      <c r="A45" s="643"/>
      <c r="B45" s="3153" t="s">
        <v>695</v>
      </c>
      <c r="C45" s="3154">
        <f>'Hrly (FL1-FL3)'!C45*8760/2000</f>
        <v>0</v>
      </c>
      <c r="D45" s="3236">
        <f>'Hrly (FL1-FL3)'!D45*8760/2000</f>
        <v>0</v>
      </c>
      <c r="E45" s="3236">
        <f>'Hrly (FL1-FL3)'!E45*8760/2000</f>
        <v>0</v>
      </c>
      <c r="F45" s="3161">
        <f>SUM(C45:E45)</f>
        <v>0</v>
      </c>
      <c r="G45" s="3157"/>
      <c r="H45" s="3157"/>
      <c r="I45" s="3157"/>
      <c r="J45" s="3157"/>
      <c r="K45" s="3157"/>
      <c r="L45" s="3157"/>
      <c r="M45" s="3157"/>
      <c r="N45" s="3158"/>
    </row>
    <row r="46" spans="1:14" ht="15.5">
      <c r="A46" s="643"/>
      <c r="B46" s="3153" t="s">
        <v>907</v>
      </c>
      <c r="C46" s="3237">
        <f>'Hrly (FL1-FL3)'!C46*8760</f>
        <v>2190000</v>
      </c>
      <c r="D46" s="3238">
        <f>'Hrly (FL1-FL3)'!D46*8760</f>
        <v>35040000</v>
      </c>
      <c r="E46" s="3238">
        <f>'Hrly (FL1-FL3)'!E46*8760</f>
        <v>43800000</v>
      </c>
      <c r="F46" s="3239">
        <f>SUM(C46:E46)</f>
        <v>81030000</v>
      </c>
      <c r="G46" s="3157"/>
      <c r="H46" s="3157"/>
      <c r="I46" s="3157"/>
      <c r="J46" s="3157"/>
      <c r="K46" s="3157"/>
      <c r="L46" s="3157"/>
      <c r="M46" s="3157"/>
      <c r="N46" s="3158"/>
    </row>
    <row r="47" spans="1:14" ht="16" thickBot="1">
      <c r="A47" s="643"/>
      <c r="B47" s="3162" t="s">
        <v>697</v>
      </c>
      <c r="C47" s="3240">
        <f>C43*C46/10^6</f>
        <v>2297.4959101928539</v>
      </c>
      <c r="D47" s="3164">
        <f>D43*D46/10^6</f>
        <v>36759.934563085662</v>
      </c>
      <c r="E47" s="3164">
        <f>E43*E46/10^6</f>
        <v>45949.91820385708</v>
      </c>
      <c r="F47" s="3165">
        <f>SUMPRODUCT(C43:E43,C46:E46)/10^6</f>
        <v>85007.348677135597</v>
      </c>
      <c r="G47" s="3157"/>
      <c r="H47" s="3157"/>
      <c r="I47" s="3157"/>
      <c r="J47" s="3157"/>
      <c r="K47" s="3157"/>
      <c r="L47" s="3157"/>
      <c r="M47" s="3157"/>
      <c r="N47" s="3158"/>
    </row>
    <row r="48" spans="1:14" ht="13">
      <c r="A48" s="643"/>
      <c r="B48" s="657"/>
      <c r="C48" s="657"/>
      <c r="D48" s="657"/>
      <c r="E48" s="659"/>
      <c r="F48" s="659"/>
      <c r="G48" s="659"/>
      <c r="H48" s="659"/>
      <c r="I48" s="659"/>
      <c r="J48" s="659"/>
      <c r="K48" s="659"/>
      <c r="L48" s="659"/>
      <c r="M48" s="659"/>
      <c r="N48" s="660"/>
    </row>
    <row r="49" spans="1:14" ht="13.5" thickBot="1">
      <c r="A49" s="643"/>
      <c r="B49" s="657"/>
      <c r="C49" s="657"/>
      <c r="D49" s="657"/>
      <c r="E49" s="659"/>
      <c r="F49" s="659"/>
      <c r="G49" s="659"/>
      <c r="H49" s="659"/>
      <c r="I49" s="659"/>
      <c r="J49" s="659"/>
      <c r="K49" s="659"/>
      <c r="L49" s="659"/>
      <c r="M49" s="659"/>
      <c r="N49" s="660"/>
    </row>
    <row r="50" spans="1:14" ht="13">
      <c r="A50" s="643"/>
      <c r="B50" s="661" t="s">
        <v>698</v>
      </c>
      <c r="C50" s="662"/>
      <c r="D50" s="662"/>
      <c r="E50" s="663"/>
      <c r="F50" s="663"/>
      <c r="G50" s="663"/>
      <c r="H50" s="663"/>
      <c r="I50" s="663"/>
      <c r="J50" s="663"/>
      <c r="K50" s="664"/>
      <c r="L50" s="657"/>
      <c r="M50" s="657"/>
      <c r="N50" s="51"/>
    </row>
    <row r="51" spans="1:14" ht="14.5">
      <c r="A51" s="643"/>
      <c r="B51" s="665" t="s">
        <v>699</v>
      </c>
      <c r="C51" s="666"/>
      <c r="D51" s="666"/>
      <c r="E51" s="667"/>
      <c r="F51" s="667"/>
      <c r="G51" s="667"/>
      <c r="H51" s="667"/>
      <c r="I51" s="667"/>
      <c r="J51" s="667"/>
      <c r="K51" s="668"/>
      <c r="L51" s="657"/>
      <c r="M51" s="657"/>
      <c r="N51" s="51"/>
    </row>
    <row r="52" spans="1:14" ht="26.75" customHeight="1" thickBot="1">
      <c r="A52" s="2436"/>
      <c r="B52" s="4792" t="s">
        <v>745</v>
      </c>
      <c r="C52" s="4793"/>
      <c r="D52" s="4793"/>
      <c r="E52" s="4793"/>
      <c r="F52" s="4793"/>
      <c r="G52" s="4793"/>
      <c r="H52" s="4793"/>
      <c r="I52" s="4793"/>
      <c r="J52" s="4793"/>
      <c r="K52" s="4794"/>
      <c r="L52" s="2435"/>
      <c r="M52" s="669"/>
      <c r="N52" s="670"/>
    </row>
    <row r="53" spans="1:14" ht="13" thickBot="1">
      <c r="A53" s="2434"/>
      <c r="B53" s="2431"/>
      <c r="C53" s="2431"/>
      <c r="D53" s="2431"/>
      <c r="E53" s="2431"/>
      <c r="F53" s="2431"/>
      <c r="G53" s="2431"/>
      <c r="H53" s="2431"/>
      <c r="I53" s="2431"/>
      <c r="J53" s="2431"/>
      <c r="K53" s="2431"/>
      <c r="L53" s="2432"/>
      <c r="M53" s="2432"/>
      <c r="N53" s="2433"/>
    </row>
  </sheetData>
  <mergeCells count="21">
    <mergeCell ref="B8:H8"/>
    <mergeCell ref="J8:M8"/>
    <mergeCell ref="B2:M2"/>
    <mergeCell ref="B3:M3"/>
    <mergeCell ref="B4:M4"/>
    <mergeCell ref="A6:N6"/>
    <mergeCell ref="A7:E7"/>
    <mergeCell ref="M9:M11"/>
    <mergeCell ref="J32:K32"/>
    <mergeCell ref="B9:B11"/>
    <mergeCell ref="C9:C10"/>
    <mergeCell ref="D9:D10"/>
    <mergeCell ref="E9:E10"/>
    <mergeCell ref="F9:F10"/>
    <mergeCell ref="G9:G10"/>
    <mergeCell ref="B52:K52"/>
    <mergeCell ref="H9:H10"/>
    <mergeCell ref="J9:J11"/>
    <mergeCell ref="K9:K10"/>
    <mergeCell ref="L9:L11"/>
    <mergeCell ref="J19:K19"/>
  </mergeCells>
  <pageMargins left="0.45" right="0.45" top="0.75" bottom="0.75" header="0.3" footer="0.3"/>
  <pageSetup scale="59" orientation="portrait" r:id="rId1"/>
  <headerFooter>
    <oddFooter>&amp;CCalculations: Page &amp;P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theme="3" tint="-0.249977111117893"/>
    <pageSetUpPr fitToPage="1"/>
  </sheetPr>
  <dimension ref="A1:S60"/>
  <sheetViews>
    <sheetView view="pageLayout" topLeftCell="A13" zoomScaleNormal="70" zoomScaleSheetLayoutView="55" workbookViewId="0">
      <selection activeCell="E19" sqref="E19:R19"/>
    </sheetView>
  </sheetViews>
  <sheetFormatPr defaultColWidth="8.54296875" defaultRowHeight="12.5"/>
  <cols>
    <col min="1" max="1" width="4.54296875" style="50" customWidth="1"/>
    <col min="2" max="2" width="7.54296875" style="50" customWidth="1"/>
    <col min="3" max="4" width="11.54296875" style="50" customWidth="1"/>
    <col min="5" max="5" width="17.36328125" style="50" customWidth="1"/>
    <col min="6" max="6" width="13.54296875" style="50" customWidth="1"/>
    <col min="7" max="7" width="9.54296875" style="50" customWidth="1"/>
    <col min="8" max="8" width="15.6328125" style="50" customWidth="1"/>
    <col min="9" max="9" width="18.36328125" style="50" customWidth="1"/>
    <col min="10" max="10" width="11.54296875" style="50" customWidth="1"/>
    <col min="11" max="11" width="18.453125" style="50" customWidth="1"/>
    <col min="12" max="12" width="17.453125" style="50" customWidth="1"/>
    <col min="13" max="13" width="11.54296875" style="50" customWidth="1"/>
    <col min="14" max="14" width="7.5429687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796" t="str">
        <f>'Summary-Co'!B4:T4</f>
        <v>HUSKY CDP</v>
      </c>
      <c r="C3" s="4797"/>
      <c r="D3" s="4797"/>
      <c r="E3" s="4797"/>
      <c r="F3" s="4797"/>
      <c r="G3" s="4797"/>
      <c r="H3" s="4797"/>
      <c r="I3" s="4797"/>
      <c r="J3" s="4797"/>
      <c r="K3" s="4797"/>
      <c r="L3" s="4797"/>
      <c r="M3" s="4797"/>
      <c r="N3" s="4798"/>
      <c r="O3" s="588"/>
    </row>
    <row r="4" spans="1:15" ht="30" customHeight="1" thickBot="1">
      <c r="A4" s="587"/>
      <c r="B4" s="4799" t="s">
        <v>1840</v>
      </c>
      <c r="C4" s="4800"/>
      <c r="D4" s="4800"/>
      <c r="E4" s="4800"/>
      <c r="F4" s="4800"/>
      <c r="G4" s="4800"/>
      <c r="H4" s="4800"/>
      <c r="I4" s="4800"/>
      <c r="J4" s="4800"/>
      <c r="K4" s="4800"/>
      <c r="L4" s="4800"/>
      <c r="M4" s="4800"/>
      <c r="N4" s="4801"/>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348</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thickBot="1">
      <c r="A10" s="587"/>
      <c r="B10" s="440"/>
      <c r="C10" s="464"/>
      <c r="D10" s="465"/>
      <c r="E10" s="465"/>
      <c r="F10" s="465"/>
      <c r="G10" s="465"/>
      <c r="H10" s="465"/>
      <c r="I10" s="465"/>
      <c r="J10" s="465"/>
      <c r="K10" s="1973"/>
      <c r="L10" s="1973"/>
      <c r="M10" s="452"/>
      <c r="N10" s="417"/>
      <c r="O10" s="51"/>
    </row>
    <row r="11" spans="1:15" ht="17.149999999999999" customHeight="1" thickBot="1">
      <c r="A11" s="587"/>
      <c r="B11" s="440"/>
      <c r="C11" s="467" t="s">
        <v>353</v>
      </c>
      <c r="D11" s="468" t="s">
        <v>524</v>
      </c>
      <c r="E11" s="421"/>
      <c r="F11" s="421"/>
      <c r="G11" s="421" t="s">
        <v>350</v>
      </c>
      <c r="H11" s="469">
        <f>E12*E13*((1-E14)*E15+E16)</f>
        <v>0</v>
      </c>
      <c r="I11" s="470" t="s">
        <v>357</v>
      </c>
      <c r="J11" s="421"/>
      <c r="K11" s="1974" t="s">
        <v>378</v>
      </c>
      <c r="L11" s="1975" t="s">
        <v>379</v>
      </c>
      <c r="M11" s="453"/>
      <c r="N11" s="417"/>
      <c r="O11" s="51"/>
    </row>
    <row r="12" spans="1:15" ht="17.149999999999999" customHeight="1">
      <c r="A12" s="587"/>
      <c r="B12" s="454"/>
      <c r="C12" s="472"/>
      <c r="D12" s="473" t="s">
        <v>354</v>
      </c>
      <c r="E12" s="474">
        <f>L19</f>
        <v>81030000</v>
      </c>
      <c r="F12" s="475"/>
      <c r="G12" s="475"/>
      <c r="H12" s="475"/>
      <c r="I12" s="475"/>
      <c r="J12" s="475"/>
      <c r="K12" s="571"/>
      <c r="L12" s="1976"/>
      <c r="M12" s="455"/>
      <c r="N12" s="456"/>
      <c r="O12" s="51"/>
    </row>
    <row r="13" spans="1:15" ht="17.149999999999999" customHeight="1">
      <c r="A13" s="587"/>
      <c r="B13" s="454"/>
      <c r="C13" s="472"/>
      <c r="D13" s="473" t="s">
        <v>525</v>
      </c>
      <c r="E13" s="815">
        <f>'Amine PStreams'!AP10/100</f>
        <v>0</v>
      </c>
      <c r="F13" s="478"/>
      <c r="G13" s="478"/>
      <c r="H13" s="478"/>
      <c r="I13" s="478"/>
      <c r="J13" s="478"/>
      <c r="K13" s="1365" t="s">
        <v>1351</v>
      </c>
      <c r="L13" s="1977">
        <f>'Ann (FL1-FL3)'!F46</f>
        <v>81030000</v>
      </c>
      <c r="M13" s="457"/>
      <c r="N13" s="456"/>
      <c r="O13" s="51"/>
    </row>
    <row r="14" spans="1:15" ht="17.149999999999999" customHeight="1">
      <c r="A14" s="587"/>
      <c r="B14" s="458"/>
      <c r="C14" s="480"/>
      <c r="D14" s="385" t="s">
        <v>355</v>
      </c>
      <c r="E14" s="386">
        <v>0.98</v>
      </c>
      <c r="F14" s="412"/>
      <c r="G14" s="412"/>
      <c r="H14" s="412"/>
      <c r="I14" s="412"/>
      <c r="J14" s="412"/>
      <c r="K14" s="1370"/>
      <c r="L14" s="2667"/>
      <c r="M14" s="266"/>
      <c r="N14" s="459"/>
      <c r="O14" s="51"/>
    </row>
    <row r="15" spans="1:15" ht="17.149999999999999" customHeight="1">
      <c r="A15" s="587"/>
      <c r="B15" s="458"/>
      <c r="C15" s="480"/>
      <c r="D15" s="385" t="s">
        <v>526</v>
      </c>
      <c r="E15" s="386">
        <v>1</v>
      </c>
      <c r="F15" s="412"/>
      <c r="G15" s="412"/>
      <c r="H15" s="412"/>
      <c r="I15" s="412"/>
      <c r="J15" s="412"/>
      <c r="K15" s="1370"/>
      <c r="L15" s="1372"/>
      <c r="M15" s="266"/>
      <c r="N15" s="459"/>
      <c r="O15" s="51"/>
    </row>
    <row r="16" spans="1:15" ht="17.149999999999999" customHeight="1">
      <c r="A16" s="587"/>
      <c r="B16" s="458"/>
      <c r="C16" s="480"/>
      <c r="D16" s="385" t="s">
        <v>527</v>
      </c>
      <c r="E16" s="386">
        <v>0</v>
      </c>
      <c r="F16" s="412"/>
      <c r="G16" s="412"/>
      <c r="H16" s="412"/>
      <c r="I16" s="412"/>
      <c r="J16" s="412"/>
      <c r="K16" s="1370"/>
      <c r="L16" s="1372"/>
      <c r="M16" s="266"/>
      <c r="N16" s="459"/>
      <c r="O16" s="51"/>
    </row>
    <row r="17" spans="1:19" ht="17.149999999999999" customHeight="1">
      <c r="A17" s="587"/>
      <c r="B17" s="458"/>
      <c r="C17" s="480"/>
      <c r="D17" s="385"/>
      <c r="E17" s="386"/>
      <c r="F17" s="412"/>
      <c r="G17" s="412"/>
      <c r="H17" s="412"/>
      <c r="I17" s="412"/>
      <c r="J17" s="412"/>
      <c r="K17" s="1370"/>
      <c r="L17" s="1372"/>
      <c r="M17" s="266"/>
      <c r="N17" s="459"/>
      <c r="O17" s="51"/>
    </row>
    <row r="18" spans="1:19" ht="17.149999999999999" customHeight="1" thickBot="1">
      <c r="A18" s="587"/>
      <c r="B18" s="458"/>
      <c r="C18" s="467" t="s">
        <v>356</v>
      </c>
      <c r="D18" s="388" t="s">
        <v>528</v>
      </c>
      <c r="E18" s="386"/>
      <c r="F18" s="412"/>
      <c r="G18" s="421" t="s">
        <v>350</v>
      </c>
      <c r="H18" s="389">
        <f>E19*E20</f>
        <v>0</v>
      </c>
      <c r="I18" s="470" t="s">
        <v>357</v>
      </c>
      <c r="J18" s="412"/>
      <c r="K18" s="1382"/>
      <c r="L18" s="1384"/>
      <c r="M18" s="266"/>
      <c r="N18" s="459"/>
      <c r="O18" s="51"/>
    </row>
    <row r="19" spans="1:19" ht="17.149999999999999" customHeight="1" thickBot="1">
      <c r="A19" s="587"/>
      <c r="B19" s="458"/>
      <c r="C19" s="480"/>
      <c r="D19" s="473" t="s">
        <v>354</v>
      </c>
      <c r="E19" s="389">
        <f>E12</f>
        <v>81030000</v>
      </c>
      <c r="F19" s="412"/>
      <c r="G19" s="412"/>
      <c r="H19" s="412"/>
      <c r="I19" s="412"/>
      <c r="J19" s="412"/>
      <c r="K19" s="1978"/>
      <c r="L19" s="1979">
        <f>SUM(L12:L18)</f>
        <v>81030000</v>
      </c>
      <c r="M19" s="266"/>
      <c r="N19" s="459"/>
      <c r="O19" s="51"/>
    </row>
    <row r="20" spans="1:19" ht="17.149999999999999" customHeight="1">
      <c r="A20" s="587"/>
      <c r="B20" s="458"/>
      <c r="C20" s="480"/>
      <c r="D20" s="473" t="s">
        <v>529</v>
      </c>
      <c r="E20" s="816">
        <f>'Amine PStreams'!AP9/100</f>
        <v>0</v>
      </c>
      <c r="F20" s="412"/>
      <c r="G20" s="412"/>
      <c r="H20" s="412"/>
      <c r="I20" s="412"/>
      <c r="J20" s="412"/>
      <c r="K20" s="412"/>
      <c r="L20" s="412"/>
      <c r="M20" s="266"/>
      <c r="N20" s="459"/>
      <c r="O20" s="51"/>
    </row>
    <row r="21" spans="1:19" ht="17.149999999999999" customHeight="1">
      <c r="A21" s="587"/>
      <c r="B21" s="458"/>
      <c r="C21" s="480"/>
      <c r="D21" s="473"/>
      <c r="E21" s="386"/>
      <c r="F21" s="412"/>
      <c r="G21" s="412"/>
      <c r="H21" s="412"/>
      <c r="I21" s="412"/>
      <c r="J21" s="412"/>
      <c r="K21" s="412"/>
      <c r="L21" s="412"/>
      <c r="M21" s="266"/>
      <c r="N21" s="459"/>
      <c r="O21" s="51"/>
    </row>
    <row r="22" spans="1:19" ht="17.149999999999999" customHeight="1">
      <c r="A22" s="587"/>
      <c r="B22" s="458"/>
      <c r="C22" s="467" t="s">
        <v>358</v>
      </c>
      <c r="D22" s="388" t="s">
        <v>530</v>
      </c>
      <c r="E22" s="386"/>
      <c r="F22" s="412"/>
      <c r="G22" s="412"/>
      <c r="H22" s="412"/>
      <c r="I22" s="412"/>
      <c r="J22" s="412"/>
      <c r="K22" s="412"/>
      <c r="L22" s="412"/>
      <c r="M22" s="266"/>
      <c r="N22" s="459"/>
      <c r="O22" s="51"/>
    </row>
    <row r="23" spans="1:19" ht="17.149999999999999" customHeight="1">
      <c r="A23" s="587"/>
      <c r="B23" s="458"/>
      <c r="C23" s="480"/>
      <c r="D23" s="385" t="s">
        <v>355</v>
      </c>
      <c r="E23" s="386">
        <v>0.98</v>
      </c>
      <c r="F23" s="412"/>
      <c r="G23" s="412"/>
      <c r="H23" s="412"/>
      <c r="I23" s="412"/>
      <c r="J23" s="412"/>
      <c r="K23" s="412"/>
      <c r="L23" s="412"/>
      <c r="M23" s="266"/>
      <c r="N23" s="459"/>
      <c r="O23" s="51"/>
    </row>
    <row r="24" spans="1:19" ht="17.149999999999999" customHeight="1">
      <c r="A24" s="587"/>
      <c r="B24" s="458"/>
      <c r="C24" s="480"/>
      <c r="D24" s="385" t="s">
        <v>531</v>
      </c>
      <c r="E24" s="389">
        <f>E19</f>
        <v>81030000</v>
      </c>
      <c r="F24" s="412"/>
      <c r="G24" s="386" t="s">
        <v>361</v>
      </c>
      <c r="H24" s="412"/>
      <c r="I24" s="386" t="s">
        <v>532</v>
      </c>
      <c r="J24" s="412"/>
      <c r="K24" s="412"/>
      <c r="L24" s="412"/>
      <c r="M24" s="266"/>
      <c r="N24" s="459"/>
      <c r="O24" s="51"/>
    </row>
    <row r="25" spans="1:19" ht="17.149999999999999" customHeight="1">
      <c r="A25" s="587"/>
      <c r="B25" s="458"/>
      <c r="C25" s="480"/>
      <c r="D25" s="385" t="s">
        <v>533</v>
      </c>
      <c r="E25" s="386" t="s">
        <v>6</v>
      </c>
      <c r="F25" s="419">
        <f>E13</f>
        <v>0</v>
      </c>
      <c r="G25" s="420">
        <v>1</v>
      </c>
      <c r="H25" s="412"/>
      <c r="I25" s="392">
        <f>$E$23*$E$24*F25*G25*$E$30</f>
        <v>0</v>
      </c>
      <c r="J25" s="412"/>
      <c r="K25" s="412"/>
      <c r="L25" s="412"/>
      <c r="M25" s="266"/>
      <c r="N25" s="459"/>
      <c r="O25" s="51"/>
    </row>
    <row r="26" spans="1:19" ht="17.149999999999999" customHeight="1">
      <c r="A26" s="587"/>
      <c r="B26" s="458"/>
      <c r="C26" s="480"/>
      <c r="D26" s="385"/>
      <c r="E26" s="386" t="s">
        <v>7</v>
      </c>
      <c r="F26" s="419">
        <f>'Amine PStreams'!AP11/100</f>
        <v>0</v>
      </c>
      <c r="G26" s="420">
        <v>2</v>
      </c>
      <c r="H26" s="412"/>
      <c r="I26" s="392">
        <f>$E$23*$E$24*F26*G26*$E$30</f>
        <v>0</v>
      </c>
      <c r="J26" s="412"/>
      <c r="K26" s="412"/>
      <c r="L26" s="412"/>
      <c r="M26" s="266"/>
      <c r="N26" s="459"/>
      <c r="O26" s="51"/>
    </row>
    <row r="27" spans="1:19" ht="17.149999999999999" customHeight="1">
      <c r="A27" s="587"/>
      <c r="B27" s="458"/>
      <c r="C27" s="480"/>
      <c r="D27" s="385"/>
      <c r="E27" s="386" t="s">
        <v>8</v>
      </c>
      <c r="F27" s="419">
        <f>'Amine PStreams'!AP12/100</f>
        <v>0</v>
      </c>
      <c r="G27" s="420">
        <v>3</v>
      </c>
      <c r="H27" s="412"/>
      <c r="I27" s="392">
        <f>$E$23*$E$24*F27*G27*$E$30</f>
        <v>0</v>
      </c>
      <c r="J27" s="412"/>
      <c r="K27" s="412"/>
      <c r="L27" s="412"/>
      <c r="M27" s="266"/>
      <c r="N27" s="459"/>
      <c r="O27" s="51"/>
    </row>
    <row r="28" spans="1:19" ht="17.149999999999999" customHeight="1">
      <c r="A28" s="587"/>
      <c r="B28" s="458"/>
      <c r="C28" s="480"/>
      <c r="D28" s="385"/>
      <c r="E28" s="386" t="s">
        <v>359</v>
      </c>
      <c r="F28" s="419">
        <f>'Amine PStreams'!AP13/100</f>
        <v>0</v>
      </c>
      <c r="G28" s="420">
        <v>4</v>
      </c>
      <c r="H28" s="412"/>
      <c r="I28" s="392">
        <f>$E$23*$E$24*F28*G28*$E$30</f>
        <v>0</v>
      </c>
      <c r="J28" s="412"/>
      <c r="K28" s="412"/>
      <c r="L28" s="412"/>
      <c r="M28" s="266"/>
      <c r="N28" s="459"/>
      <c r="O28" s="51"/>
    </row>
    <row r="29" spans="1:19" ht="17.149999999999999" customHeight="1">
      <c r="A29" s="587"/>
      <c r="B29" s="458"/>
      <c r="C29" s="480"/>
      <c r="D29" s="385"/>
      <c r="E29" s="386" t="s">
        <v>360</v>
      </c>
      <c r="F29" s="419">
        <f>'Amine PStreams'!AP14/100</f>
        <v>0</v>
      </c>
      <c r="G29" s="420">
        <v>5</v>
      </c>
      <c r="H29" s="412"/>
      <c r="I29" s="392">
        <f>$E$23*$E$24*F29*G29*$E$30</f>
        <v>0</v>
      </c>
      <c r="J29" s="412"/>
      <c r="K29" s="412"/>
      <c r="L29" s="412"/>
      <c r="M29" s="266"/>
      <c r="N29" s="459"/>
      <c r="O29" s="51"/>
    </row>
    <row r="30" spans="1:19" ht="17.149999999999999" customHeight="1">
      <c r="A30" s="587"/>
      <c r="B30" s="458"/>
      <c r="C30" s="480"/>
      <c r="D30" s="385" t="s">
        <v>526</v>
      </c>
      <c r="E30" s="386">
        <v>1</v>
      </c>
      <c r="F30" s="393"/>
      <c r="G30" s="394"/>
      <c r="H30" s="412"/>
      <c r="I30" s="389">
        <f>SUM(I25:I29)</f>
        <v>0</v>
      </c>
      <c r="J30" s="418" t="s">
        <v>357</v>
      </c>
      <c r="K30" s="395"/>
      <c r="L30" s="412"/>
      <c r="M30" s="266"/>
      <c r="N30" s="459"/>
      <c r="O30" s="51"/>
      <c r="S30" s="451"/>
    </row>
    <row r="31" spans="1:19" ht="17.149999999999999" customHeight="1">
      <c r="A31" s="587"/>
      <c r="B31" s="458"/>
      <c r="C31" s="480"/>
      <c r="D31" s="395"/>
      <c r="E31" s="395"/>
      <c r="F31" s="393"/>
      <c r="G31" s="395"/>
      <c r="H31" s="412"/>
      <c r="I31" s="412"/>
      <c r="J31" s="395"/>
      <c r="K31" s="395"/>
      <c r="L31" s="412"/>
      <c r="M31" s="266"/>
      <c r="N31" s="459"/>
      <c r="O31" s="51"/>
      <c r="S31" s="451"/>
    </row>
    <row r="32" spans="1:19" ht="17.149999999999999" customHeight="1">
      <c r="A32" s="587"/>
      <c r="B32" s="458"/>
      <c r="C32" s="480" t="s">
        <v>358</v>
      </c>
      <c r="D32" s="395" t="s">
        <v>534</v>
      </c>
      <c r="E32" s="395"/>
      <c r="F32" s="393"/>
      <c r="G32" s="412"/>
      <c r="H32" s="389"/>
      <c r="I32" s="418"/>
      <c r="J32" s="395"/>
      <c r="K32" s="395"/>
      <c r="L32" s="412"/>
      <c r="M32" s="266"/>
      <c r="N32" s="459"/>
      <c r="O32" s="51"/>
      <c r="S32" s="451"/>
    </row>
    <row r="33" spans="1:19" ht="17.149999999999999" customHeight="1">
      <c r="A33" s="587"/>
      <c r="B33" s="458"/>
      <c r="C33" s="480"/>
      <c r="D33" s="4805" t="s">
        <v>535</v>
      </c>
      <c r="E33" s="4805"/>
      <c r="F33" s="393"/>
      <c r="G33" s="395"/>
      <c r="H33" s="392"/>
      <c r="I33" s="412"/>
      <c r="J33" s="395"/>
      <c r="K33" s="395"/>
      <c r="L33" s="412"/>
      <c r="M33" s="266"/>
      <c r="N33" s="459"/>
      <c r="O33" s="51"/>
      <c r="S33" s="451"/>
    </row>
    <row r="34" spans="1:19" ht="17.149999999999999" customHeight="1">
      <c r="A34" s="587"/>
      <c r="B34" s="458"/>
      <c r="C34" s="480"/>
      <c r="D34" s="385" t="s">
        <v>536</v>
      </c>
      <c r="E34" s="392">
        <f>H11</f>
        <v>0</v>
      </c>
      <c r="F34" s="393"/>
      <c r="G34" s="412" t="s">
        <v>350</v>
      </c>
      <c r="H34" s="389">
        <f>((E34*((459.67+60))*12.73))/((459.67+93.7)*13.28)</f>
        <v>0</v>
      </c>
      <c r="I34" s="418" t="s">
        <v>357</v>
      </c>
      <c r="J34" s="418"/>
      <c r="K34" s="395"/>
      <c r="L34" s="412"/>
      <c r="M34" s="266"/>
      <c r="N34" s="459"/>
      <c r="O34" s="51"/>
      <c r="S34" s="451"/>
    </row>
    <row r="35" spans="1:19" ht="17.149999999999999" customHeight="1">
      <c r="A35" s="587"/>
      <c r="B35" s="458"/>
      <c r="C35" s="480"/>
      <c r="D35" s="385" t="s">
        <v>537</v>
      </c>
      <c r="E35" s="392">
        <f>H18+I30</f>
        <v>0</v>
      </c>
      <c r="F35" s="393"/>
      <c r="G35" s="412" t="s">
        <v>350</v>
      </c>
      <c r="H35" s="389">
        <f>((E35*((459.67+60))*12.73))/((459.67+93.7)*13.28)</f>
        <v>0</v>
      </c>
      <c r="I35" s="418" t="s">
        <v>357</v>
      </c>
      <c r="J35" s="395"/>
      <c r="K35" s="395"/>
      <c r="L35" s="412"/>
      <c r="M35" s="266"/>
      <c r="N35" s="459"/>
      <c r="O35" s="51"/>
      <c r="S35" s="451"/>
    </row>
    <row r="36" spans="1:19" ht="17.149999999999999" customHeight="1">
      <c r="A36" s="587"/>
      <c r="B36" s="458"/>
      <c r="C36" s="480"/>
      <c r="D36" s="385" t="s">
        <v>363</v>
      </c>
      <c r="E36" s="392" t="s">
        <v>362</v>
      </c>
      <c r="F36" s="393"/>
      <c r="G36" s="395"/>
      <c r="H36" s="392"/>
      <c r="I36" s="412"/>
      <c r="J36" s="395"/>
      <c r="K36" s="395"/>
      <c r="L36" s="412"/>
      <c r="M36" s="266"/>
      <c r="N36" s="459"/>
      <c r="O36" s="51"/>
      <c r="S36" s="451"/>
    </row>
    <row r="37" spans="1:19" ht="17.149999999999999" customHeight="1">
      <c r="A37" s="587"/>
      <c r="B37" s="458"/>
      <c r="C37" s="480"/>
      <c r="D37" s="385" t="s">
        <v>364</v>
      </c>
      <c r="E37" s="392" t="s">
        <v>365</v>
      </c>
      <c r="F37" s="393" t="s">
        <v>366</v>
      </c>
      <c r="G37" s="395"/>
      <c r="H37" s="392"/>
      <c r="I37" s="412"/>
      <c r="J37" s="395"/>
      <c r="K37" s="395"/>
      <c r="L37" s="412"/>
      <c r="M37" s="266"/>
      <c r="N37" s="459"/>
      <c r="O37" s="51"/>
      <c r="S37" s="451"/>
    </row>
    <row r="38" spans="1:19" ht="17.149999999999999" customHeight="1">
      <c r="A38" s="587"/>
      <c r="B38" s="458"/>
      <c r="C38" s="480"/>
      <c r="D38" s="385" t="s">
        <v>367</v>
      </c>
      <c r="E38" s="392">
        <v>13.28</v>
      </c>
      <c r="F38" s="393"/>
      <c r="G38" s="395"/>
      <c r="H38" s="392"/>
      <c r="I38" s="412"/>
      <c r="J38" s="395"/>
      <c r="K38" s="395"/>
      <c r="L38" s="412"/>
      <c r="M38" s="266"/>
      <c r="N38" s="459"/>
      <c r="O38" s="51"/>
      <c r="S38" s="451"/>
    </row>
    <row r="39" spans="1:19" ht="17.149999999999999" customHeight="1">
      <c r="A39" s="587"/>
      <c r="B39" s="458"/>
      <c r="C39" s="480"/>
      <c r="D39" s="385" t="s">
        <v>368</v>
      </c>
      <c r="E39" s="412">
        <v>12.73</v>
      </c>
      <c r="F39" s="393" t="s">
        <v>366</v>
      </c>
      <c r="G39" s="395"/>
      <c r="H39" s="392"/>
      <c r="I39" s="412"/>
      <c r="J39" s="395"/>
      <c r="K39" s="395"/>
      <c r="L39" s="412"/>
      <c r="M39" s="266"/>
      <c r="N39" s="459"/>
      <c r="O39" s="51"/>
      <c r="S39" s="451"/>
    </row>
    <row r="40" spans="1:19" ht="17.149999999999999" customHeight="1">
      <c r="A40" s="587"/>
      <c r="B40" s="458"/>
      <c r="C40" s="480"/>
      <c r="D40" s="395"/>
      <c r="E40" s="412"/>
      <c r="F40" s="393"/>
      <c r="G40" s="395"/>
      <c r="H40" s="412"/>
      <c r="I40" s="412"/>
      <c r="J40" s="395"/>
      <c r="K40" s="395"/>
      <c r="L40" s="412"/>
      <c r="M40" s="266"/>
      <c r="N40" s="459"/>
      <c r="O40" s="51"/>
      <c r="S40" s="451"/>
    </row>
    <row r="41" spans="1:19" ht="17.149999999999999" customHeight="1">
      <c r="A41" s="587"/>
      <c r="B41" s="458"/>
      <c r="C41" s="480" t="s">
        <v>369</v>
      </c>
      <c r="D41" s="395" t="s">
        <v>538</v>
      </c>
      <c r="E41" s="395"/>
      <c r="F41" s="393"/>
      <c r="G41" s="395"/>
      <c r="H41" s="412"/>
      <c r="I41" s="412"/>
      <c r="J41" s="395"/>
      <c r="K41" s="395"/>
      <c r="L41" s="412"/>
      <c r="M41" s="266"/>
      <c r="N41" s="459"/>
      <c r="O41" s="51"/>
      <c r="S41" s="451"/>
    </row>
    <row r="42" spans="1:19" ht="17.149999999999999" customHeight="1">
      <c r="A42" s="587"/>
      <c r="B42" s="458"/>
      <c r="C42" s="480"/>
      <c r="D42" s="385" t="s">
        <v>539</v>
      </c>
      <c r="E42" s="392">
        <f>H34</f>
        <v>0</v>
      </c>
      <c r="F42" s="393"/>
      <c r="G42" s="395"/>
      <c r="H42" s="412"/>
      <c r="I42" s="412"/>
      <c r="J42" s="395"/>
      <c r="K42" s="395"/>
      <c r="L42" s="412"/>
      <c r="M42" s="266"/>
      <c r="N42" s="459"/>
      <c r="O42" s="51"/>
      <c r="S42" s="451"/>
    </row>
    <row r="43" spans="1:19" ht="17.149999999999999" customHeight="1">
      <c r="A43" s="587"/>
      <c r="B43" s="458"/>
      <c r="C43" s="480"/>
      <c r="D43" s="385" t="s">
        <v>540</v>
      </c>
      <c r="E43" s="396">
        <f>H35</f>
        <v>0</v>
      </c>
      <c r="F43" s="393"/>
      <c r="G43" s="395"/>
      <c r="H43" s="412"/>
      <c r="I43" s="412"/>
      <c r="J43" s="395"/>
      <c r="K43" s="395"/>
      <c r="L43" s="412"/>
      <c r="M43" s="266"/>
      <c r="N43" s="459"/>
      <c r="O43" s="51"/>
      <c r="S43" s="451"/>
    </row>
    <row r="44" spans="1:19" ht="17.149999999999999" customHeight="1">
      <c r="A44" s="587"/>
      <c r="B44" s="458"/>
      <c r="C44" s="480"/>
      <c r="D44" s="385" t="s">
        <v>541</v>
      </c>
      <c r="E44" s="419">
        <v>1.9199999999999998E-2</v>
      </c>
      <c r="F44" s="393" t="s">
        <v>370</v>
      </c>
      <c r="G44" s="412" t="s">
        <v>350</v>
      </c>
      <c r="H44" s="412">
        <f>E42*E44*10^-3</f>
        <v>0</v>
      </c>
      <c r="I44" s="412" t="s">
        <v>375</v>
      </c>
      <c r="J44" s="395"/>
      <c r="K44" s="395"/>
      <c r="L44" s="412"/>
      <c r="M44" s="266"/>
      <c r="N44" s="459"/>
      <c r="O44" s="51"/>
      <c r="S44" s="451"/>
    </row>
    <row r="45" spans="1:19" ht="17.149999999999999" customHeight="1">
      <c r="A45" s="587"/>
      <c r="B45" s="458"/>
      <c r="C45" s="480"/>
      <c r="D45" s="385" t="s">
        <v>542</v>
      </c>
      <c r="E45" s="419">
        <v>5.2600000000000001E-2</v>
      </c>
      <c r="F45" s="393" t="s">
        <v>370</v>
      </c>
      <c r="G45" s="412" t="s">
        <v>350</v>
      </c>
      <c r="H45" s="412">
        <f>E43*E45*10^-3</f>
        <v>0</v>
      </c>
      <c r="I45" s="412" t="s">
        <v>375</v>
      </c>
      <c r="J45" s="395"/>
      <c r="K45" s="395"/>
      <c r="L45" s="412"/>
      <c r="M45" s="266"/>
      <c r="N45" s="459"/>
      <c r="O45" s="51"/>
      <c r="S45" s="451"/>
    </row>
    <row r="46" spans="1:19" ht="17.149999999999999" customHeight="1">
      <c r="A46" s="587"/>
      <c r="B46" s="458"/>
      <c r="C46" s="480"/>
      <c r="D46" s="395"/>
      <c r="E46" s="395"/>
      <c r="F46" s="393"/>
      <c r="G46" s="395"/>
      <c r="H46" s="412"/>
      <c r="I46" s="412"/>
      <c r="J46" s="395"/>
      <c r="K46" s="395"/>
      <c r="L46" s="412"/>
      <c r="M46" s="266"/>
      <c r="N46" s="459"/>
      <c r="O46" s="51"/>
      <c r="S46" s="451"/>
    </row>
    <row r="47" spans="1:19" ht="17.149999999999999" customHeight="1">
      <c r="A47" s="587"/>
      <c r="B47" s="458"/>
      <c r="C47" s="480" t="s">
        <v>371</v>
      </c>
      <c r="D47" s="395" t="s">
        <v>543</v>
      </c>
      <c r="E47" s="395"/>
      <c r="F47" s="393"/>
      <c r="G47" s="412" t="s">
        <v>376</v>
      </c>
      <c r="H47" s="412" t="s">
        <v>544</v>
      </c>
      <c r="I47" s="412"/>
      <c r="J47" s="395"/>
      <c r="K47" s="395"/>
      <c r="L47" s="412"/>
      <c r="M47" s="266"/>
      <c r="N47" s="459"/>
      <c r="O47" s="51"/>
      <c r="S47" s="451"/>
    </row>
    <row r="48" spans="1:19" ht="17.149999999999999" customHeight="1">
      <c r="A48" s="587"/>
      <c r="B48" s="458"/>
      <c r="C48" s="480"/>
      <c r="D48" s="385" t="s">
        <v>374</v>
      </c>
      <c r="E48" s="412">
        <f>H45</f>
        <v>0</v>
      </c>
      <c r="F48" s="419" t="s">
        <v>350</v>
      </c>
      <c r="G48" s="412">
        <f>E48*1.102311</f>
        <v>0</v>
      </c>
      <c r="H48" s="412">
        <f>G48</f>
        <v>0</v>
      </c>
      <c r="I48" s="412"/>
      <c r="J48" s="395"/>
      <c r="K48" s="395"/>
      <c r="L48" s="412"/>
      <c r="M48" s="266"/>
      <c r="N48" s="459"/>
      <c r="O48" s="51"/>
      <c r="S48" s="451"/>
    </row>
    <row r="49" spans="1:19" ht="17.149999999999999" customHeight="1">
      <c r="A49" s="587"/>
      <c r="B49" s="458"/>
      <c r="C49" s="480"/>
      <c r="D49" s="385" t="s">
        <v>373</v>
      </c>
      <c r="E49" s="412">
        <f>H44</f>
        <v>0</v>
      </c>
      <c r="F49" s="419" t="s">
        <v>350</v>
      </c>
      <c r="G49" s="412">
        <f>E49*1.102311</f>
        <v>0</v>
      </c>
      <c r="H49" s="412">
        <f>G49*E50</f>
        <v>0</v>
      </c>
      <c r="I49" s="412"/>
      <c r="J49" s="395"/>
      <c r="K49" s="395"/>
      <c r="L49" s="412"/>
      <c r="M49" s="266"/>
      <c r="N49" s="459"/>
      <c r="O49" s="51"/>
      <c r="S49" s="451"/>
    </row>
    <row r="50" spans="1:19" ht="17.149999999999999" customHeight="1">
      <c r="A50" s="587"/>
      <c r="B50" s="458"/>
      <c r="C50" s="480"/>
      <c r="D50" s="385" t="s">
        <v>372</v>
      </c>
      <c r="E50" s="420">
        <v>25</v>
      </c>
      <c r="F50" s="393"/>
      <c r="G50" s="386"/>
      <c r="H50" s="386">
        <f>SUM(H48:H49)</f>
        <v>0</v>
      </c>
      <c r="I50" s="412"/>
      <c r="J50" s="395"/>
      <c r="K50" s="395"/>
      <c r="L50" s="412"/>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5" thickBot="1">
      <c r="A54" s="1575"/>
      <c r="B54" s="1576"/>
      <c r="C54" s="1576"/>
      <c r="D54" s="1576"/>
      <c r="E54" s="1576"/>
      <c r="F54" s="1576"/>
      <c r="G54" s="1576"/>
      <c r="H54" s="1576"/>
      <c r="I54" s="1576"/>
      <c r="J54" s="1576"/>
      <c r="K54" s="1576"/>
      <c r="L54" s="1576"/>
      <c r="M54" s="1576"/>
      <c r="N54" s="1576"/>
      <c r="O54" s="1577"/>
    </row>
    <row r="57" spans="1:19">
      <c r="D57" s="252"/>
    </row>
    <row r="58" spans="1:19">
      <c r="D58" s="252"/>
      <c r="I58" s="252"/>
      <c r="J58" s="463"/>
    </row>
    <row r="59" spans="1:19" hidden="1">
      <c r="K59" s="50">
        <v>3.1354414908626635</v>
      </c>
    </row>
    <row r="60" spans="1:19" hidden="1"/>
  </sheetData>
  <mergeCells count="5">
    <mergeCell ref="B2:N2"/>
    <mergeCell ref="B3:N3"/>
    <mergeCell ref="B4:N4"/>
    <mergeCell ref="A6:O6"/>
    <mergeCell ref="D33:E33"/>
  </mergeCells>
  <pageMargins left="0.25" right="0.25" top="0.75" bottom="0.75" header="0.3" footer="0.3"/>
  <pageSetup scale="56" fitToHeight="0" orientation="portrait" r:id="rId1"/>
  <headerFooter alignWithMargins="0">
    <oddFooter>&amp;CCalculations: Page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theme="3" tint="-0.249977111117893"/>
    <pageSetUpPr fitToPage="1"/>
  </sheetPr>
  <dimension ref="A1:S60"/>
  <sheetViews>
    <sheetView view="pageLayout" topLeftCell="A46" zoomScaleNormal="70" zoomScaleSheetLayoutView="55" workbookViewId="0">
      <selection activeCell="E19" sqref="E19:R19"/>
    </sheetView>
  </sheetViews>
  <sheetFormatPr defaultColWidth="8.54296875" defaultRowHeight="12.5"/>
  <cols>
    <col min="1" max="1" width="4.54296875" style="50" customWidth="1"/>
    <col min="2" max="2" width="7.54296875" style="50" customWidth="1"/>
    <col min="3" max="4" width="11.54296875" style="50" customWidth="1"/>
    <col min="5" max="5" width="17.36328125" style="50" customWidth="1"/>
    <col min="6" max="6" width="13.54296875" style="50" customWidth="1"/>
    <col min="7" max="7" width="9.54296875" style="50" customWidth="1"/>
    <col min="8" max="8" width="17.54296875" style="50" customWidth="1"/>
    <col min="9" max="9" width="18.36328125" style="50" customWidth="1"/>
    <col min="10" max="10" width="11.54296875" style="50" customWidth="1"/>
    <col min="11" max="11" width="18.453125" style="50" customWidth="1"/>
    <col min="12" max="12" width="17.453125" style="50" customWidth="1"/>
    <col min="13" max="13" width="11.54296875" style="50" customWidth="1"/>
    <col min="14" max="14" width="7.5429687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796" t="str">
        <f>'Summary-Co'!B4:T4</f>
        <v>HUSKY CDP</v>
      </c>
      <c r="C3" s="4797"/>
      <c r="D3" s="4797"/>
      <c r="E3" s="4797"/>
      <c r="F3" s="4797"/>
      <c r="G3" s="4797"/>
      <c r="H3" s="4797"/>
      <c r="I3" s="4797"/>
      <c r="J3" s="4797"/>
      <c r="K3" s="4797"/>
      <c r="L3" s="4797"/>
      <c r="M3" s="4797"/>
      <c r="N3" s="4798"/>
      <c r="O3" s="588"/>
    </row>
    <row r="4" spans="1:15" ht="30" customHeight="1" thickBot="1">
      <c r="A4" s="587"/>
      <c r="B4" s="4799" t="s">
        <v>1839</v>
      </c>
      <c r="C4" s="4800"/>
      <c r="D4" s="4800"/>
      <c r="E4" s="4800"/>
      <c r="F4" s="4800"/>
      <c r="G4" s="4800"/>
      <c r="H4" s="4800"/>
      <c r="I4" s="4800"/>
      <c r="J4" s="4800"/>
      <c r="K4" s="4800"/>
      <c r="L4" s="4800"/>
      <c r="M4" s="4800"/>
      <c r="N4" s="4801"/>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348</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thickBot="1">
      <c r="A10" s="587"/>
      <c r="B10" s="440"/>
      <c r="C10" s="464"/>
      <c r="D10" s="465"/>
      <c r="E10" s="465"/>
      <c r="F10" s="465"/>
      <c r="G10" s="465"/>
      <c r="H10" s="465"/>
      <c r="I10" s="465"/>
      <c r="J10" s="465"/>
      <c r="K10" s="1973"/>
      <c r="L10" s="1973"/>
      <c r="M10" s="452"/>
      <c r="N10" s="417"/>
      <c r="O10" s="51"/>
    </row>
    <row r="11" spans="1:15" ht="17.149999999999999" customHeight="1" thickBot="1">
      <c r="A11" s="587"/>
      <c r="B11" s="440"/>
      <c r="C11" s="467" t="s">
        <v>353</v>
      </c>
      <c r="D11" s="468" t="s">
        <v>524</v>
      </c>
      <c r="E11" s="421"/>
      <c r="F11" s="421"/>
      <c r="G11" s="421" t="s">
        <v>350</v>
      </c>
      <c r="H11" s="469">
        <f>E12*E13*((1-E14)*E15+E16)</f>
        <v>273.00000000000023</v>
      </c>
      <c r="I11" s="470" t="s">
        <v>357</v>
      </c>
      <c r="J11" s="421"/>
      <c r="K11" s="1974" t="s">
        <v>378</v>
      </c>
      <c r="L11" s="1975" t="s">
        <v>379</v>
      </c>
      <c r="M11" s="453"/>
      <c r="N11" s="417"/>
      <c r="O11" s="51"/>
    </row>
    <row r="12" spans="1:15" ht="17.149999999999999" customHeight="1">
      <c r="A12" s="587"/>
      <c r="B12" s="454"/>
      <c r="C12" s="472"/>
      <c r="D12" s="473" t="s">
        <v>354</v>
      </c>
      <c r="E12" s="474">
        <f>L19</f>
        <v>68250000</v>
      </c>
      <c r="F12" s="475"/>
      <c r="G12" s="475"/>
      <c r="H12" s="475"/>
      <c r="I12" s="475"/>
      <c r="J12" s="475"/>
      <c r="K12" s="571"/>
      <c r="L12" s="1976"/>
      <c r="M12" s="455"/>
      <c r="N12" s="456"/>
      <c r="O12" s="51"/>
    </row>
    <row r="13" spans="1:15" ht="17.149999999999999" customHeight="1">
      <c r="A13" s="587"/>
      <c r="B13" s="454"/>
      <c r="C13" s="472"/>
      <c r="D13" s="473" t="s">
        <v>525</v>
      </c>
      <c r="E13" s="1683">
        <f>'CDP + Flare PStreams'!J11/100</f>
        <v>2.0000000000000001E-4</v>
      </c>
      <c r="F13" s="478"/>
      <c r="G13" s="4806"/>
      <c r="H13" s="4806"/>
      <c r="I13" s="4806"/>
      <c r="J13" s="478"/>
      <c r="K13" s="1365"/>
      <c r="L13" s="1977"/>
      <c r="M13" s="457"/>
      <c r="N13" s="456"/>
      <c r="O13" s="51"/>
    </row>
    <row r="14" spans="1:15" ht="17.149999999999999" customHeight="1">
      <c r="A14" s="587"/>
      <c r="B14" s="458"/>
      <c r="C14" s="480"/>
      <c r="D14" s="385" t="s">
        <v>355</v>
      </c>
      <c r="E14" s="386">
        <v>0.98</v>
      </c>
      <c r="F14" s="2620"/>
      <c r="G14" s="2620"/>
      <c r="H14" s="2620"/>
      <c r="I14" s="2620"/>
      <c r="J14" s="2620"/>
      <c r="K14" s="1370" t="s">
        <v>1352</v>
      </c>
      <c r="L14" s="2667">
        <f>'Ann (FL1-FL3OVHD-MSS)'!D46</f>
        <v>68250000</v>
      </c>
      <c r="M14" s="266"/>
      <c r="N14" s="459"/>
      <c r="O14" s="51"/>
    </row>
    <row r="15" spans="1:15" ht="17.149999999999999" customHeight="1">
      <c r="A15" s="587"/>
      <c r="B15" s="458"/>
      <c r="C15" s="480"/>
      <c r="D15" s="385" t="s">
        <v>526</v>
      </c>
      <c r="E15" s="386">
        <v>1</v>
      </c>
      <c r="F15" s="2620"/>
      <c r="G15" s="2620"/>
      <c r="H15" s="2620"/>
      <c r="I15" s="2620"/>
      <c r="J15" s="2620"/>
      <c r="K15" s="1370"/>
      <c r="L15" s="1372"/>
      <c r="M15" s="266"/>
      <c r="N15" s="459"/>
      <c r="O15" s="51"/>
    </row>
    <row r="16" spans="1:15" ht="17.149999999999999" customHeight="1">
      <c r="A16" s="587"/>
      <c r="B16" s="458"/>
      <c r="C16" s="480"/>
      <c r="D16" s="385" t="s">
        <v>527</v>
      </c>
      <c r="E16" s="386">
        <v>0</v>
      </c>
      <c r="F16" s="2620"/>
      <c r="G16" s="2620"/>
      <c r="H16" s="2620"/>
      <c r="I16" s="2620"/>
      <c r="J16" s="2620"/>
      <c r="K16" s="1370"/>
      <c r="L16" s="1372"/>
      <c r="M16" s="266"/>
      <c r="N16" s="459"/>
      <c r="O16" s="51"/>
    </row>
    <row r="17" spans="1:19" ht="17.149999999999999" customHeight="1">
      <c r="A17" s="587"/>
      <c r="B17" s="458"/>
      <c r="C17" s="480"/>
      <c r="D17" s="385"/>
      <c r="E17" s="386"/>
      <c r="F17" s="2620"/>
      <c r="G17" s="2620"/>
      <c r="H17" s="2620"/>
      <c r="I17" s="2620"/>
      <c r="J17" s="2620"/>
      <c r="K17" s="1370"/>
      <c r="L17" s="1372"/>
      <c r="M17" s="266"/>
      <c r="N17" s="459"/>
      <c r="O17" s="51"/>
    </row>
    <row r="18" spans="1:19" ht="17.149999999999999" customHeight="1" thickBot="1">
      <c r="A18" s="587"/>
      <c r="B18" s="458"/>
      <c r="C18" s="467" t="s">
        <v>356</v>
      </c>
      <c r="D18" s="388" t="s">
        <v>528</v>
      </c>
      <c r="E18" s="386"/>
      <c r="F18" s="2620"/>
      <c r="G18" s="421" t="s">
        <v>350</v>
      </c>
      <c r="H18" s="389">
        <f>E19*E20</f>
        <v>34125</v>
      </c>
      <c r="I18" s="470" t="s">
        <v>357</v>
      </c>
      <c r="J18" s="2620"/>
      <c r="K18" s="1382"/>
      <c r="L18" s="1384"/>
      <c r="M18" s="266"/>
      <c r="N18" s="459"/>
      <c r="O18" s="51"/>
    </row>
    <row r="19" spans="1:19" ht="17.149999999999999" customHeight="1" thickBot="1">
      <c r="A19" s="587"/>
      <c r="B19" s="458"/>
      <c r="C19" s="480"/>
      <c r="D19" s="473" t="s">
        <v>354</v>
      </c>
      <c r="E19" s="389">
        <f>E12</f>
        <v>68250000</v>
      </c>
      <c r="F19" s="2620"/>
      <c r="G19" s="2620"/>
      <c r="H19" s="2620"/>
      <c r="I19" s="2620"/>
      <c r="J19" s="2620"/>
      <c r="K19" s="1978"/>
      <c r="L19" s="1979">
        <f>SUM(L12:L18)</f>
        <v>68250000</v>
      </c>
      <c r="M19" s="266"/>
      <c r="N19" s="459"/>
      <c r="O19" s="51"/>
    </row>
    <row r="20" spans="1:19" ht="17.149999999999999" customHeight="1">
      <c r="A20" s="587"/>
      <c r="B20" s="458"/>
      <c r="C20" s="480"/>
      <c r="D20" s="473" t="s">
        <v>529</v>
      </c>
      <c r="E20" s="816">
        <f>'CDP + Flare PStreams'!J10/100</f>
        <v>5.0000000000000001E-4</v>
      </c>
      <c r="F20" s="2620"/>
      <c r="G20" s="4806"/>
      <c r="H20" s="4806"/>
      <c r="I20" s="4806"/>
      <c r="J20" s="2620"/>
      <c r="K20" s="2620"/>
      <c r="L20" s="2620"/>
      <c r="M20" s="266"/>
      <c r="N20" s="459"/>
      <c r="O20" s="51"/>
    </row>
    <row r="21" spans="1:19" ht="17.149999999999999" customHeight="1">
      <c r="A21" s="587"/>
      <c r="B21" s="458"/>
      <c r="C21" s="480"/>
      <c r="D21" s="473"/>
      <c r="E21" s="386"/>
      <c r="F21" s="2620"/>
      <c r="G21" s="2620"/>
      <c r="H21" s="2620"/>
      <c r="I21" s="2620"/>
      <c r="J21" s="2620"/>
      <c r="K21" s="2620"/>
      <c r="L21" s="2620"/>
      <c r="M21" s="266"/>
      <c r="N21" s="459"/>
      <c r="O21" s="51"/>
    </row>
    <row r="22" spans="1:19" ht="17.149999999999999" customHeight="1">
      <c r="A22" s="587"/>
      <c r="B22" s="458"/>
      <c r="C22" s="467" t="s">
        <v>358</v>
      </c>
      <c r="D22" s="388" t="s">
        <v>530</v>
      </c>
      <c r="E22" s="386"/>
      <c r="F22" s="2620"/>
      <c r="G22" s="2620"/>
      <c r="H22" s="2620"/>
      <c r="I22" s="2620"/>
      <c r="J22" s="2620"/>
      <c r="K22" s="2620"/>
      <c r="L22" s="2620"/>
      <c r="M22" s="266"/>
      <c r="N22" s="459"/>
      <c r="O22" s="51"/>
    </row>
    <row r="23" spans="1:19" ht="17.149999999999999" customHeight="1">
      <c r="A23" s="587"/>
      <c r="B23" s="458"/>
      <c r="C23" s="480"/>
      <c r="D23" s="385" t="s">
        <v>355</v>
      </c>
      <c r="E23" s="386">
        <v>0.98</v>
      </c>
      <c r="F23" s="2620"/>
      <c r="G23" s="2620"/>
      <c r="H23" s="2620"/>
      <c r="I23" s="2620"/>
      <c r="J23" s="2620"/>
      <c r="K23" s="2620"/>
      <c r="L23" s="2620"/>
      <c r="M23" s="266"/>
      <c r="N23" s="459"/>
      <c r="O23" s="51"/>
    </row>
    <row r="24" spans="1:19" ht="17.149999999999999" customHeight="1">
      <c r="A24" s="587"/>
      <c r="B24" s="458"/>
      <c r="C24" s="480"/>
      <c r="D24" s="385" t="s">
        <v>531</v>
      </c>
      <c r="E24" s="389">
        <f>E19</f>
        <v>68250000</v>
      </c>
      <c r="F24" s="2620"/>
      <c r="G24" s="386" t="s">
        <v>361</v>
      </c>
      <c r="H24" s="2620"/>
      <c r="I24" s="386" t="s">
        <v>532</v>
      </c>
      <c r="J24" s="2620"/>
      <c r="K24" s="2620"/>
      <c r="L24" s="2620"/>
      <c r="M24" s="266"/>
      <c r="N24" s="459"/>
      <c r="O24" s="51"/>
    </row>
    <row r="25" spans="1:19" ht="17.149999999999999" customHeight="1">
      <c r="A25" s="587"/>
      <c r="B25" s="458"/>
      <c r="C25" s="480"/>
      <c r="D25" s="385" t="s">
        <v>533</v>
      </c>
      <c r="E25" s="386" t="s">
        <v>6</v>
      </c>
      <c r="F25" s="419">
        <f>E13</f>
        <v>2.0000000000000001E-4</v>
      </c>
      <c r="G25" s="420">
        <v>1</v>
      </c>
      <c r="H25" s="2620"/>
      <c r="I25" s="392">
        <f>$E$23*$E$24*F25*G25*$E$30</f>
        <v>13377</v>
      </c>
      <c r="J25" s="2620"/>
      <c r="K25" s="2620"/>
      <c r="L25" s="2620"/>
      <c r="M25" s="266"/>
      <c r="N25" s="459"/>
      <c r="O25" s="51"/>
    </row>
    <row r="26" spans="1:19" ht="17.149999999999999" customHeight="1">
      <c r="A26" s="587"/>
      <c r="B26" s="458"/>
      <c r="C26" s="480"/>
      <c r="D26" s="385"/>
      <c r="E26" s="386" t="s">
        <v>7</v>
      </c>
      <c r="F26" s="419">
        <f>'CDP + Flare PStreams'!J12/100</f>
        <v>0.15</v>
      </c>
      <c r="G26" s="420">
        <v>2</v>
      </c>
      <c r="H26" s="2620"/>
      <c r="I26" s="392">
        <f>$E$23*$E$24*F26*G26*$E$30</f>
        <v>20065500</v>
      </c>
      <c r="J26" s="2620"/>
      <c r="K26" s="2620"/>
      <c r="L26" s="2620"/>
      <c r="M26" s="266"/>
      <c r="N26" s="459"/>
      <c r="O26" s="51"/>
    </row>
    <row r="27" spans="1:19" ht="17.149999999999999" customHeight="1">
      <c r="A27" s="587"/>
      <c r="B27" s="458"/>
      <c r="C27" s="480"/>
      <c r="D27" s="385"/>
      <c r="E27" s="386" t="s">
        <v>8</v>
      </c>
      <c r="F27" s="419">
        <f>'CDP + Flare PStreams'!J13/100</f>
        <v>0.64910000000000001</v>
      </c>
      <c r="G27" s="420">
        <v>3</v>
      </c>
      <c r="H27" s="2620"/>
      <c r="I27" s="392">
        <f>$E$23*$E$24*F27*G27*$E$30</f>
        <v>130245160.5</v>
      </c>
      <c r="J27" s="2620"/>
      <c r="K27" s="2620"/>
      <c r="L27" s="2620"/>
      <c r="M27" s="266"/>
      <c r="N27" s="459"/>
      <c r="O27" s="51"/>
    </row>
    <row r="28" spans="1:19" ht="17.149999999999999" customHeight="1">
      <c r="A28" s="587"/>
      <c r="B28" s="458"/>
      <c r="C28" s="480"/>
      <c r="D28" s="385"/>
      <c r="E28" s="386" t="s">
        <v>359</v>
      </c>
      <c r="F28" s="419">
        <f>'CDP + Flare PStreams'!J14/100</f>
        <v>5.8799999999999998E-2</v>
      </c>
      <c r="G28" s="420">
        <v>4</v>
      </c>
      <c r="H28" s="2620"/>
      <c r="I28" s="392">
        <f>$E$23*$E$24*F28*G28*$E$30</f>
        <v>15731352</v>
      </c>
      <c r="J28" s="2620"/>
      <c r="K28" s="2620"/>
      <c r="L28" s="2620"/>
      <c r="M28" s="266"/>
      <c r="N28" s="459"/>
      <c r="O28" s="51"/>
    </row>
    <row r="29" spans="1:19" ht="17.149999999999999" customHeight="1">
      <c r="A29" s="587"/>
      <c r="B29" s="458"/>
      <c r="C29" s="480"/>
      <c r="D29" s="385"/>
      <c r="E29" s="386" t="s">
        <v>360</v>
      </c>
      <c r="F29" s="419">
        <f>SUM('CDP + Flare PStreams'!J16:J34)/100</f>
        <v>4.4199999999999996E-2</v>
      </c>
      <c r="G29" s="420">
        <v>5</v>
      </c>
      <c r="H29" s="2620"/>
      <c r="I29" s="392">
        <f>$E$23*$E$24*F29*G29*$E$30</f>
        <v>14781584.999999998</v>
      </c>
      <c r="J29" s="2620"/>
      <c r="K29" s="2620"/>
      <c r="L29" s="2620"/>
      <c r="M29" s="266"/>
      <c r="N29" s="459"/>
      <c r="O29" s="51"/>
    </row>
    <row r="30" spans="1:19" ht="17.149999999999999" customHeight="1">
      <c r="A30" s="587"/>
      <c r="B30" s="458"/>
      <c r="C30" s="480"/>
      <c r="D30" s="385" t="s">
        <v>526</v>
      </c>
      <c r="E30" s="386">
        <v>1</v>
      </c>
      <c r="F30" s="393"/>
      <c r="G30" s="394"/>
      <c r="H30" s="2620"/>
      <c r="I30" s="389">
        <f>SUM(I25:I29)</f>
        <v>180836974.5</v>
      </c>
      <c r="J30" s="561" t="s">
        <v>357</v>
      </c>
      <c r="K30" s="395"/>
      <c r="L30" s="2620"/>
      <c r="M30" s="266"/>
      <c r="N30" s="459"/>
      <c r="O30" s="51"/>
      <c r="S30" s="451"/>
    </row>
    <row r="31" spans="1:19" ht="17.149999999999999" customHeight="1">
      <c r="A31" s="587"/>
      <c r="B31" s="458"/>
      <c r="C31" s="480"/>
      <c r="D31" s="395"/>
      <c r="E31" s="395"/>
      <c r="F31" s="393"/>
      <c r="G31" s="395"/>
      <c r="H31" s="2620"/>
      <c r="I31" s="2620"/>
      <c r="J31" s="395"/>
      <c r="K31" s="395"/>
      <c r="L31" s="2620"/>
      <c r="M31" s="266"/>
      <c r="N31" s="459"/>
      <c r="O31" s="51"/>
      <c r="S31" s="451"/>
    </row>
    <row r="32" spans="1:19" ht="17.149999999999999" customHeight="1">
      <c r="A32" s="587"/>
      <c r="B32" s="458"/>
      <c r="C32" s="480" t="s">
        <v>358</v>
      </c>
      <c r="D32" s="395" t="s">
        <v>534</v>
      </c>
      <c r="E32" s="395"/>
      <c r="F32" s="393"/>
      <c r="G32" s="2620"/>
      <c r="H32" s="389"/>
      <c r="I32" s="561"/>
      <c r="J32" s="395"/>
      <c r="K32" s="395"/>
      <c r="L32" s="2620"/>
      <c r="M32" s="266"/>
      <c r="N32" s="459"/>
      <c r="O32" s="51"/>
      <c r="S32" s="451"/>
    </row>
    <row r="33" spans="1:19" ht="17.149999999999999" customHeight="1">
      <c r="A33" s="587"/>
      <c r="B33" s="458"/>
      <c r="C33" s="480"/>
      <c r="D33" s="4805" t="s">
        <v>535</v>
      </c>
      <c r="E33" s="4805"/>
      <c r="F33" s="393"/>
      <c r="G33" s="395"/>
      <c r="H33" s="392"/>
      <c r="I33" s="2620"/>
      <c r="J33" s="395"/>
      <c r="K33" s="395"/>
      <c r="L33" s="2620"/>
      <c r="M33" s="266"/>
      <c r="N33" s="459"/>
      <c r="O33" s="51"/>
      <c r="S33" s="451"/>
    </row>
    <row r="34" spans="1:19" ht="17.149999999999999" customHeight="1">
      <c r="A34" s="587"/>
      <c r="B34" s="458"/>
      <c r="C34" s="480"/>
      <c r="D34" s="385" t="s">
        <v>536</v>
      </c>
      <c r="E34" s="392">
        <f>H11</f>
        <v>273.00000000000023</v>
      </c>
      <c r="F34" s="393"/>
      <c r="G34" s="2620" t="s">
        <v>350</v>
      </c>
      <c r="H34" s="389">
        <f>((E34*((459.67+60))*12.73))/((459.67+93.7)*13.28)</f>
        <v>245.7564986666585</v>
      </c>
      <c r="I34" s="561" t="s">
        <v>357</v>
      </c>
      <c r="J34" s="561"/>
      <c r="K34" s="395"/>
      <c r="L34" s="2620"/>
      <c r="M34" s="266"/>
      <c r="N34" s="459"/>
      <c r="O34" s="51"/>
      <c r="S34" s="451"/>
    </row>
    <row r="35" spans="1:19" ht="17.149999999999999" customHeight="1">
      <c r="A35" s="587"/>
      <c r="B35" s="458"/>
      <c r="C35" s="480"/>
      <c r="D35" s="385" t="s">
        <v>537</v>
      </c>
      <c r="E35" s="392">
        <f>H18+I30</f>
        <v>180871099.5</v>
      </c>
      <c r="F35" s="393"/>
      <c r="G35" s="2620" t="s">
        <v>350</v>
      </c>
      <c r="H35" s="389">
        <f>((E35*((459.67+60))*12.73))/((459.67+93.7)*13.28)</f>
        <v>162821421.69636911</v>
      </c>
      <c r="I35" s="561" t="s">
        <v>357</v>
      </c>
      <c r="J35" s="395"/>
      <c r="K35" s="395"/>
      <c r="L35" s="2620"/>
      <c r="M35" s="266"/>
      <c r="N35" s="459"/>
      <c r="O35" s="51"/>
      <c r="S35" s="451"/>
    </row>
    <row r="36" spans="1:19" ht="17.149999999999999" customHeight="1">
      <c r="A36" s="587"/>
      <c r="B36" s="458"/>
      <c r="C36" s="480"/>
      <c r="D36" s="385" t="s">
        <v>363</v>
      </c>
      <c r="E36" s="392" t="s">
        <v>362</v>
      </c>
      <c r="F36" s="393"/>
      <c r="G36" s="395"/>
      <c r="H36" s="392"/>
      <c r="I36" s="2620"/>
      <c r="J36" s="395"/>
      <c r="K36" s="395"/>
      <c r="L36" s="2620"/>
      <c r="M36" s="266"/>
      <c r="N36" s="459"/>
      <c r="O36" s="51"/>
      <c r="S36" s="451"/>
    </row>
    <row r="37" spans="1:19" ht="17.149999999999999" customHeight="1">
      <c r="A37" s="587"/>
      <c r="B37" s="458"/>
      <c r="C37" s="480"/>
      <c r="D37" s="385" t="s">
        <v>364</v>
      </c>
      <c r="E37" s="392" t="s">
        <v>365</v>
      </c>
      <c r="F37" s="393" t="s">
        <v>366</v>
      </c>
      <c r="G37" s="395"/>
      <c r="H37" s="392"/>
      <c r="I37" s="2620"/>
      <c r="J37" s="395"/>
      <c r="K37" s="395"/>
      <c r="L37" s="2620"/>
      <c r="M37" s="266"/>
      <c r="N37" s="459"/>
      <c r="O37" s="51"/>
      <c r="S37" s="451"/>
    </row>
    <row r="38" spans="1:19" ht="17.149999999999999" customHeight="1">
      <c r="A38" s="587"/>
      <c r="B38" s="458"/>
      <c r="C38" s="480"/>
      <c r="D38" s="385" t="s">
        <v>367</v>
      </c>
      <c r="E38" s="392">
        <v>13.28</v>
      </c>
      <c r="F38" s="393"/>
      <c r="G38" s="395"/>
      <c r="H38" s="392"/>
      <c r="I38" s="2620"/>
      <c r="J38" s="395"/>
      <c r="K38" s="395"/>
      <c r="L38" s="2620"/>
      <c r="M38" s="266"/>
      <c r="N38" s="459"/>
      <c r="O38" s="51"/>
      <c r="S38" s="451"/>
    </row>
    <row r="39" spans="1:19" ht="17.149999999999999" customHeight="1">
      <c r="A39" s="587"/>
      <c r="B39" s="458"/>
      <c r="C39" s="480"/>
      <c r="D39" s="385" t="s">
        <v>368</v>
      </c>
      <c r="E39" s="2620">
        <v>12.73</v>
      </c>
      <c r="F39" s="393" t="s">
        <v>366</v>
      </c>
      <c r="G39" s="395"/>
      <c r="H39" s="392"/>
      <c r="I39" s="2620"/>
      <c r="J39" s="395"/>
      <c r="K39" s="395"/>
      <c r="L39" s="2620"/>
      <c r="M39" s="266"/>
      <c r="N39" s="459"/>
      <c r="O39" s="51"/>
      <c r="S39" s="451"/>
    </row>
    <row r="40" spans="1:19" ht="17.149999999999999" customHeight="1">
      <c r="A40" s="587"/>
      <c r="B40" s="458"/>
      <c r="C40" s="480"/>
      <c r="D40" s="395"/>
      <c r="E40" s="2620"/>
      <c r="F40" s="393"/>
      <c r="G40" s="395"/>
      <c r="H40" s="2620"/>
      <c r="I40" s="2620"/>
      <c r="J40" s="395"/>
      <c r="K40" s="395"/>
      <c r="L40" s="2620"/>
      <c r="M40" s="266"/>
      <c r="N40" s="459"/>
      <c r="O40" s="51"/>
      <c r="S40" s="451"/>
    </row>
    <row r="41" spans="1:19" ht="17.149999999999999" customHeight="1">
      <c r="A41" s="587"/>
      <c r="B41" s="458"/>
      <c r="C41" s="480" t="s">
        <v>369</v>
      </c>
      <c r="D41" s="395" t="s">
        <v>538</v>
      </c>
      <c r="E41" s="395"/>
      <c r="F41" s="393"/>
      <c r="G41" s="395"/>
      <c r="H41" s="2620"/>
      <c r="I41" s="2620"/>
      <c r="J41" s="395"/>
      <c r="K41" s="395"/>
      <c r="L41" s="2620"/>
      <c r="M41" s="266"/>
      <c r="N41" s="459"/>
      <c r="O41" s="51"/>
      <c r="S41" s="451"/>
    </row>
    <row r="42" spans="1:19" ht="17.149999999999999" customHeight="1">
      <c r="A42" s="587"/>
      <c r="B42" s="458"/>
      <c r="C42" s="480"/>
      <c r="D42" s="385" t="s">
        <v>539</v>
      </c>
      <c r="E42" s="392">
        <f>H34</f>
        <v>245.7564986666585</v>
      </c>
      <c r="F42" s="393"/>
      <c r="G42" s="395"/>
      <c r="H42" s="2620"/>
      <c r="I42" s="2620"/>
      <c r="J42" s="395"/>
      <c r="K42" s="395"/>
      <c r="L42" s="2620"/>
      <c r="M42" s="266"/>
      <c r="N42" s="459"/>
      <c r="O42" s="51"/>
      <c r="S42" s="451"/>
    </row>
    <row r="43" spans="1:19" ht="17.149999999999999" customHeight="1">
      <c r="A43" s="587"/>
      <c r="B43" s="458"/>
      <c r="C43" s="480"/>
      <c r="D43" s="385" t="s">
        <v>540</v>
      </c>
      <c r="E43" s="396">
        <f>H35</f>
        <v>162821421.69636911</v>
      </c>
      <c r="F43" s="393"/>
      <c r="G43" s="395"/>
      <c r="H43" s="2620"/>
      <c r="I43" s="2620"/>
      <c r="J43" s="395"/>
      <c r="K43" s="395"/>
      <c r="L43" s="2620"/>
      <c r="M43" s="266"/>
      <c r="N43" s="459"/>
      <c r="O43" s="51"/>
      <c r="S43" s="451"/>
    </row>
    <row r="44" spans="1:19" ht="17.149999999999999" customHeight="1">
      <c r="A44" s="587"/>
      <c r="B44" s="458"/>
      <c r="C44" s="480"/>
      <c r="D44" s="385" t="s">
        <v>541</v>
      </c>
      <c r="E44" s="419">
        <v>1.9199999999999998E-2</v>
      </c>
      <c r="F44" s="393" t="s">
        <v>370</v>
      </c>
      <c r="G44" s="2620" t="s">
        <v>350</v>
      </c>
      <c r="H44" s="2620">
        <f>E42*E44*10^-3</f>
        <v>4.7185247743998428E-3</v>
      </c>
      <c r="I44" s="2620" t="s">
        <v>375</v>
      </c>
      <c r="J44" s="395"/>
      <c r="K44" s="395"/>
      <c r="L44" s="2620"/>
      <c r="M44" s="266"/>
      <c r="N44" s="459"/>
      <c r="O44" s="51"/>
      <c r="S44" s="451"/>
    </row>
    <row r="45" spans="1:19" ht="17.149999999999999" customHeight="1">
      <c r="A45" s="587"/>
      <c r="B45" s="458"/>
      <c r="C45" s="480"/>
      <c r="D45" s="385" t="s">
        <v>542</v>
      </c>
      <c r="E45" s="419">
        <v>5.2600000000000001E-2</v>
      </c>
      <c r="F45" s="393" t="s">
        <v>370</v>
      </c>
      <c r="G45" s="2620" t="s">
        <v>350</v>
      </c>
      <c r="H45" s="2620">
        <f>E43*E45*10^-3</f>
        <v>8564.4067812290159</v>
      </c>
      <c r="I45" s="2620" t="s">
        <v>375</v>
      </c>
      <c r="J45" s="395"/>
      <c r="K45" s="395"/>
      <c r="L45" s="2620"/>
      <c r="M45" s="266"/>
      <c r="N45" s="459"/>
      <c r="O45" s="51"/>
      <c r="S45" s="451"/>
    </row>
    <row r="46" spans="1:19" ht="17.149999999999999" customHeight="1">
      <c r="A46" s="587"/>
      <c r="B46" s="458"/>
      <c r="C46" s="480"/>
      <c r="D46" s="395"/>
      <c r="E46" s="395"/>
      <c r="F46" s="393"/>
      <c r="G46" s="395"/>
      <c r="H46" s="2620"/>
      <c r="I46" s="2620"/>
      <c r="J46" s="395"/>
      <c r="K46" s="395"/>
      <c r="L46" s="2620"/>
      <c r="M46" s="266"/>
      <c r="N46" s="459"/>
      <c r="O46" s="51"/>
      <c r="S46" s="451"/>
    </row>
    <row r="47" spans="1:19" ht="17.149999999999999" customHeight="1">
      <c r="A47" s="587"/>
      <c r="B47" s="458"/>
      <c r="C47" s="480" t="s">
        <v>371</v>
      </c>
      <c r="D47" s="395" t="s">
        <v>543</v>
      </c>
      <c r="E47" s="395"/>
      <c r="F47" s="393"/>
      <c r="G47" s="2620" t="s">
        <v>376</v>
      </c>
      <c r="H47" s="2620" t="s">
        <v>544</v>
      </c>
      <c r="I47" s="2620"/>
      <c r="J47" s="395"/>
      <c r="K47" s="395"/>
      <c r="L47" s="2620"/>
      <c r="M47" s="266"/>
      <c r="N47" s="459"/>
      <c r="O47" s="51"/>
      <c r="S47" s="451"/>
    </row>
    <row r="48" spans="1:19" ht="17.149999999999999" customHeight="1">
      <c r="A48" s="587"/>
      <c r="B48" s="458"/>
      <c r="C48" s="480"/>
      <c r="D48" s="385" t="s">
        <v>374</v>
      </c>
      <c r="E48" s="2620">
        <f>H45</f>
        <v>8564.4067812290159</v>
      </c>
      <c r="F48" s="419" t="s">
        <v>350</v>
      </c>
      <c r="G48" s="2620">
        <f>E48*1.102311</f>
        <v>9440.6398034233389</v>
      </c>
      <c r="H48" s="2620">
        <f>G48</f>
        <v>9440.6398034233389</v>
      </c>
      <c r="I48" s="2620"/>
      <c r="J48" s="395"/>
      <c r="K48" s="395"/>
      <c r="L48" s="2620"/>
      <c r="M48" s="266"/>
      <c r="N48" s="459"/>
      <c r="O48" s="51"/>
      <c r="S48" s="451"/>
    </row>
    <row r="49" spans="1:19" ht="17.149999999999999" customHeight="1">
      <c r="A49" s="587"/>
      <c r="B49" s="458"/>
      <c r="C49" s="480"/>
      <c r="D49" s="385" t="s">
        <v>373</v>
      </c>
      <c r="E49" s="2620">
        <f>H44</f>
        <v>4.7185247743998428E-3</v>
      </c>
      <c r="F49" s="419" t="s">
        <v>350</v>
      </c>
      <c r="G49" s="2620">
        <f>E49*1.102311</f>
        <v>5.2012817625934652E-3</v>
      </c>
      <c r="H49" s="2620">
        <f>G49*E50</f>
        <v>0.13003204406483662</v>
      </c>
      <c r="I49" s="2620"/>
      <c r="J49" s="395"/>
      <c r="K49" s="395"/>
      <c r="L49" s="2620"/>
      <c r="M49" s="266"/>
      <c r="N49" s="459"/>
      <c r="O49" s="51"/>
      <c r="S49" s="451"/>
    </row>
    <row r="50" spans="1:19" ht="17.149999999999999" customHeight="1">
      <c r="A50" s="587"/>
      <c r="B50" s="458"/>
      <c r="C50" s="480"/>
      <c r="D50" s="385" t="s">
        <v>372</v>
      </c>
      <c r="E50" s="420">
        <v>25</v>
      </c>
      <c r="F50" s="393"/>
      <c r="G50" s="386"/>
      <c r="H50" s="386">
        <f>SUM(H48:H49)</f>
        <v>9440.769835467403</v>
      </c>
      <c r="I50" s="2620"/>
      <c r="J50" s="395"/>
      <c r="K50" s="395"/>
      <c r="L50" s="2620"/>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5" thickBot="1">
      <c r="A54" s="1575"/>
      <c r="B54" s="1576"/>
      <c r="C54" s="1576"/>
      <c r="D54" s="1576"/>
      <c r="E54" s="1576"/>
      <c r="F54" s="1576"/>
      <c r="G54" s="1576"/>
      <c r="H54" s="1576"/>
      <c r="I54" s="1576"/>
      <c r="J54" s="1576"/>
      <c r="K54" s="1576"/>
      <c r="L54" s="1576"/>
      <c r="M54" s="1576"/>
      <c r="N54" s="1576"/>
      <c r="O54" s="1577"/>
    </row>
    <row r="57" spans="1:19">
      <c r="D57" s="252"/>
    </row>
    <row r="58" spans="1:19">
      <c r="D58" s="252"/>
      <c r="I58" s="252"/>
      <c r="J58" s="463"/>
    </row>
    <row r="59" spans="1:19" hidden="1">
      <c r="K59" s="50">
        <v>3.1354414908626635</v>
      </c>
    </row>
    <row r="60" spans="1:19" hidden="1"/>
  </sheetData>
  <mergeCells count="7">
    <mergeCell ref="B2:N2"/>
    <mergeCell ref="B3:N3"/>
    <mergeCell ref="B4:N4"/>
    <mergeCell ref="A6:O6"/>
    <mergeCell ref="D33:E33"/>
    <mergeCell ref="G13:I13"/>
    <mergeCell ref="G20:I20"/>
  </mergeCells>
  <pageMargins left="0.25" right="0.25" top="0.75" bottom="0.75" header="0.3" footer="0.3"/>
  <pageSetup scale="55" fitToHeight="0" orientation="portrait" r:id="rId1"/>
  <headerFooter alignWithMargins="0">
    <oddFooter>&amp;CCalculations: Page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tabColor theme="3" tint="-0.249977111117893"/>
    <pageSetUpPr fitToPage="1"/>
  </sheetPr>
  <dimension ref="A1:S60"/>
  <sheetViews>
    <sheetView view="pageLayout" topLeftCell="A40" zoomScaleNormal="70" zoomScaleSheetLayoutView="55" workbookViewId="0">
      <selection activeCell="E19" sqref="E19:R19"/>
    </sheetView>
  </sheetViews>
  <sheetFormatPr defaultColWidth="8.54296875" defaultRowHeight="12.5"/>
  <cols>
    <col min="1" max="1" width="4.54296875" style="50" customWidth="1"/>
    <col min="2" max="2" width="7.54296875" style="50" customWidth="1"/>
    <col min="3" max="4" width="11.54296875" style="50" customWidth="1"/>
    <col min="5" max="5" width="17.36328125" style="50" customWidth="1"/>
    <col min="6" max="6" width="13.54296875" style="50" customWidth="1"/>
    <col min="7" max="7" width="9.54296875" style="50" customWidth="1"/>
    <col min="8" max="8" width="17.54296875" style="50" customWidth="1"/>
    <col min="9" max="9" width="18.36328125" style="50" customWidth="1"/>
    <col min="10" max="10" width="11.54296875" style="50" customWidth="1"/>
    <col min="11" max="11" width="18.453125" style="50" customWidth="1"/>
    <col min="12" max="12" width="17.453125" style="50" customWidth="1"/>
    <col min="13" max="13" width="11.54296875" style="50" customWidth="1"/>
    <col min="14" max="14" width="7.5429687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796" t="str">
        <f>'Summary-Co'!B4:T4</f>
        <v>HUSKY CDP</v>
      </c>
      <c r="C3" s="4797"/>
      <c r="D3" s="4797"/>
      <c r="E3" s="4797"/>
      <c r="F3" s="4797"/>
      <c r="G3" s="4797"/>
      <c r="H3" s="4797"/>
      <c r="I3" s="4797"/>
      <c r="J3" s="4797"/>
      <c r="K3" s="4797"/>
      <c r="L3" s="4797"/>
      <c r="M3" s="4797"/>
      <c r="N3" s="4798"/>
      <c r="O3" s="588"/>
    </row>
    <row r="4" spans="1:15" ht="30" customHeight="1" thickBot="1">
      <c r="A4" s="587"/>
      <c r="B4" s="4799" t="s">
        <v>1838</v>
      </c>
      <c r="C4" s="4800"/>
      <c r="D4" s="4800"/>
      <c r="E4" s="4800"/>
      <c r="F4" s="4800"/>
      <c r="G4" s="4800"/>
      <c r="H4" s="4800"/>
      <c r="I4" s="4800"/>
      <c r="J4" s="4800"/>
      <c r="K4" s="4800"/>
      <c r="L4" s="4800"/>
      <c r="M4" s="4800"/>
      <c r="N4" s="4801"/>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348</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thickBot="1">
      <c r="A10" s="587"/>
      <c r="B10" s="440"/>
      <c r="C10" s="464"/>
      <c r="D10" s="465"/>
      <c r="E10" s="465"/>
      <c r="F10" s="465"/>
      <c r="G10" s="465"/>
      <c r="H10" s="465"/>
      <c r="I10" s="465"/>
      <c r="J10" s="465"/>
      <c r="K10" s="1973"/>
      <c r="L10" s="1973"/>
      <c r="M10" s="452"/>
      <c r="N10" s="417"/>
      <c r="O10" s="51"/>
    </row>
    <row r="11" spans="1:15" ht="17.149999999999999" customHeight="1" thickBot="1">
      <c r="A11" s="587"/>
      <c r="B11" s="440"/>
      <c r="C11" s="467" t="s">
        <v>353</v>
      </c>
      <c r="D11" s="468" t="s">
        <v>524</v>
      </c>
      <c r="E11" s="421"/>
      <c r="F11" s="421"/>
      <c r="G11" s="421" t="s">
        <v>350</v>
      </c>
      <c r="H11" s="469">
        <f>E12*E13*((1-E14)*E15+E16)</f>
        <v>3037239.5295895757</v>
      </c>
      <c r="I11" s="470" t="s">
        <v>357</v>
      </c>
      <c r="J11" s="421"/>
      <c r="K11" s="1974" t="s">
        <v>378</v>
      </c>
      <c r="L11" s="1975" t="s">
        <v>379</v>
      </c>
      <c r="M11" s="453"/>
      <c r="N11" s="417"/>
      <c r="O11" s="51"/>
    </row>
    <row r="12" spans="1:15" ht="17.149999999999999" customHeight="1">
      <c r="A12" s="587"/>
      <c r="B12" s="454"/>
      <c r="C12" s="472"/>
      <c r="D12" s="473" t="s">
        <v>354</v>
      </c>
      <c r="E12" s="474">
        <f>L19</f>
        <v>218400000</v>
      </c>
      <c r="F12" s="475"/>
      <c r="G12" s="475"/>
      <c r="H12" s="475"/>
      <c r="I12" s="475"/>
      <c r="J12" s="475"/>
      <c r="K12" s="571"/>
      <c r="L12" s="1976"/>
      <c r="M12" s="455"/>
      <c r="N12" s="456"/>
      <c r="O12" s="51"/>
    </row>
    <row r="13" spans="1:15" ht="17.149999999999999" customHeight="1">
      <c r="A13" s="587"/>
      <c r="B13" s="454"/>
      <c r="C13" s="472"/>
      <c r="D13" s="473" t="s">
        <v>525</v>
      </c>
      <c r="E13" s="1683">
        <f>'CDP + Flare PStreams'!G11/100</f>
        <v>0.695338720144133</v>
      </c>
      <c r="F13" s="478"/>
      <c r="G13" s="4806"/>
      <c r="H13" s="4806"/>
      <c r="I13" s="4806"/>
      <c r="J13" s="478"/>
      <c r="K13" s="1365"/>
      <c r="L13" s="1977"/>
      <c r="M13" s="457"/>
      <c r="N13" s="456"/>
      <c r="O13" s="51"/>
    </row>
    <row r="14" spans="1:15" ht="17.149999999999999" customHeight="1">
      <c r="A14" s="587"/>
      <c r="B14" s="458"/>
      <c r="C14" s="480"/>
      <c r="D14" s="385" t="s">
        <v>355</v>
      </c>
      <c r="E14" s="386">
        <v>0.98</v>
      </c>
      <c r="F14" s="2620"/>
      <c r="G14" s="2620"/>
      <c r="H14" s="2620"/>
      <c r="I14" s="2620"/>
      <c r="J14" s="2620"/>
      <c r="K14" s="1370" t="s">
        <v>1352</v>
      </c>
      <c r="L14" s="2667">
        <f>'Ann (FL1-FL3CRYO-MSS)'!D46</f>
        <v>218400000</v>
      </c>
      <c r="M14" s="266"/>
      <c r="N14" s="459"/>
      <c r="O14" s="51"/>
    </row>
    <row r="15" spans="1:15" ht="17.149999999999999" customHeight="1">
      <c r="A15" s="587"/>
      <c r="B15" s="458"/>
      <c r="C15" s="480"/>
      <c r="D15" s="385" t="s">
        <v>526</v>
      </c>
      <c r="E15" s="386">
        <v>1</v>
      </c>
      <c r="F15" s="2620"/>
      <c r="G15" s="2620"/>
      <c r="H15" s="2620"/>
      <c r="I15" s="2620"/>
      <c r="J15" s="2620"/>
      <c r="K15" s="1370"/>
      <c r="L15" s="1372"/>
      <c r="M15" s="266"/>
      <c r="N15" s="459"/>
      <c r="O15" s="51"/>
    </row>
    <row r="16" spans="1:15" ht="17.149999999999999" customHeight="1">
      <c r="A16" s="587"/>
      <c r="B16" s="458"/>
      <c r="C16" s="480"/>
      <c r="D16" s="385" t="s">
        <v>527</v>
      </c>
      <c r="E16" s="386">
        <v>0</v>
      </c>
      <c r="F16" s="2620"/>
      <c r="G16" s="2620"/>
      <c r="H16" s="2620"/>
      <c r="I16" s="2620"/>
      <c r="J16" s="2620"/>
      <c r="K16" s="1370"/>
      <c r="L16" s="1372"/>
      <c r="M16" s="266"/>
      <c r="N16" s="459"/>
      <c r="O16" s="51"/>
    </row>
    <row r="17" spans="1:19" ht="17.149999999999999" customHeight="1">
      <c r="A17" s="587"/>
      <c r="B17" s="458"/>
      <c r="C17" s="480"/>
      <c r="D17" s="385"/>
      <c r="E17" s="386"/>
      <c r="F17" s="2620"/>
      <c r="G17" s="2620"/>
      <c r="H17" s="2620"/>
      <c r="I17" s="2620"/>
      <c r="J17" s="2620"/>
      <c r="K17" s="1370"/>
      <c r="L17" s="1372"/>
      <c r="M17" s="266"/>
      <c r="N17" s="459"/>
      <c r="O17" s="51"/>
    </row>
    <row r="18" spans="1:19" ht="17.149999999999999" customHeight="1" thickBot="1">
      <c r="A18" s="587"/>
      <c r="B18" s="458"/>
      <c r="C18" s="467" t="s">
        <v>356</v>
      </c>
      <c r="D18" s="388" t="s">
        <v>528</v>
      </c>
      <c r="E18" s="386"/>
      <c r="F18" s="2620"/>
      <c r="G18" s="421" t="s">
        <v>350</v>
      </c>
      <c r="H18" s="389">
        <f>E19*E20</f>
        <v>371354.08517709031</v>
      </c>
      <c r="I18" s="470" t="s">
        <v>357</v>
      </c>
      <c r="J18" s="2620"/>
      <c r="K18" s="1382"/>
      <c r="L18" s="1384"/>
      <c r="M18" s="266"/>
      <c r="N18" s="459"/>
      <c r="O18" s="51"/>
    </row>
    <row r="19" spans="1:19" ht="17.149999999999999" customHeight="1" thickBot="1">
      <c r="A19" s="587"/>
      <c r="B19" s="458"/>
      <c r="C19" s="480"/>
      <c r="D19" s="473" t="s">
        <v>354</v>
      </c>
      <c r="E19" s="389">
        <f>E12</f>
        <v>218400000</v>
      </c>
      <c r="F19" s="2620"/>
      <c r="G19" s="2620"/>
      <c r="H19" s="2620"/>
      <c r="I19" s="2620"/>
      <c r="J19" s="2620"/>
      <c r="K19" s="1978"/>
      <c r="L19" s="1979">
        <f>SUM(L12:L18)</f>
        <v>218400000</v>
      </c>
      <c r="M19" s="266"/>
      <c r="N19" s="459"/>
      <c r="O19" s="51"/>
    </row>
    <row r="20" spans="1:19" ht="17.149999999999999" customHeight="1">
      <c r="A20" s="587"/>
      <c r="B20" s="458"/>
      <c r="C20" s="480"/>
      <c r="D20" s="473" t="s">
        <v>529</v>
      </c>
      <c r="E20" s="816">
        <f>'CDP + Flare PStreams'!G10/100</f>
        <v>1.7003392178438202E-3</v>
      </c>
      <c r="F20" s="2620"/>
      <c r="G20" s="4806"/>
      <c r="H20" s="4806"/>
      <c r="I20" s="4806"/>
      <c r="J20" s="2620"/>
      <c r="K20" s="2620"/>
      <c r="L20" s="2620"/>
      <c r="M20" s="266"/>
      <c r="N20" s="459"/>
      <c r="O20" s="51"/>
    </row>
    <row r="21" spans="1:19" ht="17.149999999999999" customHeight="1">
      <c r="A21" s="587"/>
      <c r="B21" s="458"/>
      <c r="C21" s="480"/>
      <c r="D21" s="473"/>
      <c r="E21" s="386"/>
      <c r="F21" s="2620"/>
      <c r="G21" s="2620"/>
      <c r="H21" s="2620"/>
      <c r="I21" s="2620"/>
      <c r="J21" s="2620"/>
      <c r="K21" s="2620"/>
      <c r="L21" s="2620"/>
      <c r="M21" s="266"/>
      <c r="N21" s="459"/>
      <c r="O21" s="51"/>
    </row>
    <row r="22" spans="1:19" ht="17.149999999999999" customHeight="1">
      <c r="A22" s="587"/>
      <c r="B22" s="458"/>
      <c r="C22" s="467" t="s">
        <v>358</v>
      </c>
      <c r="D22" s="388" t="s">
        <v>530</v>
      </c>
      <c r="E22" s="386"/>
      <c r="F22" s="2620"/>
      <c r="G22" s="2620"/>
      <c r="H22" s="2620"/>
      <c r="I22" s="2620"/>
      <c r="J22" s="2620"/>
      <c r="K22" s="2620"/>
      <c r="L22" s="2620"/>
      <c r="M22" s="266"/>
      <c r="N22" s="459"/>
      <c r="O22" s="51"/>
    </row>
    <row r="23" spans="1:19" ht="17.149999999999999" customHeight="1">
      <c r="A23" s="587"/>
      <c r="B23" s="458"/>
      <c r="C23" s="480"/>
      <c r="D23" s="385" t="s">
        <v>355</v>
      </c>
      <c r="E23" s="386">
        <v>0.98</v>
      </c>
      <c r="F23" s="2620"/>
      <c r="G23" s="2620"/>
      <c r="H23" s="2620"/>
      <c r="I23" s="2620"/>
      <c r="J23" s="2620"/>
      <c r="K23" s="2620"/>
      <c r="L23" s="2620"/>
      <c r="M23" s="266"/>
      <c r="N23" s="459"/>
      <c r="O23" s="51"/>
    </row>
    <row r="24" spans="1:19" ht="17.149999999999999" customHeight="1">
      <c r="A24" s="587"/>
      <c r="B24" s="458"/>
      <c r="C24" s="480"/>
      <c r="D24" s="385" t="s">
        <v>531</v>
      </c>
      <c r="E24" s="389">
        <f>E19</f>
        <v>218400000</v>
      </c>
      <c r="F24" s="2620"/>
      <c r="G24" s="386" t="s">
        <v>361</v>
      </c>
      <c r="H24" s="2620"/>
      <c r="I24" s="386" t="s">
        <v>532</v>
      </c>
      <c r="J24" s="2620"/>
      <c r="K24" s="2620"/>
      <c r="L24" s="2620"/>
      <c r="M24" s="266"/>
      <c r="N24" s="459"/>
      <c r="O24" s="51"/>
    </row>
    <row r="25" spans="1:19" ht="17.149999999999999" customHeight="1">
      <c r="A25" s="587"/>
      <c r="B25" s="458"/>
      <c r="C25" s="480"/>
      <c r="D25" s="385" t="s">
        <v>533</v>
      </c>
      <c r="E25" s="386" t="s">
        <v>6</v>
      </c>
      <c r="F25" s="419">
        <f>E13</f>
        <v>0.695338720144133</v>
      </c>
      <c r="G25" s="420">
        <v>1</v>
      </c>
      <c r="H25" s="2620"/>
      <c r="I25" s="392">
        <f>$E$23*$E$24*F25*G25*$E$30</f>
        <v>148824736.94988906</v>
      </c>
      <c r="J25" s="2620"/>
      <c r="K25" s="2620"/>
      <c r="L25" s="2620"/>
      <c r="M25" s="266"/>
      <c r="N25" s="459"/>
      <c r="O25" s="51"/>
    </row>
    <row r="26" spans="1:19" ht="17.149999999999999" customHeight="1">
      <c r="A26" s="587"/>
      <c r="B26" s="458"/>
      <c r="C26" s="480"/>
      <c r="D26" s="385"/>
      <c r="E26" s="386" t="s">
        <v>7</v>
      </c>
      <c r="F26" s="419">
        <f>'CDP + Flare PStreams'!G12/100</f>
        <v>0.15433078900782499</v>
      </c>
      <c r="G26" s="420">
        <v>2</v>
      </c>
      <c r="H26" s="2620"/>
      <c r="I26" s="392">
        <f>$E$23*$E$24*F26*G26*$E$30</f>
        <v>66063454.865845598</v>
      </c>
      <c r="J26" s="2620"/>
      <c r="K26" s="2620"/>
      <c r="L26" s="2620"/>
      <c r="M26" s="266"/>
      <c r="N26" s="459"/>
      <c r="O26" s="51"/>
    </row>
    <row r="27" spans="1:19" ht="17.149999999999999" customHeight="1">
      <c r="A27" s="587"/>
      <c r="B27" s="458"/>
      <c r="C27" s="480"/>
      <c r="D27" s="385"/>
      <c r="E27" s="386" t="s">
        <v>8</v>
      </c>
      <c r="F27" s="419">
        <f>'CDP + Flare PStreams'!G13/100</f>
        <v>8.78175196039339E-2</v>
      </c>
      <c r="G27" s="420">
        <v>3</v>
      </c>
      <c r="H27" s="2620"/>
      <c r="I27" s="392">
        <f>$E$23*$E$24*F27*G27*$E$30</f>
        <v>56387278.067607544</v>
      </c>
      <c r="J27" s="2620"/>
      <c r="K27" s="2620"/>
      <c r="L27" s="2620"/>
      <c r="M27" s="266"/>
      <c r="N27" s="459"/>
      <c r="O27" s="51"/>
    </row>
    <row r="28" spans="1:19" ht="17.149999999999999" customHeight="1">
      <c r="A28" s="587"/>
      <c r="B28" s="458"/>
      <c r="C28" s="480"/>
      <c r="D28" s="385"/>
      <c r="E28" s="386" t="s">
        <v>359</v>
      </c>
      <c r="F28" s="419">
        <f>'CDP + Flare PStreams'!G14/100</f>
        <v>1.0602115123026199E-2</v>
      </c>
      <c r="G28" s="420">
        <v>4</v>
      </c>
      <c r="H28" s="2620"/>
      <c r="I28" s="392">
        <f>$E$23*$E$24*F28*G28*$E$30</f>
        <v>9076767.6160461735</v>
      </c>
      <c r="J28" s="2620"/>
      <c r="K28" s="2620"/>
      <c r="L28" s="2620"/>
      <c r="M28" s="266"/>
      <c r="N28" s="459"/>
      <c r="O28" s="51"/>
    </row>
    <row r="29" spans="1:19" ht="17.149999999999999" customHeight="1">
      <c r="A29" s="587"/>
      <c r="B29" s="458"/>
      <c r="C29" s="480"/>
      <c r="D29" s="385"/>
      <c r="E29" s="386" t="s">
        <v>360</v>
      </c>
      <c r="F29" s="419">
        <f>SUM('CDP + Flare PStreams'!G16:G34)/100</f>
        <v>9.9019754450905047E-3</v>
      </c>
      <c r="G29" s="420">
        <v>5</v>
      </c>
      <c r="H29" s="2620"/>
      <c r="I29" s="392">
        <f>$E$23*$E$24*F29*G29*$E$30</f>
        <v>10596698.042318055</v>
      </c>
      <c r="J29" s="2620"/>
      <c r="K29" s="2620"/>
      <c r="L29" s="2620"/>
      <c r="M29" s="266"/>
      <c r="N29" s="459"/>
      <c r="O29" s="51"/>
    </row>
    <row r="30" spans="1:19" ht="17.149999999999999" customHeight="1">
      <c r="A30" s="587"/>
      <c r="B30" s="458"/>
      <c r="C30" s="480"/>
      <c r="D30" s="385" t="s">
        <v>526</v>
      </c>
      <c r="E30" s="386">
        <v>1</v>
      </c>
      <c r="F30" s="393"/>
      <c r="G30" s="394"/>
      <c r="H30" s="2620"/>
      <c r="I30" s="389">
        <f>SUM(I25:I29)</f>
        <v>290948935.54170644</v>
      </c>
      <c r="J30" s="561" t="s">
        <v>357</v>
      </c>
      <c r="K30" s="395"/>
      <c r="L30" s="2620"/>
      <c r="M30" s="266"/>
      <c r="N30" s="459"/>
      <c r="O30" s="51"/>
      <c r="S30" s="451"/>
    </row>
    <row r="31" spans="1:19" ht="17.149999999999999" customHeight="1">
      <c r="A31" s="587"/>
      <c r="B31" s="458"/>
      <c r="C31" s="480"/>
      <c r="D31" s="395"/>
      <c r="E31" s="395"/>
      <c r="F31" s="393"/>
      <c r="G31" s="395"/>
      <c r="H31" s="2620"/>
      <c r="I31" s="2620"/>
      <c r="J31" s="395"/>
      <c r="K31" s="395"/>
      <c r="L31" s="2620"/>
      <c r="M31" s="266"/>
      <c r="N31" s="459"/>
      <c r="O31" s="51"/>
      <c r="S31" s="451"/>
    </row>
    <row r="32" spans="1:19" ht="17.149999999999999" customHeight="1">
      <c r="A32" s="587"/>
      <c r="B32" s="458"/>
      <c r="C32" s="480" t="s">
        <v>358</v>
      </c>
      <c r="D32" s="395" t="s">
        <v>534</v>
      </c>
      <c r="E32" s="395"/>
      <c r="F32" s="393"/>
      <c r="G32" s="2620"/>
      <c r="H32" s="389"/>
      <c r="I32" s="561"/>
      <c r="J32" s="395"/>
      <c r="K32" s="395"/>
      <c r="L32" s="2620"/>
      <c r="M32" s="266"/>
      <c r="N32" s="459"/>
      <c r="O32" s="51"/>
      <c r="S32" s="451"/>
    </row>
    <row r="33" spans="1:19" ht="17.149999999999999" customHeight="1">
      <c r="A33" s="587"/>
      <c r="B33" s="458"/>
      <c r="C33" s="480"/>
      <c r="D33" s="4805" t="s">
        <v>535</v>
      </c>
      <c r="E33" s="4805"/>
      <c r="F33" s="393"/>
      <c r="G33" s="395"/>
      <c r="H33" s="392"/>
      <c r="I33" s="2620"/>
      <c r="J33" s="395"/>
      <c r="K33" s="395"/>
      <c r="L33" s="2620"/>
      <c r="M33" s="266"/>
      <c r="N33" s="459"/>
      <c r="O33" s="51"/>
      <c r="S33" s="451"/>
    </row>
    <row r="34" spans="1:19" ht="17.149999999999999" customHeight="1">
      <c r="A34" s="587"/>
      <c r="B34" s="458"/>
      <c r="C34" s="480"/>
      <c r="D34" s="385" t="s">
        <v>536</v>
      </c>
      <c r="E34" s="392">
        <f>H11</f>
        <v>3037239.5295895757</v>
      </c>
      <c r="F34" s="393"/>
      <c r="G34" s="2620" t="s">
        <v>350</v>
      </c>
      <c r="H34" s="389">
        <f>((E34*((459.67+60))*12.73))/((459.67+93.7)*13.28)</f>
        <v>2734144.1479996429</v>
      </c>
      <c r="I34" s="561" t="s">
        <v>357</v>
      </c>
      <c r="J34" s="561"/>
      <c r="K34" s="395"/>
      <c r="L34" s="2620"/>
      <c r="M34" s="266"/>
      <c r="N34" s="459"/>
      <c r="O34" s="51"/>
      <c r="S34" s="451"/>
    </row>
    <row r="35" spans="1:19" ht="17.149999999999999" customHeight="1">
      <c r="A35" s="587"/>
      <c r="B35" s="458"/>
      <c r="C35" s="480"/>
      <c r="D35" s="385" t="s">
        <v>537</v>
      </c>
      <c r="E35" s="392">
        <f>H18+I30</f>
        <v>291320289.62688351</v>
      </c>
      <c r="F35" s="393"/>
      <c r="G35" s="2620" t="s">
        <v>350</v>
      </c>
      <c r="H35" s="389">
        <f>((E35*((459.67+60))*12.73))/((459.67+93.7)*13.28)</f>
        <v>262248550.80314913</v>
      </c>
      <c r="I35" s="561" t="s">
        <v>357</v>
      </c>
      <c r="J35" s="395"/>
      <c r="K35" s="395"/>
      <c r="L35" s="2620"/>
      <c r="M35" s="266"/>
      <c r="N35" s="459"/>
      <c r="O35" s="51"/>
      <c r="S35" s="451"/>
    </row>
    <row r="36" spans="1:19" ht="17.149999999999999" customHeight="1">
      <c r="A36" s="587"/>
      <c r="B36" s="458"/>
      <c r="C36" s="480"/>
      <c r="D36" s="385" t="s">
        <v>363</v>
      </c>
      <c r="E36" s="392" t="s">
        <v>362</v>
      </c>
      <c r="F36" s="393"/>
      <c r="G36" s="395"/>
      <c r="H36" s="392"/>
      <c r="I36" s="2620"/>
      <c r="J36" s="395"/>
      <c r="K36" s="395"/>
      <c r="L36" s="2620"/>
      <c r="M36" s="266"/>
      <c r="N36" s="459"/>
      <c r="O36" s="51"/>
      <c r="S36" s="451"/>
    </row>
    <row r="37" spans="1:19" ht="17.149999999999999" customHeight="1">
      <c r="A37" s="587"/>
      <c r="B37" s="458"/>
      <c r="C37" s="480"/>
      <c r="D37" s="385" t="s">
        <v>364</v>
      </c>
      <c r="E37" s="392" t="s">
        <v>365</v>
      </c>
      <c r="F37" s="393" t="s">
        <v>366</v>
      </c>
      <c r="G37" s="395"/>
      <c r="H37" s="392"/>
      <c r="I37" s="2620"/>
      <c r="J37" s="395"/>
      <c r="K37" s="395"/>
      <c r="L37" s="2620"/>
      <c r="M37" s="266"/>
      <c r="N37" s="459"/>
      <c r="O37" s="51"/>
      <c r="S37" s="451"/>
    </row>
    <row r="38" spans="1:19" ht="17.149999999999999" customHeight="1">
      <c r="A38" s="587"/>
      <c r="B38" s="458"/>
      <c r="C38" s="480"/>
      <c r="D38" s="385" t="s">
        <v>367</v>
      </c>
      <c r="E38" s="392">
        <v>13.28</v>
      </c>
      <c r="F38" s="393"/>
      <c r="G38" s="395"/>
      <c r="H38" s="392"/>
      <c r="I38" s="2620"/>
      <c r="J38" s="395"/>
      <c r="K38" s="395"/>
      <c r="L38" s="2620"/>
      <c r="M38" s="266"/>
      <c r="N38" s="459"/>
      <c r="O38" s="51"/>
      <c r="S38" s="451"/>
    </row>
    <row r="39" spans="1:19" ht="17.149999999999999" customHeight="1">
      <c r="A39" s="587"/>
      <c r="B39" s="458"/>
      <c r="C39" s="480"/>
      <c r="D39" s="385" t="s">
        <v>368</v>
      </c>
      <c r="E39" s="2620">
        <v>12.73</v>
      </c>
      <c r="F39" s="393" t="s">
        <v>366</v>
      </c>
      <c r="G39" s="395"/>
      <c r="H39" s="392"/>
      <c r="I39" s="2620"/>
      <c r="J39" s="395"/>
      <c r="K39" s="395"/>
      <c r="L39" s="2620"/>
      <c r="M39" s="266"/>
      <c r="N39" s="459"/>
      <c r="O39" s="51"/>
      <c r="S39" s="451"/>
    </row>
    <row r="40" spans="1:19" ht="17.149999999999999" customHeight="1">
      <c r="A40" s="587"/>
      <c r="B40" s="458"/>
      <c r="C40" s="480"/>
      <c r="D40" s="395"/>
      <c r="E40" s="2620"/>
      <c r="F40" s="393"/>
      <c r="G40" s="395"/>
      <c r="H40" s="2620"/>
      <c r="I40" s="2620"/>
      <c r="J40" s="395"/>
      <c r="K40" s="395"/>
      <c r="L40" s="2620"/>
      <c r="M40" s="266"/>
      <c r="N40" s="459"/>
      <c r="O40" s="51"/>
      <c r="S40" s="451"/>
    </row>
    <row r="41" spans="1:19" ht="17.149999999999999" customHeight="1">
      <c r="A41" s="587"/>
      <c r="B41" s="458"/>
      <c r="C41" s="480" t="s">
        <v>369</v>
      </c>
      <c r="D41" s="395" t="s">
        <v>538</v>
      </c>
      <c r="E41" s="395"/>
      <c r="F41" s="393"/>
      <c r="G41" s="395"/>
      <c r="H41" s="2620"/>
      <c r="I41" s="2620"/>
      <c r="J41" s="395"/>
      <c r="K41" s="395"/>
      <c r="L41" s="2620"/>
      <c r="M41" s="266"/>
      <c r="N41" s="459"/>
      <c r="O41" s="51"/>
      <c r="S41" s="451"/>
    </row>
    <row r="42" spans="1:19" ht="17.149999999999999" customHeight="1">
      <c r="A42" s="587"/>
      <c r="B42" s="458"/>
      <c r="C42" s="480"/>
      <c r="D42" s="385" t="s">
        <v>539</v>
      </c>
      <c r="E42" s="392">
        <f>H34</f>
        <v>2734144.1479996429</v>
      </c>
      <c r="F42" s="393"/>
      <c r="G42" s="395"/>
      <c r="H42" s="2620"/>
      <c r="I42" s="2620"/>
      <c r="J42" s="395"/>
      <c r="K42" s="395"/>
      <c r="L42" s="2620"/>
      <c r="M42" s="266"/>
      <c r="N42" s="459"/>
      <c r="O42" s="51"/>
      <c r="S42" s="451"/>
    </row>
    <row r="43" spans="1:19" ht="17.149999999999999" customHeight="1">
      <c r="A43" s="587"/>
      <c r="B43" s="458"/>
      <c r="C43" s="480"/>
      <c r="D43" s="385" t="s">
        <v>540</v>
      </c>
      <c r="E43" s="396">
        <f>H35</f>
        <v>262248550.80314913</v>
      </c>
      <c r="F43" s="393"/>
      <c r="G43" s="395"/>
      <c r="H43" s="2620"/>
      <c r="I43" s="2620"/>
      <c r="J43" s="395"/>
      <c r="K43" s="395"/>
      <c r="L43" s="2620"/>
      <c r="M43" s="266"/>
      <c r="N43" s="459"/>
      <c r="O43" s="51"/>
      <c r="S43" s="451"/>
    </row>
    <row r="44" spans="1:19" ht="17.149999999999999" customHeight="1">
      <c r="A44" s="587"/>
      <c r="B44" s="458"/>
      <c r="C44" s="480"/>
      <c r="D44" s="385" t="s">
        <v>541</v>
      </c>
      <c r="E44" s="419">
        <v>1.9199999999999998E-2</v>
      </c>
      <c r="F44" s="393" t="s">
        <v>370</v>
      </c>
      <c r="G44" s="2620" t="s">
        <v>350</v>
      </c>
      <c r="H44" s="2620">
        <f>E42*E44*10^-3</f>
        <v>52.495567641593141</v>
      </c>
      <c r="I44" s="2620" t="s">
        <v>375</v>
      </c>
      <c r="J44" s="395"/>
      <c r="K44" s="395"/>
      <c r="L44" s="2620"/>
      <c r="M44" s="266"/>
      <c r="N44" s="459"/>
      <c r="O44" s="51"/>
      <c r="S44" s="451"/>
    </row>
    <row r="45" spans="1:19" ht="17.149999999999999" customHeight="1">
      <c r="A45" s="587"/>
      <c r="B45" s="458"/>
      <c r="C45" s="480"/>
      <c r="D45" s="385" t="s">
        <v>542</v>
      </c>
      <c r="E45" s="419">
        <v>5.2600000000000001E-2</v>
      </c>
      <c r="F45" s="393" t="s">
        <v>370</v>
      </c>
      <c r="G45" s="2620" t="s">
        <v>350</v>
      </c>
      <c r="H45" s="2620">
        <f>E43*E45*10^-3</f>
        <v>13794.273772245646</v>
      </c>
      <c r="I45" s="2620" t="s">
        <v>375</v>
      </c>
      <c r="J45" s="395"/>
      <c r="K45" s="395"/>
      <c r="L45" s="2620"/>
      <c r="M45" s="266"/>
      <c r="N45" s="459"/>
      <c r="O45" s="51"/>
      <c r="S45" s="451"/>
    </row>
    <row r="46" spans="1:19" ht="17.149999999999999" customHeight="1">
      <c r="A46" s="587"/>
      <c r="B46" s="458"/>
      <c r="C46" s="480"/>
      <c r="D46" s="395"/>
      <c r="E46" s="395"/>
      <c r="F46" s="393"/>
      <c r="G46" s="395"/>
      <c r="H46" s="2620"/>
      <c r="I46" s="2620"/>
      <c r="J46" s="395"/>
      <c r="K46" s="395"/>
      <c r="L46" s="2620"/>
      <c r="M46" s="266"/>
      <c r="N46" s="459"/>
      <c r="O46" s="51"/>
      <c r="S46" s="451"/>
    </row>
    <row r="47" spans="1:19" ht="17.149999999999999" customHeight="1">
      <c r="A47" s="587"/>
      <c r="B47" s="458"/>
      <c r="C47" s="480" t="s">
        <v>371</v>
      </c>
      <c r="D47" s="395" t="s">
        <v>543</v>
      </c>
      <c r="E47" s="395"/>
      <c r="F47" s="393"/>
      <c r="G47" s="2620" t="s">
        <v>376</v>
      </c>
      <c r="H47" s="2620" t="s">
        <v>544</v>
      </c>
      <c r="I47" s="2620"/>
      <c r="J47" s="395"/>
      <c r="K47" s="395"/>
      <c r="L47" s="2620"/>
      <c r="M47" s="266"/>
      <c r="N47" s="459"/>
      <c r="O47" s="51"/>
      <c r="S47" s="451"/>
    </row>
    <row r="48" spans="1:19" ht="17.149999999999999" customHeight="1">
      <c r="A48" s="587"/>
      <c r="B48" s="458"/>
      <c r="C48" s="480"/>
      <c r="D48" s="385" t="s">
        <v>374</v>
      </c>
      <c r="E48" s="2620">
        <f>H45</f>
        <v>13794.273772245646</v>
      </c>
      <c r="F48" s="419" t="s">
        <v>350</v>
      </c>
      <c r="G48" s="2620">
        <f>E48*1.102311</f>
        <v>15205.57971615787</v>
      </c>
      <c r="H48" s="2620">
        <f>G48</f>
        <v>15205.57971615787</v>
      </c>
      <c r="I48" s="2620"/>
      <c r="J48" s="395"/>
      <c r="K48" s="395"/>
      <c r="L48" s="2620"/>
      <c r="M48" s="266"/>
      <c r="N48" s="459"/>
      <c r="O48" s="51"/>
      <c r="S48" s="451"/>
    </row>
    <row r="49" spans="1:19" ht="17.149999999999999" customHeight="1">
      <c r="A49" s="587"/>
      <c r="B49" s="458"/>
      <c r="C49" s="480"/>
      <c r="D49" s="385" t="s">
        <v>373</v>
      </c>
      <c r="E49" s="2620">
        <f>H44</f>
        <v>52.495567641593141</v>
      </c>
      <c r="F49" s="419" t="s">
        <v>350</v>
      </c>
      <c r="G49" s="2620">
        <f>E49*1.102311</f>
        <v>57.866441662572178</v>
      </c>
      <c r="H49" s="2620">
        <f>G49*E50</f>
        <v>1446.6610415643045</v>
      </c>
      <c r="I49" s="2620"/>
      <c r="J49" s="395"/>
      <c r="K49" s="395"/>
      <c r="L49" s="2620"/>
      <c r="M49" s="266"/>
      <c r="N49" s="459"/>
      <c r="O49" s="51"/>
      <c r="S49" s="451"/>
    </row>
    <row r="50" spans="1:19" ht="17.149999999999999" customHeight="1">
      <c r="A50" s="587"/>
      <c r="B50" s="458"/>
      <c r="C50" s="480"/>
      <c r="D50" s="385" t="s">
        <v>372</v>
      </c>
      <c r="E50" s="420">
        <v>25</v>
      </c>
      <c r="F50" s="393"/>
      <c r="G50" s="386"/>
      <c r="H50" s="386">
        <f>SUM(H48:H49)</f>
        <v>16652.240757722175</v>
      </c>
      <c r="I50" s="2620"/>
      <c r="J50" s="395"/>
      <c r="K50" s="395"/>
      <c r="L50" s="2620"/>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5" thickBot="1">
      <c r="A54" s="1575"/>
      <c r="B54" s="1576"/>
      <c r="C54" s="1576"/>
      <c r="D54" s="1576"/>
      <c r="E54" s="1576"/>
      <c r="F54" s="1576"/>
      <c r="G54" s="1576"/>
      <c r="H54" s="1576"/>
      <c r="I54" s="1576"/>
      <c r="J54" s="1576"/>
      <c r="K54" s="1576"/>
      <c r="L54" s="1576"/>
      <c r="M54" s="1576"/>
      <c r="N54" s="1576"/>
      <c r="O54" s="1577"/>
    </row>
    <row r="57" spans="1:19">
      <c r="D57" s="252"/>
    </row>
    <row r="58" spans="1:19">
      <c r="D58" s="252"/>
      <c r="I58" s="252"/>
      <c r="J58" s="463"/>
    </row>
    <row r="59" spans="1:19" hidden="1">
      <c r="K59" s="50">
        <v>3.1354414908626635</v>
      </c>
    </row>
    <row r="60" spans="1:19" hidden="1"/>
  </sheetData>
  <mergeCells count="7">
    <mergeCell ref="D33:E33"/>
    <mergeCell ref="B2:N2"/>
    <mergeCell ref="B3:N3"/>
    <mergeCell ref="B4:N4"/>
    <mergeCell ref="A6:O6"/>
    <mergeCell ref="G13:I13"/>
    <mergeCell ref="G20:I20"/>
  </mergeCells>
  <pageMargins left="0.25" right="0.25" top="0.75" bottom="0.75" header="0.3" footer="0.3"/>
  <pageSetup scale="55" fitToHeight="0" orientation="portrait" r:id="rId1"/>
  <headerFooter alignWithMargins="0">
    <oddFooter>&amp;CCalculations: Page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1">
    <tabColor theme="3" tint="-0.249977111117893"/>
    <pageSetUpPr fitToPage="1"/>
  </sheetPr>
  <dimension ref="A1:R30"/>
  <sheetViews>
    <sheetView view="pageLayout" topLeftCell="A30" zoomScale="70" zoomScaleNormal="100" zoomScaleSheetLayoutView="70" zoomScalePageLayoutView="70" workbookViewId="0">
      <selection activeCell="E19" sqref="E19:R19"/>
    </sheetView>
  </sheetViews>
  <sheetFormatPr defaultColWidth="9.36328125" defaultRowHeight="13"/>
  <cols>
    <col min="1" max="1" width="2.54296875" style="430" customWidth="1"/>
    <col min="2" max="2" width="9.6328125" style="430" customWidth="1"/>
    <col min="3" max="3" width="19.36328125" style="430" customWidth="1"/>
    <col min="4" max="4" width="13" style="430" customWidth="1"/>
    <col min="5" max="5" width="15.6328125" style="430" customWidth="1"/>
    <col min="6" max="6" width="14.6328125" style="430" customWidth="1"/>
    <col min="7" max="7" width="17.453125" style="430" customWidth="1"/>
    <col min="8" max="13" width="8.54296875" style="430" customWidth="1"/>
    <col min="14" max="14" width="2.54296875" style="430" customWidth="1"/>
    <col min="15" max="16" width="9.36328125" style="430"/>
    <col min="17" max="17" width="10" style="430" bestFit="1" customWidth="1"/>
    <col min="18" max="16384" width="9.36328125" style="430"/>
  </cols>
  <sheetData>
    <row r="1" spans="1:18" ht="13.5" thickBot="1">
      <c r="A1" s="1960"/>
      <c r="B1" s="1961"/>
      <c r="C1" s="1961"/>
      <c r="D1" s="1961"/>
      <c r="E1" s="1961"/>
      <c r="F1" s="1961"/>
      <c r="G1" s="1961"/>
      <c r="H1" s="1961"/>
      <c r="I1" s="1961"/>
      <c r="J1" s="1961"/>
      <c r="K1" s="1961"/>
      <c r="L1" s="1961"/>
      <c r="M1" s="1961"/>
      <c r="N1" s="1962"/>
    </row>
    <row r="2" spans="1:18" ht="25.5" customHeight="1">
      <c r="A2" s="1963"/>
      <c r="B2" s="3931" t="str">
        <f>'Summary-Co'!B3:T3</f>
        <v>XTO ENERGY INC.</v>
      </c>
      <c r="C2" s="3932"/>
      <c r="D2" s="3932"/>
      <c r="E2" s="3932"/>
      <c r="F2" s="3932"/>
      <c r="G2" s="3932"/>
      <c r="H2" s="3932"/>
      <c r="I2" s="3932"/>
      <c r="J2" s="3932"/>
      <c r="K2" s="3932"/>
      <c r="L2" s="3932"/>
      <c r="M2" s="3967"/>
      <c r="N2" s="1964"/>
    </row>
    <row r="3" spans="1:18" ht="25.5" customHeight="1">
      <c r="A3" s="1963"/>
      <c r="B3" s="3933" t="str">
        <f>'Summary-Co'!B4:T4</f>
        <v>HUSKY CDP</v>
      </c>
      <c r="C3" s="3934"/>
      <c r="D3" s="3934"/>
      <c r="E3" s="3934"/>
      <c r="F3" s="3934"/>
      <c r="G3" s="3934"/>
      <c r="H3" s="3934"/>
      <c r="I3" s="3934"/>
      <c r="J3" s="3934"/>
      <c r="K3" s="3934"/>
      <c r="L3" s="3934"/>
      <c r="M3" s="3968"/>
      <c r="N3" s="1964"/>
    </row>
    <row r="4" spans="1:18" ht="25.5" customHeight="1" thickBot="1">
      <c r="A4" s="1963"/>
      <c r="B4" s="3969" t="s">
        <v>1277</v>
      </c>
      <c r="C4" s="3970"/>
      <c r="D4" s="3970"/>
      <c r="E4" s="3970"/>
      <c r="F4" s="3970"/>
      <c r="G4" s="3970"/>
      <c r="H4" s="3970"/>
      <c r="I4" s="3970"/>
      <c r="J4" s="3970"/>
      <c r="K4" s="3970"/>
      <c r="L4" s="3970"/>
      <c r="M4" s="3971"/>
      <c r="N4" s="1964"/>
    </row>
    <row r="5" spans="1:18" ht="13.5" thickBot="1">
      <c r="A5" s="1965"/>
      <c r="B5" s="1966"/>
      <c r="C5" s="1966"/>
      <c r="D5" s="1966"/>
      <c r="E5" s="1966"/>
      <c r="F5" s="1966"/>
      <c r="G5" s="1966"/>
      <c r="H5" s="1967"/>
      <c r="I5" s="1967"/>
      <c r="J5" s="1966"/>
      <c r="K5" s="1966"/>
      <c r="L5" s="1966"/>
      <c r="M5" s="1966"/>
      <c r="N5" s="1968"/>
    </row>
    <row r="6" spans="1:18" ht="24.75" customHeight="1" thickBot="1">
      <c r="A6" s="1918"/>
      <c r="B6" s="1918"/>
      <c r="C6" s="1918"/>
      <c r="D6" s="1918"/>
      <c r="E6" s="1918"/>
      <c r="F6" s="1918"/>
      <c r="G6" s="1918"/>
      <c r="H6" s="1919"/>
      <c r="I6" s="1919"/>
      <c r="J6" s="1918"/>
      <c r="K6" s="1918"/>
      <c r="L6" s="1918"/>
      <c r="M6" s="1918"/>
      <c r="N6" s="1918"/>
    </row>
    <row r="7" spans="1:18" ht="36" customHeight="1" thickBot="1">
      <c r="A7" s="3937" t="s">
        <v>116</v>
      </c>
      <c r="B7" s="3938"/>
      <c r="C7" s="3938"/>
      <c r="D7" s="3938"/>
      <c r="E7" s="3938"/>
      <c r="F7" s="3938"/>
      <c r="G7" s="3938"/>
      <c r="H7" s="3938"/>
      <c r="I7" s="3938"/>
      <c r="J7" s="3938"/>
      <c r="K7" s="3938"/>
      <c r="L7" s="3938"/>
      <c r="M7" s="3938"/>
      <c r="N7" s="3939"/>
    </row>
    <row r="8" spans="1:18" ht="28.5" customHeight="1" thickBot="1">
      <c r="A8" s="1960"/>
      <c r="B8" s="1961"/>
      <c r="C8" s="1961"/>
      <c r="D8" s="1961"/>
      <c r="E8" s="1961"/>
      <c r="F8" s="1961"/>
      <c r="G8" s="1961"/>
      <c r="H8" s="1969"/>
      <c r="I8" s="1969"/>
      <c r="J8" s="1961"/>
      <c r="K8" s="1961"/>
      <c r="L8" s="1961"/>
      <c r="M8" s="1961"/>
      <c r="N8" s="1962"/>
    </row>
    <row r="9" spans="1:18" ht="47.75" customHeight="1" thickBot="1">
      <c r="A9" s="1970"/>
      <c r="B9" s="1971"/>
      <c r="C9" s="1971"/>
      <c r="D9" s="1971"/>
      <c r="E9" s="1971"/>
      <c r="F9" s="1971"/>
      <c r="G9" s="1971"/>
      <c r="H9" s="4808" t="s">
        <v>102</v>
      </c>
      <c r="I9" s="4809"/>
      <c r="J9" s="3937" t="s">
        <v>88</v>
      </c>
      <c r="K9" s="3939"/>
      <c r="L9" s="3937" t="s">
        <v>44</v>
      </c>
      <c r="M9" s="3939"/>
      <c r="N9" s="1972"/>
    </row>
    <row r="10" spans="1:18" ht="61.25" customHeight="1" thickBot="1">
      <c r="A10" s="1970"/>
      <c r="B10" s="1920" t="s">
        <v>89</v>
      </c>
      <c r="C10" s="1921" t="s">
        <v>53</v>
      </c>
      <c r="D10" s="1922" t="s">
        <v>92</v>
      </c>
      <c r="E10" s="1922" t="s">
        <v>93</v>
      </c>
      <c r="F10" s="1922" t="s">
        <v>381</v>
      </c>
      <c r="G10" s="1923" t="s">
        <v>1269</v>
      </c>
      <c r="H10" s="1924" t="s">
        <v>90</v>
      </c>
      <c r="I10" s="1925" t="s">
        <v>37</v>
      </c>
      <c r="J10" s="1924" t="s">
        <v>90</v>
      </c>
      <c r="K10" s="1925" t="s">
        <v>37</v>
      </c>
      <c r="L10" s="1926" t="s">
        <v>90</v>
      </c>
      <c r="M10" s="1925" t="s">
        <v>37</v>
      </c>
      <c r="N10" s="1972"/>
    </row>
    <row r="11" spans="1:18" ht="40.25" customHeight="1">
      <c r="A11" s="1970"/>
      <c r="B11" s="1927" t="str">
        <f>'Summary-NoCo'!C36</f>
        <v>IFR1</v>
      </c>
      <c r="C11" s="1928" t="s">
        <v>1268</v>
      </c>
      <c r="D11" s="1929" t="s">
        <v>43</v>
      </c>
      <c r="E11" s="1929" t="s">
        <v>133</v>
      </c>
      <c r="F11" s="1676">
        <f>'IFR Tanks (IFR1-IFR4)'!H12/'IFR Tanks (IFR1-IFR4)'!H9</f>
        <v>50000</v>
      </c>
      <c r="G11" s="1930" t="s">
        <v>561</v>
      </c>
      <c r="H11" s="1931">
        <f>'IFR Tanks (IFR1-IFR4)'!C41/R11</f>
        <v>0.29380050928856372</v>
      </c>
      <c r="I11" s="1932">
        <f>'IFR Tanks (IFR1-IFR4)'!D41/'Tank Summary'!R11</f>
        <v>1.2868462306839086</v>
      </c>
      <c r="J11" s="1933" t="s">
        <v>1274</v>
      </c>
      <c r="K11" s="1934" t="s">
        <v>1274</v>
      </c>
      <c r="L11" s="1935">
        <f t="shared" ref="L11:M14" si="0">H11</f>
        <v>0.29380050928856372</v>
      </c>
      <c r="M11" s="1936">
        <f t="shared" si="0"/>
        <v>1.2868462306839086</v>
      </c>
      <c r="N11" s="1972"/>
      <c r="P11" s="430">
        <f>F11/100000*365</f>
        <v>182.5</v>
      </c>
      <c r="Q11" s="430" t="s">
        <v>1275</v>
      </c>
      <c r="R11" s="430">
        <v>4</v>
      </c>
    </row>
    <row r="12" spans="1:18" ht="40.25" customHeight="1">
      <c r="A12" s="1970"/>
      <c r="B12" s="1937" t="str">
        <f>'Summary-NoCo'!C37</f>
        <v>IFR2</v>
      </c>
      <c r="C12" s="1928" t="s">
        <v>1268</v>
      </c>
      <c r="D12" s="1929" t="s">
        <v>43</v>
      </c>
      <c r="E12" s="1929" t="s">
        <v>133</v>
      </c>
      <c r="F12" s="1676">
        <f>'IFR Tanks (IFR1-IFR4)'!H12/'IFR Tanks (IFR1-IFR4)'!H9</f>
        <v>50000</v>
      </c>
      <c r="G12" s="1938" t="s">
        <v>561</v>
      </c>
      <c r="H12" s="1939">
        <f>H11</f>
        <v>0.29380050928856372</v>
      </c>
      <c r="I12" s="1940">
        <f>I11</f>
        <v>1.2868462306839086</v>
      </c>
      <c r="J12" s="1941" t="s">
        <v>1274</v>
      </c>
      <c r="K12" s="1942" t="s">
        <v>1274</v>
      </c>
      <c r="L12" s="1935">
        <f t="shared" si="0"/>
        <v>0.29380050928856372</v>
      </c>
      <c r="M12" s="1936">
        <f t="shared" si="0"/>
        <v>1.2868462306839086</v>
      </c>
      <c r="N12" s="1972"/>
    </row>
    <row r="13" spans="1:18" ht="40.25" customHeight="1">
      <c r="A13" s="1970"/>
      <c r="B13" s="1937" t="str">
        <f>'Summary-NoCo'!C38</f>
        <v>IFR3</v>
      </c>
      <c r="C13" s="1928" t="s">
        <v>1268</v>
      </c>
      <c r="D13" s="1929" t="s">
        <v>43</v>
      </c>
      <c r="E13" s="1929" t="s">
        <v>133</v>
      </c>
      <c r="F13" s="1676">
        <f>'IFR Tanks (IFR1-IFR4)'!H12/'IFR Tanks (IFR1-IFR4)'!H9</f>
        <v>50000</v>
      </c>
      <c r="G13" s="1938" t="s">
        <v>561</v>
      </c>
      <c r="H13" s="1939">
        <f>H11</f>
        <v>0.29380050928856372</v>
      </c>
      <c r="I13" s="1940">
        <f>I11</f>
        <v>1.2868462306839086</v>
      </c>
      <c r="J13" s="1941" t="s">
        <v>1274</v>
      </c>
      <c r="K13" s="1942" t="s">
        <v>1274</v>
      </c>
      <c r="L13" s="1935">
        <f t="shared" si="0"/>
        <v>0.29380050928856372</v>
      </c>
      <c r="M13" s="1936">
        <f t="shared" si="0"/>
        <v>1.2868462306839086</v>
      </c>
      <c r="N13" s="1972"/>
    </row>
    <row r="14" spans="1:18" ht="40.25" customHeight="1">
      <c r="A14" s="1970"/>
      <c r="B14" s="1937" t="str">
        <f>'Summary-NoCo'!C39</f>
        <v>IFR4</v>
      </c>
      <c r="C14" s="1928" t="s">
        <v>1268</v>
      </c>
      <c r="D14" s="1929" t="s">
        <v>43</v>
      </c>
      <c r="E14" s="1929" t="s">
        <v>133</v>
      </c>
      <c r="F14" s="1677">
        <f>'IFR Tanks (IFR1-IFR4)'!H12/'IFR Tanks (IFR1-IFR4)'!H9</f>
        <v>50000</v>
      </c>
      <c r="G14" s="1938" t="s">
        <v>561</v>
      </c>
      <c r="H14" s="1943">
        <f>H11</f>
        <v>0.29380050928856372</v>
      </c>
      <c r="I14" s="1944">
        <f>I11</f>
        <v>1.2868462306839086</v>
      </c>
      <c r="J14" s="1941" t="s">
        <v>1274</v>
      </c>
      <c r="K14" s="1942" t="s">
        <v>1274</v>
      </c>
      <c r="L14" s="1935">
        <f t="shared" si="0"/>
        <v>0.29380050928856372</v>
      </c>
      <c r="M14" s="1936">
        <f t="shared" si="0"/>
        <v>1.2868462306839086</v>
      </c>
      <c r="N14" s="1972"/>
    </row>
    <row r="15" spans="1:18" ht="40.25" customHeight="1">
      <c r="A15" s="1970"/>
      <c r="B15" s="1937" t="str">
        <f>'Summary-NoCo'!C40</f>
        <v>OTK1</v>
      </c>
      <c r="C15" s="1928" t="s">
        <v>560</v>
      </c>
      <c r="D15" s="1929" t="s">
        <v>42</v>
      </c>
      <c r="E15" s="1929" t="s">
        <v>618</v>
      </c>
      <c r="F15" s="1676">
        <f>'CDP + Flare PStreams'!R134*60*24/42/6</f>
        <v>4166.667011169292</v>
      </c>
      <c r="G15" s="1938" t="s">
        <v>561</v>
      </c>
      <c r="H15" s="1939">
        <f>'Hrly (ECD1)'!J41/'Tank Summary'!R15</f>
        <v>20.005252665569188</v>
      </c>
      <c r="I15" s="1940">
        <f>' Ann (ECD1)'!J41/'Tank Summary'!R15</f>
        <v>87.623006675193039</v>
      </c>
      <c r="J15" s="1945">
        <f>'Hrly (ECD1)'!K41/'Tank Summary'!R15</f>
        <v>5.0894481720451159</v>
      </c>
      <c r="K15" s="1946">
        <f>' Ann (ECD1)'!K41/'Tank Summary'!R15</f>
        <v>22.291782993557604</v>
      </c>
      <c r="L15" s="1935">
        <f t="shared" ref="L15:L24" si="1">H15+J15</f>
        <v>25.094700837614305</v>
      </c>
      <c r="M15" s="1936">
        <f t="shared" ref="M15:M24" si="2">I15+K15</f>
        <v>109.91478966875064</v>
      </c>
      <c r="N15" s="1972"/>
      <c r="Q15" s="430" t="s">
        <v>1276</v>
      </c>
      <c r="R15" s="430">
        <v>6</v>
      </c>
    </row>
    <row r="16" spans="1:18" ht="40.25" customHeight="1">
      <c r="A16" s="1970"/>
      <c r="B16" s="1937" t="str">
        <f>'Summary-NoCo'!C41</f>
        <v>OTK2</v>
      </c>
      <c r="C16" s="1928" t="s">
        <v>560</v>
      </c>
      <c r="D16" s="1929" t="s">
        <v>42</v>
      </c>
      <c r="E16" s="1929" t="s">
        <v>618</v>
      </c>
      <c r="F16" s="1676">
        <f>F15</f>
        <v>4166.667011169292</v>
      </c>
      <c r="G16" s="1938" t="s">
        <v>561</v>
      </c>
      <c r="H16" s="1939">
        <f>H15</f>
        <v>20.005252665569188</v>
      </c>
      <c r="I16" s="1940">
        <f>I15</f>
        <v>87.623006675193039</v>
      </c>
      <c r="J16" s="1945">
        <f>J15</f>
        <v>5.0894481720451159</v>
      </c>
      <c r="K16" s="1946">
        <f>K15</f>
        <v>22.291782993557604</v>
      </c>
      <c r="L16" s="1935">
        <f t="shared" si="1"/>
        <v>25.094700837614305</v>
      </c>
      <c r="M16" s="1936">
        <f t="shared" si="2"/>
        <v>109.91478966875064</v>
      </c>
      <c r="N16" s="1972"/>
    </row>
    <row r="17" spans="1:18" ht="40.25" customHeight="1">
      <c r="A17" s="1970"/>
      <c r="B17" s="1937" t="str">
        <f>'Summary-NoCo'!C42</f>
        <v>OTK3</v>
      </c>
      <c r="C17" s="1928" t="s">
        <v>560</v>
      </c>
      <c r="D17" s="1947" t="s">
        <v>42</v>
      </c>
      <c r="E17" s="1929" t="s">
        <v>618</v>
      </c>
      <c r="F17" s="1677">
        <f>F15</f>
        <v>4166.667011169292</v>
      </c>
      <c r="G17" s="1938" t="s">
        <v>561</v>
      </c>
      <c r="H17" s="1943">
        <f>H15</f>
        <v>20.005252665569188</v>
      </c>
      <c r="I17" s="1944">
        <f>I15</f>
        <v>87.623006675193039</v>
      </c>
      <c r="J17" s="1948">
        <f>J15</f>
        <v>5.0894481720451159</v>
      </c>
      <c r="K17" s="1949">
        <f>K15</f>
        <v>22.291782993557604</v>
      </c>
      <c r="L17" s="1935">
        <f t="shared" si="1"/>
        <v>25.094700837614305</v>
      </c>
      <c r="M17" s="1936">
        <f t="shared" si="2"/>
        <v>109.91478966875064</v>
      </c>
      <c r="N17" s="1972"/>
    </row>
    <row r="18" spans="1:18" ht="40.25" customHeight="1">
      <c r="A18" s="1970"/>
      <c r="B18" s="1937" t="str">
        <f>'Summary-NoCo'!C43</f>
        <v>OTK4</v>
      </c>
      <c r="C18" s="1928" t="s">
        <v>560</v>
      </c>
      <c r="D18" s="1929" t="s">
        <v>42</v>
      </c>
      <c r="E18" s="1929" t="s">
        <v>618</v>
      </c>
      <c r="F18" s="1676">
        <f>F15</f>
        <v>4166.667011169292</v>
      </c>
      <c r="G18" s="1938" t="s">
        <v>561</v>
      </c>
      <c r="H18" s="1939">
        <f>H15</f>
        <v>20.005252665569188</v>
      </c>
      <c r="I18" s="1940">
        <f>I15</f>
        <v>87.623006675193039</v>
      </c>
      <c r="J18" s="1945">
        <f>J15</f>
        <v>5.0894481720451159</v>
      </c>
      <c r="K18" s="1946">
        <f>K15</f>
        <v>22.291782993557604</v>
      </c>
      <c r="L18" s="1935">
        <f t="shared" si="1"/>
        <v>25.094700837614305</v>
      </c>
      <c r="M18" s="1936">
        <f t="shared" si="2"/>
        <v>109.91478966875064</v>
      </c>
      <c r="N18" s="1972"/>
    </row>
    <row r="19" spans="1:18" ht="40.25" customHeight="1">
      <c r="A19" s="1970"/>
      <c r="B19" s="1937" t="str">
        <f>'Summary-NoCo'!C44</f>
        <v>OTK5</v>
      </c>
      <c r="C19" s="1928" t="s">
        <v>560</v>
      </c>
      <c r="D19" s="1929" t="s">
        <v>42</v>
      </c>
      <c r="E19" s="1929" t="s">
        <v>618</v>
      </c>
      <c r="F19" s="1676">
        <f>F15</f>
        <v>4166.667011169292</v>
      </c>
      <c r="G19" s="1938" t="s">
        <v>561</v>
      </c>
      <c r="H19" s="1939">
        <f>H16</f>
        <v>20.005252665569188</v>
      </c>
      <c r="I19" s="1940">
        <f>I15</f>
        <v>87.623006675193039</v>
      </c>
      <c r="J19" s="1945">
        <f>J15</f>
        <v>5.0894481720451159</v>
      </c>
      <c r="K19" s="1946">
        <f>K15</f>
        <v>22.291782993557604</v>
      </c>
      <c r="L19" s="1935">
        <f t="shared" si="1"/>
        <v>25.094700837614305</v>
      </c>
      <c r="M19" s="1936">
        <f t="shared" si="2"/>
        <v>109.91478966875064</v>
      </c>
      <c r="N19" s="1972"/>
    </row>
    <row r="20" spans="1:18" ht="40.25" customHeight="1">
      <c r="A20" s="1970"/>
      <c r="B20" s="1937" t="str">
        <f>'Summary-NoCo'!C45</f>
        <v>OTK6</v>
      </c>
      <c r="C20" s="1928" t="s">
        <v>560</v>
      </c>
      <c r="D20" s="1947" t="s">
        <v>42</v>
      </c>
      <c r="E20" s="1929" t="s">
        <v>618</v>
      </c>
      <c r="F20" s="1677">
        <f>F15</f>
        <v>4166.667011169292</v>
      </c>
      <c r="G20" s="1938" t="s">
        <v>561</v>
      </c>
      <c r="H20" s="1943">
        <f>H16</f>
        <v>20.005252665569188</v>
      </c>
      <c r="I20" s="1944">
        <f>I15</f>
        <v>87.623006675193039</v>
      </c>
      <c r="J20" s="1948">
        <f>J15</f>
        <v>5.0894481720451159</v>
      </c>
      <c r="K20" s="1949">
        <f>K15</f>
        <v>22.291782993557604</v>
      </c>
      <c r="L20" s="1935">
        <f t="shared" si="1"/>
        <v>25.094700837614305</v>
      </c>
      <c r="M20" s="1936">
        <f t="shared" si="2"/>
        <v>109.91478966875064</v>
      </c>
      <c r="N20" s="1972"/>
      <c r="P20" s="488">
        <f>F20*365/2000</f>
        <v>760.41672953839577</v>
      </c>
    </row>
    <row r="21" spans="1:18" ht="40.25" customHeight="1">
      <c r="A21" s="1970"/>
      <c r="B21" s="1937" t="str">
        <f>'Summary UC-NoCo'!C53</f>
        <v>PWTK1</v>
      </c>
      <c r="C21" s="1950" t="s">
        <v>1273</v>
      </c>
      <c r="D21" s="1951" t="s">
        <v>42</v>
      </c>
      <c r="E21" s="1951" t="s">
        <v>618</v>
      </c>
      <c r="F21" s="1678">
        <f>'CDP + Flare PStreams'!W134*60*24/42/2</f>
        <v>5014.3034314540982</v>
      </c>
      <c r="G21" s="1938" t="s">
        <v>207</v>
      </c>
      <c r="H21" s="1939">
        <f>'Hrly (ECD1)'!H41/R21</f>
        <v>2.360259684389519E-3</v>
      </c>
      <c r="I21" s="1940">
        <f>' Ann (ECD1)'!H41/'Tank Summary'!R21</f>
        <v>1.0337937417626092E-2</v>
      </c>
      <c r="J21" s="1945">
        <f>'Hrly (ECD1)'!I41/'Tank Summary'!R21</f>
        <v>0</v>
      </c>
      <c r="K21" s="1946">
        <f>' Ann (ECD1)'!I41/'Tank Summary'!R21</f>
        <v>0</v>
      </c>
      <c r="L21" s="1935">
        <f t="shared" si="1"/>
        <v>2.360259684389519E-3</v>
      </c>
      <c r="M21" s="1936">
        <f t="shared" si="2"/>
        <v>1.0337937417626092E-2</v>
      </c>
      <c r="N21" s="1972"/>
      <c r="Q21" s="430" t="s">
        <v>1278</v>
      </c>
      <c r="R21" s="430">
        <v>2</v>
      </c>
    </row>
    <row r="22" spans="1:18" ht="40.25" customHeight="1">
      <c r="A22" s="1970"/>
      <c r="B22" s="1937" t="str">
        <f>'Summary-NoCo'!C54</f>
        <v>PWTK2</v>
      </c>
      <c r="C22" s="1950" t="s">
        <v>1273</v>
      </c>
      <c r="D22" s="1951" t="s">
        <v>42</v>
      </c>
      <c r="E22" s="1951" t="s">
        <v>618</v>
      </c>
      <c r="F22" s="1678">
        <f>F21</f>
        <v>5014.3034314540982</v>
      </c>
      <c r="G22" s="1938" t="s">
        <v>207</v>
      </c>
      <c r="H22" s="1939">
        <f>H21</f>
        <v>2.360259684389519E-3</v>
      </c>
      <c r="I22" s="1940">
        <f>I21</f>
        <v>1.0337937417626092E-2</v>
      </c>
      <c r="J22" s="1945">
        <f>J21</f>
        <v>0</v>
      </c>
      <c r="K22" s="1946">
        <f>K21</f>
        <v>0</v>
      </c>
      <c r="L22" s="1935">
        <f t="shared" si="1"/>
        <v>2.360259684389519E-3</v>
      </c>
      <c r="M22" s="1936">
        <f t="shared" si="2"/>
        <v>1.0337937417626092E-2</v>
      </c>
      <c r="N22" s="1972"/>
      <c r="P22" s="488">
        <f>F22*365/750</f>
        <v>2440.2943366409945</v>
      </c>
    </row>
    <row r="23" spans="1:18" ht="40.25" customHeight="1">
      <c r="A23" s="1970"/>
      <c r="B23" s="1937" t="str">
        <f>'Summary-NoCo'!C60</f>
        <v>GBS1</v>
      </c>
      <c r="C23" s="1950" t="s">
        <v>308</v>
      </c>
      <c r="D23" s="1951" t="s">
        <v>42</v>
      </c>
      <c r="E23" s="1951" t="s">
        <v>618</v>
      </c>
      <c r="F23" s="1678">
        <f>'CDP + Flare PStreams'!AF134*60*24/42</f>
        <v>10028.606862908196</v>
      </c>
      <c r="G23" s="1938" t="s">
        <v>207</v>
      </c>
      <c r="H23" s="1939">
        <f>'Hrly (ECD1)'!F41</f>
        <v>0.68675403117904488</v>
      </c>
      <c r="I23" s="1940">
        <f>' Ann (ECD1)'!F41</f>
        <v>3.0079826565642152</v>
      </c>
      <c r="J23" s="1945">
        <f>'Hrly (ECD1)'!G41</f>
        <v>229.11982697269289</v>
      </c>
      <c r="K23" s="1946">
        <f>' Ann (ECD1)'!G41</f>
        <v>1003.5448421403951</v>
      </c>
      <c r="L23" s="1935">
        <f t="shared" si="1"/>
        <v>229.80658100387194</v>
      </c>
      <c r="M23" s="1936">
        <f t="shared" si="2"/>
        <v>1006.5528247969593</v>
      </c>
      <c r="N23" s="1972"/>
      <c r="P23" s="488">
        <f>F23*365/1000</f>
        <v>3660.4415049614918</v>
      </c>
    </row>
    <row r="24" spans="1:18" ht="40.25" customHeight="1" thickBot="1">
      <c r="A24" s="1970"/>
      <c r="B24" s="1937" t="s">
        <v>1745</v>
      </c>
      <c r="C24" s="1950" t="s">
        <v>1272</v>
      </c>
      <c r="D24" s="1951" t="s">
        <v>42</v>
      </c>
      <c r="E24" s="1951" t="s">
        <v>618</v>
      </c>
      <c r="F24" s="1678">
        <f>'CDP + Flare PStreams'!U134*60*24/42</f>
        <v>2080.5844933508192</v>
      </c>
      <c r="G24" s="1938" t="s">
        <v>561</v>
      </c>
      <c r="H24" s="1952">
        <f>'Hrly (ECD1)'!D41</f>
        <v>8.0965572386066107</v>
      </c>
      <c r="I24" s="1953">
        <f>' Ann (ECD1)'!D41</f>
        <v>35.462920705096955</v>
      </c>
      <c r="J24" s="1954">
        <f>'Hrly (ECD1)'!E41</f>
        <v>15.108987523798927</v>
      </c>
      <c r="K24" s="1955">
        <f>' Ann (ECD1)'!E41</f>
        <v>66.177365354239313</v>
      </c>
      <c r="L24" s="1956">
        <f t="shared" si="1"/>
        <v>23.205544762405538</v>
      </c>
      <c r="M24" s="1957">
        <f t="shared" si="2"/>
        <v>101.64028605933626</v>
      </c>
      <c r="N24" s="1972"/>
      <c r="P24" s="430">
        <f>F24*365/500</f>
        <v>1518.8266801460982</v>
      </c>
    </row>
    <row r="25" spans="1:18" ht="40.25" customHeight="1" thickBot="1">
      <c r="A25" s="1970"/>
      <c r="B25" s="4808" t="s">
        <v>306</v>
      </c>
      <c r="C25" s="4810"/>
      <c r="D25" s="4810"/>
      <c r="E25" s="4810"/>
      <c r="F25" s="4810"/>
      <c r="G25" s="4809"/>
      <c r="H25" s="1958">
        <f t="shared" ref="H25:M25" si="3">SUM(H11:H24)</f>
        <v>129.99474981972384</v>
      </c>
      <c r="I25" s="1959">
        <f t="shared" si="3"/>
        <v>569.37700421039017</v>
      </c>
      <c r="J25" s="1958">
        <f t="shared" si="3"/>
        <v>274.76550352876251</v>
      </c>
      <c r="K25" s="1959">
        <f t="shared" si="3"/>
        <v>1203.47290545598</v>
      </c>
      <c r="L25" s="1958">
        <f t="shared" si="3"/>
        <v>404.76025334848634</v>
      </c>
      <c r="M25" s="1959">
        <f t="shared" si="3"/>
        <v>1772.84990966637</v>
      </c>
      <c r="N25" s="1972"/>
      <c r="P25" s="487"/>
      <c r="Q25" s="487"/>
    </row>
    <row r="26" spans="1:18" ht="40.5" customHeight="1" thickBot="1">
      <c r="A26" s="1965"/>
      <c r="B26" s="4807"/>
      <c r="C26" s="4807"/>
      <c r="D26" s="4807"/>
      <c r="E26" s="4807"/>
      <c r="F26" s="4807"/>
      <c r="G26" s="4807"/>
      <c r="H26" s="4807"/>
      <c r="I26" s="4807"/>
      <c r="J26" s="4807"/>
      <c r="K26" s="4807"/>
      <c r="L26" s="4807"/>
      <c r="M26" s="4807"/>
      <c r="N26" s="1968"/>
    </row>
    <row r="28" spans="1:18">
      <c r="H28" s="487"/>
      <c r="I28" s="487"/>
      <c r="J28" s="487"/>
      <c r="K28" s="487"/>
      <c r="L28" s="487"/>
      <c r="M28" s="487"/>
    </row>
    <row r="30" spans="1:18">
      <c r="M30" s="487"/>
    </row>
  </sheetData>
  <mergeCells count="9">
    <mergeCell ref="B26:M26"/>
    <mergeCell ref="B2:M2"/>
    <mergeCell ref="B3:M3"/>
    <mergeCell ref="B4:M4"/>
    <mergeCell ref="A7:N7"/>
    <mergeCell ref="J9:K9"/>
    <mergeCell ref="H9:I9"/>
    <mergeCell ref="L9:M9"/>
    <mergeCell ref="B25:G25"/>
  </mergeCells>
  <printOptions horizontalCentered="1"/>
  <pageMargins left="0.7" right="0.7" top="0.75" bottom="0.75" header="0.3" footer="0.3"/>
  <pageSetup scale="63" orientation="portrait" r:id="rId1"/>
  <headerFooter>
    <oddFooter>&amp;CCalculations: Page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7">
    <tabColor theme="3" tint="-0.249977111117893"/>
    <pageSetUpPr fitToPage="1"/>
  </sheetPr>
  <dimension ref="A1:P47"/>
  <sheetViews>
    <sheetView view="pageBreakPreview" topLeftCell="A28" zoomScale="70" zoomScaleNormal="100" zoomScaleSheetLayoutView="70" zoomScalePageLayoutView="70" workbookViewId="0">
      <selection activeCell="E19" sqref="E19:R19"/>
    </sheetView>
  </sheetViews>
  <sheetFormatPr defaultColWidth="9.36328125" defaultRowHeight="12.5"/>
  <cols>
    <col min="1" max="1" width="2.453125" style="48" customWidth="1"/>
    <col min="2" max="4" width="30.36328125" style="48" customWidth="1"/>
    <col min="5" max="5" width="1.36328125" style="48" customWidth="1"/>
    <col min="6" max="6" width="12" style="48" customWidth="1"/>
    <col min="7" max="7" width="11" style="48" customWidth="1"/>
    <col min="8" max="8" width="10.6328125" style="48" customWidth="1"/>
    <col min="9" max="9" width="5.6328125" style="48" customWidth="1"/>
    <col min="10" max="10" width="5.453125" style="48" customWidth="1"/>
    <col min="11" max="11" width="2.453125" style="48" customWidth="1"/>
    <col min="12" max="16384" width="9.36328125" style="48"/>
  </cols>
  <sheetData>
    <row r="1" spans="1:16" ht="13.5" thickBot="1">
      <c r="A1" s="640"/>
      <c r="B1" s="641"/>
      <c r="C1" s="641"/>
      <c r="D1" s="641"/>
      <c r="E1" s="641"/>
      <c r="F1" s="641"/>
      <c r="G1" s="641"/>
      <c r="H1" s="641"/>
      <c r="I1" s="641"/>
      <c r="J1" s="641"/>
      <c r="K1" s="642"/>
    </row>
    <row r="2" spans="1:16" ht="20.5">
      <c r="A2" s="643"/>
      <c r="B2" s="4657" t="str">
        <f>'Hrly (ECD1)'!B2:T2</f>
        <v>XTO ENERGY INC.</v>
      </c>
      <c r="C2" s="4658"/>
      <c r="D2" s="4658"/>
      <c r="E2" s="4658"/>
      <c r="F2" s="4658"/>
      <c r="G2" s="4658"/>
      <c r="H2" s="4658"/>
      <c r="I2" s="4658"/>
      <c r="J2" s="4659"/>
      <c r="K2" s="644"/>
    </row>
    <row r="3" spans="1:16" ht="20.5">
      <c r="A3" s="643"/>
      <c r="B3" s="4660" t="str">
        <f>'Hrly (ECD1)'!B3:T3</f>
        <v>HUSKY CDP</v>
      </c>
      <c r="C3" s="4661"/>
      <c r="D3" s="4661"/>
      <c r="E3" s="4661"/>
      <c r="F3" s="4661"/>
      <c r="G3" s="4661"/>
      <c r="H3" s="4661"/>
      <c r="I3" s="4661"/>
      <c r="J3" s="4662"/>
      <c r="K3" s="644"/>
    </row>
    <row r="4" spans="1:16" ht="21" thickBot="1">
      <c r="A4" s="643"/>
      <c r="B4" s="4663" t="s">
        <v>908</v>
      </c>
      <c r="C4" s="4665"/>
      <c r="D4" s="4665"/>
      <c r="E4" s="4665"/>
      <c r="F4" s="4665"/>
      <c r="G4" s="4665"/>
      <c r="H4" s="4665"/>
      <c r="I4" s="4665"/>
      <c r="J4" s="4666"/>
      <c r="K4" s="644"/>
    </row>
    <row r="5" spans="1:16" ht="18.5" thickBot="1">
      <c r="A5" s="645"/>
      <c r="B5" s="646"/>
      <c r="C5" s="646"/>
      <c r="D5" s="646"/>
      <c r="E5" s="646"/>
      <c r="F5" s="646"/>
      <c r="G5" s="646"/>
      <c r="H5" s="646"/>
      <c r="I5" s="646"/>
      <c r="J5" s="646"/>
      <c r="K5" s="647"/>
    </row>
    <row r="6" spans="1:16" ht="23.25" customHeight="1" thickBot="1">
      <c r="A6" s="4682" t="s">
        <v>845</v>
      </c>
      <c r="B6" s="4683"/>
      <c r="C6" s="4683"/>
      <c r="D6" s="4683"/>
      <c r="E6" s="4683"/>
      <c r="F6" s="4683"/>
      <c r="G6" s="4683"/>
      <c r="H6" s="4683"/>
      <c r="I6" s="4683"/>
      <c r="J6" s="4683"/>
      <c r="K6" s="4684"/>
    </row>
    <row r="7" spans="1:16" ht="20.25" customHeight="1" thickBot="1">
      <c r="A7" s="4830"/>
      <c r="B7" s="4831"/>
      <c r="C7" s="4831"/>
      <c r="D7" s="4831"/>
      <c r="E7" s="1765"/>
      <c r="F7" s="1765"/>
      <c r="G7" s="1765"/>
      <c r="H7" s="1765"/>
      <c r="I7" s="1765"/>
      <c r="J7" s="1765"/>
      <c r="K7" s="1808"/>
    </row>
    <row r="8" spans="1:16" ht="22.5" customHeight="1" thickBot="1">
      <c r="A8" s="1761"/>
      <c r="B8" s="4682" t="s">
        <v>1962</v>
      </c>
      <c r="C8" s="4683"/>
      <c r="D8" s="4684"/>
      <c r="E8" s="1765"/>
      <c r="F8" s="4828" t="s">
        <v>847</v>
      </c>
      <c r="G8" s="4829"/>
      <c r="H8" s="4829"/>
      <c r="I8" s="4829"/>
      <c r="J8" s="4762"/>
      <c r="K8" s="1763"/>
    </row>
    <row r="9" spans="1:16" ht="26.25" customHeight="1">
      <c r="A9" s="1761"/>
      <c r="B9" s="4821" t="s">
        <v>2</v>
      </c>
      <c r="C9" s="4824" t="s">
        <v>97</v>
      </c>
      <c r="D9" s="4825"/>
      <c r="E9" s="3088"/>
      <c r="F9" s="4516" t="s">
        <v>839</v>
      </c>
      <c r="G9" s="4726"/>
      <c r="H9" s="3299">
        <v>4</v>
      </c>
      <c r="I9" s="4826" t="s">
        <v>445</v>
      </c>
      <c r="J9" s="4518"/>
      <c r="K9" s="1763"/>
      <c r="N9" s="650" t="s">
        <v>688</v>
      </c>
      <c r="O9" s="650"/>
      <c r="P9" s="650">
        <v>34.08</v>
      </c>
    </row>
    <row r="10" spans="1:16" ht="27.75" customHeight="1">
      <c r="A10" s="1761"/>
      <c r="B10" s="4822"/>
      <c r="C10" s="4814" t="s">
        <v>816</v>
      </c>
      <c r="D10" s="4827"/>
      <c r="E10" s="3088"/>
      <c r="F10" s="4756" t="s">
        <v>840</v>
      </c>
      <c r="G10" s="4813"/>
      <c r="H10" s="3300">
        <v>100000</v>
      </c>
      <c r="I10" s="4813" t="s">
        <v>841</v>
      </c>
      <c r="J10" s="4741"/>
      <c r="K10" s="1763"/>
      <c r="N10" s="650" t="s">
        <v>689</v>
      </c>
      <c r="O10" s="650"/>
      <c r="P10" s="650">
        <v>64.06</v>
      </c>
    </row>
    <row r="11" spans="1:16" ht="19.5" customHeight="1" thickBot="1">
      <c r="A11" s="1761"/>
      <c r="B11" s="4823"/>
      <c r="C11" s="3166" t="s">
        <v>56</v>
      </c>
      <c r="D11" s="3264" t="s">
        <v>701</v>
      </c>
      <c r="E11" s="1765"/>
      <c r="F11" s="4814" t="s">
        <v>842</v>
      </c>
      <c r="G11" s="4815"/>
      <c r="H11" s="3301" t="s">
        <v>846</v>
      </c>
      <c r="I11" s="4816" t="s">
        <v>445</v>
      </c>
      <c r="J11" s="4741"/>
      <c r="K11" s="1763"/>
      <c r="N11" s="650" t="s">
        <v>691</v>
      </c>
      <c r="O11" s="650"/>
      <c r="P11" s="651">
        <v>0.95</v>
      </c>
    </row>
    <row r="12" spans="1:16" ht="15.75" customHeight="1" thickBot="1">
      <c r="A12" s="1761"/>
      <c r="B12" s="3096" t="s">
        <v>298</v>
      </c>
      <c r="C12" s="3169">
        <f>'CDP + Flare PStreams'!AN65</f>
        <v>0</v>
      </c>
      <c r="D12" s="1836">
        <f t="shared" ref="D12:D39" si="0">C12*$N$14/2000</f>
        <v>0</v>
      </c>
      <c r="E12" s="3100"/>
      <c r="F12" s="4817" t="s">
        <v>843</v>
      </c>
      <c r="G12" s="4818"/>
      <c r="H12" s="3302">
        <v>200000</v>
      </c>
      <c r="I12" s="4819" t="s">
        <v>844</v>
      </c>
      <c r="J12" s="4820"/>
      <c r="K12" s="1763"/>
    </row>
    <row r="13" spans="1:16" ht="15" customHeight="1">
      <c r="A13" s="1761"/>
      <c r="B13" s="3105" t="s">
        <v>5</v>
      </c>
      <c r="C13" s="3097">
        <f>'CDP + Flare PStreams'!AN66</f>
        <v>0</v>
      </c>
      <c r="D13" s="3106">
        <f t="shared" si="0"/>
        <v>0</v>
      </c>
      <c r="E13" s="3100"/>
      <c r="F13" s="4811"/>
      <c r="G13" s="4811"/>
      <c r="H13" s="3303"/>
      <c r="I13" s="4811"/>
      <c r="J13" s="4811"/>
      <c r="K13" s="1763"/>
      <c r="M13" s="48" t="s">
        <v>703</v>
      </c>
      <c r="N13" s="672">
        <v>31</v>
      </c>
    </row>
    <row r="14" spans="1:16" ht="16.5" customHeight="1">
      <c r="A14" s="1761"/>
      <c r="B14" s="3105" t="s">
        <v>4</v>
      </c>
      <c r="C14" s="3097">
        <f>'CDP + Flare PStreams'!AN67</f>
        <v>0</v>
      </c>
      <c r="D14" s="3106">
        <f t="shared" si="0"/>
        <v>0</v>
      </c>
      <c r="E14" s="3100"/>
      <c r="F14" s="4811"/>
      <c r="G14" s="4811"/>
      <c r="H14" s="4811"/>
      <c r="I14" s="4811"/>
      <c r="J14" s="4811"/>
      <c r="K14" s="1763"/>
      <c r="M14" s="48" t="s">
        <v>24</v>
      </c>
      <c r="N14" s="672">
        <v>8760</v>
      </c>
    </row>
    <row r="15" spans="1:16" ht="16.5" customHeight="1">
      <c r="A15" s="1761"/>
      <c r="B15" s="3105" t="s">
        <v>3</v>
      </c>
      <c r="C15" s="3097">
        <f>'CDP + Flare PStreams'!AN68</f>
        <v>0</v>
      </c>
      <c r="D15" s="3106">
        <f t="shared" si="0"/>
        <v>0</v>
      </c>
      <c r="E15" s="3100"/>
      <c r="F15" s="4811"/>
      <c r="G15" s="4811"/>
      <c r="H15" s="3088"/>
      <c r="I15" s="4811"/>
      <c r="J15" s="4811"/>
      <c r="K15" s="1763"/>
      <c r="N15" s="652"/>
      <c r="P15" s="48">
        <f>H13*365</f>
        <v>0</v>
      </c>
    </row>
    <row r="16" spans="1:16" ht="16.5" customHeight="1">
      <c r="A16" s="1761"/>
      <c r="B16" s="3105" t="s">
        <v>6</v>
      </c>
      <c r="C16" s="3097">
        <f>'CDP + Flare PStreams'!AN69</f>
        <v>0</v>
      </c>
      <c r="D16" s="3106">
        <f t="shared" si="0"/>
        <v>0</v>
      </c>
      <c r="E16" s="3100"/>
      <c r="F16" s="4811"/>
      <c r="G16" s="4811"/>
      <c r="H16" s="3088"/>
      <c r="I16" s="4812"/>
      <c r="J16" s="4812"/>
      <c r="K16" s="1763"/>
      <c r="N16" s="652"/>
    </row>
    <row r="17" spans="1:14" ht="16.5" customHeight="1">
      <c r="A17" s="1761"/>
      <c r="B17" s="3105" t="s">
        <v>7</v>
      </c>
      <c r="C17" s="3097">
        <f>'CDP + Flare PStreams'!AN70</f>
        <v>5.6605542885672003E-2</v>
      </c>
      <c r="D17" s="3106">
        <f t="shared" si="0"/>
        <v>0.24793227783924338</v>
      </c>
      <c r="E17" s="3100"/>
      <c r="F17" s="4811"/>
      <c r="G17" s="4811"/>
      <c r="H17" s="3304"/>
      <c r="I17" s="4811"/>
      <c r="J17" s="4811"/>
      <c r="K17" s="1763"/>
      <c r="N17" s="652"/>
    </row>
    <row r="18" spans="1:14" ht="16.5" customHeight="1">
      <c r="A18" s="1761"/>
      <c r="B18" s="3105" t="s">
        <v>8</v>
      </c>
      <c r="C18" s="3097">
        <f>'CDP + Flare PStreams'!AN71</f>
        <v>9.6655492558866199E-2</v>
      </c>
      <c r="D18" s="3106">
        <f t="shared" si="0"/>
        <v>0.42335105740783391</v>
      </c>
      <c r="E18" s="3100"/>
      <c r="F18" s="4811"/>
      <c r="G18" s="4811"/>
      <c r="H18" s="3088"/>
      <c r="I18" s="4811"/>
      <c r="J18" s="4811"/>
      <c r="K18" s="1763"/>
      <c r="N18" s="652"/>
    </row>
    <row r="19" spans="1:14" ht="16.5" customHeight="1">
      <c r="A19" s="1761"/>
      <c r="B19" s="3105" t="s">
        <v>747</v>
      </c>
      <c r="C19" s="3097">
        <f>'CDP + Flare PStreams'!AN72</f>
        <v>5.8636827326370301E-2</v>
      </c>
      <c r="D19" s="3106">
        <f t="shared" si="0"/>
        <v>0.25682930368950191</v>
      </c>
      <c r="E19" s="3100"/>
      <c r="F19" s="4811"/>
      <c r="G19" s="4811"/>
      <c r="H19" s="3088"/>
      <c r="I19" s="4811"/>
      <c r="J19" s="4811"/>
      <c r="K19" s="1763"/>
      <c r="N19" s="652"/>
    </row>
    <row r="20" spans="1:14" ht="16.5" customHeight="1">
      <c r="A20" s="1761"/>
      <c r="B20" s="3105" t="s">
        <v>748</v>
      </c>
      <c r="C20" s="3097">
        <f>'CDP + Flare PStreams'!AN73</f>
        <v>0.163601889753348</v>
      </c>
      <c r="D20" s="3106">
        <f t="shared" si="0"/>
        <v>0.71657627711966432</v>
      </c>
      <c r="E20" s="3100"/>
      <c r="F20" s="3123"/>
      <c r="G20" s="3124"/>
      <c r="H20" s="3124"/>
      <c r="I20" s="3125"/>
      <c r="J20" s="1766"/>
      <c r="K20" s="1763"/>
      <c r="N20" s="652"/>
    </row>
    <row r="21" spans="1:14" ht="16.5" customHeight="1">
      <c r="A21" s="1761"/>
      <c r="B21" s="3105" t="s">
        <v>749</v>
      </c>
      <c r="C21" s="3097">
        <f>'CDP + Flare PStreams'!AN74</f>
        <v>6.9981710328759605E-2</v>
      </c>
      <c r="D21" s="3106">
        <f t="shared" si="0"/>
        <v>0.30651989123996709</v>
      </c>
      <c r="E21" s="3100"/>
      <c r="F21" s="4811"/>
      <c r="G21" s="4811"/>
      <c r="H21" s="4811"/>
      <c r="I21" s="4811"/>
      <c r="J21" s="4811"/>
      <c r="K21" s="1763"/>
      <c r="N21" s="652"/>
    </row>
    <row r="22" spans="1:14" ht="16.5" customHeight="1">
      <c r="A22" s="1761"/>
      <c r="B22" s="3105" t="s">
        <v>750</v>
      </c>
      <c r="C22" s="3097">
        <f>'CDP + Flare PStreams'!AN75</f>
        <v>7.8867319700351102E-2</v>
      </c>
      <c r="D22" s="3106">
        <f t="shared" si="0"/>
        <v>0.34543886028753779</v>
      </c>
      <c r="E22" s="3100"/>
      <c r="F22" s="4811"/>
      <c r="G22" s="4811"/>
      <c r="H22" s="4811"/>
      <c r="I22" s="4811"/>
      <c r="J22" s="4811"/>
      <c r="K22" s="1763"/>
      <c r="N22" s="652"/>
    </row>
    <row r="23" spans="1:14" ht="16.5" customHeight="1">
      <c r="A23" s="1761"/>
      <c r="B23" s="3105" t="s">
        <v>800</v>
      </c>
      <c r="C23" s="3097">
        <f>'CDP + Flare PStreams'!AN76</f>
        <v>0</v>
      </c>
      <c r="D23" s="3106">
        <f t="shared" si="0"/>
        <v>0</v>
      </c>
      <c r="E23" s="3100"/>
      <c r="F23" s="3305"/>
      <c r="G23" s="3124"/>
      <c r="H23" s="3124"/>
      <c r="I23" s="3125"/>
      <c r="J23" s="1766"/>
      <c r="K23" s="1763"/>
      <c r="N23" s="652"/>
    </row>
    <row r="24" spans="1:14" ht="16.5" customHeight="1">
      <c r="A24" s="1761"/>
      <c r="B24" s="3105" t="s">
        <v>292</v>
      </c>
      <c r="C24" s="3097">
        <f>'CDP + Flare PStreams'!AN77</f>
        <v>3.8154690727767303E-2</v>
      </c>
      <c r="D24" s="3106">
        <f t="shared" si="0"/>
        <v>0.1671175453876208</v>
      </c>
      <c r="E24" s="3100"/>
      <c r="F24" s="3123"/>
      <c r="G24" s="3124"/>
      <c r="H24" s="3124"/>
      <c r="I24" s="3125"/>
      <c r="J24" s="1766"/>
      <c r="K24" s="1763"/>
      <c r="N24" s="652"/>
    </row>
    <row r="25" spans="1:14" ht="16.5" customHeight="1">
      <c r="A25" s="1761"/>
      <c r="B25" s="3105" t="s">
        <v>10</v>
      </c>
      <c r="C25" s="3097">
        <f>'CDP + Flare PStreams'!AN78</f>
        <v>2.3910069667928999E-2</v>
      </c>
      <c r="D25" s="3106">
        <f t="shared" si="0"/>
        <v>0.10472610514552902</v>
      </c>
      <c r="E25" s="3100"/>
      <c r="F25" s="3123"/>
      <c r="G25" s="3124"/>
      <c r="H25" s="3124"/>
      <c r="I25" s="3125"/>
      <c r="J25" s="1766"/>
      <c r="K25" s="1763"/>
      <c r="N25" s="652"/>
    </row>
    <row r="26" spans="1:14" ht="16.5" customHeight="1">
      <c r="A26" s="1761"/>
      <c r="B26" s="3105" t="s">
        <v>9</v>
      </c>
      <c r="C26" s="3097">
        <f>'CDP + Flare PStreams'!AN79</f>
        <v>1.7810271001808299E-2</v>
      </c>
      <c r="D26" s="3106">
        <f t="shared" si="0"/>
        <v>7.8008986987920345E-2</v>
      </c>
      <c r="E26" s="3100"/>
      <c r="F26" s="3123"/>
      <c r="G26" s="3124"/>
      <c r="H26" s="3124"/>
      <c r="I26" s="3125"/>
      <c r="J26" s="1766"/>
      <c r="K26" s="1763"/>
      <c r="N26" s="652"/>
    </row>
    <row r="27" spans="1:14" ht="16.5" customHeight="1">
      <c r="A27" s="1761"/>
      <c r="B27" s="3105" t="s">
        <v>11</v>
      </c>
      <c r="C27" s="3097">
        <f>'CDP + Flare PStreams'!AN80</f>
        <v>1.41043714559578E-2</v>
      </c>
      <c r="D27" s="3106">
        <f t="shared" si="0"/>
        <v>6.1777146977095167E-2</v>
      </c>
      <c r="E27" s="3100"/>
      <c r="F27" s="3123"/>
      <c r="G27" s="3124"/>
      <c r="H27" s="3124"/>
      <c r="I27" s="3125"/>
      <c r="J27" s="1766"/>
      <c r="K27" s="1763"/>
      <c r="N27" s="652"/>
    </row>
    <row r="28" spans="1:14" ht="16.5" customHeight="1">
      <c r="A28" s="1761"/>
      <c r="B28" s="3105" t="s">
        <v>12</v>
      </c>
      <c r="C28" s="3097">
        <f>'CDP + Flare PStreams'!AN81</f>
        <v>3.3886448439830401E-2</v>
      </c>
      <c r="D28" s="3106">
        <f t="shared" si="0"/>
        <v>0.14842264416645717</v>
      </c>
      <c r="E28" s="3100"/>
      <c r="F28" s="3305"/>
      <c r="G28" s="3124"/>
      <c r="H28" s="3124"/>
      <c r="I28" s="3125"/>
      <c r="J28" s="1766"/>
      <c r="K28" s="1763"/>
      <c r="N28" s="652"/>
    </row>
    <row r="29" spans="1:14" ht="16.5" customHeight="1">
      <c r="A29" s="1761"/>
      <c r="B29" s="3105" t="s">
        <v>286</v>
      </c>
      <c r="C29" s="3097">
        <f>'CDP + Flare PStreams'!AN82</f>
        <v>0</v>
      </c>
      <c r="D29" s="3106">
        <f t="shared" si="0"/>
        <v>0</v>
      </c>
      <c r="E29" s="3100"/>
      <c r="F29" s="3305"/>
      <c r="G29" s="3124"/>
      <c r="H29" s="3124"/>
      <c r="I29" s="3125"/>
      <c r="J29" s="1766"/>
      <c r="K29" s="1763"/>
      <c r="N29" s="652"/>
    </row>
    <row r="30" spans="1:14" ht="16.5" customHeight="1">
      <c r="A30" s="1761"/>
      <c r="B30" s="3105" t="s">
        <v>801</v>
      </c>
      <c r="C30" s="3097">
        <f>'CDP + Flare PStreams'!AN83</f>
        <v>1.0413969938368701E-2</v>
      </c>
      <c r="D30" s="3106">
        <f t="shared" si="0"/>
        <v>4.5613188330054913E-2</v>
      </c>
      <c r="E30" s="3100"/>
      <c r="F30" s="3305"/>
      <c r="G30" s="3124"/>
      <c r="H30" s="3124"/>
      <c r="I30" s="3125"/>
      <c r="J30" s="1766"/>
      <c r="K30" s="1763"/>
      <c r="N30" s="652"/>
    </row>
    <row r="31" spans="1:14" ht="16.5" customHeight="1">
      <c r="A31" s="1761"/>
      <c r="B31" s="3105" t="s">
        <v>65</v>
      </c>
      <c r="C31" s="3097">
        <f>'CDP + Flare PStreams'!AN84</f>
        <v>3.4838638217339998E-2</v>
      </c>
      <c r="D31" s="3106">
        <f t="shared" si="0"/>
        <v>0.15259323539194919</v>
      </c>
      <c r="E31" s="3100"/>
      <c r="F31" s="3305"/>
      <c r="G31" s="3124"/>
      <c r="H31" s="3124"/>
      <c r="I31" s="3125"/>
      <c r="J31" s="1766"/>
      <c r="K31" s="1763"/>
      <c r="N31" s="652"/>
    </row>
    <row r="32" spans="1:14" ht="16.5" customHeight="1">
      <c r="A32" s="1761"/>
      <c r="B32" s="3105" t="s">
        <v>13</v>
      </c>
      <c r="C32" s="3097">
        <f>'CDP + Flare PStreams'!AN85</f>
        <v>2.2243140445581799E-2</v>
      </c>
      <c r="D32" s="3106">
        <f t="shared" si="0"/>
        <v>9.7424955151648271E-2</v>
      </c>
      <c r="E32" s="3100"/>
      <c r="F32" s="3305"/>
      <c r="G32" s="3124"/>
      <c r="H32" s="3124"/>
      <c r="I32" s="3125"/>
      <c r="J32" s="1766"/>
      <c r="K32" s="1763"/>
      <c r="N32" s="652"/>
    </row>
    <row r="33" spans="1:14" ht="16.5" customHeight="1">
      <c r="A33" s="1761"/>
      <c r="B33" s="3105" t="s">
        <v>14</v>
      </c>
      <c r="C33" s="3097">
        <f>'CDP + Flare PStreams'!AN86</f>
        <v>1.7641730730531598E-2</v>
      </c>
      <c r="D33" s="3106">
        <f t="shared" si="0"/>
        <v>7.7270780599728403E-2</v>
      </c>
      <c r="E33" s="3100"/>
      <c r="F33" s="3123"/>
      <c r="G33" s="3124"/>
      <c r="H33" s="3124"/>
      <c r="I33" s="3125"/>
      <c r="J33" s="1766"/>
      <c r="K33" s="1763"/>
      <c r="N33" s="652"/>
    </row>
    <row r="34" spans="1:14" ht="16.5" customHeight="1">
      <c r="A34" s="1761"/>
      <c r="B34" s="3105" t="s">
        <v>804</v>
      </c>
      <c r="C34" s="3097">
        <f>'CDP + Flare PStreams'!AN87</f>
        <v>3.90360365151039E-2</v>
      </c>
      <c r="D34" s="3106">
        <f t="shared" si="0"/>
        <v>0.17097783993615509</v>
      </c>
      <c r="E34" s="3100"/>
      <c r="F34" s="3123"/>
      <c r="G34" s="3124"/>
      <c r="H34" s="3124"/>
      <c r="I34" s="3125"/>
      <c r="J34" s="1766"/>
      <c r="K34" s="1763"/>
      <c r="N34" s="652"/>
    </row>
    <row r="35" spans="1:14" ht="16.5" customHeight="1">
      <c r="A35" s="1761"/>
      <c r="B35" s="3105" t="s">
        <v>16</v>
      </c>
      <c r="C35" s="3097">
        <f>'CDP + Flare PStreams'!AN88</f>
        <v>1.03974487369039E-3</v>
      </c>
      <c r="D35" s="3106">
        <f t="shared" si="0"/>
        <v>4.5540825467639077E-3</v>
      </c>
      <c r="E35" s="3100"/>
      <c r="F35" s="3123"/>
      <c r="G35" s="3124"/>
      <c r="H35" s="3124"/>
      <c r="I35" s="3125"/>
      <c r="J35" s="1766"/>
      <c r="K35" s="1763"/>
      <c r="N35" s="652"/>
    </row>
    <row r="36" spans="1:14" ht="16.5" customHeight="1">
      <c r="A36" s="1761"/>
      <c r="B36" s="3105" t="s">
        <v>802</v>
      </c>
      <c r="C36" s="3097">
        <f>'CDP + Flare PStreams'!AN89</f>
        <v>1.10433380771713E-2</v>
      </c>
      <c r="D36" s="3106">
        <f t="shared" si="0"/>
        <v>4.8369820778010296E-2</v>
      </c>
      <c r="E36" s="3100"/>
      <c r="F36" s="3123"/>
      <c r="G36" s="3124"/>
      <c r="H36" s="3124"/>
      <c r="I36" s="3125"/>
      <c r="J36" s="1766"/>
      <c r="K36" s="1763"/>
    </row>
    <row r="37" spans="1:14" ht="16.5" customHeight="1">
      <c r="A37" s="1761"/>
      <c r="B37" s="3105" t="s">
        <v>803</v>
      </c>
      <c r="C37" s="3097">
        <f>'CDP + Flare PStreams'!AN90</f>
        <v>3.7558286002121702E-2</v>
      </c>
      <c r="D37" s="3106">
        <f t="shared" si="0"/>
        <v>0.16450529268929304</v>
      </c>
      <c r="E37" s="3100"/>
      <c r="F37" s="3123"/>
      <c r="G37" s="3128"/>
      <c r="H37" s="3128"/>
      <c r="I37" s="3129"/>
      <c r="J37" s="3129"/>
      <c r="K37" s="1763"/>
    </row>
    <row r="38" spans="1:14" ht="16.5" customHeight="1">
      <c r="A38" s="1761"/>
      <c r="B38" s="3105" t="s">
        <v>805</v>
      </c>
      <c r="C38" s="3097">
        <f>'CDP + Flare PStreams'!AN91</f>
        <v>3.6880886229009403E-2</v>
      </c>
      <c r="D38" s="3106">
        <f t="shared" si="0"/>
        <v>0.1615382816830612</v>
      </c>
      <c r="E38" s="3100"/>
      <c r="F38" s="1762"/>
      <c r="G38" s="1762"/>
      <c r="H38" s="1762"/>
      <c r="I38" s="1762"/>
      <c r="J38" s="1762"/>
      <c r="K38" s="1763"/>
    </row>
    <row r="39" spans="1:14" ht="16.5" customHeight="1" thickBot="1">
      <c r="A39" s="1761"/>
      <c r="B39" s="3130" t="s">
        <v>752</v>
      </c>
      <c r="C39" s="1879">
        <f>'CDP + Flare PStreams'!AN92</f>
        <v>0.368897175164348</v>
      </c>
      <c r="D39" s="3223">
        <f t="shared" si="0"/>
        <v>1.6157696272198443</v>
      </c>
      <c r="E39" s="3100"/>
      <c r="F39" s="1762"/>
      <c r="G39" s="1762"/>
      <c r="H39" s="1762"/>
      <c r="I39" s="1762"/>
      <c r="J39" s="1762"/>
      <c r="K39" s="1763"/>
    </row>
    <row r="40" spans="1:14" ht="17.25" customHeight="1">
      <c r="A40" s="1761"/>
      <c r="B40" s="3096" t="s">
        <v>692</v>
      </c>
      <c r="C40" s="3306">
        <f>SUM(C12:C39)</f>
        <v>1.2318075800399269</v>
      </c>
      <c r="D40" s="3171">
        <f>SUM(D12:D39)</f>
        <v>5.395317200574878</v>
      </c>
      <c r="E40" s="3100"/>
      <c r="F40" s="1762"/>
      <c r="G40" s="1762"/>
      <c r="H40" s="1762"/>
      <c r="I40" s="1762"/>
      <c r="J40" s="1762"/>
      <c r="K40" s="1763"/>
    </row>
    <row r="41" spans="1:14" ht="17.25" customHeight="1">
      <c r="A41" s="1761"/>
      <c r="B41" s="3105" t="s">
        <v>55</v>
      </c>
      <c r="C41" s="3140">
        <f>SUM(C18:C39)</f>
        <v>1.1752020371542549</v>
      </c>
      <c r="D41" s="3108">
        <f>SUM(D18:D39)</f>
        <v>5.1473849227356343</v>
      </c>
      <c r="E41" s="3100"/>
      <c r="F41" s="1762"/>
      <c r="G41" s="1762"/>
      <c r="H41" s="1762"/>
      <c r="I41" s="1762"/>
      <c r="J41" s="1762"/>
      <c r="K41" s="1763"/>
      <c r="M41" s="582" t="e">
        <f>D41+#REF!</f>
        <v>#REF!</v>
      </c>
    </row>
    <row r="42" spans="1:14" ht="17.25" customHeight="1" thickBot="1">
      <c r="A42" s="1761"/>
      <c r="B42" s="3229" t="s">
        <v>693</v>
      </c>
      <c r="C42" s="3145">
        <f>SUM(C25,C27,C33,C36,C35,C29)</f>
        <v>6.7739254805280091E-2</v>
      </c>
      <c r="D42" s="3148">
        <f>SUM(D25,D27,D33,D36,D35,D29)</f>
        <v>0.2966979360471268</v>
      </c>
      <c r="E42" s="3100"/>
      <c r="F42" s="1762"/>
      <c r="G42" s="1762"/>
      <c r="H42" s="1762"/>
      <c r="I42" s="1762"/>
      <c r="J42" s="1762"/>
      <c r="K42" s="1763"/>
    </row>
    <row r="43" spans="1:14" ht="13">
      <c r="A43" s="643"/>
      <c r="B43" s="657"/>
      <c r="C43" s="657"/>
      <c r="D43" s="657"/>
      <c r="E43" s="659"/>
      <c r="F43" s="659"/>
      <c r="G43" s="659"/>
      <c r="H43" s="659"/>
      <c r="I43" s="659"/>
      <c r="J43" s="659"/>
      <c r="K43" s="660"/>
    </row>
    <row r="44" spans="1:14" ht="3.75" customHeight="1" thickBot="1">
      <c r="A44" s="643"/>
      <c r="B44" s="657"/>
      <c r="C44" s="657"/>
      <c r="D44" s="657"/>
      <c r="E44" s="659"/>
      <c r="F44" s="659"/>
      <c r="G44" s="659"/>
      <c r="H44" s="659"/>
      <c r="I44" s="659"/>
      <c r="J44" s="659"/>
      <c r="K44" s="660"/>
    </row>
    <row r="45" spans="1:14" ht="17.25" customHeight="1">
      <c r="A45" s="643"/>
      <c r="B45" s="661" t="s">
        <v>698</v>
      </c>
      <c r="C45" s="797"/>
      <c r="D45" s="797"/>
      <c r="E45" s="663"/>
      <c r="F45" s="663"/>
      <c r="G45" s="664"/>
      <c r="H45" s="657"/>
      <c r="I45" s="657"/>
      <c r="J45" s="657"/>
      <c r="K45" s="51"/>
    </row>
    <row r="46" spans="1:14" ht="17.25" customHeight="1" thickBot="1">
      <c r="A46" s="643"/>
      <c r="B46" s="798" t="s">
        <v>699</v>
      </c>
      <c r="C46" s="799"/>
      <c r="D46" s="799"/>
      <c r="E46" s="800"/>
      <c r="F46" s="800"/>
      <c r="G46" s="801"/>
      <c r="H46" s="657"/>
      <c r="I46" s="657"/>
      <c r="J46" s="657"/>
      <c r="K46" s="51"/>
    </row>
    <row r="47" spans="1:14" ht="13.5" thickBot="1">
      <c r="A47" s="645"/>
      <c r="B47" s="541"/>
      <c r="C47" s="541"/>
      <c r="D47" s="541"/>
      <c r="E47" s="541"/>
      <c r="F47" s="802"/>
      <c r="G47" s="802"/>
      <c r="H47" s="802"/>
      <c r="I47" s="802"/>
      <c r="J47" s="802"/>
      <c r="K47" s="543"/>
    </row>
  </sheetData>
  <mergeCells count="34">
    <mergeCell ref="B8:D8"/>
    <mergeCell ref="F8:J8"/>
    <mergeCell ref="B2:J2"/>
    <mergeCell ref="B3:J3"/>
    <mergeCell ref="B4:J4"/>
    <mergeCell ref="A6:K6"/>
    <mergeCell ref="A7:D7"/>
    <mergeCell ref="B9:B11"/>
    <mergeCell ref="C9:D9"/>
    <mergeCell ref="F9:G9"/>
    <mergeCell ref="I9:J9"/>
    <mergeCell ref="C10:D10"/>
    <mergeCell ref="F16:G16"/>
    <mergeCell ref="I16:J16"/>
    <mergeCell ref="F10:G10"/>
    <mergeCell ref="I10:J10"/>
    <mergeCell ref="F11:G11"/>
    <mergeCell ref="I11:J11"/>
    <mergeCell ref="F12:G12"/>
    <mergeCell ref="I12:J12"/>
    <mergeCell ref="F13:G13"/>
    <mergeCell ref="I13:J13"/>
    <mergeCell ref="F14:J14"/>
    <mergeCell ref="F15:G15"/>
    <mergeCell ref="I15:J15"/>
    <mergeCell ref="F21:G22"/>
    <mergeCell ref="H21:H22"/>
    <mergeCell ref="I21:J22"/>
    <mergeCell ref="F17:G17"/>
    <mergeCell ref="I17:J17"/>
    <mergeCell ref="F18:G18"/>
    <mergeCell ref="I18:J18"/>
    <mergeCell ref="F19:G19"/>
    <mergeCell ref="I19:J19"/>
  </mergeCells>
  <pageMargins left="0.25" right="0.25" top="0.25" bottom="0.25" header="0.3" footer="0.3"/>
  <pageSetup scale="72" orientation="portrait" r:id="rId1"/>
  <headerFooter>
    <oddFooter>&amp;CCalculations: Page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8">
    <tabColor theme="3" tint="-0.249977111117893"/>
    <pageSetUpPr fitToPage="1"/>
  </sheetPr>
  <dimension ref="A1:Z57"/>
  <sheetViews>
    <sheetView view="pageBreakPreview" topLeftCell="A4" zoomScale="55" zoomScaleNormal="100" zoomScaleSheetLayoutView="55" zoomScalePageLayoutView="55" workbookViewId="0">
      <selection activeCell="E19" sqref="E19:R19"/>
    </sheetView>
  </sheetViews>
  <sheetFormatPr defaultColWidth="9.36328125" defaultRowHeight="12.5"/>
  <cols>
    <col min="1" max="1" width="4.36328125" style="48" customWidth="1"/>
    <col min="2" max="2" width="27.36328125" style="48" customWidth="1"/>
    <col min="3" max="3" width="12.54296875" style="48" customWidth="1"/>
    <col min="4" max="4" width="19.453125" style="48" bestFit="1" customWidth="1"/>
    <col min="5" max="8" width="19.453125" style="48" customWidth="1"/>
    <col min="9" max="10" width="19.36328125" style="48" customWidth="1"/>
    <col min="11" max="12" width="18.453125" style="48" customWidth="1"/>
    <col min="13" max="13" width="13.453125" style="48" customWidth="1"/>
    <col min="14" max="14" width="12.453125" style="48" customWidth="1"/>
    <col min="15" max="15" width="14.6328125" style="48" customWidth="1"/>
    <col min="16" max="16" width="1.36328125" style="48" customWidth="1"/>
    <col min="17" max="17" width="12" style="48" customWidth="1"/>
    <col min="18" max="18" width="13.6328125" style="48" customWidth="1"/>
    <col min="19" max="19" width="9.54296875" style="48" customWidth="1"/>
    <col min="20" max="20" width="11.453125" style="48" customWidth="1"/>
    <col min="21" max="21" width="4.453125" style="48" customWidth="1"/>
    <col min="22" max="16384" width="9.36328125" style="48"/>
  </cols>
  <sheetData>
    <row r="1" spans="1:26" ht="13.5" thickBot="1">
      <c r="A1" s="640"/>
      <c r="B1" s="641"/>
      <c r="C1" s="641"/>
      <c r="D1" s="641"/>
      <c r="E1" s="641"/>
      <c r="F1" s="641"/>
      <c r="G1" s="641"/>
      <c r="H1" s="641"/>
      <c r="I1" s="641"/>
      <c r="J1" s="641"/>
      <c r="K1" s="641"/>
      <c r="L1" s="641"/>
      <c r="M1" s="641"/>
      <c r="N1" s="641"/>
      <c r="O1" s="641"/>
      <c r="P1" s="641"/>
      <c r="Q1" s="641"/>
      <c r="R1" s="641"/>
      <c r="S1" s="641"/>
      <c r="T1" s="641"/>
      <c r="U1" s="642"/>
    </row>
    <row r="2" spans="1:26" ht="20.5">
      <c r="A2" s="643"/>
      <c r="B2" s="4657" t="s">
        <v>54</v>
      </c>
      <c r="C2" s="4658"/>
      <c r="D2" s="4658"/>
      <c r="E2" s="4658"/>
      <c r="F2" s="4658"/>
      <c r="G2" s="4658"/>
      <c r="H2" s="4658"/>
      <c r="I2" s="4658"/>
      <c r="J2" s="4658"/>
      <c r="K2" s="4658"/>
      <c r="L2" s="4658"/>
      <c r="M2" s="4658"/>
      <c r="N2" s="4658"/>
      <c r="O2" s="4658"/>
      <c r="P2" s="4658"/>
      <c r="Q2" s="4658"/>
      <c r="R2" s="4658"/>
      <c r="S2" s="4658"/>
      <c r="T2" s="4659"/>
      <c r="U2" s="644"/>
    </row>
    <row r="3" spans="1:26" ht="20.5">
      <c r="A3" s="643"/>
      <c r="B3" s="4660" t="str">
        <f>'Hrly (FL1-FL3)'!B3:M3</f>
        <v>HUSKY CDP</v>
      </c>
      <c r="C3" s="4661"/>
      <c r="D3" s="4661"/>
      <c r="E3" s="4661"/>
      <c r="F3" s="4661"/>
      <c r="G3" s="4661"/>
      <c r="H3" s="4661"/>
      <c r="I3" s="4661"/>
      <c r="J3" s="4661"/>
      <c r="K3" s="4661"/>
      <c r="L3" s="4661"/>
      <c r="M3" s="4661"/>
      <c r="N3" s="4661"/>
      <c r="O3" s="4661"/>
      <c r="P3" s="4661"/>
      <c r="Q3" s="4661"/>
      <c r="R3" s="4661"/>
      <c r="S3" s="4661"/>
      <c r="T3" s="4662"/>
      <c r="U3" s="644"/>
    </row>
    <row r="4" spans="1:26" ht="21" thickBot="1">
      <c r="A4" s="643"/>
      <c r="B4" s="4663" t="s">
        <v>819</v>
      </c>
      <c r="C4" s="4665"/>
      <c r="D4" s="4665"/>
      <c r="E4" s="4665"/>
      <c r="F4" s="4665"/>
      <c r="G4" s="4665"/>
      <c r="H4" s="4665"/>
      <c r="I4" s="4665"/>
      <c r="J4" s="4665"/>
      <c r="K4" s="4665"/>
      <c r="L4" s="4664"/>
      <c r="M4" s="4665"/>
      <c r="N4" s="4665"/>
      <c r="O4" s="4665"/>
      <c r="P4" s="4665"/>
      <c r="Q4" s="4665"/>
      <c r="R4" s="4665"/>
      <c r="S4" s="4665"/>
      <c r="T4" s="4666"/>
      <c r="U4" s="644"/>
    </row>
    <row r="5" spans="1:26" ht="18.5" thickBot="1">
      <c r="A5" s="645"/>
      <c r="B5" s="646"/>
      <c r="C5" s="646"/>
      <c r="D5" s="646"/>
      <c r="E5" s="646"/>
      <c r="F5" s="646"/>
      <c r="G5" s="646"/>
      <c r="H5" s="646"/>
      <c r="I5" s="646"/>
      <c r="J5" s="646"/>
      <c r="K5" s="646"/>
      <c r="L5" s="646"/>
      <c r="M5" s="646"/>
      <c r="N5" s="646"/>
      <c r="O5" s="646"/>
      <c r="P5" s="646"/>
      <c r="Q5" s="646"/>
      <c r="R5" s="646"/>
      <c r="S5" s="646"/>
      <c r="T5" s="646"/>
      <c r="U5" s="647"/>
    </row>
    <row r="6" spans="1:26" ht="23.25" customHeight="1" thickBot="1">
      <c r="A6" s="4682" t="s">
        <v>837</v>
      </c>
      <c r="B6" s="4683"/>
      <c r="C6" s="4683"/>
      <c r="D6" s="4683"/>
      <c r="E6" s="4683"/>
      <c r="F6" s="4683"/>
      <c r="G6" s="4683"/>
      <c r="H6" s="4683"/>
      <c r="I6" s="4683"/>
      <c r="J6" s="4683"/>
      <c r="K6" s="4683"/>
      <c r="L6" s="4683"/>
      <c r="M6" s="4683"/>
      <c r="N6" s="4683"/>
      <c r="O6" s="4683"/>
      <c r="P6" s="4683"/>
      <c r="Q6" s="4683"/>
      <c r="R6" s="4683"/>
      <c r="S6" s="4683"/>
      <c r="T6" s="4683"/>
      <c r="U6" s="4684"/>
    </row>
    <row r="7" spans="1:26" ht="20.25" customHeight="1" thickBot="1">
      <c r="A7" s="4837"/>
      <c r="B7" s="4838"/>
      <c r="C7" s="4838"/>
      <c r="D7" s="4838"/>
      <c r="E7" s="4838"/>
      <c r="F7" s="4838"/>
      <c r="G7" s="4838"/>
      <c r="H7" s="4838"/>
      <c r="I7" s="4838"/>
      <c r="J7" s="4838"/>
      <c r="K7" s="4838"/>
      <c r="L7" s="1505"/>
      <c r="M7" s="648"/>
      <c r="N7" s="648"/>
      <c r="O7" s="648"/>
      <c r="P7" s="648"/>
      <c r="Q7" s="648"/>
      <c r="R7" s="648"/>
      <c r="S7" s="648"/>
      <c r="T7" s="648"/>
      <c r="U7" s="649"/>
    </row>
    <row r="8" spans="1:26" s="3087" customFormat="1" ht="22.5" customHeight="1" thickBot="1">
      <c r="A8" s="1761"/>
      <c r="B8" s="4682" t="s">
        <v>1946</v>
      </c>
      <c r="C8" s="4671"/>
      <c r="D8" s="4671"/>
      <c r="E8" s="4671"/>
      <c r="F8" s="4671"/>
      <c r="G8" s="4671"/>
      <c r="H8" s="4671"/>
      <c r="I8" s="4671"/>
      <c r="J8" s="4671"/>
      <c r="K8" s="4671"/>
      <c r="L8" s="4671"/>
      <c r="M8" s="4671"/>
      <c r="N8" s="4671"/>
      <c r="O8" s="4654"/>
      <c r="P8" s="1765"/>
      <c r="Q8" s="4747" t="s">
        <v>1947</v>
      </c>
      <c r="R8" s="4748"/>
      <c r="S8" s="4748"/>
      <c r="T8" s="4749"/>
      <c r="U8" s="1763"/>
    </row>
    <row r="9" spans="1:26" s="3087" customFormat="1" ht="26.25" customHeight="1">
      <c r="A9" s="1761"/>
      <c r="B9" s="4732" t="s">
        <v>2</v>
      </c>
      <c r="C9" s="4828" t="s">
        <v>1948</v>
      </c>
      <c r="D9" s="4832" t="s">
        <v>1468</v>
      </c>
      <c r="E9" s="4833"/>
      <c r="F9" s="4832" t="s">
        <v>1469</v>
      </c>
      <c r="G9" s="4833"/>
      <c r="H9" s="4832" t="s">
        <v>1271</v>
      </c>
      <c r="I9" s="4833"/>
      <c r="J9" s="4832" t="s">
        <v>1270</v>
      </c>
      <c r="K9" s="4833"/>
      <c r="L9" s="4735" t="s">
        <v>1471</v>
      </c>
      <c r="M9" s="4737" t="s">
        <v>19</v>
      </c>
      <c r="N9" s="4739" t="s">
        <v>683</v>
      </c>
      <c r="O9" s="4834" t="s">
        <v>684</v>
      </c>
      <c r="P9" s="3088"/>
      <c r="Q9" s="4742" t="s">
        <v>2</v>
      </c>
      <c r="R9" s="4745" t="s">
        <v>685</v>
      </c>
      <c r="S9" s="4742" t="s">
        <v>686</v>
      </c>
      <c r="T9" s="4518" t="s">
        <v>687</v>
      </c>
      <c r="U9" s="1763"/>
      <c r="X9" s="3089" t="s">
        <v>688</v>
      </c>
      <c r="Y9" s="3089"/>
      <c r="Z9" s="3089">
        <v>34.08</v>
      </c>
    </row>
    <row r="10" spans="1:26" s="3087" customFormat="1" ht="18" customHeight="1">
      <c r="A10" s="1761"/>
      <c r="B10" s="4760"/>
      <c r="C10" s="4836"/>
      <c r="D10" s="3090" t="s">
        <v>816</v>
      </c>
      <c r="E10" s="3090" t="s">
        <v>817</v>
      </c>
      <c r="F10" s="3090" t="s">
        <v>816</v>
      </c>
      <c r="G10" s="3090" t="s">
        <v>817</v>
      </c>
      <c r="H10" s="3090" t="s">
        <v>816</v>
      </c>
      <c r="I10" s="3090" t="s">
        <v>817</v>
      </c>
      <c r="J10" s="3090" t="s">
        <v>816</v>
      </c>
      <c r="K10" s="3090" t="s">
        <v>817</v>
      </c>
      <c r="L10" s="4736"/>
      <c r="M10" s="4738"/>
      <c r="N10" s="4740"/>
      <c r="O10" s="4835"/>
      <c r="P10" s="3088"/>
      <c r="Q10" s="4764"/>
      <c r="R10" s="4755"/>
      <c r="S10" s="4764"/>
      <c r="T10" s="4741"/>
      <c r="U10" s="1763"/>
      <c r="X10" s="3089" t="s">
        <v>689</v>
      </c>
      <c r="Y10" s="3089"/>
      <c r="Z10" s="3089">
        <v>64.06</v>
      </c>
    </row>
    <row r="11" spans="1:26" s="3087" customFormat="1" ht="16" thickBot="1">
      <c r="A11" s="1761"/>
      <c r="B11" s="4761"/>
      <c r="C11" s="3091" t="s">
        <v>56</v>
      </c>
      <c r="D11" s="3092" t="s">
        <v>56</v>
      </c>
      <c r="E11" s="3092" t="s">
        <v>56</v>
      </c>
      <c r="F11" s="3092" t="s">
        <v>56</v>
      </c>
      <c r="G11" s="3092" t="s">
        <v>56</v>
      </c>
      <c r="H11" s="3092" t="s">
        <v>56</v>
      </c>
      <c r="I11" s="3092" t="s">
        <v>56</v>
      </c>
      <c r="J11" s="3092" t="s">
        <v>56</v>
      </c>
      <c r="K11" s="3092" t="s">
        <v>56</v>
      </c>
      <c r="L11" s="3092" t="s">
        <v>56</v>
      </c>
      <c r="M11" s="3093" t="s">
        <v>56</v>
      </c>
      <c r="N11" s="3091" t="s">
        <v>690</v>
      </c>
      <c r="O11" s="3094" t="s">
        <v>56</v>
      </c>
      <c r="P11" s="1765"/>
      <c r="Q11" s="4765"/>
      <c r="R11" s="3093" t="s">
        <v>56</v>
      </c>
      <c r="S11" s="4765"/>
      <c r="T11" s="4757"/>
      <c r="U11" s="1763"/>
      <c r="X11" s="3089" t="s">
        <v>691</v>
      </c>
      <c r="Y11" s="3089"/>
      <c r="Z11" s="3095">
        <v>0.95</v>
      </c>
    </row>
    <row r="12" spans="1:26" s="3087" customFormat="1" ht="18.5">
      <c r="A12" s="1761"/>
      <c r="B12" s="3096" t="s">
        <v>298</v>
      </c>
      <c r="C12" s="3097">
        <f>'Hrly (FL1-FL3)'!C12</f>
        <v>0</v>
      </c>
      <c r="D12" s="1835">
        <f>'CDP + Flare PStreams'!AE65</f>
        <v>1.14122876858384E-4</v>
      </c>
      <c r="E12" s="1835">
        <f>'CDP + Flare PStreams'!T65</f>
        <v>0.300380434453623</v>
      </c>
      <c r="F12" s="1835">
        <f>'CDP + Flare PStreams'!AJ65</f>
        <v>0.616174836874535</v>
      </c>
      <c r="G12" s="1835">
        <f>'CDP + Flare PStreams'!AG65</f>
        <v>5.2292859240276002</v>
      </c>
      <c r="H12" s="1835">
        <f>'CDP + Flare PStreams'!AB65</f>
        <v>0.788434578971831</v>
      </c>
      <c r="I12" s="1835">
        <v>0</v>
      </c>
      <c r="J12" s="1835">
        <f>'CDP + Flare PStreams'!Y65</f>
        <v>3.1340973235689198E-5</v>
      </c>
      <c r="K12" s="1835">
        <f>'CDP + Flare PStreams'!Q65</f>
        <v>1.52645277064321E-2</v>
      </c>
      <c r="L12" s="1835">
        <f>'Load-Slop Oil'!E54</f>
        <v>7.5779584678325595E-4</v>
      </c>
      <c r="M12" s="1836">
        <f t="shared" ref="M12:M39" si="0">SUM(C12:L12)</f>
        <v>6.9504435617308982</v>
      </c>
      <c r="N12" s="3098">
        <v>0</v>
      </c>
      <c r="O12" s="3099">
        <f>M12*(1-N12)</f>
        <v>6.9504435617308982</v>
      </c>
      <c r="P12" s="3100"/>
      <c r="Q12" s="3101" t="s">
        <v>1949</v>
      </c>
      <c r="R12" s="3102">
        <f>S12*M47</f>
        <v>1.5931460516780505</v>
      </c>
      <c r="S12" s="3103">
        <v>0.13800000000000001</v>
      </c>
      <c r="T12" s="3104" t="s">
        <v>287</v>
      </c>
      <c r="U12" s="1763"/>
    </row>
    <row r="13" spans="1:26" s="3087" customFormat="1" ht="15.5">
      <c r="A13" s="1761"/>
      <c r="B13" s="3105" t="s">
        <v>5</v>
      </c>
      <c r="C13" s="3097">
        <f>'Hrly (FL1-FL3)'!C13</f>
        <v>2.2452124053638198E-6</v>
      </c>
      <c r="D13" s="3076">
        <f>'CDP + Flare PStreams'!AE66</f>
        <v>0</v>
      </c>
      <c r="E13" s="3076">
        <f>'CDP + Flare PStreams'!T66</f>
        <v>0</v>
      </c>
      <c r="F13" s="3076">
        <f>'CDP + Flare PStreams'!AJ66</f>
        <v>0</v>
      </c>
      <c r="G13" s="3076">
        <f>'CDP + Flare PStreams'!AG66</f>
        <v>0</v>
      </c>
      <c r="H13" s="3076">
        <f>'CDP + Flare PStreams'!AB66</f>
        <v>0</v>
      </c>
      <c r="I13" s="3076">
        <v>0</v>
      </c>
      <c r="J13" s="3076">
        <f>'CDP + Flare PStreams'!Y66</f>
        <v>0</v>
      </c>
      <c r="K13" s="3076">
        <f>'CDP + Flare PStreams'!Q66</f>
        <v>0</v>
      </c>
      <c r="L13" s="3076">
        <f>'Load-Slop Oil'!E55</f>
        <v>0</v>
      </c>
      <c r="M13" s="3106">
        <f t="shared" si="0"/>
        <v>2.2452124053638198E-6</v>
      </c>
      <c r="N13" s="3107">
        <f>S19/100</f>
        <v>0.99</v>
      </c>
      <c r="O13" s="3108">
        <f>M13*(1-N13)</f>
        <v>2.2452124053638217E-8</v>
      </c>
      <c r="P13" s="3100"/>
      <c r="Q13" s="3109" t="s">
        <v>0</v>
      </c>
      <c r="R13" s="3110">
        <f>S13*M47</f>
        <v>3.1805198350529196</v>
      </c>
      <c r="S13" s="3111">
        <v>0.27550000000000002</v>
      </c>
      <c r="T13" s="3112" t="s">
        <v>287</v>
      </c>
      <c r="U13" s="1763"/>
    </row>
    <row r="14" spans="1:26" s="3087" customFormat="1" ht="16.5" customHeight="1">
      <c r="A14" s="1761"/>
      <c r="B14" s="3105" t="s">
        <v>4</v>
      </c>
      <c r="C14" s="3097">
        <f>'Hrly (FL1-FL3)'!C14</f>
        <v>0.167939850032233</v>
      </c>
      <c r="D14" s="3076">
        <f>'CDP + Flare PStreams'!AE67</f>
        <v>0</v>
      </c>
      <c r="E14" s="3076">
        <f>'CDP + Flare PStreams'!T67</f>
        <v>0</v>
      </c>
      <c r="F14" s="3076">
        <f>'CDP + Flare PStreams'!AJ67</f>
        <v>0</v>
      </c>
      <c r="G14" s="3076">
        <f>'CDP + Flare PStreams'!AG67</f>
        <v>0</v>
      </c>
      <c r="H14" s="3076">
        <f>'CDP + Flare PStreams'!AB67</f>
        <v>0</v>
      </c>
      <c r="I14" s="3076">
        <v>0</v>
      </c>
      <c r="J14" s="3076">
        <f>'CDP + Flare PStreams'!Y67</f>
        <v>1.77269360780723E-5</v>
      </c>
      <c r="K14" s="3076">
        <f>'CDP + Flare PStreams'!Q67</f>
        <v>3.1754374438816498E-4</v>
      </c>
      <c r="L14" s="3076">
        <f>'Load-Slop Oil'!E56</f>
        <v>0</v>
      </c>
      <c r="M14" s="3106">
        <f t="shared" si="0"/>
        <v>0.16827512071269923</v>
      </c>
      <c r="N14" s="3107">
        <v>0</v>
      </c>
      <c r="O14" s="3108">
        <f>M14*(1-N14)</f>
        <v>0.16827512071269923</v>
      </c>
      <c r="P14" s="3100"/>
      <c r="Q14" s="3109" t="s">
        <v>51</v>
      </c>
      <c r="R14" s="3110">
        <f>M45</f>
        <v>0</v>
      </c>
      <c r="S14" s="3113" t="s">
        <v>445</v>
      </c>
      <c r="T14" s="3114" t="s">
        <v>445</v>
      </c>
      <c r="U14" s="1763"/>
      <c r="X14" s="3115" t="s">
        <v>835</v>
      </c>
    </row>
    <row r="15" spans="1:26" s="3087" customFormat="1" ht="16.5" customHeight="1">
      <c r="A15" s="1761"/>
      <c r="B15" s="3105" t="s">
        <v>3</v>
      </c>
      <c r="C15" s="3097">
        <f>'Hrly (FL1-FL3)'!C15</f>
        <v>0</v>
      </c>
      <c r="D15" s="3076">
        <f>'CDP + Flare PStreams'!AE68</f>
        <v>1.6603223162527699E-4</v>
      </c>
      <c r="E15" s="3076">
        <f>'CDP + Flare PStreams'!T68</f>
        <v>4.7989792461598102E-4</v>
      </c>
      <c r="F15" s="3076">
        <f>'CDP + Flare PStreams'!AJ68</f>
        <v>0</v>
      </c>
      <c r="G15" s="3076">
        <f>'CDP + Flare PStreams'!AG68</f>
        <v>0</v>
      </c>
      <c r="H15" s="3076">
        <f>'CDP + Flare PStreams'!AB68</f>
        <v>0</v>
      </c>
      <c r="I15" s="3076">
        <v>0</v>
      </c>
      <c r="J15" s="3076">
        <f>'CDP + Flare PStreams'!Y68</f>
        <v>2.4315979651158399E-2</v>
      </c>
      <c r="K15" s="3076">
        <f>'CDP + Flare PStreams'!Q68</f>
        <v>1.3406767240574401E-2</v>
      </c>
      <c r="L15" s="3076">
        <f>'Load-Slop Oil'!E57</f>
        <v>1.1024830342642002E-3</v>
      </c>
      <c r="M15" s="3106">
        <f t="shared" si="0"/>
        <v>3.9471160082238256E-2</v>
      </c>
      <c r="N15" s="3107">
        <v>0</v>
      </c>
      <c r="O15" s="3108">
        <f>M15*(1-N15)</f>
        <v>3.9471160082238256E-2</v>
      </c>
      <c r="P15" s="3100"/>
      <c r="Q15" s="3109" t="s">
        <v>1950</v>
      </c>
      <c r="R15" s="3116">
        <f>S15*$M$46/10^6*M43/1020</f>
        <v>8.6018115890545505E-2</v>
      </c>
      <c r="S15" s="3097">
        <v>7.6</v>
      </c>
      <c r="T15" s="3117" t="s">
        <v>587</v>
      </c>
      <c r="U15" s="1763"/>
      <c r="X15" s="3118" t="s">
        <v>5</v>
      </c>
      <c r="Y15" s="3087">
        <v>0</v>
      </c>
    </row>
    <row r="16" spans="1:26" s="3087" customFormat="1" ht="16.5" customHeight="1">
      <c r="A16" s="1761"/>
      <c r="B16" s="3105" t="s">
        <v>6</v>
      </c>
      <c r="C16" s="3097">
        <f>'Hrly (FL1-FL3)'!C16</f>
        <v>8.3882987897441303</v>
      </c>
      <c r="D16" s="3076">
        <f>'CDP + Flare PStreams'!AE69</f>
        <v>4.4412134030788399E-4</v>
      </c>
      <c r="E16" s="3076">
        <f>'CDP + Flare PStreams'!T69</f>
        <v>6.4180396225842302E-3</v>
      </c>
      <c r="F16" s="3076">
        <f>'CDP + Flare PStreams'!AJ69</f>
        <v>0</v>
      </c>
      <c r="G16" s="3076">
        <f>'CDP + Flare PStreams'!AG69</f>
        <v>0</v>
      </c>
      <c r="H16" s="3076">
        <f>'CDP + Flare PStreams'!AB69</f>
        <v>0</v>
      </c>
      <c r="I16" s="3076">
        <v>0</v>
      </c>
      <c r="J16" s="3076">
        <f>'CDP + Flare PStreams'!Y69</f>
        <v>5.2039080608817602E-2</v>
      </c>
      <c r="K16" s="3076">
        <f>'CDP + Flare PStreams'!Q69</f>
        <v>0.17667225580580501</v>
      </c>
      <c r="L16" s="3076">
        <f>'Load-Slop Oil'!E58</f>
        <v>2.9490433155725713E-3</v>
      </c>
      <c r="M16" s="3106">
        <f t="shared" si="0"/>
        <v>8.6268213304372185</v>
      </c>
      <c r="N16" s="3107">
        <f>$N$13</f>
        <v>0.99</v>
      </c>
      <c r="O16" s="3108">
        <f t="shared" ref="O16:O39" si="1">M16*(1-N16)</f>
        <v>8.626821330437226E-2</v>
      </c>
      <c r="P16" s="3100"/>
      <c r="Q16" s="3109" t="s">
        <v>1951</v>
      </c>
      <c r="R16" s="3116">
        <f>S16*$M$46/10^6*M43/1020</f>
        <v>8.6018115890545505E-2</v>
      </c>
      <c r="S16" s="3097">
        <v>7.6</v>
      </c>
      <c r="T16" s="3117" t="s">
        <v>587</v>
      </c>
      <c r="U16" s="1763"/>
      <c r="X16" s="3118" t="s">
        <v>674</v>
      </c>
      <c r="Y16" s="3087">
        <v>0.38467700943330002</v>
      </c>
    </row>
    <row r="17" spans="1:25" s="3087" customFormat="1" ht="16.5" customHeight="1" thickBot="1">
      <c r="A17" s="1761"/>
      <c r="B17" s="3105" t="s">
        <v>7</v>
      </c>
      <c r="C17" s="3097">
        <f>'Hrly (FL1-FL3)'!C17</f>
        <v>3.3556720836006502</v>
      </c>
      <c r="D17" s="3076">
        <f>'CDP + Flare PStreams'!AE70</f>
        <v>1.0282390849662</v>
      </c>
      <c r="E17" s="3076">
        <f>'CDP + Flare PStreams'!T70</f>
        <v>1.74685375164783</v>
      </c>
      <c r="F17" s="3076">
        <f>'CDP + Flare PStreams'!AJ70</f>
        <v>0.14742645466167201</v>
      </c>
      <c r="G17" s="3076">
        <f>'CDP + Flare PStreams'!AG70</f>
        <v>29.507091038766202</v>
      </c>
      <c r="H17" s="3076">
        <f>'CDP + Flare PStreams'!AB70</f>
        <v>7.58821888308808E-3</v>
      </c>
      <c r="I17" s="3076">
        <v>0</v>
      </c>
      <c r="J17" s="3076">
        <f>'CDP + Flare PStreams'!Y70</f>
        <v>14.533941217853499</v>
      </c>
      <c r="K17" s="3076">
        <f>'CDP + Flare PStreams'!Q70</f>
        <v>3.9983191697229401</v>
      </c>
      <c r="L17" s="3076">
        <f>'Load-Slop Oil'!E59</f>
        <v>6.8276872222079694</v>
      </c>
      <c r="M17" s="3106">
        <f t="shared" si="0"/>
        <v>61.152818242310055</v>
      </c>
      <c r="N17" s="3107">
        <f>$N$13</f>
        <v>0.99</v>
      </c>
      <c r="O17" s="3108">
        <f t="shared" si="1"/>
        <v>0.61152818242310114</v>
      </c>
      <c r="P17" s="3100"/>
      <c r="Q17" s="3119" t="s">
        <v>1952</v>
      </c>
      <c r="R17" s="3120">
        <f>C13</f>
        <v>2.2452124053638198E-6</v>
      </c>
      <c r="S17" s="3121" t="s">
        <v>445</v>
      </c>
      <c r="T17" s="3122" t="s">
        <v>445</v>
      </c>
      <c r="U17" s="1763"/>
      <c r="X17" s="3118" t="s">
        <v>3</v>
      </c>
      <c r="Y17" s="3087">
        <v>5.0559417387290003E-3</v>
      </c>
    </row>
    <row r="18" spans="1:25" s="3087" customFormat="1" ht="16.5" customHeight="1" thickBot="1">
      <c r="A18" s="1761"/>
      <c r="B18" s="3105" t="s">
        <v>8</v>
      </c>
      <c r="C18" s="3097">
        <f>'Hrly (FL1-FL3)'!C18</f>
        <v>0.54322982496024097</v>
      </c>
      <c r="D18" s="3076">
        <f>'CDP + Flare PStreams'!AE71</f>
        <v>3.2664781359875201</v>
      </c>
      <c r="E18" s="3076">
        <f>'CDP + Flare PStreams'!T71</f>
        <v>5.9643727925276897</v>
      </c>
      <c r="F18" s="3076">
        <f>'CDP + Flare PStreams'!AJ71</f>
        <v>0.30800205423632898</v>
      </c>
      <c r="G18" s="3076">
        <f>'CDP + Flare PStreams'!AG71</f>
        <v>89.929632333852496</v>
      </c>
      <c r="H18" s="3076">
        <f>'CDP + Flare PStreams'!AB71</f>
        <v>3.7218093311595902E-3</v>
      </c>
      <c r="I18" s="3076">
        <v>0</v>
      </c>
      <c r="J18" s="3076">
        <f>'CDP + Flare PStreams'!Y71</f>
        <v>52.764906309693103</v>
      </c>
      <c r="K18" s="3076">
        <f>'CDP + Flare PStreams'!Q71</f>
        <v>13.650994162814801</v>
      </c>
      <c r="L18" s="3076">
        <f>'Load-Slop Oil'!E60</f>
        <v>21.689985682110986</v>
      </c>
      <c r="M18" s="3106">
        <f t="shared" si="0"/>
        <v>188.12132310551436</v>
      </c>
      <c r="N18" s="3107">
        <f>$N$13</f>
        <v>0.99</v>
      </c>
      <c r="O18" s="3108">
        <f t="shared" si="1"/>
        <v>1.8812132310551453</v>
      </c>
      <c r="P18" s="3100"/>
      <c r="Q18" s="3123"/>
      <c r="R18" s="3124"/>
      <c r="S18" s="3125"/>
      <c r="T18" s="1766"/>
      <c r="U18" s="1763"/>
      <c r="X18" s="3118" t="s">
        <v>6</v>
      </c>
      <c r="Y18" s="3087">
        <v>951.31494912899996</v>
      </c>
    </row>
    <row r="19" spans="1:25" s="3087" customFormat="1" ht="16.5" customHeight="1" thickBot="1">
      <c r="A19" s="1761"/>
      <c r="B19" s="3105" t="s">
        <v>747</v>
      </c>
      <c r="C19" s="3097">
        <f>'Hrly (FL1-FL3)'!C19</f>
        <v>0</v>
      </c>
      <c r="D19" s="3076">
        <f>'CDP + Flare PStreams'!AE72</f>
        <v>0.77988867150038099</v>
      </c>
      <c r="E19" s="3076">
        <f>'CDP + Flare PStreams'!T72</f>
        <v>1.4646805639463201</v>
      </c>
      <c r="F19" s="3076">
        <f>'CDP + Flare PStreams'!AJ72</f>
        <v>6.4880957535320694E-2</v>
      </c>
      <c r="G19" s="3076">
        <f>'CDP + Flare PStreams'!AG72</f>
        <v>21.978585044538502</v>
      </c>
      <c r="H19" s="3076">
        <f>'CDP + Flare PStreams'!AB72</f>
        <v>2.17121670158788E-4</v>
      </c>
      <c r="I19" s="3076">
        <v>0</v>
      </c>
      <c r="J19" s="3076">
        <f>'CDP + Flare PStreams'!Y72</f>
        <v>12.0280545881871</v>
      </c>
      <c r="K19" s="3076">
        <f>'CDP + Flare PStreams'!Q72</f>
        <v>3.0521165861161301</v>
      </c>
      <c r="L19" s="3076">
        <f>'Load-Slop Oil'!E61</f>
        <v>5.1785970743593728</v>
      </c>
      <c r="M19" s="3106">
        <f t="shared" si="0"/>
        <v>44.547020607853284</v>
      </c>
      <c r="N19" s="3107">
        <v>0.98</v>
      </c>
      <c r="O19" s="3108">
        <f t="shared" si="1"/>
        <v>0.89094041215706643</v>
      </c>
      <c r="P19" s="3100"/>
      <c r="Q19" s="4724" t="s">
        <v>818</v>
      </c>
      <c r="R19" s="4725"/>
      <c r="S19" s="3126">
        <v>99</v>
      </c>
      <c r="T19" s="3127" t="s">
        <v>296</v>
      </c>
      <c r="U19" s="1763"/>
      <c r="X19" s="3118" t="s">
        <v>7</v>
      </c>
      <c r="Y19" s="3087">
        <v>36.577203176319998</v>
      </c>
    </row>
    <row r="20" spans="1:25" s="3087" customFormat="1" ht="16.5" customHeight="1">
      <c r="A20" s="1761"/>
      <c r="B20" s="3105" t="s">
        <v>748</v>
      </c>
      <c r="C20" s="3097">
        <f>'Hrly (FL1-FL3)'!C20</f>
        <v>0</v>
      </c>
      <c r="D20" s="3076">
        <f>'CDP + Flare PStreams'!AE73</f>
        <v>1.89855018125012</v>
      </c>
      <c r="E20" s="3076">
        <f>'CDP + Flare PStreams'!T73</f>
        <v>3.5064919360081199</v>
      </c>
      <c r="F20" s="3076">
        <f>'CDP + Flare PStreams'!AJ73</f>
        <v>0.15423893049941101</v>
      </c>
      <c r="G20" s="3076">
        <f>'CDP + Flare PStreams'!AG73</f>
        <v>53.183219292389801</v>
      </c>
      <c r="H20" s="3076">
        <f>'CDP + Flare PStreams'!AB73</f>
        <v>5.2621768988105598E-4</v>
      </c>
      <c r="I20" s="3076">
        <v>0</v>
      </c>
      <c r="J20" s="3076">
        <f>'CDP + Flare PStreams'!Y73</f>
        <v>29.727105597369199</v>
      </c>
      <c r="K20" s="3076">
        <f>'CDP + Flare PStreams'!Q73</f>
        <v>7.3568097355417796</v>
      </c>
      <c r="L20" s="3076">
        <f>'Load-Slop Oil'!E62</f>
        <v>12.606704999614188</v>
      </c>
      <c r="M20" s="3106">
        <f t="shared" si="0"/>
        <v>108.4336468903625</v>
      </c>
      <c r="N20" s="3107">
        <v>0.98</v>
      </c>
      <c r="O20" s="3108">
        <f t="shared" si="1"/>
        <v>2.1686729378072518</v>
      </c>
      <c r="P20" s="3100"/>
      <c r="Q20" s="3085" t="s">
        <v>1945</v>
      </c>
      <c r="R20" s="3124"/>
      <c r="S20" s="3125"/>
      <c r="T20" s="1766"/>
      <c r="U20" s="1763"/>
      <c r="X20" s="3118" t="s">
        <v>8</v>
      </c>
      <c r="Y20" s="3087">
        <v>12.87352933324</v>
      </c>
    </row>
    <row r="21" spans="1:25" s="3087" customFormat="1" ht="16.5" customHeight="1">
      <c r="A21" s="1761"/>
      <c r="B21" s="3105" t="s">
        <v>749</v>
      </c>
      <c r="C21" s="3097">
        <f>'Hrly (FL1-FL3)'!C21</f>
        <v>0</v>
      </c>
      <c r="D21" s="3076">
        <f>'CDP + Flare PStreams'!AE74</f>
        <v>0.58086132424623604</v>
      </c>
      <c r="E21" s="3076">
        <f>'CDP + Flare PStreams'!T74</f>
        <v>1.0723844860451099</v>
      </c>
      <c r="F21" s="3076">
        <f>'CDP + Flare PStreams'!AJ74</f>
        <v>4.4849097948965501E-2</v>
      </c>
      <c r="G21" s="3076">
        <f>'CDP + Flare PStreams'!AG74</f>
        <v>16.426027935503399</v>
      </c>
      <c r="H21" s="3076">
        <f>'CDP + Flare PStreams'!AB74</f>
        <v>4.1259046567361199E-5</v>
      </c>
      <c r="I21" s="3076">
        <v>0</v>
      </c>
      <c r="J21" s="3076">
        <f>'CDP + Flare PStreams'!Y74</f>
        <v>7.4473683705119704</v>
      </c>
      <c r="K21" s="3076">
        <f>'CDP + Flare PStreams'!Q74</f>
        <v>1.7972298123274</v>
      </c>
      <c r="L21" s="3076">
        <f>'Load-Slop Oil'!E63</f>
        <v>3.8570207059977775</v>
      </c>
      <c r="M21" s="3106">
        <f t="shared" si="0"/>
        <v>31.225782991627426</v>
      </c>
      <c r="N21" s="3107">
        <v>0.98</v>
      </c>
      <c r="O21" s="3108">
        <f t="shared" si="1"/>
        <v>0.62451565983254909</v>
      </c>
      <c r="P21" s="3100"/>
      <c r="Q21" s="3123"/>
      <c r="R21" s="3124"/>
      <c r="S21" s="3125"/>
      <c r="T21" s="1766"/>
      <c r="U21" s="1763"/>
      <c r="X21" s="3118" t="s">
        <v>678</v>
      </c>
      <c r="Y21" s="3087">
        <v>0</v>
      </c>
    </row>
    <row r="22" spans="1:25" s="3087" customFormat="1" ht="16.5" customHeight="1">
      <c r="A22" s="1761"/>
      <c r="B22" s="3105" t="s">
        <v>750</v>
      </c>
      <c r="C22" s="3097">
        <f>'Hrly (FL1-FL3)'!C22</f>
        <v>0</v>
      </c>
      <c r="D22" s="3076">
        <f>'CDP + Flare PStreams'!AE75</f>
        <v>0.58872294775379597</v>
      </c>
      <c r="E22" s="3076">
        <f>'CDP + Flare PStreams'!T75</f>
        <v>1.10016202823309</v>
      </c>
      <c r="F22" s="3076">
        <f>'CDP + Flare PStreams'!AJ75</f>
        <v>4.4718823104395497E-2</v>
      </c>
      <c r="G22" s="3076">
        <f>'CDP + Flare PStreams'!AG75</f>
        <v>16.860736912478401</v>
      </c>
      <c r="H22" s="3076">
        <f>'CDP + Flare PStreams'!AB75</f>
        <v>1.4323025721547E-5</v>
      </c>
      <c r="I22" s="3076">
        <v>0</v>
      </c>
      <c r="J22" s="3076">
        <f>'CDP + Flare PStreams'!Y75</f>
        <v>7.3961216729528099</v>
      </c>
      <c r="K22" s="3076">
        <f>'CDP + Flare PStreams'!Q75</f>
        <v>1.7984919419027601</v>
      </c>
      <c r="L22" s="3076">
        <f>'Load-Slop Oil'!E64</f>
        <v>3.9092232600080048</v>
      </c>
      <c r="M22" s="3106">
        <f t="shared" si="0"/>
        <v>31.698191909458977</v>
      </c>
      <c r="N22" s="3107">
        <v>0.98</v>
      </c>
      <c r="O22" s="3108">
        <f t="shared" si="1"/>
        <v>0.63396383818918012</v>
      </c>
      <c r="P22" s="3100"/>
      <c r="Q22" s="3123"/>
      <c r="R22" s="3124"/>
      <c r="S22" s="3125"/>
      <c r="T22" s="1766"/>
      <c r="U22" s="1763"/>
      <c r="X22" s="3118" t="s">
        <v>67</v>
      </c>
      <c r="Y22" s="3087">
        <v>0</v>
      </c>
    </row>
    <row r="23" spans="1:25" s="3087" customFormat="1" ht="16.5" customHeight="1">
      <c r="A23" s="1761"/>
      <c r="B23" s="3105" t="s">
        <v>800</v>
      </c>
      <c r="C23" s="3097">
        <f>'Hrly (FL1-FL3)'!C23</f>
        <v>0</v>
      </c>
      <c r="D23" s="3076">
        <f>'CDP + Flare PStreams'!AE76</f>
        <v>0</v>
      </c>
      <c r="E23" s="3076">
        <f>'CDP + Flare PStreams'!T76</f>
        <v>0</v>
      </c>
      <c r="F23" s="3076">
        <f>'CDP + Flare PStreams'!AJ76</f>
        <v>0</v>
      </c>
      <c r="G23" s="3076">
        <f>'CDP + Flare PStreams'!AG76</f>
        <v>0</v>
      </c>
      <c r="H23" s="3076">
        <f>'CDP + Flare PStreams'!AB76</f>
        <v>0</v>
      </c>
      <c r="I23" s="3076">
        <v>0</v>
      </c>
      <c r="J23" s="3076">
        <f>'CDP + Flare PStreams'!Y76</f>
        <v>0</v>
      </c>
      <c r="K23" s="3076">
        <f>'CDP + Flare PStreams'!Q76</f>
        <v>0</v>
      </c>
      <c r="L23" s="3076">
        <f>'Load-Slop Oil'!E65</f>
        <v>0</v>
      </c>
      <c r="M23" s="3106">
        <f t="shared" si="0"/>
        <v>0</v>
      </c>
      <c r="N23" s="3107">
        <v>0.98</v>
      </c>
      <c r="O23" s="3108">
        <f t="shared" si="1"/>
        <v>0</v>
      </c>
      <c r="P23" s="3100"/>
      <c r="Q23" s="3123"/>
      <c r="R23" s="3124"/>
      <c r="S23" s="3125"/>
      <c r="T23" s="1766"/>
      <c r="U23" s="1763"/>
      <c r="X23" s="3118" t="s">
        <v>679</v>
      </c>
      <c r="Y23" s="3087">
        <v>0</v>
      </c>
    </row>
    <row r="24" spans="1:25" s="3087" customFormat="1" ht="16.5" customHeight="1">
      <c r="A24" s="1761"/>
      <c r="B24" s="3105" t="s">
        <v>292</v>
      </c>
      <c r="C24" s="3097">
        <f>'Hrly (FL1-FL3)'!C24</f>
        <v>0</v>
      </c>
      <c r="D24" s="3076">
        <f>'CDP + Flare PStreams'!AE77</f>
        <v>0.22576159420858699</v>
      </c>
      <c r="E24" s="3076">
        <f>'CDP + Flare PStreams'!T77</f>
        <v>0.42316382710544798</v>
      </c>
      <c r="F24" s="3076">
        <f>'CDP + Flare PStreams'!AJ77</f>
        <v>1.6529474255985999E-2</v>
      </c>
      <c r="G24" s="3076">
        <f>'CDP + Flare PStreams'!AG77</f>
        <v>6.4845269835126</v>
      </c>
      <c r="H24" s="3076">
        <f>'CDP + Flare PStreams'!AB77</f>
        <v>2.9530907335443401E-6</v>
      </c>
      <c r="I24" s="3076">
        <v>0</v>
      </c>
      <c r="J24" s="3076">
        <f>'CDP + Flare PStreams'!Y77</f>
        <v>2.5874236601265399</v>
      </c>
      <c r="K24" s="3076">
        <f>'CDP + Flare PStreams'!Q77</f>
        <v>0.62306396825112398</v>
      </c>
      <c r="L24" s="3076">
        <f>'Load-Slop Oil'!E66</f>
        <v>1.4990964402933027</v>
      </c>
      <c r="M24" s="3106">
        <f t="shared" si="0"/>
        <v>11.859568900844321</v>
      </c>
      <c r="N24" s="3107">
        <v>0.98</v>
      </c>
      <c r="O24" s="3108">
        <f t="shared" si="1"/>
        <v>0.23719137801688664</v>
      </c>
      <c r="P24" s="3100"/>
      <c r="Q24" s="3123"/>
      <c r="R24" s="3124"/>
      <c r="S24" s="3125"/>
      <c r="T24" s="1766"/>
      <c r="U24" s="1763"/>
      <c r="X24" s="3118" t="s">
        <v>69</v>
      </c>
      <c r="Y24" s="3087">
        <v>0</v>
      </c>
    </row>
    <row r="25" spans="1:25" s="3087" customFormat="1" ht="16.5" customHeight="1">
      <c r="A25" s="1761"/>
      <c r="B25" s="3105" t="s">
        <v>10</v>
      </c>
      <c r="C25" s="3097">
        <f>'Hrly (FL1-FL3)'!C25</f>
        <v>0</v>
      </c>
      <c r="D25" s="3076">
        <f>'CDP + Flare PStreams'!AE78</f>
        <v>0.13611529550030599</v>
      </c>
      <c r="E25" s="3076">
        <f>'CDP + Flare PStreams'!T78</f>
        <v>0.24930971149313999</v>
      </c>
      <c r="F25" s="3076">
        <f>'CDP + Flare PStreams'!AJ78</f>
        <v>9.8533178988990302E-3</v>
      </c>
      <c r="G25" s="3076">
        <f>'CDP + Flare PStreams'!AG78</f>
        <v>3.8303995025114999</v>
      </c>
      <c r="H25" s="3076">
        <f>'CDP + Flare PStreams'!AB78</f>
        <v>6.4419702465248495E-7</v>
      </c>
      <c r="I25" s="3076">
        <v>0</v>
      </c>
      <c r="J25" s="3076">
        <f>'CDP + Flare PStreams'!Y78</f>
        <v>1.46550579392808</v>
      </c>
      <c r="K25" s="3076">
        <f>'CDP + Flare PStreams'!Q78</f>
        <v>0.34078264344729398</v>
      </c>
      <c r="L25" s="3076">
        <f>'Load-Slop Oil'!E67</f>
        <v>0.90382935002422538</v>
      </c>
      <c r="M25" s="3106">
        <f t="shared" si="0"/>
        <v>6.9357962590004689</v>
      </c>
      <c r="N25" s="3107">
        <v>0.98</v>
      </c>
      <c r="O25" s="3108">
        <f>M25*(1-N25)</f>
        <v>0.1387159251800095</v>
      </c>
      <c r="P25" s="3100"/>
      <c r="Q25" s="3123"/>
      <c r="R25" s="3124"/>
      <c r="S25" s="3125"/>
      <c r="T25" s="1766"/>
      <c r="U25" s="1763"/>
      <c r="X25" s="3118" t="s">
        <v>10</v>
      </c>
      <c r="Y25" s="3087">
        <v>0</v>
      </c>
    </row>
    <row r="26" spans="1:25" s="3087" customFormat="1" ht="16.5" customHeight="1">
      <c r="A26" s="1761"/>
      <c r="B26" s="3105" t="s">
        <v>9</v>
      </c>
      <c r="C26" s="3097">
        <f>'Hrly (FL1-FL3)'!C26</f>
        <v>0</v>
      </c>
      <c r="D26" s="3076">
        <f>'CDP + Flare PStreams'!AE79</f>
        <v>9.6674058596050896E-2</v>
      </c>
      <c r="E26" s="3076">
        <f>'CDP + Flare PStreams'!T79</f>
        <v>0.186360103725457</v>
      </c>
      <c r="F26" s="3076">
        <f>'CDP + Flare PStreams'!AJ79</f>
        <v>6.9997270175644402E-3</v>
      </c>
      <c r="G26" s="3076">
        <f>'CDP + Flare PStreams'!AG79</f>
        <v>2.8571570324427702</v>
      </c>
      <c r="H26" s="3076">
        <f>'CDP + Flare PStreams'!AB79</f>
        <v>3.3439591931289199E-6</v>
      </c>
      <c r="I26" s="3076">
        <v>0</v>
      </c>
      <c r="J26" s="3076">
        <f>'CDP + Flare PStreams'!Y79</f>
        <v>1.0471717028622001</v>
      </c>
      <c r="K26" s="3076">
        <f>'CDP + Flare PStreams'!Q79</f>
        <v>0.25784624620511698</v>
      </c>
      <c r="L26" s="3076">
        <f>'Load-Slop Oil'!E68</f>
        <v>0.64193264411549178</v>
      </c>
      <c r="M26" s="3106">
        <f t="shared" si="0"/>
        <v>5.0941448589238458</v>
      </c>
      <c r="N26" s="3107">
        <v>0.98</v>
      </c>
      <c r="O26" s="3108">
        <f t="shared" si="1"/>
        <v>0.10188289717847701</v>
      </c>
      <c r="P26" s="3100"/>
      <c r="Q26" s="3123"/>
      <c r="R26" s="3124"/>
      <c r="S26" s="3125"/>
      <c r="T26" s="1766"/>
      <c r="U26" s="1763"/>
      <c r="X26" s="3118" t="s">
        <v>298</v>
      </c>
      <c r="Y26" s="3087">
        <v>0</v>
      </c>
    </row>
    <row r="27" spans="1:25" s="3087" customFormat="1" ht="16.5" customHeight="1">
      <c r="A27" s="1761"/>
      <c r="B27" s="3105" t="s">
        <v>11</v>
      </c>
      <c r="C27" s="3097">
        <f>'Hrly (FL1-FL3)'!C27</f>
        <v>0</v>
      </c>
      <c r="D27" s="3076">
        <f>'CDP + Flare PStreams'!AE80</f>
        <v>6.1014638097889803E-2</v>
      </c>
      <c r="E27" s="3076">
        <f>'CDP + Flare PStreams'!T80</f>
        <v>0.15687722888518599</v>
      </c>
      <c r="F27" s="3076">
        <f>'CDP + Flare PStreams'!AJ80</f>
        <v>4.4574238581141599E-3</v>
      </c>
      <c r="G27" s="3076">
        <f>'CDP + Flare PStreams'!AG80</f>
        <v>2.3991029541284199</v>
      </c>
      <c r="H27" s="3076">
        <f>'CDP + Flare PStreams'!AB80</f>
        <v>1.59111426916094E-4</v>
      </c>
      <c r="I27" s="3076">
        <v>0</v>
      </c>
      <c r="J27" s="3076">
        <f>'CDP + Flare PStreams'!Y80</f>
        <v>0.63311145333260599</v>
      </c>
      <c r="K27" s="3076">
        <f>'CDP + Flare PStreams'!Q80</f>
        <v>0.209646964455868</v>
      </c>
      <c r="L27" s="3076">
        <f>'Load-Slop Oil'!E69</f>
        <v>0.40514786006437559</v>
      </c>
      <c r="M27" s="3106">
        <f t="shared" si="0"/>
        <v>3.8695176342493753</v>
      </c>
      <c r="N27" s="3107">
        <v>0.98</v>
      </c>
      <c r="O27" s="3108">
        <f t="shared" si="1"/>
        <v>7.7390352684987576E-2</v>
      </c>
      <c r="P27" s="3100"/>
      <c r="Q27" s="3123"/>
      <c r="R27" s="3124"/>
      <c r="S27" s="3125"/>
      <c r="T27" s="1766"/>
      <c r="U27" s="1763"/>
      <c r="X27" s="3118" t="s">
        <v>680</v>
      </c>
      <c r="Y27" s="3087">
        <v>0</v>
      </c>
    </row>
    <row r="28" spans="1:25" s="3087" customFormat="1" ht="16.5" customHeight="1">
      <c r="A28" s="1761"/>
      <c r="B28" s="3105" t="s">
        <v>12</v>
      </c>
      <c r="C28" s="3097">
        <f>'Hrly (FL1-FL3)'!C28</f>
        <v>0</v>
      </c>
      <c r="D28" s="3076">
        <f>'CDP + Flare PStreams'!AE81</f>
        <v>0.15593145122615501</v>
      </c>
      <c r="E28" s="3076">
        <f>'CDP + Flare PStreams'!T81</f>
        <v>0.30807455382781801</v>
      </c>
      <c r="F28" s="3076">
        <f>'CDP + Flare PStreams'!AJ81</f>
        <v>1.11344855063472E-2</v>
      </c>
      <c r="G28" s="3076">
        <f>'CDP + Flare PStreams'!AG81</f>
        <v>4.7204697386200101</v>
      </c>
      <c r="H28" s="3076">
        <f>'CDP + Flare PStreams'!AB81</f>
        <v>8.8810986752296797E-6</v>
      </c>
      <c r="I28" s="3076">
        <v>0</v>
      </c>
      <c r="J28" s="3076">
        <f>'CDP + Flare PStreams'!Y81</f>
        <v>1.7212853673986901</v>
      </c>
      <c r="K28" s="3076">
        <f>'CDP + Flare PStreams'!Q81</f>
        <v>0.433013172253152</v>
      </c>
      <c r="L28" s="3076">
        <f>'Load-Slop Oil'!E70</f>
        <v>1.0354120871724715</v>
      </c>
      <c r="M28" s="3106">
        <f t="shared" si="0"/>
        <v>8.3853297371033193</v>
      </c>
      <c r="N28" s="3107">
        <v>0.98</v>
      </c>
      <c r="O28" s="3108">
        <f t="shared" si="1"/>
        <v>0.16770659474206653</v>
      </c>
      <c r="P28" s="3100"/>
      <c r="Q28" s="3123"/>
      <c r="R28" s="3124"/>
      <c r="S28" s="3125"/>
      <c r="T28" s="1766"/>
      <c r="U28" s="1763"/>
      <c r="X28" s="3118" t="s">
        <v>681</v>
      </c>
      <c r="Y28" s="3087">
        <v>0</v>
      </c>
    </row>
    <row r="29" spans="1:25" s="3087" customFormat="1" ht="16.5" customHeight="1">
      <c r="A29" s="1761"/>
      <c r="B29" s="3105" t="s">
        <v>286</v>
      </c>
      <c r="C29" s="3097">
        <f>'Hrly (FL1-FL3)'!C29</f>
        <v>0</v>
      </c>
      <c r="D29" s="3076">
        <f>'CDP + Flare PStreams'!AE82</f>
        <v>0</v>
      </c>
      <c r="E29" s="3076">
        <f>'CDP + Flare PStreams'!T82</f>
        <v>0</v>
      </c>
      <c r="F29" s="3076">
        <f>'CDP + Flare PStreams'!AJ82</f>
        <v>0</v>
      </c>
      <c r="G29" s="3076">
        <f>'CDP + Flare PStreams'!AG82</f>
        <v>0</v>
      </c>
      <c r="H29" s="3076">
        <f>'CDP + Flare PStreams'!AB82</f>
        <v>0</v>
      </c>
      <c r="I29" s="3076">
        <v>0</v>
      </c>
      <c r="J29" s="3076">
        <f>'CDP + Flare PStreams'!Y82</f>
        <v>0</v>
      </c>
      <c r="K29" s="3076">
        <f>'CDP + Flare PStreams'!Q82</f>
        <v>0</v>
      </c>
      <c r="L29" s="3076">
        <f>'Load-Slop Oil'!E71</f>
        <v>0</v>
      </c>
      <c r="M29" s="3106">
        <f t="shared" si="0"/>
        <v>0</v>
      </c>
      <c r="N29" s="3107">
        <v>0.98</v>
      </c>
      <c r="O29" s="3108">
        <f t="shared" si="1"/>
        <v>0</v>
      </c>
      <c r="P29" s="3100"/>
      <c r="Q29" s="3123"/>
      <c r="R29" s="3124"/>
      <c r="S29" s="3125"/>
      <c r="T29" s="1766"/>
      <c r="U29" s="1763"/>
      <c r="X29" s="3118" t="s">
        <v>675</v>
      </c>
      <c r="Y29" s="3087">
        <v>0</v>
      </c>
    </row>
    <row r="30" spans="1:25" s="3087" customFormat="1" ht="16.5" customHeight="1">
      <c r="A30" s="1761"/>
      <c r="B30" s="3105" t="s">
        <v>801</v>
      </c>
      <c r="C30" s="3097">
        <f>'Hrly (FL1-FL3)'!C30</f>
        <v>0</v>
      </c>
      <c r="D30" s="3076">
        <f>'CDP + Flare PStreams'!AE83</f>
        <v>1.2825881866671799E-2</v>
      </c>
      <c r="E30" s="3076">
        <f>'CDP + Flare PStreams'!T83</f>
        <v>8.5246299060451294E-2</v>
      </c>
      <c r="F30" s="3076">
        <f>'CDP + Flare PStreams'!AJ83</f>
        <v>8.6469180830457595E-4</v>
      </c>
      <c r="G30" s="3076">
        <f>'CDP + Flare PStreams'!AG83</f>
        <v>1.30815638402349</v>
      </c>
      <c r="H30" s="3076">
        <f>'CDP + Flare PStreams'!AB83</f>
        <v>3.4388280130327202E-8</v>
      </c>
      <c r="I30" s="3076">
        <v>0</v>
      </c>
      <c r="J30" s="3076">
        <f>'CDP + Flare PStreams'!Y83</f>
        <v>0.33770169674274703</v>
      </c>
      <c r="K30" s="3076">
        <f>'CDP + Flare PStreams'!Q83</f>
        <v>0.29056226853137601</v>
      </c>
      <c r="L30" s="3076">
        <f>'Load-Slop Oil'!E72</f>
        <v>8.5166097082861936E-2</v>
      </c>
      <c r="M30" s="3106">
        <f t="shared" si="0"/>
        <v>2.1205233535041828</v>
      </c>
      <c r="N30" s="3107">
        <v>0.98</v>
      </c>
      <c r="O30" s="3108">
        <f t="shared" si="1"/>
        <v>4.2410467070083696E-2</v>
      </c>
      <c r="P30" s="3100"/>
      <c r="Q30" s="3123"/>
      <c r="R30" s="3124"/>
      <c r="S30" s="3125"/>
      <c r="T30" s="1766"/>
      <c r="U30" s="1763"/>
      <c r="X30" s="3118"/>
    </row>
    <row r="31" spans="1:25" s="3087" customFormat="1" ht="16.5" customHeight="1">
      <c r="A31" s="1761"/>
      <c r="B31" s="3105" t="s">
        <v>65</v>
      </c>
      <c r="C31" s="3097">
        <f>'Hrly (FL1-FL3)'!C31</f>
        <v>0</v>
      </c>
      <c r="D31" s="3076">
        <f>'CDP + Flare PStreams'!AE84</f>
        <v>0.10622436437041601</v>
      </c>
      <c r="E31" s="3076">
        <f>'CDP + Flare PStreams'!T84</f>
        <v>0.204931312242293</v>
      </c>
      <c r="F31" s="3076">
        <f>'CDP + Flare PStreams'!AJ84</f>
        <v>7.4380716362807998E-3</v>
      </c>
      <c r="G31" s="3076">
        <f>'CDP + Flare PStreams'!AG84</f>
        <v>3.1567593770157201</v>
      </c>
      <c r="H31" s="3076">
        <f>'CDP + Flare PStreams'!AB84</f>
        <v>1.20697385117597E-6</v>
      </c>
      <c r="I31" s="3076">
        <v>0</v>
      </c>
      <c r="J31" s="3076">
        <f>'CDP + Flare PStreams'!Y84</f>
        <v>1.17659869419546</v>
      </c>
      <c r="K31" s="3076">
        <f>'CDP + Flare PStreams'!Q84</f>
        <v>0.28692005609867699</v>
      </c>
      <c r="L31" s="3076">
        <f>'Load-Slop Oil'!E73</f>
        <v>0.70534834349629094</v>
      </c>
      <c r="M31" s="3106">
        <f t="shared" si="0"/>
        <v>5.6442214260289889</v>
      </c>
      <c r="N31" s="3107">
        <v>0.98</v>
      </c>
      <c r="O31" s="3108">
        <f t="shared" si="1"/>
        <v>0.11288442852057988</v>
      </c>
      <c r="P31" s="3100"/>
      <c r="Q31" s="3123"/>
      <c r="R31" s="3124"/>
      <c r="S31" s="3125"/>
      <c r="T31" s="1766"/>
      <c r="U31" s="1763"/>
      <c r="X31" s="3118"/>
    </row>
    <row r="32" spans="1:25" s="3087" customFormat="1" ht="16.5" customHeight="1">
      <c r="A32" s="1761"/>
      <c r="B32" s="3105" t="s">
        <v>13</v>
      </c>
      <c r="C32" s="3097">
        <f>'Hrly (FL1-FL3)'!C32</f>
        <v>0</v>
      </c>
      <c r="D32" s="3076">
        <f>'CDP + Flare PStreams'!AE85</f>
        <v>6.8355267869856198E-2</v>
      </c>
      <c r="E32" s="3076">
        <f>'CDP + Flare PStreams'!T85</f>
        <v>0.13691731236159099</v>
      </c>
      <c r="F32" s="3076">
        <f>'CDP + Flare PStreams'!AJ85</f>
        <v>4.7568415598485802E-3</v>
      </c>
      <c r="G32" s="3076">
        <f>'CDP + Flare PStreams'!AG85</f>
        <v>2.1116452587727101</v>
      </c>
      <c r="H32" s="3076">
        <f>'CDP + Flare PStreams'!AB85</f>
        <v>7.6008281151907605E-8</v>
      </c>
      <c r="I32" s="3076">
        <v>0</v>
      </c>
      <c r="J32" s="3076">
        <f>'CDP + Flare PStreams'!Y85</f>
        <v>0.39079048532417598</v>
      </c>
      <c r="K32" s="3076">
        <f>'CDP + Flare PStreams'!Q85</f>
        <v>9.8632970868044997E-2</v>
      </c>
      <c r="L32" s="3076">
        <f>'Load-Slop Oil'!E74</f>
        <v>0.45389092461989355</v>
      </c>
      <c r="M32" s="3106">
        <f t="shared" si="0"/>
        <v>3.2649891373844011</v>
      </c>
      <c r="N32" s="3107">
        <v>0.98</v>
      </c>
      <c r="O32" s="3108">
        <f t="shared" si="1"/>
        <v>6.5299782747688079E-2</v>
      </c>
      <c r="P32" s="3100"/>
      <c r="Q32" s="3123"/>
      <c r="R32" s="3128"/>
      <c r="S32" s="3125"/>
      <c r="T32" s="1766"/>
      <c r="U32" s="1763"/>
      <c r="X32" s="3118"/>
    </row>
    <row r="33" spans="1:24" s="3087" customFormat="1" ht="16.5" customHeight="1">
      <c r="A33" s="1761"/>
      <c r="B33" s="3105" t="s">
        <v>14</v>
      </c>
      <c r="C33" s="3097">
        <f>'Hrly (FL1-FL3)'!C33</f>
        <v>0</v>
      </c>
      <c r="D33" s="3076">
        <f>'CDP + Flare PStreams'!AE86</f>
        <v>3.9252376212618303E-2</v>
      </c>
      <c r="E33" s="3076">
        <f>'CDP + Flare PStreams'!T86</f>
        <v>9.5454000248255802E-2</v>
      </c>
      <c r="F33" s="3076">
        <f>'CDP + Flare PStreams'!AJ86</f>
        <v>2.7174901094841599E-3</v>
      </c>
      <c r="G33" s="3076">
        <f>'CDP + Flare PStreams'!AG86</f>
        <v>1.4708064989916401</v>
      </c>
      <c r="H33" s="3076">
        <f>'CDP + Flare PStreams'!AB86</f>
        <v>2.24674804816157E-5</v>
      </c>
      <c r="I33" s="3076">
        <v>0</v>
      </c>
      <c r="J33" s="3076">
        <f>'CDP + Flare PStreams'!Y86</f>
        <v>0.40518688655412599</v>
      </c>
      <c r="K33" s="3076">
        <f>'CDP + Flare PStreams'!Q86</f>
        <v>0.124202179606868</v>
      </c>
      <c r="L33" s="3076">
        <f>'Load-Slop Oil'!E75</f>
        <v>0.26064263791042802</v>
      </c>
      <c r="M33" s="3106">
        <f t="shared" si="0"/>
        <v>2.3982845371139017</v>
      </c>
      <c r="N33" s="3107">
        <v>0.98</v>
      </c>
      <c r="O33" s="3108">
        <f t="shared" si="1"/>
        <v>4.7965690742278078E-2</v>
      </c>
      <c r="P33" s="3100"/>
      <c r="Q33" s="3123"/>
      <c r="R33" s="3124"/>
      <c r="S33" s="3125"/>
      <c r="T33" s="1766"/>
      <c r="U33" s="1763"/>
      <c r="X33" s="3118"/>
    </row>
    <row r="34" spans="1:24" s="3087" customFormat="1" ht="16.5" customHeight="1">
      <c r="A34" s="1761"/>
      <c r="B34" s="3105" t="s">
        <v>804</v>
      </c>
      <c r="C34" s="3097">
        <f>'Hrly (FL1-FL3)'!C34</f>
        <v>0</v>
      </c>
      <c r="D34" s="3076">
        <f>'CDP + Flare PStreams'!AE87</f>
        <v>4.8896527388272E-2</v>
      </c>
      <c r="E34" s="3076">
        <f>'CDP + Flare PStreams'!T87</f>
        <v>9.5405408748341997E-2</v>
      </c>
      <c r="F34" s="3076">
        <f>'CDP + Flare PStreams'!AJ87</f>
        <v>3.2909060083608E-3</v>
      </c>
      <c r="G34" s="3076">
        <f>'CDP + Flare PStreams'!AG87</f>
        <v>1.48137275482245</v>
      </c>
      <c r="H34" s="3076">
        <f>'CDP + Flare PStreams'!AB87</f>
        <v>7.5048540110046701E-9</v>
      </c>
      <c r="I34" s="3076">
        <v>0</v>
      </c>
      <c r="J34" s="3076">
        <f>'CDP + Flare PStreams'!Y87</f>
        <v>0.54175465339045403</v>
      </c>
      <c r="K34" s="3076">
        <f>'CDP + Flare PStreams'!Q87</f>
        <v>0.13151770748802599</v>
      </c>
      <c r="L34" s="3076">
        <f>'Load-Slop Oil'!E76</f>
        <v>0.32468148715648393</v>
      </c>
      <c r="M34" s="3106">
        <f t="shared" si="0"/>
        <v>2.6269194525072432</v>
      </c>
      <c r="N34" s="3107">
        <v>0.98</v>
      </c>
      <c r="O34" s="3108">
        <f t="shared" si="1"/>
        <v>5.2538389050144914E-2</v>
      </c>
      <c r="P34" s="3100"/>
      <c r="Q34" s="3123"/>
      <c r="R34" s="3124"/>
      <c r="S34" s="3125"/>
      <c r="T34" s="1766"/>
      <c r="U34" s="1763"/>
      <c r="X34" s="3118"/>
    </row>
    <row r="35" spans="1:24" s="3087" customFormat="1" ht="16.5" customHeight="1">
      <c r="A35" s="1761"/>
      <c r="B35" s="3105" t="s">
        <v>16</v>
      </c>
      <c r="C35" s="3097">
        <f>'Hrly (FL1-FL3)'!C35</f>
        <v>0</v>
      </c>
      <c r="D35" s="3076">
        <f>'CDP + Flare PStreams'!AE88</f>
        <v>1.8303479285243499E-5</v>
      </c>
      <c r="E35" s="3076">
        <f>'CDP + Flare PStreams'!T88</f>
        <v>4.0068564714090997E-5</v>
      </c>
      <c r="F35" s="3076">
        <f>'CDP + Flare PStreams'!AJ88</f>
        <v>1.76715647645593E-7</v>
      </c>
      <c r="G35" s="3076">
        <f>'CDP + Flare PStreams'!AG88</f>
        <v>8.9814686075512704E-5</v>
      </c>
      <c r="H35" s="3076">
        <f>'CDP + Flare PStreams'!AB88</f>
        <v>4.1340390439992199E-10</v>
      </c>
      <c r="I35" s="3076">
        <v>0</v>
      </c>
      <c r="J35" s="3076">
        <f>'CDP + Flare PStreams'!Y88</f>
        <v>9.8308543179772903E-3</v>
      </c>
      <c r="K35" s="3076">
        <f>'CDP + Flare PStreams'!Q88</f>
        <v>2.6767542370238601E-3</v>
      </c>
      <c r="L35" s="3076">
        <f>'Load-Slop Oil'!E77</f>
        <v>1.2153830122292369E-4</v>
      </c>
      <c r="M35" s="3106">
        <f t="shared" si="0"/>
        <v>1.2777510715350472E-2</v>
      </c>
      <c r="N35" s="3107">
        <v>0.98</v>
      </c>
      <c r="O35" s="3108">
        <f t="shared" si="1"/>
        <v>2.555502143070097E-4</v>
      </c>
      <c r="P35" s="3100"/>
      <c r="Q35" s="3123"/>
      <c r="R35" s="3124"/>
      <c r="S35" s="3125"/>
      <c r="T35" s="1766"/>
      <c r="U35" s="1763"/>
      <c r="X35" s="3118"/>
    </row>
    <row r="36" spans="1:24" s="3087" customFormat="1" ht="16.5" customHeight="1">
      <c r="A36" s="1761"/>
      <c r="B36" s="3105" t="s">
        <v>802</v>
      </c>
      <c r="C36" s="3097">
        <f>'Hrly (FL1-FL3)'!C36</f>
        <v>0</v>
      </c>
      <c r="D36" s="3076">
        <f>'CDP + Flare PStreams'!AE89</f>
        <v>1.08807061047665E-2</v>
      </c>
      <c r="E36" s="3076">
        <f>'CDP + Flare PStreams'!T89</f>
        <v>1.8401882586033501E-2</v>
      </c>
      <c r="F36" s="3076">
        <f>'CDP + Flare PStreams'!AJ89</f>
        <v>7.2877946281848605E-4</v>
      </c>
      <c r="G36" s="3076">
        <f>'CDP + Flare PStreams'!AG89</f>
        <v>0.28486713179776302</v>
      </c>
      <c r="H36" s="3076">
        <f>'CDP + Flare PStreams'!AB89</f>
        <v>1.0614130094315601E-6</v>
      </c>
      <c r="I36" s="3076">
        <v>0</v>
      </c>
      <c r="J36" s="3076">
        <f>'CDP + Flare PStreams'!Y89</f>
        <v>0.122852467239968</v>
      </c>
      <c r="K36" s="3076">
        <f>'CDP + Flare PStreams'!Q89</f>
        <v>2.56786011410692E-2</v>
      </c>
      <c r="L36" s="3076">
        <f>'Load-Slop Oil'!E78</f>
        <v>7.2249790079276288E-2</v>
      </c>
      <c r="M36" s="3106">
        <f t="shared" si="0"/>
        <v>0.53566041982470436</v>
      </c>
      <c r="N36" s="3107">
        <v>0.98</v>
      </c>
      <c r="O36" s="3108">
        <f t="shared" si="1"/>
        <v>1.0713208396494096E-2</v>
      </c>
      <c r="P36" s="3100"/>
      <c r="Q36" s="3123"/>
      <c r="R36" s="3124"/>
      <c r="S36" s="3125"/>
      <c r="T36" s="1766"/>
      <c r="U36" s="1763"/>
    </row>
    <row r="37" spans="1:24" s="3087" customFormat="1" ht="16.5" customHeight="1">
      <c r="A37" s="1761"/>
      <c r="B37" s="3105" t="s">
        <v>803</v>
      </c>
      <c r="C37" s="3097">
        <f>'Hrly (FL1-FL3)'!C37</f>
        <v>0</v>
      </c>
      <c r="D37" s="3076">
        <f>'CDP + Flare PStreams'!AE90</f>
        <v>1.48708305146798E-2</v>
      </c>
      <c r="E37" s="3076">
        <f>'CDP + Flare PStreams'!T90</f>
        <v>2.96466489032742E-2</v>
      </c>
      <c r="F37" s="3076">
        <f>'CDP + Flare PStreams'!AJ90</f>
        <v>9.6464541857579499E-4</v>
      </c>
      <c r="G37" s="3076">
        <f>'CDP + Flare PStreams'!AG90</f>
        <v>0.46271038506796702</v>
      </c>
      <c r="H37" s="3076">
        <f>'CDP + Flare PStreams'!AB90</f>
        <v>6.2755825189131602E-10</v>
      </c>
      <c r="I37" s="3076">
        <v>0</v>
      </c>
      <c r="J37" s="3076">
        <f>'CDP + Flare PStreams'!Y90</f>
        <v>0.171412743204685</v>
      </c>
      <c r="K37" s="3076">
        <f>'CDP + Flare PStreams'!Q90</f>
        <v>4.1829821171344303E-2</v>
      </c>
      <c r="L37" s="3076">
        <f>'Load-Slop Oil'!E79</f>
        <v>9.874491348676738E-2</v>
      </c>
      <c r="M37" s="3106">
        <f t="shared" si="0"/>
        <v>0.82017998839485173</v>
      </c>
      <c r="N37" s="3107">
        <v>0.98</v>
      </c>
      <c r="O37" s="3108">
        <f t="shared" si="1"/>
        <v>1.6403599767897049E-2</v>
      </c>
      <c r="P37" s="3100"/>
      <c r="Q37" s="3123"/>
      <c r="R37" s="3128"/>
      <c r="S37" s="3129"/>
      <c r="T37" s="3129"/>
      <c r="U37" s="1763"/>
    </row>
    <row r="38" spans="1:24" s="3087" customFormat="1" ht="16.5" customHeight="1">
      <c r="A38" s="1761"/>
      <c r="B38" s="3105" t="s">
        <v>805</v>
      </c>
      <c r="C38" s="3097">
        <f>'Hrly (FL1-FL3)'!C38</f>
        <v>0</v>
      </c>
      <c r="D38" s="3076">
        <f>'CDP + Flare PStreams'!AE91</f>
        <v>5.2307356534187499E-3</v>
      </c>
      <c r="E38" s="3076">
        <f>'CDP + Flare PStreams'!T91</f>
        <v>1.10546020835723E-2</v>
      </c>
      <c r="F38" s="3076">
        <f>'CDP + Flare PStreams'!AJ91</f>
        <v>3.27954834104595E-4</v>
      </c>
      <c r="G38" s="3076">
        <f>'CDP + Flare PStreams'!AG91</f>
        <v>0.173360925321699</v>
      </c>
      <c r="H38" s="3076">
        <f>'CDP + Flare PStreams'!AB91</f>
        <v>2.3027905254019999E-11</v>
      </c>
      <c r="I38" s="3076">
        <v>0</v>
      </c>
      <c r="J38" s="3076">
        <f>'CDP + Flare PStreams'!Y91</f>
        <v>5.7287316106693298E-2</v>
      </c>
      <c r="K38" s="3076">
        <f>'CDP + Flare PStreams'!Q91</f>
        <v>1.46573164353109E-2</v>
      </c>
      <c r="L38" s="3076">
        <f>'Load-Slop Oil'!E80</f>
        <v>3.4732998877171635E-2</v>
      </c>
      <c r="M38" s="3106">
        <f t="shared" si="0"/>
        <v>0.29665184933499839</v>
      </c>
      <c r="N38" s="3107">
        <v>0.98</v>
      </c>
      <c r="O38" s="3108">
        <f t="shared" si="1"/>
        <v>5.9330369866999726E-3</v>
      </c>
      <c r="P38" s="3100"/>
      <c r="Q38" s="1762"/>
      <c r="R38" s="1762"/>
      <c r="S38" s="1762"/>
      <c r="T38" s="1762"/>
      <c r="U38" s="1763"/>
    </row>
    <row r="39" spans="1:24" s="3087" customFormat="1" ht="16.5" customHeight="1" thickBot="1">
      <c r="A39" s="1761"/>
      <c r="B39" s="3130" t="s">
        <v>752</v>
      </c>
      <c r="C39" s="3097">
        <f>'Hrly (FL1-FL3)'!C39</f>
        <v>0</v>
      </c>
      <c r="D39" s="3076">
        <f>'CDP + Flare PStreams'!AE92</f>
        <v>3.9467795859325697E-6</v>
      </c>
      <c r="E39" s="3076">
        <f>'CDP + Flare PStreams'!T92</f>
        <v>1.27572030226029E-5</v>
      </c>
      <c r="F39" s="3076">
        <f>'CDP + Flare PStreams'!AJ92</f>
        <v>1.817642868635E-7</v>
      </c>
      <c r="G39" s="3076">
        <f>'CDP + Flare PStreams'!AG92</f>
        <v>2.0071221550540101E-4</v>
      </c>
      <c r="H39" s="3076">
        <f>'CDP + Flare PStreams'!AB92</f>
        <v>4.6963593708660495E-16</v>
      </c>
      <c r="I39" s="3076">
        <v>0</v>
      </c>
      <c r="J39" s="3076">
        <f>'CDP + Flare PStreams'!Y92</f>
        <v>4.5679976540074303E-5</v>
      </c>
      <c r="K39" s="3076">
        <f>'CDP + Flare PStreams'!Q92</f>
        <v>1.61233775280808E-5</v>
      </c>
      <c r="L39" s="3076">
        <f>'Load-Slop Oil'!E81</f>
        <v>2.6207306201192438E-5</v>
      </c>
      <c r="M39" s="3106">
        <f t="shared" si="0"/>
        <v>3.0560862267061718E-4</v>
      </c>
      <c r="N39" s="3131">
        <v>0.98</v>
      </c>
      <c r="O39" s="3132">
        <f t="shared" si="1"/>
        <v>6.1121724534123488E-6</v>
      </c>
      <c r="P39" s="3100"/>
      <c r="Q39" s="1762"/>
      <c r="R39" s="1762"/>
      <c r="S39" s="1762"/>
      <c r="T39" s="1762"/>
      <c r="U39" s="1763"/>
    </row>
    <row r="40" spans="1:24" s="3087" customFormat="1" ht="17.25" customHeight="1">
      <c r="A40" s="1761"/>
      <c r="B40" s="3133" t="s">
        <v>692</v>
      </c>
      <c r="C40" s="3134">
        <f>SUM(C12:C39)</f>
        <v>12.45514279354966</v>
      </c>
      <c r="D40" s="3135">
        <f t="shared" ref="D40:O40" si="2">SUM(D12:D39)</f>
        <v>9.1255206000216003</v>
      </c>
      <c r="E40" s="3135">
        <f t="shared" si="2"/>
        <v>17.163119647447584</v>
      </c>
      <c r="F40" s="3135">
        <f>SUM(F12:F39)</f>
        <v>1.4503553227152521</v>
      </c>
      <c r="G40" s="3135">
        <f>SUM(G12:G39)</f>
        <v>263.85620393548663</v>
      </c>
      <c r="H40" s="3135">
        <f t="shared" si="2"/>
        <v>0.80074331722369785</v>
      </c>
      <c r="I40" s="3135">
        <f t="shared" si="2"/>
        <v>0</v>
      </c>
      <c r="J40" s="3135">
        <f t="shared" si="2"/>
        <v>134.64186133943792</v>
      </c>
      <c r="K40" s="3135">
        <f t="shared" si="2"/>
        <v>34.740669296490843</v>
      </c>
      <c r="L40" s="3135">
        <f>SUM(L12:L39)</f>
        <v>60.595051586481382</v>
      </c>
      <c r="M40" s="3136">
        <f t="shared" si="2"/>
        <v>534.82866783885447</v>
      </c>
      <c r="N40" s="3137" t="s">
        <v>445</v>
      </c>
      <c r="O40" s="3099">
        <f t="shared" si="2"/>
        <v>15.132589753217678</v>
      </c>
      <c r="P40" s="3100"/>
      <c r="Q40" s="1762"/>
      <c r="R40" s="1762"/>
      <c r="S40" s="1762"/>
      <c r="T40" s="1762"/>
      <c r="U40" s="1763"/>
      <c r="W40" s="3087" t="e">
        <f>#REF!/365</f>
        <v>#REF!</v>
      </c>
    </row>
    <row r="41" spans="1:24" s="3087" customFormat="1" ht="17.25" customHeight="1">
      <c r="A41" s="1761"/>
      <c r="B41" s="3138" t="s">
        <v>55</v>
      </c>
      <c r="C41" s="3139">
        <f>SUM(C18:C39)</f>
        <v>0.54322982496024097</v>
      </c>
      <c r="D41" s="3140">
        <f t="shared" ref="D41:K41" si="3">SUM(D18:D39)</f>
        <v>8.0965572386066107</v>
      </c>
      <c r="E41" s="3140">
        <f>SUM(E18:E39)</f>
        <v>15.108987523798927</v>
      </c>
      <c r="F41" s="3140">
        <f>SUM(F18:F39)</f>
        <v>0.68675403117904488</v>
      </c>
      <c r="G41" s="3140">
        <f>SUM(G18:G39)</f>
        <v>229.11982697269289</v>
      </c>
      <c r="H41" s="3140">
        <f t="shared" si="3"/>
        <v>4.720519368779038E-3</v>
      </c>
      <c r="I41" s="3140">
        <f t="shared" si="3"/>
        <v>0</v>
      </c>
      <c r="J41" s="3140">
        <f t="shared" si="3"/>
        <v>120.03151599341513</v>
      </c>
      <c r="K41" s="3140">
        <f t="shared" si="3"/>
        <v>30.536689032270694</v>
      </c>
      <c r="L41" s="3140">
        <f>SUM(L18:L39)</f>
        <v>53.762555042076791</v>
      </c>
      <c r="M41" s="3141">
        <f>SUM(M18:M39)</f>
        <v>457.89083617836911</v>
      </c>
      <c r="N41" s="3142" t="s">
        <v>445</v>
      </c>
      <c r="O41" s="3108">
        <f>SUM(O18:O39)</f>
        <v>7.2766034925122449</v>
      </c>
      <c r="P41" s="3100"/>
      <c r="Q41" s="1762"/>
      <c r="R41" s="1762"/>
      <c r="S41" s="1762"/>
      <c r="T41" s="1762"/>
      <c r="U41" s="1763"/>
      <c r="W41" s="3087" t="e">
        <f>W40*6</f>
        <v>#REF!</v>
      </c>
    </row>
    <row r="42" spans="1:24" s="3087" customFormat="1" ht="17.25" customHeight="1" thickBot="1">
      <c r="A42" s="1761"/>
      <c r="B42" s="3143" t="s">
        <v>693</v>
      </c>
      <c r="C42" s="3144">
        <f>SUM(C25,C27,C33,C36,C35,C29)</f>
        <v>0</v>
      </c>
      <c r="D42" s="3145">
        <f t="shared" ref="D42:M42" si="4">SUM(D25,D27,D33,D36,D35,D29)</f>
        <v>0.24728131939486583</v>
      </c>
      <c r="E42" s="3145">
        <f t="shared" si="4"/>
        <v>0.52008289177732936</v>
      </c>
      <c r="F42" s="3145">
        <f>SUM(F25,F27,F33,F36,F35,F29)</f>
        <v>1.7757188044963484E-2</v>
      </c>
      <c r="G42" s="3145">
        <f>SUM(G25,G27,G33,G36,G35,G29)</f>
        <v>7.9852659021153984</v>
      </c>
      <c r="H42" s="3145">
        <f t="shared" si="4"/>
        <v>1.8328493083569816E-4</v>
      </c>
      <c r="I42" s="3145">
        <f t="shared" si="4"/>
        <v>0</v>
      </c>
      <c r="J42" s="3145">
        <f t="shared" si="4"/>
        <v>2.6364874553727575</v>
      </c>
      <c r="K42" s="3145">
        <f t="shared" si="4"/>
        <v>0.70298714288812303</v>
      </c>
      <c r="L42" s="3145">
        <f>SUM(L25,L27,L33,L36,L35,L29)</f>
        <v>1.6419911763795283</v>
      </c>
      <c r="M42" s="3146">
        <f t="shared" si="4"/>
        <v>13.752036360903801</v>
      </c>
      <c r="N42" s="3147" t="s">
        <v>445</v>
      </c>
      <c r="O42" s="3148">
        <f>SUM(O25,O27,O33,O36,O35,O29)</f>
        <v>0.27504072721807626</v>
      </c>
      <c r="P42" s="3100"/>
      <c r="Q42" s="1762"/>
      <c r="R42" s="1762"/>
      <c r="S42" s="1762"/>
      <c r="T42" s="1762"/>
      <c r="U42" s="1763"/>
    </row>
    <row r="43" spans="1:24" s="3087" customFormat="1" ht="15.5">
      <c r="A43" s="1761"/>
      <c r="B43" s="3149" t="s">
        <v>694</v>
      </c>
      <c r="C43" s="3150">
        <f>'Hrly (FL1-FL3)'!C43</f>
        <v>1049.08489049902</v>
      </c>
      <c r="D43" s="3151">
        <f>'CDP + Flare PStreams'!AE136</f>
        <v>2834.40861176934</v>
      </c>
      <c r="E43" s="3151">
        <f>'CDP + Flare PStreams'!T136</f>
        <v>2728.5744655956901</v>
      </c>
      <c r="F43" s="3151">
        <f>'CDP + Flare PStreams'!AJ136</f>
        <v>944.10563258587297</v>
      </c>
      <c r="G43" s="3151">
        <f>'CDP + Flare PStreams'!AG136</f>
        <v>2697.2454537142899</v>
      </c>
      <c r="H43" s="3151">
        <f>'CDP + Flare PStreams'!AB136</f>
        <v>66.078553671346995</v>
      </c>
      <c r="I43" s="3151">
        <f>H43</f>
        <v>66.078553671346995</v>
      </c>
      <c r="J43" s="3151">
        <f>'CDP + Flare PStreams'!Y136</f>
        <v>2789.1374857526898</v>
      </c>
      <c r="K43" s="3151">
        <f>'CDP + Flare PStreams'!Q136</f>
        <v>2742.4431291707601</v>
      </c>
      <c r="L43" s="3151">
        <f>D43</f>
        <v>2834.40861176934</v>
      </c>
      <c r="M43" s="3152">
        <f>SUMPRODUCT(C43:L43,C46:L46)/M46</f>
        <v>2630.0016252650203</v>
      </c>
      <c r="N43" s="1762"/>
      <c r="O43" s="1762"/>
      <c r="P43" s="1762"/>
      <c r="Q43" s="1762"/>
      <c r="R43" s="1762"/>
      <c r="S43" s="1762"/>
      <c r="T43" s="1762"/>
      <c r="U43" s="1763"/>
    </row>
    <row r="44" spans="1:24" s="3087" customFormat="1" ht="15.5">
      <c r="A44" s="1761"/>
      <c r="B44" s="3153" t="s">
        <v>20</v>
      </c>
      <c r="C44" s="3154">
        <f>'Hrly (FL1-FL3)'!C44</f>
        <v>18.906107429477601</v>
      </c>
      <c r="D44" s="3155">
        <f>'CDP + Flare PStreams'!AE131</f>
        <v>50.253999895459501</v>
      </c>
      <c r="E44" s="3155">
        <f>'CDP + Flare PStreams'!T131</f>
        <v>49.258996315007302</v>
      </c>
      <c r="F44" s="3155">
        <f>'CDP + Flare PStreams'!AJ131</f>
        <v>27.9518326470372</v>
      </c>
      <c r="G44" s="3155">
        <f>'CDP + Flare PStreams'!AG131</f>
        <v>48.7835966550875</v>
      </c>
      <c r="H44" s="3155">
        <f>'CDP + Flare PStreams'!AB131</f>
        <v>18.150207979956001</v>
      </c>
      <c r="I44" s="3155">
        <f>H44</f>
        <v>18.150207979956001</v>
      </c>
      <c r="J44" s="3155">
        <f>'CDP + Flare PStreams'!Y131</f>
        <v>49.368082888003897</v>
      </c>
      <c r="K44" s="3155">
        <f>'CDP + Flare PStreams'!Q131</f>
        <v>48.538121492760602</v>
      </c>
      <c r="L44" s="3155">
        <f>'CDP + Flare PStreams'!AO131</f>
        <v>0</v>
      </c>
      <c r="M44" s="3156" t="s">
        <v>445</v>
      </c>
      <c r="N44" s="3157"/>
      <c r="O44" s="3157"/>
      <c r="P44" s="3157"/>
      <c r="Q44" s="3157"/>
      <c r="R44" s="3157"/>
      <c r="S44" s="3157"/>
      <c r="T44" s="3157"/>
      <c r="U44" s="3158"/>
    </row>
    <row r="45" spans="1:24" s="3087" customFormat="1" ht="15.5">
      <c r="A45" s="1761"/>
      <c r="B45" s="3153" t="s">
        <v>695</v>
      </c>
      <c r="C45" s="3159">
        <f>'TO Hrly (TO1-TO3)'!C36</f>
        <v>0</v>
      </c>
      <c r="D45" s="3160">
        <f t="shared" ref="D45:K45" si="5">D13*($Z$10/$Z$9)</f>
        <v>0</v>
      </c>
      <c r="E45" s="3160">
        <f t="shared" si="5"/>
        <v>0</v>
      </c>
      <c r="F45" s="3160">
        <f t="shared" si="5"/>
        <v>0</v>
      </c>
      <c r="G45" s="3160">
        <f t="shared" si="5"/>
        <v>0</v>
      </c>
      <c r="H45" s="3160">
        <f t="shared" si="5"/>
        <v>0</v>
      </c>
      <c r="I45" s="3160">
        <f t="shared" si="5"/>
        <v>0</v>
      </c>
      <c r="J45" s="3160">
        <f t="shared" si="5"/>
        <v>0</v>
      </c>
      <c r="K45" s="3160">
        <f t="shared" si="5"/>
        <v>0</v>
      </c>
      <c r="L45" s="3160">
        <f>L13*($Z$10/$Z$9)</f>
        <v>0</v>
      </c>
      <c r="M45" s="3161">
        <f>SUM(C45:L45)</f>
        <v>0</v>
      </c>
      <c r="N45" s="3157"/>
      <c r="O45" s="3157"/>
      <c r="P45" s="3157"/>
      <c r="Q45" s="3157"/>
      <c r="R45" s="3157"/>
      <c r="S45" s="3157"/>
      <c r="T45" s="3157"/>
      <c r="U45" s="3158"/>
    </row>
    <row r="46" spans="1:24" s="3087" customFormat="1" ht="15.5">
      <c r="A46" s="1761"/>
      <c r="B46" s="3153" t="s">
        <v>696</v>
      </c>
      <c r="C46" s="3154">
        <f>'Hrly (FL1-FL3)'!C46</f>
        <v>250</v>
      </c>
      <c r="D46" s="3155">
        <f>'CDP + Flare PStreams'!AE133*10^6/24</f>
        <v>68.909711928375415</v>
      </c>
      <c r="E46" s="3155">
        <f>'CDP + Flare PStreams'!T133*10^6/24</f>
        <v>132.22211220175458</v>
      </c>
      <c r="F46" s="3155">
        <f>'CDP + Flare PStreams'!AJ133*10^6/24</f>
        <v>19.690536292623207</v>
      </c>
      <c r="G46" s="3155">
        <f>'CDP + Flare PStreams'!AG133*10^6/24</f>
        <v>2052.5177087732582</v>
      </c>
      <c r="H46" s="3155">
        <f>'CDP + Flare PStreams'!AB133*10^6/24</f>
        <v>16.741915130519665</v>
      </c>
      <c r="I46" s="3155">
        <v>0</v>
      </c>
      <c r="J46" s="3155">
        <f>'CDP + Flare PStreams'!Y133*10^6/24</f>
        <v>1034.9688132205999</v>
      </c>
      <c r="K46" s="3155">
        <f>'CDP + Flare PStreams'!Q133*10^6/24</f>
        <v>271.61180133005581</v>
      </c>
      <c r="L46" s="3155">
        <f>'Load-Slop Oil'!F96</f>
        <v>542.89233350783127</v>
      </c>
      <c r="M46" s="3161">
        <f>SUM(C46:L46)</f>
        <v>4389.5549323850182</v>
      </c>
      <c r="N46" s="3157"/>
      <c r="O46" s="3157"/>
      <c r="P46" s="3157"/>
      <c r="Q46" s="3157"/>
      <c r="R46" s="3157"/>
      <c r="S46" s="3157"/>
      <c r="T46" s="3157"/>
      <c r="U46" s="3158"/>
      <c r="W46" s="3087">
        <f>C46*24</f>
        <v>6000</v>
      </c>
    </row>
    <row r="47" spans="1:24" s="3087" customFormat="1" ht="16" thickBot="1">
      <c r="A47" s="1761"/>
      <c r="B47" s="3162" t="s">
        <v>697</v>
      </c>
      <c r="C47" s="3163">
        <f>C43*C46/10^6</f>
        <v>0.262271222624755</v>
      </c>
      <c r="D47" s="3164">
        <f>D43*D46/10^6</f>
        <v>0.19531828092433168</v>
      </c>
      <c r="E47" s="3164">
        <f t="shared" ref="E47:K47" si="6">E43*E46/10^6</f>
        <v>0.36077787914083592</v>
      </c>
      <c r="F47" s="3164">
        <f t="shared" si="6"/>
        <v>1.8589946222502124E-2</v>
      </c>
      <c r="G47" s="3164">
        <f t="shared" si="6"/>
        <v>5.536144058656741</v>
      </c>
      <c r="H47" s="3164">
        <f t="shared" si="6"/>
        <v>1.10628153751318E-3</v>
      </c>
      <c r="I47" s="3164">
        <f t="shared" si="6"/>
        <v>0</v>
      </c>
      <c r="J47" s="3164">
        <f t="shared" si="6"/>
        <v>2.8866703135385494</v>
      </c>
      <c r="K47" s="3164">
        <f t="shared" si="6"/>
        <v>0.74487991835930512</v>
      </c>
      <c r="L47" s="3164">
        <f>L43*L46/10^6</f>
        <v>1.5387787053581494</v>
      </c>
      <c r="M47" s="3165">
        <f>SUMPRODUCT(C43:L43,C46:L46)/10^6</f>
        <v>11.544536606362684</v>
      </c>
      <c r="N47" s="3157"/>
      <c r="O47" s="3157"/>
      <c r="P47" s="3157"/>
      <c r="Q47" s="3157"/>
      <c r="R47" s="3157"/>
      <c r="S47" s="3157"/>
      <c r="T47" s="3157"/>
      <c r="U47" s="3158"/>
    </row>
    <row r="48" spans="1:24" ht="13">
      <c r="A48" s="643"/>
      <c r="B48" s="657"/>
      <c r="C48" s="657"/>
      <c r="D48" s="657"/>
      <c r="E48" s="657"/>
      <c r="F48" s="657"/>
      <c r="G48" s="657"/>
      <c r="H48" s="657"/>
      <c r="I48" s="657"/>
      <c r="J48" s="657"/>
      <c r="K48" s="659"/>
      <c r="L48" s="659"/>
      <c r="M48" s="659"/>
      <c r="N48" s="659"/>
      <c r="O48" s="659"/>
      <c r="P48" s="659"/>
      <c r="Q48" s="659"/>
      <c r="R48" s="659"/>
      <c r="S48" s="659"/>
      <c r="T48" s="659"/>
      <c r="U48" s="660"/>
    </row>
    <row r="49" spans="1:21" ht="13.5" thickBot="1">
      <c r="A49" s="643"/>
      <c r="B49" s="657"/>
      <c r="C49" s="657"/>
      <c r="D49" s="657"/>
      <c r="E49" s="657"/>
      <c r="F49" s="657"/>
      <c r="G49" s="657"/>
      <c r="H49" s="657"/>
      <c r="I49" s="657"/>
      <c r="J49" s="657"/>
      <c r="K49" s="659"/>
      <c r="L49" s="659"/>
      <c r="M49" s="659"/>
      <c r="N49" s="659"/>
      <c r="O49" s="659"/>
      <c r="P49" s="659"/>
      <c r="Q49" s="659"/>
      <c r="R49" s="659"/>
      <c r="S49" s="659"/>
      <c r="T49" s="659"/>
      <c r="U49" s="660"/>
    </row>
    <row r="50" spans="1:21" ht="17.25" customHeight="1">
      <c r="A50" s="643"/>
      <c r="B50" s="661" t="s">
        <v>698</v>
      </c>
      <c r="C50" s="662"/>
      <c r="D50" s="662"/>
      <c r="E50" s="662"/>
      <c r="F50" s="662"/>
      <c r="G50" s="662"/>
      <c r="H50" s="662"/>
      <c r="I50" s="662"/>
      <c r="J50" s="662"/>
      <c r="K50" s="663"/>
      <c r="L50" s="663"/>
      <c r="M50" s="663"/>
      <c r="N50" s="663"/>
      <c r="O50" s="663"/>
      <c r="P50" s="663"/>
      <c r="Q50" s="663"/>
      <c r="R50" s="664"/>
      <c r="S50" s="657"/>
      <c r="T50" s="657"/>
      <c r="U50" s="51"/>
    </row>
    <row r="51" spans="1:21" ht="17.25" customHeight="1">
      <c r="A51" s="643"/>
      <c r="B51" s="665" t="s">
        <v>699</v>
      </c>
      <c r="C51" s="666"/>
      <c r="D51" s="666"/>
      <c r="E51" s="666"/>
      <c r="F51" s="666"/>
      <c r="G51" s="666"/>
      <c r="H51" s="666"/>
      <c r="I51" s="666"/>
      <c r="J51" s="666"/>
      <c r="K51" s="667"/>
      <c r="L51" s="667"/>
      <c r="M51" s="667"/>
      <c r="N51" s="667"/>
      <c r="O51" s="667"/>
      <c r="P51" s="667"/>
      <c r="Q51" s="667"/>
      <c r="R51" s="668"/>
      <c r="S51" s="657"/>
      <c r="T51" s="657"/>
      <c r="U51" s="51"/>
    </row>
    <row r="52" spans="1:21" ht="27.75" customHeight="1" thickBot="1">
      <c r="A52" s="643"/>
      <c r="B52" s="4729" t="s">
        <v>836</v>
      </c>
      <c r="C52" s="4730"/>
      <c r="D52" s="4730"/>
      <c r="E52" s="4730"/>
      <c r="F52" s="4730"/>
      <c r="G52" s="4730"/>
      <c r="H52" s="4730"/>
      <c r="I52" s="4730"/>
      <c r="J52" s="4730"/>
      <c r="K52" s="4730"/>
      <c r="L52" s="4793"/>
      <c r="M52" s="4730"/>
      <c r="N52" s="4730"/>
      <c r="O52" s="4730"/>
      <c r="P52" s="4730"/>
      <c r="Q52" s="4730"/>
      <c r="R52" s="4731"/>
      <c r="S52" s="669"/>
      <c r="T52" s="669"/>
      <c r="U52" s="670"/>
    </row>
    <row r="53" spans="1:21" ht="13.5" thickBot="1">
      <c r="A53" s="645"/>
      <c r="B53" s="541"/>
      <c r="C53" s="541"/>
      <c r="D53" s="541"/>
      <c r="E53" s="541"/>
      <c r="F53" s="541"/>
      <c r="G53" s="541"/>
      <c r="H53" s="541"/>
      <c r="I53" s="541"/>
      <c r="J53" s="541"/>
      <c r="K53" s="541"/>
      <c r="L53" s="541"/>
      <c r="M53" s="541"/>
      <c r="N53" s="541"/>
      <c r="O53" s="541"/>
      <c r="P53" s="541"/>
      <c r="Q53" s="541"/>
      <c r="R53" s="541"/>
      <c r="S53" s="541"/>
      <c r="T53" s="541"/>
      <c r="U53" s="543"/>
    </row>
    <row r="57" spans="1:21">
      <c r="M57" s="48">
        <f>M46/60/60</f>
        <v>1.2193208145513941</v>
      </c>
    </row>
  </sheetData>
  <mergeCells count="23">
    <mergeCell ref="B8:O8"/>
    <mergeCell ref="Q8:T8"/>
    <mergeCell ref="B2:T2"/>
    <mergeCell ref="B3:T3"/>
    <mergeCell ref="B4:T4"/>
    <mergeCell ref="A6:U6"/>
    <mergeCell ref="A7:K7"/>
    <mergeCell ref="T9:T11"/>
    <mergeCell ref="B52:R52"/>
    <mergeCell ref="H9:I9"/>
    <mergeCell ref="J9:K9"/>
    <mergeCell ref="Q19:R19"/>
    <mergeCell ref="M9:M10"/>
    <mergeCell ref="N9:N10"/>
    <mergeCell ref="O9:O10"/>
    <mergeCell ref="Q9:Q11"/>
    <mergeCell ref="R9:R10"/>
    <mergeCell ref="S9:S11"/>
    <mergeCell ref="B9:B11"/>
    <mergeCell ref="C9:C10"/>
    <mergeCell ref="D9:E9"/>
    <mergeCell ref="F9:G9"/>
    <mergeCell ref="L9:L10"/>
  </mergeCells>
  <pageMargins left="0.45" right="0.45" top="0.5" bottom="0.5" header="0.3" footer="0.3"/>
  <pageSetup scale="42" orientation="landscape" r:id="rId1"/>
  <headerFooter>
    <oddFooter>&amp;CCalculations: 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theme="1"/>
  </sheetPr>
  <dimension ref="A1:Q535"/>
  <sheetViews>
    <sheetView view="pageLayout" zoomScale="70" zoomScaleNormal="100" zoomScalePageLayoutView="70" workbookViewId="0">
      <selection activeCell="G29" sqref="G29:G32"/>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10" width="8.54296875" style="56"/>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1768</v>
      </c>
      <c r="B1" s="3843"/>
      <c r="C1" s="3843"/>
      <c r="D1" s="3843"/>
      <c r="E1" s="3843"/>
      <c r="F1" s="3843"/>
      <c r="G1" s="3843"/>
      <c r="H1" s="3844"/>
      <c r="I1" s="3844"/>
      <c r="J1" s="3844"/>
      <c r="K1" s="3844"/>
      <c r="L1" s="3844"/>
      <c r="M1" s="3844"/>
      <c r="N1" s="55"/>
      <c r="O1" s="55"/>
      <c r="P1" s="55"/>
    </row>
    <row r="2" spans="1:17" ht="17.149999999999999" customHeight="1" thickBot="1">
      <c r="A2" s="3845" t="s">
        <v>1492</v>
      </c>
      <c r="B2" s="3845"/>
      <c r="C2" s="3845"/>
      <c r="D2" s="3845"/>
      <c r="E2" s="3845"/>
      <c r="F2" s="3845"/>
      <c r="G2" s="3845"/>
      <c r="H2" s="3846"/>
      <c r="I2" s="3846"/>
      <c r="J2" s="3846"/>
      <c r="K2" s="3846"/>
      <c r="L2" s="3846"/>
      <c r="M2" s="3846"/>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tr">
        <f>'2-A All'!A7:A8</f>
        <v>SHTR1</v>
      </c>
      <c r="B7" s="3800" t="str">
        <f>'2-A All'!B7:B8</f>
        <v>Stabilization Hot Oil Heater
(64.83 MMBtu/hr)</v>
      </c>
      <c r="C7" s="3800" t="str">
        <f>'2-A All'!C7:C8</f>
        <v>THM</v>
      </c>
      <c r="D7" s="3800" t="str">
        <f>'2-A All'!D7:D8</f>
        <v>N/A</v>
      </c>
      <c r="E7" s="3800" t="str">
        <f>'2-A All'!E7:E8</f>
        <v>TBD</v>
      </c>
      <c r="F7" s="3800" t="str">
        <f>'2-A All'!F7:F8</f>
        <v>64.83 MMBtu/hr</v>
      </c>
      <c r="G7" s="3800" t="str">
        <f>'2-A All'!G7:G8</f>
        <v>64.83 MMBtu/hr</v>
      </c>
      <c r="H7" s="2371" t="s">
        <v>94</v>
      </c>
      <c r="I7" s="567" t="s">
        <v>604</v>
      </c>
      <c r="J7" s="3800">
        <v>31000403</v>
      </c>
      <c r="K7" s="3805" t="s">
        <v>1263</v>
      </c>
      <c r="L7" s="3809" t="s">
        <v>133</v>
      </c>
      <c r="M7" s="3807" t="s">
        <v>133</v>
      </c>
    </row>
    <row r="8" spans="1:17" s="568" customFormat="1" ht="20.25" customHeight="1">
      <c r="A8" s="3799"/>
      <c r="B8" s="3801"/>
      <c r="C8" s="3801"/>
      <c r="D8" s="3801"/>
      <c r="E8" s="3801"/>
      <c r="F8" s="3801"/>
      <c r="G8" s="3801"/>
      <c r="H8" s="569" t="s">
        <v>94</v>
      </c>
      <c r="I8" s="569" t="str">
        <f>A7</f>
        <v>SHTR1</v>
      </c>
      <c r="J8" s="3801"/>
      <c r="K8" s="3806"/>
      <c r="L8" s="3810"/>
      <c r="M8" s="3808"/>
    </row>
    <row r="9" spans="1:17" s="568" customFormat="1" ht="20.25" customHeight="1">
      <c r="A9" s="3798" t="str">
        <f>'2-A All'!A9:A10</f>
        <v>SHTR2</v>
      </c>
      <c r="B9" s="3800" t="str">
        <f>'2-A All'!B9:B10</f>
        <v>Stabilization Hot Oil Heater
(64.83 MMBtu/hr)</v>
      </c>
      <c r="C9" s="3800" t="str">
        <f>'2-A All'!C9:C10</f>
        <v>THM</v>
      </c>
      <c r="D9" s="3800" t="str">
        <f>'2-A All'!D9:D10</f>
        <v>N/A</v>
      </c>
      <c r="E9" s="3800" t="str">
        <f>'2-A All'!E9:E10</f>
        <v>TBD</v>
      </c>
      <c r="F9" s="3800" t="str">
        <f>'2-A All'!F9:F10</f>
        <v>64.83 MMBtu/hr</v>
      </c>
      <c r="G9" s="3800" t="str">
        <f>'2-A All'!G9:G10</f>
        <v>64.83 MMBtu/hr</v>
      </c>
      <c r="H9" s="2371" t="s">
        <v>94</v>
      </c>
      <c r="I9" s="567" t="s">
        <v>604</v>
      </c>
      <c r="J9" s="3800">
        <v>31000403</v>
      </c>
      <c r="K9" s="3805" t="s">
        <v>1263</v>
      </c>
      <c r="L9" s="3809" t="s">
        <v>133</v>
      </c>
      <c r="M9" s="3807" t="s">
        <v>133</v>
      </c>
    </row>
    <row r="10" spans="1:17" s="568" customFormat="1" ht="20.25" customHeight="1">
      <c r="A10" s="3799"/>
      <c r="B10" s="3801"/>
      <c r="C10" s="3801"/>
      <c r="D10" s="3801"/>
      <c r="E10" s="3801"/>
      <c r="F10" s="3801"/>
      <c r="G10" s="3801"/>
      <c r="H10" s="569" t="s">
        <v>94</v>
      </c>
      <c r="I10" s="569" t="str">
        <f>A9</f>
        <v>SHTR2</v>
      </c>
      <c r="J10" s="3801"/>
      <c r="K10" s="3806"/>
      <c r="L10" s="3810"/>
      <c r="M10" s="3808"/>
    </row>
    <row r="11" spans="1:17" s="568" customFormat="1" ht="20.25" customHeight="1">
      <c r="A11" s="3798" t="str">
        <f>'2-A All'!A11:A12</f>
        <v>SHTR3</v>
      </c>
      <c r="B11" s="3800" t="str">
        <f>'2-A All'!B11:B12</f>
        <v>Stabilization Hot Oil Heater
(64.83 MMBtu/hr)</v>
      </c>
      <c r="C11" s="3800" t="str">
        <f>'2-A All'!C11:C12</f>
        <v>THM</v>
      </c>
      <c r="D11" s="3800" t="str">
        <f>'2-A All'!D11:D12</f>
        <v>N/A</v>
      </c>
      <c r="E11" s="3800" t="str">
        <f>'2-A All'!E11:E12</f>
        <v>TBD</v>
      </c>
      <c r="F11" s="3800" t="str">
        <f>'2-A All'!F11:F12</f>
        <v>64.83 MMBtu/hr</v>
      </c>
      <c r="G11" s="3800" t="str">
        <f>'2-A All'!G11:G12</f>
        <v>64.83 MMBtu/hr</v>
      </c>
      <c r="H11" s="2371" t="s">
        <v>94</v>
      </c>
      <c r="I11" s="567" t="s">
        <v>604</v>
      </c>
      <c r="J11" s="3816">
        <v>31000403</v>
      </c>
      <c r="K11" s="3817" t="s">
        <v>1263</v>
      </c>
      <c r="L11" s="3816" t="s">
        <v>133</v>
      </c>
      <c r="M11" s="3828" t="s">
        <v>133</v>
      </c>
    </row>
    <row r="12" spans="1:17" s="568" customFormat="1" ht="20.25" customHeight="1">
      <c r="A12" s="3799"/>
      <c r="B12" s="3801"/>
      <c r="C12" s="3801"/>
      <c r="D12" s="3801"/>
      <c r="E12" s="3801"/>
      <c r="F12" s="3801"/>
      <c r="G12" s="3801"/>
      <c r="H12" s="569" t="s">
        <v>94</v>
      </c>
      <c r="I12" s="569" t="str">
        <f>A11</f>
        <v>SHTR3</v>
      </c>
      <c r="J12" s="3801"/>
      <c r="K12" s="3806"/>
      <c r="L12" s="3801"/>
      <c r="M12" s="3829"/>
    </row>
    <row r="13" spans="1:17" s="568" customFormat="1" ht="20.25" customHeight="1">
      <c r="A13" s="3798" t="str">
        <f>'2-A All'!A13:A14</f>
        <v>SHTR4</v>
      </c>
      <c r="B13" s="3800" t="str">
        <f>'2-A All'!B13:B14</f>
        <v>Stabilization Hot Oil Heater
(64.83 MMBtu/hr)</v>
      </c>
      <c r="C13" s="3800" t="str">
        <f>'2-A All'!C13:C14</f>
        <v>THM</v>
      </c>
      <c r="D13" s="3800" t="str">
        <f>'2-A All'!D13:D14</f>
        <v>N/A</v>
      </c>
      <c r="E13" s="3800" t="str">
        <f>'2-A All'!E13:E14</f>
        <v>TBD</v>
      </c>
      <c r="F13" s="3800" t="str">
        <f>'2-A All'!F13:F14</f>
        <v>64.83 MMBtu/hr</v>
      </c>
      <c r="G13" s="3800" t="str">
        <f>'2-A All'!G13:G14</f>
        <v>64.83 MMBtu/hr</v>
      </c>
      <c r="H13" s="2371" t="s">
        <v>94</v>
      </c>
      <c r="I13" s="567" t="s">
        <v>604</v>
      </c>
      <c r="J13" s="3816">
        <v>31000403</v>
      </c>
      <c r="K13" s="3817" t="s">
        <v>1263</v>
      </c>
      <c r="L13" s="3816" t="s">
        <v>133</v>
      </c>
      <c r="M13" s="3828" t="s">
        <v>133</v>
      </c>
    </row>
    <row r="14" spans="1:17" s="568" customFormat="1" ht="20.25" customHeight="1">
      <c r="A14" s="3799"/>
      <c r="B14" s="3801"/>
      <c r="C14" s="3801"/>
      <c r="D14" s="3801"/>
      <c r="E14" s="3801"/>
      <c r="F14" s="3801"/>
      <c r="G14" s="3801"/>
      <c r="H14" s="569" t="s">
        <v>94</v>
      </c>
      <c r="I14" s="569" t="str">
        <f>A13</f>
        <v>SHTR4</v>
      </c>
      <c r="J14" s="3801"/>
      <c r="K14" s="3806"/>
      <c r="L14" s="3801"/>
      <c r="M14" s="3829"/>
    </row>
    <row r="15" spans="1:17" s="568" customFormat="1" ht="20.25" customHeight="1">
      <c r="A15" s="3798" t="str">
        <f>'2-A All'!A15:A16</f>
        <v>SHTR5</v>
      </c>
      <c r="B15" s="3800" t="str">
        <f>'2-A All'!B15:B16</f>
        <v>Stabilization Hot Oil Heater
(64.83 MMBtu/hr)</v>
      </c>
      <c r="C15" s="3800" t="str">
        <f>'2-A All'!C15:C16</f>
        <v>THM</v>
      </c>
      <c r="D15" s="3800" t="str">
        <f>'2-A All'!D15:D16</f>
        <v>N/A</v>
      </c>
      <c r="E15" s="3800" t="str">
        <f>'2-A All'!E15:E16</f>
        <v>TBD</v>
      </c>
      <c r="F15" s="3800" t="str">
        <f>'2-A All'!F15:F16</f>
        <v>64.83 MMBtu/hr</v>
      </c>
      <c r="G15" s="3800" t="str">
        <f>'2-A All'!G15:G16</f>
        <v>64.83 MMBtu/hr</v>
      </c>
      <c r="H15" s="2371" t="s">
        <v>94</v>
      </c>
      <c r="I15" s="567" t="s">
        <v>604</v>
      </c>
      <c r="J15" s="3816">
        <v>31000403</v>
      </c>
      <c r="K15" s="3817" t="s">
        <v>1263</v>
      </c>
      <c r="L15" s="3816" t="s">
        <v>133</v>
      </c>
      <c r="M15" s="3828" t="s">
        <v>133</v>
      </c>
    </row>
    <row r="16" spans="1:17" s="568" customFormat="1" ht="20.25" customHeight="1">
      <c r="A16" s="3799"/>
      <c r="B16" s="3801"/>
      <c r="C16" s="3801"/>
      <c r="D16" s="3801"/>
      <c r="E16" s="3801"/>
      <c r="F16" s="3801"/>
      <c r="G16" s="3801"/>
      <c r="H16" s="569" t="s">
        <v>94</v>
      </c>
      <c r="I16" s="569" t="str">
        <f>A15</f>
        <v>SHTR5</v>
      </c>
      <c r="J16" s="3801"/>
      <c r="K16" s="3806"/>
      <c r="L16" s="3801"/>
      <c r="M16" s="3829"/>
    </row>
    <row r="17" spans="1:13" s="568" customFormat="1" ht="20.25" customHeight="1">
      <c r="A17" s="3798" t="str">
        <f>'2-A All'!A17:A18</f>
        <v>SHTR6</v>
      </c>
      <c r="B17" s="3800" t="str">
        <f>'2-A All'!B17:B18</f>
        <v>Stabilization Hot Oil Heater
(64.83 MMBtu/hr)</v>
      </c>
      <c r="C17" s="3800" t="str">
        <f>'2-A All'!C17:C18</f>
        <v>THM</v>
      </c>
      <c r="D17" s="3800" t="str">
        <f>'2-A All'!D17:D18</f>
        <v>N/A</v>
      </c>
      <c r="E17" s="3800" t="str">
        <f>'2-A All'!E17:E18</f>
        <v>TBD</v>
      </c>
      <c r="F17" s="3800" t="str">
        <f>'2-A All'!F17:F18</f>
        <v>64.83 MMBtu/hr</v>
      </c>
      <c r="G17" s="3800" t="str">
        <f>'2-A All'!G17:G18</f>
        <v>64.83 MMBtu/hr</v>
      </c>
      <c r="H17" s="2430" t="s">
        <v>94</v>
      </c>
      <c r="I17" s="567" t="s">
        <v>604</v>
      </c>
      <c r="J17" s="3816">
        <v>31000403</v>
      </c>
      <c r="K17" s="3817" t="s">
        <v>1263</v>
      </c>
      <c r="L17" s="3816" t="s">
        <v>133</v>
      </c>
      <c r="M17" s="3828" t="s">
        <v>133</v>
      </c>
    </row>
    <row r="18" spans="1:13" s="568" customFormat="1" ht="20.25" customHeight="1">
      <c r="A18" s="3799"/>
      <c r="B18" s="3801"/>
      <c r="C18" s="3801"/>
      <c r="D18" s="3801"/>
      <c r="E18" s="3801"/>
      <c r="F18" s="3801"/>
      <c r="G18" s="3801"/>
      <c r="H18" s="569" t="s">
        <v>94</v>
      </c>
      <c r="I18" s="569" t="str">
        <f>A17</f>
        <v>SHTR6</v>
      </c>
      <c r="J18" s="3801"/>
      <c r="K18" s="3806"/>
      <c r="L18" s="3801"/>
      <c r="M18" s="3829"/>
    </row>
    <row r="19" spans="1:13" s="568" customFormat="1" ht="20.25" customHeight="1">
      <c r="A19" s="3866" t="str">
        <f>'2-A All'!A31</f>
        <v>CHTR1</v>
      </c>
      <c r="B19" s="3816" t="str">
        <f>'2-A All'!B31</f>
        <v>Cryo Hot Oil Heater
(103.99 MMBtu/hr)</v>
      </c>
      <c r="C19" s="3816" t="str">
        <f>'2-A All'!C31</f>
        <v>THM</v>
      </c>
      <c r="D19" s="3816" t="str">
        <f>'2-A All'!D31</f>
        <v>N/A</v>
      </c>
      <c r="E19" s="3816" t="str">
        <f>'2-A All'!E31</f>
        <v>TBD</v>
      </c>
      <c r="F19" s="3816" t="str">
        <f>'2-A All'!F31</f>
        <v>103.99 MMBtu/hr</v>
      </c>
      <c r="G19" s="3864" t="str">
        <f>'2-A All'!G31</f>
        <v>103.99 MMBtu/hr</v>
      </c>
      <c r="H19" s="2371" t="s">
        <v>94</v>
      </c>
      <c r="I19" s="567" t="s">
        <v>604</v>
      </c>
      <c r="J19" s="3816">
        <v>31000403</v>
      </c>
      <c r="K19" s="3817" t="s">
        <v>1263</v>
      </c>
      <c r="L19" s="3816" t="s">
        <v>133</v>
      </c>
      <c r="M19" s="3828" t="s">
        <v>133</v>
      </c>
    </row>
    <row r="20" spans="1:13" s="568" customFormat="1" ht="20.25" customHeight="1">
      <c r="A20" s="3867"/>
      <c r="B20" s="3801"/>
      <c r="C20" s="3801"/>
      <c r="D20" s="3801"/>
      <c r="E20" s="3801"/>
      <c r="F20" s="3801"/>
      <c r="G20" s="3865"/>
      <c r="H20" s="569" t="s">
        <v>94</v>
      </c>
      <c r="I20" s="569" t="str">
        <f>A19</f>
        <v>CHTR1</v>
      </c>
      <c r="J20" s="3801"/>
      <c r="K20" s="3806"/>
      <c r="L20" s="3801"/>
      <c r="M20" s="3829"/>
    </row>
    <row r="21" spans="1:13" s="568" customFormat="1" ht="20.25" customHeight="1">
      <c r="A21" s="3866" t="str">
        <f>'2-A All'!A33</f>
        <v>CHTR2</v>
      </c>
      <c r="B21" s="3816" t="str">
        <f>'2-A All'!B33</f>
        <v>Cryo Hot Oil Heater
(103.99 MMBtu/hr)</v>
      </c>
      <c r="C21" s="3816" t="str">
        <f>'2-A All'!C33</f>
        <v>THM</v>
      </c>
      <c r="D21" s="3816" t="str">
        <f>'2-A All'!D33</f>
        <v>N/A</v>
      </c>
      <c r="E21" s="3816" t="str">
        <f>'2-A All'!E33</f>
        <v>TBD</v>
      </c>
      <c r="F21" s="3816" t="str">
        <f>'2-A All'!F33</f>
        <v>103.99 MMBtu/hr</v>
      </c>
      <c r="G21" s="3864" t="str">
        <f>'2-A All'!G33</f>
        <v>103.99 MMBtu/hr</v>
      </c>
      <c r="H21" s="2371" t="s">
        <v>94</v>
      </c>
      <c r="I21" s="567" t="s">
        <v>604</v>
      </c>
      <c r="J21" s="3816">
        <v>31000403</v>
      </c>
      <c r="K21" s="3817" t="s">
        <v>1263</v>
      </c>
      <c r="L21" s="3816" t="s">
        <v>133</v>
      </c>
      <c r="M21" s="3828" t="s">
        <v>133</v>
      </c>
    </row>
    <row r="22" spans="1:13" s="568" customFormat="1" ht="20.25" customHeight="1">
      <c r="A22" s="3867"/>
      <c r="B22" s="3801"/>
      <c r="C22" s="3801"/>
      <c r="D22" s="3801"/>
      <c r="E22" s="3801"/>
      <c r="F22" s="3801"/>
      <c r="G22" s="3865"/>
      <c r="H22" s="569" t="s">
        <v>94</v>
      </c>
      <c r="I22" s="569" t="str">
        <f>A21</f>
        <v>CHTR2</v>
      </c>
      <c r="J22" s="3801"/>
      <c r="K22" s="3806"/>
      <c r="L22" s="3801"/>
      <c r="M22" s="3829"/>
    </row>
    <row r="23" spans="1:13" s="568" customFormat="1" ht="20.25" customHeight="1">
      <c r="A23" s="3798" t="str">
        <f>'2-A All'!A37</f>
        <v>RHTR1</v>
      </c>
      <c r="B23" s="3800" t="str">
        <f>'2-A All'!B37</f>
        <v>Regen Heater 
(39.14 MMBtu/hr)</v>
      </c>
      <c r="C23" s="3800" t="str">
        <f>'2-A All'!C37</f>
        <v>THM</v>
      </c>
      <c r="D23" s="3800" t="str">
        <f>'2-A All'!D37</f>
        <v>N/A</v>
      </c>
      <c r="E23" s="3800" t="str">
        <f>'2-A All'!E37</f>
        <v>TBD</v>
      </c>
      <c r="F23" s="3800" t="str">
        <f>'2-A All'!F37</f>
        <v>39.14 MMBtu/hr</v>
      </c>
      <c r="G23" s="3800" t="str">
        <f>'2-A All'!G37</f>
        <v>39.14 MMBtu/hr</v>
      </c>
      <c r="H23" s="2371" t="s">
        <v>94</v>
      </c>
      <c r="I23" s="567" t="s">
        <v>604</v>
      </c>
      <c r="J23" s="3800">
        <v>31000405</v>
      </c>
      <c r="K23" s="3805" t="s">
        <v>1263</v>
      </c>
      <c r="L23" s="3809" t="s">
        <v>133</v>
      </c>
      <c r="M23" s="3807" t="s">
        <v>133</v>
      </c>
    </row>
    <row r="24" spans="1:13" s="568" customFormat="1" ht="20.25" customHeight="1">
      <c r="A24" s="3799"/>
      <c r="B24" s="3804"/>
      <c r="C24" s="3804"/>
      <c r="D24" s="3804"/>
      <c r="E24" s="3804"/>
      <c r="F24" s="3804"/>
      <c r="G24" s="3804"/>
      <c r="H24" s="569" t="s">
        <v>94</v>
      </c>
      <c r="I24" s="569" t="str">
        <f>A23</f>
        <v>RHTR1</v>
      </c>
      <c r="J24" s="3801"/>
      <c r="K24" s="3806"/>
      <c r="L24" s="3810"/>
      <c r="M24" s="3808"/>
    </row>
    <row r="25" spans="1:13" s="568" customFormat="1" ht="20.25" customHeight="1">
      <c r="A25" s="3798" t="str">
        <f>'2-A All'!A39</f>
        <v>RHTR2</v>
      </c>
      <c r="B25" s="3800" t="str">
        <f>'2-A All'!B39</f>
        <v>Regen Heater
(39.14 MMBtu/hr)</v>
      </c>
      <c r="C25" s="3800" t="str">
        <f>'2-A All'!C39</f>
        <v>THM</v>
      </c>
      <c r="D25" s="3800" t="str">
        <f>'2-A All'!D39</f>
        <v>N/A</v>
      </c>
      <c r="E25" s="3800" t="str">
        <f>'2-A All'!E39</f>
        <v>TBD</v>
      </c>
      <c r="F25" s="3800" t="str">
        <f>'2-A All'!F39</f>
        <v>39.14 MMBtu/hr</v>
      </c>
      <c r="G25" s="3800" t="str">
        <f>'2-A All'!G39</f>
        <v>39.14 MMBtu/hr</v>
      </c>
      <c r="H25" s="2371" t="s">
        <v>94</v>
      </c>
      <c r="I25" s="567" t="s">
        <v>604</v>
      </c>
      <c r="J25" s="3800">
        <v>31000405</v>
      </c>
      <c r="K25" s="3805" t="s">
        <v>1263</v>
      </c>
      <c r="L25" s="3809" t="s">
        <v>133</v>
      </c>
      <c r="M25" s="3807" t="s">
        <v>133</v>
      </c>
    </row>
    <row r="26" spans="1:13" s="568" customFormat="1" ht="20.25" customHeight="1">
      <c r="A26" s="3799"/>
      <c r="B26" s="3804"/>
      <c r="C26" s="3804"/>
      <c r="D26" s="3804"/>
      <c r="E26" s="3804"/>
      <c r="F26" s="3804"/>
      <c r="G26" s="3804"/>
      <c r="H26" s="569" t="s">
        <v>94</v>
      </c>
      <c r="I26" s="569" t="str">
        <f>A25</f>
        <v>RHTR2</v>
      </c>
      <c r="J26" s="3801"/>
      <c r="K26" s="3806"/>
      <c r="L26" s="3810"/>
      <c r="M26" s="3808"/>
    </row>
    <row r="27" spans="1:13" s="568" customFormat="1" ht="20.25" customHeight="1">
      <c r="A27" s="3798" t="str">
        <f>'2-A All'!A41</f>
        <v>RHTR3</v>
      </c>
      <c r="B27" s="3800" t="str">
        <f>'2-A All'!B41</f>
        <v>Regen Heater
(39.14 MMBtu/hr)</v>
      </c>
      <c r="C27" s="3800" t="str">
        <f>'2-A All'!C41</f>
        <v>THM</v>
      </c>
      <c r="D27" s="3800" t="str">
        <f>'2-A All'!D41</f>
        <v>N/A</v>
      </c>
      <c r="E27" s="3800" t="str">
        <f>'2-A All'!E41</f>
        <v>TBD</v>
      </c>
      <c r="F27" s="3800" t="str">
        <f>'2-A All'!F41</f>
        <v>39.14 MMBtu/hr</v>
      </c>
      <c r="G27" s="3800" t="str">
        <f>'2-A All'!G41</f>
        <v>39.14 MMBtu/hr</v>
      </c>
      <c r="H27" s="2371" t="s">
        <v>94</v>
      </c>
      <c r="I27" s="567" t="s">
        <v>604</v>
      </c>
      <c r="J27" s="3800">
        <v>31000405</v>
      </c>
      <c r="K27" s="3805" t="s">
        <v>1263</v>
      </c>
      <c r="L27" s="3809" t="s">
        <v>133</v>
      </c>
      <c r="M27" s="3807" t="s">
        <v>133</v>
      </c>
    </row>
    <row r="28" spans="1:13" s="568" customFormat="1" ht="20.25" customHeight="1">
      <c r="A28" s="3799"/>
      <c r="B28" s="3804"/>
      <c r="C28" s="3804"/>
      <c r="D28" s="3804"/>
      <c r="E28" s="3804"/>
      <c r="F28" s="3804"/>
      <c r="G28" s="3804"/>
      <c r="H28" s="569" t="s">
        <v>94</v>
      </c>
      <c r="I28" s="569" t="str">
        <f>A27</f>
        <v>RHTR3</v>
      </c>
      <c r="J28" s="3801"/>
      <c r="K28" s="3806"/>
      <c r="L28" s="3810"/>
      <c r="M28" s="3808"/>
    </row>
    <row r="29" spans="1:13" s="568" customFormat="1" ht="20.25" customHeight="1">
      <c r="A29" s="3798" t="str">
        <f>'2-A All'!A43</f>
        <v>FL1</v>
      </c>
      <c r="B29" s="3800" t="str">
        <f>'2-A All'!B43</f>
        <v>SSM/Emergency 
Flare 1 
(Dual Tip Flare)</v>
      </c>
      <c r="C29" s="3800" t="str">
        <f>'2-A All'!C43</f>
        <v>Zeeco, Inc.</v>
      </c>
      <c r="D29" s="3800" t="str">
        <f>'2-A All'!D43</f>
        <v>N/A</v>
      </c>
      <c r="E29" s="3800" t="str">
        <f>'2-A All'!E43</f>
        <v>TBD</v>
      </c>
      <c r="F29" s="3800" t="str">
        <f>'2-A All'!F43</f>
        <v>250
MMscfd</v>
      </c>
      <c r="G29" s="3800" t="str">
        <f>'2-A All'!G43</f>
        <v>250
MMscfd</v>
      </c>
      <c r="H29" s="2439" t="s">
        <v>94</v>
      </c>
      <c r="I29" s="2440" t="s">
        <v>604</v>
      </c>
      <c r="J29" s="3863">
        <v>31000160</v>
      </c>
      <c r="K29" s="3817" t="s">
        <v>1263</v>
      </c>
      <c r="L29" s="3818" t="s">
        <v>133</v>
      </c>
      <c r="M29" s="3820" t="s">
        <v>133</v>
      </c>
    </row>
    <row r="30" spans="1:13" s="568" customFormat="1" ht="20.25" customHeight="1">
      <c r="A30" s="3799"/>
      <c r="B30" s="3804"/>
      <c r="C30" s="3804"/>
      <c r="D30" s="3804"/>
      <c r="E30" s="3804"/>
      <c r="F30" s="3804"/>
      <c r="G30" s="3804"/>
      <c r="H30" s="2441" t="s">
        <v>94</v>
      </c>
      <c r="I30" s="2441" t="str">
        <f>A29</f>
        <v>FL1</v>
      </c>
      <c r="J30" s="3812"/>
      <c r="K30" s="3806"/>
      <c r="L30" s="3819"/>
      <c r="M30" s="3821"/>
    </row>
    <row r="31" spans="1:13" s="568" customFormat="1" ht="20.25" customHeight="1">
      <c r="A31" s="3798" t="str">
        <f>'2-A All'!A45</f>
        <v>FL2</v>
      </c>
      <c r="B31" s="3800" t="str">
        <f>'2-A All'!B45</f>
        <v>SSM/Emergency 
Flare 2 
(Dual Tip Flare)</v>
      </c>
      <c r="C31" s="3800" t="str">
        <f>'2-A All'!C45</f>
        <v>Zeeco, Inc.</v>
      </c>
      <c r="D31" s="3800" t="str">
        <f>'2-A All'!D45</f>
        <v>N/A</v>
      </c>
      <c r="E31" s="3800" t="str">
        <f>'2-A All'!E45</f>
        <v>TBD</v>
      </c>
      <c r="F31" s="3800" t="str">
        <f>'2-A All'!F45</f>
        <v>250
MMscfd</v>
      </c>
      <c r="G31" s="3800" t="str">
        <f>'2-A All'!G45</f>
        <v>250
MMscfd</v>
      </c>
      <c r="H31" s="2371" t="s">
        <v>94</v>
      </c>
      <c r="I31" s="567" t="s">
        <v>604</v>
      </c>
      <c r="J31" s="3811">
        <v>31000160</v>
      </c>
      <c r="K31" s="3805" t="s">
        <v>1263</v>
      </c>
      <c r="L31" s="3809" t="s">
        <v>133</v>
      </c>
      <c r="M31" s="3807" t="s">
        <v>133</v>
      </c>
    </row>
    <row r="32" spans="1:13" s="568" customFormat="1" ht="20.25" customHeight="1">
      <c r="A32" s="3799"/>
      <c r="B32" s="3804"/>
      <c r="C32" s="3804"/>
      <c r="D32" s="3804"/>
      <c r="E32" s="3804"/>
      <c r="F32" s="3804"/>
      <c r="G32" s="3804"/>
      <c r="H32" s="569" t="s">
        <v>94</v>
      </c>
      <c r="I32" s="569" t="str">
        <f>A31</f>
        <v>FL2</v>
      </c>
      <c r="J32" s="3812"/>
      <c r="K32" s="3806"/>
      <c r="L32" s="3810"/>
      <c r="M32" s="3808"/>
    </row>
    <row r="33" spans="1:13" s="568" customFormat="1" ht="20.25" customHeight="1">
      <c r="A33" s="3798" t="str">
        <f>'2-A All'!A47</f>
        <v>FL3</v>
      </c>
      <c r="B33" s="3800" t="str">
        <f>'2-A All'!B47</f>
        <v>Backup SSM/Emergency 
Flare 3 
(Dual Tip Flare)</v>
      </c>
      <c r="C33" s="3800" t="str">
        <f>'2-A All'!C47</f>
        <v>Zeeco, Inc.</v>
      </c>
      <c r="D33" s="3800" t="str">
        <f>'2-A All'!D47</f>
        <v>N/A</v>
      </c>
      <c r="E33" s="3800" t="str">
        <f>'2-A All'!E47</f>
        <v>TBD</v>
      </c>
      <c r="F33" s="3800" t="str">
        <f>'2-A All'!F47</f>
        <v>250
MMscfd</v>
      </c>
      <c r="G33" s="3800" t="str">
        <f>'2-A All'!G47</f>
        <v>250
MMscfd</v>
      </c>
      <c r="H33" s="2371" t="s">
        <v>94</v>
      </c>
      <c r="I33" s="567" t="s">
        <v>604</v>
      </c>
      <c r="J33" s="3811">
        <v>31000160</v>
      </c>
      <c r="K33" s="3805" t="s">
        <v>1263</v>
      </c>
      <c r="L33" s="3809" t="s">
        <v>133</v>
      </c>
      <c r="M33" s="3807" t="s">
        <v>133</v>
      </c>
    </row>
    <row r="34" spans="1:13" s="568" customFormat="1" ht="20.25" customHeight="1">
      <c r="A34" s="3799"/>
      <c r="B34" s="3804"/>
      <c r="C34" s="3804"/>
      <c r="D34" s="3804"/>
      <c r="E34" s="3804"/>
      <c r="F34" s="3804"/>
      <c r="G34" s="3804"/>
      <c r="H34" s="569" t="s">
        <v>94</v>
      </c>
      <c r="I34" s="569" t="str">
        <f>A33</f>
        <v>FL3</v>
      </c>
      <c r="J34" s="3812"/>
      <c r="K34" s="3806"/>
      <c r="L34" s="3810"/>
      <c r="M34" s="3808"/>
    </row>
    <row r="35" spans="1:13" s="568" customFormat="1" ht="20.25" customHeight="1">
      <c r="A35" s="3798" t="str">
        <f>'2-A All'!A53</f>
        <v>IFR1</v>
      </c>
      <c r="B35" s="3800" t="str">
        <f>'2-A All'!B53</f>
        <v>Oil Storage 1 (100,000 bbl)</v>
      </c>
      <c r="C35" s="3800" t="str">
        <f>'2-A All'!C53</f>
        <v>Advance Tank</v>
      </c>
      <c r="D35" s="3800" t="str">
        <f>'2-A All'!D53</f>
        <v>N/A</v>
      </c>
      <c r="E35" s="3800" t="str">
        <f>'2-A All'!E53</f>
        <v>TBD</v>
      </c>
      <c r="F35" s="3800" t="str">
        <f>'2-A All'!F53</f>
        <v>100,000 bbl</v>
      </c>
      <c r="G35" s="3800" t="str">
        <f>'2-A All'!G53</f>
        <v>100,000 bbl</v>
      </c>
      <c r="H35" s="2371" t="s">
        <v>94</v>
      </c>
      <c r="I35" s="567" t="s">
        <v>604</v>
      </c>
      <c r="J35" s="3800">
        <v>40400331</v>
      </c>
      <c r="K35" s="3805" t="s">
        <v>1263</v>
      </c>
      <c r="L35" s="3809" t="s">
        <v>133</v>
      </c>
      <c r="M35" s="3807" t="s">
        <v>133</v>
      </c>
    </row>
    <row r="36" spans="1:13" s="568" customFormat="1" ht="20.25" customHeight="1">
      <c r="A36" s="3799"/>
      <c r="B36" s="3804"/>
      <c r="C36" s="3804"/>
      <c r="D36" s="3804"/>
      <c r="E36" s="3804"/>
      <c r="F36" s="3804"/>
      <c r="G36" s="3804"/>
      <c r="H36" s="569" t="s">
        <v>94</v>
      </c>
      <c r="I36" s="569" t="str">
        <f>A35</f>
        <v>IFR1</v>
      </c>
      <c r="J36" s="3804"/>
      <c r="K36" s="3806"/>
      <c r="L36" s="3810"/>
      <c r="M36" s="3808"/>
    </row>
    <row r="37" spans="1:13" s="568" customFormat="1" ht="20.25" customHeight="1">
      <c r="A37" s="3798" t="str">
        <f>'2-A All'!A55</f>
        <v>IFR2</v>
      </c>
      <c r="B37" s="3800" t="str">
        <f>'2-A All'!B55</f>
        <v>Oil Storage 2 (100,000 bbl)</v>
      </c>
      <c r="C37" s="3800" t="str">
        <f>'2-A All'!C55</f>
        <v>Advance Tank</v>
      </c>
      <c r="D37" s="3800" t="str">
        <f>'2-A All'!D55</f>
        <v>N/A</v>
      </c>
      <c r="E37" s="3800" t="str">
        <f>'2-A All'!E55</f>
        <v>TBD</v>
      </c>
      <c r="F37" s="3800" t="str">
        <f>'2-A All'!F55</f>
        <v>100,000 bbl</v>
      </c>
      <c r="G37" s="3800" t="str">
        <f>'2-A All'!G55</f>
        <v>100,000 bbl</v>
      </c>
      <c r="H37" s="2371" t="s">
        <v>94</v>
      </c>
      <c r="I37" s="567" t="s">
        <v>604</v>
      </c>
      <c r="J37" s="3800">
        <v>40400331</v>
      </c>
      <c r="K37" s="3805" t="s">
        <v>1263</v>
      </c>
      <c r="L37" s="3809" t="s">
        <v>133</v>
      </c>
      <c r="M37" s="3807" t="s">
        <v>133</v>
      </c>
    </row>
    <row r="38" spans="1:13" s="568" customFormat="1" ht="20.25" customHeight="1">
      <c r="A38" s="3799"/>
      <c r="B38" s="3804"/>
      <c r="C38" s="3804"/>
      <c r="D38" s="3804"/>
      <c r="E38" s="3804"/>
      <c r="F38" s="3804"/>
      <c r="G38" s="3804"/>
      <c r="H38" s="569" t="s">
        <v>94</v>
      </c>
      <c r="I38" s="569" t="str">
        <f>A37</f>
        <v>IFR2</v>
      </c>
      <c r="J38" s="3804"/>
      <c r="K38" s="3806"/>
      <c r="L38" s="3810"/>
      <c r="M38" s="3808"/>
    </row>
    <row r="39" spans="1:13" s="568" customFormat="1" ht="20.25" customHeight="1">
      <c r="A39" s="3798" t="str">
        <f>'2-A All'!A57</f>
        <v>IFR3</v>
      </c>
      <c r="B39" s="3800" t="str">
        <f>'2-A All'!B57</f>
        <v>Oil Storage 3 (100,000 bbl)</v>
      </c>
      <c r="C39" s="3800" t="str">
        <f>'2-A All'!C57</f>
        <v>Advance Tank</v>
      </c>
      <c r="D39" s="3800" t="str">
        <f>'2-A All'!D57</f>
        <v>N/A</v>
      </c>
      <c r="E39" s="3800" t="str">
        <f>'2-A All'!E57</f>
        <v>TBD</v>
      </c>
      <c r="F39" s="3800" t="str">
        <f>'2-A All'!F57</f>
        <v>100,000 bbl</v>
      </c>
      <c r="G39" s="3800" t="str">
        <f>'2-A All'!G57</f>
        <v>100,000 bbl</v>
      </c>
      <c r="H39" s="2371" t="s">
        <v>94</v>
      </c>
      <c r="I39" s="567" t="s">
        <v>604</v>
      </c>
      <c r="J39" s="3800">
        <v>40400331</v>
      </c>
      <c r="K39" s="3805" t="s">
        <v>1263</v>
      </c>
      <c r="L39" s="3809" t="s">
        <v>133</v>
      </c>
      <c r="M39" s="3807" t="s">
        <v>133</v>
      </c>
    </row>
    <row r="40" spans="1:13" s="568" customFormat="1" ht="20.25" customHeight="1">
      <c r="A40" s="3799"/>
      <c r="B40" s="3804"/>
      <c r="C40" s="3804"/>
      <c r="D40" s="3804"/>
      <c r="E40" s="3804"/>
      <c r="F40" s="3804"/>
      <c r="G40" s="3804"/>
      <c r="H40" s="569" t="s">
        <v>94</v>
      </c>
      <c r="I40" s="569" t="str">
        <f>A39</f>
        <v>IFR3</v>
      </c>
      <c r="J40" s="3804"/>
      <c r="K40" s="3806"/>
      <c r="L40" s="3810"/>
      <c r="M40" s="3808"/>
    </row>
    <row r="41" spans="1:13" s="568" customFormat="1" ht="20.25" customHeight="1">
      <c r="A41" s="3798" t="str">
        <f>'2-A All'!A59</f>
        <v>IFR4</v>
      </c>
      <c r="B41" s="3800" t="str">
        <f>'2-A All'!B59</f>
        <v>Oil Storage 4 (100,000 bbl)</v>
      </c>
      <c r="C41" s="3800" t="str">
        <f>'2-A All'!C59</f>
        <v>Advance Tank</v>
      </c>
      <c r="D41" s="3800" t="str">
        <f>'2-A All'!D59</f>
        <v>N/A</v>
      </c>
      <c r="E41" s="3800" t="str">
        <f>'2-A All'!E59</f>
        <v>TBD</v>
      </c>
      <c r="F41" s="3800" t="str">
        <f>'2-A All'!F59</f>
        <v>100,000 bbl</v>
      </c>
      <c r="G41" s="3800" t="str">
        <f>'2-A All'!G59</f>
        <v>100,000 bbl</v>
      </c>
      <c r="H41" s="2371" t="s">
        <v>94</v>
      </c>
      <c r="I41" s="567" t="s">
        <v>604</v>
      </c>
      <c r="J41" s="3800">
        <v>40400331</v>
      </c>
      <c r="K41" s="3805" t="s">
        <v>1263</v>
      </c>
      <c r="L41" s="3809" t="s">
        <v>133</v>
      </c>
      <c r="M41" s="3807" t="s">
        <v>133</v>
      </c>
    </row>
    <row r="42" spans="1:13" s="568" customFormat="1" ht="20.25" customHeight="1">
      <c r="A42" s="3799"/>
      <c r="B42" s="3804"/>
      <c r="C42" s="3804"/>
      <c r="D42" s="3804"/>
      <c r="E42" s="3804"/>
      <c r="F42" s="3804"/>
      <c r="G42" s="3804"/>
      <c r="H42" s="569" t="s">
        <v>94</v>
      </c>
      <c r="I42" s="569" t="str">
        <f>A41</f>
        <v>IFR4</v>
      </c>
      <c r="J42" s="3804"/>
      <c r="K42" s="3806"/>
      <c r="L42" s="3810"/>
      <c r="M42" s="3808"/>
    </row>
    <row r="43" spans="1:13" s="568" customFormat="1" ht="20.25" customHeight="1">
      <c r="A43" s="3798" t="str">
        <f>'2-A All'!A61</f>
        <v>OTK1</v>
      </c>
      <c r="B43" s="3800" t="str">
        <f>'2-A All'!B61</f>
        <v>3rd-Party Oil Storage 1</v>
      </c>
      <c r="C43" s="3800" t="str">
        <f>'2-A All'!C61</f>
        <v>Advance Tank</v>
      </c>
      <c r="D43" s="3800" t="str">
        <f>'2-A All'!D61</f>
        <v>N/A</v>
      </c>
      <c r="E43" s="3800" t="str">
        <f>'2-A All'!E61</f>
        <v>TBD</v>
      </c>
      <c r="F43" s="3800" t="str">
        <f>'2-A All'!F61</f>
        <v>2,000 bbl</v>
      </c>
      <c r="G43" s="3800" t="str">
        <f>'2-A All'!G61</f>
        <v>2,000 bbl</v>
      </c>
      <c r="H43" s="2371" t="s">
        <v>94</v>
      </c>
      <c r="I43" s="567" t="str">
        <f>A55</f>
        <v>ECD1</v>
      </c>
      <c r="J43" s="3800">
        <v>40400311</v>
      </c>
      <c r="K43" s="3805" t="s">
        <v>1263</v>
      </c>
      <c r="L43" s="3809" t="s">
        <v>133</v>
      </c>
      <c r="M43" s="3807" t="s">
        <v>133</v>
      </c>
    </row>
    <row r="44" spans="1:13" s="568" customFormat="1" ht="20.25" customHeight="1">
      <c r="A44" s="3799"/>
      <c r="B44" s="3804"/>
      <c r="C44" s="3804"/>
      <c r="D44" s="3804"/>
      <c r="E44" s="3804"/>
      <c r="F44" s="3804"/>
      <c r="G44" s="3804"/>
      <c r="H44" s="569" t="s">
        <v>94</v>
      </c>
      <c r="I44" s="569" t="str">
        <f>I43</f>
        <v>ECD1</v>
      </c>
      <c r="J44" s="3804"/>
      <c r="K44" s="3806"/>
      <c r="L44" s="3810"/>
      <c r="M44" s="3808"/>
    </row>
    <row r="45" spans="1:13" s="568" customFormat="1" ht="20.25" customHeight="1">
      <c r="A45" s="3798" t="str">
        <f>'2-A All'!A63</f>
        <v>OTK2</v>
      </c>
      <c r="B45" s="3800" t="str">
        <f>'2-A All'!B63</f>
        <v>3rd-Party Oil Storage 2</v>
      </c>
      <c r="C45" s="3800" t="str">
        <f>'2-A All'!C63</f>
        <v>Advance Tank</v>
      </c>
      <c r="D45" s="3800" t="str">
        <f>'2-A All'!D63</f>
        <v>N/A</v>
      </c>
      <c r="E45" s="3800" t="str">
        <f>'2-A All'!E63</f>
        <v>TBD</v>
      </c>
      <c r="F45" s="3800" t="str">
        <f>'2-A All'!F63</f>
        <v>2,000 bbl</v>
      </c>
      <c r="G45" s="3800" t="str">
        <f>'2-A All'!G63</f>
        <v>2,000 bbl</v>
      </c>
      <c r="H45" s="2371" t="s">
        <v>94</v>
      </c>
      <c r="I45" s="567" t="str">
        <f>A55</f>
        <v>ECD1</v>
      </c>
      <c r="J45" s="3800">
        <v>40400311</v>
      </c>
      <c r="K45" s="3805" t="s">
        <v>1263</v>
      </c>
      <c r="L45" s="3809" t="s">
        <v>133</v>
      </c>
      <c r="M45" s="3807" t="s">
        <v>133</v>
      </c>
    </row>
    <row r="46" spans="1:13" s="568" customFormat="1" ht="20.25" customHeight="1">
      <c r="A46" s="3799"/>
      <c r="B46" s="3804"/>
      <c r="C46" s="3804"/>
      <c r="D46" s="3804"/>
      <c r="E46" s="3804"/>
      <c r="F46" s="3804"/>
      <c r="G46" s="3804"/>
      <c r="H46" s="569" t="s">
        <v>94</v>
      </c>
      <c r="I46" s="569" t="str">
        <f>I45</f>
        <v>ECD1</v>
      </c>
      <c r="J46" s="3804"/>
      <c r="K46" s="3806"/>
      <c r="L46" s="3810"/>
      <c r="M46" s="3808"/>
    </row>
    <row r="47" spans="1:13" s="568" customFormat="1" ht="20.25" customHeight="1">
      <c r="A47" s="3798" t="str">
        <f>'2-A All'!A65</f>
        <v>OTK3</v>
      </c>
      <c r="B47" s="3800" t="str">
        <f>'2-A All'!B65</f>
        <v>3rd-Party Oil Storage 3</v>
      </c>
      <c r="C47" s="3800" t="str">
        <f>'2-A All'!C65</f>
        <v>Advance Tank</v>
      </c>
      <c r="D47" s="3800" t="str">
        <f>'2-A All'!D65</f>
        <v>N/A</v>
      </c>
      <c r="E47" s="3800" t="str">
        <f>'2-A All'!E65</f>
        <v>TBD</v>
      </c>
      <c r="F47" s="3800" t="str">
        <f>'2-A All'!F65</f>
        <v>2,000 bbl</v>
      </c>
      <c r="G47" s="3800" t="str">
        <f>'2-A All'!G65</f>
        <v>2,000 bbl</v>
      </c>
      <c r="H47" s="2371" t="s">
        <v>94</v>
      </c>
      <c r="I47" s="567" t="str">
        <f>A55</f>
        <v>ECD1</v>
      </c>
      <c r="J47" s="3800">
        <v>40400311</v>
      </c>
      <c r="K47" s="3805" t="s">
        <v>1263</v>
      </c>
      <c r="L47" s="3809" t="s">
        <v>133</v>
      </c>
      <c r="M47" s="3807" t="s">
        <v>133</v>
      </c>
    </row>
    <row r="48" spans="1:13" s="568" customFormat="1" ht="20.25" customHeight="1">
      <c r="A48" s="3799"/>
      <c r="B48" s="3804"/>
      <c r="C48" s="3804"/>
      <c r="D48" s="3804"/>
      <c r="E48" s="3804"/>
      <c r="F48" s="3804"/>
      <c r="G48" s="3804"/>
      <c r="H48" s="569" t="s">
        <v>94</v>
      </c>
      <c r="I48" s="569" t="str">
        <f>I47</f>
        <v>ECD1</v>
      </c>
      <c r="J48" s="3804"/>
      <c r="K48" s="3806"/>
      <c r="L48" s="3810"/>
      <c r="M48" s="3808"/>
    </row>
    <row r="49" spans="1:13" s="568" customFormat="1" ht="20.25" customHeight="1">
      <c r="A49" s="3798" t="str">
        <f>'2-A All'!A67</f>
        <v>OTK4</v>
      </c>
      <c r="B49" s="3800" t="str">
        <f>'2-A All'!B67</f>
        <v>3rd-Party Oil Storage 4</v>
      </c>
      <c r="C49" s="3800" t="str">
        <f>'2-A All'!C67</f>
        <v>Advance Tank</v>
      </c>
      <c r="D49" s="3800" t="str">
        <f>'2-A All'!D67</f>
        <v>N/A</v>
      </c>
      <c r="E49" s="3800" t="str">
        <f>'2-A All'!E67</f>
        <v>TBD</v>
      </c>
      <c r="F49" s="3800" t="str">
        <f>'2-A All'!F67</f>
        <v>2,000 bbl</v>
      </c>
      <c r="G49" s="3800" t="str">
        <f>'2-A All'!G67</f>
        <v>2,000 bbl</v>
      </c>
      <c r="H49" s="2371" t="s">
        <v>94</v>
      </c>
      <c r="I49" s="567" t="str">
        <f>A55</f>
        <v>ECD1</v>
      </c>
      <c r="J49" s="3800">
        <v>40400311</v>
      </c>
      <c r="K49" s="3805" t="s">
        <v>1263</v>
      </c>
      <c r="L49" s="3809" t="s">
        <v>133</v>
      </c>
      <c r="M49" s="3807" t="s">
        <v>133</v>
      </c>
    </row>
    <row r="50" spans="1:13" s="568" customFormat="1" ht="20.25" customHeight="1">
      <c r="A50" s="3799"/>
      <c r="B50" s="3804"/>
      <c r="C50" s="3804"/>
      <c r="D50" s="3804"/>
      <c r="E50" s="3804"/>
      <c r="F50" s="3804"/>
      <c r="G50" s="3804"/>
      <c r="H50" s="569" t="s">
        <v>94</v>
      </c>
      <c r="I50" s="569" t="str">
        <f>I49</f>
        <v>ECD1</v>
      </c>
      <c r="J50" s="3804"/>
      <c r="K50" s="3806"/>
      <c r="L50" s="3810"/>
      <c r="M50" s="3808"/>
    </row>
    <row r="51" spans="1:13" s="568" customFormat="1" ht="20.25" customHeight="1">
      <c r="A51" s="3798" t="str">
        <f>'2-A All'!A69</f>
        <v>OTK5</v>
      </c>
      <c r="B51" s="3800" t="str">
        <f>'2-A All'!B69</f>
        <v>3rd-Party Oil Storage 5</v>
      </c>
      <c r="C51" s="3800" t="str">
        <f>'2-A All'!C69</f>
        <v>Advance Tank</v>
      </c>
      <c r="D51" s="3800" t="str">
        <f>'2-A All'!D69</f>
        <v>N/A</v>
      </c>
      <c r="E51" s="3800" t="str">
        <f>'2-A All'!E69</f>
        <v>TBD</v>
      </c>
      <c r="F51" s="3800" t="str">
        <f>'2-A All'!F69</f>
        <v>2,000 bbl</v>
      </c>
      <c r="G51" s="3800" t="str">
        <f>'2-A All'!G69</f>
        <v>2,000 bbl</v>
      </c>
      <c r="H51" s="2371" t="s">
        <v>94</v>
      </c>
      <c r="I51" s="567" t="str">
        <f>A55</f>
        <v>ECD1</v>
      </c>
      <c r="J51" s="3800">
        <v>40400311</v>
      </c>
      <c r="K51" s="3805" t="s">
        <v>1263</v>
      </c>
      <c r="L51" s="3809" t="s">
        <v>133</v>
      </c>
      <c r="M51" s="3807" t="s">
        <v>133</v>
      </c>
    </row>
    <row r="52" spans="1:13" s="568" customFormat="1" ht="20.25" customHeight="1">
      <c r="A52" s="3799"/>
      <c r="B52" s="3804"/>
      <c r="C52" s="3804"/>
      <c r="D52" s="3804"/>
      <c r="E52" s="3804"/>
      <c r="F52" s="3804"/>
      <c r="G52" s="3804"/>
      <c r="H52" s="569" t="s">
        <v>94</v>
      </c>
      <c r="I52" s="569" t="str">
        <f>I51</f>
        <v>ECD1</v>
      </c>
      <c r="J52" s="3804"/>
      <c r="K52" s="3806"/>
      <c r="L52" s="3810"/>
      <c r="M52" s="3808"/>
    </row>
    <row r="53" spans="1:13" s="568" customFormat="1" ht="20.25" customHeight="1">
      <c r="A53" s="3798" t="str">
        <f>'2-A All'!A71</f>
        <v>OTK6</v>
      </c>
      <c r="B53" s="3800" t="str">
        <f>'2-A All'!B71</f>
        <v>3rd-Party Oil Storage 6</v>
      </c>
      <c r="C53" s="3800" t="str">
        <f>'2-A All'!C71</f>
        <v>Advance Tank</v>
      </c>
      <c r="D53" s="3800" t="str">
        <f>'2-A All'!D71</f>
        <v>N/A</v>
      </c>
      <c r="E53" s="3800" t="str">
        <f>'2-A All'!E71</f>
        <v>TBD</v>
      </c>
      <c r="F53" s="3800" t="str">
        <f>'2-A All'!F71</f>
        <v>2,000 bbl</v>
      </c>
      <c r="G53" s="3800" t="str">
        <f>'2-A All'!G71</f>
        <v>2,000 bbl</v>
      </c>
      <c r="H53" s="2371" t="s">
        <v>94</v>
      </c>
      <c r="I53" s="567" t="str">
        <f>A55</f>
        <v>ECD1</v>
      </c>
      <c r="J53" s="3800">
        <v>40400311</v>
      </c>
      <c r="K53" s="3805" t="s">
        <v>1263</v>
      </c>
      <c r="L53" s="3809" t="s">
        <v>133</v>
      </c>
      <c r="M53" s="3807" t="s">
        <v>133</v>
      </c>
    </row>
    <row r="54" spans="1:13" s="568" customFormat="1" ht="20.25" customHeight="1">
      <c r="A54" s="3799"/>
      <c r="B54" s="3804"/>
      <c r="C54" s="3804"/>
      <c r="D54" s="3804"/>
      <c r="E54" s="3804"/>
      <c r="F54" s="3804"/>
      <c r="G54" s="3804"/>
      <c r="H54" s="569" t="s">
        <v>94</v>
      </c>
      <c r="I54" s="569" t="str">
        <f>I53</f>
        <v>ECD1</v>
      </c>
      <c r="J54" s="3804"/>
      <c r="K54" s="3806"/>
      <c r="L54" s="3810"/>
      <c r="M54" s="3808"/>
    </row>
    <row r="55" spans="1:13" s="568" customFormat="1" ht="20.25" customHeight="1">
      <c r="A55" s="3798" t="str">
        <f>'2-A All'!A73</f>
        <v>ECD1</v>
      </c>
      <c r="B55" s="3800" t="str">
        <f>'2-A All'!B73</f>
        <v>Combustor</v>
      </c>
      <c r="C55" s="3800" t="str">
        <f>'2-A All'!C73</f>
        <v>Zeeco, Inc.</v>
      </c>
      <c r="D55" s="3800" t="str">
        <f>'2-A All'!D73</f>
        <v>N/A</v>
      </c>
      <c r="E55" s="3800" t="str">
        <f>'2-A All'!E73</f>
        <v>TBD</v>
      </c>
      <c r="F55" s="3800" t="str">
        <f>'2-A All'!F73</f>
        <v>N/A</v>
      </c>
      <c r="G55" s="3800" t="str">
        <f>'2-A All'!G73</f>
        <v>N/A</v>
      </c>
      <c r="H55" s="2371" t="s">
        <v>94</v>
      </c>
      <c r="I55" s="567" t="s">
        <v>604</v>
      </c>
      <c r="J55" s="3811">
        <v>31000209</v>
      </c>
      <c r="K55" s="3805" t="s">
        <v>1263</v>
      </c>
      <c r="L55" s="3809" t="s">
        <v>133</v>
      </c>
      <c r="M55" s="3807" t="s">
        <v>133</v>
      </c>
    </row>
    <row r="56" spans="1:13" s="568" customFormat="1" ht="20.25" customHeight="1">
      <c r="A56" s="3799"/>
      <c r="B56" s="3804"/>
      <c r="C56" s="3804"/>
      <c r="D56" s="3804"/>
      <c r="E56" s="3804"/>
      <c r="F56" s="3804"/>
      <c r="G56" s="3804"/>
      <c r="H56" s="569" t="s">
        <v>94</v>
      </c>
      <c r="I56" s="569" t="str">
        <f>A55</f>
        <v>ECD1</v>
      </c>
      <c r="J56" s="3812"/>
      <c r="K56" s="3806"/>
      <c r="L56" s="3810"/>
      <c r="M56" s="3808"/>
    </row>
    <row r="57" spans="1:13" s="568" customFormat="1" ht="20.25" customHeight="1">
      <c r="A57" s="3798" t="str">
        <f>'2-A All'!A75</f>
        <v>TO1</v>
      </c>
      <c r="B57" s="3800" t="str">
        <f>'2-A All'!B75</f>
        <v>Thermal Oxidizer</v>
      </c>
      <c r="C57" s="3800" t="str">
        <f>'2-A All'!C75</f>
        <v>Zeeco, Inc.</v>
      </c>
      <c r="D57" s="3800" t="str">
        <f>'2-A All'!D75</f>
        <v>N/A</v>
      </c>
      <c r="E57" s="3800" t="str">
        <f>'2-A All'!E75</f>
        <v>TBD</v>
      </c>
      <c r="F57" s="3800" t="str">
        <f>'2-A All'!F75</f>
        <v xml:space="preserve">31.5 MMBtu/hr </v>
      </c>
      <c r="G57" s="3800" t="str">
        <f>'2-A All'!G75</f>
        <v xml:space="preserve">31.5 MMBtu/hr </v>
      </c>
      <c r="H57" s="2371" t="s">
        <v>94</v>
      </c>
      <c r="I57" s="567" t="s">
        <v>604</v>
      </c>
      <c r="J57" s="3811">
        <v>31000209</v>
      </c>
      <c r="K57" s="3805" t="s">
        <v>1263</v>
      </c>
      <c r="L57" s="3809" t="s">
        <v>133</v>
      </c>
      <c r="M57" s="3807" t="s">
        <v>133</v>
      </c>
    </row>
    <row r="58" spans="1:13" s="568" customFormat="1" ht="20.25" customHeight="1">
      <c r="A58" s="3799"/>
      <c r="B58" s="3804"/>
      <c r="C58" s="3804"/>
      <c r="D58" s="3804"/>
      <c r="E58" s="3804"/>
      <c r="F58" s="3804"/>
      <c r="G58" s="3804"/>
      <c r="H58" s="569" t="s">
        <v>94</v>
      </c>
      <c r="I58" s="569" t="str">
        <f>A57</f>
        <v>TO1</v>
      </c>
      <c r="J58" s="3812"/>
      <c r="K58" s="3806"/>
      <c r="L58" s="3810"/>
      <c r="M58" s="3808"/>
    </row>
    <row r="59" spans="1:13" s="568" customFormat="1" ht="20.25" customHeight="1">
      <c r="A59" s="3798" t="str">
        <f>'2-A All'!A77</f>
        <v>TO2</v>
      </c>
      <c r="B59" s="3800" t="str">
        <f>'2-A All'!B77</f>
        <v>Thermal Oxidizer</v>
      </c>
      <c r="C59" s="3800" t="str">
        <f>'2-A All'!C77</f>
        <v>Zeeco, Inc.</v>
      </c>
      <c r="D59" s="3800" t="str">
        <f>'2-A All'!D77</f>
        <v>N/A</v>
      </c>
      <c r="E59" s="3800" t="str">
        <f>'2-A All'!E77</f>
        <v>TBD</v>
      </c>
      <c r="F59" s="3800" t="str">
        <f>'2-A All'!F77</f>
        <v xml:space="preserve">31.5 MMBtu/hr </v>
      </c>
      <c r="G59" s="3800" t="str">
        <f>'2-A All'!G77</f>
        <v xml:space="preserve">31.5 MMBtu/hr </v>
      </c>
      <c r="H59" s="2371" t="s">
        <v>94</v>
      </c>
      <c r="I59" s="567" t="s">
        <v>604</v>
      </c>
      <c r="J59" s="3811">
        <v>31000209</v>
      </c>
      <c r="K59" s="3805" t="s">
        <v>1263</v>
      </c>
      <c r="L59" s="3809" t="s">
        <v>133</v>
      </c>
      <c r="M59" s="3807" t="s">
        <v>133</v>
      </c>
    </row>
    <row r="60" spans="1:13" s="568" customFormat="1" ht="20.25" customHeight="1">
      <c r="A60" s="3799"/>
      <c r="B60" s="3804"/>
      <c r="C60" s="3804"/>
      <c r="D60" s="3804"/>
      <c r="E60" s="3804"/>
      <c r="F60" s="3804"/>
      <c r="G60" s="3804"/>
      <c r="H60" s="569" t="s">
        <v>94</v>
      </c>
      <c r="I60" s="569" t="str">
        <f>A59</f>
        <v>TO2</v>
      </c>
      <c r="J60" s="3815"/>
      <c r="K60" s="3806"/>
      <c r="L60" s="3810"/>
      <c r="M60" s="3808"/>
    </row>
    <row r="61" spans="1:13" s="568" customFormat="1" ht="20.25" customHeight="1">
      <c r="A61" s="3798" t="str">
        <f>'2-A All'!A79</f>
        <v>TO3</v>
      </c>
      <c r="B61" s="3800" t="str">
        <f>'2-A All'!B79</f>
        <v>Thermal Oxidizer</v>
      </c>
      <c r="C61" s="3800" t="str">
        <f>'2-A All'!C79</f>
        <v>Zeeco, Inc.</v>
      </c>
      <c r="D61" s="3800" t="str">
        <f>'2-A All'!D79</f>
        <v>N/A</v>
      </c>
      <c r="E61" s="3800" t="str">
        <f>'2-A All'!E79</f>
        <v>TBD</v>
      </c>
      <c r="F61" s="3800" t="str">
        <f>'2-A All'!F79</f>
        <v xml:space="preserve">31.5 MMBtu/hr </v>
      </c>
      <c r="G61" s="3800" t="str">
        <f>'2-A All'!G79</f>
        <v xml:space="preserve">31.5 MMBtu/hr </v>
      </c>
      <c r="H61" s="2371" t="s">
        <v>94</v>
      </c>
      <c r="I61" s="567" t="s">
        <v>604</v>
      </c>
      <c r="J61" s="3811">
        <v>31000209</v>
      </c>
      <c r="K61" s="3805" t="s">
        <v>1263</v>
      </c>
      <c r="L61" s="3809" t="s">
        <v>133</v>
      </c>
      <c r="M61" s="3807" t="s">
        <v>133</v>
      </c>
    </row>
    <row r="62" spans="1:13" s="568" customFormat="1" ht="20.25" customHeight="1">
      <c r="A62" s="3799"/>
      <c r="B62" s="3804"/>
      <c r="C62" s="3804"/>
      <c r="D62" s="3804"/>
      <c r="E62" s="3804"/>
      <c r="F62" s="3804"/>
      <c r="G62" s="3804"/>
      <c r="H62" s="569" t="s">
        <v>94</v>
      </c>
      <c r="I62" s="569" t="str">
        <f>A61</f>
        <v>TO3</v>
      </c>
      <c r="J62" s="3815"/>
      <c r="K62" s="3806"/>
      <c r="L62" s="3810"/>
      <c r="M62" s="3808"/>
    </row>
    <row r="63" spans="1:13" s="568" customFormat="1" ht="20.25" customHeight="1">
      <c r="A63" s="3798" t="str">
        <f>'2-A All'!A81</f>
        <v>FUG</v>
      </c>
      <c r="B63" s="3800" t="str">
        <f>'2-A All'!B81</f>
        <v>Fugitives</v>
      </c>
      <c r="C63" s="3800" t="str">
        <f>'2-A All'!C81</f>
        <v>N/A</v>
      </c>
      <c r="D63" s="3800" t="str">
        <f>'2-A All'!D81</f>
        <v>N/A</v>
      </c>
      <c r="E63" s="3800" t="str">
        <f>'2-A All'!E81</f>
        <v>N/A</v>
      </c>
      <c r="F63" s="3800" t="str">
        <f>'2-A All'!F81</f>
        <v>N/A</v>
      </c>
      <c r="G63" s="3800" t="str">
        <f>'2-A All'!G81</f>
        <v>N/A</v>
      </c>
      <c r="H63" s="2371" t="s">
        <v>94</v>
      </c>
      <c r="I63" s="567" t="s">
        <v>604</v>
      </c>
      <c r="J63" s="3811">
        <v>31088811</v>
      </c>
      <c r="K63" s="3805" t="s">
        <v>1263</v>
      </c>
      <c r="L63" s="3809" t="s">
        <v>133</v>
      </c>
      <c r="M63" s="3807" t="s">
        <v>133</v>
      </c>
    </row>
    <row r="64" spans="1:13" s="568" customFormat="1" ht="20.25" customHeight="1">
      <c r="A64" s="3799"/>
      <c r="B64" s="3804"/>
      <c r="C64" s="3804"/>
      <c r="D64" s="3804"/>
      <c r="E64" s="3804"/>
      <c r="F64" s="3804"/>
      <c r="G64" s="3804"/>
      <c r="H64" s="569" t="s">
        <v>94</v>
      </c>
      <c r="I64" s="569" t="str">
        <f>A63</f>
        <v>FUG</v>
      </c>
      <c r="J64" s="3812"/>
      <c r="K64" s="3806"/>
      <c r="L64" s="3810"/>
      <c r="M64" s="3808"/>
    </row>
    <row r="65" spans="1:13" s="568" customFormat="1" ht="20.25" customHeight="1">
      <c r="A65" s="3798" t="str">
        <f>'2-A All'!A83</f>
        <v>SSM</v>
      </c>
      <c r="B65" s="3800" t="str">
        <f>'2-A All'!B83</f>
        <v>Storage Tank SSM Emissions</v>
      </c>
      <c r="C65" s="3800" t="str">
        <f>'2-A All'!C83</f>
        <v>N/A</v>
      </c>
      <c r="D65" s="3800" t="str">
        <f>'2-A All'!D83</f>
        <v>N/A</v>
      </c>
      <c r="E65" s="3800" t="str">
        <f>'2-A All'!E83</f>
        <v>N/A</v>
      </c>
      <c r="F65" s="3800" t="str">
        <f>'2-A All'!F83</f>
        <v>N/A</v>
      </c>
      <c r="G65" s="3800" t="str">
        <f>'2-A All'!G83</f>
        <v>N/A</v>
      </c>
      <c r="H65" s="2371" t="s">
        <v>94</v>
      </c>
      <c r="I65" s="567" t="s">
        <v>604</v>
      </c>
      <c r="J65" s="3811">
        <v>31088811</v>
      </c>
      <c r="K65" s="3805" t="s">
        <v>1263</v>
      </c>
      <c r="L65" s="3809" t="s">
        <v>133</v>
      </c>
      <c r="M65" s="3807" t="s">
        <v>133</v>
      </c>
    </row>
    <row r="66" spans="1:13" s="568" customFormat="1" ht="20.25" customHeight="1">
      <c r="A66" s="3799"/>
      <c r="B66" s="3804"/>
      <c r="C66" s="3804"/>
      <c r="D66" s="3804"/>
      <c r="E66" s="3804"/>
      <c r="F66" s="3804"/>
      <c r="G66" s="3804"/>
      <c r="H66" s="569" t="s">
        <v>94</v>
      </c>
      <c r="I66" s="569" t="str">
        <f>A65</f>
        <v>SSM</v>
      </c>
      <c r="J66" s="3812"/>
      <c r="K66" s="3806"/>
      <c r="L66" s="3810"/>
      <c r="M66" s="3808"/>
    </row>
    <row r="67" spans="1:13" s="568" customFormat="1" ht="20.25" customHeight="1">
      <c r="A67" s="3798" t="str">
        <f>'2-A All'!A85</f>
        <v>ROAD</v>
      </c>
      <c r="B67" s="3800" t="str">
        <f>'2-A All'!B85</f>
        <v>Haul Road Fugitives</v>
      </c>
      <c r="C67" s="3800" t="str">
        <f>'2-A All'!C85</f>
        <v>N/A</v>
      </c>
      <c r="D67" s="3800" t="str">
        <f>'2-A All'!D85</f>
        <v>N/A</v>
      </c>
      <c r="E67" s="3800" t="str">
        <f>'2-A All'!E85</f>
        <v>N/A</v>
      </c>
      <c r="F67" s="3800" t="str">
        <f>'2-A All'!F85</f>
        <v>N/A</v>
      </c>
      <c r="G67" s="3800" t="str">
        <f>'2-A All'!G85</f>
        <v>N/A</v>
      </c>
      <c r="H67" s="2371" t="s">
        <v>94</v>
      </c>
      <c r="I67" s="567" t="s">
        <v>604</v>
      </c>
      <c r="J67" s="3811">
        <v>31088811</v>
      </c>
      <c r="K67" s="3805" t="s">
        <v>1263</v>
      </c>
      <c r="L67" s="3809" t="s">
        <v>133</v>
      </c>
      <c r="M67" s="3807" t="s">
        <v>133</v>
      </c>
    </row>
    <row r="68" spans="1:13" s="568" customFormat="1" ht="20.25" customHeight="1">
      <c r="A68" s="3799"/>
      <c r="B68" s="3804"/>
      <c r="C68" s="3804"/>
      <c r="D68" s="3804"/>
      <c r="E68" s="3804"/>
      <c r="F68" s="3804"/>
      <c r="G68" s="3804"/>
      <c r="H68" s="569" t="s">
        <v>94</v>
      </c>
      <c r="I68" s="569" t="str">
        <f>A67</f>
        <v>ROAD</v>
      </c>
      <c r="J68" s="3812"/>
      <c r="K68" s="3806"/>
      <c r="L68" s="3810"/>
      <c r="M68" s="3808"/>
    </row>
    <row r="69" spans="1:13" s="568" customFormat="1" ht="20.25" customHeight="1">
      <c r="A69" s="3798" t="str">
        <f>'2-A All'!A87</f>
        <v>PWTK1</v>
      </c>
      <c r="B69" s="3800" t="str">
        <f>'2-A All'!B87</f>
        <v>Produced Water Tank 1</v>
      </c>
      <c r="C69" s="3800" t="str">
        <f>'2-A All'!C87</f>
        <v>TBD</v>
      </c>
      <c r="D69" s="3800" t="str">
        <f>'2-A All'!D87</f>
        <v>N/A</v>
      </c>
      <c r="E69" s="3800" t="str">
        <f>'2-A All'!E87</f>
        <v>TBD</v>
      </c>
      <c r="F69" s="3800" t="str">
        <f>'2-A All'!F87</f>
        <v>750 bbl</v>
      </c>
      <c r="G69" s="3800" t="str">
        <f>'2-A All'!G87</f>
        <v>750 bbl</v>
      </c>
      <c r="H69" s="2371" t="s">
        <v>94</v>
      </c>
      <c r="I69" s="567" t="str">
        <f>A55</f>
        <v>ECD1</v>
      </c>
      <c r="J69" s="3800">
        <v>40400315</v>
      </c>
      <c r="K69" s="3805" t="s">
        <v>1263</v>
      </c>
      <c r="L69" s="3809" t="s">
        <v>133</v>
      </c>
      <c r="M69" s="3807" t="s">
        <v>133</v>
      </c>
    </row>
    <row r="70" spans="1:13" s="568" customFormat="1" ht="20.25" customHeight="1">
      <c r="A70" s="3799"/>
      <c r="B70" s="3804"/>
      <c r="C70" s="3804"/>
      <c r="D70" s="3804"/>
      <c r="E70" s="3804"/>
      <c r="F70" s="3804"/>
      <c r="G70" s="3804"/>
      <c r="H70" s="569" t="s">
        <v>94</v>
      </c>
      <c r="I70" s="569" t="str">
        <f>I69</f>
        <v>ECD1</v>
      </c>
      <c r="J70" s="3804"/>
      <c r="K70" s="3806"/>
      <c r="L70" s="3810"/>
      <c r="M70" s="3808"/>
    </row>
    <row r="71" spans="1:13" s="568" customFormat="1" ht="20.25" customHeight="1">
      <c r="A71" s="3798" t="str">
        <f>'2-A All'!A89</f>
        <v>PWTK2</v>
      </c>
      <c r="B71" s="3800" t="str">
        <f>'2-A All'!B89</f>
        <v>Produced Water Tank 2</v>
      </c>
      <c r="C71" s="3800" t="str">
        <f>'2-A All'!C89</f>
        <v>TBD</v>
      </c>
      <c r="D71" s="3800" t="str">
        <f>'2-A All'!D89</f>
        <v>N/A</v>
      </c>
      <c r="E71" s="3800" t="str">
        <f>'2-A All'!E89</f>
        <v>TBD</v>
      </c>
      <c r="F71" s="3800" t="str">
        <f>'2-A All'!F89</f>
        <v>750 bbl</v>
      </c>
      <c r="G71" s="3800" t="str">
        <f>'2-A All'!G89</f>
        <v>750 bbl</v>
      </c>
      <c r="H71" s="2371" t="s">
        <v>94</v>
      </c>
      <c r="I71" s="567" t="str">
        <f>A55</f>
        <v>ECD1</v>
      </c>
      <c r="J71" s="3800">
        <v>40400315</v>
      </c>
      <c r="K71" s="3805" t="s">
        <v>1263</v>
      </c>
      <c r="L71" s="3809" t="s">
        <v>133</v>
      </c>
      <c r="M71" s="3807" t="s">
        <v>133</v>
      </c>
    </row>
    <row r="72" spans="1:13" s="568" customFormat="1" ht="20.25" customHeight="1">
      <c r="A72" s="3799"/>
      <c r="B72" s="3804"/>
      <c r="C72" s="3804"/>
      <c r="D72" s="3804"/>
      <c r="E72" s="3804"/>
      <c r="F72" s="3804"/>
      <c r="G72" s="3804"/>
      <c r="H72" s="569" t="s">
        <v>94</v>
      </c>
      <c r="I72" s="569" t="str">
        <f>I71</f>
        <v>ECD1</v>
      </c>
      <c r="J72" s="3804"/>
      <c r="K72" s="3806"/>
      <c r="L72" s="3810"/>
      <c r="M72" s="3808"/>
    </row>
    <row r="73" spans="1:13" s="568" customFormat="1" ht="20.25" customHeight="1">
      <c r="A73" s="3798" t="str">
        <f>'2-A All'!A91</f>
        <v>PWTL</v>
      </c>
      <c r="B73" s="3800" t="str">
        <f>'2-A All'!B91</f>
        <v>Produced Water Loading</v>
      </c>
      <c r="C73" s="3800" t="str">
        <f>'2-A All'!C91</f>
        <v>N/A</v>
      </c>
      <c r="D73" s="3800" t="str">
        <f>'2-A All'!D91</f>
        <v>N/A</v>
      </c>
      <c r="E73" s="3800" t="str">
        <f>'2-A All'!E91</f>
        <v>N/A</v>
      </c>
      <c r="F73" s="3800" t="str">
        <f>'2-A All'!F91</f>
        <v>N/A</v>
      </c>
      <c r="G73" s="3800" t="str">
        <f>'2-A All'!G91</f>
        <v>10,308 bbl/day</v>
      </c>
      <c r="H73" s="2371" t="s">
        <v>94</v>
      </c>
      <c r="I73" s="567" t="s">
        <v>604</v>
      </c>
      <c r="J73" s="3814">
        <v>40400250</v>
      </c>
      <c r="K73" s="3805" t="s">
        <v>1263</v>
      </c>
      <c r="L73" s="3809" t="s">
        <v>133</v>
      </c>
      <c r="M73" s="3807" t="s">
        <v>133</v>
      </c>
    </row>
    <row r="74" spans="1:13" s="568" customFormat="1" ht="20.25" customHeight="1">
      <c r="A74" s="3799"/>
      <c r="B74" s="3804"/>
      <c r="C74" s="3804"/>
      <c r="D74" s="3804"/>
      <c r="E74" s="3804"/>
      <c r="F74" s="3804"/>
      <c r="G74" s="3804"/>
      <c r="H74" s="569" t="s">
        <v>94</v>
      </c>
      <c r="I74" s="569" t="str">
        <f>A73</f>
        <v>PWTL</v>
      </c>
      <c r="J74" s="3815"/>
      <c r="K74" s="3806"/>
      <c r="L74" s="3810"/>
      <c r="M74" s="3808"/>
    </row>
    <row r="75" spans="1:13" s="568" customFormat="1" ht="20.25" customHeight="1">
      <c r="A75" s="3798" t="str">
        <f>'2-A All'!A93</f>
        <v>OTL</v>
      </c>
      <c r="B75" s="3800" t="str">
        <f>'2-A All'!B93</f>
        <v>Slop Oil Loading</v>
      </c>
      <c r="C75" s="3800" t="str">
        <f>'2-A All'!C93</f>
        <v>N/A</v>
      </c>
      <c r="D75" s="3800" t="str">
        <f>'2-A All'!D93</f>
        <v>N/A</v>
      </c>
      <c r="E75" s="3800" t="str">
        <f>'2-A All'!E93</f>
        <v>N/A</v>
      </c>
      <c r="F75" s="3800" t="str">
        <f>'2-A All'!F93</f>
        <v>210 bbl/day</v>
      </c>
      <c r="G75" s="3800" t="str">
        <f>'2-A All'!G93</f>
        <v>210 bbl/day</v>
      </c>
      <c r="H75" s="2371" t="s">
        <v>94</v>
      </c>
      <c r="I75" s="567" t="s">
        <v>604</v>
      </c>
      <c r="J75" s="3814">
        <v>40400250</v>
      </c>
      <c r="K75" s="3805" t="s">
        <v>1263</v>
      </c>
      <c r="L75" s="3809" t="s">
        <v>133</v>
      </c>
      <c r="M75" s="3807" t="s">
        <v>133</v>
      </c>
    </row>
    <row r="76" spans="1:13" s="568" customFormat="1" ht="20.25" customHeight="1">
      <c r="A76" s="3799"/>
      <c r="B76" s="3804"/>
      <c r="C76" s="3804"/>
      <c r="D76" s="3804"/>
      <c r="E76" s="3804"/>
      <c r="F76" s="3804"/>
      <c r="G76" s="3804"/>
      <c r="H76" s="569" t="s">
        <v>94</v>
      </c>
      <c r="I76" s="569" t="str">
        <f>A75</f>
        <v>OTL</v>
      </c>
      <c r="J76" s="3815"/>
      <c r="K76" s="3806"/>
      <c r="L76" s="3810"/>
      <c r="M76" s="3808"/>
    </row>
    <row r="77" spans="1:13" s="568" customFormat="1" ht="20.25" customHeight="1">
      <c r="A77" s="3798" t="str">
        <f>'2-A All'!A95</f>
        <v>AU1</v>
      </c>
      <c r="B77" s="3800" t="str">
        <f>'2-A All'!B95</f>
        <v>Amine Unit 1</v>
      </c>
      <c r="C77" s="3800" t="str">
        <f>'2-A All'!C95</f>
        <v>TBD</v>
      </c>
      <c r="D77" s="3800" t="str">
        <f>'2-A All'!D95</f>
        <v>N/A</v>
      </c>
      <c r="E77" s="3800" t="str">
        <f>'2-A All'!E95</f>
        <v>TBD</v>
      </c>
      <c r="F77" s="3800" t="str">
        <f>'2-A All'!F95</f>
        <v>250 MMSCFD</v>
      </c>
      <c r="G77" s="3800" t="str">
        <f>'2-A All'!G95</f>
        <v>250 MMSCFD</v>
      </c>
      <c r="H77" s="2371" t="s">
        <v>94</v>
      </c>
      <c r="I77" s="567" t="str">
        <f>A57</f>
        <v>TO1</v>
      </c>
      <c r="J77" s="3811">
        <v>31000305</v>
      </c>
      <c r="K77" s="3805" t="s">
        <v>1263</v>
      </c>
      <c r="L77" s="3809" t="s">
        <v>133</v>
      </c>
      <c r="M77" s="3807" t="s">
        <v>133</v>
      </c>
    </row>
    <row r="78" spans="1:13" s="568" customFormat="1" ht="20.25" customHeight="1">
      <c r="A78" s="3799"/>
      <c r="B78" s="3804"/>
      <c r="C78" s="3804"/>
      <c r="D78" s="3804"/>
      <c r="E78" s="3804"/>
      <c r="F78" s="3804"/>
      <c r="G78" s="3804"/>
      <c r="H78" s="569" t="s">
        <v>94</v>
      </c>
      <c r="I78" s="569" t="str">
        <f>I77</f>
        <v>TO1</v>
      </c>
      <c r="J78" s="3812"/>
      <c r="K78" s="3806"/>
      <c r="L78" s="3810"/>
      <c r="M78" s="3808"/>
    </row>
    <row r="79" spans="1:13" s="568" customFormat="1" ht="20.25" customHeight="1">
      <c r="A79" s="3798" t="str">
        <f>'2-A All'!A97</f>
        <v>AU2</v>
      </c>
      <c r="B79" s="3800" t="str">
        <f>'2-A All'!B97</f>
        <v>Amine Unit 2</v>
      </c>
      <c r="C79" s="3800" t="str">
        <f>'2-A All'!C97</f>
        <v>TBD</v>
      </c>
      <c r="D79" s="3800" t="str">
        <f>'2-A All'!D97</f>
        <v>N/A</v>
      </c>
      <c r="E79" s="3800" t="str">
        <f>'2-A All'!E97</f>
        <v>TBD</v>
      </c>
      <c r="F79" s="3800" t="str">
        <f>'2-A All'!F97</f>
        <v>250 MMSCFD</v>
      </c>
      <c r="G79" s="3800" t="str">
        <f>'2-A All'!G97</f>
        <v>250 MMSCFD</v>
      </c>
      <c r="H79" s="2371" t="s">
        <v>94</v>
      </c>
      <c r="I79" s="567" t="str">
        <f>A59</f>
        <v>TO2</v>
      </c>
      <c r="J79" s="3811">
        <v>31000305</v>
      </c>
      <c r="K79" s="3805" t="s">
        <v>1263</v>
      </c>
      <c r="L79" s="3809" t="s">
        <v>133</v>
      </c>
      <c r="M79" s="3807" t="s">
        <v>133</v>
      </c>
    </row>
    <row r="80" spans="1:13" s="568" customFormat="1" ht="20.25" customHeight="1">
      <c r="A80" s="3799"/>
      <c r="B80" s="3804"/>
      <c r="C80" s="3804"/>
      <c r="D80" s="3804"/>
      <c r="E80" s="3804"/>
      <c r="F80" s="3804"/>
      <c r="G80" s="3804"/>
      <c r="H80" s="569" t="s">
        <v>94</v>
      </c>
      <c r="I80" s="569" t="str">
        <f>I79</f>
        <v>TO2</v>
      </c>
      <c r="J80" s="3812"/>
      <c r="K80" s="3806"/>
      <c r="L80" s="3810"/>
      <c r="M80" s="3808"/>
    </row>
    <row r="81" spans="1:13" s="568" customFormat="1" ht="20.25" customHeight="1">
      <c r="A81" s="3798" t="str">
        <f>'2-A All'!A99</f>
        <v>AU3</v>
      </c>
      <c r="B81" s="3800" t="str">
        <f>'2-A All'!B99</f>
        <v>Amine Unit 3</v>
      </c>
      <c r="C81" s="3800" t="str">
        <f>'2-A All'!C99</f>
        <v>TBD</v>
      </c>
      <c r="D81" s="3800" t="str">
        <f>'2-A All'!D99</f>
        <v>N/A</v>
      </c>
      <c r="E81" s="3800" t="str">
        <f>'2-A All'!E99</f>
        <v>TBD</v>
      </c>
      <c r="F81" s="3800" t="str">
        <f>'2-A All'!F99</f>
        <v>250 MMSCFD</v>
      </c>
      <c r="G81" s="3800" t="str">
        <f>'2-A All'!G99</f>
        <v>250 MMSCFD</v>
      </c>
      <c r="H81" s="2371" t="s">
        <v>94</v>
      </c>
      <c r="I81" s="567" t="str">
        <f>A61</f>
        <v>TO3</v>
      </c>
      <c r="J81" s="3811">
        <v>31000305</v>
      </c>
      <c r="K81" s="3805" t="s">
        <v>1263</v>
      </c>
      <c r="L81" s="3809" t="s">
        <v>133</v>
      </c>
      <c r="M81" s="3807" t="s">
        <v>133</v>
      </c>
    </row>
    <row r="82" spans="1:13" s="568" customFormat="1" ht="20.25" customHeight="1">
      <c r="A82" s="3799"/>
      <c r="B82" s="3804"/>
      <c r="C82" s="3804"/>
      <c r="D82" s="3804"/>
      <c r="E82" s="3804"/>
      <c r="F82" s="3804"/>
      <c r="G82" s="3804"/>
      <c r="H82" s="569" t="s">
        <v>94</v>
      </c>
      <c r="I82" s="569" t="str">
        <f>I81</f>
        <v>TO3</v>
      </c>
      <c r="J82" s="3812"/>
      <c r="K82" s="3806"/>
      <c r="L82" s="3810"/>
      <c r="M82" s="3808"/>
    </row>
    <row r="83" spans="1:13" s="568" customFormat="1" ht="20.25" customHeight="1">
      <c r="A83" s="3798" t="str">
        <f>'2-A All'!A101</f>
        <v>GBS1</v>
      </c>
      <c r="B83" s="3800" t="str">
        <f>'2-A All'!B101</f>
        <v>Gunbarrel Tank</v>
      </c>
      <c r="C83" s="3800" t="str">
        <f>'2-A All'!C101</f>
        <v>Advance Tank</v>
      </c>
      <c r="D83" s="3800" t="str">
        <f>'2-A All'!D101</f>
        <v>N/A</v>
      </c>
      <c r="E83" s="3800" t="str">
        <f>'2-A All'!E101</f>
        <v>TBD</v>
      </c>
      <c r="F83" s="3800" t="str">
        <f>'2-A All'!F101</f>
        <v>1,000 bbl</v>
      </c>
      <c r="G83" s="3800" t="str">
        <f>'2-A All'!G101</f>
        <v>1,000 bbl</v>
      </c>
      <c r="H83" s="2371" t="s">
        <v>94</v>
      </c>
      <c r="I83" s="567" t="str">
        <f>A55</f>
        <v>ECD1</v>
      </c>
      <c r="J83" s="3800">
        <v>31000506</v>
      </c>
      <c r="K83" s="3805" t="s">
        <v>1263</v>
      </c>
      <c r="L83" s="3809" t="s">
        <v>133</v>
      </c>
      <c r="M83" s="3807" t="s">
        <v>133</v>
      </c>
    </row>
    <row r="84" spans="1:13" s="568" customFormat="1" ht="20.25" customHeight="1">
      <c r="A84" s="3799"/>
      <c r="B84" s="3804"/>
      <c r="C84" s="3804"/>
      <c r="D84" s="3804"/>
      <c r="E84" s="3804"/>
      <c r="F84" s="3804"/>
      <c r="G84" s="3804"/>
      <c r="H84" s="569" t="s">
        <v>94</v>
      </c>
      <c r="I84" s="569" t="str">
        <f>I83</f>
        <v>ECD1</v>
      </c>
      <c r="J84" s="3804"/>
      <c r="K84" s="3806"/>
      <c r="L84" s="3810"/>
      <c r="M84" s="3808"/>
    </row>
    <row r="85" spans="1:13" s="568" customFormat="1" ht="20.25" customHeight="1">
      <c r="A85" s="3798" t="str">
        <f>'2-A All'!A103</f>
        <v>OTK7</v>
      </c>
      <c r="B85" s="3800" t="str">
        <f>'2-A All'!B103</f>
        <v>Slop Oil Tank</v>
      </c>
      <c r="C85" s="3800" t="str">
        <f>'2-A All'!C103</f>
        <v>Advance Tank</v>
      </c>
      <c r="D85" s="3800" t="str">
        <f>'2-A All'!D103</f>
        <v>N/A</v>
      </c>
      <c r="E85" s="3800" t="str">
        <f>'2-A All'!E103</f>
        <v>TBD</v>
      </c>
      <c r="F85" s="3800" t="str">
        <f>'2-A All'!F103</f>
        <v>500 bbl</v>
      </c>
      <c r="G85" s="3800" t="str">
        <f>'2-A All'!G103</f>
        <v>500 bbl</v>
      </c>
      <c r="H85" s="2371" t="s">
        <v>94</v>
      </c>
      <c r="I85" s="567" t="str">
        <f>A55</f>
        <v>ECD1</v>
      </c>
      <c r="J85" s="3800">
        <v>40400311</v>
      </c>
      <c r="K85" s="3805" t="s">
        <v>1263</v>
      </c>
      <c r="L85" s="3809" t="s">
        <v>133</v>
      </c>
      <c r="M85" s="3807" t="s">
        <v>133</v>
      </c>
    </row>
    <row r="86" spans="1:13" s="568" customFormat="1" ht="20.25" customHeight="1">
      <c r="A86" s="3799"/>
      <c r="B86" s="3804"/>
      <c r="C86" s="3804"/>
      <c r="D86" s="3804"/>
      <c r="E86" s="3804"/>
      <c r="F86" s="3804"/>
      <c r="G86" s="3804"/>
      <c r="H86" s="569" t="s">
        <v>94</v>
      </c>
      <c r="I86" s="569" t="str">
        <f>I85</f>
        <v>ECD1</v>
      </c>
      <c r="J86" s="3804"/>
      <c r="K86" s="3806"/>
      <c r="L86" s="3810"/>
      <c r="M86" s="3808"/>
    </row>
    <row r="87" spans="1:13" s="60" customFormat="1" ht="17.25" customHeight="1">
      <c r="A87" s="3798" t="str">
        <f>'2-A All'!A105</f>
        <v>TUR1</v>
      </c>
      <c r="B87" s="3800" t="str">
        <f>'2-A All'!B105</f>
        <v>Turbine</v>
      </c>
      <c r="C87" s="3800" t="str">
        <f>'2-A All'!C105</f>
        <v>Mitsubishi</v>
      </c>
      <c r="D87" s="3800" t="str">
        <f>'2-A All'!D105</f>
        <v>H-100</v>
      </c>
      <c r="E87" s="3800" t="str">
        <f>'2-A All'!E105</f>
        <v>TBD</v>
      </c>
      <c r="F87" s="3800" t="str">
        <f>'2-A All'!F105</f>
        <v>120 MW</v>
      </c>
      <c r="G87" s="3800" t="str">
        <f>'2-A All'!G105</f>
        <v>120 MW</v>
      </c>
      <c r="H87" s="2371" t="s">
        <v>94</v>
      </c>
      <c r="I87" s="1703" t="s">
        <v>1504</v>
      </c>
      <c r="J87" s="3854">
        <v>20200203</v>
      </c>
      <c r="K87" s="3805" t="s">
        <v>1263</v>
      </c>
      <c r="L87" s="3794" t="s">
        <v>133</v>
      </c>
      <c r="M87" s="3796" t="s">
        <v>133</v>
      </c>
    </row>
    <row r="88" spans="1:13" s="60" customFormat="1" ht="17.149999999999999" customHeight="1">
      <c r="A88" s="3799"/>
      <c r="B88" s="3804"/>
      <c r="C88" s="3804"/>
      <c r="D88" s="3804"/>
      <c r="E88" s="3804"/>
      <c r="F88" s="3804"/>
      <c r="G88" s="3804"/>
      <c r="H88" s="569" t="s">
        <v>94</v>
      </c>
      <c r="I88" s="545" t="str">
        <f>A87</f>
        <v>TUR1</v>
      </c>
      <c r="J88" s="3855"/>
      <c r="K88" s="3806"/>
      <c r="L88" s="3795"/>
      <c r="M88" s="3797"/>
    </row>
    <row r="89" spans="1:13" s="60" customFormat="1" ht="17.25" customHeight="1">
      <c r="A89" s="3798" t="str">
        <f>'2-A All'!A107</f>
        <v>TUR2</v>
      </c>
      <c r="B89" s="3800" t="str">
        <f>'2-A All'!B107</f>
        <v>Turbine</v>
      </c>
      <c r="C89" s="3800" t="str">
        <f>'2-A All'!C107</f>
        <v>Mitsubishi</v>
      </c>
      <c r="D89" s="3800" t="str">
        <f>'2-A All'!D107</f>
        <v>H-100</v>
      </c>
      <c r="E89" s="3800" t="str">
        <f>'2-A All'!E107</f>
        <v>TBD</v>
      </c>
      <c r="F89" s="3800" t="str">
        <f>'2-A All'!F107</f>
        <v>120 MW</v>
      </c>
      <c r="G89" s="3800" t="str">
        <f>'2-A All'!G107</f>
        <v>120 MW</v>
      </c>
      <c r="H89" s="2371" t="s">
        <v>94</v>
      </c>
      <c r="I89" s="1703" t="s">
        <v>1505</v>
      </c>
      <c r="J89" s="3854">
        <v>20200203</v>
      </c>
      <c r="K89" s="3805" t="s">
        <v>1263</v>
      </c>
      <c r="L89" s="3794" t="s">
        <v>133</v>
      </c>
      <c r="M89" s="3796" t="s">
        <v>133</v>
      </c>
    </row>
    <row r="90" spans="1:13" s="60" customFormat="1" ht="17.149999999999999" customHeight="1">
      <c r="A90" s="3799"/>
      <c r="B90" s="3804"/>
      <c r="C90" s="3804"/>
      <c r="D90" s="3804"/>
      <c r="E90" s="3804"/>
      <c r="F90" s="3804"/>
      <c r="G90" s="3804"/>
      <c r="H90" s="569" t="s">
        <v>94</v>
      </c>
      <c r="I90" s="545" t="str">
        <f>A89</f>
        <v>TUR2</v>
      </c>
      <c r="J90" s="3855"/>
      <c r="K90" s="3806"/>
      <c r="L90" s="3795"/>
      <c r="M90" s="3797"/>
    </row>
    <row r="91" spans="1:13" s="62" customFormat="1" ht="11.25" customHeight="1">
      <c r="A91" s="61" t="s">
        <v>134</v>
      </c>
    </row>
    <row r="92" spans="1:13" s="62" customFormat="1" ht="11.25" customHeight="1">
      <c r="A92" s="61" t="s">
        <v>135</v>
      </c>
    </row>
    <row r="93" spans="1:13" s="62" customFormat="1" ht="11.25" customHeight="1">
      <c r="A93" s="61" t="s">
        <v>136</v>
      </c>
    </row>
    <row r="94" spans="1:13" ht="11.25" customHeight="1">
      <c r="A94" s="61" t="s">
        <v>137</v>
      </c>
      <c r="B94" s="56"/>
      <c r="C94" s="56"/>
      <c r="D94" s="56"/>
      <c r="E94" s="56"/>
      <c r="F94" s="56"/>
      <c r="G94" s="56"/>
    </row>
    <row r="95" spans="1:13" ht="20.75" customHeight="1">
      <c r="A95" s="56"/>
      <c r="B95" s="56"/>
      <c r="C95" s="56"/>
      <c r="D95" s="56"/>
      <c r="E95" s="56"/>
      <c r="F95" s="56"/>
      <c r="G95" s="56"/>
    </row>
    <row r="96" spans="1:13" ht="20.75" customHeight="1">
      <c r="A96" s="56"/>
      <c r="B96" s="56"/>
      <c r="C96" s="56"/>
      <c r="D96" s="56"/>
      <c r="E96" s="56"/>
      <c r="F96" s="56"/>
      <c r="G96" s="56"/>
    </row>
    <row r="97" spans="1:7" ht="20.75" customHeight="1">
      <c r="A97" s="56"/>
      <c r="B97" s="56"/>
      <c r="C97" s="56"/>
      <c r="D97" s="56"/>
      <c r="E97" s="56"/>
      <c r="F97" s="56"/>
      <c r="G97" s="56"/>
    </row>
    <row r="98" spans="1:7" ht="20.75" customHeight="1">
      <c r="A98" s="56"/>
      <c r="B98" s="56"/>
      <c r="C98" s="56"/>
      <c r="D98" s="56"/>
      <c r="E98" s="56"/>
      <c r="F98" s="56"/>
      <c r="G98" s="56"/>
    </row>
    <row r="99" spans="1:7" ht="20.75" customHeight="1">
      <c r="A99" s="56"/>
      <c r="B99" s="56"/>
      <c r="C99" s="56"/>
      <c r="D99" s="56"/>
      <c r="E99" s="56"/>
      <c r="F99" s="56"/>
      <c r="G99" s="56"/>
    </row>
    <row r="100" spans="1:7" ht="20.75" customHeight="1">
      <c r="A100" s="56"/>
      <c r="B100" s="56"/>
      <c r="C100" s="56"/>
      <c r="D100" s="56"/>
      <c r="E100" s="56"/>
      <c r="F100" s="56"/>
      <c r="G100" s="56"/>
    </row>
    <row r="101" spans="1:7" ht="20.75" customHeight="1">
      <c r="A101" s="56"/>
      <c r="B101" s="56"/>
      <c r="C101" s="56"/>
      <c r="D101" s="56"/>
      <c r="E101" s="56"/>
      <c r="F101" s="56"/>
      <c r="G101" s="56"/>
    </row>
    <row r="102" spans="1:7" ht="20.75" customHeight="1">
      <c r="A102" s="56"/>
      <c r="B102" s="56"/>
      <c r="C102" s="56"/>
      <c r="D102" s="56"/>
      <c r="E102" s="56"/>
      <c r="F102" s="56"/>
      <c r="G102" s="56"/>
    </row>
    <row r="103" spans="1:7" ht="20.75" customHeight="1">
      <c r="A103" s="56"/>
      <c r="B103" s="56"/>
      <c r="C103" s="56"/>
      <c r="D103" s="56"/>
      <c r="E103" s="56"/>
      <c r="F103" s="56"/>
      <c r="G103" s="56"/>
    </row>
    <row r="104" spans="1:7" ht="20.75" customHeight="1">
      <c r="A104" s="56"/>
      <c r="B104" s="56"/>
      <c r="C104" s="56"/>
      <c r="D104" s="56"/>
      <c r="E104" s="56"/>
      <c r="F104" s="56"/>
      <c r="G104" s="56"/>
    </row>
    <row r="105" spans="1:7" ht="20.75" customHeight="1">
      <c r="A105" s="56"/>
      <c r="B105" s="56"/>
      <c r="C105" s="56"/>
      <c r="D105" s="56"/>
      <c r="E105" s="56"/>
      <c r="F105" s="56"/>
      <c r="G105" s="56"/>
    </row>
    <row r="106" spans="1:7" ht="20.75" customHeight="1">
      <c r="A106" s="56"/>
      <c r="B106" s="56"/>
      <c r="C106" s="56"/>
      <c r="D106" s="56"/>
      <c r="E106" s="56"/>
      <c r="F106" s="56"/>
      <c r="G106" s="56"/>
    </row>
    <row r="107" spans="1:7" ht="20.75" customHeight="1">
      <c r="A107" s="56"/>
      <c r="B107" s="56"/>
      <c r="C107" s="56"/>
      <c r="D107" s="56"/>
      <c r="E107" s="56"/>
      <c r="F107" s="56"/>
      <c r="G107" s="56"/>
    </row>
    <row r="108" spans="1:7" ht="20.75" customHeight="1">
      <c r="A108" s="56"/>
      <c r="B108" s="56"/>
      <c r="C108" s="56"/>
      <c r="D108" s="56"/>
      <c r="E108" s="56"/>
      <c r="F108" s="56"/>
      <c r="G108" s="56"/>
    </row>
    <row r="109" spans="1:7" ht="20.75" customHeight="1">
      <c r="A109" s="56"/>
      <c r="B109" s="56"/>
      <c r="C109" s="56"/>
      <c r="D109" s="56"/>
      <c r="E109" s="56"/>
      <c r="F109" s="56"/>
      <c r="G109" s="56"/>
    </row>
    <row r="110" spans="1:7" ht="20.75" customHeight="1">
      <c r="A110" s="56"/>
      <c r="B110" s="56"/>
      <c r="C110" s="56"/>
      <c r="D110" s="56"/>
      <c r="E110" s="56"/>
      <c r="F110" s="56"/>
      <c r="G110" s="56"/>
    </row>
    <row r="111" spans="1:7" ht="20.75" customHeight="1">
      <c r="A111" s="56"/>
      <c r="B111" s="56"/>
      <c r="C111" s="56"/>
      <c r="D111" s="56"/>
      <c r="E111" s="56"/>
      <c r="F111" s="56"/>
      <c r="G111" s="56"/>
    </row>
    <row r="112" spans="1:7" ht="20.75" customHeight="1">
      <c r="A112" s="56"/>
      <c r="B112" s="56"/>
      <c r="C112" s="56"/>
      <c r="D112" s="56"/>
      <c r="E112" s="56"/>
      <c r="F112" s="56"/>
      <c r="G112" s="56"/>
    </row>
    <row r="113" spans="1:7" ht="20.75" customHeight="1">
      <c r="A113" s="56"/>
      <c r="B113" s="56"/>
      <c r="C113" s="56"/>
      <c r="D113" s="56"/>
      <c r="E113" s="56"/>
      <c r="F113" s="56"/>
      <c r="G113" s="56"/>
    </row>
    <row r="114" spans="1:7" ht="20.75" customHeight="1">
      <c r="A114" s="56"/>
      <c r="B114" s="56"/>
      <c r="C114" s="56"/>
      <c r="D114" s="56"/>
      <c r="E114" s="56"/>
      <c r="F114" s="56"/>
      <c r="G114" s="56"/>
    </row>
    <row r="115" spans="1:7" ht="36" customHeight="1">
      <c r="A115" s="56"/>
      <c r="B115" s="56"/>
      <c r="C115" s="56"/>
      <c r="D115" s="56"/>
      <c r="E115" s="56"/>
      <c r="F115" s="56"/>
      <c r="G115" s="56"/>
    </row>
    <row r="116" spans="1:7">
      <c r="A116" s="56"/>
      <c r="B116" s="56"/>
      <c r="C116" s="56"/>
      <c r="D116" s="56"/>
      <c r="E116" s="56"/>
      <c r="F116" s="56"/>
      <c r="G116" s="56"/>
    </row>
    <row r="117" spans="1:7" ht="20.75" customHeight="1">
      <c r="A117" s="56"/>
      <c r="B117" s="56"/>
      <c r="C117" s="56"/>
      <c r="D117" s="56"/>
      <c r="E117" s="56"/>
      <c r="F117" s="56"/>
      <c r="G117" s="56"/>
    </row>
    <row r="118" spans="1:7" ht="20.75" customHeight="1">
      <c r="A118" s="56"/>
      <c r="B118" s="56"/>
      <c r="C118" s="56"/>
      <c r="D118" s="56"/>
      <c r="E118" s="56"/>
      <c r="F118" s="56"/>
      <c r="G118" s="56"/>
    </row>
    <row r="119" spans="1:7" ht="20.75" customHeight="1">
      <c r="A119" s="56"/>
      <c r="B119" s="56"/>
      <c r="C119" s="56"/>
      <c r="D119" s="56"/>
      <c r="E119" s="56"/>
      <c r="F119" s="56"/>
      <c r="G119" s="56"/>
    </row>
    <row r="120" spans="1:7" ht="20.75" customHeight="1">
      <c r="A120" s="56"/>
      <c r="B120" s="56"/>
      <c r="C120" s="56"/>
      <c r="D120" s="56"/>
      <c r="E120" s="56"/>
      <c r="F120" s="56"/>
      <c r="G120" s="56"/>
    </row>
    <row r="121" spans="1:7" ht="25.25" customHeight="1">
      <c r="A121" s="56"/>
      <c r="B121" s="56"/>
      <c r="C121" s="56"/>
      <c r="D121" s="56"/>
      <c r="E121" s="56"/>
      <c r="F121" s="56"/>
      <c r="G121" s="56"/>
    </row>
    <row r="122" spans="1:7" ht="25.25" customHeight="1">
      <c r="A122" s="56"/>
      <c r="B122" s="56"/>
      <c r="C122" s="56"/>
      <c r="D122" s="56"/>
      <c r="E122" s="56"/>
      <c r="F122" s="56"/>
      <c r="G122" s="56"/>
    </row>
    <row r="123" spans="1:7">
      <c r="A123" s="56"/>
      <c r="B123" s="56"/>
      <c r="C123" s="56"/>
      <c r="D123" s="56"/>
      <c r="E123" s="56"/>
      <c r="F123" s="56"/>
      <c r="G123" s="56"/>
    </row>
    <row r="124" spans="1:7">
      <c r="A124" s="56"/>
      <c r="B124" s="56"/>
      <c r="C124" s="56"/>
      <c r="D124" s="56"/>
      <c r="E124" s="56"/>
      <c r="F124" s="56"/>
      <c r="G124" s="56"/>
    </row>
    <row r="125" spans="1:7">
      <c r="A125" s="56"/>
      <c r="B125" s="56"/>
      <c r="C125" s="56"/>
      <c r="D125" s="56"/>
      <c r="E125" s="56"/>
      <c r="F125" s="56"/>
      <c r="G125" s="56"/>
    </row>
    <row r="126" spans="1:7">
      <c r="A126" s="56"/>
      <c r="B126" s="56"/>
      <c r="C126" s="56"/>
      <c r="D126" s="56"/>
      <c r="E126" s="56"/>
      <c r="F126" s="56"/>
      <c r="G126" s="56"/>
    </row>
    <row r="127" spans="1:7">
      <c r="A127" s="56"/>
      <c r="B127" s="56"/>
      <c r="C127" s="56"/>
      <c r="D127" s="56"/>
      <c r="E127" s="56"/>
      <c r="F127" s="56"/>
      <c r="G127" s="56"/>
    </row>
    <row r="128" spans="1:7">
      <c r="A128" s="56"/>
      <c r="B128" s="56"/>
      <c r="C128" s="56"/>
      <c r="D128" s="56"/>
      <c r="E128" s="56"/>
      <c r="F128" s="56"/>
      <c r="G128" s="56"/>
    </row>
    <row r="129" spans="1:7">
      <c r="A129" s="56"/>
      <c r="B129" s="56"/>
      <c r="C129" s="56"/>
      <c r="D129" s="56"/>
      <c r="E129" s="56"/>
      <c r="F129" s="56"/>
      <c r="G129" s="56"/>
    </row>
    <row r="130" spans="1:7">
      <c r="A130" s="56"/>
      <c r="B130" s="56"/>
      <c r="C130" s="56"/>
      <c r="D130" s="56"/>
      <c r="E130" s="56"/>
      <c r="F130" s="56"/>
      <c r="G130" s="56"/>
    </row>
    <row r="131" spans="1:7">
      <c r="A131" s="56"/>
      <c r="B131" s="56"/>
      <c r="C131" s="56"/>
      <c r="D131" s="56"/>
      <c r="E131" s="56"/>
      <c r="F131" s="56"/>
      <c r="G131" s="56"/>
    </row>
    <row r="132" spans="1:7">
      <c r="A132" s="56"/>
      <c r="B132" s="56"/>
      <c r="C132" s="56"/>
      <c r="D132" s="56"/>
      <c r="E132" s="56"/>
      <c r="F132" s="56"/>
      <c r="G132" s="56"/>
    </row>
    <row r="133" spans="1:7">
      <c r="A133" s="56"/>
      <c r="B133" s="56"/>
      <c r="C133" s="56"/>
      <c r="D133" s="56"/>
      <c r="E133" s="56"/>
      <c r="F133" s="56"/>
      <c r="G133" s="56"/>
    </row>
    <row r="134" spans="1:7">
      <c r="A134" s="56"/>
      <c r="B134" s="56"/>
      <c r="C134" s="56"/>
      <c r="D134" s="56"/>
      <c r="E134" s="56"/>
      <c r="F134" s="56"/>
      <c r="G134" s="56"/>
    </row>
    <row r="135" spans="1:7">
      <c r="A135" s="56"/>
      <c r="B135" s="56"/>
      <c r="C135" s="56"/>
      <c r="D135" s="56"/>
      <c r="E135" s="56"/>
      <c r="F135" s="56"/>
      <c r="G135" s="56"/>
    </row>
    <row r="136" spans="1:7">
      <c r="A136" s="56"/>
      <c r="B136" s="56"/>
      <c r="C136" s="56"/>
      <c r="D136" s="56"/>
      <c r="E136" s="56"/>
      <c r="F136" s="56"/>
      <c r="G136" s="56"/>
    </row>
    <row r="137" spans="1:7">
      <c r="A137" s="56"/>
      <c r="B137" s="56"/>
      <c r="C137" s="56"/>
      <c r="D137" s="56"/>
      <c r="E137" s="56"/>
      <c r="F137" s="56"/>
      <c r="G137" s="56"/>
    </row>
    <row r="138" spans="1:7">
      <c r="A138" s="56"/>
      <c r="B138" s="56"/>
      <c r="C138" s="56"/>
      <c r="D138" s="56"/>
      <c r="E138" s="56"/>
      <c r="F138" s="56"/>
      <c r="G138" s="56"/>
    </row>
    <row r="139" spans="1:7">
      <c r="A139" s="56"/>
      <c r="B139" s="56"/>
      <c r="C139" s="56"/>
      <c r="D139" s="56"/>
      <c r="E139" s="56"/>
      <c r="F139" s="56"/>
      <c r="G139" s="56"/>
    </row>
    <row r="140" spans="1:7">
      <c r="A140" s="56"/>
      <c r="B140" s="56"/>
      <c r="C140" s="56"/>
      <c r="D140" s="56"/>
      <c r="E140" s="56"/>
      <c r="F140" s="56"/>
      <c r="G140" s="56"/>
    </row>
    <row r="141" spans="1:7">
      <c r="A141" s="56"/>
      <c r="B141" s="56"/>
      <c r="C141" s="56"/>
      <c r="D141" s="56"/>
      <c r="E141" s="56"/>
      <c r="F141" s="56"/>
      <c r="G141" s="56"/>
    </row>
    <row r="142" spans="1:7">
      <c r="A142" s="56"/>
      <c r="B142" s="56"/>
      <c r="C142" s="56"/>
      <c r="D142" s="56"/>
      <c r="E142" s="56"/>
      <c r="F142" s="56"/>
      <c r="G142" s="56"/>
    </row>
    <row r="143" spans="1:7">
      <c r="A143" s="56"/>
      <c r="B143" s="56"/>
      <c r="C143" s="56"/>
      <c r="D143" s="56"/>
      <c r="E143" s="56"/>
      <c r="F143" s="56"/>
      <c r="G143" s="56"/>
    </row>
    <row r="144" spans="1:7">
      <c r="A144" s="56"/>
      <c r="B144" s="56"/>
      <c r="C144" s="56"/>
      <c r="D144" s="56"/>
      <c r="E144" s="56"/>
      <c r="F144" s="56"/>
      <c r="G144" s="56"/>
    </row>
    <row r="145" spans="1:7">
      <c r="A145" s="56"/>
      <c r="B145" s="56"/>
      <c r="C145" s="56"/>
      <c r="D145" s="56"/>
      <c r="E145" s="56"/>
      <c r="F145" s="56"/>
      <c r="G145" s="56"/>
    </row>
    <row r="146" spans="1:7">
      <c r="A146" s="56"/>
      <c r="B146" s="56"/>
      <c r="C146" s="56"/>
      <c r="D146" s="56"/>
      <c r="E146" s="56"/>
      <c r="F146" s="56"/>
      <c r="G146" s="56"/>
    </row>
    <row r="147" spans="1:7">
      <c r="A147" s="56"/>
      <c r="B147" s="56"/>
      <c r="C147" s="56"/>
      <c r="D147" s="56"/>
      <c r="E147" s="56"/>
      <c r="F147" s="56"/>
      <c r="G147" s="56"/>
    </row>
    <row r="148" spans="1:7">
      <c r="A148" s="56"/>
      <c r="B148" s="56"/>
      <c r="C148" s="56"/>
      <c r="D148" s="56"/>
      <c r="E148" s="56"/>
      <c r="F148" s="56"/>
      <c r="G148" s="56"/>
    </row>
    <row r="149" spans="1:7">
      <c r="A149" s="56"/>
      <c r="B149" s="56"/>
      <c r="C149" s="56"/>
      <c r="D149" s="56"/>
      <c r="E149" s="56"/>
      <c r="F149" s="56"/>
      <c r="G149" s="56"/>
    </row>
    <row r="150" spans="1:7">
      <c r="A150" s="56"/>
      <c r="B150" s="56"/>
      <c r="C150" s="56"/>
      <c r="D150" s="56"/>
      <c r="E150" s="56"/>
      <c r="F150" s="56"/>
      <c r="G150" s="56"/>
    </row>
    <row r="151" spans="1:7">
      <c r="A151" s="56"/>
      <c r="B151" s="56"/>
      <c r="C151" s="56"/>
      <c r="D151" s="56"/>
      <c r="E151" s="56"/>
      <c r="F151" s="56"/>
      <c r="G151" s="56"/>
    </row>
    <row r="152" spans="1:7">
      <c r="A152" s="56"/>
      <c r="B152" s="56"/>
      <c r="C152" s="56"/>
      <c r="D152" s="56"/>
      <c r="E152" s="56"/>
      <c r="F152" s="56"/>
      <c r="G152" s="56"/>
    </row>
    <row r="153" spans="1:7">
      <c r="A153" s="56"/>
      <c r="B153" s="56"/>
      <c r="C153" s="56"/>
      <c r="D153" s="56"/>
      <c r="E153" s="56"/>
      <c r="F153" s="56"/>
      <c r="G153" s="56"/>
    </row>
    <row r="154" spans="1:7">
      <c r="A154" s="56"/>
      <c r="B154" s="56"/>
      <c r="C154" s="56"/>
      <c r="D154" s="56"/>
      <c r="E154" s="56"/>
      <c r="F154" s="56"/>
      <c r="G154" s="56"/>
    </row>
    <row r="155" spans="1:7">
      <c r="A155" s="56"/>
      <c r="B155" s="56"/>
      <c r="C155" s="56"/>
      <c r="D155" s="56"/>
      <c r="E155" s="56"/>
      <c r="F155" s="56"/>
      <c r="G155" s="56"/>
    </row>
    <row r="156" spans="1:7">
      <c r="A156" s="56"/>
      <c r="B156" s="56"/>
      <c r="C156" s="56"/>
      <c r="D156" s="56"/>
      <c r="E156" s="56"/>
      <c r="F156" s="56"/>
      <c r="G156" s="56"/>
    </row>
    <row r="157" spans="1:7">
      <c r="A157" s="56"/>
      <c r="B157" s="56"/>
      <c r="C157" s="56"/>
      <c r="D157" s="56"/>
      <c r="E157" s="56"/>
      <c r="F157" s="56"/>
      <c r="G157" s="56"/>
    </row>
    <row r="158" spans="1:7">
      <c r="A158" s="56"/>
      <c r="B158" s="56"/>
      <c r="C158" s="56"/>
      <c r="D158" s="56"/>
      <c r="E158" s="56"/>
      <c r="F158" s="56"/>
      <c r="G158" s="56"/>
    </row>
    <row r="159" spans="1:7">
      <c r="A159" s="56"/>
      <c r="B159" s="56"/>
      <c r="C159" s="56"/>
      <c r="D159" s="56"/>
      <c r="E159" s="56"/>
      <c r="F159" s="56"/>
      <c r="G159" s="56"/>
    </row>
    <row r="160" spans="1:7">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row r="532" spans="1:7">
      <c r="A532" s="56"/>
      <c r="B532" s="56"/>
      <c r="C532" s="56"/>
      <c r="D532" s="56"/>
      <c r="E532" s="56"/>
      <c r="F532" s="56"/>
      <c r="G532" s="56"/>
    </row>
    <row r="533" spans="1:7">
      <c r="A533" s="56"/>
      <c r="B533" s="56"/>
      <c r="C533" s="56"/>
      <c r="D533" s="56"/>
      <c r="E533" s="56"/>
      <c r="F533" s="56"/>
      <c r="G533" s="56"/>
    </row>
    <row r="534" spans="1:7">
      <c r="A534" s="56"/>
      <c r="B534" s="56"/>
      <c r="C534" s="56"/>
      <c r="D534" s="56"/>
      <c r="E534" s="56"/>
      <c r="F534" s="56"/>
      <c r="G534" s="56"/>
    </row>
    <row r="535" spans="1:7">
      <c r="A535" s="56"/>
      <c r="B535" s="56"/>
      <c r="C535" s="56"/>
      <c r="D535" s="56"/>
      <c r="E535" s="56"/>
      <c r="F535" s="56"/>
      <c r="G535" s="56"/>
    </row>
  </sheetData>
  <mergeCells count="479">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A9:A10"/>
    <mergeCell ref="B9:B10"/>
    <mergeCell ref="C9:C10"/>
    <mergeCell ref="D9:D10"/>
    <mergeCell ref="E9:E10"/>
    <mergeCell ref="A7:A8"/>
    <mergeCell ref="B7:B8"/>
    <mergeCell ref="C7:C8"/>
    <mergeCell ref="D7:D8"/>
    <mergeCell ref="E7:E8"/>
    <mergeCell ref="F9:F10"/>
    <mergeCell ref="G9:G10"/>
    <mergeCell ref="J9:J10"/>
    <mergeCell ref="K9:K10"/>
    <mergeCell ref="L9:L10"/>
    <mergeCell ref="M9:M10"/>
    <mergeCell ref="G7:G8"/>
    <mergeCell ref="J7:J8"/>
    <mergeCell ref="K7:K8"/>
    <mergeCell ref="L7:L8"/>
    <mergeCell ref="M7:M8"/>
    <mergeCell ref="F7:F8"/>
    <mergeCell ref="A13:A14"/>
    <mergeCell ref="B13:B14"/>
    <mergeCell ref="C13:C14"/>
    <mergeCell ref="D13:D14"/>
    <mergeCell ref="E13:E14"/>
    <mergeCell ref="A11:A12"/>
    <mergeCell ref="B11:B12"/>
    <mergeCell ref="C11:C12"/>
    <mergeCell ref="D11:D12"/>
    <mergeCell ref="E11:E12"/>
    <mergeCell ref="F13:F14"/>
    <mergeCell ref="G13:G14"/>
    <mergeCell ref="J13:J14"/>
    <mergeCell ref="K13:K14"/>
    <mergeCell ref="L13:L14"/>
    <mergeCell ref="M13:M14"/>
    <mergeCell ref="G11:G12"/>
    <mergeCell ref="J11:J12"/>
    <mergeCell ref="K11:K12"/>
    <mergeCell ref="L11:L12"/>
    <mergeCell ref="M11:M12"/>
    <mergeCell ref="F11:F12"/>
    <mergeCell ref="G15:G16"/>
    <mergeCell ref="J15:J16"/>
    <mergeCell ref="K15:K16"/>
    <mergeCell ref="L15:L16"/>
    <mergeCell ref="M15:M16"/>
    <mergeCell ref="A15:A16"/>
    <mergeCell ref="B15:B16"/>
    <mergeCell ref="C15:C16"/>
    <mergeCell ref="D15:D16"/>
    <mergeCell ref="E15:E16"/>
    <mergeCell ref="F15:F16"/>
    <mergeCell ref="A21:A22"/>
    <mergeCell ref="B21:B22"/>
    <mergeCell ref="C21:C22"/>
    <mergeCell ref="D21:D22"/>
    <mergeCell ref="E21:E22"/>
    <mergeCell ref="A19:A20"/>
    <mergeCell ref="B19:B20"/>
    <mergeCell ref="C19:C20"/>
    <mergeCell ref="D19:D20"/>
    <mergeCell ref="E19:E20"/>
    <mergeCell ref="F21:F22"/>
    <mergeCell ref="G21:G22"/>
    <mergeCell ref="J21:J22"/>
    <mergeCell ref="K21:K22"/>
    <mergeCell ref="L21:L22"/>
    <mergeCell ref="M21:M22"/>
    <mergeCell ref="G19:G20"/>
    <mergeCell ref="J19:J20"/>
    <mergeCell ref="K19:K20"/>
    <mergeCell ref="L19:L20"/>
    <mergeCell ref="M19:M20"/>
    <mergeCell ref="F19:F20"/>
    <mergeCell ref="A23:A24"/>
    <mergeCell ref="B23:B24"/>
    <mergeCell ref="C23:C24"/>
    <mergeCell ref="D23:D24"/>
    <mergeCell ref="E23:E24"/>
    <mergeCell ref="F23:F24"/>
    <mergeCell ref="G23:G24"/>
    <mergeCell ref="J23:J24"/>
    <mergeCell ref="K23:K24"/>
    <mergeCell ref="L23:L24"/>
    <mergeCell ref="M23:M24"/>
    <mergeCell ref="A27:A28"/>
    <mergeCell ref="B27:B28"/>
    <mergeCell ref="C27:C28"/>
    <mergeCell ref="D27:D28"/>
    <mergeCell ref="E27:E28"/>
    <mergeCell ref="A25:A26"/>
    <mergeCell ref="B25:B26"/>
    <mergeCell ref="C25:C26"/>
    <mergeCell ref="D25:D26"/>
    <mergeCell ref="E25:E26"/>
    <mergeCell ref="F27:F28"/>
    <mergeCell ref="G27:G28"/>
    <mergeCell ref="J27:J28"/>
    <mergeCell ref="K27:K28"/>
    <mergeCell ref="L27:L28"/>
    <mergeCell ref="M27:M28"/>
    <mergeCell ref="G25:G26"/>
    <mergeCell ref="J25:J26"/>
    <mergeCell ref="K25:K26"/>
    <mergeCell ref="L25:L26"/>
    <mergeCell ref="M25:M26"/>
    <mergeCell ref="F25:F26"/>
    <mergeCell ref="A31:A32"/>
    <mergeCell ref="B31:B32"/>
    <mergeCell ref="C31:C32"/>
    <mergeCell ref="D31:D32"/>
    <mergeCell ref="E31:E32"/>
    <mergeCell ref="A29:A30"/>
    <mergeCell ref="B29:B30"/>
    <mergeCell ref="C29:C30"/>
    <mergeCell ref="D29:D30"/>
    <mergeCell ref="E29:E30"/>
    <mergeCell ref="F31:F32"/>
    <mergeCell ref="G31:G32"/>
    <mergeCell ref="J31:J32"/>
    <mergeCell ref="K31:K32"/>
    <mergeCell ref="L31:L32"/>
    <mergeCell ref="M31:M32"/>
    <mergeCell ref="G29:G30"/>
    <mergeCell ref="J29:J30"/>
    <mergeCell ref="K29:K30"/>
    <mergeCell ref="L29:L30"/>
    <mergeCell ref="M29:M30"/>
    <mergeCell ref="F29:F30"/>
    <mergeCell ref="A35:A36"/>
    <mergeCell ref="B35:B36"/>
    <mergeCell ref="C35:C36"/>
    <mergeCell ref="D35:D36"/>
    <mergeCell ref="E35:E36"/>
    <mergeCell ref="A33:A34"/>
    <mergeCell ref="B33:B34"/>
    <mergeCell ref="C33:C34"/>
    <mergeCell ref="D33:D34"/>
    <mergeCell ref="E33:E34"/>
    <mergeCell ref="F35:F36"/>
    <mergeCell ref="G35:G36"/>
    <mergeCell ref="J35:J36"/>
    <mergeCell ref="K35:K36"/>
    <mergeCell ref="L35:L36"/>
    <mergeCell ref="M35:M36"/>
    <mergeCell ref="G33:G34"/>
    <mergeCell ref="J33:J34"/>
    <mergeCell ref="K33:K34"/>
    <mergeCell ref="L33:L34"/>
    <mergeCell ref="M33:M34"/>
    <mergeCell ref="F33:F34"/>
    <mergeCell ref="A39:A40"/>
    <mergeCell ref="B39:B40"/>
    <mergeCell ref="C39:C40"/>
    <mergeCell ref="D39:D40"/>
    <mergeCell ref="E39:E40"/>
    <mergeCell ref="A37:A38"/>
    <mergeCell ref="B37:B38"/>
    <mergeCell ref="C37:C38"/>
    <mergeCell ref="D37:D38"/>
    <mergeCell ref="E37:E38"/>
    <mergeCell ref="F39:F40"/>
    <mergeCell ref="G39:G40"/>
    <mergeCell ref="J39:J40"/>
    <mergeCell ref="K39:K40"/>
    <mergeCell ref="L39:L40"/>
    <mergeCell ref="M39:M40"/>
    <mergeCell ref="G37:G38"/>
    <mergeCell ref="J37:J38"/>
    <mergeCell ref="K37:K38"/>
    <mergeCell ref="L37:L38"/>
    <mergeCell ref="M37:M38"/>
    <mergeCell ref="F37:F38"/>
    <mergeCell ref="A43:A44"/>
    <mergeCell ref="B43:B44"/>
    <mergeCell ref="C43:C44"/>
    <mergeCell ref="D43:D44"/>
    <mergeCell ref="E43:E44"/>
    <mergeCell ref="A41:A42"/>
    <mergeCell ref="B41:B42"/>
    <mergeCell ref="C41:C42"/>
    <mergeCell ref="D41:D42"/>
    <mergeCell ref="E41:E42"/>
    <mergeCell ref="F43:F44"/>
    <mergeCell ref="G43:G44"/>
    <mergeCell ref="J43:J44"/>
    <mergeCell ref="K43:K44"/>
    <mergeCell ref="L43:L44"/>
    <mergeCell ref="M43:M44"/>
    <mergeCell ref="G41:G42"/>
    <mergeCell ref="J41:J42"/>
    <mergeCell ref="K41:K42"/>
    <mergeCell ref="L41:L42"/>
    <mergeCell ref="M41:M42"/>
    <mergeCell ref="F41:F42"/>
    <mergeCell ref="A47:A48"/>
    <mergeCell ref="B47:B48"/>
    <mergeCell ref="C47:C48"/>
    <mergeCell ref="D47:D48"/>
    <mergeCell ref="E47:E48"/>
    <mergeCell ref="A45:A46"/>
    <mergeCell ref="B45:B46"/>
    <mergeCell ref="C45:C46"/>
    <mergeCell ref="D45:D46"/>
    <mergeCell ref="E45:E46"/>
    <mergeCell ref="F47:F48"/>
    <mergeCell ref="G47:G48"/>
    <mergeCell ref="J47:J48"/>
    <mergeCell ref="K47:K48"/>
    <mergeCell ref="L47:L48"/>
    <mergeCell ref="M47:M48"/>
    <mergeCell ref="G45:G46"/>
    <mergeCell ref="J45:J46"/>
    <mergeCell ref="K45:K46"/>
    <mergeCell ref="L45:L46"/>
    <mergeCell ref="M45:M46"/>
    <mergeCell ref="F45:F46"/>
    <mergeCell ref="A51:A52"/>
    <mergeCell ref="B51:B52"/>
    <mergeCell ref="C51:C52"/>
    <mergeCell ref="D51:D52"/>
    <mergeCell ref="E51:E52"/>
    <mergeCell ref="A49:A50"/>
    <mergeCell ref="B49:B50"/>
    <mergeCell ref="C49:C50"/>
    <mergeCell ref="D49:D50"/>
    <mergeCell ref="E49:E50"/>
    <mergeCell ref="F51:F52"/>
    <mergeCell ref="G51:G52"/>
    <mergeCell ref="J51:J52"/>
    <mergeCell ref="K51:K52"/>
    <mergeCell ref="L51:L52"/>
    <mergeCell ref="M51:M52"/>
    <mergeCell ref="G49:G50"/>
    <mergeCell ref="J49:J50"/>
    <mergeCell ref="K49:K50"/>
    <mergeCell ref="L49:L50"/>
    <mergeCell ref="M49:M50"/>
    <mergeCell ref="F49:F50"/>
    <mergeCell ref="A55:A56"/>
    <mergeCell ref="B55:B56"/>
    <mergeCell ref="C55:C56"/>
    <mergeCell ref="D55:D56"/>
    <mergeCell ref="E55:E56"/>
    <mergeCell ref="A53:A54"/>
    <mergeCell ref="B53:B54"/>
    <mergeCell ref="C53:C54"/>
    <mergeCell ref="D53:D54"/>
    <mergeCell ref="E53:E54"/>
    <mergeCell ref="F55:F56"/>
    <mergeCell ref="G55:G56"/>
    <mergeCell ref="J55:J56"/>
    <mergeCell ref="K55:K56"/>
    <mergeCell ref="L55:L56"/>
    <mergeCell ref="M55:M56"/>
    <mergeCell ref="G53:G54"/>
    <mergeCell ref="J53:J54"/>
    <mergeCell ref="K53:K54"/>
    <mergeCell ref="L53:L54"/>
    <mergeCell ref="M53:M54"/>
    <mergeCell ref="F53:F54"/>
    <mergeCell ref="A59:A60"/>
    <mergeCell ref="B59:B60"/>
    <mergeCell ref="C59:C60"/>
    <mergeCell ref="D59:D60"/>
    <mergeCell ref="E59:E60"/>
    <mergeCell ref="A57:A58"/>
    <mergeCell ref="B57:B58"/>
    <mergeCell ref="C57:C58"/>
    <mergeCell ref="D57:D58"/>
    <mergeCell ref="E57:E58"/>
    <mergeCell ref="F59:F60"/>
    <mergeCell ref="G59:G60"/>
    <mergeCell ref="J59:J60"/>
    <mergeCell ref="K59:K60"/>
    <mergeCell ref="L59:L60"/>
    <mergeCell ref="M59:M60"/>
    <mergeCell ref="G57:G58"/>
    <mergeCell ref="J57:J58"/>
    <mergeCell ref="K57:K58"/>
    <mergeCell ref="L57:L58"/>
    <mergeCell ref="M57:M58"/>
    <mergeCell ref="F57:F58"/>
    <mergeCell ref="A63:A64"/>
    <mergeCell ref="B63:B64"/>
    <mergeCell ref="C63:C64"/>
    <mergeCell ref="D63:D64"/>
    <mergeCell ref="E63:E64"/>
    <mergeCell ref="A61:A62"/>
    <mergeCell ref="B61:B62"/>
    <mergeCell ref="C61:C62"/>
    <mergeCell ref="D61:D62"/>
    <mergeCell ref="E61:E62"/>
    <mergeCell ref="F63:F64"/>
    <mergeCell ref="G63:G64"/>
    <mergeCell ref="J63:J64"/>
    <mergeCell ref="K63:K64"/>
    <mergeCell ref="L63:L64"/>
    <mergeCell ref="M63:M64"/>
    <mergeCell ref="G61:G62"/>
    <mergeCell ref="J61:J62"/>
    <mergeCell ref="K61:K62"/>
    <mergeCell ref="L61:L62"/>
    <mergeCell ref="M61:M62"/>
    <mergeCell ref="F61:F62"/>
    <mergeCell ref="A67:A68"/>
    <mergeCell ref="B67:B68"/>
    <mergeCell ref="C67:C68"/>
    <mergeCell ref="D67:D68"/>
    <mergeCell ref="E67:E68"/>
    <mergeCell ref="A65:A66"/>
    <mergeCell ref="B65:B66"/>
    <mergeCell ref="C65:C66"/>
    <mergeCell ref="D65:D66"/>
    <mergeCell ref="E65:E66"/>
    <mergeCell ref="F67:F68"/>
    <mergeCell ref="G67:G68"/>
    <mergeCell ref="J67:J68"/>
    <mergeCell ref="K67:K68"/>
    <mergeCell ref="L67:L68"/>
    <mergeCell ref="M67:M68"/>
    <mergeCell ref="G65:G66"/>
    <mergeCell ref="J65:J66"/>
    <mergeCell ref="K65:K66"/>
    <mergeCell ref="L65:L66"/>
    <mergeCell ref="M65:M66"/>
    <mergeCell ref="F65:F66"/>
    <mergeCell ref="A71:A72"/>
    <mergeCell ref="B71:B72"/>
    <mergeCell ref="C71:C72"/>
    <mergeCell ref="D71:D72"/>
    <mergeCell ref="E71:E72"/>
    <mergeCell ref="A69:A70"/>
    <mergeCell ref="B69:B70"/>
    <mergeCell ref="C69:C70"/>
    <mergeCell ref="D69:D70"/>
    <mergeCell ref="E69:E70"/>
    <mergeCell ref="F71:F72"/>
    <mergeCell ref="G71:G72"/>
    <mergeCell ref="J71:J72"/>
    <mergeCell ref="K71:K72"/>
    <mergeCell ref="L71:L72"/>
    <mergeCell ref="M71:M72"/>
    <mergeCell ref="G69:G70"/>
    <mergeCell ref="J69:J70"/>
    <mergeCell ref="K69:K70"/>
    <mergeCell ref="L69:L70"/>
    <mergeCell ref="M69:M70"/>
    <mergeCell ref="F69:F70"/>
    <mergeCell ref="A75:A76"/>
    <mergeCell ref="B75:B76"/>
    <mergeCell ref="C75:C76"/>
    <mergeCell ref="D75:D76"/>
    <mergeCell ref="E75:E76"/>
    <mergeCell ref="A73:A74"/>
    <mergeCell ref="B73:B74"/>
    <mergeCell ref="C73:C74"/>
    <mergeCell ref="D73:D74"/>
    <mergeCell ref="E73:E74"/>
    <mergeCell ref="F75:F76"/>
    <mergeCell ref="G75:G76"/>
    <mergeCell ref="J75:J76"/>
    <mergeCell ref="K75:K76"/>
    <mergeCell ref="L75:L76"/>
    <mergeCell ref="M75:M76"/>
    <mergeCell ref="G73:G74"/>
    <mergeCell ref="J73:J74"/>
    <mergeCell ref="K73:K74"/>
    <mergeCell ref="L73:L74"/>
    <mergeCell ref="M73:M74"/>
    <mergeCell ref="F73:F74"/>
    <mergeCell ref="A79:A80"/>
    <mergeCell ref="B79:B80"/>
    <mergeCell ref="C79:C80"/>
    <mergeCell ref="D79:D80"/>
    <mergeCell ref="E79:E80"/>
    <mergeCell ref="A77:A78"/>
    <mergeCell ref="B77:B78"/>
    <mergeCell ref="C77:C78"/>
    <mergeCell ref="D77:D78"/>
    <mergeCell ref="E77:E78"/>
    <mergeCell ref="F79:F80"/>
    <mergeCell ref="G79:G80"/>
    <mergeCell ref="J79:J80"/>
    <mergeCell ref="K79:K80"/>
    <mergeCell ref="L79:L80"/>
    <mergeCell ref="M79:M80"/>
    <mergeCell ref="G77:G78"/>
    <mergeCell ref="J77:J78"/>
    <mergeCell ref="K77:K78"/>
    <mergeCell ref="L77:L78"/>
    <mergeCell ref="M77:M78"/>
    <mergeCell ref="F77:F78"/>
    <mergeCell ref="A83:A84"/>
    <mergeCell ref="B83:B84"/>
    <mergeCell ref="C83:C84"/>
    <mergeCell ref="D83:D84"/>
    <mergeCell ref="E83:E84"/>
    <mergeCell ref="A81:A82"/>
    <mergeCell ref="B81:B82"/>
    <mergeCell ref="C81:C82"/>
    <mergeCell ref="D81:D82"/>
    <mergeCell ref="E81:E82"/>
    <mergeCell ref="F83:F84"/>
    <mergeCell ref="G83:G84"/>
    <mergeCell ref="J83:J84"/>
    <mergeCell ref="K83:K84"/>
    <mergeCell ref="L83:L84"/>
    <mergeCell ref="M83:M84"/>
    <mergeCell ref="G81:G82"/>
    <mergeCell ref="J81:J82"/>
    <mergeCell ref="K81:K82"/>
    <mergeCell ref="L81:L82"/>
    <mergeCell ref="M81:M82"/>
    <mergeCell ref="F81:F82"/>
    <mergeCell ref="F85:F86"/>
    <mergeCell ref="A87:A88"/>
    <mergeCell ref="B87:B88"/>
    <mergeCell ref="C87:C88"/>
    <mergeCell ref="D87:D88"/>
    <mergeCell ref="E87:E88"/>
    <mergeCell ref="A85:A86"/>
    <mergeCell ref="B85:B86"/>
    <mergeCell ref="C85:C86"/>
    <mergeCell ref="D85:D86"/>
    <mergeCell ref="E85:E86"/>
    <mergeCell ref="J87:J88"/>
    <mergeCell ref="K87:K88"/>
    <mergeCell ref="L87:L88"/>
    <mergeCell ref="M87:M88"/>
    <mergeCell ref="G85:G86"/>
    <mergeCell ref="J85:J86"/>
    <mergeCell ref="K85:K86"/>
    <mergeCell ref="L85:L86"/>
    <mergeCell ref="M85:M86"/>
    <mergeCell ref="M89:M90"/>
    <mergeCell ref="F89:F90"/>
    <mergeCell ref="L17:L18"/>
    <mergeCell ref="M17:M18"/>
    <mergeCell ref="A17:A18"/>
    <mergeCell ref="B17:B18"/>
    <mergeCell ref="C17:C18"/>
    <mergeCell ref="D17:D18"/>
    <mergeCell ref="E17:E18"/>
    <mergeCell ref="F17:F18"/>
    <mergeCell ref="G17:G18"/>
    <mergeCell ref="J17:J18"/>
    <mergeCell ref="K17:K18"/>
    <mergeCell ref="A89:A90"/>
    <mergeCell ref="B89:B90"/>
    <mergeCell ref="C89:C90"/>
    <mergeCell ref="D89:D90"/>
    <mergeCell ref="E89:E90"/>
    <mergeCell ref="G89:G90"/>
    <mergeCell ref="J89:J90"/>
    <mergeCell ref="K89:K90"/>
    <mergeCell ref="L89:L90"/>
    <mergeCell ref="F87:F88"/>
    <mergeCell ref="G87:G88"/>
  </mergeCells>
  <dataValidations disablePrompts="1" count="1">
    <dataValidation type="list" allowBlank="1" showInputMessage="1" showErrorMessage="1" sqref="L7:L86" xr:uid="{00000000-0002-0000-0600-000000000000}">
      <formula1>$L$92:$L$97</formula1>
    </dataValidation>
  </dataValidations>
  <printOptions horizontalCentered="1" verticalCentered="1"/>
  <pageMargins left="0.35" right="0.35" top="0.5" bottom="0.5" header="0.3" footer="0.3"/>
  <pageSetup scale="85" fitToHeight="4" orientation="landscape" r:id="rId1"/>
  <headerFooter>
    <oddHeader>&amp;LXTO Energy Inc.&amp;CHusky CDP&amp;ROctober 2019: Revision 0</oddHeader>
    <oddFooter>&amp;L&amp;8Form Revision: 5/3/2016&amp;C&amp;8Table 2-A:  Page &amp;P&amp;R&amp;8Printed &amp;D &amp;T</oddFooter>
  </headerFooter>
  <rowBreaks count="3" manualBreakCount="3">
    <brk id="30" max="12" man="1"/>
    <brk id="54" max="12" man="1"/>
    <brk id="78" max="1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9">
    <tabColor theme="3" tint="-0.249977111117893"/>
    <pageSetUpPr fitToPage="1"/>
  </sheetPr>
  <dimension ref="A1:Y63"/>
  <sheetViews>
    <sheetView view="pageBreakPreview" topLeftCell="A23" zoomScale="55" zoomScaleNormal="100" zoomScaleSheetLayoutView="55" zoomScalePageLayoutView="55" workbookViewId="0">
      <selection activeCell="E19" sqref="E19:R19"/>
    </sheetView>
  </sheetViews>
  <sheetFormatPr defaultColWidth="9.36328125" defaultRowHeight="12.5"/>
  <cols>
    <col min="1" max="1" width="4.36328125" style="48" customWidth="1"/>
    <col min="2" max="2" width="26.6328125" style="48" customWidth="1"/>
    <col min="3" max="3" width="12.54296875" style="48" customWidth="1"/>
    <col min="4" max="12" width="18.54296875" style="48" customWidth="1"/>
    <col min="13" max="13" width="15.6328125" style="48" customWidth="1"/>
    <col min="14" max="14" width="13.54296875" style="48" customWidth="1"/>
    <col min="15" max="15" width="14.6328125" style="48" customWidth="1"/>
    <col min="16" max="16" width="1.36328125" style="48" customWidth="1"/>
    <col min="17" max="17" width="12" style="48" customWidth="1"/>
    <col min="18" max="18" width="13.6328125" style="48" customWidth="1"/>
    <col min="19" max="19" width="10" style="48" customWidth="1"/>
    <col min="20" max="20" width="11.453125" style="48" customWidth="1"/>
    <col min="21" max="21" width="4.453125" style="48" customWidth="1"/>
    <col min="22" max="16384" width="9.36328125" style="48"/>
  </cols>
  <sheetData>
    <row r="1" spans="1:25" ht="13.5" thickBot="1">
      <c r="A1" s="640"/>
      <c r="B1" s="641"/>
      <c r="C1" s="641"/>
      <c r="D1" s="641"/>
      <c r="E1" s="641"/>
      <c r="F1" s="641"/>
      <c r="G1" s="641"/>
      <c r="H1" s="641"/>
      <c r="I1" s="641"/>
      <c r="J1" s="641"/>
      <c r="K1" s="641"/>
      <c r="L1" s="641"/>
      <c r="M1" s="641"/>
      <c r="N1" s="641"/>
      <c r="O1" s="641"/>
      <c r="P1" s="641"/>
      <c r="Q1" s="641"/>
      <c r="R1" s="641"/>
      <c r="S1" s="641"/>
      <c r="T1" s="641"/>
      <c r="U1" s="642"/>
    </row>
    <row r="2" spans="1:25" ht="20.5">
      <c r="A2" s="643"/>
      <c r="B2" s="4657" t="str">
        <f>'Hrly (FL1-FL3)'!B2:M2</f>
        <v>XTO ENERGY INC.</v>
      </c>
      <c r="C2" s="4658"/>
      <c r="D2" s="4658"/>
      <c r="E2" s="4658"/>
      <c r="F2" s="4658"/>
      <c r="G2" s="4658"/>
      <c r="H2" s="4658"/>
      <c r="I2" s="4658"/>
      <c r="J2" s="4658"/>
      <c r="K2" s="4658"/>
      <c r="L2" s="4658"/>
      <c r="M2" s="4658"/>
      <c r="N2" s="4658"/>
      <c r="O2" s="4658"/>
      <c r="P2" s="4658"/>
      <c r="Q2" s="4658"/>
      <c r="R2" s="4658"/>
      <c r="S2" s="4658"/>
      <c r="T2" s="4659"/>
      <c r="U2" s="644"/>
    </row>
    <row r="3" spans="1:25" ht="20.5">
      <c r="A3" s="643"/>
      <c r="B3" s="4660" t="str">
        <f>'Hrly (FL1-FL3)'!B3:M3</f>
        <v>HUSKY CDP</v>
      </c>
      <c r="C3" s="4661"/>
      <c r="D3" s="4661"/>
      <c r="E3" s="4661"/>
      <c r="F3" s="4661"/>
      <c r="G3" s="4661"/>
      <c r="H3" s="4661"/>
      <c r="I3" s="4661"/>
      <c r="J3" s="4661"/>
      <c r="K3" s="4661"/>
      <c r="L3" s="4661"/>
      <c r="M3" s="4661"/>
      <c r="N3" s="4661"/>
      <c r="O3" s="4661"/>
      <c r="P3" s="4661"/>
      <c r="Q3" s="4661"/>
      <c r="R3" s="4661"/>
      <c r="S3" s="4661"/>
      <c r="T3" s="4662"/>
      <c r="U3" s="644"/>
    </row>
    <row r="4" spans="1:25" ht="21" thickBot="1">
      <c r="A4" s="643"/>
      <c r="B4" s="4663" t="s">
        <v>820</v>
      </c>
      <c r="C4" s="4665"/>
      <c r="D4" s="4665"/>
      <c r="E4" s="4665"/>
      <c r="F4" s="4665"/>
      <c r="G4" s="4665"/>
      <c r="H4" s="4665"/>
      <c r="I4" s="4665"/>
      <c r="J4" s="4665"/>
      <c r="K4" s="4665"/>
      <c r="L4" s="4664"/>
      <c r="M4" s="4665"/>
      <c r="N4" s="4665"/>
      <c r="O4" s="4665"/>
      <c r="P4" s="4665"/>
      <c r="Q4" s="4665"/>
      <c r="R4" s="4665"/>
      <c r="S4" s="4665"/>
      <c r="T4" s="4666"/>
      <c r="U4" s="644"/>
    </row>
    <row r="5" spans="1:25" ht="18.5" thickBot="1">
      <c r="A5" s="645"/>
      <c r="B5" s="646"/>
      <c r="C5" s="646"/>
      <c r="D5" s="646"/>
      <c r="E5" s="646"/>
      <c r="F5" s="646"/>
      <c r="G5" s="646"/>
      <c r="H5" s="646"/>
      <c r="I5" s="646"/>
      <c r="J5" s="646"/>
      <c r="K5" s="646"/>
      <c r="L5" s="646"/>
      <c r="M5" s="646"/>
      <c r="N5" s="646"/>
      <c r="O5" s="646"/>
      <c r="P5" s="646"/>
      <c r="Q5" s="646"/>
      <c r="R5" s="646"/>
      <c r="S5" s="646"/>
      <c r="T5" s="646"/>
      <c r="U5" s="647"/>
    </row>
    <row r="6" spans="1:25" ht="23.25" customHeight="1" thickBot="1">
      <c r="A6" s="4682" t="s">
        <v>838</v>
      </c>
      <c r="B6" s="4683"/>
      <c r="C6" s="4683"/>
      <c r="D6" s="4683"/>
      <c r="E6" s="4683"/>
      <c r="F6" s="4683"/>
      <c r="G6" s="4683"/>
      <c r="H6" s="4683"/>
      <c r="I6" s="4683"/>
      <c r="J6" s="4683"/>
      <c r="K6" s="4683"/>
      <c r="L6" s="4683"/>
      <c r="M6" s="4683"/>
      <c r="N6" s="4683"/>
      <c r="O6" s="4683"/>
      <c r="P6" s="4683"/>
      <c r="Q6" s="4683"/>
      <c r="R6" s="4683"/>
      <c r="S6" s="4683"/>
      <c r="T6" s="4683"/>
      <c r="U6" s="4684"/>
    </row>
    <row r="7" spans="1:25" ht="20.25" customHeight="1" thickBot="1">
      <c r="A7" s="4830"/>
      <c r="B7" s="4831"/>
      <c r="C7" s="4831"/>
      <c r="D7" s="4831"/>
      <c r="E7" s="4831"/>
      <c r="F7" s="4831"/>
      <c r="G7" s="4831"/>
      <c r="H7" s="4831"/>
      <c r="I7" s="4831"/>
      <c r="J7" s="4831"/>
      <c r="K7" s="4831"/>
      <c r="L7" s="1765"/>
      <c r="M7" s="1765"/>
      <c r="N7" s="1765"/>
      <c r="O7" s="1765"/>
      <c r="P7" s="1765"/>
      <c r="Q7" s="1765"/>
      <c r="R7" s="1765"/>
      <c r="S7" s="1765"/>
      <c r="T7" s="1765"/>
      <c r="U7" s="649"/>
    </row>
    <row r="8" spans="1:25" ht="22.5" customHeight="1" thickBot="1">
      <c r="A8" s="1761"/>
      <c r="B8" s="4682" t="s">
        <v>1953</v>
      </c>
      <c r="C8" s="4671"/>
      <c r="D8" s="4671"/>
      <c r="E8" s="4671"/>
      <c r="F8" s="4671"/>
      <c r="G8" s="4671"/>
      <c r="H8" s="4671"/>
      <c r="I8" s="4671"/>
      <c r="J8" s="4671"/>
      <c r="K8" s="4671"/>
      <c r="L8" s="4671"/>
      <c r="M8" s="4671"/>
      <c r="N8" s="4671"/>
      <c r="O8" s="4654"/>
      <c r="P8" s="1765"/>
      <c r="Q8" s="4747" t="s">
        <v>1954</v>
      </c>
      <c r="R8" s="4748"/>
      <c r="S8" s="4748"/>
      <c r="T8" s="4749"/>
      <c r="U8" s="51"/>
      <c r="W8" s="650" t="s">
        <v>688</v>
      </c>
      <c r="X8" s="650"/>
      <c r="Y8" s="650">
        <v>34.08</v>
      </c>
    </row>
    <row r="9" spans="1:25" ht="26.25" customHeight="1">
      <c r="A9" s="1761"/>
      <c r="B9" s="4821" t="s">
        <v>2</v>
      </c>
      <c r="C9" s="4783" t="s">
        <v>1948</v>
      </c>
      <c r="D9" s="4832" t="s">
        <v>1468</v>
      </c>
      <c r="E9" s="4833"/>
      <c r="F9" s="4832" t="s">
        <v>1469</v>
      </c>
      <c r="G9" s="4833"/>
      <c r="H9" s="4832" t="s">
        <v>1271</v>
      </c>
      <c r="I9" s="4833"/>
      <c r="J9" s="4832" t="s">
        <v>1270</v>
      </c>
      <c r="K9" s="4833"/>
      <c r="L9" s="4735" t="s">
        <v>1471</v>
      </c>
      <c r="M9" s="4839" t="s">
        <v>19</v>
      </c>
      <c r="N9" s="4516" t="s">
        <v>683</v>
      </c>
      <c r="O9" s="4518" t="s">
        <v>700</v>
      </c>
      <c r="P9" s="3088"/>
      <c r="Q9" s="4742" t="s">
        <v>2</v>
      </c>
      <c r="R9" s="4745" t="s">
        <v>685</v>
      </c>
      <c r="S9" s="4742" t="s">
        <v>686</v>
      </c>
      <c r="T9" s="4518" t="s">
        <v>687</v>
      </c>
      <c r="U9" s="51"/>
      <c r="W9" s="650" t="s">
        <v>689</v>
      </c>
      <c r="X9" s="650"/>
      <c r="Y9" s="650">
        <v>64.06</v>
      </c>
    </row>
    <row r="10" spans="1:25" ht="18" customHeight="1">
      <c r="A10" s="1761"/>
      <c r="B10" s="4822"/>
      <c r="C10" s="4842"/>
      <c r="D10" s="3090" t="s">
        <v>816</v>
      </c>
      <c r="E10" s="3090" t="s">
        <v>817</v>
      </c>
      <c r="F10" s="3090" t="s">
        <v>816</v>
      </c>
      <c r="G10" s="3090" t="s">
        <v>817</v>
      </c>
      <c r="H10" s="3090" t="s">
        <v>816</v>
      </c>
      <c r="I10" s="3090" t="s">
        <v>817</v>
      </c>
      <c r="J10" s="3090" t="s">
        <v>816</v>
      </c>
      <c r="K10" s="3090" t="s">
        <v>817</v>
      </c>
      <c r="L10" s="4736"/>
      <c r="M10" s="4840"/>
      <c r="N10" s="4756"/>
      <c r="O10" s="4741"/>
      <c r="P10" s="3088"/>
      <c r="Q10" s="4764"/>
      <c r="R10" s="4755"/>
      <c r="S10" s="4764"/>
      <c r="T10" s="4741"/>
      <c r="U10" s="51"/>
      <c r="W10" s="650" t="s">
        <v>691</v>
      </c>
      <c r="X10" s="650"/>
      <c r="Y10" s="651">
        <v>0.98</v>
      </c>
    </row>
    <row r="11" spans="1:25" ht="16" thickBot="1">
      <c r="A11" s="1761"/>
      <c r="B11" s="4823"/>
      <c r="C11" s="3166" t="s">
        <v>701</v>
      </c>
      <c r="D11" s="3167" t="s">
        <v>701</v>
      </c>
      <c r="E11" s="3167" t="s">
        <v>701</v>
      </c>
      <c r="F11" s="3167" t="s">
        <v>701</v>
      </c>
      <c r="G11" s="3167" t="s">
        <v>701</v>
      </c>
      <c r="H11" s="3167" t="s">
        <v>701</v>
      </c>
      <c r="I11" s="3167" t="s">
        <v>701</v>
      </c>
      <c r="J11" s="3167" t="s">
        <v>701</v>
      </c>
      <c r="K11" s="3167" t="s">
        <v>701</v>
      </c>
      <c r="L11" s="3167" t="s">
        <v>701</v>
      </c>
      <c r="M11" s="3168" t="s">
        <v>701</v>
      </c>
      <c r="N11" s="3091" t="s">
        <v>690</v>
      </c>
      <c r="O11" s="3094" t="s">
        <v>701</v>
      </c>
      <c r="P11" s="1765"/>
      <c r="Q11" s="4841"/>
      <c r="R11" s="3168" t="s">
        <v>701</v>
      </c>
      <c r="S11" s="4765"/>
      <c r="T11" s="4757"/>
      <c r="U11" s="51"/>
    </row>
    <row r="12" spans="1:25" ht="18.5">
      <c r="A12" s="1761"/>
      <c r="B12" s="3096" t="s">
        <v>298</v>
      </c>
      <c r="C12" s="3169">
        <f>'Hrly (ECD1)'!C12*8760/2000</f>
        <v>0</v>
      </c>
      <c r="D12" s="1835">
        <f>'Hrly (ECD1)'!D12*8760/2000</f>
        <v>4.998582006397219E-4</v>
      </c>
      <c r="E12" s="1835">
        <f>'Hrly (ECD1)'!E12*8760/2000</f>
        <v>1.3156663029068689</v>
      </c>
      <c r="F12" s="1835">
        <f>'Hrly (ECD1)'!F12*8760/2000</f>
        <v>2.6988457855104633</v>
      </c>
      <c r="G12" s="1835">
        <f>'Hrly (ECD1)'!G12*8760/2000</f>
        <v>22.904272347240887</v>
      </c>
      <c r="H12" s="1835">
        <f>'Hrly (ECD1)'!H12*8760/2000</f>
        <v>3.4533434558966194</v>
      </c>
      <c r="I12" s="1835">
        <f>'Hrly (ECD1)'!I12*8760/2000</f>
        <v>0</v>
      </c>
      <c r="J12" s="1835">
        <f>'Hrly (ECD1)'!J12*8760/2000</f>
        <v>1.3727346277231869E-4</v>
      </c>
      <c r="K12" s="1835">
        <f>'Hrly (ECD1)'!K12*8760/2000</f>
        <v>6.6858631354172596E-2</v>
      </c>
      <c r="L12" s="1835">
        <f>'Load-Slop Oil'!F54</f>
        <v>1.382977420379442E-4</v>
      </c>
      <c r="M12" s="1836">
        <f>SUM(C12:L12)</f>
        <v>30.439761952314459</v>
      </c>
      <c r="N12" s="3170">
        <f>'Hrly (ECD1)'!N12</f>
        <v>0</v>
      </c>
      <c r="O12" s="3171">
        <f>M12*(1-N12)</f>
        <v>30.439761952314459</v>
      </c>
      <c r="P12" s="3172"/>
      <c r="Q12" s="3101" t="s">
        <v>1949</v>
      </c>
      <c r="R12" s="3173">
        <f>M47*S12/2000</f>
        <v>6.0866344473776257</v>
      </c>
      <c r="S12" s="3174">
        <v>0.13800000000000001</v>
      </c>
      <c r="T12" s="3104" t="s">
        <v>287</v>
      </c>
      <c r="U12" s="51"/>
    </row>
    <row r="13" spans="1:25" ht="17.149999999999999" customHeight="1">
      <c r="A13" s="1761"/>
      <c r="B13" s="3105" t="s">
        <v>5</v>
      </c>
      <c r="C13" s="3097">
        <f>'Hrly (ECD1)'!C13*8760/2000</f>
        <v>9.8340303354935312E-6</v>
      </c>
      <c r="D13" s="3175">
        <f>'Hrly (ECD1)'!D13*8760/2000</f>
        <v>0</v>
      </c>
      <c r="E13" s="3175">
        <f>'Hrly (ECD1)'!E13*8760/2000</f>
        <v>0</v>
      </c>
      <c r="F13" s="3175">
        <f>'Hrly (ECD1)'!F13*8760/2000</f>
        <v>0</v>
      </c>
      <c r="G13" s="3175">
        <f>'Hrly (ECD1)'!G13*8760/2000</f>
        <v>0</v>
      </c>
      <c r="H13" s="3175">
        <f>'Hrly (ECD1)'!H13*8760/2000</f>
        <v>0</v>
      </c>
      <c r="I13" s="3175">
        <f>'Hrly (ECD1)'!I13*8760/2000</f>
        <v>0</v>
      </c>
      <c r="J13" s="3175">
        <f>'Hrly (ECD1)'!J13*8760/2000</f>
        <v>0</v>
      </c>
      <c r="K13" s="3175">
        <f>'Hrly (ECD1)'!K13*8760/2000</f>
        <v>0</v>
      </c>
      <c r="L13" s="3175">
        <f>'Load-Slop Oil'!F55</f>
        <v>0</v>
      </c>
      <c r="M13" s="3106">
        <f>SUM(C13:L13)</f>
        <v>9.8340303354935312E-6</v>
      </c>
      <c r="N13" s="3176">
        <f>S19/100</f>
        <v>0.99</v>
      </c>
      <c r="O13" s="3108">
        <f t="shared" ref="O13:O39" si="0">M13*(1-N13)</f>
        <v>9.8340303354935399E-8</v>
      </c>
      <c r="P13" s="3172"/>
      <c r="Q13" s="3109" t="s">
        <v>0</v>
      </c>
      <c r="R13" s="3177">
        <f>M47*S13/2000</f>
        <v>12.151215871395186</v>
      </c>
      <c r="S13" s="3178">
        <v>0.27550000000000002</v>
      </c>
      <c r="T13" s="3112" t="s">
        <v>287</v>
      </c>
      <c r="U13" s="51"/>
      <c r="W13" s="650" t="s">
        <v>702</v>
      </c>
    </row>
    <row r="14" spans="1:25" ht="16.5" customHeight="1">
      <c r="A14" s="1761"/>
      <c r="B14" s="3105" t="s">
        <v>4</v>
      </c>
      <c r="C14" s="3097">
        <f>'Hrly (ECD1)'!C14*8760/2000</f>
        <v>0.73557654314118048</v>
      </c>
      <c r="D14" s="3175">
        <f>'Hrly (ECD1)'!D14*8760/2000</f>
        <v>0</v>
      </c>
      <c r="E14" s="3175">
        <f>'Hrly (ECD1)'!E14*8760/2000</f>
        <v>0</v>
      </c>
      <c r="F14" s="3175">
        <f>'Hrly (ECD1)'!F14*8760/2000</f>
        <v>0</v>
      </c>
      <c r="G14" s="3175">
        <f>'Hrly (ECD1)'!G14*8760/2000</f>
        <v>0</v>
      </c>
      <c r="H14" s="3175">
        <f>'Hrly (ECD1)'!H14*8760/2000</f>
        <v>0</v>
      </c>
      <c r="I14" s="3175">
        <f>'Hrly (ECD1)'!I14*8760/2000</f>
        <v>0</v>
      </c>
      <c r="J14" s="3175">
        <f>'Hrly (ECD1)'!J14*8760/2000</f>
        <v>7.7643980021956669E-5</v>
      </c>
      <c r="K14" s="3175">
        <f>'Hrly (ECD1)'!K14*8760/2000</f>
        <v>1.3908416004201627E-3</v>
      </c>
      <c r="L14" s="3175">
        <f>'Load-Slop Oil'!F56</f>
        <v>0</v>
      </c>
      <c r="M14" s="3106">
        <f t="shared" ref="M14:M39" si="1">SUM(C14:L14)</f>
        <v>0.73704502872162259</v>
      </c>
      <c r="N14" s="3176">
        <f>'Hrly (ECD1)'!N14</f>
        <v>0</v>
      </c>
      <c r="O14" s="3108">
        <f t="shared" si="0"/>
        <v>0.73704502872162259</v>
      </c>
      <c r="P14" s="3172"/>
      <c r="Q14" s="3109" t="s">
        <v>51</v>
      </c>
      <c r="R14" s="3177">
        <f>M45</f>
        <v>0</v>
      </c>
      <c r="S14" s="3179" t="s">
        <v>445</v>
      </c>
      <c r="T14" s="3114" t="s">
        <v>445</v>
      </c>
      <c r="U14" s="51"/>
      <c r="W14" s="672">
        <v>8760</v>
      </c>
    </row>
    <row r="15" spans="1:25" ht="16.5" customHeight="1">
      <c r="A15" s="1761"/>
      <c r="B15" s="3105" t="s">
        <v>3</v>
      </c>
      <c r="C15" s="3097">
        <f>'Hrly (ECD1)'!C15*8760/2000</f>
        <v>0</v>
      </c>
      <c r="D15" s="3175">
        <f>'Hrly (ECD1)'!D15*8760/2000</f>
        <v>7.2722117451871329E-4</v>
      </c>
      <c r="E15" s="3175">
        <f>'Hrly (ECD1)'!E15*8760/2000</f>
        <v>2.1019529098179968E-3</v>
      </c>
      <c r="F15" s="3175">
        <f>'Hrly (ECD1)'!F15*8760/2000</f>
        <v>0</v>
      </c>
      <c r="G15" s="3175">
        <f>'Hrly (ECD1)'!G15*8760/2000</f>
        <v>0</v>
      </c>
      <c r="H15" s="3175">
        <f>'Hrly (ECD1)'!H15*8760/2000</f>
        <v>0</v>
      </c>
      <c r="I15" s="3175">
        <f>'Hrly (ECD1)'!I15*8760/2000</f>
        <v>0</v>
      </c>
      <c r="J15" s="3175">
        <f>'Hrly (ECD1)'!J15*8760/2000</f>
        <v>0.10650399087207378</v>
      </c>
      <c r="K15" s="3175">
        <f>'Hrly (ECD1)'!K15*8760/2000</f>
        <v>5.8721640513715874E-2</v>
      </c>
      <c r="L15" s="3175">
        <f>'Load-Slop Oil'!F57</f>
        <v>2.0120315375321654E-4</v>
      </c>
      <c r="M15" s="3106">
        <f t="shared" si="1"/>
        <v>0.16825600862387957</v>
      </c>
      <c r="N15" s="3176">
        <v>0</v>
      </c>
      <c r="O15" s="3108">
        <f t="shared" si="0"/>
        <v>0.16825600862387957</v>
      </c>
      <c r="P15" s="3172"/>
      <c r="Q15" s="3109" t="s">
        <v>1950</v>
      </c>
      <c r="R15" s="3177">
        <f>M46/10^6*S15/2000</f>
        <v>0.12880069625799914</v>
      </c>
      <c r="S15" s="3180">
        <v>7.6</v>
      </c>
      <c r="T15" s="3117" t="s">
        <v>587</v>
      </c>
      <c r="U15" s="51"/>
      <c r="W15" s="48" t="s">
        <v>703</v>
      </c>
      <c r="X15" s="672">
        <v>31</v>
      </c>
    </row>
    <row r="16" spans="1:25" ht="16.5" customHeight="1">
      <c r="A16" s="1761"/>
      <c r="B16" s="3105" t="s">
        <v>6</v>
      </c>
      <c r="C16" s="3097">
        <f>'Hrly (ECD1)'!C16*8760/2000</f>
        <v>36.74074869907929</v>
      </c>
      <c r="D16" s="3175">
        <f>'Hrly (ECD1)'!D16*8760/2000</f>
        <v>1.9452514705485321E-3</v>
      </c>
      <c r="E16" s="3175">
        <f>'Hrly (ECD1)'!E16*8760/2000</f>
        <v>2.8111013546918931E-2</v>
      </c>
      <c r="F16" s="3175">
        <f>'Hrly (ECD1)'!F16*8760/2000</f>
        <v>0</v>
      </c>
      <c r="G16" s="3175">
        <f>'Hrly (ECD1)'!G16*8760/2000</f>
        <v>0</v>
      </c>
      <c r="H16" s="3175">
        <f>'Hrly (ECD1)'!H16*8760/2000</f>
        <v>0</v>
      </c>
      <c r="I16" s="3175">
        <f>'Hrly (ECD1)'!I16*8760/2000</f>
        <v>0</v>
      </c>
      <c r="J16" s="3175">
        <f>'Hrly (ECD1)'!J16*8760/2000</f>
        <v>0.22793117306662108</v>
      </c>
      <c r="K16" s="3175">
        <f>'Hrly (ECD1)'!K16*8760/2000</f>
        <v>0.77382448042942586</v>
      </c>
      <c r="L16" s="3175">
        <f>'Load-Slop Oil'!F58</f>
        <v>5.3820040509199431E-4</v>
      </c>
      <c r="M16" s="3106">
        <f t="shared" si="1"/>
        <v>37.773098817997898</v>
      </c>
      <c r="N16" s="3176">
        <f>$N$13</f>
        <v>0.99</v>
      </c>
      <c r="O16" s="3108">
        <f t="shared" si="0"/>
        <v>0.3777309881799793</v>
      </c>
      <c r="P16" s="3172"/>
      <c r="Q16" s="3109" t="s">
        <v>1951</v>
      </c>
      <c r="R16" s="3177">
        <f>M46/10^6*S16/2000</f>
        <v>0.12880069625799914</v>
      </c>
      <c r="S16" s="3180">
        <v>7.6</v>
      </c>
      <c r="T16" s="3117" t="s">
        <v>587</v>
      </c>
      <c r="U16" s="51"/>
      <c r="W16" s="48" t="s">
        <v>24</v>
      </c>
      <c r="X16" s="672">
        <v>8760</v>
      </c>
    </row>
    <row r="17" spans="1:21" ht="16.5" customHeight="1" thickBot="1">
      <c r="A17" s="1761"/>
      <c r="B17" s="3105" t="s">
        <v>7</v>
      </c>
      <c r="C17" s="3097">
        <f>'Hrly (ECD1)'!C17*8760/2000</f>
        <v>14.697843726170849</v>
      </c>
      <c r="D17" s="3175">
        <f>'Hrly (ECD1)'!D17*8760/2000</f>
        <v>4.5036871921519559</v>
      </c>
      <c r="E17" s="3175">
        <f>'Hrly (ECD1)'!E17*8760/2000</f>
        <v>7.6512194322174958</v>
      </c>
      <c r="F17" s="3175">
        <f>'Hrly (ECD1)'!F17*8760/2000</f>
        <v>0.64572787141812338</v>
      </c>
      <c r="G17" s="3175">
        <f>'Hrly (ECD1)'!G17*8760/2000</f>
        <v>129.24105874979597</v>
      </c>
      <c r="H17" s="3175">
        <f>'Hrly (ECD1)'!H17*8760/2000</f>
        <v>3.3236398707925788E-2</v>
      </c>
      <c r="I17" s="3175">
        <f>'Hrly (ECD1)'!I17*8760/2000</f>
        <v>0</v>
      </c>
      <c r="J17" s="3175">
        <f>'Hrly (ECD1)'!J17*8760/2000</f>
        <v>63.658662534198321</v>
      </c>
      <c r="K17" s="3175">
        <f>'Hrly (ECD1)'!K17*8760/2000</f>
        <v>17.512637963386478</v>
      </c>
      <c r="L17" s="3175">
        <f>'Load-Slop Oil'!F59</f>
        <v>1.2460529180529545</v>
      </c>
      <c r="M17" s="3106">
        <f t="shared" si="1"/>
        <v>239.19012678610005</v>
      </c>
      <c r="N17" s="3176">
        <f>$N$13</f>
        <v>0.99</v>
      </c>
      <c r="O17" s="3108">
        <f t="shared" si="0"/>
        <v>2.3919012678610025</v>
      </c>
      <c r="P17" s="3172"/>
      <c r="Q17" s="3119" t="s">
        <v>1952</v>
      </c>
      <c r="R17" s="3181">
        <f>R14*1.88</f>
        <v>0</v>
      </c>
      <c r="S17" s="3182" t="s">
        <v>445</v>
      </c>
      <c r="T17" s="3122" t="s">
        <v>445</v>
      </c>
      <c r="U17" s="51"/>
    </row>
    <row r="18" spans="1:21" ht="16.5" customHeight="1" thickBot="1">
      <c r="A18" s="1761"/>
      <c r="B18" s="3105" t="s">
        <v>8</v>
      </c>
      <c r="C18" s="3097">
        <f>'Hrly (ECD1)'!C18*8760/2000</f>
        <v>2.3793466333258553</v>
      </c>
      <c r="D18" s="3175">
        <f>'Hrly (ECD1)'!D18*8760/2000</f>
        <v>14.307174235625338</v>
      </c>
      <c r="E18" s="3175">
        <f>'Hrly (ECD1)'!E18*8760/2000</f>
        <v>26.123952831271279</v>
      </c>
      <c r="F18" s="3175">
        <f>'Hrly (ECD1)'!F18*8760/2000</f>
        <v>1.349048997555121</v>
      </c>
      <c r="G18" s="3175">
        <f>'Hrly (ECD1)'!G18*8760/2000</f>
        <v>393.89178962227396</v>
      </c>
      <c r="H18" s="3175">
        <f>'Hrly (ECD1)'!H18*8760/2000</f>
        <v>1.6301524870479003E-2</v>
      </c>
      <c r="I18" s="3175">
        <f>'Hrly (ECD1)'!I18*8760/2000</f>
        <v>0</v>
      </c>
      <c r="J18" s="3175">
        <f>'Hrly (ECD1)'!J18*8760/2000</f>
        <v>231.1102896364558</v>
      </c>
      <c r="K18" s="3175">
        <f>'Hrly (ECD1)'!K18*8760/2000</f>
        <v>59.791354433128831</v>
      </c>
      <c r="L18" s="3175">
        <f>'Load-Slop Oil'!F60</f>
        <v>3.9584223869852551</v>
      </c>
      <c r="M18" s="3106">
        <f t="shared" si="1"/>
        <v>732.92768030149193</v>
      </c>
      <c r="N18" s="3176">
        <f>$N$13</f>
        <v>0.99</v>
      </c>
      <c r="O18" s="3108">
        <f t="shared" si="0"/>
        <v>7.3292768030149258</v>
      </c>
      <c r="P18" s="3172"/>
      <c r="Q18" s="1762"/>
      <c r="R18" s="1762"/>
      <c r="S18" s="1762"/>
      <c r="T18" s="1762"/>
      <c r="U18" s="51"/>
    </row>
    <row r="19" spans="1:21" ht="16.5" customHeight="1" thickBot="1">
      <c r="A19" s="1761"/>
      <c r="B19" s="3105" t="s">
        <v>747</v>
      </c>
      <c r="C19" s="3097">
        <f>'Hrly (ECD1)'!C19*8760/2000</f>
        <v>0</v>
      </c>
      <c r="D19" s="3175">
        <f>'Hrly (ECD1)'!D19*8760/2000</f>
        <v>3.4159123811716685</v>
      </c>
      <c r="E19" s="3175">
        <f>'Hrly (ECD1)'!E19*8760/2000</f>
        <v>6.4153008700848826</v>
      </c>
      <c r="F19" s="3175">
        <f>'Hrly (ECD1)'!F19*8760/2000</f>
        <v>0.28417859400470463</v>
      </c>
      <c r="G19" s="3175">
        <f>'Hrly (ECD1)'!G19*8760/2000</f>
        <v>96.266202495078645</v>
      </c>
      <c r="H19" s="3175">
        <f>'Hrly (ECD1)'!H19*8760/2000</f>
        <v>9.5099291529549142E-4</v>
      </c>
      <c r="I19" s="3175">
        <f>'Hrly (ECD1)'!I19*8760/2000</f>
        <v>0</v>
      </c>
      <c r="J19" s="3175">
        <f>'Hrly (ECD1)'!J19*8760/2000</f>
        <v>52.682879096259498</v>
      </c>
      <c r="K19" s="3175">
        <f>'Hrly (ECD1)'!K19*8760/2000</f>
        <v>13.36827064718865</v>
      </c>
      <c r="L19" s="3175">
        <f>'Load-Slop Oil'!F61</f>
        <v>0.9450939660705856</v>
      </c>
      <c r="M19" s="3106">
        <f t="shared" si="1"/>
        <v>173.37878904277389</v>
      </c>
      <c r="N19" s="3176">
        <v>0.98</v>
      </c>
      <c r="O19" s="3108">
        <f t="shared" si="0"/>
        <v>3.4675757808554808</v>
      </c>
      <c r="P19" s="3172"/>
      <c r="Q19" s="4724" t="s">
        <v>818</v>
      </c>
      <c r="R19" s="4725"/>
      <c r="S19" s="3126">
        <v>99</v>
      </c>
      <c r="T19" s="3127" t="s">
        <v>296</v>
      </c>
      <c r="U19" s="51"/>
    </row>
    <row r="20" spans="1:21" ht="16.5" customHeight="1">
      <c r="A20" s="1761"/>
      <c r="B20" s="3105" t="s">
        <v>748</v>
      </c>
      <c r="C20" s="3097">
        <f>'Hrly (ECD1)'!C20*8760/2000</f>
        <v>0</v>
      </c>
      <c r="D20" s="3175">
        <f>'Hrly (ECD1)'!D20*8760/2000</f>
        <v>8.3156497938755258</v>
      </c>
      <c r="E20" s="3175">
        <f>'Hrly (ECD1)'!E20*8760/2000</f>
        <v>15.358434679715565</v>
      </c>
      <c r="F20" s="3175">
        <f>'Hrly (ECD1)'!F20*8760/2000</f>
        <v>0.6755665155874202</v>
      </c>
      <c r="G20" s="3175">
        <f>'Hrly (ECD1)'!G20*8760/2000</f>
        <v>232.94250050066731</v>
      </c>
      <c r="H20" s="3175">
        <f>'Hrly (ECD1)'!H20*8760/2000</f>
        <v>2.3048334816790248E-3</v>
      </c>
      <c r="I20" s="3175">
        <f>'Hrly (ECD1)'!I20*8760/2000</f>
        <v>0</v>
      </c>
      <c r="J20" s="3175">
        <f>'Hrly (ECD1)'!J20*8760/2000</f>
        <v>130.20472251647709</v>
      </c>
      <c r="K20" s="3175">
        <f>'Hrly (ECD1)'!K20*8760/2000</f>
        <v>32.222826641672995</v>
      </c>
      <c r="L20" s="3175">
        <f>'Load-Slop Oil'!F62</f>
        <v>2.300723662429589</v>
      </c>
      <c r="M20" s="3106">
        <f t="shared" si="1"/>
        <v>422.02272914390716</v>
      </c>
      <c r="N20" s="3176">
        <v>0.98</v>
      </c>
      <c r="O20" s="3108">
        <f t="shared" si="0"/>
        <v>8.4404545828781501</v>
      </c>
      <c r="P20" s="3172"/>
      <c r="Q20" s="1762"/>
      <c r="R20" s="1762"/>
      <c r="S20" s="1762"/>
      <c r="T20" s="1762"/>
      <c r="U20" s="51"/>
    </row>
    <row r="21" spans="1:21" ht="16.5" customHeight="1">
      <c r="A21" s="1761"/>
      <c r="B21" s="3105" t="s">
        <v>749</v>
      </c>
      <c r="C21" s="3097">
        <f>'Hrly (ECD1)'!C21*8760/2000</f>
        <v>0</v>
      </c>
      <c r="D21" s="3175">
        <f>'Hrly (ECD1)'!D21*8760/2000</f>
        <v>2.5441726001985141</v>
      </c>
      <c r="E21" s="3175">
        <f>'Hrly (ECD1)'!E21*8760/2000</f>
        <v>4.6970440488775811</v>
      </c>
      <c r="F21" s="3175">
        <f>'Hrly (ECD1)'!F21*8760/2000</f>
        <v>0.19643904901646889</v>
      </c>
      <c r="G21" s="3175">
        <f>'Hrly (ECD1)'!G21*8760/2000</f>
        <v>71.946002357504881</v>
      </c>
      <c r="H21" s="3175">
        <f>'Hrly (ECD1)'!H21*8760/2000</f>
        <v>1.8071462396504207E-4</v>
      </c>
      <c r="I21" s="3175">
        <f>'Hrly (ECD1)'!I21*8760/2000</f>
        <v>0</v>
      </c>
      <c r="J21" s="3175">
        <f>'Hrly (ECD1)'!J21*8760/2000</f>
        <v>32.619473462842429</v>
      </c>
      <c r="K21" s="3175">
        <f>'Hrly (ECD1)'!K21*8760/2000</f>
        <v>7.8718665779940116</v>
      </c>
      <c r="L21" s="3175">
        <f>'Load-Slop Oil'!F63</f>
        <v>0.70390627884459434</v>
      </c>
      <c r="M21" s="3106">
        <f t="shared" si="1"/>
        <v>120.57908508990245</v>
      </c>
      <c r="N21" s="3176">
        <v>0.98</v>
      </c>
      <c r="O21" s="3108">
        <f t="shared" si="0"/>
        <v>2.4115817017980512</v>
      </c>
      <c r="P21" s="3172"/>
      <c r="Q21" s="1762"/>
      <c r="R21" s="1762"/>
      <c r="S21" s="1762"/>
      <c r="T21" s="1762"/>
      <c r="U21" s="51"/>
    </row>
    <row r="22" spans="1:21" ht="16.5" customHeight="1">
      <c r="A22" s="1761"/>
      <c r="B22" s="3105" t="s">
        <v>750</v>
      </c>
      <c r="C22" s="3097">
        <f>'Hrly (ECD1)'!C22*8760/2000</f>
        <v>0</v>
      </c>
      <c r="D22" s="3175">
        <f>'Hrly (ECD1)'!D22*8760/2000</f>
        <v>2.5786065111616261</v>
      </c>
      <c r="E22" s="3175">
        <f>'Hrly (ECD1)'!E22*8760/2000</f>
        <v>4.8187096836609342</v>
      </c>
      <c r="F22" s="3175">
        <f>'Hrly (ECD1)'!F22*8760/2000</f>
        <v>0.19586844519725227</v>
      </c>
      <c r="G22" s="3175">
        <f>'Hrly (ECD1)'!G22*8760/2000</f>
        <v>73.850027676655401</v>
      </c>
      <c r="H22" s="3175">
        <f>'Hrly (ECD1)'!H22*8760/2000</f>
        <v>6.2734852660375858E-5</v>
      </c>
      <c r="I22" s="3175">
        <f>'Hrly (ECD1)'!I22*8760/2000</f>
        <v>0</v>
      </c>
      <c r="J22" s="3175">
        <f>'Hrly (ECD1)'!J22*8760/2000</f>
        <v>32.395012927533308</v>
      </c>
      <c r="K22" s="3175">
        <f>'Hrly (ECD1)'!K22*8760/2000</f>
        <v>7.8773947055340896</v>
      </c>
      <c r="L22" s="3175">
        <f>'Load-Slop Oil'!F64</f>
        <v>0.71343324495146088</v>
      </c>
      <c r="M22" s="3106">
        <f t="shared" si="1"/>
        <v>122.42911592954674</v>
      </c>
      <c r="N22" s="3176">
        <v>0.98</v>
      </c>
      <c r="O22" s="3108">
        <f t="shared" si="0"/>
        <v>2.4485823185909368</v>
      </c>
      <c r="P22" s="3172"/>
      <c r="Q22" s="1762"/>
      <c r="R22" s="1762"/>
      <c r="S22" s="1762"/>
      <c r="T22" s="1762"/>
      <c r="U22" s="51"/>
    </row>
    <row r="23" spans="1:21" ht="16.5" customHeight="1">
      <c r="A23" s="1761"/>
      <c r="B23" s="3105" t="s">
        <v>800</v>
      </c>
      <c r="C23" s="3097">
        <f>'Hrly (ECD1)'!C23*8760/2000</f>
        <v>0</v>
      </c>
      <c r="D23" s="3175">
        <f>'Hrly (ECD1)'!D23*8760/2000</f>
        <v>0</v>
      </c>
      <c r="E23" s="3175">
        <f>'Hrly (ECD1)'!E23*8760/2000</f>
        <v>0</v>
      </c>
      <c r="F23" s="3175">
        <f>'Hrly (ECD1)'!F23*8760/2000</f>
        <v>0</v>
      </c>
      <c r="G23" s="3175">
        <f>'Hrly (ECD1)'!G23*8760/2000</f>
        <v>0</v>
      </c>
      <c r="H23" s="3175">
        <f>'Hrly (ECD1)'!H23*8760/2000</f>
        <v>0</v>
      </c>
      <c r="I23" s="3175">
        <f>'Hrly (ECD1)'!I23*8760/2000</f>
        <v>0</v>
      </c>
      <c r="J23" s="3175">
        <f>'Hrly (ECD1)'!J23*8760/2000</f>
        <v>0</v>
      </c>
      <c r="K23" s="3175">
        <f>'Hrly (ECD1)'!K23*8760/2000</f>
        <v>0</v>
      </c>
      <c r="L23" s="3175">
        <f>'Load-Slop Oil'!F65</f>
        <v>0</v>
      </c>
      <c r="M23" s="3106">
        <f t="shared" si="1"/>
        <v>0</v>
      </c>
      <c r="N23" s="3176">
        <v>0.98</v>
      </c>
      <c r="O23" s="3108">
        <f t="shared" si="0"/>
        <v>0</v>
      </c>
      <c r="P23" s="3172"/>
      <c r="Q23" s="3183"/>
      <c r="R23" s="1762"/>
      <c r="S23" s="1762"/>
      <c r="T23" s="1762"/>
      <c r="U23" s="51"/>
    </row>
    <row r="24" spans="1:21" ht="16.5" customHeight="1">
      <c r="A24" s="1761"/>
      <c r="B24" s="3105" t="s">
        <v>292</v>
      </c>
      <c r="C24" s="3097">
        <f>'Hrly (ECD1)'!C24*8760/2000</f>
        <v>0</v>
      </c>
      <c r="D24" s="3175">
        <f>'Hrly (ECD1)'!D24*8760/2000</f>
        <v>0.98883578263361105</v>
      </c>
      <c r="E24" s="3175">
        <f>'Hrly (ECD1)'!E24*8760/2000</f>
        <v>1.8534575627218621</v>
      </c>
      <c r="F24" s="3175">
        <f>'Hrly (ECD1)'!F24*8760/2000</f>
        <v>7.2399097241218666E-2</v>
      </c>
      <c r="G24" s="3175">
        <f>'Hrly (ECD1)'!G24*8760/2000</f>
        <v>28.402228187785191</v>
      </c>
      <c r="H24" s="3175">
        <f>'Hrly (ECD1)'!H24*8760/2000</f>
        <v>1.2934537412924211E-5</v>
      </c>
      <c r="I24" s="3175">
        <f>'Hrly (ECD1)'!I24*8760/2000</f>
        <v>0</v>
      </c>
      <c r="J24" s="3175">
        <f>'Hrly (ECD1)'!J24*8760/2000</f>
        <v>11.332915631354245</v>
      </c>
      <c r="K24" s="3175">
        <f>'Hrly (ECD1)'!K24*8760/2000</f>
        <v>2.7290201809399233</v>
      </c>
      <c r="L24" s="3175">
        <f>'Load-Slop Oil'!F66</f>
        <v>0.27358510035352779</v>
      </c>
      <c r="M24" s="3106">
        <f t="shared" si="1"/>
        <v>45.652454477566998</v>
      </c>
      <c r="N24" s="3176">
        <v>0.98</v>
      </c>
      <c r="O24" s="3108">
        <f t="shared" si="0"/>
        <v>0.91304908955134079</v>
      </c>
      <c r="P24" s="3172"/>
      <c r="Q24" s="1762"/>
      <c r="R24" s="1762"/>
      <c r="S24" s="1762"/>
      <c r="T24" s="1762"/>
      <c r="U24" s="51"/>
    </row>
    <row r="25" spans="1:21" ht="16.5" customHeight="1">
      <c r="A25" s="1761"/>
      <c r="B25" s="3105" t="s">
        <v>10</v>
      </c>
      <c r="C25" s="3097">
        <f>'Hrly (ECD1)'!C25*8760/2000</f>
        <v>0</v>
      </c>
      <c r="D25" s="3175">
        <f>'Hrly (ECD1)'!D25*8760/2000</f>
        <v>0.5961849942913402</v>
      </c>
      <c r="E25" s="3175">
        <f>'Hrly (ECD1)'!E25*8760/2000</f>
        <v>1.0919765363399532</v>
      </c>
      <c r="F25" s="3175">
        <f>'Hrly (ECD1)'!F25*8760/2000</f>
        <v>4.3157532397177754E-2</v>
      </c>
      <c r="G25" s="3175">
        <f>'Hrly (ECD1)'!G25*8760/2000</f>
        <v>16.777149821000371</v>
      </c>
      <c r="H25" s="3175">
        <f>'Hrly (ECD1)'!H25*8760/2000</f>
        <v>2.8215829679778842E-6</v>
      </c>
      <c r="I25" s="3175">
        <f>'Hrly (ECD1)'!I25*8760/2000</f>
        <v>0</v>
      </c>
      <c r="J25" s="3175">
        <f>'Hrly (ECD1)'!J25*8760/2000</f>
        <v>6.4189153774049901</v>
      </c>
      <c r="K25" s="3175">
        <f>'Hrly (ECD1)'!K25*8760/2000</f>
        <v>1.4926279782991476</v>
      </c>
      <c r="L25" s="3175">
        <f>'Load-Slop Oil'!F67</f>
        <v>0.16494885637942114</v>
      </c>
      <c r="M25" s="3106">
        <f t="shared" si="1"/>
        <v>26.584963917695369</v>
      </c>
      <c r="N25" s="3176">
        <v>0.98</v>
      </c>
      <c r="O25" s="3108">
        <f t="shared" si="0"/>
        <v>0.53169927835390784</v>
      </c>
      <c r="P25" s="3172"/>
      <c r="Q25" s="1762"/>
      <c r="R25" s="1762"/>
      <c r="S25" s="1762"/>
      <c r="T25" s="1762"/>
      <c r="U25" s="51"/>
    </row>
    <row r="26" spans="1:21" ht="16.5" customHeight="1">
      <c r="A26" s="1761"/>
      <c r="B26" s="3105" t="s">
        <v>9</v>
      </c>
      <c r="C26" s="3097">
        <f>'Hrly (ECD1)'!C26*8760/2000</f>
        <v>0</v>
      </c>
      <c r="D26" s="3175">
        <f>'Hrly (ECD1)'!D26*8760/2000</f>
        <v>0.42343237665070288</v>
      </c>
      <c r="E26" s="3175">
        <f>'Hrly (ECD1)'!E26*8760/2000</f>
        <v>0.81625725431750162</v>
      </c>
      <c r="F26" s="3175">
        <f>'Hrly (ECD1)'!F26*8760/2000</f>
        <v>3.0658804336932251E-2</v>
      </c>
      <c r="G26" s="3175">
        <f>'Hrly (ECD1)'!G26*8760/2000</f>
        <v>12.514347802099334</v>
      </c>
      <c r="H26" s="3175">
        <f>'Hrly (ECD1)'!H26*8760/2000</f>
        <v>1.4646541265904669E-5</v>
      </c>
      <c r="I26" s="3175">
        <f>'Hrly (ECD1)'!I26*8760/2000</f>
        <v>0</v>
      </c>
      <c r="J26" s="3175">
        <f>'Hrly (ECD1)'!J26*8760/2000</f>
        <v>4.5866120585364358</v>
      </c>
      <c r="K26" s="3175">
        <f>'Hrly (ECD1)'!K26*8760/2000</f>
        <v>1.1293665583784123</v>
      </c>
      <c r="L26" s="3175">
        <f>'Load-Slop Oil'!F68</f>
        <v>0.11715270755107726</v>
      </c>
      <c r="M26" s="3106">
        <f t="shared" si="1"/>
        <v>19.617842208411659</v>
      </c>
      <c r="N26" s="3176">
        <v>0.98</v>
      </c>
      <c r="O26" s="3108">
        <f t="shared" si="0"/>
        <v>0.39235684416823352</v>
      </c>
      <c r="P26" s="3172"/>
      <c r="Q26" s="1762"/>
      <c r="R26" s="1762"/>
      <c r="S26" s="1762"/>
      <c r="T26" s="1762"/>
      <c r="U26" s="51"/>
    </row>
    <row r="27" spans="1:21" ht="16.5" customHeight="1">
      <c r="A27" s="1761"/>
      <c r="B27" s="3105" t="s">
        <v>11</v>
      </c>
      <c r="C27" s="3097">
        <f>'Hrly (ECD1)'!C27*8760/2000</f>
        <v>0</v>
      </c>
      <c r="D27" s="3175">
        <f>'Hrly (ECD1)'!D27*8760/2000</f>
        <v>0.26724411486875732</v>
      </c>
      <c r="E27" s="3175">
        <f>'Hrly (ECD1)'!E27*8760/2000</f>
        <v>0.68712226251711472</v>
      </c>
      <c r="F27" s="3175">
        <f>'Hrly (ECD1)'!F27*8760/2000</f>
        <v>1.9523516498540019E-2</v>
      </c>
      <c r="G27" s="3175">
        <f>'Hrly (ECD1)'!G27*8760/2000</f>
        <v>10.508070939082479</v>
      </c>
      <c r="H27" s="3175">
        <f>'Hrly (ECD1)'!H27*8760/2000</f>
        <v>6.9690804989249182E-4</v>
      </c>
      <c r="I27" s="3175">
        <f>'Hrly (ECD1)'!I27*8760/2000</f>
        <v>0</v>
      </c>
      <c r="J27" s="3175">
        <f>'Hrly (ECD1)'!J27*8760/2000</f>
        <v>2.7730281655968141</v>
      </c>
      <c r="K27" s="3175">
        <f>'Hrly (ECD1)'!K27*8760/2000</f>
        <v>0.91825370431670184</v>
      </c>
      <c r="L27" s="3175">
        <f>'Load-Slop Oil'!F69</f>
        <v>7.3939484461748556E-2</v>
      </c>
      <c r="M27" s="3106">
        <f t="shared" si="1"/>
        <v>15.247879095392049</v>
      </c>
      <c r="N27" s="3176">
        <v>0.98</v>
      </c>
      <c r="O27" s="3108">
        <f t="shared" si="0"/>
        <v>0.30495758190784128</v>
      </c>
      <c r="P27" s="3172"/>
      <c r="Q27" s="1762"/>
      <c r="R27" s="1762"/>
      <c r="S27" s="1762"/>
      <c r="T27" s="1762"/>
      <c r="U27" s="51"/>
    </row>
    <row r="28" spans="1:21" ht="16.5" customHeight="1">
      <c r="A28" s="1761"/>
      <c r="B28" s="3105" t="s">
        <v>12</v>
      </c>
      <c r="C28" s="3097">
        <f>'Hrly (ECD1)'!C28*8760/2000</f>
        <v>0</v>
      </c>
      <c r="D28" s="3175">
        <f>'Hrly (ECD1)'!D28*8760/2000</f>
        <v>0.68297975637055885</v>
      </c>
      <c r="E28" s="3175">
        <f>'Hrly (ECD1)'!E28*8760/2000</f>
        <v>1.3493665457658428</v>
      </c>
      <c r="F28" s="3175">
        <f>'Hrly (ECD1)'!F28*8760/2000</f>
        <v>4.8769046517800736E-2</v>
      </c>
      <c r="G28" s="3175">
        <f>'Hrly (ECD1)'!G28*8760/2000</f>
        <v>20.675657455155644</v>
      </c>
      <c r="H28" s="3175">
        <f>'Hrly (ECD1)'!H28*8760/2000</f>
        <v>3.8899212197506001E-5</v>
      </c>
      <c r="I28" s="3175">
        <f>'Hrly (ECD1)'!I28*8760/2000</f>
        <v>0</v>
      </c>
      <c r="J28" s="3175">
        <f>'Hrly (ECD1)'!J28*8760/2000</f>
        <v>7.539229909206262</v>
      </c>
      <c r="K28" s="3175">
        <f>'Hrly (ECD1)'!K28*8760/2000</f>
        <v>1.8965976944688057</v>
      </c>
      <c r="L28" s="3175">
        <f>'Load-Slop Oil'!F70</f>
        <v>0.18896270590897604</v>
      </c>
      <c r="M28" s="3106">
        <f t="shared" si="1"/>
        <v>32.381602012606088</v>
      </c>
      <c r="N28" s="3176">
        <v>0.98</v>
      </c>
      <c r="O28" s="3108">
        <f t="shared" si="0"/>
        <v>0.64763204025212229</v>
      </c>
      <c r="P28" s="3172"/>
      <c r="Q28" s="1762"/>
      <c r="R28" s="1762"/>
      <c r="S28" s="1762"/>
      <c r="T28" s="1762"/>
      <c r="U28" s="51"/>
    </row>
    <row r="29" spans="1:21" ht="16.5" customHeight="1">
      <c r="A29" s="1761"/>
      <c r="B29" s="3086" t="s">
        <v>286</v>
      </c>
      <c r="C29" s="3097">
        <f>'Hrly (ECD1)'!C29*8760/2000</f>
        <v>0</v>
      </c>
      <c r="D29" s="3175">
        <f>'Hrly (ECD1)'!D29*8760/2000</f>
        <v>0</v>
      </c>
      <c r="E29" s="3175">
        <f>'Hrly (ECD1)'!E29*8760/2000</f>
        <v>0</v>
      </c>
      <c r="F29" s="3175">
        <f>'Hrly (ECD1)'!F29*8760/2000</f>
        <v>0</v>
      </c>
      <c r="G29" s="3175">
        <f>'Hrly (ECD1)'!G29*8760/2000</f>
        <v>0</v>
      </c>
      <c r="H29" s="3175">
        <f>'Hrly (ECD1)'!H29*8760/2000</f>
        <v>0</v>
      </c>
      <c r="I29" s="3175">
        <f>'Hrly (ECD1)'!I29*8760/2000</f>
        <v>0</v>
      </c>
      <c r="J29" s="3175">
        <f>'Hrly (ECD1)'!J29*8760/2000</f>
        <v>0</v>
      </c>
      <c r="K29" s="3175">
        <f>'Hrly (ECD1)'!K29*8760/2000</f>
        <v>0</v>
      </c>
      <c r="L29" s="3175">
        <f>'Load-Slop Oil'!F71</f>
        <v>0</v>
      </c>
      <c r="M29" s="3106">
        <f t="shared" si="1"/>
        <v>0</v>
      </c>
      <c r="N29" s="3176">
        <v>0.98</v>
      </c>
      <c r="O29" s="3108">
        <f t="shared" si="0"/>
        <v>0</v>
      </c>
      <c r="P29" s="3172"/>
      <c r="Q29" s="3183"/>
      <c r="R29" s="1762"/>
      <c r="S29" s="1762"/>
      <c r="T29" s="1762"/>
      <c r="U29" s="51"/>
    </row>
    <row r="30" spans="1:21" ht="16.5" customHeight="1">
      <c r="A30" s="1761"/>
      <c r="B30" s="3105" t="s">
        <v>801</v>
      </c>
      <c r="C30" s="3097">
        <f>'Hrly (ECD1)'!C30*8760/2000</f>
        <v>0</v>
      </c>
      <c r="D30" s="3175">
        <f>'Hrly (ECD1)'!D30*8760/2000</f>
        <v>5.6177362576022481E-2</v>
      </c>
      <c r="E30" s="3175">
        <f>'Hrly (ECD1)'!E30*8760/2000</f>
        <v>0.37337878988477669</v>
      </c>
      <c r="F30" s="3175">
        <f>'Hrly (ECD1)'!F30*8760/2000</f>
        <v>3.7873501203740429E-3</v>
      </c>
      <c r="G30" s="3175">
        <f>'Hrly (ECD1)'!G30*8760/2000</f>
        <v>5.7297249620228863</v>
      </c>
      <c r="H30" s="3175">
        <f>'Hrly (ECD1)'!H30*8760/2000</f>
        <v>1.5062066697083315E-7</v>
      </c>
      <c r="I30" s="3175">
        <f>'Hrly (ECD1)'!I30*8760/2000</f>
        <v>0</v>
      </c>
      <c r="J30" s="3175">
        <f>'Hrly (ECD1)'!J30*8760/2000</f>
        <v>1.4791334317332319</v>
      </c>
      <c r="K30" s="3175">
        <f>'Hrly (ECD1)'!K30*8760/2000</f>
        <v>1.2726627361674268</v>
      </c>
      <c r="L30" s="3175">
        <f>'Load-Slop Oil'!F72</f>
        <v>1.5542812717622303E-2</v>
      </c>
      <c r="M30" s="3106">
        <f t="shared" si="1"/>
        <v>8.9304075958430076</v>
      </c>
      <c r="N30" s="3176">
        <v>0.98</v>
      </c>
      <c r="O30" s="3108">
        <f t="shared" si="0"/>
        <v>0.1786081519168603</v>
      </c>
      <c r="P30" s="3172"/>
      <c r="Q30" s="3183"/>
      <c r="R30" s="1762"/>
      <c r="S30" s="1762"/>
      <c r="T30" s="1762"/>
      <c r="U30" s="51"/>
    </row>
    <row r="31" spans="1:21" ht="16.5" customHeight="1">
      <c r="A31" s="1761"/>
      <c r="B31" s="3105" t="s">
        <v>65</v>
      </c>
      <c r="C31" s="3097">
        <f>'Hrly (ECD1)'!C31*8760/2000</f>
        <v>0</v>
      </c>
      <c r="D31" s="3175">
        <f>'Hrly (ECD1)'!D31*8760/2000</f>
        <v>0.46526271594242213</v>
      </c>
      <c r="E31" s="3175">
        <f>'Hrly (ECD1)'!E31*8760/2000</f>
        <v>0.89759914762124338</v>
      </c>
      <c r="F31" s="3175">
        <f>'Hrly (ECD1)'!F31*8760/2000</f>
        <v>3.2578753766909906E-2</v>
      </c>
      <c r="G31" s="3175">
        <f>'Hrly (ECD1)'!G31*8760/2000</f>
        <v>13.826606071328854</v>
      </c>
      <c r="H31" s="3175">
        <f>'Hrly (ECD1)'!H31*8760/2000</f>
        <v>5.2865454681507485E-6</v>
      </c>
      <c r="I31" s="3175">
        <f>'Hrly (ECD1)'!I31*8760/2000</f>
        <v>0</v>
      </c>
      <c r="J31" s="3175">
        <f>'Hrly (ECD1)'!J31*8760/2000</f>
        <v>5.1535022805761148</v>
      </c>
      <c r="K31" s="3175">
        <f>'Hrly (ECD1)'!K31*8760/2000</f>
        <v>1.2567098457122052</v>
      </c>
      <c r="L31" s="3175">
        <f>'Load-Slop Oil'!F73</f>
        <v>0.1287260726880731</v>
      </c>
      <c r="M31" s="3106">
        <f t="shared" si="1"/>
        <v>21.760990174181291</v>
      </c>
      <c r="N31" s="3176">
        <v>0.98</v>
      </c>
      <c r="O31" s="3108">
        <f t="shared" si="0"/>
        <v>0.43521980348362621</v>
      </c>
      <c r="P31" s="3172"/>
      <c r="Q31" s="3184"/>
      <c r="R31" s="1762"/>
      <c r="S31" s="1762"/>
      <c r="T31" s="1762"/>
      <c r="U31" s="51"/>
    </row>
    <row r="32" spans="1:21" ht="16.5" customHeight="1">
      <c r="A32" s="1761"/>
      <c r="B32" s="3105" t="s">
        <v>13</v>
      </c>
      <c r="C32" s="3097">
        <f>'Hrly (ECD1)'!C32*8760/2000</f>
        <v>0</v>
      </c>
      <c r="D32" s="3175">
        <f>'Hrly (ECD1)'!D32*8760/2000</f>
        <v>0.29939607326997014</v>
      </c>
      <c r="E32" s="3175">
        <f>'Hrly (ECD1)'!E32*8760/2000</f>
        <v>0.5996978281437686</v>
      </c>
      <c r="F32" s="3175">
        <f>'Hrly (ECD1)'!F32*8760/2000</f>
        <v>2.0834966032136779E-2</v>
      </c>
      <c r="G32" s="3175">
        <f>'Hrly (ECD1)'!G32*8760/2000</f>
        <v>9.2490062334244705</v>
      </c>
      <c r="H32" s="3175">
        <f>'Hrly (ECD1)'!H32*8760/2000</f>
        <v>3.3291627144535528E-7</v>
      </c>
      <c r="I32" s="3175">
        <f>'Hrly (ECD1)'!I32*8760/2000</f>
        <v>0</v>
      </c>
      <c r="J32" s="3175">
        <f>'Hrly (ECD1)'!J32*8760/2000</f>
        <v>1.7116623257198909</v>
      </c>
      <c r="K32" s="3175">
        <f>'Hrly (ECD1)'!K32*8760/2000</f>
        <v>0.43201241240203714</v>
      </c>
      <c r="L32" s="3175">
        <f>'Load-Slop Oil'!F74</f>
        <v>8.2835093743130569E-2</v>
      </c>
      <c r="M32" s="3106">
        <f t="shared" si="1"/>
        <v>12.395445265651675</v>
      </c>
      <c r="N32" s="3176">
        <v>0.98</v>
      </c>
      <c r="O32" s="3108">
        <f t="shared" si="0"/>
        <v>0.24790890531303372</v>
      </c>
      <c r="P32" s="3172"/>
      <c r="Q32" s="1762"/>
      <c r="R32" s="1762"/>
      <c r="S32" s="1762"/>
      <c r="T32" s="1762"/>
      <c r="U32" s="51"/>
    </row>
    <row r="33" spans="1:23" ht="16.5" customHeight="1">
      <c r="A33" s="1761"/>
      <c r="B33" s="3105" t="s">
        <v>14</v>
      </c>
      <c r="C33" s="3097">
        <f>'Hrly (ECD1)'!C33*8760/2000</f>
        <v>0</v>
      </c>
      <c r="D33" s="3175">
        <f>'Hrly (ECD1)'!D33*8760/2000</f>
        <v>0.17192540781126817</v>
      </c>
      <c r="E33" s="3175">
        <f>'Hrly (ECD1)'!E33*8760/2000</f>
        <v>0.41808852108736039</v>
      </c>
      <c r="F33" s="3175">
        <f>'Hrly (ECD1)'!F33*8760/2000</f>
        <v>1.190260667954062E-2</v>
      </c>
      <c r="G33" s="3175">
        <f>'Hrly (ECD1)'!G33*8760/2000</f>
        <v>6.4421324655833834</v>
      </c>
      <c r="H33" s="3175">
        <f>'Hrly (ECD1)'!H33*8760/2000</f>
        <v>9.840756450947677E-5</v>
      </c>
      <c r="I33" s="3175">
        <f>'Hrly (ECD1)'!I33*8760/2000</f>
        <v>0</v>
      </c>
      <c r="J33" s="3175">
        <f>'Hrly (ECD1)'!J33*8760/2000</f>
        <v>1.7747185631070717</v>
      </c>
      <c r="K33" s="3175">
        <f>'Hrly (ECD1)'!K33*8760/2000</f>
        <v>0.54400554667808187</v>
      </c>
      <c r="L33" s="3175">
        <f>'Load-Slop Oil'!F75</f>
        <v>4.7567281418653115E-2</v>
      </c>
      <c r="M33" s="3106">
        <f t="shared" si="1"/>
        <v>9.4104387999298691</v>
      </c>
      <c r="N33" s="3176">
        <v>0.98</v>
      </c>
      <c r="O33" s="3108">
        <f t="shared" si="0"/>
        <v>0.18820877599859756</v>
      </c>
      <c r="P33" s="3172"/>
      <c r="Q33" s="1762"/>
      <c r="R33" s="1762"/>
      <c r="S33" s="1762"/>
      <c r="T33" s="1762"/>
      <c r="U33" s="51"/>
    </row>
    <row r="34" spans="1:23" ht="16.5" customHeight="1">
      <c r="A34" s="1761"/>
      <c r="B34" s="3105" t="s">
        <v>804</v>
      </c>
      <c r="C34" s="3097">
        <f>'Hrly (ECD1)'!C34*8760/2000</f>
        <v>0</v>
      </c>
      <c r="D34" s="3175">
        <f>'Hrly (ECD1)'!D34*8760/2000</f>
        <v>0.21416678996063135</v>
      </c>
      <c r="E34" s="3175">
        <f>'Hrly (ECD1)'!E34*8760/2000</f>
        <v>0.41787569031773797</v>
      </c>
      <c r="F34" s="3175">
        <f>'Hrly (ECD1)'!F34*8760/2000</f>
        <v>1.4414168316620303E-2</v>
      </c>
      <c r="G34" s="3175">
        <f>'Hrly (ECD1)'!G34*8760/2000</f>
        <v>6.4884126661223309</v>
      </c>
      <c r="H34" s="3175">
        <f>'Hrly (ECD1)'!H34*8760/2000</f>
        <v>3.2871260568200455E-8</v>
      </c>
      <c r="I34" s="3175">
        <f>'Hrly (ECD1)'!I34*8760/2000</f>
        <v>0</v>
      </c>
      <c r="J34" s="3175">
        <f>'Hrly (ECD1)'!J34*8760/2000</f>
        <v>2.3728853818501889</v>
      </c>
      <c r="K34" s="3175">
        <f>'Hrly (ECD1)'!K34*8760/2000</f>
        <v>0.57604755879755387</v>
      </c>
      <c r="L34" s="3175">
        <f>'Load-Slop Oil'!F76</f>
        <v>5.9254371406058319E-2</v>
      </c>
      <c r="M34" s="3106">
        <f t="shared" si="1"/>
        <v>10.143056659642381</v>
      </c>
      <c r="N34" s="3176">
        <v>0.98</v>
      </c>
      <c r="O34" s="3108">
        <f t="shared" si="0"/>
        <v>0.20286113319284779</v>
      </c>
      <c r="P34" s="3172"/>
      <c r="Q34" s="1762"/>
      <c r="R34" s="1762"/>
      <c r="S34" s="1762"/>
      <c r="T34" s="1762"/>
      <c r="U34" s="51"/>
    </row>
    <row r="35" spans="1:23" ht="16.5" customHeight="1">
      <c r="A35" s="1761"/>
      <c r="B35" s="3105" t="s">
        <v>16</v>
      </c>
      <c r="C35" s="3097">
        <f>'Hrly (ECD1)'!C35*8760/2000</f>
        <v>0</v>
      </c>
      <c r="D35" s="3175">
        <f>'Hrly (ECD1)'!D35*8760/2000</f>
        <v>8.0169239269366538E-5</v>
      </c>
      <c r="E35" s="3175">
        <f>'Hrly (ECD1)'!E35*8760/2000</f>
        <v>1.7550031344771858E-4</v>
      </c>
      <c r="F35" s="3175">
        <f>'Hrly (ECD1)'!F35*8760/2000</f>
        <v>7.7401453668769729E-7</v>
      </c>
      <c r="G35" s="3175">
        <f>'Hrly (ECD1)'!G35*8760/2000</f>
        <v>3.9338832501074569E-4</v>
      </c>
      <c r="H35" s="3175">
        <f>'Hrly (ECD1)'!H35*8760/2000</f>
        <v>1.8107091012716582E-9</v>
      </c>
      <c r="I35" s="3175">
        <f>'Hrly (ECD1)'!I35*8760/2000</f>
        <v>0</v>
      </c>
      <c r="J35" s="3175">
        <f>'Hrly (ECD1)'!J35*8760/2000</f>
        <v>4.3059141912740531E-2</v>
      </c>
      <c r="K35" s="3175">
        <f>'Hrly (ECD1)'!K35*8760/2000</f>
        <v>1.1724183558164507E-2</v>
      </c>
      <c r="L35" s="3175">
        <f>'Load-Slop Oil'!F77</f>
        <v>2.2180739973183573E-5</v>
      </c>
      <c r="M35" s="3106">
        <f t="shared" si="1"/>
        <v>5.5455339913851841E-2</v>
      </c>
      <c r="N35" s="3176">
        <v>0.98</v>
      </c>
      <c r="O35" s="3108">
        <f t="shared" si="0"/>
        <v>1.1091067982770379E-3</v>
      </c>
      <c r="P35" s="3172"/>
      <c r="Q35" s="1762"/>
      <c r="R35" s="1762"/>
      <c r="S35" s="1762"/>
      <c r="T35" s="1762"/>
      <c r="U35" s="51"/>
    </row>
    <row r="36" spans="1:23" ht="16.5" customHeight="1">
      <c r="A36" s="1761"/>
      <c r="B36" s="3105" t="s">
        <v>802</v>
      </c>
      <c r="C36" s="3097">
        <f>'Hrly (ECD1)'!C36*8760/2000</f>
        <v>0</v>
      </c>
      <c r="D36" s="3175">
        <f>'Hrly (ECD1)'!D36*8760/2000</f>
        <v>4.7657492738877268E-2</v>
      </c>
      <c r="E36" s="3175">
        <f>'Hrly (ECD1)'!E36*8760/2000</f>
        <v>8.0600245726826725E-2</v>
      </c>
      <c r="F36" s="3175">
        <f>'Hrly (ECD1)'!F36*8760/2000</f>
        <v>3.1920540471449691E-3</v>
      </c>
      <c r="G36" s="3175">
        <f>'Hrly (ECD1)'!G36*8760/2000</f>
        <v>1.2477180372742021</v>
      </c>
      <c r="H36" s="3175">
        <f>'Hrly (ECD1)'!H36*8760/2000</f>
        <v>4.648988981310233E-6</v>
      </c>
      <c r="I36" s="3175">
        <f>'Hrly (ECD1)'!I36*8760/2000</f>
        <v>0</v>
      </c>
      <c r="J36" s="3175">
        <f>'Hrly (ECD1)'!J36*8760/2000</f>
        <v>0.53809380651105987</v>
      </c>
      <c r="K36" s="3175">
        <f>'Hrly (ECD1)'!K36*8760/2000</f>
        <v>0.11247227299788309</v>
      </c>
      <c r="L36" s="3175">
        <f>'Load-Slop Oil'!F78</f>
        <v>1.3185586689467923E-2</v>
      </c>
      <c r="M36" s="3106">
        <f t="shared" si="1"/>
        <v>2.0429241449744437</v>
      </c>
      <c r="N36" s="3176">
        <v>0.98</v>
      </c>
      <c r="O36" s="3108">
        <f t="shared" si="0"/>
        <v>4.0858482899488908E-2</v>
      </c>
      <c r="P36" s="3172"/>
      <c r="Q36" s="1762"/>
      <c r="R36" s="1762"/>
      <c r="S36" s="1762"/>
      <c r="T36" s="1762"/>
      <c r="U36" s="51"/>
    </row>
    <row r="37" spans="1:23" ht="16.5" customHeight="1">
      <c r="A37" s="1761"/>
      <c r="B37" s="3105" t="s">
        <v>803</v>
      </c>
      <c r="C37" s="3097">
        <f>'Hrly (ECD1)'!C37*8760/2000</f>
        <v>0</v>
      </c>
      <c r="D37" s="3175">
        <f>'Hrly (ECD1)'!D37*8760/2000</f>
        <v>6.5134237654297517E-2</v>
      </c>
      <c r="E37" s="3175">
        <f>'Hrly (ECD1)'!E37*8760/2000</f>
        <v>0.12985232219634099</v>
      </c>
      <c r="F37" s="3175">
        <f>'Hrly (ECD1)'!F37*8760/2000</f>
        <v>4.2251469333619823E-3</v>
      </c>
      <c r="G37" s="3175">
        <f>'Hrly (ECD1)'!G37*8760/2000</f>
        <v>2.0266714865976954</v>
      </c>
      <c r="H37" s="3175">
        <f>'Hrly (ECD1)'!H37*8760/2000</f>
        <v>2.7487051432839641E-9</v>
      </c>
      <c r="I37" s="3175">
        <f>'Hrly (ECD1)'!I37*8760/2000</f>
        <v>0</v>
      </c>
      <c r="J37" s="3175">
        <f>'Hrly (ECD1)'!J37*8760/2000</f>
        <v>0.75078781523652027</v>
      </c>
      <c r="K37" s="3175">
        <f>'Hrly (ECD1)'!K37*8760/2000</f>
        <v>0.18321461673048806</v>
      </c>
      <c r="L37" s="3175">
        <f>'Load-Slop Oil'!F79</f>
        <v>1.8020946711335046E-2</v>
      </c>
      <c r="M37" s="3106">
        <f t="shared" si="1"/>
        <v>3.1779065748087447</v>
      </c>
      <c r="N37" s="3176">
        <v>0.98</v>
      </c>
      <c r="O37" s="3108">
        <f t="shared" si="0"/>
        <v>6.3558131496174952E-2</v>
      </c>
      <c r="P37" s="3172"/>
      <c r="Q37" s="1762"/>
      <c r="R37" s="1762"/>
      <c r="S37" s="1762"/>
      <c r="T37" s="1762"/>
      <c r="U37" s="51"/>
    </row>
    <row r="38" spans="1:23" ht="16.5" customHeight="1">
      <c r="A38" s="1761"/>
      <c r="B38" s="3105" t="s">
        <v>805</v>
      </c>
      <c r="C38" s="3097">
        <f>'Hrly (ECD1)'!C38*8760/2000</f>
        <v>0</v>
      </c>
      <c r="D38" s="3175">
        <f>'Hrly (ECD1)'!D38*8760/2000</f>
        <v>2.2910622161974124E-2</v>
      </c>
      <c r="E38" s="3175">
        <f>'Hrly (ECD1)'!E38*8760/2000</f>
        <v>4.8419157126046677E-2</v>
      </c>
      <c r="F38" s="3175">
        <f>'Hrly (ECD1)'!F38*8760/2000</f>
        <v>1.4364421733781261E-3</v>
      </c>
      <c r="G38" s="3175">
        <f>'Hrly (ECD1)'!G38*8760/2000</f>
        <v>0.75932085290904161</v>
      </c>
      <c r="H38" s="3175">
        <f>'Hrly (ECD1)'!H38*8760/2000</f>
        <v>1.008622250126076E-10</v>
      </c>
      <c r="I38" s="3175">
        <f>'Hrly (ECD1)'!I38*8760/2000</f>
        <v>0</v>
      </c>
      <c r="J38" s="3175">
        <f>'Hrly (ECD1)'!J38*8760/2000</f>
        <v>0.25091844454731665</v>
      </c>
      <c r="K38" s="3175">
        <f>'Hrly (ECD1)'!K38*8760/2000</f>
        <v>6.4199045986661749E-2</v>
      </c>
      <c r="L38" s="3175">
        <f>'Load-Slop Oil'!F80</f>
        <v>6.338772295083824E-3</v>
      </c>
      <c r="M38" s="3106">
        <f t="shared" si="1"/>
        <v>1.153543337300365</v>
      </c>
      <c r="N38" s="3176">
        <v>0.98</v>
      </c>
      <c r="O38" s="3108">
        <f t="shared" si="0"/>
        <v>2.3070866746007321E-2</v>
      </c>
      <c r="P38" s="3172"/>
      <c r="Q38" s="1762"/>
      <c r="R38" s="1762"/>
      <c r="S38" s="1762"/>
      <c r="T38" s="1762"/>
      <c r="U38" s="51"/>
    </row>
    <row r="39" spans="1:23" ht="16.5" customHeight="1" thickBot="1">
      <c r="A39" s="1761"/>
      <c r="B39" s="3105" t="s">
        <v>752</v>
      </c>
      <c r="C39" s="3185">
        <f>'Hrly (ECD1)'!C39*8760/2000</f>
        <v>0</v>
      </c>
      <c r="D39" s="3186">
        <f>'Hrly (ECD1)'!D39*8760/2000</f>
        <v>1.7286894586384656E-5</v>
      </c>
      <c r="E39" s="3186">
        <f>'Hrly (ECD1)'!E39*8760/2000</f>
        <v>5.58765492390007E-5</v>
      </c>
      <c r="F39" s="3186">
        <f>'Hrly (ECD1)'!F39*8760/2000</f>
        <v>7.9612757646213002E-7</v>
      </c>
      <c r="G39" s="3186">
        <f>'Hrly (ECD1)'!G39*8760/2000</f>
        <v>8.791195039136565E-4</v>
      </c>
      <c r="H39" s="3186">
        <f>'Hrly (ECD1)'!H39*8760/2000</f>
        <v>2.0570054044393296E-15</v>
      </c>
      <c r="I39" s="3186">
        <f>'Hrly (ECD1)'!I39*8760/2000</f>
        <v>0</v>
      </c>
      <c r="J39" s="3186">
        <f>'Hrly (ECD1)'!J39*8760/2000</f>
        <v>2.0007829724552544E-4</v>
      </c>
      <c r="K39" s="3186">
        <f>'Hrly (ECD1)'!K39*8760/2000</f>
        <v>7.0620393572993909E-5</v>
      </c>
      <c r="L39" s="3175">
        <f>'Load-Slop Oil'!F81</f>
        <v>4.7828333817176199E-6</v>
      </c>
      <c r="M39" s="3106">
        <f t="shared" si="1"/>
        <v>1.2285605995177979E-3</v>
      </c>
      <c r="N39" s="3176">
        <v>0.98</v>
      </c>
      <c r="O39" s="3108">
        <f t="shared" si="0"/>
        <v>2.457121199035598E-5</v>
      </c>
      <c r="P39" s="3172"/>
      <c r="Q39" s="1762"/>
      <c r="R39" s="1762"/>
      <c r="S39" s="1762"/>
      <c r="T39" s="1762"/>
      <c r="U39" s="51"/>
    </row>
    <row r="40" spans="1:23" ht="17.25" customHeight="1">
      <c r="A40" s="1761"/>
      <c r="B40" s="3133" t="s">
        <v>692</v>
      </c>
      <c r="C40" s="3134">
        <f>SUM(C12:C39)</f>
        <v>54.553525435747503</v>
      </c>
      <c r="D40" s="3135">
        <f t="shared" ref="D40:O40" si="2">SUM(D12:D39)</f>
        <v>39.969780228094614</v>
      </c>
      <c r="E40" s="3135">
        <f t="shared" si="2"/>
        <v>75.174464055820437</v>
      </c>
      <c r="F40" s="3135">
        <f>SUM(F12:F39)</f>
        <v>6.352556313492804</v>
      </c>
      <c r="G40" s="3135">
        <f>SUM(G12:G39)</f>
        <v>1155.6901732374317</v>
      </c>
      <c r="H40" s="3135">
        <f t="shared" si="2"/>
        <v>3.5072557294397981</v>
      </c>
      <c r="I40" s="3135">
        <f t="shared" si="2"/>
        <v>0</v>
      </c>
      <c r="J40" s="3135">
        <f t="shared" si="2"/>
        <v>589.73135266673808</v>
      </c>
      <c r="K40" s="3135">
        <f t="shared" si="2"/>
        <v>152.16413151862983</v>
      </c>
      <c r="L40" s="3135">
        <f>SUM(L12:L39)</f>
        <v>11.058596914532851</v>
      </c>
      <c r="M40" s="3136">
        <f t="shared" si="2"/>
        <v>2088.2018360999277</v>
      </c>
      <c r="N40" s="3137" t="s">
        <v>445</v>
      </c>
      <c r="O40" s="3099">
        <f t="shared" si="2"/>
        <v>62.383289294469144</v>
      </c>
      <c r="P40" s="3100"/>
      <c r="Q40" s="1762"/>
      <c r="R40" s="1762"/>
      <c r="S40" s="1762"/>
      <c r="T40" s="1762"/>
      <c r="U40" s="51"/>
    </row>
    <row r="41" spans="1:23" ht="17.25" customHeight="1">
      <c r="A41" s="1761"/>
      <c r="B41" s="3187" t="s">
        <v>55</v>
      </c>
      <c r="C41" s="3188">
        <f>SUM(C18:C39)</f>
        <v>2.3793466333258553</v>
      </c>
      <c r="D41" s="3140">
        <f t="shared" ref="D41:M41" si="3">SUM(D18:D39)</f>
        <v>35.462920705096955</v>
      </c>
      <c r="E41" s="3140">
        <f t="shared" si="3"/>
        <v>66.177365354239313</v>
      </c>
      <c r="F41" s="3140">
        <f>SUM(F18:F39)</f>
        <v>3.0079826565642152</v>
      </c>
      <c r="G41" s="3140">
        <f>SUM(G18:G39)</f>
        <v>1003.5448421403951</v>
      </c>
      <c r="H41" s="3140">
        <f t="shared" si="3"/>
        <v>2.0675874835252184E-2</v>
      </c>
      <c r="I41" s="3140">
        <f t="shared" si="3"/>
        <v>0</v>
      </c>
      <c r="J41" s="3140">
        <f t="shared" si="3"/>
        <v>525.73804005115824</v>
      </c>
      <c r="K41" s="3140">
        <f t="shared" si="3"/>
        <v>133.75069796134562</v>
      </c>
      <c r="L41" s="3140">
        <f>SUM(L18:L39)</f>
        <v>9.8116662951790143</v>
      </c>
      <c r="M41" s="3141">
        <f t="shared" si="3"/>
        <v>1779.8935376721392</v>
      </c>
      <c r="N41" s="3142" t="s">
        <v>445</v>
      </c>
      <c r="O41" s="3108">
        <f>SUM(O18:O39)</f>
        <v>28.268593950427899</v>
      </c>
      <c r="P41" s="3100"/>
      <c r="Q41" s="1762"/>
      <c r="R41" s="1762"/>
      <c r="S41" s="1762"/>
      <c r="T41" s="1762"/>
      <c r="U41" s="51"/>
    </row>
    <row r="42" spans="1:23" ht="17.25" customHeight="1" thickBot="1">
      <c r="A42" s="1761"/>
      <c r="B42" s="3189" t="s">
        <v>693</v>
      </c>
      <c r="C42" s="3190">
        <f>SUM(C25,C27,C33,C36,C35,C29)</f>
        <v>0</v>
      </c>
      <c r="D42" s="3191">
        <f t="shared" ref="D42:M42" si="4">SUM(D25,D27,D33,D36,D35,D29)</f>
        <v>1.0830921789495123</v>
      </c>
      <c r="E42" s="3191">
        <f t="shared" si="4"/>
        <v>2.2779630659847028</v>
      </c>
      <c r="F42" s="3191">
        <f>SUM(F25,F27,F33,F36,F35,F29)</f>
        <v>7.7776483636940036E-2</v>
      </c>
      <c r="G42" s="3191">
        <f>SUM(G25,G27,G33,G36,G35,G29)</f>
        <v>34.975464651265447</v>
      </c>
      <c r="H42" s="3191">
        <f t="shared" si="4"/>
        <v>8.0278799706035811E-4</v>
      </c>
      <c r="I42" s="3191">
        <f t="shared" si="4"/>
        <v>0</v>
      </c>
      <c r="J42" s="3191">
        <f t="shared" si="4"/>
        <v>11.547815054532677</v>
      </c>
      <c r="K42" s="3191">
        <f t="shared" si="4"/>
        <v>3.0790836858499784</v>
      </c>
      <c r="L42" s="3191">
        <f>SUM(L25,L27,L33,L36,L35,L29)</f>
        <v>0.29966338968926387</v>
      </c>
      <c r="M42" s="3146">
        <f t="shared" si="4"/>
        <v>53.341661297905581</v>
      </c>
      <c r="N42" s="3147" t="s">
        <v>445</v>
      </c>
      <c r="O42" s="3148">
        <f>SUM(O25,O27,O33,O36,O35,O29)</f>
        <v>1.0668332259581128</v>
      </c>
      <c r="P42" s="3100"/>
      <c r="Q42" s="1762"/>
      <c r="R42" s="1762"/>
      <c r="S42" s="1762"/>
      <c r="T42" s="1762"/>
      <c r="U42" s="51"/>
    </row>
    <row r="43" spans="1:23" ht="15.5">
      <c r="A43" s="1761"/>
      <c r="B43" s="3192" t="s">
        <v>694</v>
      </c>
      <c r="C43" s="3193">
        <f>'Hrly (ECD1)'!C43</f>
        <v>1049.08489049902</v>
      </c>
      <c r="D43" s="3194">
        <f>'Hrly (ECD1)'!D43</f>
        <v>2834.40861176934</v>
      </c>
      <c r="E43" s="3194">
        <f>'Hrly (ECD1)'!E43</f>
        <v>2728.5744655956901</v>
      </c>
      <c r="F43" s="3194">
        <f>'Hrly (ECD1)'!F43</f>
        <v>944.10563258587297</v>
      </c>
      <c r="G43" s="3194">
        <f>'Hrly (ECD1)'!G43</f>
        <v>2697.2454537142899</v>
      </c>
      <c r="H43" s="3194">
        <f>'Hrly (ECD1)'!H43</f>
        <v>66.078553671346995</v>
      </c>
      <c r="I43" s="3194">
        <f>'Hrly (ECD1)'!I43</f>
        <v>66.078553671346995</v>
      </c>
      <c r="J43" s="3194">
        <f>'Hrly (ECD1)'!J43</f>
        <v>2789.1374857526898</v>
      </c>
      <c r="K43" s="3195">
        <f>'Hrly (ECD1)'!K43</f>
        <v>2742.4431291707601</v>
      </c>
      <c r="L43" s="3195">
        <f>'Hrly (ECD1)'!L43</f>
        <v>2834.40861176934</v>
      </c>
      <c r="M43" s="3196">
        <f>SUMPRODUCT(C43:L43,C46:L46)/M46</f>
        <v>2602.516638586515</v>
      </c>
      <c r="N43" s="1762"/>
      <c r="O43" s="1762"/>
      <c r="P43" s="1762"/>
      <c r="Q43" s="1762"/>
      <c r="R43" s="1762"/>
      <c r="S43" s="1762"/>
      <c r="T43" s="1762"/>
      <c r="U43" s="51"/>
    </row>
    <row r="44" spans="1:23" ht="15.5">
      <c r="A44" s="1761"/>
      <c r="B44" s="3197" t="s">
        <v>20</v>
      </c>
      <c r="C44" s="3154">
        <f>'Hrly (ECD1)'!C44</f>
        <v>18.906107429477601</v>
      </c>
      <c r="D44" s="3155">
        <f>'Hrly (ECD1)'!D44</f>
        <v>50.253999895459501</v>
      </c>
      <c r="E44" s="3155">
        <f>'Hrly (ECD1)'!E44</f>
        <v>49.258996315007302</v>
      </c>
      <c r="F44" s="3155">
        <f>'Hrly (ECD1)'!F44</f>
        <v>27.9518326470372</v>
      </c>
      <c r="G44" s="3155">
        <f>'Hrly (ECD1)'!G44</f>
        <v>48.7835966550875</v>
      </c>
      <c r="H44" s="3155">
        <f>'Hrly (ECD1)'!H44</f>
        <v>18.150207979956001</v>
      </c>
      <c r="I44" s="3155">
        <f>'Hrly (ECD1)'!I44</f>
        <v>18.150207979956001</v>
      </c>
      <c r="J44" s="3155">
        <f>'Hrly (ECD1)'!J44</f>
        <v>49.368082888003897</v>
      </c>
      <c r="K44" s="3198">
        <f>'Hrly (ECD1)'!K44</f>
        <v>48.538121492760602</v>
      </c>
      <c r="L44" s="3198">
        <f>'Hrly (ECD1)'!L44</f>
        <v>0</v>
      </c>
      <c r="M44" s="3199" t="s">
        <v>445</v>
      </c>
      <c r="N44" s="3157"/>
      <c r="O44" s="3157"/>
      <c r="P44" s="3157"/>
      <c r="Q44" s="3157"/>
      <c r="R44" s="3157"/>
      <c r="S44" s="3157"/>
      <c r="T44" s="3157"/>
      <c r="U44" s="658"/>
    </row>
    <row r="45" spans="1:23" ht="15.5">
      <c r="A45" s="1761"/>
      <c r="B45" s="3197" t="s">
        <v>704</v>
      </c>
      <c r="C45" s="3200">
        <f>'Hrly (ECD1)'!C45*8760/2000</f>
        <v>0</v>
      </c>
      <c r="D45" s="3201">
        <f>'Hrly (ECD1)'!D45*8760/2000</f>
        <v>0</v>
      </c>
      <c r="E45" s="3201">
        <f>'Hrly (ECD1)'!E45*8760/2000</f>
        <v>0</v>
      </c>
      <c r="F45" s="3201">
        <f>'Hrly (ECD1)'!F45*8760/2000</f>
        <v>0</v>
      </c>
      <c r="G45" s="3201">
        <f>'Hrly (ECD1)'!G45*8760/2000</f>
        <v>0</v>
      </c>
      <c r="H45" s="3201">
        <f>'Hrly (ECD1)'!H45*8760/2000</f>
        <v>0</v>
      </c>
      <c r="I45" s="3201">
        <f>'Hrly (ECD1)'!I45*8760/2000</f>
        <v>0</v>
      </c>
      <c r="J45" s="3201">
        <f>'Hrly (ECD1)'!J45*8760/2000</f>
        <v>0</v>
      </c>
      <c r="K45" s="3201">
        <f>'Hrly (ECD1)'!K45*8760/2000</f>
        <v>0</v>
      </c>
      <c r="L45" s="3201">
        <f>'Hrly (ECD1)'!L45*8760/2000</f>
        <v>0</v>
      </c>
      <c r="M45" s="3202">
        <f>SUM(C45:L45)</f>
        <v>0</v>
      </c>
      <c r="N45" s="3157"/>
      <c r="O45" s="3157"/>
      <c r="P45" s="3157"/>
      <c r="Q45" s="3157"/>
      <c r="R45" s="3157"/>
      <c r="S45" s="3157"/>
      <c r="T45" s="3157"/>
      <c r="U45" s="658"/>
    </row>
    <row r="46" spans="1:23" ht="15.5">
      <c r="A46" s="1761"/>
      <c r="B46" s="3197" t="s">
        <v>705</v>
      </c>
      <c r="C46" s="3203">
        <f>'Hrly (ECD1)'!C46*8760</f>
        <v>2190000</v>
      </c>
      <c r="D46" s="3204">
        <f>'Hrly (ECD1)'!D46*8760</f>
        <v>603649.07649256859</v>
      </c>
      <c r="E46" s="3204">
        <f>'Hrly (ECD1)'!E46*8760</f>
        <v>1158265.7028873703</v>
      </c>
      <c r="F46" s="3204">
        <f>'Hrly (ECD1)'!F46*8760</f>
        <v>172489.0979233793</v>
      </c>
      <c r="G46" s="3204">
        <f>'Hrly (ECD1)'!G46*8760</f>
        <v>17980055.128853742</v>
      </c>
      <c r="H46" s="3204">
        <f>'Hrly (ECD1)'!H46*8760</f>
        <v>146659.17654335225</v>
      </c>
      <c r="I46" s="3204">
        <f>'Hrly (ECD1)'!I46*8760</f>
        <v>0</v>
      </c>
      <c r="J46" s="3204">
        <f>'Hrly (ECD1)'!J46*8760</f>
        <v>9066326.8038124554</v>
      </c>
      <c r="K46" s="3205">
        <f>'Hrly (ECD1)'!K46*8760</f>
        <v>2379319.379651289</v>
      </c>
      <c r="L46" s="3205">
        <f>'Load-Slop Oil'!F98</f>
        <v>198155.70173035841</v>
      </c>
      <c r="M46" s="3206">
        <f>SUM(C46:L46)</f>
        <v>33894920.067894511</v>
      </c>
      <c r="N46" s="3157"/>
      <c r="O46" s="3157"/>
      <c r="P46" s="3157"/>
      <c r="Q46" s="3157"/>
      <c r="R46" s="3157"/>
      <c r="S46" s="3157"/>
      <c r="T46" s="3157"/>
      <c r="U46" s="658"/>
      <c r="W46" s="48">
        <v>345</v>
      </c>
    </row>
    <row r="47" spans="1:23" ht="16" thickBot="1">
      <c r="A47" s="1761"/>
      <c r="B47" s="3207" t="s">
        <v>706</v>
      </c>
      <c r="C47" s="3163">
        <f>C43*C46/10^6</f>
        <v>2297.4959101928539</v>
      </c>
      <c r="D47" s="3164">
        <f t="shared" ref="D47:K47" si="5">D43*D46/10^6</f>
        <v>1710.9881408971455</v>
      </c>
      <c r="E47" s="3164">
        <f t="shared" si="5"/>
        <v>3160.4142212737224</v>
      </c>
      <c r="F47" s="3164">
        <f>F43*F46/10^6</f>
        <v>162.84792890911859</v>
      </c>
      <c r="G47" s="3164">
        <f>G43*G46/10^6</f>
        <v>48496.621953833055</v>
      </c>
      <c r="H47" s="3164">
        <f t="shared" si="5"/>
        <v>9.691026268615456</v>
      </c>
      <c r="I47" s="3164">
        <f t="shared" si="5"/>
        <v>0</v>
      </c>
      <c r="J47" s="3164">
        <f t="shared" si="5"/>
        <v>25287.231946597691</v>
      </c>
      <c r="K47" s="3208">
        <f t="shared" si="5"/>
        <v>6525.1480848275123</v>
      </c>
      <c r="L47" s="3208">
        <f>L43*L46/10^6</f>
        <v>561.65422745572459</v>
      </c>
      <c r="M47" s="3209">
        <f>SUMPRODUCT(C43:L43,C46:L46)/10^6</f>
        <v>88212.093440255427</v>
      </c>
      <c r="N47" s="3157"/>
      <c r="O47" s="3157"/>
      <c r="P47" s="3157"/>
      <c r="Q47" s="3157"/>
      <c r="R47" s="3157"/>
      <c r="S47" s="3157"/>
      <c r="T47" s="3157"/>
      <c r="U47" s="658"/>
    </row>
    <row r="48" spans="1:23" ht="13">
      <c r="A48" s="643"/>
      <c r="B48" s="657"/>
      <c r="C48" s="657"/>
      <c r="D48" s="659"/>
      <c r="E48" s="659"/>
      <c r="F48" s="659"/>
      <c r="G48" s="659"/>
      <c r="H48" s="659"/>
      <c r="I48" s="659"/>
      <c r="J48" s="659"/>
      <c r="K48" s="657"/>
      <c r="L48" s="657"/>
      <c r="M48" s="659"/>
      <c r="N48" s="659"/>
      <c r="O48" s="659"/>
      <c r="P48" s="659"/>
      <c r="Q48" s="659"/>
      <c r="R48" s="659"/>
      <c r="S48" s="659"/>
      <c r="T48" s="659"/>
      <c r="U48" s="660"/>
    </row>
    <row r="49" spans="1:21" ht="13.5" thickBot="1">
      <c r="A49" s="643"/>
      <c r="B49" s="657"/>
      <c r="C49" s="657"/>
      <c r="D49" s="659"/>
      <c r="E49" s="659"/>
      <c r="F49" s="659"/>
      <c r="G49" s="659"/>
      <c r="H49" s="659"/>
      <c r="I49" s="659"/>
      <c r="J49" s="659"/>
      <c r="K49" s="657"/>
      <c r="L49" s="657"/>
      <c r="M49" s="659"/>
      <c r="N49" s="659"/>
      <c r="O49" s="659"/>
      <c r="P49" s="659"/>
      <c r="Q49" s="659"/>
      <c r="R49" s="659"/>
      <c r="S49" s="659"/>
      <c r="T49" s="659"/>
      <c r="U49" s="660"/>
    </row>
    <row r="50" spans="1:21" ht="17.25" customHeight="1">
      <c r="A50" s="643"/>
      <c r="B50" s="661" t="s">
        <v>698</v>
      </c>
      <c r="C50" s="662"/>
      <c r="D50" s="662"/>
      <c r="E50" s="662"/>
      <c r="F50" s="662"/>
      <c r="G50" s="662"/>
      <c r="H50" s="662"/>
      <c r="I50" s="662"/>
      <c r="J50" s="662"/>
      <c r="K50" s="662"/>
      <c r="L50" s="662"/>
      <c r="M50" s="663"/>
      <c r="N50" s="663"/>
      <c r="O50" s="663"/>
      <c r="P50" s="663"/>
      <c r="Q50" s="663"/>
      <c r="R50" s="664"/>
      <c r="S50" s="657"/>
      <c r="T50" s="657"/>
      <c r="U50" s="51"/>
    </row>
    <row r="51" spans="1:21" ht="17.25" customHeight="1">
      <c r="A51" s="643"/>
      <c r="B51" s="665" t="s">
        <v>699</v>
      </c>
      <c r="C51" s="666"/>
      <c r="D51" s="666"/>
      <c r="E51" s="666"/>
      <c r="F51" s="666"/>
      <c r="G51" s="666"/>
      <c r="H51" s="666"/>
      <c r="I51" s="666"/>
      <c r="J51" s="666"/>
      <c r="K51" s="666"/>
      <c r="L51" s="666"/>
      <c r="M51" s="667"/>
      <c r="N51" s="667"/>
      <c r="O51" s="667"/>
      <c r="P51" s="667"/>
      <c r="Q51" s="667"/>
      <c r="R51" s="668"/>
      <c r="S51" s="657"/>
      <c r="T51" s="657"/>
      <c r="U51" s="51"/>
    </row>
    <row r="52" spans="1:21" ht="25.5" customHeight="1" thickBot="1">
      <c r="A52" s="643"/>
      <c r="B52" s="4729" t="s">
        <v>745</v>
      </c>
      <c r="C52" s="4730"/>
      <c r="D52" s="4730"/>
      <c r="E52" s="4730"/>
      <c r="F52" s="4730"/>
      <c r="G52" s="4730"/>
      <c r="H52" s="4730"/>
      <c r="I52" s="4730"/>
      <c r="J52" s="4730"/>
      <c r="K52" s="4730"/>
      <c r="L52" s="4793"/>
      <c r="M52" s="4730"/>
      <c r="N52" s="4730"/>
      <c r="O52" s="4730"/>
      <c r="P52" s="4730"/>
      <c r="Q52" s="4730"/>
      <c r="R52" s="4731"/>
      <c r="S52" s="669"/>
      <c r="T52" s="669"/>
      <c r="U52" s="670"/>
    </row>
    <row r="53" spans="1:21" ht="13.5" thickBot="1">
      <c r="A53" s="645"/>
      <c r="B53" s="541"/>
      <c r="C53" s="541"/>
      <c r="D53" s="541"/>
      <c r="E53" s="541"/>
      <c r="F53" s="541"/>
      <c r="G53" s="541"/>
      <c r="H53" s="541"/>
      <c r="I53" s="541"/>
      <c r="J53" s="541"/>
      <c r="K53" s="541"/>
      <c r="L53" s="541"/>
      <c r="M53" s="541"/>
      <c r="N53" s="541"/>
      <c r="O53" s="541"/>
      <c r="P53" s="541"/>
      <c r="Q53" s="541"/>
      <c r="R53" s="541"/>
      <c r="S53" s="541"/>
      <c r="T53" s="541"/>
      <c r="U53" s="543"/>
    </row>
    <row r="57" spans="1:21">
      <c r="I57" s="673">
        <f>SUM(D46:I46)</f>
        <v>20061118.18270041</v>
      </c>
      <c r="J57" s="673"/>
    </row>
    <row r="63" spans="1:21">
      <c r="K63" s="49">
        <f>0.009*3.5</f>
        <v>3.15E-2</v>
      </c>
      <c r="L63" s="49">
        <f>0.009*3.5</f>
        <v>3.15E-2</v>
      </c>
    </row>
  </sheetData>
  <mergeCells count="23">
    <mergeCell ref="B8:O8"/>
    <mergeCell ref="Q8:T8"/>
    <mergeCell ref="B2:T2"/>
    <mergeCell ref="B3:T3"/>
    <mergeCell ref="B4:T4"/>
    <mergeCell ref="A6:U6"/>
    <mergeCell ref="A7:K7"/>
    <mergeCell ref="T9:T11"/>
    <mergeCell ref="B52:R52"/>
    <mergeCell ref="H9:I9"/>
    <mergeCell ref="J9:K9"/>
    <mergeCell ref="Q19:R19"/>
    <mergeCell ref="M9:M10"/>
    <mergeCell ref="N9:N10"/>
    <mergeCell ref="O9:O10"/>
    <mergeCell ref="Q9:Q11"/>
    <mergeCell ref="R9:R10"/>
    <mergeCell ref="S9:S11"/>
    <mergeCell ref="B9:B11"/>
    <mergeCell ref="C9:C10"/>
    <mergeCell ref="D9:E9"/>
    <mergeCell ref="F9:G9"/>
    <mergeCell ref="L9:L10"/>
  </mergeCells>
  <pageMargins left="0.45" right="0.45" top="0.5" bottom="0.5" header="0.3" footer="0.3"/>
  <pageSetup scale="42" orientation="landscape" r:id="rId1"/>
  <headerFooter>
    <oddFooter>&amp;CCalculations: Page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0">
    <tabColor theme="3" tint="-0.249977111117893"/>
    <pageSetUpPr fitToPage="1"/>
  </sheetPr>
  <dimension ref="A1:S60"/>
  <sheetViews>
    <sheetView view="pageLayout" topLeftCell="A22" zoomScale="70" zoomScaleNormal="70" zoomScaleSheetLayoutView="85" zoomScalePageLayoutView="70" workbookViewId="0">
      <selection activeCell="E19" sqref="E19:R19"/>
    </sheetView>
  </sheetViews>
  <sheetFormatPr defaultColWidth="8.54296875" defaultRowHeight="12.5"/>
  <cols>
    <col min="1" max="1" width="4.54296875" style="50" customWidth="1"/>
    <col min="2" max="2" width="7.54296875" style="50" customWidth="1"/>
    <col min="3" max="4" width="11.54296875" style="50" customWidth="1"/>
    <col min="5" max="5" width="15.6328125" style="50" customWidth="1"/>
    <col min="6" max="6" width="13.54296875" style="50" customWidth="1"/>
    <col min="7" max="7" width="12" style="50" customWidth="1"/>
    <col min="8" max="8" width="15.6328125" style="50" customWidth="1"/>
    <col min="9" max="9" width="18.36328125" style="50" customWidth="1"/>
    <col min="10" max="10" width="11.54296875" style="50" customWidth="1"/>
    <col min="11" max="11" width="18.453125" style="50" customWidth="1"/>
    <col min="12" max="12" width="17.453125" style="50" customWidth="1"/>
    <col min="13" max="14" width="11.5429687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796" t="str">
        <f>'Summary-Co'!B4:T4</f>
        <v>HUSKY CDP</v>
      </c>
      <c r="C3" s="4797"/>
      <c r="D3" s="4797"/>
      <c r="E3" s="4797"/>
      <c r="F3" s="4797"/>
      <c r="G3" s="4797"/>
      <c r="H3" s="4797"/>
      <c r="I3" s="4797"/>
      <c r="J3" s="4797"/>
      <c r="K3" s="4797"/>
      <c r="L3" s="4797"/>
      <c r="M3" s="4797"/>
      <c r="N3" s="4798"/>
      <c r="O3" s="588"/>
    </row>
    <row r="4" spans="1:15" ht="30" customHeight="1" thickBot="1">
      <c r="A4" s="587"/>
      <c r="B4" s="4799" t="s">
        <v>910</v>
      </c>
      <c r="C4" s="4800"/>
      <c r="D4" s="4800"/>
      <c r="E4" s="4800"/>
      <c r="F4" s="4800"/>
      <c r="G4" s="4800"/>
      <c r="H4" s="4800"/>
      <c r="I4" s="4800"/>
      <c r="J4" s="4800"/>
      <c r="K4" s="4800"/>
      <c r="L4" s="4800"/>
      <c r="M4" s="4800"/>
      <c r="N4" s="4801"/>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348</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c r="A10" s="587"/>
      <c r="B10" s="440"/>
      <c r="C10" s="464"/>
      <c r="D10" s="465"/>
      <c r="E10" s="465"/>
      <c r="F10" s="465"/>
      <c r="G10" s="465"/>
      <c r="H10" s="465"/>
      <c r="I10" s="465"/>
      <c r="J10" s="465"/>
      <c r="K10" s="466"/>
      <c r="L10" s="466"/>
      <c r="M10" s="452"/>
      <c r="N10" s="417"/>
      <c r="O10" s="51"/>
    </row>
    <row r="11" spans="1:15" ht="17.149999999999999" customHeight="1" thickBot="1">
      <c r="A11" s="587"/>
      <c r="B11" s="440"/>
      <c r="C11" s="467" t="s">
        <v>353</v>
      </c>
      <c r="D11" s="468" t="s">
        <v>524</v>
      </c>
      <c r="E11" s="421"/>
      <c r="F11" s="421"/>
      <c r="G11" s="421" t="s">
        <v>350</v>
      </c>
      <c r="H11" s="469">
        <f>E12*E13*((1-E14)*E15+E16)</f>
        <v>51.674737062490195</v>
      </c>
      <c r="I11" s="470" t="s">
        <v>357</v>
      </c>
      <c r="J11" s="421"/>
      <c r="K11" s="471" t="s">
        <v>378</v>
      </c>
      <c r="L11" s="471" t="s">
        <v>379</v>
      </c>
      <c r="M11" s="453"/>
      <c r="N11" s="417"/>
      <c r="O11" s="51"/>
    </row>
    <row r="12" spans="1:15" ht="17.149999999999999" customHeight="1">
      <c r="A12" s="587"/>
      <c r="B12" s="454"/>
      <c r="C12" s="472"/>
      <c r="D12" s="473" t="s">
        <v>354</v>
      </c>
      <c r="E12" s="474">
        <f>L19</f>
        <v>33894920.067894511</v>
      </c>
      <c r="F12" s="475"/>
      <c r="G12" s="475"/>
      <c r="H12" s="475"/>
      <c r="I12" s="475"/>
      <c r="J12" s="475"/>
      <c r="K12" s="476"/>
      <c r="L12" s="477"/>
      <c r="M12" s="455"/>
      <c r="N12" s="456"/>
      <c r="O12" s="51"/>
    </row>
    <row r="13" spans="1:15" ht="17.149999999999999" customHeight="1">
      <c r="A13" s="587"/>
      <c r="B13" s="454"/>
      <c r="C13" s="472"/>
      <c r="D13" s="473" t="s">
        <v>525</v>
      </c>
      <c r="E13" s="1683">
        <f>'CDP + Flare PStreams'!AE11/100</f>
        <v>1.5245569825502199E-4</v>
      </c>
      <c r="F13" s="478"/>
      <c r="G13" s="478"/>
      <c r="H13" s="478"/>
      <c r="I13" s="478"/>
      <c r="J13" s="478"/>
      <c r="K13" s="479" t="s">
        <v>909</v>
      </c>
      <c r="L13" s="479">
        <f>' Ann (ECD1)'!M46</f>
        <v>33894920.067894511</v>
      </c>
      <c r="M13" s="457"/>
      <c r="N13" s="456"/>
      <c r="O13" s="51"/>
    </row>
    <row r="14" spans="1:15" ht="17.149999999999999" customHeight="1">
      <c r="A14" s="587"/>
      <c r="B14" s="458"/>
      <c r="C14" s="480"/>
      <c r="D14" s="385" t="s">
        <v>355</v>
      </c>
      <c r="E14" s="386">
        <v>0.99</v>
      </c>
      <c r="F14" s="805"/>
      <c r="G14" s="805"/>
      <c r="H14" s="805"/>
      <c r="I14" s="805"/>
      <c r="J14" s="805"/>
      <c r="K14" s="387"/>
      <c r="L14" s="387"/>
      <c r="M14" s="266"/>
      <c r="N14" s="459"/>
      <c r="O14" s="51"/>
    </row>
    <row r="15" spans="1:15" ht="17.149999999999999" customHeight="1">
      <c r="A15" s="587"/>
      <c r="B15" s="458"/>
      <c r="C15" s="480"/>
      <c r="D15" s="385" t="s">
        <v>526</v>
      </c>
      <c r="E15" s="386">
        <v>1</v>
      </c>
      <c r="F15" s="805"/>
      <c r="G15" s="805"/>
      <c r="H15" s="805"/>
      <c r="I15" s="805"/>
      <c r="J15" s="805"/>
      <c r="K15" s="387"/>
      <c r="L15" s="387"/>
      <c r="M15" s="266"/>
      <c r="N15" s="459"/>
      <c r="O15" s="51"/>
    </row>
    <row r="16" spans="1:15" ht="17.149999999999999" customHeight="1">
      <c r="A16" s="587"/>
      <c r="B16" s="458"/>
      <c r="C16" s="480"/>
      <c r="D16" s="385" t="s">
        <v>527</v>
      </c>
      <c r="E16" s="386">
        <v>0</v>
      </c>
      <c r="F16" s="805"/>
      <c r="G16" s="805"/>
      <c r="H16" s="805"/>
      <c r="I16" s="805"/>
      <c r="J16" s="805"/>
      <c r="K16" s="387"/>
      <c r="L16" s="387"/>
      <c r="M16" s="266"/>
      <c r="N16" s="459"/>
      <c r="O16" s="51"/>
    </row>
    <row r="17" spans="1:19" ht="17.149999999999999" customHeight="1">
      <c r="A17" s="587"/>
      <c r="B17" s="458"/>
      <c r="C17" s="480"/>
      <c r="D17" s="385"/>
      <c r="E17" s="386"/>
      <c r="F17" s="805"/>
      <c r="G17" s="805"/>
      <c r="H17" s="805"/>
      <c r="I17" s="805"/>
      <c r="J17" s="805"/>
      <c r="K17" s="387"/>
      <c r="L17" s="387"/>
      <c r="M17" s="266"/>
      <c r="N17" s="459"/>
      <c r="O17" s="51"/>
    </row>
    <row r="18" spans="1:19" ht="17.149999999999999" customHeight="1" thickBot="1">
      <c r="A18" s="587"/>
      <c r="B18" s="458"/>
      <c r="C18" s="467" t="s">
        <v>356</v>
      </c>
      <c r="D18" s="388" t="s">
        <v>528</v>
      </c>
      <c r="E18" s="386"/>
      <c r="F18" s="805"/>
      <c r="G18" s="421" t="s">
        <v>350</v>
      </c>
      <c r="H18" s="389">
        <f>E19*E20</f>
        <v>704.19602546178942</v>
      </c>
      <c r="I18" s="470" t="s">
        <v>357</v>
      </c>
      <c r="J18" s="805"/>
      <c r="K18" s="198"/>
      <c r="L18" s="198"/>
      <c r="M18" s="266"/>
      <c r="N18" s="459"/>
      <c r="O18" s="51"/>
    </row>
    <row r="19" spans="1:19" ht="17.149999999999999" customHeight="1">
      <c r="A19" s="587"/>
      <c r="B19" s="458"/>
      <c r="C19" s="480"/>
      <c r="D19" s="473" t="s">
        <v>354</v>
      </c>
      <c r="E19" s="389">
        <f>E12</f>
        <v>33894920.067894511</v>
      </c>
      <c r="F19" s="805"/>
      <c r="G19" s="805"/>
      <c r="H19" s="805"/>
      <c r="I19" s="805"/>
      <c r="J19" s="805"/>
      <c r="K19" s="390"/>
      <c r="L19" s="390">
        <f>SUM(L12:L18)</f>
        <v>33894920.067894511</v>
      </c>
      <c r="M19" s="266"/>
      <c r="N19" s="459"/>
      <c r="O19" s="51"/>
    </row>
    <row r="20" spans="1:19" ht="17.149999999999999" customHeight="1">
      <c r="A20" s="587"/>
      <c r="B20" s="458"/>
      <c r="C20" s="480"/>
      <c r="D20" s="473" t="s">
        <v>529</v>
      </c>
      <c r="E20" s="816">
        <f>'CDP + Flare PStreams'!AE10/100</f>
        <v>2.0775857386629701E-5</v>
      </c>
      <c r="F20" s="805"/>
      <c r="G20" s="805"/>
      <c r="H20" s="805"/>
      <c r="I20" s="805"/>
      <c r="J20" s="805"/>
      <c r="K20" s="805"/>
      <c r="L20" s="805"/>
      <c r="M20" s="266"/>
      <c r="N20" s="459"/>
      <c r="O20" s="51"/>
    </row>
    <row r="21" spans="1:19" ht="17.149999999999999" customHeight="1">
      <c r="A21" s="587"/>
      <c r="B21" s="458"/>
      <c r="C21" s="480"/>
      <c r="D21" s="473"/>
      <c r="E21" s="386"/>
      <c r="F21" s="805"/>
      <c r="G21" s="805"/>
      <c r="H21" s="805"/>
      <c r="I21" s="805"/>
      <c r="J21" s="805"/>
      <c r="K21" s="805"/>
      <c r="L21" s="805"/>
      <c r="M21" s="266"/>
      <c r="N21" s="459"/>
      <c r="O21" s="51"/>
    </row>
    <row r="22" spans="1:19" ht="17.149999999999999" customHeight="1">
      <c r="A22" s="587"/>
      <c r="B22" s="458"/>
      <c r="C22" s="467" t="s">
        <v>358</v>
      </c>
      <c r="D22" s="388" t="s">
        <v>530</v>
      </c>
      <c r="E22" s="386"/>
      <c r="F22" s="805"/>
      <c r="G22" s="805"/>
      <c r="H22" s="805"/>
      <c r="I22" s="805"/>
      <c r="J22" s="805"/>
      <c r="K22" s="805"/>
      <c r="L22" s="805"/>
      <c r="M22" s="266"/>
      <c r="N22" s="459"/>
      <c r="O22" s="51"/>
    </row>
    <row r="23" spans="1:19" ht="17.149999999999999" customHeight="1">
      <c r="A23" s="587"/>
      <c r="B23" s="458"/>
      <c r="C23" s="480"/>
      <c r="D23" s="385" t="s">
        <v>355</v>
      </c>
      <c r="E23" s="386">
        <v>0.99</v>
      </c>
      <c r="F23" s="805"/>
      <c r="G23" s="805"/>
      <c r="H23" s="805"/>
      <c r="I23" s="805"/>
      <c r="J23" s="805"/>
      <c r="K23" s="805"/>
      <c r="L23" s="805"/>
      <c r="M23" s="266"/>
      <c r="N23" s="459"/>
      <c r="O23" s="51"/>
    </row>
    <row r="24" spans="1:19" ht="17.149999999999999" customHeight="1">
      <c r="A24" s="587"/>
      <c r="B24" s="458"/>
      <c r="C24" s="480"/>
      <c r="D24" s="385" t="s">
        <v>531</v>
      </c>
      <c r="E24" s="389">
        <f>E19</f>
        <v>33894920.067894511</v>
      </c>
      <c r="F24" s="805"/>
      <c r="G24" s="386" t="s">
        <v>361</v>
      </c>
      <c r="H24" s="805"/>
      <c r="I24" s="386" t="s">
        <v>532</v>
      </c>
      <c r="J24" s="805"/>
      <c r="K24" s="805"/>
      <c r="L24" s="805"/>
      <c r="M24" s="266"/>
      <c r="N24" s="459"/>
      <c r="O24" s="51"/>
    </row>
    <row r="25" spans="1:19" ht="17.149999999999999" customHeight="1">
      <c r="A25" s="587"/>
      <c r="B25" s="458"/>
      <c r="C25" s="480"/>
      <c r="D25" s="385" t="s">
        <v>533</v>
      </c>
      <c r="E25" s="386" t="s">
        <v>6</v>
      </c>
      <c r="F25" s="419">
        <f>E13</f>
        <v>1.5245569825502199E-4</v>
      </c>
      <c r="G25" s="420">
        <v>1</v>
      </c>
      <c r="H25" s="805"/>
      <c r="I25" s="392">
        <f>$E$23*$E$24*F25*G25*$E$30</f>
        <v>5115.798969186525</v>
      </c>
      <c r="J25" s="805"/>
      <c r="K25" s="805"/>
      <c r="L25" s="805"/>
      <c r="M25" s="266"/>
      <c r="N25" s="459"/>
      <c r="O25" s="51"/>
    </row>
    <row r="26" spans="1:19" ht="17.149999999999999" customHeight="1">
      <c r="A26" s="587"/>
      <c r="B26" s="458"/>
      <c r="C26" s="480"/>
      <c r="D26" s="385"/>
      <c r="E26" s="386" t="s">
        <v>7</v>
      </c>
      <c r="F26" s="419">
        <f>'CDP + Flare PStreams'!AE12/100</f>
        <v>0.18831613405334</v>
      </c>
      <c r="G26" s="420">
        <v>2</v>
      </c>
      <c r="H26" s="805"/>
      <c r="I26" s="392">
        <f>$E$23*$E$24*F26*G26*$E$30</f>
        <v>12638261.416241076</v>
      </c>
      <c r="J26" s="805"/>
      <c r="K26" s="805"/>
      <c r="L26" s="805"/>
      <c r="M26" s="266"/>
      <c r="N26" s="459"/>
      <c r="O26" s="51"/>
    </row>
    <row r="27" spans="1:19" ht="17.149999999999999" customHeight="1">
      <c r="A27" s="587"/>
      <c r="B27" s="458"/>
      <c r="C27" s="480"/>
      <c r="D27" s="385"/>
      <c r="E27" s="386" t="s">
        <v>8</v>
      </c>
      <c r="F27" s="419">
        <f>'CDP + Flare PStreams'!AE13/100</f>
        <v>0.407940935030421</v>
      </c>
      <c r="G27" s="420">
        <v>3</v>
      </c>
      <c r="H27" s="805"/>
      <c r="I27" s="392">
        <f>$E$23*$E$24*F27*G27*$E$30</f>
        <v>41066562.394276455</v>
      </c>
      <c r="J27" s="805"/>
      <c r="K27" s="805"/>
      <c r="L27" s="805"/>
      <c r="M27" s="266"/>
      <c r="N27" s="459"/>
      <c r="O27" s="51"/>
    </row>
    <row r="28" spans="1:19" ht="17.149999999999999" customHeight="1">
      <c r="A28" s="587"/>
      <c r="B28" s="458"/>
      <c r="C28" s="480"/>
      <c r="D28" s="385"/>
      <c r="E28" s="386" t="s">
        <v>359</v>
      </c>
      <c r="F28" s="419">
        <f>'CDP + Flare PStreams'!AE14/100</f>
        <v>7.3893043069291897E-2</v>
      </c>
      <c r="G28" s="420">
        <v>4</v>
      </c>
      <c r="H28" s="805"/>
      <c r="I28" s="392">
        <f>$E$23*$E$24*F28*G28*$E$30</f>
        <v>9918211.2020922564</v>
      </c>
      <c r="J28" s="805"/>
      <c r="K28" s="805"/>
      <c r="L28" s="805"/>
      <c r="M28" s="266"/>
      <c r="N28" s="459"/>
      <c r="O28" s="51"/>
    </row>
    <row r="29" spans="1:19" ht="17.149999999999999" customHeight="1">
      <c r="A29" s="587"/>
      <c r="B29" s="458"/>
      <c r="C29" s="480"/>
      <c r="D29" s="385"/>
      <c r="E29" s="386" t="s">
        <v>360</v>
      </c>
      <c r="F29" s="419">
        <f>SUM('CDP + Flare PStreams'!AE17:AE34)/100</f>
        <v>0.1054215757131918</v>
      </c>
      <c r="G29" s="420">
        <v>5</v>
      </c>
      <c r="H29" s="805"/>
      <c r="I29" s="392">
        <f>$E$23*$E$24*F29*G29*$E$30</f>
        <v>17687616.617039122</v>
      </c>
      <c r="J29" s="805"/>
      <c r="K29" s="805"/>
      <c r="L29" s="805"/>
      <c r="M29" s="266"/>
      <c r="N29" s="459"/>
      <c r="O29" s="51"/>
    </row>
    <row r="30" spans="1:19" ht="17.149999999999999" customHeight="1">
      <c r="A30" s="587"/>
      <c r="B30" s="458"/>
      <c r="C30" s="480"/>
      <c r="D30" s="385" t="s">
        <v>526</v>
      </c>
      <c r="E30" s="386">
        <v>1</v>
      </c>
      <c r="F30" s="393"/>
      <c r="G30" s="394"/>
      <c r="H30" s="805"/>
      <c r="I30" s="389">
        <f>SUM(I25:I29)</f>
        <v>81315767.428618103</v>
      </c>
      <c r="J30" s="561" t="s">
        <v>357</v>
      </c>
      <c r="K30" s="395"/>
      <c r="L30" s="805"/>
      <c r="M30" s="266"/>
      <c r="N30" s="459"/>
      <c r="O30" s="51"/>
      <c r="S30" s="451"/>
    </row>
    <row r="31" spans="1:19" ht="17.149999999999999" customHeight="1">
      <c r="A31" s="587"/>
      <c r="B31" s="458"/>
      <c r="C31" s="480"/>
      <c r="D31" s="395"/>
      <c r="E31" s="395"/>
      <c r="F31" s="393"/>
      <c r="G31" s="395"/>
      <c r="H31" s="805"/>
      <c r="I31" s="805"/>
      <c r="J31" s="395"/>
      <c r="K31" s="395"/>
      <c r="L31" s="805"/>
      <c r="M31" s="266"/>
      <c r="N31" s="459"/>
      <c r="O31" s="51"/>
      <c r="S31" s="451"/>
    </row>
    <row r="32" spans="1:19" ht="17.149999999999999" customHeight="1">
      <c r="A32" s="587"/>
      <c r="B32" s="458"/>
      <c r="C32" s="480" t="s">
        <v>358</v>
      </c>
      <c r="D32" s="395" t="s">
        <v>534</v>
      </c>
      <c r="E32" s="395"/>
      <c r="F32" s="393"/>
      <c r="G32" s="805"/>
      <c r="H32" s="389"/>
      <c r="I32" s="561"/>
      <c r="J32" s="395"/>
      <c r="K32" s="395"/>
      <c r="L32" s="805"/>
      <c r="M32" s="266"/>
      <c r="N32" s="459"/>
      <c r="O32" s="51"/>
      <c r="S32" s="451"/>
    </row>
    <row r="33" spans="1:19" ht="17.149999999999999" customHeight="1">
      <c r="A33" s="587"/>
      <c r="B33" s="458"/>
      <c r="C33" s="480"/>
      <c r="D33" s="4805" t="s">
        <v>535</v>
      </c>
      <c r="E33" s="4805"/>
      <c r="F33" s="393"/>
      <c r="G33" s="395"/>
      <c r="H33" s="392"/>
      <c r="I33" s="805"/>
      <c r="J33" s="395"/>
      <c r="K33" s="395"/>
      <c r="L33" s="805"/>
      <c r="M33" s="266"/>
      <c r="N33" s="459"/>
      <c r="O33" s="51"/>
      <c r="S33" s="451"/>
    </row>
    <row r="34" spans="1:19" ht="17.149999999999999" customHeight="1">
      <c r="A34" s="587"/>
      <c r="B34" s="458"/>
      <c r="C34" s="480"/>
      <c r="D34" s="385" t="s">
        <v>536</v>
      </c>
      <c r="E34" s="392">
        <f>H11</f>
        <v>51.674737062490195</v>
      </c>
      <c r="F34" s="393"/>
      <c r="G34" s="805" t="s">
        <v>350</v>
      </c>
      <c r="H34" s="389">
        <f>((E34*((459.67+60))*12.73))/((459.67+93.7)*13.28)</f>
        <v>46.517957692299603</v>
      </c>
      <c r="I34" s="561" t="s">
        <v>357</v>
      </c>
      <c r="J34" s="561"/>
      <c r="K34" s="395"/>
      <c r="L34" s="805"/>
      <c r="M34" s="266"/>
      <c r="N34" s="459"/>
      <c r="O34" s="51"/>
      <c r="S34" s="451"/>
    </row>
    <row r="35" spans="1:19" ht="17.149999999999999" customHeight="1">
      <c r="A35" s="587"/>
      <c r="B35" s="458"/>
      <c r="C35" s="480"/>
      <c r="D35" s="385" t="s">
        <v>537</v>
      </c>
      <c r="E35" s="392">
        <f>H18+I30</f>
        <v>81316471.624643564</v>
      </c>
      <c r="F35" s="393"/>
      <c r="G35" s="805" t="s">
        <v>350</v>
      </c>
      <c r="H35" s="389">
        <f>((E35*((459.67+60))*12.73))/((459.67+93.7)*13.28)</f>
        <v>73201653.298165098</v>
      </c>
      <c r="I35" s="561" t="s">
        <v>357</v>
      </c>
      <c r="J35" s="395"/>
      <c r="K35" s="395"/>
      <c r="L35" s="805"/>
      <c r="M35" s="266"/>
      <c r="N35" s="459"/>
      <c r="O35" s="51"/>
      <c r="S35" s="451"/>
    </row>
    <row r="36" spans="1:19" ht="17.149999999999999" customHeight="1">
      <c r="A36" s="587"/>
      <c r="B36" s="458"/>
      <c r="C36" s="480"/>
      <c r="D36" s="385" t="s">
        <v>363</v>
      </c>
      <c r="E36" s="392" t="s">
        <v>362</v>
      </c>
      <c r="F36" s="393"/>
      <c r="G36" s="395"/>
      <c r="H36" s="392"/>
      <c r="I36" s="805"/>
      <c r="J36" s="395"/>
      <c r="K36" s="395"/>
      <c r="L36" s="805"/>
      <c r="M36" s="266"/>
      <c r="N36" s="459"/>
      <c r="O36" s="51"/>
      <c r="S36" s="451"/>
    </row>
    <row r="37" spans="1:19" ht="17.149999999999999" customHeight="1">
      <c r="A37" s="587"/>
      <c r="B37" s="458"/>
      <c r="C37" s="480"/>
      <c r="D37" s="385" t="s">
        <v>364</v>
      </c>
      <c r="E37" s="392" t="s">
        <v>365</v>
      </c>
      <c r="F37" s="393" t="s">
        <v>366</v>
      </c>
      <c r="G37" s="395"/>
      <c r="H37" s="392"/>
      <c r="I37" s="805"/>
      <c r="J37" s="395"/>
      <c r="K37" s="395"/>
      <c r="L37" s="805"/>
      <c r="M37" s="266"/>
      <c r="N37" s="459"/>
      <c r="O37" s="51"/>
      <c r="S37" s="451"/>
    </row>
    <row r="38" spans="1:19" ht="17.149999999999999" customHeight="1">
      <c r="A38" s="587"/>
      <c r="B38" s="458"/>
      <c r="C38" s="480"/>
      <c r="D38" s="385" t="s">
        <v>367</v>
      </c>
      <c r="E38" s="392">
        <v>13.28</v>
      </c>
      <c r="F38" s="393"/>
      <c r="G38" s="395"/>
      <c r="H38" s="392"/>
      <c r="I38" s="805"/>
      <c r="J38" s="395"/>
      <c r="K38" s="395"/>
      <c r="L38" s="805"/>
      <c r="M38" s="266"/>
      <c r="N38" s="459"/>
      <c r="O38" s="51"/>
      <c r="S38" s="451"/>
    </row>
    <row r="39" spans="1:19" ht="17.149999999999999" customHeight="1">
      <c r="A39" s="587"/>
      <c r="B39" s="458"/>
      <c r="C39" s="480"/>
      <c r="D39" s="385" t="s">
        <v>368</v>
      </c>
      <c r="E39" s="805">
        <v>12.73</v>
      </c>
      <c r="F39" s="393" t="s">
        <v>366</v>
      </c>
      <c r="G39" s="395"/>
      <c r="H39" s="392"/>
      <c r="I39" s="805"/>
      <c r="J39" s="395"/>
      <c r="K39" s="395"/>
      <c r="L39" s="805"/>
      <c r="M39" s="266"/>
      <c r="N39" s="459"/>
      <c r="O39" s="51"/>
      <c r="S39" s="451"/>
    </row>
    <row r="40" spans="1:19" ht="17.149999999999999" customHeight="1">
      <c r="A40" s="587"/>
      <c r="B40" s="458"/>
      <c r="C40" s="480"/>
      <c r="D40" s="395"/>
      <c r="E40" s="805"/>
      <c r="F40" s="393"/>
      <c r="G40" s="395"/>
      <c r="H40" s="805"/>
      <c r="I40" s="805"/>
      <c r="J40" s="395"/>
      <c r="K40" s="395"/>
      <c r="L40" s="805"/>
      <c r="M40" s="266"/>
      <c r="N40" s="459"/>
      <c r="O40" s="51"/>
      <c r="S40" s="451"/>
    </row>
    <row r="41" spans="1:19" ht="17.149999999999999" customHeight="1">
      <c r="A41" s="587"/>
      <c r="B41" s="458"/>
      <c r="C41" s="480" t="s">
        <v>369</v>
      </c>
      <c r="D41" s="395" t="s">
        <v>538</v>
      </c>
      <c r="E41" s="395"/>
      <c r="F41" s="393"/>
      <c r="G41" s="395"/>
      <c r="H41" s="805"/>
      <c r="I41" s="805"/>
      <c r="J41" s="395"/>
      <c r="K41" s="395"/>
      <c r="L41" s="805"/>
      <c r="M41" s="266"/>
      <c r="N41" s="459"/>
      <c r="O41" s="51"/>
      <c r="S41" s="451"/>
    </row>
    <row r="42" spans="1:19" ht="17.149999999999999" customHeight="1">
      <c r="A42" s="587"/>
      <c r="B42" s="458"/>
      <c r="C42" s="480"/>
      <c r="D42" s="385" t="s">
        <v>539</v>
      </c>
      <c r="E42" s="392">
        <f>H34</f>
        <v>46.517957692299603</v>
      </c>
      <c r="F42" s="393"/>
      <c r="G42" s="395"/>
      <c r="H42" s="805"/>
      <c r="I42" s="805"/>
      <c r="J42" s="395"/>
      <c r="K42" s="395"/>
      <c r="L42" s="805"/>
      <c r="M42" s="266"/>
      <c r="N42" s="459"/>
      <c r="O42" s="51"/>
      <c r="S42" s="451"/>
    </row>
    <row r="43" spans="1:19" ht="17.149999999999999" customHeight="1">
      <c r="A43" s="587"/>
      <c r="B43" s="458"/>
      <c r="C43" s="480"/>
      <c r="D43" s="385" t="s">
        <v>540</v>
      </c>
      <c r="E43" s="396">
        <f>H35</f>
        <v>73201653.298165098</v>
      </c>
      <c r="F43" s="393"/>
      <c r="G43" s="395"/>
      <c r="H43" s="805"/>
      <c r="I43" s="805"/>
      <c r="J43" s="395"/>
      <c r="K43" s="395"/>
      <c r="L43" s="805"/>
      <c r="M43" s="266"/>
      <c r="N43" s="459"/>
      <c r="O43" s="51"/>
      <c r="S43" s="451"/>
    </row>
    <row r="44" spans="1:19" ht="17.149999999999999" customHeight="1">
      <c r="A44" s="587"/>
      <c r="B44" s="458"/>
      <c r="C44" s="480"/>
      <c r="D44" s="385" t="s">
        <v>541</v>
      </c>
      <c r="E44" s="419">
        <v>1.9199999999999998E-2</v>
      </c>
      <c r="F44" s="393" t="s">
        <v>370</v>
      </c>
      <c r="G44" s="805" t="s">
        <v>350</v>
      </c>
      <c r="H44" s="805">
        <f>E42*E44*10^-3</f>
        <v>8.931447876921524E-4</v>
      </c>
      <c r="I44" s="805" t="s">
        <v>375</v>
      </c>
      <c r="J44" s="395"/>
      <c r="K44" s="395"/>
      <c r="L44" s="805"/>
      <c r="M44" s="266"/>
      <c r="N44" s="459"/>
      <c r="O44" s="51"/>
      <c r="S44" s="451"/>
    </row>
    <row r="45" spans="1:19" ht="17.149999999999999" customHeight="1">
      <c r="A45" s="587"/>
      <c r="B45" s="458"/>
      <c r="C45" s="480"/>
      <c r="D45" s="385" t="s">
        <v>542</v>
      </c>
      <c r="E45" s="419">
        <v>5.2600000000000001E-2</v>
      </c>
      <c r="F45" s="393" t="s">
        <v>370</v>
      </c>
      <c r="G45" s="805" t="s">
        <v>350</v>
      </c>
      <c r="H45" s="805">
        <f>E43*E45*10^-3</f>
        <v>3850.4069634834841</v>
      </c>
      <c r="I45" s="805" t="s">
        <v>375</v>
      </c>
      <c r="J45" s="395"/>
      <c r="K45" s="395"/>
      <c r="L45" s="805"/>
      <c r="M45" s="266"/>
      <c r="N45" s="459"/>
      <c r="O45" s="51"/>
      <c r="S45" s="451"/>
    </row>
    <row r="46" spans="1:19" ht="17.149999999999999" customHeight="1">
      <c r="A46" s="587"/>
      <c r="B46" s="458"/>
      <c r="C46" s="480"/>
      <c r="D46" s="395"/>
      <c r="E46" s="395"/>
      <c r="F46" s="393"/>
      <c r="G46" s="395"/>
      <c r="H46" s="805"/>
      <c r="I46" s="805"/>
      <c r="J46" s="395"/>
      <c r="K46" s="395"/>
      <c r="L46" s="805"/>
      <c r="M46" s="266"/>
      <c r="N46" s="459"/>
      <c r="O46" s="51"/>
      <c r="S46" s="451"/>
    </row>
    <row r="47" spans="1:19" ht="17.149999999999999" customHeight="1">
      <c r="A47" s="587"/>
      <c r="B47" s="458"/>
      <c r="C47" s="480" t="s">
        <v>371</v>
      </c>
      <c r="D47" s="395" t="s">
        <v>543</v>
      </c>
      <c r="E47" s="395"/>
      <c r="F47" s="393"/>
      <c r="G47" s="805" t="s">
        <v>376</v>
      </c>
      <c r="H47" s="805" t="s">
        <v>544</v>
      </c>
      <c r="I47" s="805"/>
      <c r="J47" s="395"/>
      <c r="K47" s="395"/>
      <c r="L47" s="805"/>
      <c r="M47" s="266"/>
      <c r="N47" s="459"/>
      <c r="O47" s="51"/>
      <c r="S47" s="451"/>
    </row>
    <row r="48" spans="1:19" ht="17.149999999999999" customHeight="1">
      <c r="A48" s="587"/>
      <c r="B48" s="458"/>
      <c r="C48" s="480"/>
      <c r="D48" s="385" t="s">
        <v>374</v>
      </c>
      <c r="E48" s="805">
        <f>H45</f>
        <v>3850.4069634834841</v>
      </c>
      <c r="F48" s="419" t="s">
        <v>350</v>
      </c>
      <c r="G48" s="805">
        <f>E48*1.102311</f>
        <v>4244.345950324443</v>
      </c>
      <c r="H48" s="805">
        <f>G48</f>
        <v>4244.345950324443</v>
      </c>
      <c r="I48" s="805"/>
      <c r="J48" s="395"/>
      <c r="K48" s="395"/>
      <c r="L48" s="805"/>
      <c r="M48" s="266"/>
      <c r="N48" s="459"/>
      <c r="O48" s="51"/>
      <c r="S48" s="451"/>
    </row>
    <row r="49" spans="1:19" ht="17.149999999999999" customHeight="1">
      <c r="A49" s="587"/>
      <c r="B49" s="458"/>
      <c r="C49" s="480"/>
      <c r="D49" s="385" t="s">
        <v>373</v>
      </c>
      <c r="E49" s="805">
        <f>H44</f>
        <v>8.931447876921524E-4</v>
      </c>
      <c r="F49" s="419" t="s">
        <v>350</v>
      </c>
      <c r="G49" s="805">
        <f>E49*1.102311</f>
        <v>9.8452332406572429E-4</v>
      </c>
      <c r="H49" s="805">
        <f>G49*E50</f>
        <v>2.4613083101643108E-2</v>
      </c>
      <c r="I49" s="805"/>
      <c r="J49" s="395"/>
      <c r="K49" s="395"/>
      <c r="L49" s="805"/>
      <c r="M49" s="266"/>
      <c r="N49" s="459"/>
      <c r="O49" s="51"/>
      <c r="S49" s="451"/>
    </row>
    <row r="50" spans="1:19" ht="17.149999999999999" customHeight="1">
      <c r="A50" s="587"/>
      <c r="B50" s="458"/>
      <c r="C50" s="480"/>
      <c r="D50" s="385" t="s">
        <v>372</v>
      </c>
      <c r="E50" s="420">
        <v>25</v>
      </c>
      <c r="F50" s="393"/>
      <c r="G50" s="386"/>
      <c r="H50" s="386">
        <f>SUM(H48:H49)</f>
        <v>4244.370563407545</v>
      </c>
      <c r="I50" s="805"/>
      <c r="J50" s="395"/>
      <c r="K50" s="395"/>
      <c r="L50" s="805"/>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5" thickBot="1">
      <c r="A54" s="1575"/>
      <c r="B54" s="1576"/>
      <c r="C54" s="1576"/>
      <c r="D54" s="1576"/>
      <c r="E54" s="1576"/>
      <c r="F54" s="1576"/>
      <c r="G54" s="1576"/>
      <c r="H54" s="1576"/>
      <c r="I54" s="1576"/>
      <c r="J54" s="1576"/>
      <c r="K54" s="1576"/>
      <c r="L54" s="1576"/>
      <c r="M54" s="1576"/>
      <c r="N54" s="1576"/>
      <c r="O54" s="1577"/>
    </row>
    <row r="57" spans="1:19">
      <c r="D57" s="252"/>
    </row>
    <row r="58" spans="1:19">
      <c r="D58" s="252"/>
      <c r="I58" s="252"/>
      <c r="J58" s="463"/>
    </row>
    <row r="59" spans="1:19" hidden="1">
      <c r="K59" s="50">
        <v>3.1354414908626635</v>
      </c>
    </row>
    <row r="60" spans="1:19" hidden="1"/>
  </sheetData>
  <mergeCells count="5">
    <mergeCell ref="B2:N2"/>
    <mergeCell ref="B3:N3"/>
    <mergeCell ref="B4:N4"/>
    <mergeCell ref="A6:O6"/>
    <mergeCell ref="D33:E33"/>
  </mergeCells>
  <pageMargins left="0.25" right="0.25" top="0.75" bottom="0.75" header="0.3" footer="0.3"/>
  <pageSetup scale="54" fitToHeight="0" orientation="portrait" r:id="rId1"/>
  <headerFooter alignWithMargins="0">
    <oddFooter>&amp;CCalculations: Page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1">
    <tabColor theme="3" tint="-0.249977111117893"/>
    <pageSetUpPr fitToPage="1"/>
  </sheetPr>
  <dimension ref="A1:T59"/>
  <sheetViews>
    <sheetView view="pageBreakPreview" topLeftCell="A25" zoomScale="70" zoomScaleNormal="100" zoomScaleSheetLayoutView="70" workbookViewId="0">
      <selection activeCell="E19" sqref="E19:R19"/>
    </sheetView>
  </sheetViews>
  <sheetFormatPr defaultColWidth="9.36328125" defaultRowHeight="12.5"/>
  <cols>
    <col min="1" max="1" width="4.36328125" style="48" customWidth="1"/>
    <col min="2" max="2" width="28.36328125" style="48" customWidth="1"/>
    <col min="3" max="3" width="12.54296875" style="48" customWidth="1"/>
    <col min="4" max="4" width="19.36328125" style="48" customWidth="1"/>
    <col min="5" max="5" width="17" style="48" customWidth="1"/>
    <col min="6" max="6" width="13.453125" style="48" customWidth="1"/>
    <col min="7" max="7" width="12.453125" style="48" customWidth="1"/>
    <col min="8" max="8" width="14.6328125" style="48" customWidth="1"/>
    <col min="9" max="9" width="1.36328125" style="48" customWidth="1"/>
    <col min="10" max="10" width="12" style="48" customWidth="1"/>
    <col min="11" max="11" width="13.6328125" style="48" customWidth="1"/>
    <col min="12" max="12" width="10.36328125" style="48" customWidth="1"/>
    <col min="13" max="13" width="12.6328125" style="48" customWidth="1"/>
    <col min="14" max="14" width="4.453125" style="48" customWidth="1"/>
    <col min="15" max="16384" width="9.36328125" style="48"/>
  </cols>
  <sheetData>
    <row r="1" spans="1:19" ht="13.5" thickBot="1">
      <c r="A1" s="640"/>
      <c r="B1" s="641"/>
      <c r="C1" s="641"/>
      <c r="D1" s="641"/>
      <c r="E1" s="641"/>
      <c r="F1" s="641"/>
      <c r="G1" s="641"/>
      <c r="H1" s="641"/>
      <c r="I1" s="641"/>
      <c r="J1" s="641"/>
      <c r="K1" s="641"/>
      <c r="L1" s="641"/>
      <c r="M1" s="641"/>
      <c r="N1" s="642"/>
    </row>
    <row r="2" spans="1:19" ht="20.5">
      <c r="A2" s="643"/>
      <c r="B2" s="4657" t="s">
        <v>54</v>
      </c>
      <c r="C2" s="4658"/>
      <c r="D2" s="4658"/>
      <c r="E2" s="4658"/>
      <c r="F2" s="4658"/>
      <c r="G2" s="4658"/>
      <c r="H2" s="4658"/>
      <c r="I2" s="4658"/>
      <c r="J2" s="4658"/>
      <c r="K2" s="4658"/>
      <c r="L2" s="4658"/>
      <c r="M2" s="4659"/>
      <c r="N2" s="644"/>
    </row>
    <row r="3" spans="1:19" ht="20.5">
      <c r="A3" s="643"/>
      <c r="B3" s="4660" t="str">
        <f>'TO Ann (TO1-TO3)'!B3:M3</f>
        <v>HUSKY CDP</v>
      </c>
      <c r="C3" s="4661"/>
      <c r="D3" s="4661"/>
      <c r="E3" s="4661"/>
      <c r="F3" s="4661"/>
      <c r="G3" s="4661"/>
      <c r="H3" s="4661"/>
      <c r="I3" s="4661"/>
      <c r="J3" s="4661"/>
      <c r="K3" s="4661"/>
      <c r="L3" s="4661"/>
      <c r="M3" s="4662"/>
      <c r="N3" s="644"/>
    </row>
    <row r="4" spans="1:19" ht="21" thickBot="1">
      <c r="A4" s="643"/>
      <c r="B4" s="4663" t="s">
        <v>911</v>
      </c>
      <c r="C4" s="4665"/>
      <c r="D4" s="4665"/>
      <c r="E4" s="4665"/>
      <c r="F4" s="4665"/>
      <c r="G4" s="4665"/>
      <c r="H4" s="4665"/>
      <c r="I4" s="4665"/>
      <c r="J4" s="4665"/>
      <c r="K4" s="4665"/>
      <c r="L4" s="4665"/>
      <c r="M4" s="4666"/>
      <c r="N4" s="644"/>
    </row>
    <row r="5" spans="1:19" ht="18.5" thickBot="1">
      <c r="A5" s="645"/>
      <c r="B5" s="646"/>
      <c r="C5" s="646"/>
      <c r="D5" s="646"/>
      <c r="E5" s="646"/>
      <c r="F5" s="646"/>
      <c r="G5" s="646"/>
      <c r="H5" s="646"/>
      <c r="I5" s="646"/>
      <c r="J5" s="646"/>
      <c r="K5" s="646"/>
      <c r="L5" s="646"/>
      <c r="M5" s="646"/>
      <c r="N5" s="647"/>
    </row>
    <row r="6" spans="1:19" ht="23.25" customHeight="1" thickBot="1">
      <c r="A6" s="4784" t="s">
        <v>1473</v>
      </c>
      <c r="B6" s="4785"/>
      <c r="C6" s="4785"/>
      <c r="D6" s="4785"/>
      <c r="E6" s="4785"/>
      <c r="F6" s="4785"/>
      <c r="G6" s="4785"/>
      <c r="H6" s="4785"/>
      <c r="I6" s="4785"/>
      <c r="J6" s="4785"/>
      <c r="K6" s="4785"/>
      <c r="L6" s="4785"/>
      <c r="M6" s="4785"/>
      <c r="N6" s="4786"/>
    </row>
    <row r="7" spans="1:19" ht="20.25" customHeight="1" thickBot="1">
      <c r="A7" s="4781"/>
      <c r="B7" s="4782"/>
      <c r="C7" s="4782"/>
      <c r="D7" s="4782"/>
      <c r="E7" s="4782"/>
      <c r="F7" s="674"/>
      <c r="G7" s="674"/>
      <c r="H7" s="674"/>
      <c r="I7" s="674"/>
      <c r="J7" s="674"/>
      <c r="K7" s="674"/>
      <c r="L7" s="674"/>
      <c r="M7" s="674"/>
      <c r="N7" s="675"/>
    </row>
    <row r="8" spans="1:19" ht="22.5" customHeight="1" thickBot="1">
      <c r="A8" s="643"/>
      <c r="B8" s="4682" t="s">
        <v>1963</v>
      </c>
      <c r="C8" s="4671"/>
      <c r="D8" s="4671"/>
      <c r="E8" s="4671"/>
      <c r="F8" s="4671"/>
      <c r="G8" s="4671"/>
      <c r="H8" s="4654"/>
      <c r="I8" s="1765"/>
      <c r="J8" s="4747" t="s">
        <v>1964</v>
      </c>
      <c r="K8" s="4748"/>
      <c r="L8" s="4748"/>
      <c r="M8" s="4749"/>
      <c r="N8" s="51"/>
    </row>
    <row r="9" spans="1:19" ht="26.25" customHeight="1">
      <c r="A9" s="643"/>
      <c r="B9" s="4732" t="s">
        <v>2</v>
      </c>
      <c r="C9" s="4790" t="s">
        <v>740</v>
      </c>
      <c r="D9" s="4735" t="s">
        <v>732</v>
      </c>
      <c r="E9" s="4735" t="s">
        <v>682</v>
      </c>
      <c r="F9" s="4737" t="s">
        <v>19</v>
      </c>
      <c r="G9" s="4739" t="s">
        <v>683</v>
      </c>
      <c r="H9" s="4518" t="s">
        <v>700</v>
      </c>
      <c r="I9" s="3088"/>
      <c r="J9" s="4742" t="s">
        <v>2</v>
      </c>
      <c r="K9" s="4745" t="s">
        <v>685</v>
      </c>
      <c r="L9" s="4516" t="s">
        <v>686</v>
      </c>
      <c r="M9" s="4518" t="s">
        <v>687</v>
      </c>
      <c r="N9" s="51"/>
      <c r="Q9" s="650" t="s">
        <v>688</v>
      </c>
      <c r="R9" s="650"/>
      <c r="S9" s="650">
        <v>34.08</v>
      </c>
    </row>
    <row r="10" spans="1:19" ht="18" customHeight="1">
      <c r="A10" s="643"/>
      <c r="B10" s="4733"/>
      <c r="C10" s="4791"/>
      <c r="D10" s="4736"/>
      <c r="E10" s="4736"/>
      <c r="F10" s="4738"/>
      <c r="G10" s="4740"/>
      <c r="H10" s="4722"/>
      <c r="I10" s="3088"/>
      <c r="J10" s="4743"/>
      <c r="K10" s="4746"/>
      <c r="L10" s="4720"/>
      <c r="M10" s="4722"/>
      <c r="N10" s="51"/>
      <c r="Q10" s="650" t="s">
        <v>689</v>
      </c>
      <c r="R10" s="650"/>
      <c r="S10" s="650">
        <v>64.06</v>
      </c>
    </row>
    <row r="11" spans="1:19" ht="16" thickBot="1">
      <c r="A11" s="643"/>
      <c r="B11" s="4734"/>
      <c r="C11" s="3307" t="s">
        <v>56</v>
      </c>
      <c r="D11" s="3308" t="s">
        <v>56</v>
      </c>
      <c r="E11" s="3308" t="s">
        <v>56</v>
      </c>
      <c r="F11" s="3309" t="s">
        <v>56</v>
      </c>
      <c r="G11" s="3310" t="s">
        <v>690</v>
      </c>
      <c r="H11" s="3311" t="s">
        <v>56</v>
      </c>
      <c r="I11" s="1765"/>
      <c r="J11" s="4744"/>
      <c r="K11" s="3241" t="s">
        <v>56</v>
      </c>
      <c r="L11" s="4721"/>
      <c r="M11" s="4723"/>
      <c r="N11" s="51"/>
      <c r="Q11" s="650"/>
      <c r="R11" s="650"/>
      <c r="S11" s="651"/>
    </row>
    <row r="12" spans="1:19" ht="18.5">
      <c r="A12" s="643"/>
      <c r="B12" s="3096" t="s">
        <v>5</v>
      </c>
      <c r="C12" s="3169">
        <f>'Amine PStreams'!AS39</f>
        <v>0</v>
      </c>
      <c r="D12" s="1835">
        <f>'Amine PStreams'!S39</f>
        <v>1.1354524164582699E-3</v>
      </c>
      <c r="E12" s="1835">
        <f>'Amine PStreams'!Y39</f>
        <v>0.45764713334295498</v>
      </c>
      <c r="F12" s="1836">
        <f t="shared" ref="F12:F30" si="0">SUM(C12:E12)</f>
        <v>0.45878258575941328</v>
      </c>
      <c r="G12" s="3098">
        <v>0.99</v>
      </c>
      <c r="H12" s="3099">
        <f>F12*(1-G12)</f>
        <v>4.5878258575941366E-3</v>
      </c>
      <c r="I12" s="3100"/>
      <c r="J12" s="3101" t="s">
        <v>1949</v>
      </c>
      <c r="K12" s="3173">
        <f>L12*F38</f>
        <v>2.5190885601790693</v>
      </c>
      <c r="L12" s="3174">
        <v>0.08</v>
      </c>
      <c r="M12" s="3104" t="s">
        <v>287</v>
      </c>
      <c r="N12" s="51"/>
      <c r="P12" s="2403"/>
    </row>
    <row r="13" spans="1:19" ht="16.5" customHeight="1">
      <c r="A13" s="643"/>
      <c r="B13" s="3244" t="s">
        <v>674</v>
      </c>
      <c r="C13" s="1900">
        <f>'Amine PStreams'!AS40</f>
        <v>0.384677009433323</v>
      </c>
      <c r="D13" s="1850">
        <f>'Amine PStreams'!S40</f>
        <v>2.67939599665318</v>
      </c>
      <c r="E13" s="1850">
        <f>'Amine PStreams'!Y40</f>
        <v>9.4837100174229902E-2</v>
      </c>
      <c r="F13" s="1851">
        <f t="shared" si="0"/>
        <v>3.1589101062607328</v>
      </c>
      <c r="G13" s="3312">
        <v>0</v>
      </c>
      <c r="H13" s="3313">
        <f>F13*(1-G13)</f>
        <v>3.1589101062607328</v>
      </c>
      <c r="I13" s="3100"/>
      <c r="J13" s="3314" t="s">
        <v>0</v>
      </c>
      <c r="K13" s="1851">
        <f>C46*K47/1000000*C44/C45/(C42+460)*K42</f>
        <v>2.0880159999999997</v>
      </c>
      <c r="L13" s="3248" t="s">
        <v>445</v>
      </c>
      <c r="M13" s="3249" t="s">
        <v>445</v>
      </c>
      <c r="N13" s="51"/>
      <c r="P13" s="2403"/>
    </row>
    <row r="14" spans="1:19" ht="16.5" customHeight="1">
      <c r="A14" s="643"/>
      <c r="B14" s="3244" t="s">
        <v>3</v>
      </c>
      <c r="C14" s="1900">
        <f>'Amine PStreams'!AS41</f>
        <v>5.0559417387291503E-3</v>
      </c>
      <c r="D14" s="1850">
        <f>'Amine PStreams'!S41</f>
        <v>37.137873385179802</v>
      </c>
      <c r="E14" s="1850">
        <f>'Amine PStreams'!Y41</f>
        <v>24842.767784215801</v>
      </c>
      <c r="F14" s="1851">
        <f t="shared" si="0"/>
        <v>24879.910713542718</v>
      </c>
      <c r="G14" s="3312">
        <v>0</v>
      </c>
      <c r="H14" s="3313">
        <f>F14*(1-G14)</f>
        <v>24879.910713542718</v>
      </c>
      <c r="I14" s="3100"/>
      <c r="J14" s="3314" t="s">
        <v>51</v>
      </c>
      <c r="K14" s="1842">
        <f>F36</f>
        <v>0.86237125715223051</v>
      </c>
      <c r="L14" s="3248" t="s">
        <v>445</v>
      </c>
      <c r="M14" s="3249" t="s">
        <v>445</v>
      </c>
      <c r="N14" s="51"/>
    </row>
    <row r="15" spans="1:19" ht="16.5" customHeight="1">
      <c r="A15" s="643"/>
      <c r="B15" s="3244" t="s">
        <v>6</v>
      </c>
      <c r="C15" s="1900">
        <f>'Amine PStreams'!AS42</f>
        <v>951.31494912897904</v>
      </c>
      <c r="D15" s="1850">
        <f>'Amine PStreams'!S42</f>
        <v>157.52975198380099</v>
      </c>
      <c r="E15" s="1850">
        <f>'Amine PStreams'!Y42</f>
        <v>17.5649239424278</v>
      </c>
      <c r="F15" s="1851">
        <f t="shared" si="0"/>
        <v>1126.4096250552079</v>
      </c>
      <c r="G15" s="3312">
        <f t="shared" ref="G15:G30" si="1">$L$19/100</f>
        <v>0.99</v>
      </c>
      <c r="H15" s="3313">
        <f>F15*(1-G15)</f>
        <v>11.26409625055209</v>
      </c>
      <c r="I15" s="3100"/>
      <c r="J15" s="3314" t="s">
        <v>1950</v>
      </c>
      <c r="K15" s="1842">
        <f>L15*$F$37/10^6*$F$34/1020</f>
        <v>0.23462099335001135</v>
      </c>
      <c r="L15" s="1900">
        <v>7.6</v>
      </c>
      <c r="M15" s="3250" t="s">
        <v>587</v>
      </c>
      <c r="N15" s="51"/>
      <c r="Q15" s="652"/>
      <c r="R15" s="652"/>
    </row>
    <row r="16" spans="1:19" ht="16.5" customHeight="1">
      <c r="A16" s="643"/>
      <c r="B16" s="3244" t="s">
        <v>7</v>
      </c>
      <c r="C16" s="1900">
        <f>'Amine PStreams'!AS43</f>
        <v>36.577203176323202</v>
      </c>
      <c r="D16" s="1850">
        <f>'Amine PStreams'!S43</f>
        <v>62.4303668832097</v>
      </c>
      <c r="E16" s="1850">
        <f>'Amine PStreams'!Y43</f>
        <v>11.004935399131099</v>
      </c>
      <c r="F16" s="1851">
        <f t="shared" si="0"/>
        <v>110.01250545866399</v>
      </c>
      <c r="G16" s="3312">
        <f t="shared" si="1"/>
        <v>0.99</v>
      </c>
      <c r="H16" s="3313">
        <f t="shared" ref="H16:H30" si="2">F16*(1-G16)</f>
        <v>1.100125054586641</v>
      </c>
      <c r="I16" s="3100"/>
      <c r="J16" s="3314" t="s">
        <v>1951</v>
      </c>
      <c r="K16" s="1842">
        <f>L16*$F$37/10^6*$F$34/1020</f>
        <v>0.23462099335001135</v>
      </c>
      <c r="L16" s="1900">
        <v>7.6</v>
      </c>
      <c r="M16" s="3250" t="s">
        <v>587</v>
      </c>
      <c r="N16" s="51"/>
      <c r="Q16" s="652"/>
    </row>
    <row r="17" spans="1:17" ht="16.5" customHeight="1" thickBot="1">
      <c r="A17" s="643"/>
      <c r="B17" s="3244" t="s">
        <v>8</v>
      </c>
      <c r="C17" s="1900">
        <f>'Amine PStreams'!AS44</f>
        <v>12.8735293332353</v>
      </c>
      <c r="D17" s="1850">
        <f>'Amine PStreams'!S44</f>
        <v>28.513497461964601</v>
      </c>
      <c r="E17" s="1850">
        <f>'Amine PStreams'!Y44</f>
        <v>4.1116314008286201</v>
      </c>
      <c r="F17" s="1851">
        <f t="shared" si="0"/>
        <v>45.498658196028522</v>
      </c>
      <c r="G17" s="3312">
        <f t="shared" si="1"/>
        <v>0.99</v>
      </c>
      <c r="H17" s="3313">
        <f t="shared" si="2"/>
        <v>0.45498658196028563</v>
      </c>
      <c r="I17" s="3100"/>
      <c r="J17" s="3310" t="s">
        <v>1952</v>
      </c>
      <c r="K17" s="3315">
        <f>C13</f>
        <v>0.384677009433323</v>
      </c>
      <c r="L17" s="3253" t="s">
        <v>445</v>
      </c>
      <c r="M17" s="3254" t="s">
        <v>445</v>
      </c>
      <c r="N17" s="51"/>
      <c r="Q17" s="652"/>
    </row>
    <row r="18" spans="1:17" ht="16.5" customHeight="1" thickBot="1">
      <c r="A18" s="643"/>
      <c r="B18" s="3244" t="s">
        <v>678</v>
      </c>
      <c r="C18" s="1900">
        <f>'Amine PStreams'!AS45</f>
        <v>0</v>
      </c>
      <c r="D18" s="1850">
        <f>'Amine PStreams'!S45</f>
        <v>2.7765310671114798</v>
      </c>
      <c r="E18" s="1850">
        <f>'Amine PStreams'!Y45</f>
        <v>0.30426940614702302</v>
      </c>
      <c r="F18" s="1851">
        <f t="shared" si="0"/>
        <v>3.0808004732585026</v>
      </c>
      <c r="G18" s="3312">
        <f t="shared" si="1"/>
        <v>0.99</v>
      </c>
      <c r="H18" s="3313">
        <f t="shared" si="2"/>
        <v>3.0808004732585052E-2</v>
      </c>
      <c r="I18" s="3100"/>
      <c r="J18" s="3123"/>
      <c r="K18" s="3124"/>
      <c r="L18" s="3125"/>
      <c r="M18" s="1766"/>
      <c r="N18" s="51"/>
      <c r="Q18" s="652"/>
    </row>
    <row r="19" spans="1:17" ht="16.5" customHeight="1" thickBot="1">
      <c r="A19" s="643"/>
      <c r="B19" s="3244" t="s">
        <v>67</v>
      </c>
      <c r="C19" s="1900">
        <f>'Amine PStreams'!AS46</f>
        <v>0</v>
      </c>
      <c r="D19" s="1850">
        <f>'Amine PStreams'!S46</f>
        <v>8.4767625894401792</v>
      </c>
      <c r="E19" s="1850">
        <f>'Amine PStreams'!Y46</f>
        <v>1.3820045906723999</v>
      </c>
      <c r="F19" s="1851">
        <f t="shared" si="0"/>
        <v>9.8587671801125794</v>
      </c>
      <c r="G19" s="3312">
        <f t="shared" si="1"/>
        <v>0.99</v>
      </c>
      <c r="H19" s="3313">
        <f t="shared" si="2"/>
        <v>9.8587671801125876E-2</v>
      </c>
      <c r="I19" s="3100"/>
      <c r="J19" s="4724" t="s">
        <v>733</v>
      </c>
      <c r="K19" s="4725"/>
      <c r="L19" s="3126">
        <v>99</v>
      </c>
      <c r="M19" s="3127" t="s">
        <v>296</v>
      </c>
      <c r="N19" s="676"/>
      <c r="Q19" s="652"/>
    </row>
    <row r="20" spans="1:17" ht="16.5" customHeight="1">
      <c r="A20" s="643"/>
      <c r="B20" s="3244" t="s">
        <v>679</v>
      </c>
      <c r="C20" s="1900">
        <f>'Amine PStreams'!AS47</f>
        <v>0</v>
      </c>
      <c r="D20" s="1850">
        <f>'Amine PStreams'!S47</f>
        <v>0.971232492302881</v>
      </c>
      <c r="E20" s="1850">
        <f>'Amine PStreams'!Y47</f>
        <v>8.4331206197142003E-2</v>
      </c>
      <c r="F20" s="1851">
        <f t="shared" si="0"/>
        <v>1.055563698500023</v>
      </c>
      <c r="G20" s="3312">
        <f t="shared" si="1"/>
        <v>0.99</v>
      </c>
      <c r="H20" s="3313">
        <f t="shared" si="2"/>
        <v>1.055563698500024E-2</v>
      </c>
      <c r="I20" s="3100"/>
      <c r="J20" s="3123"/>
      <c r="K20" s="3124"/>
      <c r="L20" s="3125"/>
      <c r="M20" s="1766"/>
      <c r="N20" s="51"/>
      <c r="Q20" s="652"/>
    </row>
    <row r="21" spans="1:17" ht="16.5" customHeight="1">
      <c r="A21" s="643"/>
      <c r="B21" s="3244" t="s">
        <v>69</v>
      </c>
      <c r="C21" s="1900">
        <f>'Amine PStreams'!AS48</f>
        <v>0</v>
      </c>
      <c r="D21" s="1850">
        <f>'Amine PStreams'!S48</f>
        <v>1.2133667481527599</v>
      </c>
      <c r="E21" s="1850">
        <f>'Amine PStreams'!Y48</f>
        <v>0.13328103608924599</v>
      </c>
      <c r="F21" s="1851">
        <f t="shared" si="0"/>
        <v>1.3466477842420059</v>
      </c>
      <c r="G21" s="3312">
        <f t="shared" si="1"/>
        <v>0.99</v>
      </c>
      <c r="H21" s="3313">
        <f t="shared" si="2"/>
        <v>1.346647784242007E-2</v>
      </c>
      <c r="I21" s="3100"/>
      <c r="J21" s="3123"/>
      <c r="K21" s="3124"/>
      <c r="L21" s="3125"/>
      <c r="M21" s="1766"/>
      <c r="N21" s="51"/>
      <c r="Q21" s="652"/>
    </row>
    <row r="22" spans="1:17" ht="16.5" customHeight="1">
      <c r="A22" s="643"/>
      <c r="B22" s="3244" t="s">
        <v>10</v>
      </c>
      <c r="C22" s="1900">
        <f>'Amine PStreams'!AS49</f>
        <v>0</v>
      </c>
      <c r="D22" s="1850">
        <f>'Amine PStreams'!S49</f>
        <v>1.4890072811012101</v>
      </c>
      <c r="E22" s="1850">
        <f>'Amine PStreams'!Y49</f>
        <v>0.12574483947968501</v>
      </c>
      <c r="F22" s="1851">
        <f t="shared" si="0"/>
        <v>1.614752120580895</v>
      </c>
      <c r="G22" s="3312">
        <f t="shared" si="1"/>
        <v>0.99</v>
      </c>
      <c r="H22" s="3313">
        <f t="shared" si="2"/>
        <v>1.6147521205808965E-2</v>
      </c>
      <c r="I22" s="3100"/>
      <c r="J22" s="3123"/>
      <c r="K22" s="3124"/>
      <c r="L22" s="3125"/>
      <c r="M22" s="1766"/>
      <c r="N22" s="51"/>
      <c r="Q22" s="652"/>
    </row>
    <row r="23" spans="1:17" ht="16.5" customHeight="1">
      <c r="A23" s="643"/>
      <c r="B23" s="3244" t="s">
        <v>11</v>
      </c>
      <c r="C23" s="3070">
        <f>C22</f>
        <v>0</v>
      </c>
      <c r="D23" s="1853">
        <f>D22</f>
        <v>1.4890072811012101</v>
      </c>
      <c r="E23" s="1862">
        <f>E22</f>
        <v>0.12574483947968501</v>
      </c>
      <c r="F23" s="1851">
        <f>SUM(C23:E23)</f>
        <v>1.614752120580895</v>
      </c>
      <c r="G23" s="3312">
        <f t="shared" si="1"/>
        <v>0.99</v>
      </c>
      <c r="H23" s="3313">
        <f>F23*(1-G23)</f>
        <v>1.6147521205808965E-2</v>
      </c>
      <c r="I23" s="3100"/>
      <c r="J23" s="3123"/>
      <c r="K23" s="3124"/>
      <c r="L23" s="3125"/>
      <c r="M23" s="1766"/>
      <c r="N23" s="51"/>
      <c r="Q23" s="652"/>
    </row>
    <row r="24" spans="1:17" ht="16.5" customHeight="1">
      <c r="A24" s="643"/>
      <c r="B24" s="3244" t="s">
        <v>14</v>
      </c>
      <c r="C24" s="3070">
        <f>C22</f>
        <v>0</v>
      </c>
      <c r="D24" s="1853">
        <f>D22</f>
        <v>1.4890072811012101</v>
      </c>
      <c r="E24" s="1862">
        <f>E22</f>
        <v>0.12574483947968501</v>
      </c>
      <c r="F24" s="1851">
        <f>SUM(C24:E24)</f>
        <v>1.614752120580895</v>
      </c>
      <c r="G24" s="3312">
        <f t="shared" si="1"/>
        <v>0.99</v>
      </c>
      <c r="H24" s="3313">
        <f>F24*(1-G24)</f>
        <v>1.6147521205808965E-2</v>
      </c>
      <c r="I24" s="3100"/>
      <c r="J24" s="3123"/>
      <c r="K24" s="3124"/>
      <c r="L24" s="3125"/>
      <c r="M24" s="1766"/>
      <c r="N24" s="51"/>
      <c r="Q24" s="652"/>
    </row>
    <row r="25" spans="1:17" ht="16.5" customHeight="1">
      <c r="A25" s="643"/>
      <c r="B25" s="3244" t="s">
        <v>16</v>
      </c>
      <c r="C25" s="3070">
        <f>C22</f>
        <v>0</v>
      </c>
      <c r="D25" s="1853">
        <f>D22</f>
        <v>1.4890072811012101</v>
      </c>
      <c r="E25" s="1862">
        <f>E22</f>
        <v>0.12574483947968501</v>
      </c>
      <c r="F25" s="1851">
        <f>SUM(C25:E25)</f>
        <v>1.614752120580895</v>
      </c>
      <c r="G25" s="3312">
        <f t="shared" si="1"/>
        <v>0.99</v>
      </c>
      <c r="H25" s="3313">
        <f>F25*(1-G25)</f>
        <v>1.6147521205808965E-2</v>
      </c>
      <c r="I25" s="3100"/>
      <c r="J25" s="3123"/>
      <c r="K25" s="3124"/>
      <c r="L25" s="3125"/>
      <c r="M25" s="1766"/>
      <c r="N25" s="51"/>
      <c r="Q25" s="652"/>
    </row>
    <row r="26" spans="1:17" ht="16.5" customHeight="1">
      <c r="A26" s="643"/>
      <c r="B26" s="3244" t="s">
        <v>451</v>
      </c>
      <c r="C26" s="3070">
        <f>C22</f>
        <v>0</v>
      </c>
      <c r="D26" s="1853">
        <f>D22</f>
        <v>1.4890072811012101</v>
      </c>
      <c r="E26" s="1862">
        <f>E22</f>
        <v>0.12574483947968501</v>
      </c>
      <c r="F26" s="1851">
        <f>SUM(C26:E26)</f>
        <v>1.614752120580895</v>
      </c>
      <c r="G26" s="3312">
        <f t="shared" si="1"/>
        <v>0.99</v>
      </c>
      <c r="H26" s="3313">
        <f>F26*(1-G26)</f>
        <v>1.6147521205808965E-2</v>
      </c>
      <c r="I26" s="3100"/>
      <c r="J26" s="3123"/>
      <c r="K26" s="3124"/>
      <c r="L26" s="3125"/>
      <c r="M26" s="1766"/>
      <c r="N26" s="51"/>
      <c r="Q26" s="652"/>
    </row>
    <row r="27" spans="1:17" ht="16.5" customHeight="1">
      <c r="A27" s="643"/>
      <c r="B27" s="3244" t="s">
        <v>298</v>
      </c>
      <c r="C27" s="1900">
        <f>'Amine PStreams'!AS50</f>
        <v>0</v>
      </c>
      <c r="D27" s="1850">
        <f>'Amine PStreams'!S50</f>
        <v>6.5857612414136204</v>
      </c>
      <c r="E27" s="1850">
        <f>'Amine PStreams'!Y50</f>
        <v>721.48807645918203</v>
      </c>
      <c r="F27" s="1851">
        <f t="shared" si="0"/>
        <v>728.07383770059562</v>
      </c>
      <c r="G27" s="3312">
        <f t="shared" si="1"/>
        <v>0.99</v>
      </c>
      <c r="H27" s="3313">
        <f t="shared" si="2"/>
        <v>7.2807383770059628</v>
      </c>
      <c r="I27" s="3100"/>
      <c r="J27" s="3123"/>
      <c r="K27" s="3124"/>
      <c r="L27" s="3125"/>
      <c r="M27" s="1766"/>
      <c r="N27" s="51"/>
      <c r="Q27" s="652"/>
    </row>
    <row r="28" spans="1:17" ht="16.5" customHeight="1">
      <c r="A28" s="643"/>
      <c r="B28" s="3244" t="s">
        <v>680</v>
      </c>
      <c r="C28" s="1900">
        <f>'Amine PStreams'!AS51</f>
        <v>0</v>
      </c>
      <c r="D28" s="1850">
        <f>'Amine PStreams'!S51</f>
        <v>3.2269647174409102E-3</v>
      </c>
      <c r="E28" s="1850">
        <f>'Amine PStreams'!Y51</f>
        <v>1.12287078683377E-10</v>
      </c>
      <c r="F28" s="1851">
        <f t="shared" si="0"/>
        <v>3.2269648297279887E-3</v>
      </c>
      <c r="G28" s="3312">
        <f t="shared" si="1"/>
        <v>0.99</v>
      </c>
      <c r="H28" s="3313">
        <f t="shared" si="2"/>
        <v>3.2269648297279913E-5</v>
      </c>
      <c r="I28" s="3100"/>
      <c r="J28" s="3123"/>
      <c r="K28" s="3124"/>
      <c r="L28" s="3125"/>
      <c r="M28" s="1766"/>
      <c r="N28" s="51"/>
      <c r="Q28" s="652"/>
    </row>
    <row r="29" spans="1:17" ht="16.5" customHeight="1">
      <c r="A29" s="643"/>
      <c r="B29" s="3244" t="s">
        <v>681</v>
      </c>
      <c r="C29" s="1900">
        <f>'Amine PStreams'!AS52</f>
        <v>0</v>
      </c>
      <c r="D29" s="1850">
        <f>'Amine PStreams'!S52</f>
        <v>3.04065166139292E-4</v>
      </c>
      <c r="E29" s="1850">
        <f>'Amine PStreams'!Y52</f>
        <v>5.0974720487120101E-11</v>
      </c>
      <c r="F29" s="1851">
        <f t="shared" si="0"/>
        <v>3.0406521711401249E-4</v>
      </c>
      <c r="G29" s="3312">
        <f t="shared" si="1"/>
        <v>0.99</v>
      </c>
      <c r="H29" s="3313">
        <f t="shared" si="2"/>
        <v>3.0406521711401274E-6</v>
      </c>
      <c r="I29" s="3100"/>
      <c r="J29" s="3123"/>
      <c r="K29" s="3124"/>
      <c r="L29" s="3125"/>
      <c r="M29" s="1766"/>
      <c r="N29" s="51"/>
      <c r="Q29" s="652"/>
    </row>
    <row r="30" spans="1:17" ht="16.5" customHeight="1" thickBot="1">
      <c r="A30" s="643"/>
      <c r="B30" s="3244" t="s">
        <v>675</v>
      </c>
      <c r="C30" s="1900">
        <f>'Amine PStreams'!AS53</f>
        <v>0</v>
      </c>
      <c r="D30" s="3316">
        <f>'Amine PStreams'!S53</f>
        <v>0</v>
      </c>
      <c r="E30" s="3316">
        <f>'Amine PStreams'!Y53</f>
        <v>0</v>
      </c>
      <c r="F30" s="3317">
        <f t="shared" si="0"/>
        <v>0</v>
      </c>
      <c r="G30" s="3312">
        <f t="shared" si="1"/>
        <v>0.99</v>
      </c>
      <c r="H30" s="3313">
        <f t="shared" si="2"/>
        <v>0</v>
      </c>
      <c r="I30" s="3100"/>
      <c r="J30" s="3123"/>
      <c r="K30" s="3124"/>
      <c r="L30" s="3125"/>
      <c r="M30" s="1766"/>
      <c r="N30" s="51"/>
      <c r="Q30" s="652"/>
    </row>
    <row r="31" spans="1:17" ht="17.25" customHeight="1">
      <c r="A31" s="643"/>
      <c r="B31" s="3096" t="s">
        <v>692</v>
      </c>
      <c r="C31" s="3224">
        <f>SUM(C12:C30)</f>
        <v>1001.1554145897096</v>
      </c>
      <c r="D31" s="3135">
        <f>SUM(D12:D30)</f>
        <v>315.76424273703537</v>
      </c>
      <c r="E31" s="3135">
        <f>SUM(E12:E30)</f>
        <v>25600.022446087558</v>
      </c>
      <c r="F31" s="3099">
        <f>SUM(F12:F30)</f>
        <v>26916.942103414302</v>
      </c>
      <c r="G31" s="3287" t="s">
        <v>445</v>
      </c>
      <c r="H31" s="3099">
        <f>SUM(H12:H30)</f>
        <v>24903.408348446621</v>
      </c>
      <c r="I31" s="3100"/>
      <c r="J31" s="1762"/>
      <c r="K31" s="1762"/>
      <c r="L31" s="1762"/>
      <c r="M31" s="1762"/>
      <c r="N31" s="51"/>
    </row>
    <row r="32" spans="1:17" ht="17.25" customHeight="1">
      <c r="A32" s="643"/>
      <c r="B32" s="3244" t="s">
        <v>55</v>
      </c>
      <c r="C32" s="3318">
        <f>SUM(C17:C22)</f>
        <v>12.8735293332353</v>
      </c>
      <c r="D32" s="3319">
        <f>SUM(D17:D22)</f>
        <v>43.440397640073108</v>
      </c>
      <c r="E32" s="3319">
        <f>SUM(E17:E22)</f>
        <v>6.1412624794141157</v>
      </c>
      <c r="F32" s="3313">
        <f>SUM(F17:F22)</f>
        <v>62.455189452722529</v>
      </c>
      <c r="G32" s="3320" t="s">
        <v>445</v>
      </c>
      <c r="H32" s="3313">
        <f>SUM(H17:H22)</f>
        <v>0.62455189452722593</v>
      </c>
      <c r="I32" s="3100"/>
      <c r="J32" s="3123"/>
      <c r="K32" s="3124"/>
      <c r="L32" s="3125"/>
      <c r="M32" s="1766"/>
      <c r="N32" s="51"/>
    </row>
    <row r="33" spans="1:20" ht="17.25" customHeight="1" thickBot="1">
      <c r="A33" s="643"/>
      <c r="B33" s="3255" t="s">
        <v>693</v>
      </c>
      <c r="C33" s="3321">
        <f>SUM(C22:C26)</f>
        <v>0</v>
      </c>
      <c r="D33" s="3322">
        <f>SUM(D22:D26)</f>
        <v>7.4450364055060501</v>
      </c>
      <c r="E33" s="3322">
        <f>SUM(E22:E26)</f>
        <v>0.628724197398425</v>
      </c>
      <c r="F33" s="3322">
        <f>SUM(F22:F26)</f>
        <v>8.0737606029044748</v>
      </c>
      <c r="G33" s="3323" t="s">
        <v>445</v>
      </c>
      <c r="H33" s="3324">
        <f>SUM(H22:H26)</f>
        <v>8.0737606029044826E-2</v>
      </c>
      <c r="I33" s="3100"/>
      <c r="J33" s="3123"/>
      <c r="K33" s="3124"/>
      <c r="L33" s="3125"/>
      <c r="M33" s="1766"/>
      <c r="N33" s="51"/>
    </row>
    <row r="34" spans="1:20" ht="15.5">
      <c r="A34" s="643"/>
      <c r="B34" s="3232" t="s">
        <v>694</v>
      </c>
      <c r="C34" s="3150">
        <f>'Amine PStreams'!AS84</f>
        <v>1032.1933366272499</v>
      </c>
      <c r="D34" s="3151">
        <f>'Amine PStreams'!S84</f>
        <v>1140.78147311522</v>
      </c>
      <c r="E34" s="3151">
        <f>'Amine PStreams'!Y84</f>
        <v>6.8056442771379304</v>
      </c>
      <c r="F34" s="3152">
        <f>SUMPRODUCT(C34:E34,C37:E37)/F37</f>
        <v>121.8374497433787</v>
      </c>
      <c r="G34" s="1762"/>
      <c r="H34" s="1762"/>
      <c r="I34" s="1762"/>
      <c r="J34" s="3123"/>
      <c r="K34" s="3124"/>
      <c r="L34" s="3125"/>
      <c r="M34" s="1766"/>
      <c r="N34" s="51"/>
    </row>
    <row r="35" spans="1:20" ht="15.5">
      <c r="A35" s="643"/>
      <c r="B35" s="3257" t="s">
        <v>20</v>
      </c>
      <c r="C35" s="3325">
        <f>'Amine PStreams'!AS79</f>
        <v>16.460402174870701</v>
      </c>
      <c r="D35" s="3326">
        <f>'Amine PStreams'!S79</f>
        <v>21.989801519026699</v>
      </c>
      <c r="E35" s="3326">
        <f>'Amine PStreams'!Y78</f>
        <v>26</v>
      </c>
      <c r="F35" s="3327" t="s">
        <v>445</v>
      </c>
      <c r="G35" s="3157"/>
      <c r="H35" s="3157"/>
      <c r="I35" s="3157"/>
      <c r="J35" s="3123"/>
      <c r="K35" s="3124"/>
      <c r="L35" s="3125"/>
      <c r="M35" s="1766"/>
      <c r="N35" s="658"/>
    </row>
    <row r="36" spans="1:20" ht="15.5">
      <c r="A36" s="643"/>
      <c r="B36" s="3257" t="s">
        <v>695</v>
      </c>
      <c r="C36" s="3328">
        <f>C12*($S$10/$S$9)</f>
        <v>0</v>
      </c>
      <c r="D36" s="3329">
        <f>D12*($S$10/$S$9)</f>
        <v>2.1343040433778396E-3</v>
      </c>
      <c r="E36" s="3329">
        <f>E12*($S$10/$S$9)</f>
        <v>0.86023695310885262</v>
      </c>
      <c r="F36" s="3330">
        <f>SUM(C36:E36)</f>
        <v>0.86237125715223051</v>
      </c>
      <c r="G36" s="3157"/>
      <c r="H36" s="3157"/>
      <c r="I36" s="3157"/>
      <c r="J36" s="3123"/>
      <c r="K36" s="3124"/>
      <c r="L36" s="3125"/>
      <c r="M36" s="1766"/>
      <c r="N36" s="658"/>
    </row>
    <row r="37" spans="1:20" ht="15.5">
      <c r="A37" s="643"/>
      <c r="B37" s="3257" t="s">
        <v>696</v>
      </c>
      <c r="C37" s="3325">
        <f>'Amine PStreams'!AS81*10^6/24</f>
        <v>23080.992375791</v>
      </c>
      <c r="D37" s="3326">
        <f>'Amine PStreams'!S81*10^6/24</f>
        <v>5346.4441841281669</v>
      </c>
      <c r="E37" s="3326">
        <f>'Amine PStreams'!Y81*10^6/24</f>
        <v>230020.24983339873</v>
      </c>
      <c r="F37" s="3330">
        <f>SUM(C37:E37)</f>
        <v>258447.68639331788</v>
      </c>
      <c r="G37" s="3157"/>
      <c r="H37" s="3157"/>
      <c r="I37" s="3157"/>
      <c r="J37" s="3123"/>
      <c r="K37" s="3124"/>
      <c r="L37" s="3125"/>
      <c r="M37" s="1766"/>
      <c r="N37" s="658"/>
    </row>
    <row r="38" spans="1:20" ht="16" thickBot="1">
      <c r="A38" s="643"/>
      <c r="B38" s="3262" t="s">
        <v>697</v>
      </c>
      <c r="C38" s="3331">
        <f>C34*C37/10^6</f>
        <v>23.82404653303583</v>
      </c>
      <c r="D38" s="3332">
        <f>D34*D37/10^6</f>
        <v>6.0991244722980307</v>
      </c>
      <c r="E38" s="3332">
        <f>E34*E37/10^6</f>
        <v>1.5654359969045071</v>
      </c>
      <c r="F38" s="3333">
        <f>SUMPRODUCT(C34:E34,C37:E37)/10^6</f>
        <v>31.488607002238368</v>
      </c>
      <c r="G38" s="3157"/>
      <c r="H38" s="3157"/>
      <c r="I38" s="3157"/>
      <c r="J38" s="3123"/>
      <c r="K38" s="3124"/>
      <c r="L38" s="3125"/>
      <c r="M38" s="1766"/>
      <c r="N38" s="658"/>
    </row>
    <row r="39" spans="1:20" ht="13.5" thickBot="1">
      <c r="A39" s="643"/>
      <c r="B39" s="1411"/>
      <c r="C39" s="1411"/>
      <c r="D39" s="1411"/>
      <c r="E39" s="1412"/>
      <c r="F39" s="1412"/>
      <c r="G39" s="1412"/>
      <c r="H39" s="659"/>
      <c r="I39" s="659"/>
      <c r="J39" s="653"/>
      <c r="K39" s="654"/>
      <c r="L39" s="655"/>
      <c r="M39" s="656"/>
      <c r="N39" s="660"/>
    </row>
    <row r="40" spans="1:20" ht="13">
      <c r="A40" s="643"/>
      <c r="B40" s="1413"/>
      <c r="C40" s="1414"/>
      <c r="D40" s="1415" t="s">
        <v>1297</v>
      </c>
      <c r="E40" s="1416">
        <v>1491.44</v>
      </c>
      <c r="F40" s="1414" t="s">
        <v>1324</v>
      </c>
      <c r="G40" s="1417"/>
      <c r="H40" s="659"/>
      <c r="I40" s="659"/>
      <c r="J40" s="685" t="s">
        <v>734</v>
      </c>
      <c r="K40" s="677"/>
      <c r="L40" s="678"/>
      <c r="M40" s="659"/>
      <c r="N40" s="660"/>
      <c r="R40" s="1318" t="s">
        <v>1294</v>
      </c>
      <c r="S40" s="1318"/>
    </row>
    <row r="41" spans="1:20" ht="13">
      <c r="A41" s="643"/>
      <c r="B41" s="1418" t="s">
        <v>676</v>
      </c>
      <c r="C41" s="1414"/>
      <c r="D41" s="1419"/>
      <c r="E41" s="1414"/>
      <c r="F41" s="1414"/>
      <c r="G41" s="1417"/>
      <c r="H41" s="659"/>
      <c r="I41" s="659"/>
      <c r="J41" s="683" t="s">
        <v>592</v>
      </c>
      <c r="K41" s="679">
        <v>46.01</v>
      </c>
      <c r="L41" s="680" t="s">
        <v>593</v>
      </c>
      <c r="M41" s="659"/>
      <c r="N41" s="660"/>
    </row>
    <row r="42" spans="1:20" ht="13.5" thickBot="1">
      <c r="A42" s="643"/>
      <c r="B42" s="1420" t="s">
        <v>1316</v>
      </c>
      <c r="C42" s="1414">
        <v>1600</v>
      </c>
      <c r="D42" s="1419" t="s">
        <v>294</v>
      </c>
      <c r="E42" s="1419"/>
      <c r="F42" s="1414"/>
      <c r="G42" s="1417"/>
      <c r="H42" s="659"/>
      <c r="I42" s="659"/>
      <c r="J42" s="684" t="s">
        <v>594</v>
      </c>
      <c r="K42" s="681">
        <v>28</v>
      </c>
      <c r="L42" s="682" t="s">
        <v>593</v>
      </c>
      <c r="M42" s="659"/>
      <c r="N42" s="660"/>
      <c r="R42" s="48" t="s">
        <v>1292</v>
      </c>
      <c r="S42" s="48">
        <v>28.316800000000001</v>
      </c>
      <c r="T42" s="48" t="s">
        <v>1293</v>
      </c>
    </row>
    <row r="43" spans="1:20" ht="13.5" thickBot="1">
      <c r="A43" s="643"/>
      <c r="B43" s="1420" t="s">
        <v>1317</v>
      </c>
      <c r="C43" s="1419">
        <f>E40</f>
        <v>1491.44</v>
      </c>
      <c r="D43" s="1419" t="s">
        <v>672</v>
      </c>
      <c r="E43" s="1419"/>
      <c r="F43" s="1414"/>
      <c r="G43" s="1417"/>
      <c r="H43" s="659"/>
      <c r="I43" s="659"/>
      <c r="J43" s="659"/>
      <c r="K43" s="659"/>
      <c r="L43" s="659"/>
      <c r="M43" s="659"/>
      <c r="N43" s="660"/>
    </row>
    <row r="44" spans="1:20" ht="13">
      <c r="A44" s="643"/>
      <c r="B44" s="1420" t="s">
        <v>1318</v>
      </c>
      <c r="C44" s="1414">
        <v>13.2</v>
      </c>
      <c r="D44" s="1419" t="s">
        <v>295</v>
      </c>
      <c r="E44" s="1414"/>
      <c r="F44" s="1414"/>
      <c r="G44" s="1417"/>
      <c r="H44" s="659"/>
      <c r="I44" s="659"/>
      <c r="J44" s="4843" t="s">
        <v>848</v>
      </c>
      <c r="K44" s="4844"/>
      <c r="L44" s="4844"/>
      <c r="M44" s="4845"/>
      <c r="N44" s="660"/>
      <c r="R44" s="48" t="s">
        <v>1295</v>
      </c>
      <c r="S44" s="48">
        <v>453.59199999999998</v>
      </c>
      <c r="T44" s="48" t="s">
        <v>1296</v>
      </c>
    </row>
    <row r="45" spans="1:20" ht="13">
      <c r="A45" s="643"/>
      <c r="B45" s="1420" t="s">
        <v>1319</v>
      </c>
      <c r="C45" s="1414">
        <v>10.73</v>
      </c>
      <c r="D45" s="1419"/>
      <c r="E45" s="1414"/>
      <c r="F45" s="1414"/>
      <c r="G45" s="1417"/>
      <c r="H45" s="659"/>
      <c r="I45" s="659"/>
      <c r="J45" s="637" t="s">
        <v>670</v>
      </c>
      <c r="K45" s="639" t="s">
        <v>671</v>
      </c>
      <c r="L45" s="4846"/>
      <c r="M45" s="4847"/>
      <c r="N45" s="660"/>
    </row>
    <row r="46" spans="1:20" ht="13">
      <c r="A46" s="643"/>
      <c r="B46" s="1420" t="s">
        <v>180</v>
      </c>
      <c r="C46" s="1419">
        <f>(C42+460)*C43*C45/C44</f>
        <v>2497461.4751515151</v>
      </c>
      <c r="D46" s="1419" t="s">
        <v>677</v>
      </c>
      <c r="E46" s="1419"/>
      <c r="F46" s="1414"/>
      <c r="G46" s="1417"/>
      <c r="H46" s="659"/>
      <c r="I46" s="659"/>
      <c r="J46" s="637" t="s">
        <v>21</v>
      </c>
      <c r="K46" s="1410">
        <v>30</v>
      </c>
      <c r="L46" s="4846"/>
      <c r="M46" s="4847"/>
      <c r="N46" s="660"/>
    </row>
    <row r="47" spans="1:20" ht="13.5" thickBot="1">
      <c r="A47" s="643"/>
      <c r="B47" s="1413"/>
      <c r="C47" s="1421">
        <f>C46/60/60</f>
        <v>693.73929865319872</v>
      </c>
      <c r="D47" s="1419" t="s">
        <v>1312</v>
      </c>
      <c r="E47" s="1422"/>
      <c r="F47" s="1414"/>
      <c r="G47" s="1417"/>
      <c r="H47" s="659"/>
      <c r="I47" s="659"/>
      <c r="J47" s="638" t="s">
        <v>0</v>
      </c>
      <c r="K47" s="636">
        <v>50</v>
      </c>
      <c r="L47" s="4848"/>
      <c r="M47" s="4849"/>
      <c r="N47" s="660"/>
    </row>
    <row r="48" spans="1:20" ht="13">
      <c r="A48" s="643"/>
      <c r="B48" s="1413"/>
      <c r="C48" s="1419"/>
      <c r="D48" s="1419"/>
      <c r="E48" s="1414"/>
      <c r="F48" s="1414"/>
      <c r="G48" s="1417"/>
      <c r="H48" s="659"/>
      <c r="I48" s="659"/>
      <c r="J48" s="659"/>
      <c r="K48" s="659"/>
      <c r="L48" s="659"/>
      <c r="M48" s="659"/>
      <c r="N48" s="660"/>
    </row>
    <row r="49" spans="1:14" ht="13">
      <c r="A49" s="643"/>
      <c r="B49" s="1413" t="s">
        <v>1313</v>
      </c>
      <c r="C49" s="1419"/>
      <c r="D49" s="1419"/>
      <c r="E49" s="1414"/>
      <c r="F49" s="1414"/>
      <c r="G49" s="1417"/>
      <c r="H49" s="659"/>
      <c r="I49" s="659"/>
      <c r="J49" s="659"/>
      <c r="K49" s="659"/>
      <c r="L49" s="659"/>
      <c r="M49" s="659"/>
      <c r="N49" s="660"/>
    </row>
    <row r="50" spans="1:14" ht="13">
      <c r="A50" s="643"/>
      <c r="B50" s="1420" t="s">
        <v>1315</v>
      </c>
      <c r="C50" s="1419">
        <f>C47</f>
        <v>693.73929865319872</v>
      </c>
      <c r="D50" s="1419" t="s">
        <v>1312</v>
      </c>
      <c r="E50" s="1414"/>
      <c r="F50" s="1414"/>
      <c r="G50" s="1417"/>
      <c r="H50" s="659"/>
      <c r="I50" s="659"/>
      <c r="J50" s="659"/>
      <c r="K50" s="659"/>
      <c r="L50" s="659"/>
      <c r="M50" s="659"/>
      <c r="N50" s="660"/>
    </row>
    <row r="51" spans="1:14" ht="13">
      <c r="A51" s="643"/>
      <c r="B51" s="1420" t="s">
        <v>1314</v>
      </c>
      <c r="C51" s="1421">
        <f>49.5/12</f>
        <v>4.125</v>
      </c>
      <c r="D51" s="1419" t="s">
        <v>1321</v>
      </c>
      <c r="E51" s="1414"/>
      <c r="F51" s="1414"/>
      <c r="G51" s="1417"/>
      <c r="H51" s="659"/>
      <c r="I51" s="659"/>
      <c r="J51" s="659"/>
      <c r="K51" s="659"/>
      <c r="L51" s="659"/>
      <c r="M51" s="659"/>
      <c r="N51" s="660"/>
    </row>
    <row r="52" spans="1:14" ht="13">
      <c r="A52" s="643"/>
      <c r="B52" s="1420" t="s">
        <v>1322</v>
      </c>
      <c r="C52" s="1421">
        <f>3.14159*(C51/2)^2</f>
        <v>13.364029335937499</v>
      </c>
      <c r="D52" s="1419" t="s">
        <v>1323</v>
      </c>
      <c r="E52" s="1414"/>
      <c r="F52" s="1414"/>
      <c r="G52" s="1417"/>
      <c r="H52" s="659"/>
      <c r="I52" s="659"/>
      <c r="J52" s="659"/>
      <c r="K52" s="659"/>
      <c r="L52" s="659"/>
      <c r="M52" s="659"/>
      <c r="N52" s="660"/>
    </row>
    <row r="53" spans="1:14" ht="13">
      <c r="A53" s="643"/>
      <c r="B53" s="1420" t="s">
        <v>1320</v>
      </c>
      <c r="C53" s="1421">
        <f>C50/((3.14159*(C51/2)^2))</f>
        <v>51.910938027324548</v>
      </c>
      <c r="D53" s="1419" t="s">
        <v>582</v>
      </c>
      <c r="E53" s="1414"/>
      <c r="F53" s="1414"/>
      <c r="G53" s="1417"/>
      <c r="H53" s="659"/>
      <c r="I53" s="659"/>
      <c r="J53" s="659"/>
      <c r="K53" s="659"/>
      <c r="L53" s="659"/>
      <c r="M53" s="659"/>
      <c r="N53" s="660"/>
    </row>
    <row r="54" spans="1:14" ht="13.5" thickBot="1">
      <c r="A54" s="643"/>
      <c r="B54" s="1423"/>
      <c r="C54" s="1424"/>
      <c r="D54" s="1424"/>
      <c r="E54" s="1425"/>
      <c r="F54" s="1425"/>
      <c r="G54" s="1426"/>
      <c r="H54" s="659"/>
      <c r="I54" s="659"/>
      <c r="J54" s="659"/>
      <c r="K54" s="659"/>
      <c r="L54" s="659"/>
      <c r="M54" s="659"/>
      <c r="N54" s="660"/>
    </row>
    <row r="55" spans="1:14" ht="13.5" thickBot="1">
      <c r="A55" s="643"/>
      <c r="B55" s="657"/>
      <c r="C55" s="657"/>
      <c r="D55" s="657"/>
      <c r="E55" s="659"/>
      <c r="F55" s="659"/>
      <c r="G55" s="659"/>
      <c r="H55" s="659"/>
      <c r="I55" s="659"/>
      <c r="J55" s="659"/>
      <c r="K55" s="659"/>
      <c r="L55" s="659"/>
      <c r="M55" s="659"/>
      <c r="N55" s="660"/>
    </row>
    <row r="56" spans="1:14" ht="17.25" customHeight="1">
      <c r="A56" s="643"/>
      <c r="B56" s="661" t="s">
        <v>521</v>
      </c>
      <c r="C56" s="662"/>
      <c r="D56" s="662"/>
      <c r="E56" s="663"/>
      <c r="F56" s="663"/>
      <c r="G56" s="663"/>
      <c r="H56" s="663"/>
      <c r="I56" s="663"/>
      <c r="J56" s="663"/>
      <c r="K56" s="664"/>
      <c r="L56" s="657"/>
      <c r="M56" s="657"/>
      <c r="N56" s="51"/>
    </row>
    <row r="57" spans="1:14" ht="17.25" customHeight="1">
      <c r="A57" s="643"/>
      <c r="B57" s="665" t="s">
        <v>699</v>
      </c>
      <c r="C57" s="666"/>
      <c r="D57" s="666"/>
      <c r="E57" s="667"/>
      <c r="F57" s="667"/>
      <c r="G57" s="667"/>
      <c r="H57" s="667"/>
      <c r="I57" s="667"/>
      <c r="J57" s="667"/>
      <c r="K57" s="668"/>
      <c r="L57" s="657"/>
      <c r="M57" s="657"/>
      <c r="N57" s="51"/>
    </row>
    <row r="58" spans="1:14" ht="27.75" customHeight="1" thickBot="1">
      <c r="A58" s="643"/>
      <c r="B58" s="4729" t="s">
        <v>736</v>
      </c>
      <c r="C58" s="4730"/>
      <c r="D58" s="4730"/>
      <c r="E58" s="4730"/>
      <c r="F58" s="4730"/>
      <c r="G58" s="4730"/>
      <c r="H58" s="4730"/>
      <c r="I58" s="4730"/>
      <c r="J58" s="4730"/>
      <c r="K58" s="4731"/>
      <c r="L58" s="669"/>
      <c r="M58" s="669"/>
      <c r="N58" s="670"/>
    </row>
    <row r="59" spans="1:14" ht="13.5" thickBot="1">
      <c r="A59" s="645"/>
      <c r="B59" s="541"/>
      <c r="C59" s="541"/>
      <c r="D59" s="541"/>
      <c r="E59" s="541"/>
      <c r="F59" s="541"/>
      <c r="G59" s="541"/>
      <c r="H59" s="541"/>
      <c r="I59" s="541"/>
      <c r="J59" s="541"/>
      <c r="K59" s="541"/>
      <c r="L59" s="541"/>
      <c r="M59" s="541"/>
      <c r="N59" s="543"/>
    </row>
  </sheetData>
  <mergeCells count="22">
    <mergeCell ref="M9:M11"/>
    <mergeCell ref="B58:K58"/>
    <mergeCell ref="J19:K19"/>
    <mergeCell ref="J44:M44"/>
    <mergeCell ref="L45:M47"/>
    <mergeCell ref="F9:F10"/>
    <mergeCell ref="G9:G10"/>
    <mergeCell ref="H9:H10"/>
    <mergeCell ref="J9:J11"/>
    <mergeCell ref="K9:K10"/>
    <mergeCell ref="L9:L11"/>
    <mergeCell ref="B9:B11"/>
    <mergeCell ref="C9:C10"/>
    <mergeCell ref="D9:D10"/>
    <mergeCell ref="E9:E10"/>
    <mergeCell ref="B8:H8"/>
    <mergeCell ref="J8:M8"/>
    <mergeCell ref="B2:M2"/>
    <mergeCell ref="B3:M3"/>
    <mergeCell ref="B4:M4"/>
    <mergeCell ref="A6:N6"/>
    <mergeCell ref="A7:E7"/>
  </mergeCells>
  <printOptions horizontalCentered="1"/>
  <pageMargins left="0.45" right="0.45" top="0.5" bottom="0.5" header="0.3" footer="0.3"/>
  <pageSetup scale="54" orientation="portrait" r:id="rId1"/>
  <headerFooter>
    <oddFooter>&amp;CCalculations: Page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1">
    <tabColor theme="3" tint="-0.249977111117893"/>
    <pageSetUpPr fitToPage="1"/>
  </sheetPr>
  <dimension ref="A1:R54"/>
  <sheetViews>
    <sheetView view="pageBreakPreview" topLeftCell="A25" zoomScale="70" zoomScaleNormal="100" zoomScaleSheetLayoutView="70" workbookViewId="0">
      <selection activeCell="E19" sqref="E19:R19"/>
    </sheetView>
  </sheetViews>
  <sheetFormatPr defaultColWidth="9.36328125" defaultRowHeight="12.5"/>
  <cols>
    <col min="1" max="1" width="4.36328125" style="48" customWidth="1"/>
    <col min="2" max="2" width="27.36328125" style="48" customWidth="1"/>
    <col min="3" max="3" width="14.453125" style="48" customWidth="1"/>
    <col min="4" max="5" width="18.54296875" style="48" customWidth="1"/>
    <col min="6" max="6" width="17.6328125" style="48" customWidth="1"/>
    <col min="7" max="7" width="12.453125" style="48" customWidth="1"/>
    <col min="8" max="8" width="14.6328125" style="48" customWidth="1"/>
    <col min="9" max="9" width="1.36328125" style="48" customWidth="1"/>
    <col min="10" max="10" width="12.54296875" style="48" customWidth="1"/>
    <col min="11" max="11" width="13.6328125" style="48" customWidth="1"/>
    <col min="12" max="12" width="12.6328125" style="48" customWidth="1"/>
    <col min="13" max="13" width="16.54296875" style="48" customWidth="1"/>
    <col min="14" max="14" width="4.453125" style="48" customWidth="1"/>
    <col min="15" max="16384" width="9.36328125" style="48"/>
  </cols>
  <sheetData>
    <row r="1" spans="1:18" ht="13.5" thickBot="1">
      <c r="A1" s="640"/>
      <c r="B1" s="641"/>
      <c r="C1" s="641"/>
      <c r="D1" s="641"/>
      <c r="E1" s="641"/>
      <c r="F1" s="641"/>
      <c r="G1" s="641"/>
      <c r="H1" s="641"/>
      <c r="I1" s="641"/>
      <c r="J1" s="641"/>
      <c r="K1" s="641"/>
      <c r="L1" s="641"/>
      <c r="M1" s="641"/>
      <c r="N1" s="642"/>
    </row>
    <row r="2" spans="1:18" ht="20.5">
      <c r="A2" s="643"/>
      <c r="B2" s="4657" t="s">
        <v>54</v>
      </c>
      <c r="C2" s="4658"/>
      <c r="D2" s="4658"/>
      <c r="E2" s="4658"/>
      <c r="F2" s="4658"/>
      <c r="G2" s="4658"/>
      <c r="H2" s="4658"/>
      <c r="I2" s="4658"/>
      <c r="J2" s="4658"/>
      <c r="K2" s="4658"/>
      <c r="L2" s="4658"/>
      <c r="M2" s="4659"/>
      <c r="N2" s="644"/>
    </row>
    <row r="3" spans="1:18" ht="20.5">
      <c r="A3" s="643"/>
      <c r="B3" s="4660" t="str">
        <f>Fugitive!B3</f>
        <v>HUSKY CDP</v>
      </c>
      <c r="C3" s="4661"/>
      <c r="D3" s="4661"/>
      <c r="E3" s="4661"/>
      <c r="F3" s="4661"/>
      <c r="G3" s="4661"/>
      <c r="H3" s="4661"/>
      <c r="I3" s="4661"/>
      <c r="J3" s="4661"/>
      <c r="K3" s="4661"/>
      <c r="L3" s="4661"/>
      <c r="M3" s="4662"/>
      <c r="N3" s="644"/>
    </row>
    <row r="4" spans="1:18" ht="21" thickBot="1">
      <c r="A4" s="643"/>
      <c r="B4" s="4663" t="s">
        <v>1137</v>
      </c>
      <c r="C4" s="4665"/>
      <c r="D4" s="4665"/>
      <c r="E4" s="4665"/>
      <c r="F4" s="4665"/>
      <c r="G4" s="4665"/>
      <c r="H4" s="4665"/>
      <c r="I4" s="4665"/>
      <c r="J4" s="4665"/>
      <c r="K4" s="4665"/>
      <c r="L4" s="4665"/>
      <c r="M4" s="4666"/>
      <c r="N4" s="644"/>
    </row>
    <row r="5" spans="1:18" ht="18.5" thickBot="1">
      <c r="A5" s="645"/>
      <c r="B5" s="646"/>
      <c r="C5" s="646"/>
      <c r="D5" s="646"/>
      <c r="E5" s="646"/>
      <c r="F5" s="646"/>
      <c r="G5" s="646"/>
      <c r="H5" s="646"/>
      <c r="I5" s="646"/>
      <c r="J5" s="646"/>
      <c r="K5" s="646"/>
      <c r="L5" s="646"/>
      <c r="M5" s="646"/>
      <c r="N5" s="647"/>
    </row>
    <row r="6" spans="1:18" ht="23.25" customHeight="1" thickBot="1">
      <c r="A6" s="4682" t="s">
        <v>1474</v>
      </c>
      <c r="B6" s="4683"/>
      <c r="C6" s="4683"/>
      <c r="D6" s="4683"/>
      <c r="E6" s="4683"/>
      <c r="F6" s="4683"/>
      <c r="G6" s="4683"/>
      <c r="H6" s="4683"/>
      <c r="I6" s="4683"/>
      <c r="J6" s="4683"/>
      <c r="K6" s="4683"/>
      <c r="L6" s="4683"/>
      <c r="M6" s="4683"/>
      <c r="N6" s="4684"/>
    </row>
    <row r="7" spans="1:18" ht="20.25" customHeight="1" thickBot="1">
      <c r="A7" s="4830"/>
      <c r="B7" s="4831"/>
      <c r="C7" s="4831"/>
      <c r="D7" s="4831"/>
      <c r="E7" s="4831"/>
      <c r="F7" s="1765"/>
      <c r="G7" s="1765"/>
      <c r="H7" s="1765"/>
      <c r="I7" s="1765"/>
      <c r="J7" s="1765"/>
      <c r="K7" s="1765"/>
      <c r="L7" s="1765"/>
      <c r="M7" s="1765"/>
      <c r="N7" s="1808"/>
    </row>
    <row r="8" spans="1:18" ht="22.5" customHeight="1" thickBot="1">
      <c r="A8" s="1761"/>
      <c r="B8" s="4682" t="s">
        <v>1965</v>
      </c>
      <c r="C8" s="4671"/>
      <c r="D8" s="4671"/>
      <c r="E8" s="4671"/>
      <c r="F8" s="4671"/>
      <c r="G8" s="4671"/>
      <c r="H8" s="4654"/>
      <c r="I8" s="1765"/>
      <c r="J8" s="4747" t="s">
        <v>1964</v>
      </c>
      <c r="K8" s="4748"/>
      <c r="L8" s="4748"/>
      <c r="M8" s="4749"/>
      <c r="N8" s="1763"/>
      <c r="P8" s="650" t="s">
        <v>688</v>
      </c>
      <c r="Q8" s="650"/>
      <c r="R8" s="650">
        <v>34.08</v>
      </c>
    </row>
    <row r="9" spans="1:18" ht="26.25" customHeight="1">
      <c r="A9" s="1761"/>
      <c r="B9" s="4821" t="s">
        <v>2</v>
      </c>
      <c r="C9" s="4790" t="s">
        <v>740</v>
      </c>
      <c r="D9" s="4735" t="s">
        <v>732</v>
      </c>
      <c r="E9" s="4735" t="s">
        <v>682</v>
      </c>
      <c r="F9" s="4839" t="s">
        <v>19</v>
      </c>
      <c r="G9" s="4742" t="s">
        <v>683</v>
      </c>
      <c r="H9" s="4518" t="s">
        <v>700</v>
      </c>
      <c r="I9" s="3088"/>
      <c r="J9" s="4742" t="s">
        <v>2</v>
      </c>
      <c r="K9" s="4745" t="s">
        <v>685</v>
      </c>
      <c r="L9" s="4516" t="s">
        <v>686</v>
      </c>
      <c r="M9" s="4518" t="s">
        <v>687</v>
      </c>
      <c r="N9" s="1763"/>
      <c r="P9" s="650" t="s">
        <v>689</v>
      </c>
      <c r="Q9" s="650"/>
      <c r="R9" s="650">
        <v>64.06</v>
      </c>
    </row>
    <row r="10" spans="1:18" ht="18" customHeight="1">
      <c r="A10" s="1761"/>
      <c r="B10" s="4859"/>
      <c r="C10" s="4791"/>
      <c r="D10" s="4736"/>
      <c r="E10" s="4736"/>
      <c r="F10" s="4857"/>
      <c r="G10" s="4743"/>
      <c r="H10" s="4722"/>
      <c r="I10" s="3088"/>
      <c r="J10" s="4743"/>
      <c r="K10" s="4746"/>
      <c r="L10" s="4720"/>
      <c r="M10" s="4722"/>
      <c r="N10" s="1763"/>
      <c r="P10" s="650" t="s">
        <v>691</v>
      </c>
      <c r="Q10" s="650"/>
      <c r="R10" s="651"/>
    </row>
    <row r="11" spans="1:18" ht="16" thickBot="1">
      <c r="A11" s="1761"/>
      <c r="B11" s="4860"/>
      <c r="C11" s="3310" t="s">
        <v>701</v>
      </c>
      <c r="D11" s="3334" t="s">
        <v>701</v>
      </c>
      <c r="E11" s="3334" t="s">
        <v>701</v>
      </c>
      <c r="F11" s="3241" t="s">
        <v>701</v>
      </c>
      <c r="G11" s="3310" t="s">
        <v>690</v>
      </c>
      <c r="H11" s="3311" t="s">
        <v>701</v>
      </c>
      <c r="I11" s="1765"/>
      <c r="J11" s="4858"/>
      <c r="K11" s="3309" t="s">
        <v>701</v>
      </c>
      <c r="L11" s="4721"/>
      <c r="M11" s="4723"/>
      <c r="N11" s="1763"/>
    </row>
    <row r="12" spans="1:18" ht="18.5">
      <c r="A12" s="1761"/>
      <c r="B12" s="3096" t="s">
        <v>5</v>
      </c>
      <c r="C12" s="3074">
        <f>'TO Hrly (TO1-TO3)'!C12*$Q$16/2000</f>
        <v>0</v>
      </c>
      <c r="D12" s="3076">
        <f>'TO Hrly (TO1-TO3)'!D12*$Q$16/2000</f>
        <v>4.9732815840872226E-3</v>
      </c>
      <c r="E12" s="3076">
        <f>'TO Hrly (TO1-TO3)'!E12*$Q$16/2000</f>
        <v>2.0044944440421428</v>
      </c>
      <c r="F12" s="1866">
        <f t="shared" ref="F12:F30" si="0">SUM(C12:E12)</f>
        <v>2.0094677256262301</v>
      </c>
      <c r="G12" s="3210">
        <f>'TO Hrly (TO1-TO3)'!G12</f>
        <v>0.99</v>
      </c>
      <c r="H12" s="3171">
        <f>F12*(1-G12)</f>
        <v>2.0094677256262319E-2</v>
      </c>
      <c r="I12" s="3172"/>
      <c r="J12" s="3101" t="s">
        <v>1949</v>
      </c>
      <c r="K12" s="3173">
        <f>'TO Hrly (TO1-TO3)'!K12*Q16/2000</f>
        <v>11.033607893584323</v>
      </c>
      <c r="L12" s="3174">
        <f>'TO Hrly (TO1-TO3)'!L12</f>
        <v>0.08</v>
      </c>
      <c r="M12" s="3104" t="s">
        <v>287</v>
      </c>
      <c r="N12" s="1763"/>
    </row>
    <row r="13" spans="1:18" ht="15.5">
      <c r="A13" s="1761"/>
      <c r="B13" s="3244" t="s">
        <v>674</v>
      </c>
      <c r="C13" s="3074">
        <f>'TO Hrly (TO1-TO3)'!C13*$Q$16/2000</f>
        <v>1.6848853013179548</v>
      </c>
      <c r="D13" s="3076">
        <f>'TO Hrly (TO1-TO3)'!D13*$Q$16/2000</f>
        <v>11.735754465340928</v>
      </c>
      <c r="E13" s="3076">
        <f>'TO Hrly (TO1-TO3)'!E13*$Q$16/2000</f>
        <v>0.41538649876312694</v>
      </c>
      <c r="F13" s="1842">
        <f t="shared" si="0"/>
        <v>13.83602626542201</v>
      </c>
      <c r="G13" s="3312">
        <f>'TO Hrly (TO1-TO3)'!G13</f>
        <v>0</v>
      </c>
      <c r="H13" s="3313">
        <f t="shared" ref="H13:H30" si="1">F13*(1-G13)</f>
        <v>13.83602626542201</v>
      </c>
      <c r="I13" s="3172"/>
      <c r="J13" s="3245" t="s">
        <v>0</v>
      </c>
      <c r="K13" s="3335">
        <f>'TO Hrly (TO1-TO3)'!K13*Q16/2000</f>
        <v>9.1455100799999975</v>
      </c>
      <c r="L13" s="3336" t="s">
        <v>445</v>
      </c>
      <c r="M13" s="3249" t="s">
        <v>445</v>
      </c>
      <c r="N13" s="1763"/>
      <c r="P13" s="650" t="s">
        <v>702</v>
      </c>
    </row>
    <row r="14" spans="1:18" ht="16.5" customHeight="1">
      <c r="A14" s="1761"/>
      <c r="B14" s="3244" t="s">
        <v>3</v>
      </c>
      <c r="C14" s="3074">
        <f>'TO Hrly (TO1-TO3)'!C14*$Q$16/2000</f>
        <v>2.2145024815633678E-2</v>
      </c>
      <c r="D14" s="3076">
        <f>'TO Hrly (TO1-TO3)'!D14*$Q$16/2000</f>
        <v>162.66388542708754</v>
      </c>
      <c r="E14" s="3076">
        <f>'TO Hrly (TO1-TO3)'!E14*$Q$16/2000</f>
        <v>108811.32289486521</v>
      </c>
      <c r="F14" s="1842">
        <f t="shared" si="0"/>
        <v>108974.00892531712</v>
      </c>
      <c r="G14" s="3312">
        <v>0</v>
      </c>
      <c r="H14" s="3313">
        <f t="shared" si="1"/>
        <v>108974.00892531712</v>
      </c>
      <c r="I14" s="3172"/>
      <c r="J14" s="3245" t="s">
        <v>51</v>
      </c>
      <c r="K14" s="3335">
        <f>'TO Hrly (TO1-TO3)'!K14*8760/2000</f>
        <v>3.7771861063267695</v>
      </c>
      <c r="L14" s="3336" t="s">
        <v>445</v>
      </c>
      <c r="M14" s="3249" t="s">
        <v>445</v>
      </c>
      <c r="N14" s="1763"/>
      <c r="P14" s="672">
        <v>8760</v>
      </c>
    </row>
    <row r="15" spans="1:18" ht="16.5" customHeight="1">
      <c r="A15" s="1761"/>
      <c r="B15" s="3244" t="s">
        <v>6</v>
      </c>
      <c r="C15" s="3074">
        <f>'TO Hrly (TO1-TO3)'!C15*$Q$16/2000</f>
        <v>4166.7594771849281</v>
      </c>
      <c r="D15" s="3076">
        <f>'TO Hrly (TO1-TO3)'!D15*$Q$16/2000</f>
        <v>689.98031368904844</v>
      </c>
      <c r="E15" s="3076">
        <f>'TO Hrly (TO1-TO3)'!E15*$Q$16/2000</f>
        <v>76.934366867833774</v>
      </c>
      <c r="F15" s="1842">
        <f t="shared" si="0"/>
        <v>4933.6741577418106</v>
      </c>
      <c r="G15" s="3312">
        <f>'TO Hrly (TO1-TO3)'!G15</f>
        <v>0.99</v>
      </c>
      <c r="H15" s="3313">
        <f t="shared" si="1"/>
        <v>49.336741577418152</v>
      </c>
      <c r="I15" s="3172"/>
      <c r="J15" s="3245" t="s">
        <v>1950</v>
      </c>
      <c r="K15" s="3335">
        <f>'TO Hrly (TO1-TO3)'!K15*Q16/2000</f>
        <v>1.0276399508730496</v>
      </c>
      <c r="L15" s="1849">
        <v>7.6</v>
      </c>
      <c r="M15" s="3250" t="s">
        <v>587</v>
      </c>
      <c r="N15" s="1763"/>
      <c r="P15" s="48" t="s">
        <v>703</v>
      </c>
      <c r="Q15" s="672">
        <v>31</v>
      </c>
    </row>
    <row r="16" spans="1:18" ht="16.5" customHeight="1">
      <c r="A16" s="1761"/>
      <c r="B16" s="3244" t="s">
        <v>7</v>
      </c>
      <c r="C16" s="3074">
        <f>'TO Hrly (TO1-TO3)'!C16*$Q$16/2000</f>
        <v>160.20814991229562</v>
      </c>
      <c r="D16" s="3076">
        <f>'TO Hrly (TO1-TO3)'!D16*$Q$16/2000</f>
        <v>273.44500694845851</v>
      </c>
      <c r="E16" s="3076">
        <f>'TO Hrly (TO1-TO3)'!E16*$Q$16/2000</f>
        <v>48.201617048194215</v>
      </c>
      <c r="F16" s="1842">
        <f t="shared" si="0"/>
        <v>481.8547739089484</v>
      </c>
      <c r="G16" s="3312">
        <f>'TO Hrly (TO1-TO3)'!G16</f>
        <v>0.99</v>
      </c>
      <c r="H16" s="3313">
        <f t="shared" si="1"/>
        <v>4.818547739089488</v>
      </c>
      <c r="I16" s="3172"/>
      <c r="J16" s="3245" t="s">
        <v>1951</v>
      </c>
      <c r="K16" s="3335">
        <f>'TO Hrly (TO1-TO3)'!K16*Q16/2000</f>
        <v>1.0276399508730496</v>
      </c>
      <c r="L16" s="1849">
        <v>7.6</v>
      </c>
      <c r="M16" s="3250" t="s">
        <v>587</v>
      </c>
      <c r="N16" s="1763"/>
      <c r="P16" s="48" t="s">
        <v>24</v>
      </c>
      <c r="Q16" s="672">
        <v>8760</v>
      </c>
    </row>
    <row r="17" spans="1:17" ht="16.5" customHeight="1" thickBot="1">
      <c r="A17" s="1761"/>
      <c r="B17" s="3244" t="s">
        <v>8</v>
      </c>
      <c r="C17" s="3074">
        <f>'TO Hrly (TO1-TO3)'!C17*$Q$16/2000</f>
        <v>56.386058479570615</v>
      </c>
      <c r="D17" s="3076">
        <f>'TO Hrly (TO1-TO3)'!D17*$Q$16/2000</f>
        <v>124.88911888340495</v>
      </c>
      <c r="E17" s="3076">
        <f>'TO Hrly (TO1-TO3)'!E17*$Q$16/2000</f>
        <v>18.008945535629355</v>
      </c>
      <c r="F17" s="1842">
        <f t="shared" si="0"/>
        <v>199.28412289860492</v>
      </c>
      <c r="G17" s="3312">
        <f>'TO Hrly (TO1-TO3)'!G17</f>
        <v>0.99</v>
      </c>
      <c r="H17" s="3313">
        <f t="shared" si="1"/>
        <v>1.9928412289860509</v>
      </c>
      <c r="I17" s="3172"/>
      <c r="J17" s="3251" t="s">
        <v>1952</v>
      </c>
      <c r="K17" s="3337">
        <f>H12</f>
        <v>2.0094677256262319E-2</v>
      </c>
      <c r="L17" s="3338" t="s">
        <v>445</v>
      </c>
      <c r="M17" s="3254" t="s">
        <v>445</v>
      </c>
      <c r="N17" s="1763"/>
    </row>
    <row r="18" spans="1:17" ht="16.5" customHeight="1" thickBot="1">
      <c r="A18" s="1761"/>
      <c r="B18" s="3244" t="s">
        <v>678</v>
      </c>
      <c r="C18" s="3074">
        <f>'TO Hrly (TO1-TO3)'!C18*$Q$16/2000</f>
        <v>0</v>
      </c>
      <c r="D18" s="3076">
        <f>'TO Hrly (TO1-TO3)'!D18*$Q$16/2000</f>
        <v>12.161206073948282</v>
      </c>
      <c r="E18" s="3076">
        <f>'TO Hrly (TO1-TO3)'!E18*$Q$16/2000</f>
        <v>1.332699998923961</v>
      </c>
      <c r="F18" s="1842">
        <f t="shared" si="0"/>
        <v>13.493906072872242</v>
      </c>
      <c r="G18" s="3312">
        <f>'TO Hrly (TO1-TO3)'!G18</f>
        <v>0.99</v>
      </c>
      <c r="H18" s="3313">
        <f t="shared" si="1"/>
        <v>0.13493906072872255</v>
      </c>
      <c r="I18" s="3172"/>
      <c r="J18" s="1762"/>
      <c r="K18" s="1762"/>
      <c r="L18" s="1762"/>
      <c r="M18" s="1762"/>
      <c r="N18" s="1763"/>
    </row>
    <row r="19" spans="1:17" ht="16.5" customHeight="1" thickBot="1">
      <c r="A19" s="1761"/>
      <c r="B19" s="3244" t="s">
        <v>67</v>
      </c>
      <c r="C19" s="3074">
        <f>'TO Hrly (TO1-TO3)'!C19*$Q$16/2000</f>
        <v>0</v>
      </c>
      <c r="D19" s="3076">
        <f>'TO Hrly (TO1-TO3)'!D19*$Q$16/2000</f>
        <v>37.128220141747988</v>
      </c>
      <c r="E19" s="3076">
        <f>'TO Hrly (TO1-TO3)'!E19*$Q$16/2000</f>
        <v>6.0531801071451117</v>
      </c>
      <c r="F19" s="1842">
        <f t="shared" si="0"/>
        <v>43.181400248893098</v>
      </c>
      <c r="G19" s="3312">
        <f>'TO Hrly (TO1-TO3)'!G19</f>
        <v>0.99</v>
      </c>
      <c r="H19" s="3313">
        <f t="shared" si="1"/>
        <v>0.43181400248893137</v>
      </c>
      <c r="I19" s="3172"/>
      <c r="J19" s="4724" t="s">
        <v>733</v>
      </c>
      <c r="K19" s="4725"/>
      <c r="L19" s="3126">
        <v>99</v>
      </c>
      <c r="M19" s="3127" t="s">
        <v>296</v>
      </c>
      <c r="N19" s="1763"/>
    </row>
    <row r="20" spans="1:17" ht="16.5" customHeight="1">
      <c r="A20" s="1761"/>
      <c r="B20" s="3244" t="s">
        <v>679</v>
      </c>
      <c r="C20" s="3074">
        <f>'TO Hrly (TO1-TO3)'!C20*$Q$16/2000</f>
        <v>0</v>
      </c>
      <c r="D20" s="3076">
        <f>'TO Hrly (TO1-TO3)'!D20*$Q$16/2000</f>
        <v>4.2539983162866193</v>
      </c>
      <c r="E20" s="3076">
        <f>'TO Hrly (TO1-TO3)'!E20*$Q$16/2000</f>
        <v>0.36937068314348198</v>
      </c>
      <c r="F20" s="1842">
        <f t="shared" si="0"/>
        <v>4.6233689994301015</v>
      </c>
      <c r="G20" s="3312">
        <f>'TO Hrly (TO1-TO3)'!G20</f>
        <v>0.99</v>
      </c>
      <c r="H20" s="3313">
        <f t="shared" si="1"/>
        <v>4.6233689994301053E-2</v>
      </c>
      <c r="I20" s="3172"/>
      <c r="J20" s="1762"/>
      <c r="K20" s="1762"/>
      <c r="L20" s="1762"/>
      <c r="M20" s="1762"/>
      <c r="N20" s="1763"/>
    </row>
    <row r="21" spans="1:17" ht="16.5" customHeight="1">
      <c r="A21" s="1761"/>
      <c r="B21" s="3244" t="s">
        <v>69</v>
      </c>
      <c r="C21" s="3074">
        <f>'TO Hrly (TO1-TO3)'!C21*$Q$16/2000</f>
        <v>0</v>
      </c>
      <c r="D21" s="3076">
        <f>'TO Hrly (TO1-TO3)'!D21*$Q$16/2000</f>
        <v>5.3145463569090881</v>
      </c>
      <c r="E21" s="3076">
        <f>'TO Hrly (TO1-TO3)'!E21*$Q$16/2000</f>
        <v>0.58377093807089742</v>
      </c>
      <c r="F21" s="1842">
        <f t="shared" si="0"/>
        <v>5.8983172949799858</v>
      </c>
      <c r="G21" s="3312">
        <f>'TO Hrly (TO1-TO3)'!G21</f>
        <v>0.99</v>
      </c>
      <c r="H21" s="3313">
        <f t="shared" si="1"/>
        <v>5.8983172949799913E-2</v>
      </c>
      <c r="I21" s="3172"/>
      <c r="J21" s="1762"/>
      <c r="K21" s="1762"/>
      <c r="L21" s="1762"/>
      <c r="M21" s="1762"/>
      <c r="N21" s="1763"/>
    </row>
    <row r="22" spans="1:17" ht="16.5" customHeight="1">
      <c r="A22" s="1761"/>
      <c r="B22" s="3244" t="s">
        <v>10</v>
      </c>
      <c r="C22" s="3074">
        <f>'TO Hrly (TO1-TO3)'!C22*$Q$16/2000</f>
        <v>0</v>
      </c>
      <c r="D22" s="3076">
        <f>'TO Hrly (TO1-TO3)'!D22*$Q$16/2000</f>
        <v>6.5218518912233003</v>
      </c>
      <c r="E22" s="3076">
        <f>'TO Hrly (TO1-TO3)'!E22*$Q$16/2000</f>
        <v>0.55076239692102036</v>
      </c>
      <c r="F22" s="1842">
        <f t="shared" si="0"/>
        <v>7.0726142881443206</v>
      </c>
      <c r="G22" s="3312">
        <f>'TO Hrly (TO1-TO3)'!G22</f>
        <v>0.99</v>
      </c>
      <c r="H22" s="3313">
        <f t="shared" si="1"/>
        <v>7.0726142881443271E-2</v>
      </c>
      <c r="I22" s="3172"/>
      <c r="J22" s="1762"/>
      <c r="K22" s="1762"/>
      <c r="L22" s="1762"/>
      <c r="M22" s="1762"/>
      <c r="N22" s="1763"/>
    </row>
    <row r="23" spans="1:17" ht="16.5" customHeight="1">
      <c r="A23" s="1761"/>
      <c r="B23" s="3244" t="s">
        <v>11</v>
      </c>
      <c r="C23" s="3070">
        <f>C22</f>
        <v>0</v>
      </c>
      <c r="D23" s="1853">
        <f>D22</f>
        <v>6.5218518912233003</v>
      </c>
      <c r="E23" s="1862">
        <f>E22</f>
        <v>0.55076239692102036</v>
      </c>
      <c r="F23" s="1851">
        <f>SUM(C23:E23)</f>
        <v>7.0726142881443206</v>
      </c>
      <c r="G23" s="3312">
        <f>$L$19/100</f>
        <v>0.99</v>
      </c>
      <c r="H23" s="3313">
        <f t="shared" si="1"/>
        <v>7.0726142881443271E-2</v>
      </c>
      <c r="I23" s="3100"/>
      <c r="J23" s="3123"/>
      <c r="K23" s="3124"/>
      <c r="L23" s="3125"/>
      <c r="M23" s="1766"/>
      <c r="N23" s="1763"/>
      <c r="Q23" s="652"/>
    </row>
    <row r="24" spans="1:17" ht="16.5" customHeight="1">
      <c r="A24" s="1761"/>
      <c r="B24" s="3244" t="s">
        <v>14</v>
      </c>
      <c r="C24" s="3070">
        <f>C22</f>
        <v>0</v>
      </c>
      <c r="D24" s="1853">
        <f>D22</f>
        <v>6.5218518912233003</v>
      </c>
      <c r="E24" s="1862">
        <f>E22</f>
        <v>0.55076239692102036</v>
      </c>
      <c r="F24" s="1851">
        <f>SUM(C24:E24)</f>
        <v>7.0726142881443206</v>
      </c>
      <c r="G24" s="3312">
        <f>$L$19/100</f>
        <v>0.99</v>
      </c>
      <c r="H24" s="3313">
        <f t="shared" si="1"/>
        <v>7.0726142881443271E-2</v>
      </c>
      <c r="I24" s="3100"/>
      <c r="J24" s="3123"/>
      <c r="K24" s="3124"/>
      <c r="L24" s="3125"/>
      <c r="M24" s="1766"/>
      <c r="N24" s="1763"/>
      <c r="Q24" s="652"/>
    </row>
    <row r="25" spans="1:17" ht="16.5" customHeight="1">
      <c r="A25" s="1761"/>
      <c r="B25" s="3244" t="s">
        <v>16</v>
      </c>
      <c r="C25" s="3070">
        <f>C22</f>
        <v>0</v>
      </c>
      <c r="D25" s="1853">
        <f>D22</f>
        <v>6.5218518912233003</v>
      </c>
      <c r="E25" s="1862">
        <f>E22</f>
        <v>0.55076239692102036</v>
      </c>
      <c r="F25" s="1851">
        <f>SUM(C25:E25)</f>
        <v>7.0726142881443206</v>
      </c>
      <c r="G25" s="3312">
        <f>$L$19/100</f>
        <v>0.99</v>
      </c>
      <c r="H25" s="3313">
        <f t="shared" si="1"/>
        <v>7.0726142881443271E-2</v>
      </c>
      <c r="I25" s="3100"/>
      <c r="J25" s="3123"/>
      <c r="K25" s="3124"/>
      <c r="L25" s="3125"/>
      <c r="M25" s="1766"/>
      <c r="N25" s="1763"/>
      <c r="Q25" s="652"/>
    </row>
    <row r="26" spans="1:17" ht="16.5" customHeight="1">
      <c r="A26" s="1761"/>
      <c r="B26" s="3244" t="s">
        <v>451</v>
      </c>
      <c r="C26" s="3070">
        <f>C22</f>
        <v>0</v>
      </c>
      <c r="D26" s="1853">
        <f>D22</f>
        <v>6.5218518912233003</v>
      </c>
      <c r="E26" s="1862">
        <f>E22</f>
        <v>0.55076239692102036</v>
      </c>
      <c r="F26" s="1851">
        <f>SUM(C26:E26)</f>
        <v>7.0726142881443206</v>
      </c>
      <c r="G26" s="3312">
        <f>$L$19/100</f>
        <v>0.99</v>
      </c>
      <c r="H26" s="3313">
        <f t="shared" si="1"/>
        <v>7.0726142881443271E-2</v>
      </c>
      <c r="I26" s="3100"/>
      <c r="J26" s="3123"/>
      <c r="K26" s="3124"/>
      <c r="L26" s="3125"/>
      <c r="M26" s="1766"/>
      <c r="N26" s="1763"/>
      <c r="Q26" s="652"/>
    </row>
    <row r="27" spans="1:17" ht="16.5" customHeight="1">
      <c r="A27" s="1761"/>
      <c r="B27" s="3244" t="s">
        <v>298</v>
      </c>
      <c r="C27" s="3074">
        <f>'TO Hrly (TO1-TO3)'!C27*$Q$16/2000</f>
        <v>0</v>
      </c>
      <c r="D27" s="3076">
        <f>'TO Hrly (TO1-TO3)'!D27*$Q$16/2000</f>
        <v>28.845634237391657</v>
      </c>
      <c r="E27" s="3076">
        <f>'TO Hrly (TO1-TO3)'!E27*$Q$16/2000</f>
        <v>3160.1177748912173</v>
      </c>
      <c r="F27" s="1842">
        <f t="shared" si="0"/>
        <v>3188.9634091286089</v>
      </c>
      <c r="G27" s="3312">
        <f>'TO Hrly (TO1-TO3)'!G27</f>
        <v>0.99</v>
      </c>
      <c r="H27" s="3313">
        <f t="shared" si="1"/>
        <v>31.889634091286116</v>
      </c>
      <c r="I27" s="3172"/>
      <c r="J27" s="3183"/>
      <c r="K27" s="1762"/>
      <c r="L27" s="1762"/>
      <c r="M27" s="1762"/>
      <c r="N27" s="1763"/>
    </row>
    <row r="28" spans="1:17" ht="16.5" customHeight="1">
      <c r="A28" s="1761"/>
      <c r="B28" s="3244" t="s">
        <v>680</v>
      </c>
      <c r="C28" s="3074">
        <f>'TO Hrly (TO1-TO3)'!C28*$Q$16/2000</f>
        <v>0</v>
      </c>
      <c r="D28" s="3076">
        <f>'TO Hrly (TO1-TO3)'!D28*$Q$16/2000</f>
        <v>1.4134105462391187E-2</v>
      </c>
      <c r="E28" s="3076">
        <f>'TO Hrly (TO1-TO3)'!E28*$Q$16/2000</f>
        <v>4.9181740463319129E-10</v>
      </c>
      <c r="F28" s="1842">
        <f t="shared" si="0"/>
        <v>1.4134105954208592E-2</v>
      </c>
      <c r="G28" s="3312">
        <f>'TO Hrly (TO1-TO3)'!G28</f>
        <v>0.99</v>
      </c>
      <c r="H28" s="3313">
        <f t="shared" si="1"/>
        <v>1.4134105954208604E-4</v>
      </c>
      <c r="I28" s="3172"/>
      <c r="J28" s="1762"/>
      <c r="K28" s="1762"/>
      <c r="L28" s="1762"/>
      <c r="M28" s="1762"/>
      <c r="N28" s="1763"/>
    </row>
    <row r="29" spans="1:17" ht="16.5" customHeight="1">
      <c r="A29" s="1761"/>
      <c r="B29" s="3244" t="s">
        <v>681</v>
      </c>
      <c r="C29" s="3074">
        <f>'TO Hrly (TO1-TO3)'!C29*$Q$16/2000</f>
        <v>0</v>
      </c>
      <c r="D29" s="3076">
        <f>'TO Hrly (TO1-TO3)'!D29*$Q$16/2000</f>
        <v>1.331805427690099E-3</v>
      </c>
      <c r="E29" s="3076">
        <f>'TO Hrly (TO1-TO3)'!E29*$Q$16/2000</f>
        <v>2.2326927573358605E-10</v>
      </c>
      <c r="F29" s="1842">
        <f t="shared" si="0"/>
        <v>1.3318056509593747E-3</v>
      </c>
      <c r="G29" s="3312">
        <f>'TO Hrly (TO1-TO3)'!G29</f>
        <v>0.99</v>
      </c>
      <c r="H29" s="3313">
        <f t="shared" si="1"/>
        <v>1.3318056509593759E-5</v>
      </c>
      <c r="I29" s="3172"/>
      <c r="J29" s="1762"/>
      <c r="K29" s="1762"/>
      <c r="L29" s="1762"/>
      <c r="M29" s="1762"/>
      <c r="N29" s="1763"/>
    </row>
    <row r="30" spans="1:17" ht="16.5" customHeight="1" thickBot="1">
      <c r="A30" s="1761"/>
      <c r="B30" s="3244" t="s">
        <v>675</v>
      </c>
      <c r="C30" s="3073">
        <f>'TO Hrly (TO1-TO3)'!C30*$Q$16/2000</f>
        <v>0</v>
      </c>
      <c r="D30" s="3075">
        <f>'TO Hrly (TO1-TO3)'!D30*$Q$16/2000</f>
        <v>0</v>
      </c>
      <c r="E30" s="3075">
        <f>'TO Hrly (TO1-TO3)'!E30*$Q$16/2000</f>
        <v>0</v>
      </c>
      <c r="F30" s="3339">
        <f t="shared" si="0"/>
        <v>0</v>
      </c>
      <c r="G30" s="3312">
        <f>'TO Hrly (TO1-TO3)'!G30</f>
        <v>0.99</v>
      </c>
      <c r="H30" s="3340">
        <f t="shared" si="1"/>
        <v>0</v>
      </c>
      <c r="I30" s="3172"/>
      <c r="J30" s="1762"/>
      <c r="K30" s="1762"/>
      <c r="L30" s="1762"/>
      <c r="M30" s="1762"/>
      <c r="N30" s="1763"/>
    </row>
    <row r="31" spans="1:17" ht="17.25" customHeight="1" thickBot="1">
      <c r="A31" s="1761"/>
      <c r="B31" s="3096" t="s">
        <v>692</v>
      </c>
      <c r="C31" s="3224">
        <f>SUM(C12:C30)</f>
        <v>4385.0607159029278</v>
      </c>
      <c r="D31" s="3135">
        <f>SUM(D12:D30)</f>
        <v>1383.0473831882148</v>
      </c>
      <c r="E31" s="3135">
        <f>SUM(E12:E30)</f>
        <v>112128.09831386348</v>
      </c>
      <c r="F31" s="3099">
        <f>SUM(F12:F30)</f>
        <v>117896.20641295466</v>
      </c>
      <c r="G31" s="3287" t="s">
        <v>445</v>
      </c>
      <c r="H31" s="3099">
        <f>SUM(H12:H30)</f>
        <v>109076.92856619625</v>
      </c>
      <c r="I31" s="3100"/>
      <c r="J31" s="1762"/>
      <c r="K31" s="1762"/>
      <c r="L31" s="1762"/>
      <c r="M31" s="1762"/>
      <c r="N31" s="1763"/>
    </row>
    <row r="32" spans="1:17" ht="17.25" customHeight="1">
      <c r="A32" s="1761"/>
      <c r="B32" s="3244" t="s">
        <v>55</v>
      </c>
      <c r="C32" s="3318">
        <f>SUM(C17:C22)</f>
        <v>56.386058479570615</v>
      </c>
      <c r="D32" s="3319">
        <f>SUM(D17:D22)</f>
        <v>190.26894166352022</v>
      </c>
      <c r="E32" s="3319">
        <f>SUM(E17:E22)</f>
        <v>26.898729659833826</v>
      </c>
      <c r="F32" s="3313">
        <f>SUM(F17:F22)</f>
        <v>273.55372980292469</v>
      </c>
      <c r="G32" s="3320" t="s">
        <v>445</v>
      </c>
      <c r="H32" s="3313">
        <f>SUM(H17:H22)</f>
        <v>2.7355372980292492</v>
      </c>
      <c r="I32" s="3100"/>
      <c r="J32" s="3341" t="s">
        <v>734</v>
      </c>
      <c r="K32" s="3342"/>
      <c r="L32" s="3343"/>
      <c r="M32" s="3344"/>
      <c r="N32" s="1763"/>
    </row>
    <row r="33" spans="1:16" ht="17.25" customHeight="1" thickBot="1">
      <c r="A33" s="1761"/>
      <c r="B33" s="3255" t="s">
        <v>693</v>
      </c>
      <c r="C33" s="3321">
        <f>SUM(C22:C26)</f>
        <v>0</v>
      </c>
      <c r="D33" s="3322">
        <f>SUM(D22:D26)</f>
        <v>32.609259456116504</v>
      </c>
      <c r="E33" s="3322">
        <f>SUM(E22:E26)</f>
        <v>2.7538119846051017</v>
      </c>
      <c r="F33" s="3322">
        <f>SUM(F22:F26)</f>
        <v>35.363071440721605</v>
      </c>
      <c r="G33" s="3323" t="s">
        <v>445</v>
      </c>
      <c r="H33" s="3324">
        <f>SUM(H22:H26)</f>
        <v>0.35363071440721638</v>
      </c>
      <c r="I33" s="3100"/>
      <c r="J33" s="3345" t="s">
        <v>592</v>
      </c>
      <c r="K33" s="3346">
        <v>46.01</v>
      </c>
      <c r="L33" s="3347" t="s">
        <v>593</v>
      </c>
      <c r="M33" s="3344"/>
      <c r="N33" s="1763"/>
    </row>
    <row r="34" spans="1:16" ht="16" thickBot="1">
      <c r="A34" s="1761"/>
      <c r="B34" s="3192" t="s">
        <v>694</v>
      </c>
      <c r="C34" s="3150">
        <v>1050.8599999999999</v>
      </c>
      <c r="D34" s="3151">
        <f>'TO Hrly (TO1-TO3)'!D34</f>
        <v>1140.78147311522</v>
      </c>
      <c r="E34" s="3151">
        <f>'TO Hrly (TO1-TO3)'!E34</f>
        <v>6.8056442771379304</v>
      </c>
      <c r="F34" s="3348">
        <f>SUMPRODUCT(C34:E34,C37:E37)/F37</f>
        <v>123.50449935407717</v>
      </c>
      <c r="G34" s="1762"/>
      <c r="H34" s="1762"/>
      <c r="I34" s="1762"/>
      <c r="J34" s="3349" t="s">
        <v>594</v>
      </c>
      <c r="K34" s="3350">
        <v>28</v>
      </c>
      <c r="L34" s="3351" t="s">
        <v>593</v>
      </c>
      <c r="M34" s="3344"/>
      <c r="N34" s="1763"/>
    </row>
    <row r="35" spans="1:16" ht="16" thickBot="1">
      <c r="A35" s="1761"/>
      <c r="B35" s="3352" t="s">
        <v>20</v>
      </c>
      <c r="C35" s="3325">
        <v>16.811</v>
      </c>
      <c r="D35" s="3326">
        <f>'TO Hrly (TO1-TO3)'!D35</f>
        <v>21.989801519026699</v>
      </c>
      <c r="E35" s="3326">
        <f>'TO Hrly (TO1-TO3)'!E35</f>
        <v>26</v>
      </c>
      <c r="F35" s="3353" t="s">
        <v>445</v>
      </c>
      <c r="G35" s="3157"/>
      <c r="H35" s="3157"/>
      <c r="I35" s="3157"/>
      <c r="J35" s="3344"/>
      <c r="K35" s="3344"/>
      <c r="L35" s="3344"/>
      <c r="M35" s="3344"/>
      <c r="N35" s="3158"/>
    </row>
    <row r="36" spans="1:16" ht="15.5">
      <c r="A36" s="1761"/>
      <c r="B36" s="3352" t="s">
        <v>704</v>
      </c>
      <c r="C36" s="3354">
        <f>'TO Hrly (TO1-TO3)'!C36*8760/2000</f>
        <v>0</v>
      </c>
      <c r="D36" s="3326">
        <f>'TO Hrly (TO1-TO3)'!D36*8760/2000</f>
        <v>9.3482517099949362E-3</v>
      </c>
      <c r="E36" s="3326">
        <f>'TO Hrly (TO1-TO3)'!E36*8760/2000</f>
        <v>3.7678378546167748</v>
      </c>
      <c r="F36" s="3355">
        <f>SUM(C36:E36)</f>
        <v>3.7771861063267695</v>
      </c>
      <c r="G36" s="3157"/>
      <c r="H36" s="3157"/>
      <c r="I36" s="3157"/>
      <c r="J36" s="4850" t="s">
        <v>735</v>
      </c>
      <c r="K36" s="4851"/>
      <c r="L36" s="4851"/>
      <c r="M36" s="4852"/>
      <c r="N36" s="3158"/>
    </row>
    <row r="37" spans="1:16" ht="15.5">
      <c r="A37" s="1761"/>
      <c r="B37" s="3352" t="s">
        <v>705</v>
      </c>
      <c r="C37" s="3356">
        <f>'TO Hrly (TO1-TO3)'!C37*8760</f>
        <v>202189493.21192917</v>
      </c>
      <c r="D37" s="3357">
        <f>'TO Hrly (TO1-TO3)'!D37*8760</f>
        <v>46834851.052962743</v>
      </c>
      <c r="E37" s="3357">
        <f>'TO Hrly (TO1-TO3)'!E37*8760</f>
        <v>2014977388.5405729</v>
      </c>
      <c r="F37" s="3358">
        <f>SUM(C37:E37)</f>
        <v>2264001732.8054647</v>
      </c>
      <c r="G37" s="3157"/>
      <c r="H37" s="3157"/>
      <c r="I37" s="3157"/>
      <c r="J37" s="3359" t="s">
        <v>670</v>
      </c>
      <c r="K37" s="3360" t="s">
        <v>671</v>
      </c>
      <c r="L37" s="4853"/>
      <c r="M37" s="4854"/>
      <c r="N37" s="3158"/>
      <c r="P37" s="48">
        <v>345</v>
      </c>
    </row>
    <row r="38" spans="1:16" ht="16" thickBot="1">
      <c r="A38" s="1761"/>
      <c r="B38" s="3361" t="s">
        <v>706</v>
      </c>
      <c r="C38" s="3331">
        <f>C34*C37/10^6</f>
        <v>212472.85083668787</v>
      </c>
      <c r="D38" s="3332">
        <f>D34*D37/10^6</f>
        <v>53428.330377330749</v>
      </c>
      <c r="E38" s="3332">
        <f>E34*E37/10^6</f>
        <v>13713.219332883482</v>
      </c>
      <c r="F38" s="3362">
        <f>SUMPRODUCT(C34:E34,C37:E37)/10^6</f>
        <v>279614.40054690209</v>
      </c>
      <c r="G38" s="3157"/>
      <c r="H38" s="3157"/>
      <c r="I38" s="3157"/>
      <c r="J38" s="3359" t="s">
        <v>21</v>
      </c>
      <c r="K38" s="3363">
        <f>'TO Hrly (TO1-TO3)'!K46</f>
        <v>30</v>
      </c>
      <c r="L38" s="4853"/>
      <c r="M38" s="4854"/>
      <c r="N38" s="3158"/>
    </row>
    <row r="39" spans="1:16" ht="16" thickBot="1">
      <c r="A39" s="1761"/>
      <c r="B39" s="1762"/>
      <c r="C39" s="1762"/>
      <c r="D39" s="3344"/>
      <c r="E39" s="1762"/>
      <c r="F39" s="3344"/>
      <c r="G39" s="3344"/>
      <c r="H39" s="3344"/>
      <c r="I39" s="3344"/>
      <c r="J39" s="3364" t="s">
        <v>0</v>
      </c>
      <c r="K39" s="3365">
        <v>50</v>
      </c>
      <c r="L39" s="4855"/>
      <c r="M39" s="4856"/>
      <c r="N39" s="3366"/>
    </row>
    <row r="40" spans="1:16" ht="13.5" thickBot="1">
      <c r="A40" s="643"/>
      <c r="B40" s="657"/>
      <c r="C40" s="657"/>
      <c r="D40" s="657"/>
      <c r="E40" s="659"/>
      <c r="F40" s="659"/>
      <c r="G40" s="659"/>
      <c r="H40" s="659"/>
      <c r="I40" s="659"/>
      <c r="J40" s="659"/>
      <c r="K40" s="659"/>
      <c r="L40" s="659"/>
      <c r="M40" s="659"/>
      <c r="N40" s="660"/>
    </row>
    <row r="41" spans="1:16" ht="17.25" customHeight="1">
      <c r="A41" s="643"/>
      <c r="B41" s="661" t="s">
        <v>698</v>
      </c>
      <c r="C41" s="662"/>
      <c r="D41" s="662"/>
      <c r="E41" s="663"/>
      <c r="F41" s="663"/>
      <c r="G41" s="663"/>
      <c r="H41" s="663"/>
      <c r="I41" s="663"/>
      <c r="J41" s="663"/>
      <c r="K41" s="664"/>
      <c r="L41" s="657"/>
      <c r="M41" s="657"/>
      <c r="N41" s="51"/>
    </row>
    <row r="42" spans="1:16" ht="17.25" customHeight="1">
      <c r="A42" s="643"/>
      <c r="B42" s="665" t="s">
        <v>699</v>
      </c>
      <c r="C42" s="666"/>
      <c r="D42" s="666"/>
      <c r="E42" s="667"/>
      <c r="F42" s="667"/>
      <c r="G42" s="667"/>
      <c r="H42" s="667"/>
      <c r="I42" s="667"/>
      <c r="J42" s="667"/>
      <c r="K42" s="668"/>
      <c r="L42" s="657"/>
      <c r="M42" s="657"/>
      <c r="N42" s="51"/>
    </row>
    <row r="43" spans="1:16" ht="29.25" customHeight="1" thickBot="1">
      <c r="A43" s="643"/>
      <c r="B43" s="4729" t="s">
        <v>736</v>
      </c>
      <c r="C43" s="4730"/>
      <c r="D43" s="4730"/>
      <c r="E43" s="4730"/>
      <c r="F43" s="4730"/>
      <c r="G43" s="4730"/>
      <c r="H43" s="4730"/>
      <c r="I43" s="4730"/>
      <c r="J43" s="4730"/>
      <c r="K43" s="4731"/>
      <c r="L43" s="669"/>
      <c r="M43" s="669"/>
      <c r="N43" s="670"/>
    </row>
    <row r="44" spans="1:16" ht="13.5" thickBot="1">
      <c r="A44" s="645"/>
      <c r="B44" s="541"/>
      <c r="C44" s="541"/>
      <c r="D44" s="541"/>
      <c r="E44" s="541"/>
      <c r="F44" s="541"/>
      <c r="G44" s="541"/>
      <c r="H44" s="541"/>
      <c r="I44" s="541"/>
      <c r="J44" s="541"/>
      <c r="K44" s="541"/>
      <c r="L44" s="541"/>
      <c r="M44" s="541"/>
      <c r="N44" s="543"/>
    </row>
    <row r="46" spans="1:16">
      <c r="C46" s="48">
        <f>C32*0.05</f>
        <v>2.819302923978531</v>
      </c>
    </row>
    <row r="48" spans="1:16">
      <c r="D48" s="673">
        <f>SUM(D37:D37)</f>
        <v>46834851.052962743</v>
      </c>
      <c r="F48" s="3617"/>
    </row>
    <row r="54" spans="5:5">
      <c r="E54" s="49">
        <f>0.009*3.5</f>
        <v>3.15E-2</v>
      </c>
    </row>
  </sheetData>
  <mergeCells count="22">
    <mergeCell ref="B43:K43"/>
    <mergeCell ref="J36:M36"/>
    <mergeCell ref="L37:M39"/>
    <mergeCell ref="F9:F10"/>
    <mergeCell ref="G9:G10"/>
    <mergeCell ref="H9:H10"/>
    <mergeCell ref="J9:J11"/>
    <mergeCell ref="K9:K10"/>
    <mergeCell ref="L9:L11"/>
    <mergeCell ref="B9:B11"/>
    <mergeCell ref="C9:C10"/>
    <mergeCell ref="D9:D10"/>
    <mergeCell ref="E9:E10"/>
    <mergeCell ref="B8:H8"/>
    <mergeCell ref="J8:M8"/>
    <mergeCell ref="J19:K19"/>
    <mergeCell ref="B2:M2"/>
    <mergeCell ref="B3:M3"/>
    <mergeCell ref="B4:M4"/>
    <mergeCell ref="A6:N6"/>
    <mergeCell ref="A7:E7"/>
    <mergeCell ref="M9:M11"/>
  </mergeCells>
  <printOptions horizontalCentered="1"/>
  <pageMargins left="0.45" right="0.45" top="0.5" bottom="0.5" header="0.3" footer="0.3"/>
  <pageSetup scale="70" orientation="landscape" r:id="rId1"/>
  <headerFooter>
    <oddFooter>&amp;CCalculations: Page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tabColor theme="3" tint="-0.249977111117893"/>
    <pageSetUpPr fitToPage="1"/>
  </sheetPr>
  <dimension ref="A1:S61"/>
  <sheetViews>
    <sheetView view="pageBreakPreview" zoomScale="70" zoomScaleNormal="70" zoomScaleSheetLayoutView="70" zoomScalePageLayoutView="85" workbookViewId="0">
      <selection activeCell="E19" sqref="E19:R19"/>
    </sheetView>
  </sheetViews>
  <sheetFormatPr defaultColWidth="8.54296875" defaultRowHeight="12.5"/>
  <cols>
    <col min="1" max="1" width="4.54296875" style="50" customWidth="1"/>
    <col min="2" max="2" width="7.54296875" style="50" customWidth="1"/>
    <col min="3" max="4" width="11.54296875" style="50" customWidth="1"/>
    <col min="5" max="5" width="22" style="50" customWidth="1"/>
    <col min="6" max="6" width="13.54296875" style="50" customWidth="1"/>
    <col min="7" max="7" width="13.36328125" style="50" customWidth="1"/>
    <col min="8" max="8" width="15.6328125" style="50" customWidth="1"/>
    <col min="9" max="9" width="18.36328125" style="50" customWidth="1"/>
    <col min="10" max="10" width="11.54296875" style="50" customWidth="1"/>
    <col min="11" max="11" width="18.453125" style="50" customWidth="1"/>
    <col min="12" max="12" width="17.453125" style="50" customWidth="1"/>
    <col min="13" max="14" width="11.5429687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617" t="str">
        <f>'Summary-Co'!B4:T4</f>
        <v>HUSKY CDP</v>
      </c>
      <c r="C3" s="4618"/>
      <c r="D3" s="4618"/>
      <c r="E3" s="4618"/>
      <c r="F3" s="4618"/>
      <c r="G3" s="4618"/>
      <c r="H3" s="4618"/>
      <c r="I3" s="4618"/>
      <c r="J3" s="4618"/>
      <c r="K3" s="4618"/>
      <c r="L3" s="4618"/>
      <c r="M3" s="4618"/>
      <c r="N3" s="4619"/>
      <c r="O3" s="588"/>
    </row>
    <row r="4" spans="1:15" ht="30" customHeight="1" thickBot="1">
      <c r="A4" s="587"/>
      <c r="B4" s="4862" t="s">
        <v>1284</v>
      </c>
      <c r="C4" s="4863"/>
      <c r="D4" s="4863"/>
      <c r="E4" s="4863"/>
      <c r="F4" s="4863"/>
      <c r="G4" s="4863"/>
      <c r="H4" s="4863"/>
      <c r="I4" s="4863"/>
      <c r="J4" s="4863"/>
      <c r="K4" s="4863"/>
      <c r="L4" s="4863"/>
      <c r="M4" s="4863"/>
      <c r="N4" s="4864"/>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1282</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c r="A10" s="587"/>
      <c r="B10" s="440"/>
      <c r="C10" s="464"/>
      <c r="D10" s="465"/>
      <c r="E10" s="465"/>
      <c r="F10" s="465"/>
      <c r="G10" s="465"/>
      <c r="H10" s="465"/>
      <c r="I10" s="465"/>
      <c r="J10" s="465"/>
      <c r="K10" s="466"/>
      <c r="L10" s="466"/>
      <c r="M10" s="452"/>
      <c r="N10" s="417"/>
      <c r="O10" s="51"/>
    </row>
    <row r="11" spans="1:15" ht="17.149999999999999" customHeight="1" thickBot="1">
      <c r="A11" s="587"/>
      <c r="B11" s="440"/>
      <c r="C11" s="467" t="s">
        <v>353</v>
      </c>
      <c r="D11" s="468" t="s">
        <v>524</v>
      </c>
      <c r="E11" s="421"/>
      <c r="F11" s="421"/>
      <c r="G11" s="421" t="s">
        <v>350</v>
      </c>
      <c r="H11" s="469">
        <f>E12*E13*((1-E14)*E15+E16)</f>
        <v>326429.31179372163</v>
      </c>
      <c r="I11" s="470" t="s">
        <v>357</v>
      </c>
      <c r="J11" s="421"/>
      <c r="K11" s="471" t="s">
        <v>378</v>
      </c>
      <c r="L11" s="471" t="s">
        <v>379</v>
      </c>
      <c r="M11" s="453"/>
      <c r="N11" s="417"/>
      <c r="O11" s="51"/>
    </row>
    <row r="12" spans="1:15" ht="17.149999999999999" customHeight="1">
      <c r="A12" s="587"/>
      <c r="B12" s="454"/>
      <c r="C12" s="472"/>
      <c r="D12" s="473" t="s">
        <v>354</v>
      </c>
      <c r="E12" s="474">
        <f>L19</f>
        <v>46834851.052962743</v>
      </c>
      <c r="F12" s="475"/>
      <c r="G12" s="475"/>
      <c r="H12" s="475"/>
      <c r="I12" s="475"/>
      <c r="J12" s="475"/>
      <c r="K12" s="476"/>
      <c r="L12" s="477"/>
      <c r="M12" s="455"/>
      <c r="N12" s="456"/>
      <c r="O12" s="51"/>
    </row>
    <row r="13" spans="1:15" ht="17.149999999999999" customHeight="1">
      <c r="A13" s="587"/>
      <c r="B13" s="454"/>
      <c r="C13" s="472"/>
      <c r="D13" s="473" t="s">
        <v>525</v>
      </c>
      <c r="E13" s="815">
        <f>'Amine PStreams'!S10/100</f>
        <v>0.69697950234662198</v>
      </c>
      <c r="F13" s="478"/>
      <c r="G13" s="478"/>
      <c r="H13" s="478"/>
      <c r="I13" s="478"/>
      <c r="J13" s="478"/>
      <c r="K13" s="479" t="s">
        <v>1285</v>
      </c>
      <c r="L13" s="479">
        <f>'TO Ann (TO1-TO3)'!D37</f>
        <v>46834851.052962743</v>
      </c>
      <c r="M13" s="457"/>
      <c r="N13" s="456"/>
      <c r="O13" s="51"/>
    </row>
    <row r="14" spans="1:15" ht="17.149999999999999" customHeight="1">
      <c r="A14" s="587"/>
      <c r="B14" s="458"/>
      <c r="C14" s="480"/>
      <c r="D14" s="385" t="s">
        <v>355</v>
      </c>
      <c r="E14" s="386">
        <v>0.99</v>
      </c>
      <c r="F14" s="805"/>
      <c r="G14" s="805"/>
      <c r="H14" s="805"/>
      <c r="I14" s="805"/>
      <c r="J14" s="805"/>
      <c r="K14" s="387"/>
      <c r="L14" s="387"/>
      <c r="M14" s="266"/>
      <c r="N14" s="459"/>
      <c r="O14" s="51"/>
    </row>
    <row r="15" spans="1:15" ht="17.149999999999999" customHeight="1">
      <c r="A15" s="587"/>
      <c r="B15" s="458"/>
      <c r="C15" s="480"/>
      <c r="D15" s="385" t="s">
        <v>526</v>
      </c>
      <c r="E15" s="386">
        <v>1</v>
      </c>
      <c r="F15" s="805"/>
      <c r="G15" s="805"/>
      <c r="H15" s="805"/>
      <c r="I15" s="805"/>
      <c r="J15" s="805"/>
      <c r="K15" s="387"/>
      <c r="L15" s="387"/>
      <c r="M15" s="266"/>
      <c r="N15" s="459"/>
      <c r="O15" s="51"/>
    </row>
    <row r="16" spans="1:15" ht="17.149999999999999" customHeight="1">
      <c r="A16" s="587"/>
      <c r="B16" s="458"/>
      <c r="C16" s="480"/>
      <c r="D16" s="385" t="s">
        <v>527</v>
      </c>
      <c r="E16" s="386">
        <v>0</v>
      </c>
      <c r="F16" s="805"/>
      <c r="G16" s="805"/>
      <c r="H16" s="805"/>
      <c r="I16" s="805"/>
      <c r="J16" s="805"/>
      <c r="K16" s="387"/>
      <c r="L16" s="387"/>
      <c r="M16" s="266"/>
      <c r="N16" s="459"/>
      <c r="O16" s="51"/>
    </row>
    <row r="17" spans="1:19" ht="17.149999999999999" customHeight="1">
      <c r="A17" s="587"/>
      <c r="B17" s="458"/>
      <c r="C17" s="480"/>
      <c r="D17" s="385"/>
      <c r="E17" s="386"/>
      <c r="F17" s="805"/>
      <c r="G17" s="805"/>
      <c r="H17" s="805"/>
      <c r="I17" s="805"/>
      <c r="J17" s="805"/>
      <c r="K17" s="387"/>
      <c r="L17" s="387"/>
      <c r="M17" s="266"/>
      <c r="N17" s="459"/>
      <c r="O17" s="51"/>
    </row>
    <row r="18" spans="1:19" ht="17.149999999999999" customHeight="1" thickBot="1">
      <c r="A18" s="587"/>
      <c r="B18" s="458"/>
      <c r="C18" s="467" t="s">
        <v>356</v>
      </c>
      <c r="D18" s="388" t="s">
        <v>528</v>
      </c>
      <c r="E18" s="386"/>
      <c r="F18" s="805"/>
      <c r="G18" s="421" t="s">
        <v>350</v>
      </c>
      <c r="H18" s="389">
        <f>E19*E20</f>
        <v>2805227.7216474358</v>
      </c>
      <c r="I18" s="470" t="s">
        <v>357</v>
      </c>
      <c r="J18" s="805"/>
      <c r="K18" s="198"/>
      <c r="L18" s="198"/>
      <c r="M18" s="266"/>
      <c r="N18" s="459"/>
      <c r="O18" s="51"/>
    </row>
    <row r="19" spans="1:19" ht="17.149999999999999" customHeight="1">
      <c r="A19" s="587"/>
      <c r="B19" s="458"/>
      <c r="C19" s="480"/>
      <c r="D19" s="473" t="s">
        <v>354</v>
      </c>
      <c r="E19" s="1028">
        <f>E12</f>
        <v>46834851.052962743</v>
      </c>
      <c r="F19" s="805"/>
      <c r="G19" s="805"/>
      <c r="H19" s="805"/>
      <c r="I19" s="805"/>
      <c r="J19" s="805"/>
      <c r="K19" s="390"/>
      <c r="L19" s="390">
        <f>SUM(L12:L18)</f>
        <v>46834851.052962743</v>
      </c>
      <c r="M19" s="266"/>
      <c r="N19" s="459"/>
      <c r="O19" s="51"/>
      <c r="Q19" s="50" t="s">
        <v>290</v>
      </c>
      <c r="R19" s="252">
        <f>'TO Ann (TO1-TO3)'!F14</f>
        <v>108974.00892531712</v>
      </c>
    </row>
    <row r="20" spans="1:19" ht="17.149999999999999" customHeight="1">
      <c r="A20" s="587"/>
      <c r="B20" s="458"/>
      <c r="C20" s="480"/>
      <c r="D20" s="473" t="s">
        <v>529</v>
      </c>
      <c r="E20" s="816">
        <f>'Amine PStreams'!S9/100</f>
        <v>5.98961597737371E-2</v>
      </c>
      <c r="F20" s="805"/>
      <c r="G20" s="805"/>
      <c r="H20" s="805"/>
      <c r="I20" s="805"/>
      <c r="J20" s="805"/>
      <c r="K20" s="805"/>
      <c r="L20" s="805"/>
      <c r="M20" s="266"/>
      <c r="N20" s="459"/>
      <c r="O20" s="51"/>
      <c r="Q20" s="50" t="s">
        <v>1287</v>
      </c>
      <c r="R20" s="252" t="e">
        <f>SUM(#REF!)</f>
        <v>#REF!</v>
      </c>
      <c r="S20" s="50" t="e">
        <f>R20*25</f>
        <v>#REF!</v>
      </c>
    </row>
    <row r="21" spans="1:19" ht="17.149999999999999" customHeight="1">
      <c r="A21" s="587"/>
      <c r="B21" s="458"/>
      <c r="C21" s="480"/>
      <c r="D21" s="473"/>
      <c r="E21" s="386"/>
      <c r="F21" s="805"/>
      <c r="G21" s="805"/>
      <c r="H21" s="805"/>
      <c r="I21" s="805"/>
      <c r="J21" s="805"/>
      <c r="K21" s="805"/>
      <c r="L21" s="805"/>
      <c r="M21" s="266"/>
      <c r="N21" s="459"/>
      <c r="O21" s="51"/>
    </row>
    <row r="22" spans="1:19" ht="17.149999999999999" customHeight="1">
      <c r="A22" s="587"/>
      <c r="B22" s="458"/>
      <c r="C22" s="467" t="s">
        <v>358</v>
      </c>
      <c r="D22" s="388" t="s">
        <v>530</v>
      </c>
      <c r="E22" s="386"/>
      <c r="F22" s="805"/>
      <c r="G22" s="805"/>
      <c r="H22" s="805"/>
      <c r="I22" s="805"/>
      <c r="J22" s="805"/>
      <c r="K22" s="805"/>
      <c r="L22" s="805"/>
      <c r="M22" s="266"/>
      <c r="N22" s="459"/>
      <c r="O22" s="51"/>
    </row>
    <row r="23" spans="1:19" ht="17.149999999999999" customHeight="1">
      <c r="A23" s="587"/>
      <c r="B23" s="458"/>
      <c r="C23" s="480"/>
      <c r="D23" s="385" t="s">
        <v>355</v>
      </c>
      <c r="E23" s="386">
        <f>E14</f>
        <v>0.99</v>
      </c>
      <c r="F23" s="805"/>
      <c r="G23" s="805"/>
      <c r="H23" s="805"/>
      <c r="I23" s="805"/>
      <c r="J23" s="805"/>
      <c r="K23" s="805"/>
      <c r="L23" s="805"/>
      <c r="M23" s="266"/>
      <c r="N23" s="459"/>
      <c r="O23" s="51"/>
    </row>
    <row r="24" spans="1:19" ht="17.149999999999999" customHeight="1">
      <c r="A24" s="587"/>
      <c r="B24" s="458"/>
      <c r="C24" s="480"/>
      <c r="D24" s="385" t="s">
        <v>531</v>
      </c>
      <c r="E24" s="1028">
        <f>E19</f>
        <v>46834851.052962743</v>
      </c>
      <c r="F24" s="805"/>
      <c r="G24" s="386" t="s">
        <v>361</v>
      </c>
      <c r="H24" s="805"/>
      <c r="I24" s="386" t="s">
        <v>532</v>
      </c>
      <c r="J24" s="805"/>
      <c r="K24" s="805"/>
      <c r="L24" s="805"/>
      <c r="M24" s="266"/>
      <c r="N24" s="459"/>
      <c r="O24" s="51"/>
    </row>
    <row r="25" spans="1:19" ht="17.149999999999999" customHeight="1">
      <c r="A25" s="587"/>
      <c r="B25" s="458"/>
      <c r="C25" s="480"/>
      <c r="D25" s="385" t="s">
        <v>533</v>
      </c>
      <c r="E25" s="386" t="s">
        <v>6</v>
      </c>
      <c r="F25" s="419">
        <f>E13</f>
        <v>0.69697950234662198</v>
      </c>
      <c r="G25" s="420">
        <v>1</v>
      </c>
      <c r="H25" s="805"/>
      <c r="I25" s="392">
        <f>$E$23*$E$24*F25*G25*$E$30</f>
        <v>32316501.867578413</v>
      </c>
      <c r="J25" s="805"/>
      <c r="K25" s="805"/>
      <c r="L25" s="805"/>
      <c r="M25" s="266"/>
      <c r="N25" s="459"/>
      <c r="O25" s="51"/>
    </row>
    <row r="26" spans="1:19" ht="17.149999999999999" customHeight="1">
      <c r="A26" s="587"/>
      <c r="B26" s="458"/>
      <c r="C26" s="480"/>
      <c r="D26" s="385"/>
      <c r="E26" s="386" t="s">
        <v>7</v>
      </c>
      <c r="F26" s="419">
        <f>'Amine PStreams'!S11/100</f>
        <v>0.14736851464210601</v>
      </c>
      <c r="G26" s="420">
        <v>2</v>
      </c>
      <c r="H26" s="805"/>
      <c r="I26" s="392">
        <f>$E$23*$E$24*F26*G26*$E$30</f>
        <v>13665925.217655599</v>
      </c>
      <c r="J26" s="805"/>
      <c r="K26" s="805"/>
      <c r="L26" s="805"/>
      <c r="M26" s="266"/>
      <c r="N26" s="459"/>
      <c r="O26" s="51"/>
    </row>
    <row r="27" spans="1:19" ht="17.149999999999999" customHeight="1">
      <c r="A27" s="587"/>
      <c r="B27" s="458"/>
      <c r="C27" s="480"/>
      <c r="D27" s="385"/>
      <c r="E27" s="386" t="s">
        <v>8</v>
      </c>
      <c r="F27" s="419">
        <f>'Amine PStreams'!S12/100</f>
        <v>4.5896907029149198E-2</v>
      </c>
      <c r="G27" s="420">
        <v>3</v>
      </c>
      <c r="H27" s="805"/>
      <c r="I27" s="392">
        <f>$E$23*$E$24*F27*G27*$E$30</f>
        <v>6384237.1693705879</v>
      </c>
      <c r="J27" s="805"/>
      <c r="K27" s="805"/>
      <c r="L27" s="805"/>
      <c r="M27" s="266"/>
      <c r="N27" s="459"/>
      <c r="O27" s="51"/>
    </row>
    <row r="28" spans="1:19" ht="17.149999999999999" customHeight="1">
      <c r="A28" s="587"/>
      <c r="B28" s="458"/>
      <c r="C28" s="480"/>
      <c r="D28" s="385"/>
      <c r="E28" s="386" t="s">
        <v>359</v>
      </c>
      <c r="F28" s="419">
        <f>('Amine PStreams'!S13+'Amine PStreams'!S14)/100</f>
        <v>1.3742507710895212E-2</v>
      </c>
      <c r="G28" s="420">
        <v>4</v>
      </c>
      <c r="H28" s="805"/>
      <c r="I28" s="392">
        <f>$E$23*$E$24*F28*G28*$E$30</f>
        <v>2548768.0748665179</v>
      </c>
      <c r="J28" s="805"/>
      <c r="K28" s="805"/>
      <c r="L28" s="805"/>
      <c r="M28" s="266"/>
      <c r="N28" s="459"/>
      <c r="O28" s="51"/>
    </row>
    <row r="29" spans="1:19" ht="17.149999999999999" customHeight="1">
      <c r="A29" s="587"/>
      <c r="B29" s="458"/>
      <c r="C29" s="480"/>
      <c r="D29" s="385"/>
      <c r="E29" s="386" t="s">
        <v>360</v>
      </c>
      <c r="F29" s="419">
        <f>('Amine PStreams'!S15+'Amine PStreams'!S16+'Amine PStreams'!S17)/100</f>
        <v>3.3756000854342511E-3</v>
      </c>
      <c r="G29" s="420">
        <v>5</v>
      </c>
      <c r="H29" s="805"/>
      <c r="I29" s="392">
        <f>$E$23*$E$24*F29*G29*$E$30</f>
        <v>782573.8497176232</v>
      </c>
      <c r="J29" s="805"/>
      <c r="K29" s="805"/>
      <c r="L29" s="805"/>
      <c r="M29" s="266"/>
      <c r="N29" s="459"/>
      <c r="O29" s="51"/>
    </row>
    <row r="30" spans="1:19" ht="17.149999999999999" customHeight="1">
      <c r="A30" s="587"/>
      <c r="B30" s="458"/>
      <c r="C30" s="480"/>
      <c r="D30" s="385" t="s">
        <v>526</v>
      </c>
      <c r="E30" s="386">
        <v>1</v>
      </c>
      <c r="F30" s="393"/>
      <c r="G30" s="394"/>
      <c r="H30" s="805"/>
      <c r="I30" s="389">
        <f>SUM(I25:I29)</f>
        <v>55698006.179188751</v>
      </c>
      <c r="J30" s="561" t="s">
        <v>357</v>
      </c>
      <c r="K30" s="395"/>
      <c r="L30" s="805"/>
      <c r="M30" s="266"/>
      <c r="N30" s="459"/>
      <c r="O30" s="51"/>
      <c r="S30" s="451"/>
    </row>
    <row r="31" spans="1:19" ht="17.149999999999999" customHeight="1">
      <c r="A31" s="587"/>
      <c r="B31" s="458"/>
      <c r="C31" s="480"/>
      <c r="D31" s="395"/>
      <c r="E31" s="395"/>
      <c r="F31" s="393"/>
      <c r="G31" s="395"/>
      <c r="H31" s="805"/>
      <c r="I31" s="805"/>
      <c r="J31" s="395"/>
      <c r="K31" s="395"/>
      <c r="L31" s="805"/>
      <c r="M31" s="266"/>
      <c r="N31" s="459"/>
      <c r="O31" s="51"/>
      <c r="S31" s="451"/>
    </row>
    <row r="32" spans="1:19" ht="17.149999999999999" customHeight="1">
      <c r="A32" s="587"/>
      <c r="B32" s="458"/>
      <c r="C32" s="480" t="s">
        <v>358</v>
      </c>
      <c r="D32" s="395" t="s">
        <v>534</v>
      </c>
      <c r="E32" s="395"/>
      <c r="F32" s="393"/>
      <c r="G32" s="805"/>
      <c r="H32" s="389"/>
      <c r="I32" s="561"/>
      <c r="J32" s="395"/>
      <c r="K32" s="395"/>
      <c r="L32" s="805"/>
      <c r="M32" s="266"/>
      <c r="N32" s="459"/>
      <c r="O32" s="51"/>
      <c r="S32" s="451"/>
    </row>
    <row r="33" spans="1:19" ht="17.149999999999999" customHeight="1">
      <c r="A33" s="587"/>
      <c r="B33" s="458"/>
      <c r="C33" s="480"/>
      <c r="D33" s="4805" t="s">
        <v>535</v>
      </c>
      <c r="E33" s="4805"/>
      <c r="F33" s="393"/>
      <c r="G33" s="395"/>
      <c r="H33" s="392"/>
      <c r="I33" s="805"/>
      <c r="J33" s="395"/>
      <c r="K33" s="395"/>
      <c r="L33" s="805"/>
      <c r="M33" s="266"/>
      <c r="N33" s="459"/>
      <c r="O33" s="51"/>
      <c r="S33" s="451"/>
    </row>
    <row r="34" spans="1:19" ht="17.149999999999999" customHeight="1">
      <c r="A34" s="587"/>
      <c r="B34" s="458"/>
      <c r="C34" s="480"/>
      <c r="D34" s="385" t="s">
        <v>536</v>
      </c>
      <c r="E34" s="392">
        <f>H11</f>
        <v>326429.31179372163</v>
      </c>
      <c r="F34" s="393"/>
      <c r="G34" s="805" t="s">
        <v>350</v>
      </c>
      <c r="H34" s="389">
        <f>((E34*((459.67+60))*12.73))/((459.67+93.7)*13.28)</f>
        <v>293853.93673476897</v>
      </c>
      <c r="I34" s="561" t="s">
        <v>357</v>
      </c>
      <c r="J34" s="561"/>
      <c r="K34" s="395"/>
      <c r="L34" s="805"/>
      <c r="M34" s="266"/>
      <c r="N34" s="459"/>
      <c r="O34" s="51"/>
      <c r="S34" s="451"/>
    </row>
    <row r="35" spans="1:19" ht="17.149999999999999" customHeight="1">
      <c r="A35" s="587"/>
      <c r="B35" s="458"/>
      <c r="C35" s="480"/>
      <c r="D35" s="385" t="s">
        <v>537</v>
      </c>
      <c r="E35" s="392">
        <f>H18+I30</f>
        <v>58503233.900836185</v>
      </c>
      <c r="F35" s="393"/>
      <c r="G35" s="805" t="s">
        <v>350</v>
      </c>
      <c r="H35" s="389">
        <f>((E35*((459.67+60))*12.73))/((459.67+93.7)*13.28)</f>
        <v>52665018.037165001</v>
      </c>
      <c r="I35" s="561" t="s">
        <v>357</v>
      </c>
      <c r="J35" s="395"/>
      <c r="K35" s="395"/>
      <c r="L35" s="805"/>
      <c r="M35" s="266"/>
      <c r="N35" s="459"/>
      <c r="O35" s="51"/>
      <c r="S35" s="451"/>
    </row>
    <row r="36" spans="1:19" ht="17.149999999999999" customHeight="1">
      <c r="A36" s="587"/>
      <c r="B36" s="458"/>
      <c r="C36" s="480"/>
      <c r="D36" s="385" t="s">
        <v>363</v>
      </c>
      <c r="E36" s="392" t="s">
        <v>362</v>
      </c>
      <c r="F36" s="393"/>
      <c r="G36" s="395"/>
      <c r="H36" s="392"/>
      <c r="I36" s="805"/>
      <c r="J36" s="395"/>
      <c r="K36" s="395"/>
      <c r="L36" s="805"/>
      <c r="M36" s="266"/>
      <c r="N36" s="459"/>
      <c r="O36" s="51"/>
      <c r="S36" s="451"/>
    </row>
    <row r="37" spans="1:19" ht="17.149999999999999" customHeight="1">
      <c r="A37" s="587"/>
      <c r="B37" s="458"/>
      <c r="C37" s="480"/>
      <c r="D37" s="385" t="s">
        <v>364</v>
      </c>
      <c r="E37" s="392" t="s">
        <v>365</v>
      </c>
      <c r="F37" s="393" t="s">
        <v>366</v>
      </c>
      <c r="G37" s="395"/>
      <c r="H37" s="392"/>
      <c r="I37" s="805"/>
      <c r="J37" s="395"/>
      <c r="K37" s="395"/>
      <c r="L37" s="805"/>
      <c r="M37" s="266"/>
      <c r="N37" s="459"/>
      <c r="O37" s="51"/>
      <c r="S37" s="451"/>
    </row>
    <row r="38" spans="1:19" ht="17.149999999999999" customHeight="1">
      <c r="A38" s="587"/>
      <c r="B38" s="458"/>
      <c r="C38" s="480"/>
      <c r="D38" s="385" t="s">
        <v>367</v>
      </c>
      <c r="E38" s="392">
        <v>13.28</v>
      </c>
      <c r="F38" s="393"/>
      <c r="G38" s="395"/>
      <c r="H38" s="392"/>
      <c r="I38" s="805"/>
      <c r="J38" s="395"/>
      <c r="K38" s="395"/>
      <c r="L38" s="805"/>
      <c r="M38" s="266"/>
      <c r="N38" s="459"/>
      <c r="O38" s="51"/>
      <c r="S38" s="451"/>
    </row>
    <row r="39" spans="1:19" ht="17.149999999999999" customHeight="1">
      <c r="A39" s="587"/>
      <c r="B39" s="458"/>
      <c r="C39" s="480"/>
      <c r="D39" s="385" t="s">
        <v>368</v>
      </c>
      <c r="E39" s="805">
        <v>12.73</v>
      </c>
      <c r="F39" s="393" t="s">
        <v>366</v>
      </c>
      <c r="G39" s="395"/>
      <c r="H39" s="392"/>
      <c r="I39" s="805"/>
      <c r="J39" s="395"/>
      <c r="K39" s="395"/>
      <c r="L39" s="805"/>
      <c r="M39" s="266"/>
      <c r="N39" s="459"/>
      <c r="O39" s="51"/>
      <c r="S39" s="451"/>
    </row>
    <row r="40" spans="1:19" ht="17.149999999999999" customHeight="1">
      <c r="A40" s="587"/>
      <c r="B40" s="458"/>
      <c r="C40" s="480"/>
      <c r="D40" s="395"/>
      <c r="E40" s="805"/>
      <c r="F40" s="393"/>
      <c r="G40" s="395"/>
      <c r="H40" s="805"/>
      <c r="I40" s="805"/>
      <c r="J40" s="395"/>
      <c r="K40" s="395"/>
      <c r="L40" s="805"/>
      <c r="M40" s="266"/>
      <c r="N40" s="459"/>
      <c r="O40" s="51"/>
      <c r="S40" s="451"/>
    </row>
    <row r="41" spans="1:19" ht="17.149999999999999" customHeight="1">
      <c r="A41" s="587"/>
      <c r="B41" s="458"/>
      <c r="C41" s="480" t="s">
        <v>369</v>
      </c>
      <c r="D41" s="395" t="s">
        <v>538</v>
      </c>
      <c r="E41" s="395"/>
      <c r="F41" s="393"/>
      <c r="G41" s="395"/>
      <c r="H41" s="805"/>
      <c r="I41" s="805"/>
      <c r="J41" s="395"/>
      <c r="K41" s="395"/>
      <c r="L41" s="805"/>
      <c r="M41" s="266"/>
      <c r="N41" s="459"/>
      <c r="O41" s="51"/>
      <c r="S41" s="451"/>
    </row>
    <row r="42" spans="1:19" ht="17.149999999999999" customHeight="1">
      <c r="A42" s="587"/>
      <c r="B42" s="458"/>
      <c r="C42" s="480"/>
      <c r="D42" s="385" t="s">
        <v>539</v>
      </c>
      <c r="E42" s="392">
        <f>H34</f>
        <v>293853.93673476897</v>
      </c>
      <c r="F42" s="393"/>
      <c r="G42" s="395"/>
      <c r="H42" s="805"/>
      <c r="I42" s="805"/>
      <c r="J42" s="395"/>
      <c r="K42" s="395"/>
      <c r="L42" s="805"/>
      <c r="M42" s="266"/>
      <c r="N42" s="459"/>
      <c r="O42" s="51"/>
      <c r="S42" s="451"/>
    </row>
    <row r="43" spans="1:19" ht="17.149999999999999" customHeight="1">
      <c r="A43" s="587"/>
      <c r="B43" s="458"/>
      <c r="C43" s="480"/>
      <c r="D43" s="385" t="s">
        <v>540</v>
      </c>
      <c r="E43" s="396">
        <f>H35</f>
        <v>52665018.037165001</v>
      </c>
      <c r="F43" s="393"/>
      <c r="G43" s="395"/>
      <c r="H43" s="805"/>
      <c r="I43" s="805"/>
      <c r="J43" s="395"/>
      <c r="K43" s="395"/>
      <c r="L43" s="805"/>
      <c r="M43" s="266"/>
      <c r="N43" s="459"/>
      <c r="O43" s="51"/>
      <c r="S43" s="451"/>
    </row>
    <row r="44" spans="1:19" ht="17.149999999999999" customHeight="1">
      <c r="A44" s="587"/>
      <c r="B44" s="458"/>
      <c r="C44" s="480"/>
      <c r="D44" s="385" t="s">
        <v>541</v>
      </c>
      <c r="E44" s="419">
        <v>1.9199999999999998E-2</v>
      </c>
      <c r="F44" s="393" t="s">
        <v>370</v>
      </c>
      <c r="G44" s="805" t="s">
        <v>350</v>
      </c>
      <c r="H44" s="805">
        <f>E42*E44*10^-3</f>
        <v>5.6419955853075638</v>
      </c>
      <c r="I44" s="805" t="s">
        <v>375</v>
      </c>
      <c r="J44" s="395"/>
      <c r="K44" s="395"/>
      <c r="L44" s="805"/>
      <c r="M44" s="266"/>
      <c r="N44" s="459"/>
      <c r="O44" s="51"/>
      <c r="S44" s="451"/>
    </row>
    <row r="45" spans="1:19" ht="17.149999999999999" customHeight="1">
      <c r="A45" s="587"/>
      <c r="B45" s="458"/>
      <c r="C45" s="480"/>
      <c r="D45" s="385" t="s">
        <v>542</v>
      </c>
      <c r="E45" s="419">
        <v>5.2600000000000001E-2</v>
      </c>
      <c r="F45" s="393" t="s">
        <v>370</v>
      </c>
      <c r="G45" s="805" t="s">
        <v>350</v>
      </c>
      <c r="H45" s="805">
        <f>E43*E45*10^-3</f>
        <v>2770.1799487548792</v>
      </c>
      <c r="I45" s="805" t="s">
        <v>375</v>
      </c>
      <c r="J45" s="395"/>
      <c r="K45" s="395"/>
      <c r="L45" s="805"/>
      <c r="M45" s="266"/>
      <c r="N45" s="459"/>
      <c r="O45" s="51"/>
      <c r="S45" s="451"/>
    </row>
    <row r="46" spans="1:19" ht="17.149999999999999" customHeight="1">
      <c r="A46" s="587"/>
      <c r="B46" s="458"/>
      <c r="C46" s="480"/>
      <c r="D46" s="395"/>
      <c r="E46" s="395"/>
      <c r="F46" s="393"/>
      <c r="G46" s="395"/>
      <c r="H46" s="805"/>
      <c r="I46" s="805"/>
      <c r="J46" s="395"/>
      <c r="K46" s="395"/>
      <c r="L46" s="805"/>
      <c r="M46" s="266"/>
      <c r="N46" s="459"/>
      <c r="O46" s="51"/>
      <c r="S46" s="451"/>
    </row>
    <row r="47" spans="1:19" ht="17.149999999999999" customHeight="1">
      <c r="A47" s="587"/>
      <c r="B47" s="458"/>
      <c r="C47" s="480" t="s">
        <v>371</v>
      </c>
      <c r="D47" s="395" t="s">
        <v>543</v>
      </c>
      <c r="E47" s="395"/>
      <c r="F47" s="393"/>
      <c r="G47" s="805" t="s">
        <v>376</v>
      </c>
      <c r="H47" s="805" t="s">
        <v>544</v>
      </c>
      <c r="I47" s="805"/>
      <c r="J47" s="395"/>
      <c r="K47" s="395"/>
      <c r="L47" s="805"/>
      <c r="M47" s="266"/>
      <c r="N47" s="459"/>
      <c r="O47" s="51"/>
      <c r="S47" s="451"/>
    </row>
    <row r="48" spans="1:19" ht="17.149999999999999" customHeight="1">
      <c r="A48" s="587"/>
      <c r="B48" s="458"/>
      <c r="C48" s="480"/>
      <c r="D48" s="385" t="s">
        <v>374</v>
      </c>
      <c r="E48" s="805">
        <f>H45</f>
        <v>2770.1799487548792</v>
      </c>
      <c r="F48" s="419" t="s">
        <v>350</v>
      </c>
      <c r="G48" s="805">
        <f>E48*1.102311</f>
        <v>3053.5998294919395</v>
      </c>
      <c r="H48" s="805">
        <f>G48</f>
        <v>3053.5998294919395</v>
      </c>
      <c r="I48" s="805"/>
      <c r="J48" s="395"/>
      <c r="K48" s="395"/>
      <c r="L48" s="805"/>
      <c r="M48" s="266"/>
      <c r="N48" s="459"/>
      <c r="O48" s="51"/>
      <c r="S48" s="451"/>
    </row>
    <row r="49" spans="1:19" ht="17.149999999999999" customHeight="1">
      <c r="A49" s="587"/>
      <c r="B49" s="458"/>
      <c r="C49" s="480"/>
      <c r="D49" s="385" t="s">
        <v>373</v>
      </c>
      <c r="E49" s="805">
        <f>H44</f>
        <v>5.6419955853075638</v>
      </c>
      <c r="F49" s="419" t="s">
        <v>350</v>
      </c>
      <c r="G49" s="805">
        <f>E49*1.102311</f>
        <v>6.219233795635966</v>
      </c>
      <c r="H49" s="805">
        <f>G49*E50</f>
        <v>155.48084489089916</v>
      </c>
      <c r="I49" s="805"/>
      <c r="J49" s="395"/>
      <c r="K49" s="395"/>
      <c r="L49" s="805"/>
      <c r="M49" s="266"/>
      <c r="N49" s="459"/>
      <c r="O49" s="51"/>
      <c r="S49" s="451"/>
    </row>
    <row r="50" spans="1:19" ht="17.149999999999999" customHeight="1">
      <c r="A50" s="587"/>
      <c r="B50" s="458"/>
      <c r="C50" s="480"/>
      <c r="D50" s="385" t="s">
        <v>372</v>
      </c>
      <c r="E50" s="420">
        <v>25</v>
      </c>
      <c r="F50" s="393"/>
      <c r="G50" s="386"/>
      <c r="H50" s="386">
        <f>SUM(H48:H49)</f>
        <v>3209.0806743828389</v>
      </c>
      <c r="I50" s="805"/>
      <c r="J50" s="395"/>
      <c r="K50" s="395"/>
      <c r="L50" s="805"/>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
      <c r="A54" s="587"/>
      <c r="B54" s="1573"/>
      <c r="C54" s="1573"/>
      <c r="D54" s="1573"/>
      <c r="E54" s="1573"/>
      <c r="F54" s="1573"/>
      <c r="G54" s="1573"/>
      <c r="H54" s="1573"/>
      <c r="I54" s="1573"/>
      <c r="J54" s="1573"/>
      <c r="K54" s="1573"/>
      <c r="L54" s="1573"/>
      <c r="M54" s="1573"/>
      <c r="N54" s="1573"/>
      <c r="O54" s="1574"/>
    </row>
    <row r="55" spans="1:19" ht="16" thickBot="1">
      <c r="A55" s="589"/>
      <c r="B55" s="4861"/>
      <c r="C55" s="4861"/>
      <c r="D55" s="4861"/>
      <c r="E55" s="4861"/>
      <c r="F55" s="4861"/>
      <c r="G55" s="4861"/>
      <c r="H55" s="4861"/>
      <c r="I55" s="4861"/>
      <c r="J55" s="4861"/>
      <c r="K55" s="4861"/>
      <c r="L55" s="4861"/>
      <c r="M55" s="4861"/>
      <c r="N55" s="4861"/>
      <c r="O55" s="1578"/>
    </row>
    <row r="58" spans="1:19">
      <c r="D58" s="252"/>
    </row>
    <row r="59" spans="1:19">
      <c r="D59" s="252"/>
      <c r="I59" s="252"/>
      <c r="J59" s="463"/>
    </row>
    <row r="60" spans="1:19" hidden="1">
      <c r="K60" s="50">
        <v>3.1354414908626635</v>
      </c>
    </row>
    <row r="61" spans="1:19" hidden="1"/>
  </sheetData>
  <mergeCells count="6">
    <mergeCell ref="B55:N55"/>
    <mergeCell ref="B2:N2"/>
    <mergeCell ref="B3:N3"/>
    <mergeCell ref="B4:N4"/>
    <mergeCell ref="A6:O6"/>
    <mergeCell ref="D33:E33"/>
  </mergeCells>
  <pageMargins left="0.25" right="0.25" top="0.75" bottom="0.75" header="0.3" footer="0.3"/>
  <pageSetup scale="53" fitToHeight="0" orientation="portrait" r:id="rId1"/>
  <headerFooter alignWithMargins="0">
    <oddFooter>&amp;CCalculations: Page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08">
    <tabColor theme="3" tint="-0.249977111117893"/>
    <pageSetUpPr fitToPage="1"/>
  </sheetPr>
  <dimension ref="A1:S60"/>
  <sheetViews>
    <sheetView view="pageBreakPreview" zoomScale="70" zoomScaleNormal="70" zoomScaleSheetLayoutView="70" zoomScalePageLayoutView="60" workbookViewId="0">
      <selection activeCell="E19" sqref="E19:R19"/>
    </sheetView>
  </sheetViews>
  <sheetFormatPr defaultColWidth="8.54296875" defaultRowHeight="12.5"/>
  <cols>
    <col min="1" max="1" width="4.54296875" style="50" customWidth="1"/>
    <col min="2" max="2" width="3.453125" style="50" customWidth="1"/>
    <col min="3" max="4" width="11.54296875" style="50" customWidth="1"/>
    <col min="5" max="5" width="22" style="50" customWidth="1"/>
    <col min="6" max="6" width="13.54296875" style="50" customWidth="1"/>
    <col min="7" max="7" width="13.36328125" style="50" customWidth="1"/>
    <col min="8" max="8" width="18.6328125" style="50" customWidth="1"/>
    <col min="9" max="9" width="18.36328125" style="50" customWidth="1"/>
    <col min="10" max="10" width="11.54296875" style="50" customWidth="1"/>
    <col min="11" max="11" width="18.453125" style="50" customWidth="1"/>
    <col min="12" max="12" width="17.453125" style="50" customWidth="1"/>
    <col min="13" max="13" width="11.54296875" style="50" customWidth="1"/>
    <col min="14" max="14" width="4.36328125" style="50" customWidth="1"/>
    <col min="15" max="15" width="4.6328125" style="50" customWidth="1"/>
    <col min="16" max="16384" width="8.54296875" style="50"/>
  </cols>
  <sheetData>
    <row r="1" spans="1:15" ht="19.5" customHeight="1" thickBot="1">
      <c r="A1" s="584"/>
      <c r="B1" s="585"/>
      <c r="C1" s="585"/>
      <c r="D1" s="585"/>
      <c r="E1" s="585"/>
      <c r="F1" s="585"/>
      <c r="G1" s="585"/>
      <c r="H1" s="585"/>
      <c r="I1" s="585"/>
      <c r="J1" s="585"/>
      <c r="K1" s="585"/>
      <c r="L1" s="585"/>
      <c r="M1" s="585"/>
      <c r="N1" s="585"/>
      <c r="O1" s="586"/>
    </row>
    <row r="2" spans="1:15" ht="30" customHeight="1">
      <c r="A2" s="587"/>
      <c r="B2" s="4614" t="str">
        <f>'Summary-Co'!B3</f>
        <v>XTO ENERGY INC.</v>
      </c>
      <c r="C2" s="4615"/>
      <c r="D2" s="4615"/>
      <c r="E2" s="4615"/>
      <c r="F2" s="4615"/>
      <c r="G2" s="4615"/>
      <c r="H2" s="4615"/>
      <c r="I2" s="4615"/>
      <c r="J2" s="4615"/>
      <c r="K2" s="4615"/>
      <c r="L2" s="4615"/>
      <c r="M2" s="4615"/>
      <c r="N2" s="4616"/>
      <c r="O2" s="588"/>
    </row>
    <row r="3" spans="1:15" ht="30" customHeight="1">
      <c r="A3" s="587"/>
      <c r="B3" s="4617" t="str">
        <f>'Summary-Co'!B4:T4</f>
        <v>HUSKY CDP</v>
      </c>
      <c r="C3" s="4618"/>
      <c r="D3" s="4618"/>
      <c r="E3" s="4618"/>
      <c r="F3" s="4618"/>
      <c r="G3" s="4618"/>
      <c r="H3" s="4618"/>
      <c r="I3" s="4618"/>
      <c r="J3" s="4618"/>
      <c r="K3" s="4618"/>
      <c r="L3" s="4618"/>
      <c r="M3" s="4618"/>
      <c r="N3" s="4619"/>
      <c r="O3" s="588"/>
    </row>
    <row r="4" spans="1:15" ht="30" customHeight="1" thickBot="1">
      <c r="A4" s="587"/>
      <c r="B4" s="4862" t="s">
        <v>1284</v>
      </c>
      <c r="C4" s="4863"/>
      <c r="D4" s="4863"/>
      <c r="E4" s="4863"/>
      <c r="F4" s="4863"/>
      <c r="G4" s="4863"/>
      <c r="H4" s="4863"/>
      <c r="I4" s="4863"/>
      <c r="J4" s="4863"/>
      <c r="K4" s="4863"/>
      <c r="L4" s="4863"/>
      <c r="M4" s="4863"/>
      <c r="N4" s="4864"/>
      <c r="O4" s="588"/>
    </row>
    <row r="5" spans="1:15" ht="19.5" customHeight="1" thickBot="1">
      <c r="A5" s="589"/>
      <c r="B5" s="541"/>
      <c r="C5" s="541"/>
      <c r="D5" s="541"/>
      <c r="E5" s="541"/>
      <c r="F5" s="541"/>
      <c r="G5" s="541"/>
      <c r="H5" s="541"/>
      <c r="I5" s="541"/>
      <c r="J5" s="541"/>
      <c r="K5" s="541"/>
      <c r="L5" s="541"/>
      <c r="M5" s="541"/>
      <c r="N5" s="541"/>
      <c r="O5" s="543"/>
    </row>
    <row r="6" spans="1:15" ht="27" customHeight="1" thickBot="1">
      <c r="A6" s="4802" t="s">
        <v>1283</v>
      </c>
      <c r="B6" s="4803"/>
      <c r="C6" s="4803"/>
      <c r="D6" s="4803"/>
      <c r="E6" s="4803"/>
      <c r="F6" s="4803"/>
      <c r="G6" s="4803"/>
      <c r="H6" s="4803"/>
      <c r="I6" s="4803"/>
      <c r="J6" s="4803"/>
      <c r="K6" s="4803"/>
      <c r="L6" s="4803"/>
      <c r="M6" s="4803"/>
      <c r="N6" s="4803"/>
      <c r="O6" s="4804"/>
    </row>
    <row r="7" spans="1:15" ht="13.5" customHeight="1">
      <c r="A7" s="591"/>
      <c r="B7" s="592"/>
      <c r="C7" s="592"/>
      <c r="D7" s="592"/>
      <c r="E7" s="592"/>
      <c r="F7" s="592"/>
      <c r="G7" s="592"/>
      <c r="H7" s="592"/>
      <c r="I7" s="592"/>
      <c r="J7" s="592"/>
      <c r="K7" s="592"/>
      <c r="L7" s="592"/>
      <c r="M7" s="592"/>
      <c r="N7" s="592"/>
      <c r="O7" s="593"/>
    </row>
    <row r="8" spans="1:15" ht="13.5" customHeight="1" thickBot="1">
      <c r="A8" s="587"/>
      <c r="B8" s="657"/>
      <c r="C8" s="657"/>
      <c r="D8" s="657"/>
      <c r="E8" s="657"/>
      <c r="F8" s="657"/>
      <c r="G8" s="657"/>
      <c r="H8" s="657"/>
      <c r="I8" s="657"/>
      <c r="J8" s="657"/>
      <c r="K8" s="657"/>
      <c r="L8" s="657"/>
      <c r="M8" s="657"/>
      <c r="N8" s="657"/>
      <c r="O8" s="51"/>
    </row>
    <row r="9" spans="1:15" ht="17.149999999999999" customHeight="1">
      <c r="A9" s="587"/>
      <c r="B9" s="437"/>
      <c r="C9" s="438"/>
      <c r="D9" s="438"/>
      <c r="E9" s="438"/>
      <c r="F9" s="438"/>
      <c r="G9" s="438"/>
      <c r="H9" s="438"/>
      <c r="I9" s="438"/>
      <c r="J9" s="438"/>
      <c r="K9" s="438"/>
      <c r="L9" s="438"/>
      <c r="M9" s="438"/>
      <c r="N9" s="442"/>
      <c r="O9" s="51"/>
    </row>
    <row r="10" spans="1:15" ht="17.149999999999999" customHeight="1">
      <c r="A10" s="587"/>
      <c r="B10" s="440"/>
      <c r="C10" s="464"/>
      <c r="D10" s="465"/>
      <c r="E10" s="465"/>
      <c r="F10" s="465"/>
      <c r="G10" s="465"/>
      <c r="H10" s="465"/>
      <c r="I10" s="465"/>
      <c r="J10" s="465"/>
      <c r="K10" s="466"/>
      <c r="L10" s="466"/>
      <c r="M10" s="452"/>
      <c r="N10" s="417"/>
      <c r="O10" s="51"/>
    </row>
    <row r="11" spans="1:15" ht="17.149999999999999" customHeight="1" thickBot="1">
      <c r="A11" s="587"/>
      <c r="B11" s="440"/>
      <c r="C11" s="467" t="s">
        <v>353</v>
      </c>
      <c r="D11" s="468" t="s">
        <v>524</v>
      </c>
      <c r="E11" s="421"/>
      <c r="F11" s="421"/>
      <c r="G11" s="421" t="s">
        <v>350</v>
      </c>
      <c r="H11" s="469">
        <f>E12*E13*((1-E14)*E15+E16)</f>
        <v>36397.607195022611</v>
      </c>
      <c r="I11" s="470" t="s">
        <v>357</v>
      </c>
      <c r="J11" s="421"/>
      <c r="K11" s="471" t="s">
        <v>378</v>
      </c>
      <c r="L11" s="471" t="s">
        <v>379</v>
      </c>
      <c r="M11" s="453"/>
      <c r="N11" s="417"/>
      <c r="O11" s="51"/>
    </row>
    <row r="12" spans="1:15" ht="17.149999999999999" customHeight="1">
      <c r="A12" s="587"/>
      <c r="B12" s="454"/>
      <c r="C12" s="472"/>
      <c r="D12" s="473" t="s">
        <v>354</v>
      </c>
      <c r="E12" s="474">
        <f>L19</f>
        <v>2014977388.5405729</v>
      </c>
      <c r="F12" s="475"/>
      <c r="G12" s="475"/>
      <c r="H12" s="475"/>
      <c r="I12" s="475"/>
      <c r="J12" s="475"/>
      <c r="K12" s="476"/>
      <c r="L12" s="477"/>
      <c r="M12" s="455"/>
      <c r="N12" s="456"/>
      <c r="O12" s="51"/>
    </row>
    <row r="13" spans="1:15" ht="17.149999999999999" customHeight="1">
      <c r="A13" s="587"/>
      <c r="B13" s="454"/>
      <c r="C13" s="472"/>
      <c r="D13" s="473" t="s">
        <v>525</v>
      </c>
      <c r="E13" s="815">
        <f>'Amine PStreams'!Y10/100</f>
        <v>1.80635313339099E-3</v>
      </c>
      <c r="F13" s="478"/>
      <c r="G13" s="478"/>
      <c r="H13" s="478"/>
      <c r="I13" s="478"/>
      <c r="J13" s="478"/>
      <c r="K13" s="479" t="s">
        <v>912</v>
      </c>
      <c r="L13" s="479">
        <f>'TO Ann (TO1-TO3)'!E37</f>
        <v>2014977388.5405729</v>
      </c>
      <c r="M13" s="457"/>
      <c r="N13" s="456"/>
      <c r="O13" s="51"/>
    </row>
    <row r="14" spans="1:15" ht="17.149999999999999" customHeight="1">
      <c r="A14" s="587"/>
      <c r="B14" s="458"/>
      <c r="C14" s="480"/>
      <c r="D14" s="385" t="s">
        <v>355</v>
      </c>
      <c r="E14" s="386">
        <f>'TO GHG-Flash '!E14</f>
        <v>0.99</v>
      </c>
      <c r="F14" s="1311"/>
      <c r="G14" s="1311"/>
      <c r="H14" s="1311"/>
      <c r="I14" s="1311"/>
      <c r="J14" s="1311"/>
      <c r="K14" s="387" t="s">
        <v>1286</v>
      </c>
      <c r="L14" s="387"/>
      <c r="M14" s="266"/>
      <c r="N14" s="459"/>
      <c r="O14" s="51"/>
    </row>
    <row r="15" spans="1:15" ht="17.149999999999999" customHeight="1">
      <c r="A15" s="587"/>
      <c r="B15" s="458"/>
      <c r="C15" s="480"/>
      <c r="D15" s="385" t="s">
        <v>526</v>
      </c>
      <c r="E15" s="386">
        <v>1</v>
      </c>
      <c r="F15" s="1311"/>
      <c r="G15" s="1311"/>
      <c r="H15" s="1311"/>
      <c r="I15" s="1311"/>
      <c r="J15" s="1311"/>
      <c r="K15" s="387"/>
      <c r="L15" s="387"/>
      <c r="M15" s="266"/>
      <c r="N15" s="459"/>
      <c r="O15" s="51"/>
    </row>
    <row r="16" spans="1:15" ht="17.149999999999999" customHeight="1">
      <c r="A16" s="587"/>
      <c r="B16" s="458"/>
      <c r="C16" s="480"/>
      <c r="D16" s="385" t="s">
        <v>527</v>
      </c>
      <c r="E16" s="386">
        <v>0</v>
      </c>
      <c r="F16" s="1311"/>
      <c r="G16" s="1311"/>
      <c r="H16" s="1311"/>
      <c r="I16" s="1311"/>
      <c r="J16" s="1311"/>
      <c r="K16" s="387"/>
      <c r="L16" s="387"/>
      <c r="M16" s="266"/>
      <c r="N16" s="459"/>
      <c r="O16" s="51"/>
    </row>
    <row r="17" spans="1:19" ht="17.149999999999999" customHeight="1">
      <c r="A17" s="587"/>
      <c r="B17" s="458"/>
      <c r="C17" s="480"/>
      <c r="D17" s="385"/>
      <c r="E17" s="386"/>
      <c r="F17" s="1311"/>
      <c r="G17" s="1311"/>
      <c r="H17" s="1311"/>
      <c r="I17" s="1311"/>
      <c r="J17" s="1311"/>
      <c r="K17" s="387"/>
      <c r="L17" s="387"/>
      <c r="M17" s="266"/>
      <c r="N17" s="459"/>
      <c r="O17" s="51"/>
    </row>
    <row r="18" spans="1:19" ht="17.149999999999999" customHeight="1" thickBot="1">
      <c r="A18" s="587"/>
      <c r="B18" s="458"/>
      <c r="C18" s="467" t="s">
        <v>356</v>
      </c>
      <c r="D18" s="388" t="s">
        <v>528</v>
      </c>
      <c r="E18" s="386"/>
      <c r="F18" s="1311"/>
      <c r="G18" s="421" t="s">
        <v>350</v>
      </c>
      <c r="H18" s="389">
        <f>E19*E20</f>
        <v>1876510810.0816011</v>
      </c>
      <c r="I18" s="470" t="s">
        <v>357</v>
      </c>
      <c r="J18" s="1311"/>
      <c r="K18" s="198"/>
      <c r="L18" s="198"/>
      <c r="M18" s="266"/>
      <c r="N18" s="459"/>
      <c r="O18" s="51"/>
    </row>
    <row r="19" spans="1:19" ht="17.149999999999999" customHeight="1">
      <c r="A19" s="587"/>
      <c r="B19" s="458"/>
      <c r="C19" s="480"/>
      <c r="D19" s="473" t="s">
        <v>354</v>
      </c>
      <c r="E19" s="1028">
        <f>E12</f>
        <v>2014977388.5405729</v>
      </c>
      <c r="F19" s="1311"/>
      <c r="G19" s="1311"/>
      <c r="H19" s="1311"/>
      <c r="I19" s="1311"/>
      <c r="J19" s="1311"/>
      <c r="K19" s="390"/>
      <c r="L19" s="390">
        <f>SUM(L12:L18)</f>
        <v>2014977388.5405729</v>
      </c>
      <c r="M19" s="266"/>
      <c r="N19" s="459"/>
      <c r="O19" s="51"/>
    </row>
    <row r="20" spans="1:19" ht="17.149999999999999" customHeight="1">
      <c r="A20" s="587"/>
      <c r="B20" s="458"/>
      <c r="C20" s="480"/>
      <c r="D20" s="473" t="s">
        <v>529</v>
      </c>
      <c r="E20" s="816">
        <f>'Amine PStreams'!Y9/100</f>
        <v>0.93128132392628904</v>
      </c>
      <c r="F20" s="1311"/>
      <c r="G20" s="1311"/>
      <c r="H20" s="1311"/>
      <c r="I20" s="1311"/>
      <c r="J20" s="1311"/>
      <c r="K20" s="1311"/>
      <c r="L20" s="1311"/>
      <c r="M20" s="266"/>
      <c r="N20" s="459"/>
      <c r="O20" s="51"/>
    </row>
    <row r="21" spans="1:19" ht="17.149999999999999" customHeight="1">
      <c r="A21" s="587"/>
      <c r="B21" s="458"/>
      <c r="C21" s="480"/>
      <c r="D21" s="473"/>
      <c r="E21" s="386"/>
      <c r="F21" s="1311"/>
      <c r="G21" s="1311"/>
      <c r="H21" s="1311"/>
      <c r="I21" s="1311"/>
      <c r="J21" s="1311"/>
      <c r="K21" s="1311"/>
      <c r="L21" s="1311"/>
      <c r="M21" s="266"/>
      <c r="N21" s="459"/>
      <c r="O21" s="51"/>
    </row>
    <row r="22" spans="1:19" ht="17.149999999999999" customHeight="1">
      <c r="A22" s="587"/>
      <c r="B22" s="458"/>
      <c r="C22" s="467" t="s">
        <v>358</v>
      </c>
      <c r="D22" s="388" t="s">
        <v>530</v>
      </c>
      <c r="E22" s="386"/>
      <c r="F22" s="1311"/>
      <c r="G22" s="1311"/>
      <c r="H22" s="1311"/>
      <c r="I22" s="1311"/>
      <c r="J22" s="1311"/>
      <c r="K22" s="1311"/>
      <c r="L22" s="1311"/>
      <c r="M22" s="266"/>
      <c r="N22" s="459"/>
      <c r="O22" s="51"/>
    </row>
    <row r="23" spans="1:19" ht="17.149999999999999" customHeight="1">
      <c r="A23" s="587"/>
      <c r="B23" s="458"/>
      <c r="C23" s="480"/>
      <c r="D23" s="385" t="s">
        <v>355</v>
      </c>
      <c r="E23" s="386">
        <f>E14</f>
        <v>0.99</v>
      </c>
      <c r="F23" s="1311"/>
      <c r="G23" s="1311"/>
      <c r="H23" s="1311"/>
      <c r="I23" s="1311"/>
      <c r="J23" s="1311"/>
      <c r="K23" s="1311"/>
      <c r="L23" s="1311"/>
      <c r="M23" s="266"/>
      <c r="N23" s="459"/>
      <c r="O23" s="51"/>
    </row>
    <row r="24" spans="1:19" ht="17.149999999999999" customHeight="1">
      <c r="A24" s="587"/>
      <c r="B24" s="458"/>
      <c r="C24" s="480"/>
      <c r="D24" s="385" t="s">
        <v>531</v>
      </c>
      <c r="E24" s="1028">
        <f>E19</f>
        <v>2014977388.5405729</v>
      </c>
      <c r="F24" s="1311"/>
      <c r="G24" s="386" t="s">
        <v>361</v>
      </c>
      <c r="H24" s="1311"/>
      <c r="I24" s="386" t="s">
        <v>532</v>
      </c>
      <c r="J24" s="1311"/>
      <c r="K24" s="1311"/>
      <c r="L24" s="1311"/>
      <c r="M24" s="266"/>
      <c r="N24" s="459"/>
      <c r="O24" s="51"/>
    </row>
    <row r="25" spans="1:19" ht="17.149999999999999" customHeight="1">
      <c r="A25" s="587"/>
      <c r="B25" s="458"/>
      <c r="C25" s="480"/>
      <c r="D25" s="385" t="s">
        <v>533</v>
      </c>
      <c r="E25" s="386" t="s">
        <v>6</v>
      </c>
      <c r="F25" s="419">
        <f>E13</f>
        <v>1.80635313339099E-3</v>
      </c>
      <c r="G25" s="420">
        <v>1</v>
      </c>
      <c r="H25" s="1311"/>
      <c r="I25" s="392">
        <f>$E$23*$E$24*F25*G25*$E$30</f>
        <v>3603363.1123072356</v>
      </c>
      <c r="J25" s="1311"/>
      <c r="K25" s="1311"/>
      <c r="L25" s="1311"/>
      <c r="M25" s="266"/>
      <c r="N25" s="459"/>
      <c r="O25" s="51"/>
    </row>
    <row r="26" spans="1:19" ht="17.149999999999999" customHeight="1">
      <c r="A26" s="587"/>
      <c r="B26" s="458"/>
      <c r="C26" s="480"/>
      <c r="D26" s="385"/>
      <c r="E26" s="386" t="s">
        <v>7</v>
      </c>
      <c r="F26" s="419">
        <f>'Amine PStreams'!Y11/100</f>
        <v>6.0380302292415105E-4</v>
      </c>
      <c r="G26" s="420">
        <v>2</v>
      </c>
      <c r="H26" s="1311"/>
      <c r="I26" s="392">
        <f>$E$23*$E$24*F26*G26*$E$30</f>
        <v>2408965.8878827267</v>
      </c>
      <c r="J26" s="1311"/>
      <c r="K26" s="1311"/>
      <c r="L26" s="1311"/>
      <c r="M26" s="266"/>
      <c r="N26" s="459"/>
      <c r="O26" s="51"/>
    </row>
    <row r="27" spans="1:19" ht="17.149999999999999" customHeight="1">
      <c r="A27" s="587"/>
      <c r="B27" s="458"/>
      <c r="C27" s="480"/>
      <c r="D27" s="385"/>
      <c r="E27" s="386" t="s">
        <v>8</v>
      </c>
      <c r="F27" s="419">
        <f>'Amine PStreams'!Y12/100</f>
        <v>1.5383178133377901E-4</v>
      </c>
      <c r="G27" s="420">
        <v>3</v>
      </c>
      <c r="H27" s="1311"/>
      <c r="I27" s="392">
        <f>$E$23*$E$24*F27*G27*$E$30</f>
        <v>920603.65624865284</v>
      </c>
      <c r="J27" s="1311"/>
      <c r="K27" s="1311"/>
      <c r="L27" s="1311"/>
      <c r="M27" s="266"/>
      <c r="N27" s="459"/>
      <c r="O27" s="51"/>
    </row>
    <row r="28" spans="1:19" ht="17.149999999999999" customHeight="1">
      <c r="A28" s="587"/>
      <c r="B28" s="458"/>
      <c r="C28" s="480"/>
      <c r="D28" s="385"/>
      <c r="E28" s="386" t="s">
        <v>359</v>
      </c>
      <c r="F28" s="419">
        <f>('Amine PStreams'!Y13+'Amine PStreams'!Y14)/100</f>
        <v>4.7864491204199976E-5</v>
      </c>
      <c r="G28" s="420">
        <v>4</v>
      </c>
      <c r="H28" s="1311"/>
      <c r="I28" s="392">
        <f>$E$23*$E$24*F28*G28*$E$30</f>
        <v>381925.63526222989</v>
      </c>
      <c r="J28" s="1311"/>
      <c r="K28" s="1311"/>
      <c r="L28" s="1311"/>
      <c r="M28" s="266"/>
      <c r="N28" s="459"/>
      <c r="O28" s="51"/>
    </row>
    <row r="29" spans="1:19" ht="17.149999999999999" customHeight="1">
      <c r="A29" s="587"/>
      <c r="B29" s="458"/>
      <c r="C29" s="480"/>
      <c r="D29" s="385"/>
      <c r="E29" s="386" t="s">
        <v>360</v>
      </c>
      <c r="F29" s="419">
        <f>('Amine PStreams'!Y15+'Amine PStreams'!Y16+'Amine PStreams'!Y17)/100</f>
        <v>7.3833382589452894E-6</v>
      </c>
      <c r="G29" s="420">
        <v>5</v>
      </c>
      <c r="H29" s="1311"/>
      <c r="I29" s="392">
        <f>$E$23*$E$24*F29*G29*$E$30</f>
        <v>73642.435236420337</v>
      </c>
      <c r="J29" s="1311"/>
      <c r="K29" s="1311"/>
      <c r="L29" s="1311"/>
      <c r="M29" s="266"/>
      <c r="N29" s="459"/>
      <c r="O29" s="51"/>
    </row>
    <row r="30" spans="1:19" ht="17.149999999999999" customHeight="1">
      <c r="A30" s="587"/>
      <c r="B30" s="458"/>
      <c r="C30" s="480"/>
      <c r="D30" s="385" t="s">
        <v>526</v>
      </c>
      <c r="E30" s="386">
        <v>1</v>
      </c>
      <c r="F30" s="393"/>
      <c r="G30" s="394"/>
      <c r="H30" s="1311"/>
      <c r="I30" s="389">
        <f>SUM(I25:I29)</f>
        <v>7388500.7269372651</v>
      </c>
      <c r="J30" s="561" t="s">
        <v>357</v>
      </c>
      <c r="K30" s="395"/>
      <c r="L30" s="1311"/>
      <c r="M30" s="266"/>
      <c r="N30" s="459"/>
      <c r="O30" s="51"/>
      <c r="S30" s="451"/>
    </row>
    <row r="31" spans="1:19" ht="17.149999999999999" customHeight="1">
      <c r="A31" s="587"/>
      <c r="B31" s="458"/>
      <c r="C31" s="480"/>
      <c r="D31" s="395"/>
      <c r="E31" s="395"/>
      <c r="F31" s="393"/>
      <c r="G31" s="395"/>
      <c r="H31" s="1311"/>
      <c r="I31" s="1311"/>
      <c r="J31" s="395"/>
      <c r="K31" s="395"/>
      <c r="L31" s="1311"/>
      <c r="M31" s="266"/>
      <c r="N31" s="459"/>
      <c r="O31" s="51"/>
      <c r="S31" s="451"/>
    </row>
    <row r="32" spans="1:19" ht="17.149999999999999" customHeight="1">
      <c r="A32" s="587"/>
      <c r="B32" s="458"/>
      <c r="C32" s="480" t="s">
        <v>358</v>
      </c>
      <c r="D32" s="395" t="s">
        <v>534</v>
      </c>
      <c r="E32" s="395"/>
      <c r="F32" s="393"/>
      <c r="G32" s="1311"/>
      <c r="H32" s="389"/>
      <c r="I32" s="561"/>
      <c r="J32" s="395"/>
      <c r="K32" s="395"/>
      <c r="L32" s="1311"/>
      <c r="M32" s="266"/>
      <c r="N32" s="459"/>
      <c r="O32" s="51"/>
      <c r="S32" s="451"/>
    </row>
    <row r="33" spans="1:19" ht="17.149999999999999" customHeight="1">
      <c r="A33" s="587"/>
      <c r="B33" s="458"/>
      <c r="C33" s="480"/>
      <c r="D33" s="4805" t="s">
        <v>535</v>
      </c>
      <c r="E33" s="4805"/>
      <c r="F33" s="393"/>
      <c r="G33" s="395"/>
      <c r="H33" s="392"/>
      <c r="I33" s="1311"/>
      <c r="J33" s="395"/>
      <c r="K33" s="395"/>
      <c r="L33" s="1311"/>
      <c r="M33" s="266"/>
      <c r="N33" s="459"/>
      <c r="O33" s="51"/>
      <c r="S33" s="451"/>
    </row>
    <row r="34" spans="1:19" ht="17.149999999999999" customHeight="1">
      <c r="A34" s="587"/>
      <c r="B34" s="458"/>
      <c r="C34" s="480"/>
      <c r="D34" s="385" t="s">
        <v>536</v>
      </c>
      <c r="E34" s="392">
        <f>H11</f>
        <v>36397.607195022611</v>
      </c>
      <c r="F34" s="393"/>
      <c r="G34" s="1311" t="s">
        <v>350</v>
      </c>
      <c r="H34" s="389">
        <f>((E34*((459.67+60))*12.73))/((459.67+93.7)*13.28)</f>
        <v>32765.379135872256</v>
      </c>
      <c r="I34" s="561" t="s">
        <v>357</v>
      </c>
      <c r="J34" s="561"/>
      <c r="K34" s="395"/>
      <c r="L34" s="1312"/>
      <c r="M34" s="266"/>
      <c r="N34" s="459"/>
      <c r="O34" s="51"/>
      <c r="S34" s="451"/>
    </row>
    <row r="35" spans="1:19" ht="17.149999999999999" customHeight="1">
      <c r="A35" s="587"/>
      <c r="B35" s="458"/>
      <c r="C35" s="480"/>
      <c r="D35" s="385" t="s">
        <v>537</v>
      </c>
      <c r="E35" s="392">
        <f>H18+I30</f>
        <v>1883899310.8085384</v>
      </c>
      <c r="F35" s="393"/>
      <c r="G35" s="1311" t="s">
        <v>350</v>
      </c>
      <c r="H35" s="389">
        <f>((E35*((459.67+60))*12.73))/((459.67+93.7)*13.28)</f>
        <v>1695899261.77596</v>
      </c>
      <c r="I35" s="561" t="s">
        <v>357</v>
      </c>
      <c r="J35" s="395"/>
      <c r="K35" s="395"/>
      <c r="L35" s="1312"/>
      <c r="M35" s="266"/>
      <c r="N35" s="459"/>
      <c r="O35" s="51"/>
      <c r="S35" s="451"/>
    </row>
    <row r="36" spans="1:19" ht="17.149999999999999" customHeight="1">
      <c r="A36" s="587"/>
      <c r="B36" s="458"/>
      <c r="C36" s="480"/>
      <c r="D36" s="385" t="s">
        <v>363</v>
      </c>
      <c r="E36" s="392" t="s">
        <v>362</v>
      </c>
      <c r="F36" s="393"/>
      <c r="G36" s="395"/>
      <c r="H36" s="392"/>
      <c r="I36" s="1311"/>
      <c r="J36" s="395"/>
      <c r="K36" s="395"/>
      <c r="L36" s="1311"/>
      <c r="M36" s="266"/>
      <c r="N36" s="459"/>
      <c r="O36" s="51"/>
      <c r="S36" s="451"/>
    </row>
    <row r="37" spans="1:19" ht="17.149999999999999" customHeight="1">
      <c r="A37" s="587"/>
      <c r="B37" s="458"/>
      <c r="C37" s="480"/>
      <c r="D37" s="385" t="s">
        <v>364</v>
      </c>
      <c r="E37" s="392" t="s">
        <v>365</v>
      </c>
      <c r="F37" s="393" t="s">
        <v>366</v>
      </c>
      <c r="G37" s="395"/>
      <c r="H37" s="392"/>
      <c r="I37" s="1311"/>
      <c r="J37" s="395"/>
      <c r="K37" s="395"/>
      <c r="L37" s="1311"/>
      <c r="M37" s="266"/>
      <c r="N37" s="459"/>
      <c r="O37" s="51"/>
      <c r="S37" s="451"/>
    </row>
    <row r="38" spans="1:19" ht="17.149999999999999" customHeight="1">
      <c r="A38" s="587"/>
      <c r="B38" s="458"/>
      <c r="C38" s="480"/>
      <c r="D38" s="385" t="s">
        <v>367</v>
      </c>
      <c r="E38" s="392">
        <v>13.28</v>
      </c>
      <c r="F38" s="393"/>
      <c r="G38" s="395"/>
      <c r="H38" s="392"/>
      <c r="I38" s="1311"/>
      <c r="J38" s="395"/>
      <c r="K38" s="395"/>
      <c r="L38" s="1311"/>
      <c r="M38" s="266"/>
      <c r="N38" s="459"/>
      <c r="O38" s="51"/>
      <c r="S38" s="451"/>
    </row>
    <row r="39" spans="1:19" ht="17.149999999999999" customHeight="1">
      <c r="A39" s="587"/>
      <c r="B39" s="458"/>
      <c r="C39" s="480"/>
      <c r="D39" s="385" t="s">
        <v>368</v>
      </c>
      <c r="E39" s="1311">
        <v>12.73</v>
      </c>
      <c r="F39" s="393" t="s">
        <v>366</v>
      </c>
      <c r="G39" s="395"/>
      <c r="H39" s="392"/>
      <c r="I39" s="1311"/>
      <c r="J39" s="395"/>
      <c r="K39" s="395"/>
      <c r="L39" s="1311"/>
      <c r="M39" s="266"/>
      <c r="N39" s="459"/>
      <c r="O39" s="51"/>
      <c r="S39" s="451"/>
    </row>
    <row r="40" spans="1:19" ht="17.149999999999999" customHeight="1">
      <c r="A40" s="587"/>
      <c r="B40" s="458"/>
      <c r="C40" s="480"/>
      <c r="D40" s="395"/>
      <c r="E40" s="1311"/>
      <c r="F40" s="393"/>
      <c r="G40" s="395"/>
      <c r="H40" s="1311"/>
      <c r="I40" s="1311"/>
      <c r="J40" s="395"/>
      <c r="K40" s="395"/>
      <c r="L40" s="1311"/>
      <c r="M40" s="266"/>
      <c r="N40" s="459"/>
      <c r="O40" s="51"/>
      <c r="S40" s="451"/>
    </row>
    <row r="41" spans="1:19" ht="17.149999999999999" customHeight="1">
      <c r="A41" s="587"/>
      <c r="B41" s="458"/>
      <c r="C41" s="480" t="s">
        <v>369</v>
      </c>
      <c r="D41" s="395" t="s">
        <v>538</v>
      </c>
      <c r="E41" s="395"/>
      <c r="F41" s="393"/>
      <c r="G41" s="395"/>
      <c r="H41" s="1311"/>
      <c r="I41" s="1311"/>
      <c r="J41" s="395"/>
      <c r="K41" s="395"/>
      <c r="L41" s="1311"/>
      <c r="M41" s="266"/>
      <c r="N41" s="459"/>
      <c r="O41" s="51"/>
      <c r="S41" s="451"/>
    </row>
    <row r="42" spans="1:19" ht="17.149999999999999" customHeight="1">
      <c r="A42" s="587"/>
      <c r="B42" s="458"/>
      <c r="C42" s="480"/>
      <c r="D42" s="385" t="s">
        <v>539</v>
      </c>
      <c r="E42" s="392">
        <f>H34</f>
        <v>32765.379135872256</v>
      </c>
      <c r="F42" s="393"/>
      <c r="G42" s="395"/>
      <c r="H42" s="1311"/>
      <c r="I42" s="1311"/>
      <c r="J42" s="395"/>
      <c r="K42" s="395"/>
      <c r="L42" s="1311"/>
      <c r="M42" s="266"/>
      <c r="N42" s="459"/>
      <c r="O42" s="51"/>
      <c r="S42" s="451"/>
    </row>
    <row r="43" spans="1:19" ht="17.149999999999999" customHeight="1">
      <c r="A43" s="587"/>
      <c r="B43" s="458"/>
      <c r="C43" s="480"/>
      <c r="D43" s="385" t="s">
        <v>540</v>
      </c>
      <c r="E43" s="396">
        <f>H35</f>
        <v>1695899261.77596</v>
      </c>
      <c r="F43" s="393"/>
      <c r="G43" s="395"/>
      <c r="H43" s="1311"/>
      <c r="I43" s="1311"/>
      <c r="J43" s="395"/>
      <c r="K43" s="395"/>
      <c r="L43" s="1311"/>
      <c r="M43" s="266"/>
      <c r="N43" s="459"/>
      <c r="O43" s="51"/>
      <c r="S43" s="451"/>
    </row>
    <row r="44" spans="1:19" ht="17.149999999999999" customHeight="1">
      <c r="A44" s="587"/>
      <c r="B44" s="458"/>
      <c r="C44" s="480"/>
      <c r="D44" s="385" t="s">
        <v>541</v>
      </c>
      <c r="E44" s="419">
        <v>1.9199999999999998E-2</v>
      </c>
      <c r="F44" s="393" t="s">
        <v>370</v>
      </c>
      <c r="G44" s="1311" t="s">
        <v>350</v>
      </c>
      <c r="H44" s="1311">
        <f>E42*E44*10^-3</f>
        <v>0.62909527940874732</v>
      </c>
      <c r="I44" s="1311" t="s">
        <v>375</v>
      </c>
      <c r="J44" s="395"/>
      <c r="K44" s="395"/>
      <c r="L44" s="1311"/>
      <c r="M44" s="266"/>
      <c r="N44" s="459"/>
      <c r="O44" s="51"/>
      <c r="S44" s="451"/>
    </row>
    <row r="45" spans="1:19" ht="17.149999999999999" customHeight="1">
      <c r="A45" s="587"/>
      <c r="B45" s="458"/>
      <c r="C45" s="480"/>
      <c r="D45" s="385" t="s">
        <v>542</v>
      </c>
      <c r="E45" s="419">
        <v>5.2600000000000001E-2</v>
      </c>
      <c r="F45" s="393" t="s">
        <v>370</v>
      </c>
      <c r="G45" s="1311" t="s">
        <v>350</v>
      </c>
      <c r="H45" s="1311">
        <f>E43*E45*10^-3</f>
        <v>89204.301169415485</v>
      </c>
      <c r="I45" s="1311" t="s">
        <v>375</v>
      </c>
      <c r="J45" s="395"/>
      <c r="K45" s="395"/>
      <c r="L45" s="1311"/>
      <c r="M45" s="266"/>
      <c r="N45" s="459"/>
      <c r="O45" s="51"/>
      <c r="S45" s="451"/>
    </row>
    <row r="46" spans="1:19" ht="17.149999999999999" customHeight="1">
      <c r="A46" s="587"/>
      <c r="B46" s="458"/>
      <c r="C46" s="480"/>
      <c r="D46" s="395"/>
      <c r="E46" s="395"/>
      <c r="F46" s="393"/>
      <c r="G46" s="395"/>
      <c r="H46" s="1311"/>
      <c r="I46" s="1311"/>
      <c r="J46" s="395"/>
      <c r="K46" s="395"/>
      <c r="L46" s="1311"/>
      <c r="M46" s="266"/>
      <c r="N46" s="459"/>
      <c r="O46" s="51"/>
      <c r="S46" s="451"/>
    </row>
    <row r="47" spans="1:19" ht="17.149999999999999" customHeight="1">
      <c r="A47" s="587"/>
      <c r="B47" s="458"/>
      <c r="C47" s="480" t="s">
        <v>371</v>
      </c>
      <c r="D47" s="395" t="s">
        <v>543</v>
      </c>
      <c r="E47" s="395"/>
      <c r="F47" s="393"/>
      <c r="G47" s="1311" t="s">
        <v>376</v>
      </c>
      <c r="H47" s="1311" t="s">
        <v>544</v>
      </c>
      <c r="I47" s="1311"/>
      <c r="J47" s="395"/>
      <c r="K47" s="395"/>
      <c r="L47" s="1311"/>
      <c r="M47" s="266"/>
      <c r="N47" s="459"/>
      <c r="O47" s="51"/>
      <c r="S47" s="451"/>
    </row>
    <row r="48" spans="1:19" ht="17.149999999999999" customHeight="1">
      <c r="A48" s="587"/>
      <c r="B48" s="458"/>
      <c r="C48" s="480"/>
      <c r="D48" s="385" t="s">
        <v>374</v>
      </c>
      <c r="E48" s="1311">
        <f>H45</f>
        <v>89204.301169415485</v>
      </c>
      <c r="F48" s="419" t="s">
        <v>350</v>
      </c>
      <c r="G48" s="1311">
        <f>E48*1.102311</f>
        <v>98330.88242635956</v>
      </c>
      <c r="H48" s="1311">
        <f>G48</f>
        <v>98330.88242635956</v>
      </c>
      <c r="I48" s="1311"/>
      <c r="J48" s="395"/>
      <c r="K48" s="395"/>
      <c r="L48" s="1311"/>
      <c r="M48" s="266"/>
      <c r="N48" s="459"/>
      <c r="O48" s="51"/>
      <c r="S48" s="451"/>
    </row>
    <row r="49" spans="1:19" ht="17.149999999999999" customHeight="1">
      <c r="A49" s="587"/>
      <c r="B49" s="458"/>
      <c r="C49" s="480"/>
      <c r="D49" s="385" t="s">
        <v>373</v>
      </c>
      <c r="E49" s="1311">
        <f>H44</f>
        <v>0.62909527940874732</v>
      </c>
      <c r="F49" s="419" t="s">
        <v>350</v>
      </c>
      <c r="G49" s="1311">
        <f>E49*1.102311</f>
        <v>0.69345864654033573</v>
      </c>
      <c r="H49" s="1311">
        <f>G49*E50</f>
        <v>17.336466163508394</v>
      </c>
      <c r="I49" s="1311"/>
      <c r="J49" s="395"/>
      <c r="K49" s="395"/>
      <c r="L49" s="1311"/>
      <c r="M49" s="266"/>
      <c r="N49" s="459"/>
      <c r="O49" s="51"/>
      <c r="S49" s="451"/>
    </row>
    <row r="50" spans="1:19" ht="17.149999999999999" customHeight="1">
      <c r="A50" s="587"/>
      <c r="B50" s="458"/>
      <c r="C50" s="480"/>
      <c r="D50" s="385" t="s">
        <v>372</v>
      </c>
      <c r="E50" s="420">
        <v>25</v>
      </c>
      <c r="F50" s="393"/>
      <c r="G50" s="386"/>
      <c r="H50" s="386">
        <f>SUM(H48:H49)</f>
        <v>98348.218892523073</v>
      </c>
      <c r="I50" s="1311"/>
      <c r="J50" s="395"/>
      <c r="K50" s="395"/>
      <c r="L50" s="1311"/>
      <c r="M50" s="266"/>
      <c r="N50" s="459"/>
      <c r="O50" s="51"/>
      <c r="S50" s="451"/>
    </row>
    <row r="51" spans="1:19" ht="17.149999999999999" customHeight="1">
      <c r="A51" s="587"/>
      <c r="B51" s="458"/>
      <c r="C51" s="481"/>
      <c r="D51" s="386"/>
      <c r="E51" s="386"/>
      <c r="F51" s="391"/>
      <c r="G51" s="386"/>
      <c r="H51" s="386"/>
      <c r="I51" s="386"/>
      <c r="J51" s="386"/>
      <c r="K51" s="386"/>
      <c r="L51" s="386"/>
      <c r="M51" s="460"/>
      <c r="N51" s="459"/>
      <c r="O51" s="51"/>
      <c r="S51" s="252"/>
    </row>
    <row r="52" spans="1:19" ht="17.149999999999999" customHeight="1">
      <c r="A52" s="587"/>
      <c r="B52" s="440"/>
      <c r="C52" s="482"/>
      <c r="D52" s="483"/>
      <c r="E52" s="483"/>
      <c r="F52" s="484"/>
      <c r="G52" s="483"/>
      <c r="H52" s="483"/>
      <c r="I52" s="483"/>
      <c r="J52" s="483"/>
      <c r="K52" s="483"/>
      <c r="L52" s="483"/>
      <c r="M52" s="461"/>
      <c r="N52" s="462"/>
      <c r="O52" s="51"/>
    </row>
    <row r="53" spans="1:19" ht="17.149999999999999" customHeight="1" thickBot="1">
      <c r="A53" s="587"/>
      <c r="B53" s="441"/>
      <c r="C53" s="485"/>
      <c r="D53" s="485"/>
      <c r="E53" s="485"/>
      <c r="F53" s="485"/>
      <c r="G53" s="485"/>
      <c r="H53" s="485"/>
      <c r="I53" s="485"/>
      <c r="J53" s="485"/>
      <c r="K53" s="485"/>
      <c r="L53" s="485"/>
      <c r="M53" s="415"/>
      <c r="N53" s="416"/>
      <c r="O53" s="51"/>
    </row>
    <row r="54" spans="1:19" ht="13">
      <c r="A54" s="587"/>
      <c r="B54" s="1573"/>
      <c r="C54" s="1573"/>
      <c r="D54" s="1573"/>
      <c r="E54" s="1573"/>
      <c r="F54" s="1573"/>
      <c r="G54" s="1573"/>
      <c r="H54" s="1573"/>
      <c r="I54" s="1573"/>
      <c r="J54" s="1573"/>
      <c r="K54" s="1573"/>
      <c r="L54" s="1573"/>
      <c r="M54" s="1573"/>
      <c r="N54" s="1573"/>
      <c r="O54" s="1574"/>
    </row>
    <row r="55" spans="1:19" ht="13.5" thickBot="1">
      <c r="A55" s="1575"/>
      <c r="B55" s="1576"/>
      <c r="C55" s="1576"/>
      <c r="D55" s="1576"/>
      <c r="E55" s="1576"/>
      <c r="F55" s="1576"/>
      <c r="G55" s="1576"/>
      <c r="H55" s="1576"/>
      <c r="I55" s="1576"/>
      <c r="J55" s="1576"/>
      <c r="K55" s="1576"/>
      <c r="L55" s="1576"/>
      <c r="M55" s="1576"/>
      <c r="N55" s="1576"/>
      <c r="O55" s="1577"/>
    </row>
    <row r="57" spans="1:19">
      <c r="D57" s="252"/>
    </row>
    <row r="58" spans="1:19">
      <c r="D58" s="252"/>
      <c r="I58" s="252"/>
      <c r="J58" s="463"/>
    </row>
    <row r="59" spans="1:19" hidden="1">
      <c r="K59" s="50">
        <v>3.1354414908626635</v>
      </c>
    </row>
    <row r="60" spans="1:19" hidden="1"/>
  </sheetData>
  <mergeCells count="5">
    <mergeCell ref="B2:N2"/>
    <mergeCell ref="B3:N3"/>
    <mergeCell ref="B4:N4"/>
    <mergeCell ref="A6:O6"/>
    <mergeCell ref="D33:E33"/>
  </mergeCells>
  <pageMargins left="0.25" right="0.25" top="0.75" bottom="0.75" header="0.3" footer="0.3"/>
  <pageSetup scale="54" fitToHeight="0" orientation="portrait" r:id="rId1"/>
  <headerFooter alignWithMargins="0">
    <oddFooter>&amp;CCalculations: Page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00B050"/>
    <pageSetUpPr fitToPage="1"/>
  </sheetPr>
  <dimension ref="A1:AD29"/>
  <sheetViews>
    <sheetView topLeftCell="A16" workbookViewId="0">
      <selection activeCell="A18" sqref="A18:XFD18"/>
    </sheetView>
  </sheetViews>
  <sheetFormatPr defaultColWidth="9.36328125" defaultRowHeight="13"/>
  <cols>
    <col min="1" max="1" width="2.54296875" style="2740" customWidth="1"/>
    <col min="2" max="2" width="9.6328125" style="2740" customWidth="1"/>
    <col min="3" max="3" width="24.6328125" style="2740" customWidth="1"/>
    <col min="4" max="4" width="8.6328125" style="2740" customWidth="1"/>
    <col min="5" max="5" width="7.36328125" style="2740" customWidth="1"/>
    <col min="6" max="6" width="13.6328125" style="2740" customWidth="1"/>
    <col min="7" max="11" width="7.6328125" style="2740" customWidth="1"/>
    <col min="12" max="13" width="8.453125" style="2740" customWidth="1"/>
    <col min="14" max="18" width="7.6328125" style="2740" customWidth="1"/>
    <col min="19" max="21" width="8" style="2740" customWidth="1"/>
    <col min="22" max="26" width="7.6328125" style="2740" customWidth="1"/>
    <col min="27" max="29" width="8" style="2740" customWidth="1"/>
    <col min="30" max="30" width="2.54296875" style="2740" customWidth="1"/>
    <col min="31" max="32" width="9.36328125" style="2740"/>
    <col min="33" max="33" width="10" style="2740" bestFit="1" customWidth="1"/>
    <col min="34" max="16384" width="9.36328125" style="2740"/>
  </cols>
  <sheetData>
    <row r="1" spans="1:30" ht="13.5" thickBot="1">
      <c r="A1" s="2737"/>
      <c r="B1" s="2738"/>
      <c r="C1" s="2738"/>
      <c r="D1" s="2738"/>
      <c r="E1" s="2738"/>
      <c r="F1" s="2738"/>
      <c r="G1" s="2738"/>
      <c r="H1" s="2738"/>
      <c r="I1" s="2738"/>
      <c r="J1" s="2738"/>
      <c r="K1" s="2738"/>
      <c r="L1" s="2738"/>
      <c r="M1" s="2738"/>
      <c r="N1" s="2738"/>
      <c r="O1" s="2738"/>
      <c r="P1" s="2738"/>
      <c r="Q1" s="2738"/>
      <c r="R1" s="2738"/>
      <c r="S1" s="2738"/>
      <c r="T1" s="2738"/>
      <c r="U1" s="2738"/>
      <c r="V1" s="2738"/>
      <c r="W1" s="2738"/>
      <c r="X1" s="2738"/>
      <c r="Y1" s="2738"/>
      <c r="Z1" s="2738"/>
      <c r="AA1" s="2738"/>
      <c r="AB1" s="2738"/>
      <c r="AC1" s="2738"/>
      <c r="AD1" s="2739"/>
    </row>
    <row r="2" spans="1:30" ht="25.5" customHeight="1">
      <c r="A2" s="2741"/>
      <c r="B2" s="4599" t="str">
        <f>'TO GHG-Flash '!B2:N2</f>
        <v>XTO ENERGY INC.</v>
      </c>
      <c r="C2" s="4600"/>
      <c r="D2" s="4600"/>
      <c r="E2" s="4600"/>
      <c r="F2" s="4600"/>
      <c r="G2" s="4600"/>
      <c r="H2" s="4600"/>
      <c r="I2" s="4600"/>
      <c r="J2" s="4600"/>
      <c r="K2" s="4600"/>
      <c r="L2" s="4600"/>
      <c r="M2" s="4600"/>
      <c r="N2" s="4600"/>
      <c r="O2" s="4600"/>
      <c r="P2" s="4600"/>
      <c r="Q2" s="4600"/>
      <c r="R2" s="4600"/>
      <c r="S2" s="4600"/>
      <c r="T2" s="4600"/>
      <c r="U2" s="4600"/>
      <c r="V2" s="4600"/>
      <c r="W2" s="4600"/>
      <c r="X2" s="4600"/>
      <c r="Y2" s="4600"/>
      <c r="Z2" s="4600"/>
      <c r="AA2" s="4600"/>
      <c r="AB2" s="4600"/>
      <c r="AC2" s="4601"/>
      <c r="AD2" s="2742"/>
    </row>
    <row r="3" spans="1:30" ht="25.5" customHeight="1">
      <c r="A3" s="2741"/>
      <c r="B3" s="4602" t="str">
        <f>'TO GHG-Flash '!B3:N3</f>
        <v>HUSKY CDP</v>
      </c>
      <c r="C3" s="4603"/>
      <c r="D3" s="4603"/>
      <c r="E3" s="4603"/>
      <c r="F3" s="4603"/>
      <c r="G3" s="4603"/>
      <c r="H3" s="4603"/>
      <c r="I3" s="4603"/>
      <c r="J3" s="4603"/>
      <c r="K3" s="4603"/>
      <c r="L3" s="4603"/>
      <c r="M3" s="4603"/>
      <c r="N3" s="4603"/>
      <c r="O3" s="4603"/>
      <c r="P3" s="4603"/>
      <c r="Q3" s="4603"/>
      <c r="R3" s="4603"/>
      <c r="S3" s="4603"/>
      <c r="T3" s="4603"/>
      <c r="U3" s="4603"/>
      <c r="V3" s="4603"/>
      <c r="W3" s="4603"/>
      <c r="X3" s="4603"/>
      <c r="Y3" s="4603"/>
      <c r="Z3" s="4603"/>
      <c r="AA3" s="4603"/>
      <c r="AB3" s="4603"/>
      <c r="AC3" s="4604"/>
      <c r="AD3" s="2742"/>
    </row>
    <row r="4" spans="1:30" ht="25.5" customHeight="1" thickBot="1">
      <c r="A4" s="2741"/>
      <c r="B4" s="4605" t="s">
        <v>1884</v>
      </c>
      <c r="C4" s="4606"/>
      <c r="D4" s="4606"/>
      <c r="E4" s="4606"/>
      <c r="F4" s="4606"/>
      <c r="G4" s="4606"/>
      <c r="H4" s="4606"/>
      <c r="I4" s="4606"/>
      <c r="J4" s="4606"/>
      <c r="K4" s="4606"/>
      <c r="L4" s="4606"/>
      <c r="M4" s="4606"/>
      <c r="N4" s="4606"/>
      <c r="O4" s="4606"/>
      <c r="P4" s="4606"/>
      <c r="Q4" s="4606"/>
      <c r="R4" s="4606"/>
      <c r="S4" s="4606"/>
      <c r="T4" s="4606"/>
      <c r="U4" s="4606"/>
      <c r="V4" s="4606"/>
      <c r="W4" s="4606"/>
      <c r="X4" s="4606"/>
      <c r="Y4" s="4606"/>
      <c r="Z4" s="4606"/>
      <c r="AA4" s="4606"/>
      <c r="AB4" s="4606"/>
      <c r="AC4" s="4607"/>
      <c r="AD4" s="2742"/>
    </row>
    <row r="5" spans="1:30" ht="13.5" thickBot="1">
      <c r="A5" s="2743"/>
      <c r="B5" s="2744"/>
      <c r="C5" s="2744"/>
      <c r="D5" s="2744"/>
      <c r="E5" s="2744"/>
      <c r="F5" s="2744"/>
      <c r="G5" s="2745"/>
      <c r="H5" s="2745"/>
      <c r="I5" s="2745"/>
      <c r="J5" s="2745"/>
      <c r="K5" s="2744"/>
      <c r="L5" s="2744"/>
      <c r="M5" s="2744"/>
      <c r="N5" s="2744"/>
      <c r="O5" s="2744"/>
      <c r="P5" s="2744"/>
      <c r="Q5" s="2744"/>
      <c r="R5" s="2744"/>
      <c r="S5" s="2744"/>
      <c r="T5" s="2744"/>
      <c r="U5" s="2744"/>
      <c r="V5" s="2744"/>
      <c r="W5" s="2744"/>
      <c r="X5" s="2744"/>
      <c r="Y5" s="2744"/>
      <c r="Z5" s="2744"/>
      <c r="AA5" s="2744"/>
      <c r="AB5" s="2744"/>
      <c r="AC5" s="2744"/>
      <c r="AD5" s="2746"/>
    </row>
    <row r="6" spans="1:30" ht="24.75" customHeight="1">
      <c r="A6" s="2747"/>
      <c r="B6" s="2747"/>
      <c r="C6" s="2747"/>
      <c r="D6" s="2747"/>
      <c r="E6" s="2747"/>
      <c r="F6" s="2747"/>
      <c r="G6" s="2748"/>
      <c r="H6" s="2748"/>
      <c r="I6" s="2748"/>
      <c r="J6" s="2748"/>
      <c r="K6" s="2747"/>
      <c r="L6" s="2747"/>
      <c r="M6" s="2747"/>
      <c r="N6" s="2747"/>
      <c r="O6" s="2747"/>
      <c r="P6" s="2747"/>
      <c r="Q6" s="2747"/>
      <c r="R6" s="2747"/>
      <c r="S6" s="2747"/>
      <c r="T6" s="2747"/>
      <c r="U6" s="2747"/>
      <c r="V6" s="2747"/>
      <c r="W6" s="2747"/>
      <c r="X6" s="2747"/>
      <c r="Y6" s="2747"/>
      <c r="Z6" s="2747"/>
      <c r="AA6" s="2747"/>
      <c r="AB6" s="2747"/>
      <c r="AC6" s="2747"/>
      <c r="AD6" s="2747"/>
    </row>
    <row r="7" spans="1:30" ht="31.5" customHeight="1" thickBot="1">
      <c r="A7" s="2747"/>
      <c r="B7" s="2747"/>
      <c r="C7" s="2747"/>
      <c r="D7" s="2747"/>
      <c r="E7" s="2747"/>
      <c r="F7" s="2747"/>
      <c r="G7" s="2748"/>
      <c r="H7" s="2748"/>
      <c r="I7" s="2748"/>
      <c r="J7" s="2748"/>
      <c r="K7" s="2747"/>
      <c r="L7" s="2747"/>
      <c r="M7" s="2747"/>
      <c r="N7" s="2747"/>
      <c r="O7" s="2747"/>
      <c r="P7" s="2747"/>
      <c r="Q7" s="2747"/>
      <c r="R7" s="2747"/>
      <c r="S7" s="2747"/>
      <c r="T7" s="2747"/>
      <c r="U7" s="2747"/>
      <c r="V7" s="2747"/>
      <c r="W7" s="2747"/>
      <c r="X7" s="2747"/>
      <c r="Y7" s="2747"/>
      <c r="Z7" s="2747"/>
      <c r="AA7" s="2747"/>
      <c r="AB7" s="2747"/>
      <c r="AC7" s="2747"/>
      <c r="AD7" s="2747"/>
    </row>
    <row r="8" spans="1:30" ht="36" customHeight="1" thickBot="1">
      <c r="A8" s="4608" t="s">
        <v>1885</v>
      </c>
      <c r="B8" s="4609"/>
      <c r="C8" s="4609"/>
      <c r="D8" s="4609"/>
      <c r="E8" s="4609"/>
      <c r="F8" s="4609"/>
      <c r="G8" s="4609"/>
      <c r="H8" s="4609"/>
      <c r="I8" s="4609"/>
      <c r="J8" s="4609"/>
      <c r="K8" s="4609"/>
      <c r="L8" s="4609"/>
      <c r="M8" s="4609"/>
      <c r="N8" s="4609"/>
      <c r="O8" s="4609"/>
      <c r="P8" s="4609"/>
      <c r="Q8" s="4609"/>
      <c r="R8" s="4609"/>
      <c r="S8" s="4609"/>
      <c r="T8" s="4609"/>
      <c r="U8" s="4609"/>
      <c r="V8" s="4609"/>
      <c r="W8" s="4609"/>
      <c r="X8" s="4609"/>
      <c r="Y8" s="4609"/>
      <c r="Z8" s="4609"/>
      <c r="AA8" s="4609"/>
      <c r="AB8" s="4609"/>
      <c r="AC8" s="4609"/>
      <c r="AD8" s="4610"/>
    </row>
    <row r="9" spans="1:30" ht="28.5" customHeight="1" thickBot="1">
      <c r="A9" s="2737"/>
      <c r="B9" s="2738"/>
      <c r="C9" s="2738"/>
      <c r="D9" s="2738"/>
      <c r="E9" s="2738"/>
      <c r="F9" s="2738"/>
      <c r="G9" s="2749"/>
      <c r="H9" s="2749"/>
      <c r="I9" s="2749"/>
      <c r="J9" s="2749"/>
      <c r="K9" s="2738"/>
      <c r="L9" s="2738"/>
      <c r="M9" s="2738"/>
      <c r="N9" s="2738"/>
      <c r="O9" s="2738"/>
      <c r="P9" s="2738"/>
      <c r="Q9" s="2738"/>
      <c r="R9" s="2738"/>
      <c r="S9" s="2738"/>
      <c r="T9" s="2738"/>
      <c r="U9" s="2738"/>
      <c r="V9" s="2738"/>
      <c r="W9" s="2738"/>
      <c r="X9" s="2738"/>
      <c r="Y9" s="2738"/>
      <c r="Z9" s="2738"/>
      <c r="AA9" s="2738"/>
      <c r="AB9" s="2738"/>
      <c r="AC9" s="2738"/>
      <c r="AD9" s="2739"/>
    </row>
    <row r="10" spans="1:30" ht="28.5" customHeight="1" thickBot="1">
      <c r="A10" s="2750"/>
      <c r="B10" s="2751"/>
      <c r="C10" s="2751"/>
      <c r="D10" s="2751"/>
      <c r="E10" s="2751"/>
      <c r="F10" s="2751"/>
      <c r="G10" s="4611" t="s">
        <v>1855</v>
      </c>
      <c r="H10" s="4612"/>
      <c r="I10" s="4612"/>
      <c r="J10" s="4612"/>
      <c r="K10" s="4611" t="s">
        <v>382</v>
      </c>
      <c r="L10" s="4612"/>
      <c r="M10" s="4613"/>
      <c r="N10" s="2752"/>
      <c r="O10" s="2752"/>
      <c r="P10" s="2752"/>
      <c r="Q10" s="2752"/>
      <c r="R10" s="2752"/>
      <c r="S10" s="2752"/>
      <c r="T10" s="2752"/>
      <c r="U10" s="2752"/>
      <c r="V10" s="2752"/>
      <c r="W10" s="2752"/>
      <c r="X10" s="2752"/>
      <c r="Y10" s="2752"/>
      <c r="Z10" s="2752"/>
      <c r="AA10" s="2752"/>
      <c r="AB10" s="2752"/>
      <c r="AC10" s="2752"/>
      <c r="AD10" s="2753"/>
    </row>
    <row r="11" spans="1:30" ht="28.5" customHeight="1" thickBot="1">
      <c r="A11" s="2750"/>
      <c r="B11" s="2754"/>
      <c r="C11" s="2754"/>
      <c r="D11" s="2754"/>
      <c r="E11" s="2754"/>
      <c r="F11" s="2754"/>
      <c r="G11" s="4583" t="s">
        <v>1856</v>
      </c>
      <c r="H11" s="4584"/>
      <c r="I11" s="4584"/>
      <c r="J11" s="4584"/>
      <c r="K11" s="4585" t="s">
        <v>287</v>
      </c>
      <c r="L11" s="4586"/>
      <c r="M11" s="4587"/>
      <c r="N11" s="4589" t="s">
        <v>22</v>
      </c>
      <c r="O11" s="4589"/>
      <c r="P11" s="4589"/>
      <c r="Q11" s="4589"/>
      <c r="R11" s="4589"/>
      <c r="S11" s="4589"/>
      <c r="T11" s="4589"/>
      <c r="U11" s="4590"/>
      <c r="V11" s="4588" t="s">
        <v>23</v>
      </c>
      <c r="W11" s="4589"/>
      <c r="X11" s="4589"/>
      <c r="Y11" s="4589"/>
      <c r="Z11" s="4589"/>
      <c r="AA11" s="4589"/>
      <c r="AB11" s="4589"/>
      <c r="AC11" s="4590"/>
      <c r="AD11" s="2753"/>
    </row>
    <row r="12" spans="1:30" ht="48.75" customHeight="1" thickBot="1">
      <c r="A12" s="2750"/>
      <c r="B12" s="2755" t="s">
        <v>383</v>
      </c>
      <c r="C12" s="2756" t="s">
        <v>53</v>
      </c>
      <c r="D12" s="2757" t="s">
        <v>1857</v>
      </c>
      <c r="E12" s="2757" t="s">
        <v>1858</v>
      </c>
      <c r="F12" s="2758" t="s">
        <v>1859</v>
      </c>
      <c r="G12" s="2759" t="s">
        <v>1860</v>
      </c>
      <c r="H12" s="2756" t="s">
        <v>1861</v>
      </c>
      <c r="I12" s="2756" t="s">
        <v>1862</v>
      </c>
      <c r="J12" s="2760" t="s">
        <v>384</v>
      </c>
      <c r="K12" s="2759" t="s">
        <v>1863</v>
      </c>
      <c r="L12" s="2760" t="s">
        <v>1864</v>
      </c>
      <c r="M12" s="2761" t="s">
        <v>1865</v>
      </c>
      <c r="N12" s="2759" t="s">
        <v>21</v>
      </c>
      <c r="O12" s="2756" t="s">
        <v>0</v>
      </c>
      <c r="P12" s="2756" t="s">
        <v>1</v>
      </c>
      <c r="Q12" s="2756" t="s">
        <v>384</v>
      </c>
      <c r="R12" s="2756" t="s">
        <v>1866</v>
      </c>
      <c r="S12" s="2760" t="s">
        <v>1867</v>
      </c>
      <c r="T12" s="2762" t="s">
        <v>1865</v>
      </c>
      <c r="U12" s="2763" t="s">
        <v>15</v>
      </c>
      <c r="V12" s="2764" t="s">
        <v>21</v>
      </c>
      <c r="W12" s="2765" t="s">
        <v>0</v>
      </c>
      <c r="X12" s="2765" t="s">
        <v>1</v>
      </c>
      <c r="Y12" s="2765" t="s">
        <v>384</v>
      </c>
      <c r="Z12" s="2765" t="s">
        <v>1866</v>
      </c>
      <c r="AA12" s="2766" t="s">
        <v>1867</v>
      </c>
      <c r="AB12" s="2762" t="s">
        <v>1865</v>
      </c>
      <c r="AC12" s="2763" t="s">
        <v>15</v>
      </c>
      <c r="AD12" s="2753"/>
    </row>
    <row r="13" spans="1:30" ht="48.75" customHeight="1">
      <c r="A13" s="2750"/>
      <c r="B13" s="2767" t="str">
        <f>Generators!B13</f>
        <v>GEN1</v>
      </c>
      <c r="C13" s="2768" t="str">
        <f>Generators!C13</f>
        <v>Caterpillar G3520H Emergency Generator</v>
      </c>
      <c r="D13" s="2768">
        <f>Generators!D13</f>
        <v>100</v>
      </c>
      <c r="E13" s="2768">
        <f>Generators!E13</f>
        <v>3448</v>
      </c>
      <c r="F13" s="2769">
        <f>Generators!F13</f>
        <v>6.0610000000000004E-3</v>
      </c>
      <c r="G13" s="2770">
        <v>1</v>
      </c>
      <c r="H13" s="2771">
        <v>2</v>
      </c>
      <c r="I13" s="2771">
        <f>Generators!I13</f>
        <v>0.62</v>
      </c>
      <c r="J13" s="2772">
        <f>Generators!J13</f>
        <v>0.25</v>
      </c>
      <c r="K13" s="2773">
        <v>1.1304228904055486E-2</v>
      </c>
      <c r="L13" s="2774">
        <f>IF(E13="","",0.01006)</f>
        <v>1.0059999999999999E-2</v>
      </c>
      <c r="M13" s="2769">
        <v>2.7899999999999999E-3</v>
      </c>
      <c r="N13" s="2775">
        <f>IF(E13="","",G13*E13/453.6)</f>
        <v>7.6014109347442673</v>
      </c>
      <c r="O13" s="2776">
        <f>IF(E13="","",H13*$E13/453.6)</f>
        <v>15.202821869488535</v>
      </c>
      <c r="P13" s="2776">
        <f>IF(E13="","",I13*$E13/453.6)</f>
        <v>4.7128747795414458</v>
      </c>
      <c r="Q13" s="2776">
        <f>IF(E13="","",J13*$E13/453.6)</f>
        <v>1.9003527336860668</v>
      </c>
      <c r="R13" s="2776">
        <f>IF(E13="","",K13*E13*F13)</f>
        <v>0.23623948342403212</v>
      </c>
      <c r="S13" s="2777">
        <f>IF(E13="","",L13*F13*E13)</f>
        <v>0.21023717968</v>
      </c>
      <c r="T13" s="2776">
        <f>E13*F13*M13</f>
        <v>5.8306335120000004E-2</v>
      </c>
      <c r="U13" s="2778">
        <f>Q13+T13</f>
        <v>1.9586590688060668</v>
      </c>
      <c r="V13" s="2775">
        <f>IF(E13="","",N13*$D13/2000)</f>
        <v>0.38007054673721336</v>
      </c>
      <c r="W13" s="2776">
        <f>IF(E13="","",O13*$D13/2000)</f>
        <v>0.76014109347442671</v>
      </c>
      <c r="X13" s="2776">
        <f>IF(E13="","",P13*$D13/2000)</f>
        <v>0.2356437389770723</v>
      </c>
      <c r="Y13" s="2779">
        <f>IF(E13="","",Q13*$D13/2000)</f>
        <v>9.5017636684303339E-2</v>
      </c>
      <c r="Z13" s="2779">
        <f>IF(E13="","",R13*$D13/2000)</f>
        <v>1.1811974171201604E-2</v>
      </c>
      <c r="AA13" s="2780">
        <f>IF(E13="","",S13*D13/2000)</f>
        <v>1.0511858984E-2</v>
      </c>
      <c r="AB13" s="2779">
        <f>T13*D13/2000</f>
        <v>2.9153167560000003E-3</v>
      </c>
      <c r="AC13" s="2781">
        <f>Y13+AB13</f>
        <v>9.7932953440303339E-2</v>
      </c>
      <c r="AD13" s="2753"/>
    </row>
    <row r="14" spans="1:30" ht="48.75" customHeight="1">
      <c r="A14" s="2750"/>
      <c r="B14" s="2782" t="str">
        <f>Generators!B14</f>
        <v>GEN2</v>
      </c>
      <c r="C14" s="2783" t="str">
        <f>Generators!C14</f>
        <v>Caterpillar G3520H Emergency Generator</v>
      </c>
      <c r="D14" s="2783">
        <f>Generators!D14</f>
        <v>100</v>
      </c>
      <c r="E14" s="2783">
        <f>Generators!E14</f>
        <v>3448</v>
      </c>
      <c r="F14" s="2784">
        <f>Generators!F14</f>
        <v>6.0610000000000004E-3</v>
      </c>
      <c r="G14" s="2785">
        <f t="shared" ref="G14:L14" si="0">G13</f>
        <v>1</v>
      </c>
      <c r="H14" s="2786">
        <f t="shared" si="0"/>
        <v>2</v>
      </c>
      <c r="I14" s="2786">
        <f t="shared" si="0"/>
        <v>0.62</v>
      </c>
      <c r="J14" s="2787">
        <f t="shared" si="0"/>
        <v>0.25</v>
      </c>
      <c r="K14" s="2788">
        <f t="shared" si="0"/>
        <v>1.1304228904055486E-2</v>
      </c>
      <c r="L14" s="2789">
        <f t="shared" si="0"/>
        <v>1.0059999999999999E-2</v>
      </c>
      <c r="M14" s="2784">
        <v>2.7899999999999999E-3</v>
      </c>
      <c r="N14" s="2790">
        <f>IF(E14="","",G14*E14/453.6)</f>
        <v>7.6014109347442673</v>
      </c>
      <c r="O14" s="2791">
        <f>IF(E14="","",H14*$E14/453.6)</f>
        <v>15.202821869488535</v>
      </c>
      <c r="P14" s="2791">
        <f>IF(E14="","",I14*$E14/453.6)</f>
        <v>4.7128747795414458</v>
      </c>
      <c r="Q14" s="2791">
        <f>IF(E14="","",J14*$E14/453.6)</f>
        <v>1.9003527336860668</v>
      </c>
      <c r="R14" s="2791">
        <f>IF(E14="","",K14*E14*F14)</f>
        <v>0.23623948342403212</v>
      </c>
      <c r="S14" s="2792">
        <f>IF(E14="","",L14*F14*E14)</f>
        <v>0.21023717968</v>
      </c>
      <c r="T14" s="2791">
        <f>E14*F14*M14</f>
        <v>5.8306335120000004E-2</v>
      </c>
      <c r="U14" s="2793">
        <f>Q14+T14</f>
        <v>1.9586590688060668</v>
      </c>
      <c r="V14" s="2790">
        <f>IF(E14="","",N14*$D14/2000)</f>
        <v>0.38007054673721336</v>
      </c>
      <c r="W14" s="2791">
        <f>IF(E14="","",O14*$D14/2000)</f>
        <v>0.76014109347442671</v>
      </c>
      <c r="X14" s="2791">
        <f>IF(E14="","",P14*$D14/2000)</f>
        <v>0.2356437389770723</v>
      </c>
      <c r="Y14" s="2794">
        <f>IF(E14="","",Q14*$D14/2000)</f>
        <v>9.5017636684303339E-2</v>
      </c>
      <c r="Z14" s="2794">
        <f>IF(E14="","",R14*$D14/2000)</f>
        <v>1.1811974171201604E-2</v>
      </c>
      <c r="AA14" s="2795">
        <f>IF(E14="","",S14*D14/2000)</f>
        <v>1.0511858984E-2</v>
      </c>
      <c r="AB14" s="2794">
        <f>T14*D14/2000</f>
        <v>2.9153167560000003E-3</v>
      </c>
      <c r="AC14" s="2796">
        <f>Y14+AB14</f>
        <v>9.7932953440303339E-2</v>
      </c>
      <c r="AD14" s="2753"/>
    </row>
    <row r="15" spans="1:30" ht="48.75" customHeight="1">
      <c r="A15" s="2750"/>
      <c r="B15" s="2782" t="str">
        <f>Generators!B15</f>
        <v>GEN3</v>
      </c>
      <c r="C15" s="2783" t="str">
        <f>Generators!C15</f>
        <v>Caterpillar G3520H Emergency Generator</v>
      </c>
      <c r="D15" s="2783">
        <f>Generators!D15</f>
        <v>100</v>
      </c>
      <c r="E15" s="2783">
        <f>Generators!E15</f>
        <v>3448</v>
      </c>
      <c r="F15" s="2784">
        <f>Generators!F15</f>
        <v>6.0610000000000004E-3</v>
      </c>
      <c r="G15" s="2785">
        <f t="shared" ref="G15:L17" si="1">G14</f>
        <v>1</v>
      </c>
      <c r="H15" s="2786">
        <f t="shared" si="1"/>
        <v>2</v>
      </c>
      <c r="I15" s="2786">
        <f t="shared" si="1"/>
        <v>0.62</v>
      </c>
      <c r="J15" s="2787">
        <f t="shared" si="1"/>
        <v>0.25</v>
      </c>
      <c r="K15" s="2788">
        <f t="shared" si="1"/>
        <v>1.1304228904055486E-2</v>
      </c>
      <c r="L15" s="2789">
        <f t="shared" si="1"/>
        <v>1.0059999999999999E-2</v>
      </c>
      <c r="M15" s="2784">
        <v>2.7899999999999999E-3</v>
      </c>
      <c r="N15" s="2790">
        <f>IF(E15="","",G15*E15/453.6)</f>
        <v>7.6014109347442673</v>
      </c>
      <c r="O15" s="2791">
        <f>IF(E15="","",H15*$E15/453.6)</f>
        <v>15.202821869488535</v>
      </c>
      <c r="P15" s="2791">
        <f>IF(E15="","",I15*$E15/453.6)</f>
        <v>4.7128747795414458</v>
      </c>
      <c r="Q15" s="2791">
        <f>IF(E15="","",J15*$E15/453.6)</f>
        <v>1.9003527336860668</v>
      </c>
      <c r="R15" s="2791">
        <f>IF(E15="","",K15*E15*F15)</f>
        <v>0.23623948342403212</v>
      </c>
      <c r="S15" s="2792">
        <f>IF(E15="","",L15*F15*E15)</f>
        <v>0.21023717968</v>
      </c>
      <c r="T15" s="2791">
        <f>E15*F15*M15</f>
        <v>5.8306335120000004E-2</v>
      </c>
      <c r="U15" s="2793">
        <f>Q15+T15</f>
        <v>1.9586590688060668</v>
      </c>
      <c r="V15" s="2790">
        <f>IF(E15="","",N15*$D15/2000)</f>
        <v>0.38007054673721336</v>
      </c>
      <c r="W15" s="2791">
        <f>IF(E15="","",O15*$D15/2000)</f>
        <v>0.76014109347442671</v>
      </c>
      <c r="X15" s="2791">
        <f>IF(E15="","",P15*$D15/2000)</f>
        <v>0.2356437389770723</v>
      </c>
      <c r="Y15" s="2794">
        <f>IF(E15="","",Q15*$D15/2000)</f>
        <v>9.5017636684303339E-2</v>
      </c>
      <c r="Z15" s="2794">
        <f>IF(E15="","",R15*$D15/2000)</f>
        <v>1.1811974171201604E-2</v>
      </c>
      <c r="AA15" s="2795">
        <f>IF(E15="","",S15*D15/2000)</f>
        <v>1.0511858984E-2</v>
      </c>
      <c r="AB15" s="2794">
        <f>T15*D15/2000</f>
        <v>2.9153167560000003E-3</v>
      </c>
      <c r="AC15" s="2796">
        <f>Y15+AB15</f>
        <v>9.7932953440303339E-2</v>
      </c>
      <c r="AD15" s="2753"/>
    </row>
    <row r="16" spans="1:30" ht="48.75" customHeight="1">
      <c r="A16" s="2750"/>
      <c r="B16" s="2782" t="str">
        <f>Generators!B16</f>
        <v>GEN4</v>
      </c>
      <c r="C16" s="2783" t="str">
        <f>Generators!C16</f>
        <v>Caterpillar G3520H Emergency Generator</v>
      </c>
      <c r="D16" s="2783">
        <f>Generators!D16</f>
        <v>100</v>
      </c>
      <c r="E16" s="2783">
        <f>Generators!E16</f>
        <v>3448</v>
      </c>
      <c r="F16" s="2784">
        <f>Generators!F16</f>
        <v>6.0610000000000004E-3</v>
      </c>
      <c r="G16" s="2785">
        <f t="shared" si="1"/>
        <v>1</v>
      </c>
      <c r="H16" s="2786">
        <f t="shared" si="1"/>
        <v>2</v>
      </c>
      <c r="I16" s="2786">
        <f t="shared" si="1"/>
        <v>0.62</v>
      </c>
      <c r="J16" s="2787">
        <f t="shared" si="1"/>
        <v>0.25</v>
      </c>
      <c r="K16" s="2788">
        <f t="shared" si="1"/>
        <v>1.1304228904055486E-2</v>
      </c>
      <c r="L16" s="2789">
        <f t="shared" si="1"/>
        <v>1.0059999999999999E-2</v>
      </c>
      <c r="M16" s="2784">
        <v>2.7899999999999999E-3</v>
      </c>
      <c r="N16" s="2790">
        <f>IF(E16="","",G16*E16/453.6)</f>
        <v>7.6014109347442673</v>
      </c>
      <c r="O16" s="2791">
        <f>IF(E16="","",H16*$E16/453.6)</f>
        <v>15.202821869488535</v>
      </c>
      <c r="P16" s="2791">
        <f>IF(E16="","",I16*$E16/453.6)</f>
        <v>4.7128747795414458</v>
      </c>
      <c r="Q16" s="2791">
        <f>IF(E16="","",J16*$E16/453.6)</f>
        <v>1.9003527336860668</v>
      </c>
      <c r="R16" s="2791">
        <f>IF(E16="","",K16*E16*F16)</f>
        <v>0.23623948342403212</v>
      </c>
      <c r="S16" s="2792">
        <f>IF(E16="","",L16*F16*E16)</f>
        <v>0.21023717968</v>
      </c>
      <c r="T16" s="2791">
        <f>E16*F16*M16</f>
        <v>5.8306335120000004E-2</v>
      </c>
      <c r="U16" s="2793">
        <f>Q16+T16</f>
        <v>1.9586590688060668</v>
      </c>
      <c r="V16" s="2790">
        <f>IF(E16="","",N16*$D16/2000)</f>
        <v>0.38007054673721336</v>
      </c>
      <c r="W16" s="2791">
        <f>IF(E16="","",O16*$D16/2000)</f>
        <v>0.76014109347442671</v>
      </c>
      <c r="X16" s="2791">
        <f>IF(E16="","",P16*$D16/2000)</f>
        <v>0.2356437389770723</v>
      </c>
      <c r="Y16" s="2794">
        <f>IF(E16="","",Q16*$D16/2000)</f>
        <v>9.5017636684303339E-2</v>
      </c>
      <c r="Z16" s="2794">
        <f>IF(E16="","",R16*$D16/2000)</f>
        <v>1.1811974171201604E-2</v>
      </c>
      <c r="AA16" s="2795">
        <f>IF(E16="","",S16*D16/2000)</f>
        <v>1.0511858984E-2</v>
      </c>
      <c r="AB16" s="2794">
        <f>T16*D16/2000</f>
        <v>2.9153167560000003E-3</v>
      </c>
      <c r="AC16" s="2796">
        <f>Y16+AB16</f>
        <v>9.7932953440303339E-2</v>
      </c>
      <c r="AD16" s="2753"/>
    </row>
    <row r="17" spans="1:30" ht="48.75" customHeight="1">
      <c r="A17" s="2750"/>
      <c r="B17" s="2782" t="str">
        <f>Generators!B17</f>
        <v>GEN5</v>
      </c>
      <c r="C17" s="2783" t="str">
        <f>Generators!C17</f>
        <v>Caterpillar G3520H Emergency Generator</v>
      </c>
      <c r="D17" s="2783">
        <f>Generators!D17</f>
        <v>100</v>
      </c>
      <c r="E17" s="2783">
        <f>Generators!E17</f>
        <v>3448</v>
      </c>
      <c r="F17" s="2784">
        <f>Generators!F17</f>
        <v>6.0610000000000004E-3</v>
      </c>
      <c r="G17" s="2785">
        <f t="shared" si="1"/>
        <v>1</v>
      </c>
      <c r="H17" s="2786">
        <f t="shared" si="1"/>
        <v>2</v>
      </c>
      <c r="I17" s="2786">
        <f t="shared" si="1"/>
        <v>0.62</v>
      </c>
      <c r="J17" s="2787">
        <f t="shared" si="1"/>
        <v>0.25</v>
      </c>
      <c r="K17" s="2788">
        <f t="shared" si="1"/>
        <v>1.1304228904055486E-2</v>
      </c>
      <c r="L17" s="2789">
        <f t="shared" si="1"/>
        <v>1.0059999999999999E-2</v>
      </c>
      <c r="M17" s="2784">
        <v>2.7899999999999999E-3</v>
      </c>
      <c r="N17" s="2790">
        <f>IF(E17="","",G17*E17/453.6)</f>
        <v>7.6014109347442673</v>
      </c>
      <c r="O17" s="2791">
        <f>IF(E17="","",H17*$E17/453.6)</f>
        <v>15.202821869488535</v>
      </c>
      <c r="P17" s="2791">
        <f>IF(E17="","",I17*$E17/453.6)</f>
        <v>4.7128747795414458</v>
      </c>
      <c r="Q17" s="2791">
        <f>IF(E17="","",J17*$E17/453.6)</f>
        <v>1.9003527336860668</v>
      </c>
      <c r="R17" s="2791">
        <f>IF(E17="","",K17*E17*F17)</f>
        <v>0.23623948342403212</v>
      </c>
      <c r="S17" s="2792">
        <f>IF(E17="","",L17*F17*E17)</f>
        <v>0.21023717968</v>
      </c>
      <c r="T17" s="2791">
        <f>E17*F17*M17</f>
        <v>5.8306335120000004E-2</v>
      </c>
      <c r="U17" s="2793">
        <f>Q17+T17</f>
        <v>1.9586590688060668</v>
      </c>
      <c r="V17" s="2790">
        <f>IF(E17="","",N17*$D17/2000)</f>
        <v>0.38007054673721336</v>
      </c>
      <c r="W17" s="2791">
        <f>IF(E17="","",O17*$D17/2000)</f>
        <v>0.76014109347442671</v>
      </c>
      <c r="X17" s="2791">
        <f>IF(E17="","",P17*$D17/2000)</f>
        <v>0.2356437389770723</v>
      </c>
      <c r="Y17" s="2794">
        <f>IF(E17="","",Q17*$D17/2000)</f>
        <v>9.5017636684303339E-2</v>
      </c>
      <c r="Z17" s="2794">
        <f>IF(E17="","",R17*$D17/2000)</f>
        <v>1.1811974171201604E-2</v>
      </c>
      <c r="AA17" s="2795">
        <f>IF(E17="","",S17*D17/2000)</f>
        <v>1.0511858984E-2</v>
      </c>
      <c r="AB17" s="2794">
        <f>T17*D17/2000</f>
        <v>2.9153167560000003E-3</v>
      </c>
      <c r="AC17" s="2796">
        <f>Y17+AB17</f>
        <v>9.7932953440303339E-2</v>
      </c>
      <c r="AD17" s="2753"/>
    </row>
    <row r="18" spans="1:30" ht="29.25" customHeight="1" thickBot="1">
      <c r="A18" s="2750"/>
      <c r="B18" s="4865" t="s">
        <v>1868</v>
      </c>
      <c r="C18" s="4865"/>
      <c r="D18" s="4865"/>
      <c r="E18" s="4865"/>
      <c r="F18" s="4865"/>
      <c r="G18" s="4865"/>
      <c r="H18" s="4865"/>
      <c r="I18" s="4865"/>
      <c r="J18" s="2804"/>
      <c r="K18" s="2805"/>
      <c r="L18" s="2805"/>
      <c r="M18" s="2805"/>
      <c r="N18" s="2805"/>
      <c r="O18" s="2805"/>
      <c r="P18" s="2804"/>
      <c r="Q18" s="2804"/>
      <c r="R18" s="2804"/>
      <c r="S18" s="2804"/>
      <c r="T18" s="2804"/>
      <c r="U18" s="2804"/>
      <c r="V18" s="2804"/>
      <c r="W18" s="2804"/>
      <c r="X18" s="2804"/>
      <c r="Y18" s="2804"/>
      <c r="Z18" s="2806"/>
      <c r="AA18" s="2804"/>
      <c r="AB18" s="2804"/>
      <c r="AC18" s="2804"/>
      <c r="AD18" s="2753"/>
    </row>
    <row r="19" spans="1:30" ht="31.5" customHeight="1" thickBot="1">
      <c r="A19" s="2750"/>
      <c r="B19" s="4592" t="s">
        <v>1869</v>
      </c>
      <c r="C19" s="4592"/>
      <c r="D19" s="4592"/>
      <c r="E19" s="4592"/>
      <c r="F19" s="4592"/>
      <c r="G19" s="4592"/>
      <c r="H19" s="4592"/>
      <c r="I19" s="4592"/>
      <c r="J19" s="2804"/>
      <c r="K19" s="2805"/>
      <c r="L19" s="2805"/>
      <c r="M19" s="2805"/>
      <c r="N19" s="4593" t="s">
        <v>1870</v>
      </c>
      <c r="O19" s="4594"/>
      <c r="P19" s="4594"/>
      <c r="Q19" s="4594"/>
      <c r="R19" s="4594"/>
      <c r="S19" s="4594"/>
      <c r="T19" s="4594"/>
      <c r="U19" s="4595"/>
      <c r="V19" s="2759" t="s">
        <v>21</v>
      </c>
      <c r="W19" s="2756" t="s">
        <v>0</v>
      </c>
      <c r="X19" s="2766" t="s">
        <v>1</v>
      </c>
      <c r="Y19" s="2756" t="s">
        <v>384</v>
      </c>
      <c r="Z19" s="2756" t="s">
        <v>1866</v>
      </c>
      <c r="AA19" s="2760" t="s">
        <v>1867</v>
      </c>
      <c r="AB19" s="2762" t="s">
        <v>1865</v>
      </c>
      <c r="AC19" s="2763" t="s">
        <v>15</v>
      </c>
      <c r="AD19" s="2753"/>
    </row>
    <row r="20" spans="1:30" ht="31.5" customHeight="1" thickBot="1">
      <c r="A20" s="2750"/>
      <c r="B20" s="4592" t="s">
        <v>1871</v>
      </c>
      <c r="C20" s="4592"/>
      <c r="D20" s="4592"/>
      <c r="E20" s="4592"/>
      <c r="F20" s="4592"/>
      <c r="G20" s="4592"/>
      <c r="H20" s="4592"/>
      <c r="I20" s="4592"/>
      <c r="J20" s="4592"/>
      <c r="K20" s="4592"/>
      <c r="L20" s="2804"/>
      <c r="M20" s="2804"/>
      <c r="N20" s="4596"/>
      <c r="O20" s="4597"/>
      <c r="P20" s="4597"/>
      <c r="Q20" s="4597"/>
      <c r="R20" s="4597"/>
      <c r="S20" s="4597"/>
      <c r="T20" s="4597"/>
      <c r="U20" s="4598"/>
      <c r="V20" s="2807">
        <f>IF(E13="","",SUM(V13:V18))</f>
        <v>1.9003527336860668</v>
      </c>
      <c r="W20" s="2808">
        <f>IF(E13="","",SUM(W13:W18))</f>
        <v>3.8007054673721337</v>
      </c>
      <c r="X20" s="2808">
        <f>IF(E13="","",SUM(X13:X18))</f>
        <v>1.1782186948853615</v>
      </c>
      <c r="Y20" s="2808">
        <f>IF(E13="","",SUM(Y13:Y18))</f>
        <v>0.47508818342151671</v>
      </c>
      <c r="Z20" s="2808">
        <f>IF(E13="","",SUM(Z13:Z18))</f>
        <v>5.9059870856008022E-2</v>
      </c>
      <c r="AA20" s="2809">
        <f>IF(E13="","",SUM(AA13:AA18))</f>
        <v>5.2559294919999999E-2</v>
      </c>
      <c r="AB20" s="2808">
        <f>SUM(AB13:AB17)</f>
        <v>1.4576583780000001E-2</v>
      </c>
      <c r="AC20" s="2810">
        <f>Y20+AB20</f>
        <v>0.48966476720151669</v>
      </c>
      <c r="AD20" s="2753"/>
    </row>
    <row r="21" spans="1:30" ht="28.5" customHeight="1" thickBot="1">
      <c r="A21" s="2743"/>
      <c r="B21" s="4581" t="s">
        <v>1872</v>
      </c>
      <c r="C21" s="4581"/>
      <c r="D21" s="4581"/>
      <c r="E21" s="4581"/>
      <c r="F21" s="4581"/>
      <c r="G21" s="4581"/>
      <c r="H21" s="4581"/>
      <c r="I21" s="4581"/>
      <c r="J21" s="2744"/>
      <c r="K21" s="2744"/>
      <c r="L21" s="2744"/>
      <c r="M21" s="2744"/>
      <c r="N21" s="2744"/>
      <c r="O21" s="2744"/>
      <c r="P21" s="2744"/>
      <c r="Q21" s="2744"/>
      <c r="R21" s="2744"/>
      <c r="S21" s="2744"/>
      <c r="T21" s="2744"/>
      <c r="U21" s="2744"/>
      <c r="V21" s="2744"/>
      <c r="W21" s="2744"/>
      <c r="X21" s="2744"/>
      <c r="Y21" s="2744"/>
      <c r="Z21" s="2744"/>
      <c r="AA21" s="2744"/>
      <c r="AB21" s="2744"/>
      <c r="AC21" s="2744"/>
      <c r="AD21" s="2746"/>
    </row>
    <row r="24" spans="1:30">
      <c r="B24" s="2811" t="s">
        <v>575</v>
      </c>
      <c r="C24" s="2812"/>
      <c r="D24" s="2813"/>
      <c r="E24" s="2812"/>
    </row>
    <row r="25" spans="1:30" ht="13.5">
      <c r="B25" s="2814" t="s">
        <v>1873</v>
      </c>
      <c r="C25" s="2815">
        <v>1350</v>
      </c>
      <c r="D25" s="2816" t="s">
        <v>1874</v>
      </c>
      <c r="E25" s="2817" t="s">
        <v>288</v>
      </c>
      <c r="Y25" s="4582"/>
      <c r="Z25" s="4582"/>
    </row>
    <row r="26" spans="1:30" ht="13.5">
      <c r="B26" s="2818" t="s">
        <v>1875</v>
      </c>
      <c r="C26" s="2819">
        <f>4/12</f>
        <v>0.33333333333333331</v>
      </c>
      <c r="D26" s="2820" t="s">
        <v>289</v>
      </c>
      <c r="E26" s="2817" t="s">
        <v>1876</v>
      </c>
    </row>
    <row r="27" spans="1:30" ht="13.5">
      <c r="B27" s="2818" t="s">
        <v>1877</v>
      </c>
      <c r="C27" s="2819">
        <v>15</v>
      </c>
      <c r="D27" s="2820" t="s">
        <v>289</v>
      </c>
      <c r="E27" s="2817" t="s">
        <v>1876</v>
      </c>
    </row>
    <row r="28" spans="1:30" ht="13.5">
      <c r="B28" s="2818" t="s">
        <v>1878</v>
      </c>
      <c r="C28" s="2821">
        <f>((C26^2)/4)*C27*C29</f>
        <v>155.83333333333331</v>
      </c>
      <c r="D28" s="2822" t="s">
        <v>1879</v>
      </c>
      <c r="E28" s="2817" t="s">
        <v>288</v>
      </c>
      <c r="I28" s="2740">
        <f>C28*60</f>
        <v>9349.9999999999982</v>
      </c>
      <c r="O28" s="2740">
        <f>2*(10^6)/(24*60*60)</f>
        <v>23.148148148148149</v>
      </c>
    </row>
    <row r="29" spans="1:30" ht="13.5">
      <c r="B29" s="2818" t="s">
        <v>1880</v>
      </c>
      <c r="C29" s="2823">
        <v>374</v>
      </c>
      <c r="D29" s="2822" t="s">
        <v>1881</v>
      </c>
      <c r="E29" s="2817" t="s">
        <v>1882</v>
      </c>
    </row>
  </sheetData>
  <mergeCells count="16">
    <mergeCell ref="B2:AC2"/>
    <mergeCell ref="B3:AC3"/>
    <mergeCell ref="B4:AC4"/>
    <mergeCell ref="A8:AD8"/>
    <mergeCell ref="G10:J10"/>
    <mergeCell ref="K10:M10"/>
    <mergeCell ref="B21:I21"/>
    <mergeCell ref="Y25:Z25"/>
    <mergeCell ref="G11:J11"/>
    <mergeCell ref="K11:M11"/>
    <mergeCell ref="N11:U11"/>
    <mergeCell ref="V11:AC11"/>
    <mergeCell ref="B18:I18"/>
    <mergeCell ref="B19:I19"/>
    <mergeCell ref="N19:U20"/>
    <mergeCell ref="B20:K20"/>
  </mergeCells>
  <pageMargins left="0.25" right="0.25" top="0.75" bottom="0.75" header="0.3" footer="0.3"/>
  <pageSetup scale="42" orientation="portrait" r:id="rId1"/>
  <headerFooter alignWithMargins="0">
    <oddFooter>&amp;CCalculations: Page &amp;P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1">
    <tabColor theme="3" tint="-0.249977111117893"/>
    <pageSetUpPr fitToPage="1"/>
  </sheetPr>
  <dimension ref="A1:S77"/>
  <sheetViews>
    <sheetView view="pageBreakPreview" topLeftCell="A32" zoomScale="85" zoomScaleNormal="100" zoomScaleSheetLayoutView="85" zoomScalePageLayoutView="55" workbookViewId="0">
      <selection activeCell="E19" sqref="E19:R19"/>
    </sheetView>
  </sheetViews>
  <sheetFormatPr defaultColWidth="8.54296875" defaultRowHeight="12.5"/>
  <cols>
    <col min="1" max="1" width="3.54296875" style="355" customWidth="1"/>
    <col min="2" max="2" width="11.54296875" style="355" customWidth="1"/>
    <col min="3" max="3" width="15.453125" style="355" customWidth="1"/>
    <col min="4" max="4" width="12.36328125" style="436" customWidth="1"/>
    <col min="5" max="5" width="6.36328125" style="436" customWidth="1"/>
    <col min="6" max="6" width="11.54296875" style="434" customWidth="1"/>
    <col min="7" max="7" width="13.6328125" style="435" bestFit="1" customWidth="1"/>
    <col min="8" max="8" width="13.6328125" style="435" customWidth="1"/>
    <col min="9" max="9" width="12" style="436" bestFit="1" customWidth="1"/>
    <col min="10" max="10" width="11.54296875" style="436" customWidth="1"/>
    <col min="11" max="11" width="3.54296875" style="355" customWidth="1"/>
    <col min="12" max="12" width="10.453125" style="355" customWidth="1"/>
    <col min="13" max="15" width="8.54296875" style="355"/>
    <col min="16" max="16" width="11.453125" style="355" customWidth="1"/>
    <col min="17" max="16384" width="8.54296875" style="355"/>
  </cols>
  <sheetData>
    <row r="1" spans="1:19" ht="18.75" customHeight="1" thickBot="1">
      <c r="A1" s="774"/>
      <c r="B1" s="775"/>
      <c r="C1" s="775"/>
      <c r="D1" s="2002"/>
      <c r="E1" s="2002"/>
      <c r="F1" s="2003"/>
      <c r="G1" s="2004"/>
      <c r="H1" s="2004"/>
      <c r="I1" s="2002"/>
      <c r="J1" s="2002"/>
      <c r="K1" s="776"/>
    </row>
    <row r="2" spans="1:19" s="422" customFormat="1" ht="21" customHeight="1">
      <c r="A2" s="1992"/>
      <c r="B2" s="3931" t="str">
        <f>'Summary-Co'!B3</f>
        <v>XTO ENERGY INC.</v>
      </c>
      <c r="C2" s="3932"/>
      <c r="D2" s="3932"/>
      <c r="E2" s="3932"/>
      <c r="F2" s="3932"/>
      <c r="G2" s="3932"/>
      <c r="H2" s="3932"/>
      <c r="I2" s="3932"/>
      <c r="J2" s="3967"/>
      <c r="K2" s="1995"/>
    </row>
    <row r="3" spans="1:19" s="422" customFormat="1" ht="21" customHeight="1">
      <c r="A3" s="1992"/>
      <c r="B3" s="4326" t="str">
        <f>'Summary-Co'!B4</f>
        <v>HUSKY CDP</v>
      </c>
      <c r="C3" s="4327"/>
      <c r="D3" s="4327"/>
      <c r="E3" s="4327"/>
      <c r="F3" s="4327"/>
      <c r="G3" s="4327"/>
      <c r="H3" s="4327"/>
      <c r="I3" s="4327"/>
      <c r="J3" s="4365"/>
      <c r="K3" s="1995"/>
    </row>
    <row r="4" spans="1:19" s="422" customFormat="1" ht="21" customHeight="1" thickBot="1">
      <c r="A4" s="1992"/>
      <c r="B4" s="4328" t="s">
        <v>63</v>
      </c>
      <c r="C4" s="4329"/>
      <c r="D4" s="4329"/>
      <c r="E4" s="4329"/>
      <c r="F4" s="4329"/>
      <c r="G4" s="4329"/>
      <c r="H4" s="4329"/>
      <c r="I4" s="4329"/>
      <c r="J4" s="4330"/>
      <c r="K4" s="1995"/>
    </row>
    <row r="5" spans="1:19" ht="18.5" thickBot="1">
      <c r="A5" s="1582"/>
      <c r="B5" s="2005"/>
      <c r="C5" s="2006"/>
      <c r="D5" s="2006"/>
      <c r="E5" s="2006"/>
      <c r="F5" s="2006"/>
      <c r="G5" s="2006"/>
      <c r="H5" s="2006"/>
      <c r="I5" s="2006"/>
      <c r="J5" s="2006"/>
      <c r="K5" s="1583"/>
    </row>
    <row r="6" spans="1:19" ht="18">
      <c r="A6" s="426"/>
      <c r="B6" s="424"/>
      <c r="C6" s="425"/>
      <c r="D6" s="425"/>
      <c r="E6" s="425"/>
      <c r="F6" s="425"/>
      <c r="G6" s="425"/>
      <c r="H6" s="425"/>
      <c r="I6" s="425"/>
      <c r="J6" s="425"/>
      <c r="K6" s="427"/>
    </row>
    <row r="7" spans="1:19" ht="18.5" thickBot="1">
      <c r="A7" s="426"/>
      <c r="B7" s="424"/>
      <c r="C7" s="425"/>
      <c r="D7" s="425"/>
      <c r="E7" s="425"/>
      <c r="F7" s="425"/>
      <c r="G7" s="425"/>
      <c r="H7" s="425"/>
      <c r="I7" s="425"/>
      <c r="J7" s="425"/>
      <c r="K7" s="427"/>
    </row>
    <row r="8" spans="1:19" ht="18.5" thickBot="1">
      <c r="A8" s="774"/>
      <c r="B8" s="4879" t="s">
        <v>916</v>
      </c>
      <c r="C8" s="4879"/>
      <c r="D8" s="4879"/>
      <c r="E8" s="4879"/>
      <c r="F8" s="4879"/>
      <c r="G8" s="4879"/>
      <c r="H8" s="4879"/>
      <c r="I8" s="4879"/>
      <c r="J8" s="4879"/>
      <c r="K8" s="776"/>
    </row>
    <row r="9" spans="1:19" ht="17.25" customHeight="1" thickBot="1">
      <c r="A9" s="760"/>
      <c r="B9" s="4885" t="s">
        <v>40</v>
      </c>
      <c r="C9" s="4888" t="s">
        <v>41</v>
      </c>
      <c r="D9" s="4890" t="s">
        <v>38</v>
      </c>
      <c r="E9" s="4890" t="s">
        <v>24</v>
      </c>
      <c r="F9" s="4892" t="s">
        <v>25</v>
      </c>
      <c r="G9" s="4894" t="s">
        <v>293</v>
      </c>
      <c r="H9" s="4885" t="s">
        <v>1843</v>
      </c>
      <c r="I9" s="4898"/>
      <c r="J9" s="4899"/>
      <c r="K9" s="762"/>
    </row>
    <row r="10" spans="1:19" s="429" customFormat="1" ht="17.25" customHeight="1">
      <c r="A10" s="1982"/>
      <c r="B10" s="4886"/>
      <c r="C10" s="4889"/>
      <c r="D10" s="4891"/>
      <c r="E10" s="4891"/>
      <c r="F10" s="4893"/>
      <c r="G10" s="4895"/>
      <c r="H10" s="4900" t="s">
        <v>61</v>
      </c>
      <c r="I10" s="4896" t="s">
        <v>27</v>
      </c>
      <c r="J10" s="4880" t="s">
        <v>28</v>
      </c>
      <c r="K10" s="1983"/>
      <c r="L10" s="428"/>
      <c r="P10" s="1681" t="s">
        <v>98</v>
      </c>
    </row>
    <row r="11" spans="1:19" ht="17.25" customHeight="1" thickBot="1">
      <c r="A11" s="760"/>
      <c r="B11" s="4887"/>
      <c r="C11" s="4889"/>
      <c r="D11" s="4891"/>
      <c r="E11" s="4891"/>
      <c r="F11" s="4893"/>
      <c r="G11" s="4895"/>
      <c r="H11" s="4901"/>
      <c r="I11" s="4897"/>
      <c r="J11" s="4881"/>
      <c r="K11" s="762"/>
      <c r="L11" s="430"/>
      <c r="P11" s="486" t="s">
        <v>1476</v>
      </c>
      <c r="Q11" s="355" t="str">
        <f>'Components - INLET GAS'!I25</f>
        <v>0.113712*</v>
      </c>
      <c r="S11" s="355">
        <f>'CDP + Flare PStreams'!F49/100</f>
        <v>1.7675237180088999E-2</v>
      </c>
    </row>
    <row r="12" spans="1:19" ht="13">
      <c r="A12" s="760"/>
      <c r="B12" s="4867" t="s">
        <v>29</v>
      </c>
      <c r="C12" s="2007" t="s">
        <v>30</v>
      </c>
      <c r="D12" s="2008">
        <f>12000+133+7</f>
        <v>12140</v>
      </c>
      <c r="E12" s="2009">
        <v>8760</v>
      </c>
      <c r="F12" s="2999">
        <v>9.92E-3</v>
      </c>
      <c r="G12" s="2011">
        <f>SUM('CDP + Flare PStreams'!G42:G63)/100</f>
        <v>0.29222553955518638</v>
      </c>
      <c r="H12" s="2012">
        <f>I12/8760</f>
        <v>35.192371057983621</v>
      </c>
      <c r="I12" s="2013">
        <f>D12*E12*F12*G12</f>
        <v>308285.17046793655</v>
      </c>
      <c r="J12" s="2013">
        <f>I12/2000</f>
        <v>154.14258523396828</v>
      </c>
      <c r="K12" s="762"/>
      <c r="L12" s="2998"/>
      <c r="M12" s="2998"/>
      <c r="P12" s="486" t="s">
        <v>1477</v>
      </c>
      <c r="Q12" s="355" t="str">
        <f>'Components - INLET GAS'!I27</f>
        <v>0.0687148*</v>
      </c>
      <c r="S12" s="355">
        <f>'CDP + Flare PStreams'!G51/100</f>
        <v>6.8714803735645197E-4</v>
      </c>
    </row>
    <row r="13" spans="1:19" ht="13">
      <c r="A13" s="760"/>
      <c r="B13" s="4868"/>
      <c r="C13" s="2014" t="s">
        <v>31</v>
      </c>
      <c r="D13" s="2015">
        <v>5500</v>
      </c>
      <c r="E13" s="2016">
        <v>8760</v>
      </c>
      <c r="F13" s="3000">
        <v>5.4999999999999997E-3</v>
      </c>
      <c r="G13" s="2018">
        <f>SUM('CDP + Flare PStreams'!F42:F63)/100</f>
        <v>0.99958884038795848</v>
      </c>
      <c r="H13" s="2019">
        <f t="shared" ref="H13:H35" si="0">I13/8760</f>
        <v>30.237562421735745</v>
      </c>
      <c r="I13" s="2020">
        <f>D13*E13*F13*G13</f>
        <v>264881.04681440513</v>
      </c>
      <c r="J13" s="2020">
        <f t="shared" ref="J13:J35" si="1">I13/2000</f>
        <v>132.44052340720256</v>
      </c>
      <c r="K13" s="762"/>
      <c r="L13" s="2998"/>
      <c r="P13" s="486" t="s">
        <v>1478</v>
      </c>
      <c r="Q13" s="355" t="str">
        <f>'Components - INLET GAS'!I36</f>
        <v>0*</v>
      </c>
    </row>
    <row r="14" spans="1:19" ht="13">
      <c r="A14" s="760"/>
      <c r="B14" s="4868"/>
      <c r="C14" s="2014" t="s">
        <v>32</v>
      </c>
      <c r="D14" s="2015">
        <f>157+2</f>
        <v>159</v>
      </c>
      <c r="E14" s="2016">
        <v>8760</v>
      </c>
      <c r="F14" s="3000">
        <v>1.9000000000000001E-5</v>
      </c>
      <c r="G14" s="2018">
        <f>G13</f>
        <v>0.99958884038795848</v>
      </c>
      <c r="H14" s="2019">
        <f t="shared" si="0"/>
        <v>3.0197578868120223E-3</v>
      </c>
      <c r="I14" s="2020">
        <f t="shared" ref="I14:I35" si="2">D14*E14*F14*G14</f>
        <v>26.453079088473316</v>
      </c>
      <c r="J14" s="2020">
        <f t="shared" si="1"/>
        <v>1.3226539544236658E-2</v>
      </c>
      <c r="K14" s="762"/>
      <c r="L14" s="431"/>
    </row>
    <row r="15" spans="1:19" ht="13.5" thickBot="1">
      <c r="A15" s="760"/>
      <c r="B15" s="4869"/>
      <c r="C15" s="2021" t="s">
        <v>33</v>
      </c>
      <c r="D15" s="2022">
        <v>0</v>
      </c>
      <c r="E15" s="2023">
        <v>8760</v>
      </c>
      <c r="F15" s="3001">
        <v>2.1599999999999999E-4</v>
      </c>
      <c r="G15" s="2025">
        <f>G14</f>
        <v>0.99958884038795848</v>
      </c>
      <c r="H15" s="2026">
        <f t="shared" si="0"/>
        <v>0</v>
      </c>
      <c r="I15" s="2027">
        <f t="shared" si="2"/>
        <v>0</v>
      </c>
      <c r="J15" s="2027">
        <f>I15/2000</f>
        <v>0</v>
      </c>
      <c r="K15" s="762"/>
      <c r="L15" s="431"/>
    </row>
    <row r="16" spans="1:19" ht="13">
      <c r="A16" s="760"/>
      <c r="B16" s="4867" t="s">
        <v>60</v>
      </c>
      <c r="C16" s="2007" t="s">
        <v>30</v>
      </c>
      <c r="D16" s="2028">
        <v>0</v>
      </c>
      <c r="E16" s="2008">
        <v>8760</v>
      </c>
      <c r="F16" s="2999">
        <v>5.2900000000000004E-3</v>
      </c>
      <c r="G16" s="2011">
        <f>G12</f>
        <v>0.29222553955518638</v>
      </c>
      <c r="H16" s="2012">
        <f t="shared" si="0"/>
        <v>0</v>
      </c>
      <c r="I16" s="2013">
        <f t="shared" si="2"/>
        <v>0</v>
      </c>
      <c r="J16" s="2013">
        <f t="shared" si="1"/>
        <v>0</v>
      </c>
      <c r="K16" s="762"/>
      <c r="L16" s="431"/>
    </row>
    <row r="17" spans="1:17" ht="13">
      <c r="A17" s="760"/>
      <c r="B17" s="4868"/>
      <c r="C17" s="2014" t="s">
        <v>31</v>
      </c>
      <c r="D17" s="2015">
        <v>300</v>
      </c>
      <c r="E17" s="2015">
        <v>8760</v>
      </c>
      <c r="F17" s="3000">
        <v>2.8660000000000001E-2</v>
      </c>
      <c r="G17" s="2018">
        <f>G18</f>
        <v>0.99958884038795848</v>
      </c>
      <c r="H17" s="2019">
        <f t="shared" si="0"/>
        <v>8.5944648496556688</v>
      </c>
      <c r="I17" s="2020">
        <f t="shared" si="2"/>
        <v>75287.512082983652</v>
      </c>
      <c r="J17" s="2020">
        <f t="shared" si="1"/>
        <v>37.643756041491827</v>
      </c>
      <c r="K17" s="762"/>
      <c r="L17" s="431"/>
      <c r="P17" s="1681" t="s">
        <v>1475</v>
      </c>
    </row>
    <row r="18" spans="1:17" ht="13">
      <c r="A18" s="760"/>
      <c r="B18" s="4868"/>
      <c r="C18" s="2014" t="s">
        <v>32</v>
      </c>
      <c r="D18" s="2015">
        <v>4</v>
      </c>
      <c r="E18" s="2015">
        <v>8760</v>
      </c>
      <c r="F18" s="3000">
        <v>1.1299999999999999E-3</v>
      </c>
      <c r="G18" s="2018">
        <f>G19</f>
        <v>0.99958884038795848</v>
      </c>
      <c r="H18" s="2019">
        <f t="shared" si="0"/>
        <v>4.5181415585535721E-3</v>
      </c>
      <c r="I18" s="2020">
        <f t="shared" si="2"/>
        <v>39.578920052929291</v>
      </c>
      <c r="J18" s="2020">
        <f t="shared" si="1"/>
        <v>1.9789460026464645E-2</v>
      </c>
      <c r="K18" s="762"/>
      <c r="L18" s="431"/>
      <c r="P18" s="486" t="s">
        <v>1476</v>
      </c>
      <c r="Q18" s="355" t="e">
        <f>#REF!</f>
        <v>#REF!</v>
      </c>
    </row>
    <row r="19" spans="1:17" ht="13.5" thickBot="1">
      <c r="A19" s="760"/>
      <c r="B19" s="4869"/>
      <c r="C19" s="2021" t="s">
        <v>33</v>
      </c>
      <c r="D19" s="2022">
        <v>40</v>
      </c>
      <c r="E19" s="2022">
        <v>8760</v>
      </c>
      <c r="F19" s="3001">
        <v>5.3000000000000001E-5</v>
      </c>
      <c r="G19" s="2025">
        <f>G15</f>
        <v>0.99958884038795848</v>
      </c>
      <c r="H19" s="2026">
        <f t="shared" si="0"/>
        <v>2.1191283416224721E-3</v>
      </c>
      <c r="I19" s="2027">
        <f t="shared" si="2"/>
        <v>18.563564272612854</v>
      </c>
      <c r="J19" s="2027">
        <f t="shared" si="1"/>
        <v>9.2817821363064268E-3</v>
      </c>
      <c r="K19" s="762"/>
      <c r="L19" s="431"/>
      <c r="P19" s="486" t="s">
        <v>1477</v>
      </c>
      <c r="Q19" s="355" t="e">
        <f>#REF!</f>
        <v>#REF!</v>
      </c>
    </row>
    <row r="20" spans="1:17" ht="13">
      <c r="A20" s="760"/>
      <c r="B20" s="4867" t="s">
        <v>36</v>
      </c>
      <c r="C20" s="2007" t="s">
        <v>30</v>
      </c>
      <c r="D20" s="2008">
        <v>18000</v>
      </c>
      <c r="E20" s="2008">
        <v>8760</v>
      </c>
      <c r="F20" s="2999">
        <v>4.4000000000000002E-4</v>
      </c>
      <c r="G20" s="2011">
        <f>G16</f>
        <v>0.29222553955518638</v>
      </c>
      <c r="H20" s="2012">
        <f t="shared" si="0"/>
        <v>2.3144262732770757</v>
      </c>
      <c r="I20" s="2013">
        <f t="shared" si="2"/>
        <v>20274.374153907185</v>
      </c>
      <c r="J20" s="2013">
        <f t="shared" si="1"/>
        <v>10.137187076953593</v>
      </c>
      <c r="K20" s="762"/>
      <c r="L20" s="431"/>
      <c r="P20" s="486" t="s">
        <v>1478</v>
      </c>
      <c r="Q20" s="355" t="e">
        <f>#REF!</f>
        <v>#REF!</v>
      </c>
    </row>
    <row r="21" spans="1:17" ht="13">
      <c r="A21" s="760"/>
      <c r="B21" s="4868"/>
      <c r="C21" s="2014" t="s">
        <v>31</v>
      </c>
      <c r="D21" s="2015">
        <v>15000</v>
      </c>
      <c r="E21" s="2015">
        <v>8760</v>
      </c>
      <c r="F21" s="3000">
        <v>4.6299999999999998E-4</v>
      </c>
      <c r="G21" s="2018">
        <f>G22</f>
        <v>0.99958884038795848</v>
      </c>
      <c r="H21" s="2019">
        <f t="shared" si="0"/>
        <v>6.9421444964943708</v>
      </c>
      <c r="I21" s="2020">
        <f t="shared" si="2"/>
        <v>60813.185789290692</v>
      </c>
      <c r="J21" s="2020">
        <f t="shared" si="1"/>
        <v>30.406592894645346</v>
      </c>
      <c r="K21" s="762"/>
      <c r="L21" s="431"/>
    </row>
    <row r="22" spans="1:17" ht="13">
      <c r="A22" s="760"/>
      <c r="B22" s="4868"/>
      <c r="C22" s="2014" t="s">
        <v>32</v>
      </c>
      <c r="D22" s="2015">
        <v>0</v>
      </c>
      <c r="E22" s="2015">
        <v>8760</v>
      </c>
      <c r="F22" s="3000">
        <v>1.7E-5</v>
      </c>
      <c r="G22" s="2018">
        <f>G23</f>
        <v>0.99958884038795848</v>
      </c>
      <c r="H22" s="2019">
        <f t="shared" si="0"/>
        <v>0</v>
      </c>
      <c r="I22" s="2020">
        <f t="shared" si="2"/>
        <v>0</v>
      </c>
      <c r="J22" s="2020">
        <f t="shared" si="1"/>
        <v>0</v>
      </c>
      <c r="K22" s="762"/>
      <c r="L22" s="431"/>
    </row>
    <row r="23" spans="1:17" ht="13.5" thickBot="1">
      <c r="A23" s="760"/>
      <c r="B23" s="4869"/>
      <c r="C23" s="2021" t="s">
        <v>33</v>
      </c>
      <c r="D23" s="2022">
        <v>1400</v>
      </c>
      <c r="E23" s="2022">
        <v>8760</v>
      </c>
      <c r="F23" s="3001">
        <v>2.43E-4</v>
      </c>
      <c r="G23" s="2025">
        <f>G19</f>
        <v>0.99958884038795848</v>
      </c>
      <c r="H23" s="2026">
        <f t="shared" si="0"/>
        <v>0.34006012349998349</v>
      </c>
      <c r="I23" s="2027">
        <f t="shared" si="2"/>
        <v>2978.9266818598553</v>
      </c>
      <c r="J23" s="2027">
        <f t="shared" si="1"/>
        <v>1.4894633409299276</v>
      </c>
      <c r="K23" s="762"/>
      <c r="L23" s="431"/>
    </row>
    <row r="24" spans="1:17" ht="13">
      <c r="A24" s="760"/>
      <c r="B24" s="4867" t="s">
        <v>34</v>
      </c>
      <c r="C24" s="2007" t="s">
        <v>30</v>
      </c>
      <c r="D24" s="2008">
        <f>8000+354</f>
        <v>8354</v>
      </c>
      <c r="E24" s="2008">
        <v>8760</v>
      </c>
      <c r="F24" s="2999">
        <v>8.5999999999999998E-4</v>
      </c>
      <c r="G24" s="2011">
        <f>G20</f>
        <v>0.29222553955518638</v>
      </c>
      <c r="H24" s="2012">
        <f t="shared" si="0"/>
        <v>2.0994768554018628</v>
      </c>
      <c r="I24" s="2013">
        <f t="shared" si="2"/>
        <v>18391.41725332032</v>
      </c>
      <c r="J24" s="2013">
        <f t="shared" si="1"/>
        <v>9.19570862666016</v>
      </c>
      <c r="K24" s="762"/>
      <c r="L24" s="431"/>
    </row>
    <row r="25" spans="1:17" ht="13.5" customHeight="1">
      <c r="A25" s="760"/>
      <c r="B25" s="4868"/>
      <c r="C25" s="2014" t="s">
        <v>31</v>
      </c>
      <c r="D25" s="2015">
        <v>11000</v>
      </c>
      <c r="E25" s="2015">
        <v>8760</v>
      </c>
      <c r="F25" s="3000">
        <v>2.43E-4</v>
      </c>
      <c r="G25" s="2018">
        <f>G26</f>
        <v>0.99958884038795848</v>
      </c>
      <c r="H25" s="2019">
        <f t="shared" si="0"/>
        <v>2.6719009703570129</v>
      </c>
      <c r="I25" s="2020">
        <f t="shared" si="2"/>
        <v>23405.852500327434</v>
      </c>
      <c r="J25" s="2020">
        <f t="shared" si="1"/>
        <v>11.702926250163717</v>
      </c>
      <c r="K25" s="762"/>
      <c r="L25" s="431"/>
    </row>
    <row r="26" spans="1:17" ht="13">
      <c r="A26" s="760"/>
      <c r="B26" s="4868"/>
      <c r="C26" s="2014" t="s">
        <v>32</v>
      </c>
      <c r="D26" s="2015">
        <v>367</v>
      </c>
      <c r="E26" s="2015">
        <v>8760</v>
      </c>
      <c r="F26" s="3000">
        <v>8.6000000000000002E-7</v>
      </c>
      <c r="G26" s="2018">
        <f>G27</f>
        <v>0.99958884038795848</v>
      </c>
      <c r="H26" s="2019">
        <f t="shared" si="0"/>
        <v>3.1549022980324748E-4</v>
      </c>
      <c r="I26" s="2020">
        <f t="shared" si="2"/>
        <v>2.7636944130764478</v>
      </c>
      <c r="J26" s="2020">
        <f t="shared" si="1"/>
        <v>1.3818472065382239E-3</v>
      </c>
      <c r="K26" s="762"/>
      <c r="L26" s="431"/>
    </row>
    <row r="27" spans="1:17" ht="13.5" thickBot="1">
      <c r="A27" s="760"/>
      <c r="B27" s="4869"/>
      <c r="C27" s="2021" t="s">
        <v>33</v>
      </c>
      <c r="D27" s="2022">
        <v>1500</v>
      </c>
      <c r="E27" s="2022">
        <v>8760</v>
      </c>
      <c r="F27" s="3001">
        <v>6.1999999999999999E-6</v>
      </c>
      <c r="G27" s="2025">
        <f>G23</f>
        <v>0.99958884038795848</v>
      </c>
      <c r="H27" s="2026">
        <f t="shared" si="0"/>
        <v>9.2961762156080138E-3</v>
      </c>
      <c r="I27" s="2027">
        <f t="shared" si="2"/>
        <v>81.434503648726206</v>
      </c>
      <c r="J27" s="2027">
        <f>I27/2000</f>
        <v>4.0717251824363102E-2</v>
      </c>
      <c r="K27" s="762"/>
      <c r="L27" s="431"/>
    </row>
    <row r="28" spans="1:17" ht="13.5" customHeight="1">
      <c r="A28" s="760"/>
      <c r="B28" s="4867" t="s">
        <v>35</v>
      </c>
      <c r="C28" s="2007" t="s">
        <v>30</v>
      </c>
      <c r="D28" s="2008">
        <v>0</v>
      </c>
      <c r="E28" s="2008">
        <v>8760</v>
      </c>
      <c r="F28" s="2999">
        <v>4.4099999999999999E-3</v>
      </c>
      <c r="G28" s="2011">
        <f>G24</f>
        <v>0.29222553955518638</v>
      </c>
      <c r="H28" s="2012">
        <f t="shared" si="0"/>
        <v>0</v>
      </c>
      <c r="I28" s="2013">
        <f t="shared" si="2"/>
        <v>0</v>
      </c>
      <c r="J28" s="2013">
        <f t="shared" si="1"/>
        <v>0</v>
      </c>
      <c r="K28" s="762"/>
      <c r="L28" s="431"/>
    </row>
    <row r="29" spans="1:17" ht="13">
      <c r="A29" s="760"/>
      <c r="B29" s="4868"/>
      <c r="C29" s="2014" t="s">
        <v>31</v>
      </c>
      <c r="D29" s="2015">
        <v>0</v>
      </c>
      <c r="E29" s="2015">
        <v>8760</v>
      </c>
      <c r="F29" s="3000">
        <v>3.0899999999999999E-3</v>
      </c>
      <c r="G29" s="2018">
        <f>G30</f>
        <v>0.99958884038795848</v>
      </c>
      <c r="H29" s="2019">
        <f t="shared" si="0"/>
        <v>0</v>
      </c>
      <c r="I29" s="2020">
        <f t="shared" si="2"/>
        <v>0</v>
      </c>
      <c r="J29" s="2020">
        <f t="shared" si="1"/>
        <v>0</v>
      </c>
      <c r="K29" s="762"/>
      <c r="L29" s="431"/>
    </row>
    <row r="30" spans="1:17" ht="13">
      <c r="A30" s="760"/>
      <c r="B30" s="4868"/>
      <c r="C30" s="2014" t="s">
        <v>32</v>
      </c>
      <c r="D30" s="2015">
        <v>0</v>
      </c>
      <c r="E30" s="2015">
        <v>8760</v>
      </c>
      <c r="F30" s="3000">
        <v>3.0899999999999998E-4</v>
      </c>
      <c r="G30" s="2018">
        <f>G31</f>
        <v>0.99958884038795848</v>
      </c>
      <c r="H30" s="2019">
        <f t="shared" si="0"/>
        <v>0</v>
      </c>
      <c r="I30" s="2020">
        <f t="shared" si="2"/>
        <v>0</v>
      </c>
      <c r="J30" s="2020">
        <f t="shared" si="1"/>
        <v>0</v>
      </c>
      <c r="K30" s="762"/>
      <c r="L30" s="431"/>
    </row>
    <row r="31" spans="1:17" ht="13.5" thickBot="1">
      <c r="A31" s="760"/>
      <c r="B31" s="4869"/>
      <c r="C31" s="2021" t="s">
        <v>33</v>
      </c>
      <c r="D31" s="2022">
        <v>0</v>
      </c>
      <c r="E31" s="2022">
        <v>8760</v>
      </c>
      <c r="F31" s="3001">
        <v>5.5000000000000003E-4</v>
      </c>
      <c r="G31" s="2025">
        <f>G27</f>
        <v>0.99958884038795848</v>
      </c>
      <c r="H31" s="2026">
        <f t="shared" si="0"/>
        <v>0</v>
      </c>
      <c r="I31" s="2027">
        <f t="shared" si="2"/>
        <v>0</v>
      </c>
      <c r="J31" s="2027">
        <f t="shared" si="1"/>
        <v>0</v>
      </c>
      <c r="K31" s="762"/>
      <c r="L31" s="431"/>
    </row>
    <row r="32" spans="1:17" ht="13">
      <c r="A32" s="760"/>
      <c r="B32" s="4870" t="s">
        <v>39</v>
      </c>
      <c r="C32" s="2007" t="s">
        <v>30</v>
      </c>
      <c r="D32" s="2008">
        <v>40</v>
      </c>
      <c r="E32" s="2008">
        <v>8760</v>
      </c>
      <c r="F32" s="2999">
        <v>1.9400000000000001E-2</v>
      </c>
      <c r="G32" s="2011">
        <f>G28</f>
        <v>0.29222553955518638</v>
      </c>
      <c r="H32" s="2029">
        <f t="shared" si="0"/>
        <v>0.22676701869482463</v>
      </c>
      <c r="I32" s="2013">
        <f t="shared" si="2"/>
        <v>1986.4790837666637</v>
      </c>
      <c r="J32" s="2013">
        <f t="shared" si="1"/>
        <v>0.99323954188333186</v>
      </c>
      <c r="K32" s="762"/>
      <c r="L32" s="431"/>
    </row>
    <row r="33" spans="1:14" ht="13">
      <c r="A33" s="760"/>
      <c r="B33" s="4871"/>
      <c r="C33" s="2014" t="s">
        <v>31</v>
      </c>
      <c r="D33" s="2015">
        <v>0</v>
      </c>
      <c r="E33" s="2015">
        <v>8760</v>
      </c>
      <c r="F33" s="3000">
        <v>1.6500000000000001E-2</v>
      </c>
      <c r="G33" s="2018">
        <f>G27</f>
        <v>0.99958884038795848</v>
      </c>
      <c r="H33" s="2019">
        <f t="shared" si="0"/>
        <v>0</v>
      </c>
      <c r="I33" s="2020">
        <f t="shared" si="2"/>
        <v>0</v>
      </c>
      <c r="J33" s="2020">
        <f t="shared" si="1"/>
        <v>0</v>
      </c>
      <c r="K33" s="762"/>
      <c r="L33" s="431"/>
    </row>
    <row r="34" spans="1:14" ht="13">
      <c r="A34" s="760"/>
      <c r="B34" s="4871"/>
      <c r="C34" s="2014" t="s">
        <v>32</v>
      </c>
      <c r="D34" s="2015">
        <v>0</v>
      </c>
      <c r="E34" s="2015">
        <v>8760</v>
      </c>
      <c r="F34" s="3000">
        <v>6.7999999999999999E-5</v>
      </c>
      <c r="G34" s="2018">
        <f>G33</f>
        <v>0.99958884038795848</v>
      </c>
      <c r="H34" s="2019">
        <f t="shared" si="0"/>
        <v>0</v>
      </c>
      <c r="I34" s="2020">
        <f t="shared" si="2"/>
        <v>0</v>
      </c>
      <c r="J34" s="2020">
        <f t="shared" si="1"/>
        <v>0</v>
      </c>
      <c r="K34" s="762"/>
      <c r="L34" s="431"/>
    </row>
    <row r="35" spans="1:14" ht="13.5" thickBot="1">
      <c r="A35" s="760"/>
      <c r="B35" s="4872"/>
      <c r="C35" s="2021" t="s">
        <v>33</v>
      </c>
      <c r="D35" s="2022">
        <v>0</v>
      </c>
      <c r="E35" s="2022">
        <v>8760</v>
      </c>
      <c r="F35" s="3001">
        <v>3.09E-2</v>
      </c>
      <c r="G35" s="2025">
        <f>G27</f>
        <v>0.99958884038795848</v>
      </c>
      <c r="H35" s="2026">
        <f t="shared" si="0"/>
        <v>0</v>
      </c>
      <c r="I35" s="2027">
        <f t="shared" si="2"/>
        <v>0</v>
      </c>
      <c r="J35" s="2027">
        <f t="shared" si="1"/>
        <v>0</v>
      </c>
      <c r="K35" s="762"/>
      <c r="L35" s="431"/>
    </row>
    <row r="36" spans="1:14" ht="13">
      <c r="A36" s="760"/>
      <c r="B36" s="43"/>
      <c r="C36" s="43"/>
      <c r="D36" s="1984"/>
      <c r="E36" s="1984"/>
      <c r="F36" s="1985"/>
      <c r="G36" s="1986"/>
      <c r="H36" s="1986"/>
      <c r="I36" s="1987"/>
      <c r="J36" s="1987"/>
      <c r="K36" s="762"/>
    </row>
    <row r="37" spans="1:14" ht="13.5" thickBot="1">
      <c r="A37" s="760"/>
      <c r="B37" s="43"/>
      <c r="C37" s="43"/>
      <c r="D37" s="1988"/>
      <c r="E37" s="1989"/>
      <c r="F37" s="1990"/>
      <c r="G37" s="1991"/>
      <c r="H37" s="1991"/>
      <c r="I37" s="1987"/>
      <c r="J37" s="1987"/>
      <c r="K37" s="762"/>
    </row>
    <row r="38" spans="1:14" s="422" customFormat="1" ht="22.5" customHeight="1" thickBot="1">
      <c r="A38" s="1992"/>
      <c r="B38" s="1993"/>
      <c r="C38" s="4873" t="s">
        <v>46</v>
      </c>
      <c r="D38" s="4874"/>
      <c r="E38" s="4874"/>
      <c r="F38" s="4875"/>
      <c r="G38" s="2030" t="s">
        <v>22</v>
      </c>
      <c r="H38" s="2031" t="s">
        <v>27</v>
      </c>
      <c r="I38" s="2032" t="s">
        <v>37</v>
      </c>
      <c r="J38" s="1994"/>
      <c r="K38" s="1995"/>
    </row>
    <row r="39" spans="1:14" s="422" customFormat="1" ht="22.5" customHeight="1" thickBot="1">
      <c r="A39" s="1992"/>
      <c r="B39" s="1993"/>
      <c r="C39" s="4882" t="s">
        <v>916</v>
      </c>
      <c r="D39" s="4883"/>
      <c r="E39" s="4883"/>
      <c r="F39" s="4884"/>
      <c r="G39" s="2033">
        <f>SUM(H12:H35)</f>
        <v>88.63844276133257</v>
      </c>
      <c r="H39" s="2034">
        <f>SUM(I12:I35)</f>
        <v>776472.75858927344</v>
      </c>
      <c r="I39" s="2035">
        <f>SUM(J12:J35)</f>
        <v>388.23637929463672</v>
      </c>
      <c r="J39" s="1994"/>
      <c r="K39" s="1995"/>
    </row>
    <row r="40" spans="1:14" ht="19.5" customHeight="1" thickBot="1">
      <c r="A40" s="1582"/>
      <c r="B40" s="1580"/>
      <c r="C40" s="1580"/>
      <c r="D40" s="1996"/>
      <c r="E40" s="1996"/>
      <c r="F40" s="1997"/>
      <c r="G40" s="1998"/>
      <c r="H40" s="1998"/>
      <c r="I40" s="1996"/>
      <c r="J40" s="1996"/>
      <c r="K40" s="1583"/>
    </row>
    <row r="41" spans="1:14" ht="18.5" thickBot="1">
      <c r="A41" s="774"/>
      <c r="B41" s="4879" t="s">
        <v>917</v>
      </c>
      <c r="C41" s="4879"/>
      <c r="D41" s="4879"/>
      <c r="E41" s="4879"/>
      <c r="F41" s="4879"/>
      <c r="G41" s="4879"/>
      <c r="H41" s="4879"/>
      <c r="I41" s="4879"/>
      <c r="J41" s="4879"/>
      <c r="K41" s="776"/>
    </row>
    <row r="42" spans="1:14" ht="12.75" customHeight="1" thickBot="1">
      <c r="A42" s="760"/>
      <c r="B42" s="4885" t="s">
        <v>40</v>
      </c>
      <c r="C42" s="4888" t="s">
        <v>41</v>
      </c>
      <c r="D42" s="4890" t="s">
        <v>38</v>
      </c>
      <c r="E42" s="4890" t="s">
        <v>24</v>
      </c>
      <c r="F42" s="4892" t="s">
        <v>25</v>
      </c>
      <c r="G42" s="4894" t="s">
        <v>293</v>
      </c>
      <c r="H42" s="4885" t="s">
        <v>1843</v>
      </c>
      <c r="I42" s="4898"/>
      <c r="J42" s="4899"/>
      <c r="K42" s="762"/>
    </row>
    <row r="43" spans="1:14">
      <c r="A43" s="1982"/>
      <c r="B43" s="4886"/>
      <c r="C43" s="4889"/>
      <c r="D43" s="4891"/>
      <c r="E43" s="4891"/>
      <c r="F43" s="4893"/>
      <c r="G43" s="4895"/>
      <c r="H43" s="4900" t="s">
        <v>61</v>
      </c>
      <c r="I43" s="4896" t="s">
        <v>27</v>
      </c>
      <c r="J43" s="4880" t="s">
        <v>28</v>
      </c>
      <c r="K43" s="1983"/>
    </row>
    <row r="44" spans="1:14" ht="13" thickBot="1">
      <c r="A44" s="760"/>
      <c r="B44" s="4887"/>
      <c r="C44" s="4889"/>
      <c r="D44" s="4891"/>
      <c r="E44" s="4891"/>
      <c r="F44" s="4893"/>
      <c r="G44" s="4895"/>
      <c r="H44" s="4901"/>
      <c r="I44" s="4897"/>
      <c r="J44" s="4881"/>
      <c r="K44" s="762"/>
    </row>
    <row r="45" spans="1:14" ht="13">
      <c r="A45" s="760"/>
      <c r="B45" s="4867" t="s">
        <v>29</v>
      </c>
      <c r="C45" s="2007" t="s">
        <v>30</v>
      </c>
      <c r="D45" s="2008">
        <f>D12</f>
        <v>12140</v>
      </c>
      <c r="E45" s="2009">
        <v>8760</v>
      </c>
      <c r="F45" s="2999">
        <f>F12</f>
        <v>9.92E-3</v>
      </c>
      <c r="G45" s="2011">
        <f>G12</f>
        <v>0.29222553955518638</v>
      </c>
      <c r="H45" s="2012">
        <f>I45/8760</f>
        <v>11.613482449134596</v>
      </c>
      <c r="I45" s="2013">
        <f>D45*E45*F45*G45*(1-D76)</f>
        <v>101734.10625441905</v>
      </c>
      <c r="J45" s="2013">
        <f t="shared" ref="J45:J56" si="3">I45/2000</f>
        <v>50.867053127209523</v>
      </c>
      <c r="K45" s="762"/>
      <c r="M45" s="2998">
        <v>4.4999999999999997E-3</v>
      </c>
      <c r="N45" s="2998"/>
    </row>
    <row r="46" spans="1:14" ht="13">
      <c r="A46" s="760"/>
      <c r="B46" s="4868"/>
      <c r="C46" s="2014" t="s">
        <v>31</v>
      </c>
      <c r="D46" s="2015">
        <v>3800</v>
      </c>
      <c r="E46" s="2016">
        <v>8760</v>
      </c>
      <c r="F46" s="3000">
        <v>5.4999999999999997E-3</v>
      </c>
      <c r="G46" s="2018">
        <f>G13</f>
        <v>0.99958884038795848</v>
      </c>
      <c r="H46" s="2019">
        <f t="shared" ref="H46:H68" si="4">I46/8760</f>
        <v>8.1476486380022486</v>
      </c>
      <c r="I46" s="2020">
        <f>D46*E46*F46*G46*(1-D77)</f>
        <v>71373.402068899697</v>
      </c>
      <c r="J46" s="2020">
        <f t="shared" si="3"/>
        <v>35.686701034449847</v>
      </c>
      <c r="K46" s="762"/>
      <c r="M46" s="2998">
        <v>2.5000000000000001E-3</v>
      </c>
      <c r="N46" s="2998"/>
    </row>
    <row r="47" spans="1:14" ht="13">
      <c r="A47" s="760"/>
      <c r="B47" s="4868"/>
      <c r="C47" s="2014" t="s">
        <v>32</v>
      </c>
      <c r="D47" s="2015">
        <v>0</v>
      </c>
      <c r="E47" s="2016">
        <v>8760</v>
      </c>
      <c r="F47" s="3000">
        <v>1.9000000000000001E-5</v>
      </c>
      <c r="G47" s="2018">
        <f>G14</f>
        <v>0.99958884038795848</v>
      </c>
      <c r="H47" s="2019">
        <f t="shared" si="4"/>
        <v>0</v>
      </c>
      <c r="I47" s="2020">
        <f t="shared" ref="I47:I68" si="5">D47*E47*F47*G47</f>
        <v>0</v>
      </c>
      <c r="J47" s="2020">
        <f t="shared" si="3"/>
        <v>0</v>
      </c>
      <c r="K47" s="762"/>
    </row>
    <row r="48" spans="1:14" ht="13.5" thickBot="1">
      <c r="A48" s="760"/>
      <c r="B48" s="4869"/>
      <c r="C48" s="2021" t="s">
        <v>33</v>
      </c>
      <c r="D48" s="2022">
        <v>0</v>
      </c>
      <c r="E48" s="2023">
        <v>8760</v>
      </c>
      <c r="F48" s="3001">
        <v>2.1599999999999999E-4</v>
      </c>
      <c r="G48" s="2025">
        <f>G15</f>
        <v>0.99958884038795848</v>
      </c>
      <c r="H48" s="2026">
        <f t="shared" si="4"/>
        <v>0</v>
      </c>
      <c r="I48" s="2027">
        <f t="shared" si="5"/>
        <v>0</v>
      </c>
      <c r="J48" s="2027">
        <f t="shared" si="3"/>
        <v>0</v>
      </c>
      <c r="K48" s="762"/>
    </row>
    <row r="49" spans="1:11" ht="13">
      <c r="A49" s="760"/>
      <c r="B49" s="4867" t="s">
        <v>60</v>
      </c>
      <c r="C49" s="2007" t="s">
        <v>30</v>
      </c>
      <c r="D49" s="2028">
        <v>0</v>
      </c>
      <c r="E49" s="2008">
        <v>8760</v>
      </c>
      <c r="F49" s="2999">
        <v>5.2900000000000004E-3</v>
      </c>
      <c r="G49" s="2011">
        <f t="shared" ref="G49:G68" si="6">G16</f>
        <v>0.29222553955518638</v>
      </c>
      <c r="H49" s="2012">
        <f t="shared" si="4"/>
        <v>0</v>
      </c>
      <c r="I49" s="2013">
        <f t="shared" si="5"/>
        <v>0</v>
      </c>
      <c r="J49" s="2013">
        <f t="shared" si="3"/>
        <v>0</v>
      </c>
      <c r="K49" s="762"/>
    </row>
    <row r="50" spans="1:11" ht="13">
      <c r="A50" s="760"/>
      <c r="B50" s="4868"/>
      <c r="C50" s="2014" t="s">
        <v>31</v>
      </c>
      <c r="D50" s="2015">
        <v>40</v>
      </c>
      <c r="E50" s="2015">
        <v>8760</v>
      </c>
      <c r="F50" s="3000">
        <v>2.8660000000000001E-2</v>
      </c>
      <c r="G50" s="2018">
        <f t="shared" si="6"/>
        <v>0.99958884038795848</v>
      </c>
      <c r="H50" s="2019">
        <f t="shared" si="4"/>
        <v>0.63026075564141559</v>
      </c>
      <c r="I50" s="2020">
        <f>D50*E50*F50*G50*(1-G76)</f>
        <v>5521.0842194188008</v>
      </c>
      <c r="J50" s="2020">
        <f t="shared" si="3"/>
        <v>2.7605421097094003</v>
      </c>
      <c r="K50" s="762"/>
    </row>
    <row r="51" spans="1:11" ht="13">
      <c r="A51" s="760"/>
      <c r="B51" s="4868"/>
      <c r="C51" s="2014" t="s">
        <v>32</v>
      </c>
      <c r="D51" s="2015">
        <v>0</v>
      </c>
      <c r="E51" s="2015">
        <v>8760</v>
      </c>
      <c r="F51" s="3000">
        <v>1.1299999999999999E-3</v>
      </c>
      <c r="G51" s="2018">
        <f t="shared" si="6"/>
        <v>0.99958884038795848</v>
      </c>
      <c r="H51" s="2019">
        <f t="shared" si="4"/>
        <v>0</v>
      </c>
      <c r="I51" s="2020">
        <f t="shared" si="5"/>
        <v>0</v>
      </c>
      <c r="J51" s="2020">
        <f t="shared" si="3"/>
        <v>0</v>
      </c>
      <c r="K51" s="762"/>
    </row>
    <row r="52" spans="1:11" ht="13.5" thickBot="1">
      <c r="A52" s="760"/>
      <c r="B52" s="4869"/>
      <c r="C52" s="2021" t="s">
        <v>33</v>
      </c>
      <c r="D52" s="2022">
        <v>0</v>
      </c>
      <c r="E52" s="2022">
        <v>8760</v>
      </c>
      <c r="F52" s="3001">
        <v>5.3000000000000001E-5</v>
      </c>
      <c r="G52" s="2025">
        <f t="shared" si="6"/>
        <v>0.99958884038795848</v>
      </c>
      <c r="H52" s="2026">
        <f t="shared" si="4"/>
        <v>0</v>
      </c>
      <c r="I52" s="2027">
        <f t="shared" si="5"/>
        <v>0</v>
      </c>
      <c r="J52" s="2027">
        <f t="shared" si="3"/>
        <v>0</v>
      </c>
      <c r="K52" s="762"/>
    </row>
    <row r="53" spans="1:11" ht="13">
      <c r="A53" s="760"/>
      <c r="B53" s="4867" t="s">
        <v>36</v>
      </c>
      <c r="C53" s="2007" t="s">
        <v>30</v>
      </c>
      <c r="D53" s="2008">
        <v>18000</v>
      </c>
      <c r="E53" s="2008">
        <v>8760</v>
      </c>
      <c r="F53" s="2999">
        <v>4.4000000000000002E-4</v>
      </c>
      <c r="G53" s="2011">
        <f t="shared" si="6"/>
        <v>0.29222553955518638</v>
      </c>
      <c r="H53" s="2012">
        <f t="shared" si="4"/>
        <v>2.3144262732770757</v>
      </c>
      <c r="I53" s="2013">
        <f>D53*E53*F53*G53*(1-J76)</f>
        <v>20274.374153907185</v>
      </c>
      <c r="J53" s="2013">
        <f t="shared" si="3"/>
        <v>10.137187076953593</v>
      </c>
      <c r="K53" s="762"/>
    </row>
    <row r="54" spans="1:11" ht="13">
      <c r="A54" s="760"/>
      <c r="B54" s="4868"/>
      <c r="C54" s="2014" t="s">
        <v>31</v>
      </c>
      <c r="D54" s="2015">
        <v>15000</v>
      </c>
      <c r="E54" s="2015">
        <v>8760</v>
      </c>
      <c r="F54" s="3000">
        <v>4.6299999999999998E-4</v>
      </c>
      <c r="G54" s="2018">
        <f t="shared" si="6"/>
        <v>0.99958884038795848</v>
      </c>
      <c r="H54" s="2019">
        <f t="shared" si="4"/>
        <v>6.9421444964943708</v>
      </c>
      <c r="I54" s="2020">
        <f>D54*E54*F54*G54*(1-J76)</f>
        <v>60813.185789290692</v>
      </c>
      <c r="J54" s="2020">
        <f t="shared" si="3"/>
        <v>30.406592894645346</v>
      </c>
      <c r="K54" s="762"/>
    </row>
    <row r="55" spans="1:11" ht="13">
      <c r="A55" s="760"/>
      <c r="B55" s="4868"/>
      <c r="C55" s="2014" t="s">
        <v>32</v>
      </c>
      <c r="D55" s="2015">
        <v>0</v>
      </c>
      <c r="E55" s="2015">
        <v>8760</v>
      </c>
      <c r="F55" s="3000">
        <v>1.7E-5</v>
      </c>
      <c r="G55" s="2018">
        <f t="shared" si="6"/>
        <v>0.99958884038795848</v>
      </c>
      <c r="H55" s="2019">
        <f t="shared" si="4"/>
        <v>0</v>
      </c>
      <c r="I55" s="2020">
        <f t="shared" si="5"/>
        <v>0</v>
      </c>
      <c r="J55" s="2020">
        <f t="shared" si="3"/>
        <v>0</v>
      </c>
      <c r="K55" s="762"/>
    </row>
    <row r="56" spans="1:11" ht="13.5" thickBot="1">
      <c r="A56" s="760"/>
      <c r="B56" s="4869"/>
      <c r="C56" s="2021" t="s">
        <v>33</v>
      </c>
      <c r="D56" s="2022">
        <v>0</v>
      </c>
      <c r="E56" s="2022">
        <v>8760</v>
      </c>
      <c r="F56" s="3001">
        <v>2.43E-4</v>
      </c>
      <c r="G56" s="2025">
        <f t="shared" si="6"/>
        <v>0.99958884038795848</v>
      </c>
      <c r="H56" s="2026">
        <f t="shared" si="4"/>
        <v>0</v>
      </c>
      <c r="I56" s="2027">
        <f t="shared" si="5"/>
        <v>0</v>
      </c>
      <c r="J56" s="2027">
        <f t="shared" si="3"/>
        <v>0</v>
      </c>
      <c r="K56" s="762"/>
    </row>
    <row r="57" spans="1:11" ht="13">
      <c r="A57" s="760"/>
      <c r="B57" s="4867" t="s">
        <v>34</v>
      </c>
      <c r="C57" s="2007" t="s">
        <v>30</v>
      </c>
      <c r="D57" s="2008">
        <v>1500</v>
      </c>
      <c r="E57" s="2008">
        <v>8760</v>
      </c>
      <c r="F57" s="2999">
        <v>8.5999999999999998E-4</v>
      </c>
      <c r="G57" s="2011">
        <f t="shared" si="6"/>
        <v>0.29222553955518638</v>
      </c>
      <c r="H57" s="2012">
        <f t="shared" si="4"/>
        <v>0.37697094602619041</v>
      </c>
      <c r="I57" s="2013">
        <f>D57*E57*F57*G57*(1-J76)</f>
        <v>3302.2654871894279</v>
      </c>
      <c r="J57" s="2013">
        <f t="shared" ref="J57:J68" si="7">I57/2000</f>
        <v>1.6511327435947138</v>
      </c>
      <c r="K57" s="762"/>
    </row>
    <row r="58" spans="1:11" ht="13">
      <c r="A58" s="760"/>
      <c r="B58" s="4868"/>
      <c r="C58" s="2014" t="s">
        <v>31</v>
      </c>
      <c r="D58" s="2015">
        <v>1500</v>
      </c>
      <c r="E58" s="2015">
        <v>8760</v>
      </c>
      <c r="F58" s="3000">
        <v>2.43E-4</v>
      </c>
      <c r="G58" s="2018">
        <f t="shared" si="6"/>
        <v>0.99958884038795848</v>
      </c>
      <c r="H58" s="2019">
        <f t="shared" si="4"/>
        <v>0.36435013232141089</v>
      </c>
      <c r="I58" s="2020">
        <f>D58*E58*F58*G58*(1-J76)</f>
        <v>3191.7071591355593</v>
      </c>
      <c r="J58" s="2020">
        <f t="shared" si="7"/>
        <v>1.5958535795677797</v>
      </c>
      <c r="K58" s="762"/>
    </row>
    <row r="59" spans="1:11" ht="13">
      <c r="A59" s="760"/>
      <c r="B59" s="4868"/>
      <c r="C59" s="2014" t="s">
        <v>32</v>
      </c>
      <c r="D59" s="2015">
        <v>0</v>
      </c>
      <c r="E59" s="2015">
        <v>8760</v>
      </c>
      <c r="F59" s="3000">
        <v>8.6000000000000002E-7</v>
      </c>
      <c r="G59" s="2018">
        <f t="shared" si="6"/>
        <v>0.99958884038795848</v>
      </c>
      <c r="H59" s="2019">
        <f t="shared" si="4"/>
        <v>0</v>
      </c>
      <c r="I59" s="2020">
        <f t="shared" si="5"/>
        <v>0</v>
      </c>
      <c r="J59" s="2020">
        <f t="shared" si="7"/>
        <v>0</v>
      </c>
      <c r="K59" s="762"/>
    </row>
    <row r="60" spans="1:11" ht="13.5" thickBot="1">
      <c r="A60" s="760"/>
      <c r="B60" s="4869"/>
      <c r="C60" s="2021" t="s">
        <v>33</v>
      </c>
      <c r="D60" s="2022">
        <v>0</v>
      </c>
      <c r="E60" s="2022">
        <v>8760</v>
      </c>
      <c r="F60" s="3001">
        <v>6.1999999999999999E-6</v>
      </c>
      <c r="G60" s="2025">
        <f t="shared" si="6"/>
        <v>0.99958884038795848</v>
      </c>
      <c r="H60" s="2026">
        <f t="shared" si="4"/>
        <v>0</v>
      </c>
      <c r="I60" s="2027">
        <f t="shared" si="5"/>
        <v>0</v>
      </c>
      <c r="J60" s="2027">
        <f t="shared" si="7"/>
        <v>0</v>
      </c>
      <c r="K60" s="762"/>
    </row>
    <row r="61" spans="1:11" ht="13">
      <c r="A61" s="760"/>
      <c r="B61" s="4867" t="s">
        <v>35</v>
      </c>
      <c r="C61" s="2007" t="s">
        <v>30</v>
      </c>
      <c r="D61" s="2008">
        <v>0</v>
      </c>
      <c r="E61" s="2008">
        <v>8760</v>
      </c>
      <c r="F61" s="2999">
        <v>4.4099999999999999E-3</v>
      </c>
      <c r="G61" s="2011">
        <f t="shared" si="6"/>
        <v>0.29222553955518638</v>
      </c>
      <c r="H61" s="2012">
        <f t="shared" si="4"/>
        <v>0</v>
      </c>
      <c r="I61" s="2013">
        <f t="shared" si="5"/>
        <v>0</v>
      </c>
      <c r="J61" s="2013">
        <f t="shared" si="7"/>
        <v>0</v>
      </c>
      <c r="K61" s="762"/>
    </row>
    <row r="62" spans="1:11" ht="13">
      <c r="A62" s="760"/>
      <c r="B62" s="4868"/>
      <c r="C62" s="2014" t="s">
        <v>31</v>
      </c>
      <c r="D62" s="2015">
        <v>0</v>
      </c>
      <c r="E62" s="2015">
        <v>8760</v>
      </c>
      <c r="F62" s="3000">
        <v>3.0899999999999999E-3</v>
      </c>
      <c r="G62" s="2018">
        <f t="shared" si="6"/>
        <v>0.99958884038795848</v>
      </c>
      <c r="H62" s="2019">
        <f t="shared" si="4"/>
        <v>0</v>
      </c>
      <c r="I62" s="2020">
        <f t="shared" si="5"/>
        <v>0</v>
      </c>
      <c r="J62" s="2020">
        <f t="shared" si="7"/>
        <v>0</v>
      </c>
      <c r="K62" s="762"/>
    </row>
    <row r="63" spans="1:11" ht="13">
      <c r="A63" s="760"/>
      <c r="B63" s="4868"/>
      <c r="C63" s="2014" t="s">
        <v>32</v>
      </c>
      <c r="D63" s="2015">
        <v>0</v>
      </c>
      <c r="E63" s="2015">
        <v>8760</v>
      </c>
      <c r="F63" s="3000">
        <v>3.0899999999999998E-4</v>
      </c>
      <c r="G63" s="2018">
        <f t="shared" si="6"/>
        <v>0.99958884038795848</v>
      </c>
      <c r="H63" s="2019">
        <f t="shared" si="4"/>
        <v>0</v>
      </c>
      <c r="I63" s="2020">
        <f t="shared" si="5"/>
        <v>0</v>
      </c>
      <c r="J63" s="2020">
        <f t="shared" si="7"/>
        <v>0</v>
      </c>
      <c r="K63" s="762"/>
    </row>
    <row r="64" spans="1:11" ht="13.5" thickBot="1">
      <c r="A64" s="760"/>
      <c r="B64" s="4869"/>
      <c r="C64" s="2021" t="s">
        <v>33</v>
      </c>
      <c r="D64" s="2022">
        <v>0</v>
      </c>
      <c r="E64" s="2022">
        <v>8760</v>
      </c>
      <c r="F64" s="3001">
        <v>5.5000000000000003E-4</v>
      </c>
      <c r="G64" s="2025">
        <f t="shared" si="6"/>
        <v>0.99958884038795848</v>
      </c>
      <c r="H64" s="2026">
        <f t="shared" si="4"/>
        <v>0</v>
      </c>
      <c r="I64" s="2027">
        <f t="shared" si="5"/>
        <v>0</v>
      </c>
      <c r="J64" s="2027">
        <f t="shared" si="7"/>
        <v>0</v>
      </c>
      <c r="K64" s="762"/>
    </row>
    <row r="65" spans="1:11" ht="13">
      <c r="A65" s="760"/>
      <c r="B65" s="4870" t="s">
        <v>39</v>
      </c>
      <c r="C65" s="2007" t="s">
        <v>30</v>
      </c>
      <c r="D65" s="2008">
        <v>40</v>
      </c>
      <c r="E65" s="2008">
        <v>8760</v>
      </c>
      <c r="F65" s="2999">
        <v>1.9400000000000001E-2</v>
      </c>
      <c r="G65" s="2011">
        <f t="shared" si="6"/>
        <v>0.29222553955518638</v>
      </c>
      <c r="H65" s="2029">
        <f t="shared" si="4"/>
        <v>0.22676701869482463</v>
      </c>
      <c r="I65" s="2013">
        <f t="shared" si="5"/>
        <v>1986.4790837666637</v>
      </c>
      <c r="J65" s="2013">
        <f t="shared" si="7"/>
        <v>0.99323954188333186</v>
      </c>
      <c r="K65" s="762"/>
    </row>
    <row r="66" spans="1:11" ht="13">
      <c r="A66" s="760"/>
      <c r="B66" s="4871"/>
      <c r="C66" s="2014" t="s">
        <v>31</v>
      </c>
      <c r="D66" s="2015">
        <v>0</v>
      </c>
      <c r="E66" s="2015">
        <v>8760</v>
      </c>
      <c r="F66" s="3000">
        <v>1.6500000000000001E-2</v>
      </c>
      <c r="G66" s="2018">
        <f t="shared" si="6"/>
        <v>0.99958884038795848</v>
      </c>
      <c r="H66" s="2019">
        <f t="shared" si="4"/>
        <v>0</v>
      </c>
      <c r="I66" s="2020">
        <f t="shared" si="5"/>
        <v>0</v>
      </c>
      <c r="J66" s="2020">
        <f t="shared" si="7"/>
        <v>0</v>
      </c>
      <c r="K66" s="762"/>
    </row>
    <row r="67" spans="1:11" ht="13">
      <c r="A67" s="760"/>
      <c r="B67" s="4871"/>
      <c r="C67" s="2014" t="s">
        <v>32</v>
      </c>
      <c r="D67" s="2015">
        <v>0</v>
      </c>
      <c r="E67" s="2015">
        <v>8760</v>
      </c>
      <c r="F67" s="3000">
        <v>6.7999999999999999E-5</v>
      </c>
      <c r="G67" s="2018">
        <f t="shared" si="6"/>
        <v>0.99958884038795848</v>
      </c>
      <c r="H67" s="2019">
        <f t="shared" si="4"/>
        <v>0</v>
      </c>
      <c r="I67" s="2020">
        <f t="shared" si="5"/>
        <v>0</v>
      </c>
      <c r="J67" s="2020">
        <f t="shared" si="7"/>
        <v>0</v>
      </c>
      <c r="K67" s="762"/>
    </row>
    <row r="68" spans="1:11" ht="13.5" thickBot="1">
      <c r="A68" s="760"/>
      <c r="B68" s="4872"/>
      <c r="C68" s="2021" t="s">
        <v>33</v>
      </c>
      <c r="D68" s="2022">
        <v>0</v>
      </c>
      <c r="E68" s="2022">
        <v>8760</v>
      </c>
      <c r="F68" s="3001">
        <v>3.09E-2</v>
      </c>
      <c r="G68" s="2025">
        <f t="shared" si="6"/>
        <v>0.99958884038795848</v>
      </c>
      <c r="H68" s="2026">
        <f t="shared" si="4"/>
        <v>0</v>
      </c>
      <c r="I68" s="2027">
        <f t="shared" si="5"/>
        <v>0</v>
      </c>
      <c r="J68" s="2027">
        <f t="shared" si="7"/>
        <v>0</v>
      </c>
      <c r="K68" s="762"/>
    </row>
    <row r="69" spans="1:11" ht="13">
      <c r="A69" s="760"/>
      <c r="B69" s="43"/>
      <c r="C69" s="43"/>
      <c r="D69" s="1984"/>
      <c r="E69" s="1984"/>
      <c r="F69" s="1985"/>
      <c r="G69" s="1986"/>
      <c r="H69" s="1986"/>
      <c r="I69" s="1987"/>
      <c r="J69" s="1987"/>
      <c r="K69" s="762"/>
    </row>
    <row r="70" spans="1:11" ht="7.5" customHeight="1" thickBot="1">
      <c r="A70" s="760"/>
      <c r="B70" s="43"/>
      <c r="C70" s="43"/>
      <c r="D70" s="1988"/>
      <c r="E70" s="1989"/>
      <c r="F70" s="1990"/>
      <c r="G70" s="1991"/>
      <c r="H70" s="1991"/>
      <c r="I70" s="1987"/>
      <c r="J70" s="1987"/>
      <c r="K70" s="762"/>
    </row>
    <row r="71" spans="1:11" ht="23.15" customHeight="1" thickBot="1">
      <c r="A71" s="1992"/>
      <c r="B71" s="1993"/>
      <c r="C71" s="4873" t="s">
        <v>46</v>
      </c>
      <c r="D71" s="4874"/>
      <c r="E71" s="4874"/>
      <c r="F71" s="4875"/>
      <c r="G71" s="2030" t="s">
        <v>22</v>
      </c>
      <c r="H71" s="2031" t="s">
        <v>27</v>
      </c>
      <c r="I71" s="2032" t="s">
        <v>37</v>
      </c>
      <c r="J71" s="1994"/>
      <c r="K71" s="1995"/>
    </row>
    <row r="72" spans="1:11" ht="23.15" customHeight="1" thickBot="1">
      <c r="A72" s="1992"/>
      <c r="B72" s="1993"/>
      <c r="C72" s="4873" t="s">
        <v>917</v>
      </c>
      <c r="D72" s="4874"/>
      <c r="E72" s="4874"/>
      <c r="F72" s="4875"/>
      <c r="G72" s="2036">
        <f>SUM(H45:H68)</f>
        <v>30.616050709592137</v>
      </c>
      <c r="H72" s="2037">
        <f>SUM(I45:I68)</f>
        <v>268196.60421602702</v>
      </c>
      <c r="I72" s="2038">
        <f>SUM(J45:J68)</f>
        <v>134.09830210801351</v>
      </c>
      <c r="J72" s="1994"/>
      <c r="K72" s="1995"/>
    </row>
    <row r="73" spans="1:11">
      <c r="A73" s="760"/>
      <c r="B73" s="30"/>
      <c r="C73" s="30"/>
      <c r="D73" s="748"/>
      <c r="E73" s="748"/>
      <c r="F73" s="1990"/>
      <c r="G73" s="1991"/>
      <c r="H73" s="1991"/>
      <c r="I73" s="748"/>
      <c r="J73" s="748"/>
      <c r="K73" s="762"/>
    </row>
    <row r="74" spans="1:11" s="422" customFormat="1" ht="12.65" customHeight="1">
      <c r="A74" s="4876" t="s">
        <v>521</v>
      </c>
      <c r="B74" s="4877"/>
      <c r="C74" s="2726"/>
      <c r="D74" s="2726"/>
      <c r="E74" s="2726"/>
      <c r="F74" s="2726"/>
      <c r="G74" s="2727"/>
      <c r="H74" s="2727"/>
      <c r="I74" s="2727"/>
      <c r="J74" s="2727"/>
      <c r="K74" s="1995"/>
    </row>
    <row r="75" spans="1:11" s="422" customFormat="1" ht="16.25" customHeight="1">
      <c r="A75" s="2731">
        <v>1</v>
      </c>
      <c r="B75" s="4878" t="s">
        <v>1966</v>
      </c>
      <c r="C75" s="4878"/>
      <c r="D75" s="4878"/>
      <c r="E75" s="4878"/>
      <c r="F75" s="4878"/>
      <c r="G75" s="4878"/>
      <c r="H75" s="4878"/>
      <c r="I75" s="4878"/>
      <c r="J75" s="4878"/>
      <c r="K75" s="1995"/>
    </row>
    <row r="76" spans="1:11" ht="13">
      <c r="A76" s="760"/>
      <c r="B76" s="3375" t="s">
        <v>918</v>
      </c>
      <c r="C76" s="3367" t="s">
        <v>919</v>
      </c>
      <c r="D76" s="3368">
        <v>0.67</v>
      </c>
      <c r="E76" s="3077"/>
      <c r="F76" s="3369" t="s">
        <v>921</v>
      </c>
      <c r="G76" s="3368">
        <v>0.45</v>
      </c>
      <c r="H76" s="4866" t="s">
        <v>922</v>
      </c>
      <c r="I76" s="4866"/>
      <c r="J76" s="3368">
        <v>0</v>
      </c>
      <c r="K76" s="762"/>
    </row>
    <row r="77" spans="1:11" ht="17.149999999999999" customHeight="1" thickBot="1">
      <c r="A77" s="1582"/>
      <c r="B77" s="2001"/>
      <c r="C77" s="3370" t="s">
        <v>920</v>
      </c>
      <c r="D77" s="3371">
        <v>0.61</v>
      </c>
      <c r="E77" s="3372"/>
      <c r="F77" s="3373"/>
      <c r="G77" s="3374"/>
      <c r="H77" s="3374"/>
      <c r="I77" s="3372"/>
      <c r="J77" s="3372"/>
      <c r="K77" s="1583"/>
    </row>
  </sheetData>
  <mergeCells count="44">
    <mergeCell ref="H42:J42"/>
    <mergeCell ref="H43:H44"/>
    <mergeCell ref="I43:I44"/>
    <mergeCell ref="B12:B15"/>
    <mergeCell ref="B16:B19"/>
    <mergeCell ref="B53:B56"/>
    <mergeCell ref="B57:B60"/>
    <mergeCell ref="B2:J2"/>
    <mergeCell ref="B3:J3"/>
    <mergeCell ref="D9:D11"/>
    <mergeCell ref="E9:E11"/>
    <mergeCell ref="F9:F11"/>
    <mergeCell ref="I10:I11"/>
    <mergeCell ref="G9:G11"/>
    <mergeCell ref="B4:J4"/>
    <mergeCell ref="J10:J11"/>
    <mergeCell ref="B9:B11"/>
    <mergeCell ref="C9:C11"/>
    <mergeCell ref="H9:J9"/>
    <mergeCell ref="H10:H11"/>
    <mergeCell ref="B24:B27"/>
    <mergeCell ref="B8:J8"/>
    <mergeCell ref="B41:J41"/>
    <mergeCell ref="J43:J44"/>
    <mergeCell ref="B45:B48"/>
    <mergeCell ref="B49:B52"/>
    <mergeCell ref="B28:B31"/>
    <mergeCell ref="B20:B23"/>
    <mergeCell ref="C39:F39"/>
    <mergeCell ref="B32:B35"/>
    <mergeCell ref="C38:F38"/>
    <mergeCell ref="B42:B44"/>
    <mergeCell ref="C42:C44"/>
    <mergeCell ref="D42:D44"/>
    <mergeCell ref="E42:E44"/>
    <mergeCell ref="F42:F44"/>
    <mergeCell ref="G42:G44"/>
    <mergeCell ref="H76:I76"/>
    <mergeCell ref="B61:B64"/>
    <mergeCell ref="B65:B68"/>
    <mergeCell ref="C71:F71"/>
    <mergeCell ref="C72:F72"/>
    <mergeCell ref="A74:B74"/>
    <mergeCell ref="B75:J75"/>
  </mergeCells>
  <phoneticPr fontId="0" type="noConversion"/>
  <printOptions horizontalCentered="1"/>
  <pageMargins left="0.5" right="0.5" top="0.5" bottom="0.5" header="0.5" footer="0.5"/>
  <pageSetup scale="64" orientation="portrait" r:id="rId1"/>
  <headerFooter alignWithMargins="0">
    <oddFooter>&amp;CCalculations: Page &amp;P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3">
    <tabColor theme="3" tint="-0.249977111117893"/>
    <pageSetUpPr fitToPage="1"/>
  </sheetPr>
  <dimension ref="A1:P44"/>
  <sheetViews>
    <sheetView view="pageBreakPreview" zoomScale="85" zoomScaleNormal="100" zoomScaleSheetLayoutView="85" zoomScalePageLayoutView="55" workbookViewId="0">
      <selection activeCell="E19" sqref="E19:R19"/>
    </sheetView>
  </sheetViews>
  <sheetFormatPr defaultColWidth="8.54296875" defaultRowHeight="12.5"/>
  <cols>
    <col min="1" max="1" width="3.54296875" style="355" customWidth="1"/>
    <col min="2" max="2" width="14.6328125" style="355" customWidth="1"/>
    <col min="3" max="3" width="19.6328125" style="355" customWidth="1"/>
    <col min="4" max="4" width="14.36328125" style="436" customWidth="1"/>
    <col min="5" max="5" width="8.36328125" style="436" customWidth="1"/>
    <col min="6" max="6" width="14.6328125" style="434" customWidth="1"/>
    <col min="7" max="7" width="15.36328125" style="435" customWidth="1"/>
    <col min="8" max="8" width="13.6328125" style="435" bestFit="1" customWidth="1"/>
    <col min="9" max="9" width="15.54296875" style="436" bestFit="1" customWidth="1"/>
    <col min="10" max="10" width="13.36328125" style="436" customWidth="1"/>
    <col min="11" max="11" width="3.54296875" style="355" customWidth="1"/>
    <col min="12" max="12" width="8.54296875" style="355"/>
    <col min="13" max="13" width="9.6328125" style="355" bestFit="1" customWidth="1"/>
    <col min="14" max="14" width="8.54296875" style="355"/>
    <col min="15" max="15" width="11.453125" style="355" customWidth="1"/>
    <col min="16" max="16384" width="8.54296875" style="355"/>
  </cols>
  <sheetData>
    <row r="1" spans="1:16" ht="18.75" customHeight="1" thickBot="1">
      <c r="A1" s="774"/>
      <c r="B1" s="775"/>
      <c r="C1" s="775"/>
      <c r="D1" s="2002"/>
      <c r="E1" s="2002"/>
      <c r="F1" s="2003"/>
      <c r="G1" s="2004"/>
      <c r="H1" s="2004"/>
      <c r="I1" s="2002"/>
      <c r="J1" s="2002"/>
      <c r="K1" s="776"/>
    </row>
    <row r="2" spans="1:16" s="422" customFormat="1" ht="21" customHeight="1">
      <c r="A2" s="1992"/>
      <c r="B2" s="3931" t="str">
        <f>'Summary-Co'!B3</f>
        <v>XTO ENERGY INC.</v>
      </c>
      <c r="C2" s="3932"/>
      <c r="D2" s="3932"/>
      <c r="E2" s="3932"/>
      <c r="F2" s="3932"/>
      <c r="G2" s="3932"/>
      <c r="H2" s="3932"/>
      <c r="I2" s="3932"/>
      <c r="J2" s="3932"/>
      <c r="K2" s="1995"/>
    </row>
    <row r="3" spans="1:16" s="422" customFormat="1" ht="21" customHeight="1">
      <c r="A3" s="1992"/>
      <c r="B3" s="4326" t="str">
        <f>'Summary-Co'!B4</f>
        <v>HUSKY CDP</v>
      </c>
      <c r="C3" s="4327"/>
      <c r="D3" s="4327"/>
      <c r="E3" s="4327"/>
      <c r="F3" s="4327"/>
      <c r="G3" s="4327"/>
      <c r="H3" s="4327"/>
      <c r="I3" s="4327"/>
      <c r="J3" s="4327"/>
      <c r="K3" s="1995"/>
    </row>
    <row r="4" spans="1:16" s="422" customFormat="1" ht="21" customHeight="1" thickBot="1">
      <c r="A4" s="1992"/>
      <c r="B4" s="4328" t="s">
        <v>1846</v>
      </c>
      <c r="C4" s="4329"/>
      <c r="D4" s="4329"/>
      <c r="E4" s="4329"/>
      <c r="F4" s="4329"/>
      <c r="G4" s="4329"/>
      <c r="H4" s="4329"/>
      <c r="I4" s="4329"/>
      <c r="J4" s="4329"/>
      <c r="K4" s="1995"/>
    </row>
    <row r="5" spans="1:16" ht="18.5" thickBot="1">
      <c r="A5" s="1582"/>
      <c r="B5" s="2005"/>
      <c r="C5" s="2006"/>
      <c r="D5" s="2006"/>
      <c r="E5" s="2006"/>
      <c r="F5" s="2006"/>
      <c r="G5" s="2006"/>
      <c r="H5" s="2006"/>
      <c r="I5" s="2006"/>
      <c r="J5" s="2006"/>
      <c r="K5" s="1583"/>
    </row>
    <row r="6" spans="1:16" ht="18">
      <c r="A6" s="426"/>
      <c r="B6" s="424"/>
      <c r="C6" s="425"/>
      <c r="D6" s="425"/>
      <c r="E6" s="425"/>
      <c r="F6" s="425"/>
      <c r="G6" s="425"/>
      <c r="H6" s="425"/>
      <c r="I6" s="425"/>
      <c r="J6" s="425"/>
      <c r="K6" s="427"/>
    </row>
    <row r="7" spans="1:16" ht="18.5" thickBot="1">
      <c r="A7" s="426"/>
      <c r="B7" s="424"/>
      <c r="C7" s="425"/>
      <c r="D7" s="425"/>
      <c r="E7" s="425"/>
      <c r="F7" s="425"/>
      <c r="G7" s="425"/>
      <c r="H7" s="425"/>
      <c r="I7" s="425"/>
      <c r="J7" s="425"/>
      <c r="K7" s="427"/>
    </row>
    <row r="8" spans="1:16" ht="18.5" thickBot="1">
      <c r="A8" s="774"/>
      <c r="B8" s="4879" t="s">
        <v>1847</v>
      </c>
      <c r="C8" s="4879"/>
      <c r="D8" s="4879"/>
      <c r="E8" s="4879"/>
      <c r="F8" s="4879"/>
      <c r="G8" s="4879"/>
      <c r="H8" s="4879"/>
      <c r="I8" s="4879"/>
      <c r="J8" s="4879"/>
      <c r="K8" s="776"/>
    </row>
    <row r="9" spans="1:16" ht="32.75" customHeight="1" thickBot="1">
      <c r="A9" s="760"/>
      <c r="B9" s="4902" t="s">
        <v>40</v>
      </c>
      <c r="C9" s="4905" t="s">
        <v>41</v>
      </c>
      <c r="D9" s="4907" t="s">
        <v>38</v>
      </c>
      <c r="E9" s="4907" t="s">
        <v>24</v>
      </c>
      <c r="F9" s="4909" t="s">
        <v>25</v>
      </c>
      <c r="G9" s="4911" t="s">
        <v>1844</v>
      </c>
      <c r="H9" s="4911" t="s">
        <v>1845</v>
      </c>
      <c r="I9" s="2621" t="s">
        <v>1849</v>
      </c>
      <c r="J9" s="2724" t="s">
        <v>1850</v>
      </c>
      <c r="K9" s="762"/>
    </row>
    <row r="10" spans="1:16" s="429" customFormat="1" ht="17.25" customHeight="1">
      <c r="A10" s="1982"/>
      <c r="B10" s="4903"/>
      <c r="C10" s="4906"/>
      <c r="D10" s="4908"/>
      <c r="E10" s="4908"/>
      <c r="F10" s="4910"/>
      <c r="G10" s="4912"/>
      <c r="H10" s="4912"/>
      <c r="I10" s="4913" t="s">
        <v>28</v>
      </c>
      <c r="J10" s="4913" t="s">
        <v>28</v>
      </c>
      <c r="K10" s="1983"/>
      <c r="O10" s="1681" t="s">
        <v>98</v>
      </c>
    </row>
    <row r="11" spans="1:16" ht="7.5" customHeight="1" thickBot="1">
      <c r="A11" s="760"/>
      <c r="B11" s="4904"/>
      <c r="C11" s="4906"/>
      <c r="D11" s="4908"/>
      <c r="E11" s="4908"/>
      <c r="F11" s="4910"/>
      <c r="G11" s="4912"/>
      <c r="H11" s="4912"/>
      <c r="I11" s="4914"/>
      <c r="J11" s="4914"/>
      <c r="K11" s="762"/>
      <c r="O11" s="486" t="s">
        <v>1476</v>
      </c>
      <c r="P11" s="355" t="str">
        <f>'Components - INLET GAS'!I25</f>
        <v>0.113712*</v>
      </c>
    </row>
    <row r="12" spans="1:16" ht="15.5">
      <c r="A12" s="760"/>
      <c r="B12" s="4915" t="s">
        <v>29</v>
      </c>
      <c r="C12" s="2694" t="s">
        <v>30</v>
      </c>
      <c r="D12" s="2695">
        <f>12000+133+7</f>
        <v>12140</v>
      </c>
      <c r="E12" s="2696">
        <v>8760</v>
      </c>
      <c r="F12" s="2697">
        <v>9.9206999999999993E-3</v>
      </c>
      <c r="G12" s="2698">
        <f>'CDP + Flare PStreams'!G40/100</f>
        <v>0.49055101101333698</v>
      </c>
      <c r="H12" s="2698">
        <f>'Components - INLET GAS'!I15/100</f>
        <v>3.2907799999999997E-3</v>
      </c>
      <c r="I12" s="2699">
        <f>(D12*E12*F12)*(1-G12)/(2000)</f>
        <v>268.74216949644824</v>
      </c>
      <c r="J12" s="2699">
        <f>I12*H12/G12</f>
        <v>1.802812218669503</v>
      </c>
      <c r="K12" s="762"/>
      <c r="O12" s="486" t="s">
        <v>1477</v>
      </c>
      <c r="P12" s="355" t="str">
        <f>'Components - INLET GAS'!I27</f>
        <v>0.0687148*</v>
      </c>
    </row>
    <row r="13" spans="1:16" ht="15.5">
      <c r="A13" s="760"/>
      <c r="B13" s="4916"/>
      <c r="C13" s="2700" t="s">
        <v>31</v>
      </c>
      <c r="D13" s="2701">
        <v>5500</v>
      </c>
      <c r="E13" s="2702">
        <v>8760</v>
      </c>
      <c r="F13" s="2703">
        <v>5.4999999999999997E-3</v>
      </c>
      <c r="G13" s="2704">
        <f>'CDP + Flare PStreams'!F40/100</f>
        <v>0</v>
      </c>
      <c r="H13" s="2704">
        <v>0</v>
      </c>
      <c r="I13" s="2705">
        <f>(D13*E13*F13)*(G13)/(2000)</f>
        <v>0</v>
      </c>
      <c r="J13" s="2705">
        <f>I13</f>
        <v>0</v>
      </c>
      <c r="K13" s="762"/>
      <c r="O13" s="486" t="s">
        <v>1478</v>
      </c>
      <c r="P13" s="355" t="str">
        <f>'Components - INLET GAS'!I36</f>
        <v>0*</v>
      </c>
    </row>
    <row r="14" spans="1:16" ht="15.5">
      <c r="A14" s="760"/>
      <c r="B14" s="4916"/>
      <c r="C14" s="2700" t="s">
        <v>32</v>
      </c>
      <c r="D14" s="2701">
        <f>157+2</f>
        <v>159</v>
      </c>
      <c r="E14" s="2702">
        <v>8760</v>
      </c>
      <c r="F14" s="2703">
        <v>1.9000000000000001E-5</v>
      </c>
      <c r="G14" s="2704">
        <f>G13</f>
        <v>0</v>
      </c>
      <c r="H14" s="2704">
        <f>H13</f>
        <v>0</v>
      </c>
      <c r="I14" s="2705">
        <f>(D14*E14*F14)*(G14)/(2000)</f>
        <v>0</v>
      </c>
      <c r="J14" s="2705">
        <f>I14</f>
        <v>0</v>
      </c>
      <c r="K14" s="762"/>
    </row>
    <row r="15" spans="1:16" ht="16" thickBot="1">
      <c r="A15" s="760"/>
      <c r="B15" s="4917"/>
      <c r="C15" s="2706" t="s">
        <v>33</v>
      </c>
      <c r="D15" s="2707">
        <v>0</v>
      </c>
      <c r="E15" s="2708">
        <v>8760</v>
      </c>
      <c r="F15" s="2709">
        <v>2.1599999999999999E-4</v>
      </c>
      <c r="G15" s="2710">
        <f>G14</f>
        <v>0</v>
      </c>
      <c r="H15" s="2710">
        <f>H14</f>
        <v>0</v>
      </c>
      <c r="I15" s="2711">
        <f>(D15*E15*F15)*(G15)/(2000)</f>
        <v>0</v>
      </c>
      <c r="J15" s="2711">
        <f>I15</f>
        <v>0</v>
      </c>
      <c r="K15" s="762"/>
    </row>
    <row r="16" spans="1:16" ht="15.5">
      <c r="A16" s="760"/>
      <c r="B16" s="4915" t="s">
        <v>60</v>
      </c>
      <c r="C16" s="2694" t="s">
        <v>30</v>
      </c>
      <c r="D16" s="2712">
        <v>0</v>
      </c>
      <c r="E16" s="2695">
        <v>8760</v>
      </c>
      <c r="F16" s="2697">
        <v>5.2900000000000004E-3</v>
      </c>
      <c r="G16" s="2698">
        <f>G12</f>
        <v>0.49055101101333698</v>
      </c>
      <c r="H16" s="2698">
        <f>H12</f>
        <v>3.2907799999999997E-3</v>
      </c>
      <c r="I16" s="2699">
        <f>(D16*E16*F16)*(1-G16)/(2000)</f>
        <v>0</v>
      </c>
      <c r="J16" s="2699">
        <f>I16*H16/G16</f>
        <v>0</v>
      </c>
      <c r="K16" s="762"/>
    </row>
    <row r="17" spans="1:16" ht="15.5">
      <c r="A17" s="760"/>
      <c r="B17" s="4916"/>
      <c r="C17" s="2700" t="s">
        <v>31</v>
      </c>
      <c r="D17" s="2701">
        <v>300</v>
      </c>
      <c r="E17" s="2701">
        <v>8760</v>
      </c>
      <c r="F17" s="2703">
        <v>2.8660000000000001E-2</v>
      </c>
      <c r="G17" s="2704">
        <f>G18</f>
        <v>0</v>
      </c>
      <c r="H17" s="2704">
        <f>H18</f>
        <v>0</v>
      </c>
      <c r="I17" s="2705">
        <f>D17*E17*F17*G17/2000</f>
        <v>0</v>
      </c>
      <c r="J17" s="2705">
        <f>I17</f>
        <v>0</v>
      </c>
      <c r="K17" s="762"/>
      <c r="O17" s="1681" t="s">
        <v>1475</v>
      </c>
    </row>
    <row r="18" spans="1:16" ht="15.5">
      <c r="A18" s="760"/>
      <c r="B18" s="4916"/>
      <c r="C18" s="2700" t="s">
        <v>32</v>
      </c>
      <c r="D18" s="2701">
        <v>4</v>
      </c>
      <c r="E18" s="2701">
        <v>8760</v>
      </c>
      <c r="F18" s="2703">
        <v>1.1299999999999999E-3</v>
      </c>
      <c r="G18" s="2704">
        <f>G19</f>
        <v>0</v>
      </c>
      <c r="H18" s="2704">
        <f>H19</f>
        <v>0</v>
      </c>
      <c r="I18" s="2705">
        <f>D18*E18*F18*G18/2000</f>
        <v>0</v>
      </c>
      <c r="J18" s="2705">
        <f>I18</f>
        <v>0</v>
      </c>
      <c r="K18" s="762"/>
      <c r="O18" s="486" t="s">
        <v>1476</v>
      </c>
      <c r="P18" s="355" t="e">
        <f>#REF!</f>
        <v>#REF!</v>
      </c>
    </row>
    <row r="19" spans="1:16" ht="16" thickBot="1">
      <c r="A19" s="760"/>
      <c r="B19" s="4917"/>
      <c r="C19" s="2706" t="s">
        <v>33</v>
      </c>
      <c r="D19" s="2707">
        <v>40</v>
      </c>
      <c r="E19" s="2707">
        <v>8760</v>
      </c>
      <c r="F19" s="2709">
        <v>5.3000000000000001E-5</v>
      </c>
      <c r="G19" s="2710">
        <f>G15</f>
        <v>0</v>
      </c>
      <c r="H19" s="2710">
        <f>H15</f>
        <v>0</v>
      </c>
      <c r="I19" s="2711">
        <f>D19*E19*F19*G19/2000</f>
        <v>0</v>
      </c>
      <c r="J19" s="2711">
        <f>I19</f>
        <v>0</v>
      </c>
      <c r="K19" s="762"/>
      <c r="O19" s="486" t="s">
        <v>1477</v>
      </c>
      <c r="P19" s="355" t="e">
        <f>#REF!</f>
        <v>#REF!</v>
      </c>
    </row>
    <row r="20" spans="1:16" ht="15.5">
      <c r="A20" s="760"/>
      <c r="B20" s="4915" t="s">
        <v>36</v>
      </c>
      <c r="C20" s="2694" t="s">
        <v>30</v>
      </c>
      <c r="D20" s="2695">
        <v>18000</v>
      </c>
      <c r="E20" s="2695">
        <v>8760</v>
      </c>
      <c r="F20" s="2697">
        <v>4.4000000000000002E-4</v>
      </c>
      <c r="G20" s="2698">
        <f>G16</f>
        <v>0.49055101101333698</v>
      </c>
      <c r="H20" s="2698">
        <f>H16</f>
        <v>3.2907799999999997E-3</v>
      </c>
      <c r="I20" s="2699">
        <f>(D20*E20*F20)*(1-G20)/(2000)</f>
        <v>17.672581648351745</v>
      </c>
      <c r="J20" s="2699">
        <f>I20*H20/G20</f>
        <v>0.11855357940579558</v>
      </c>
      <c r="K20" s="762"/>
      <c r="O20" s="486" t="s">
        <v>1478</v>
      </c>
      <c r="P20" s="355" t="e">
        <f>#REF!</f>
        <v>#REF!</v>
      </c>
    </row>
    <row r="21" spans="1:16" ht="15.5">
      <c r="A21" s="760"/>
      <c r="B21" s="4916"/>
      <c r="C21" s="2700" t="s">
        <v>31</v>
      </c>
      <c r="D21" s="2701">
        <v>15000</v>
      </c>
      <c r="E21" s="2701">
        <v>8760</v>
      </c>
      <c r="F21" s="2703">
        <v>4.6299999999999998E-4</v>
      </c>
      <c r="G21" s="2704">
        <f>G22</f>
        <v>0</v>
      </c>
      <c r="H21" s="2704">
        <f>H22</f>
        <v>0</v>
      </c>
      <c r="I21" s="2705">
        <f>(D21*E21*F21)*(G21)/(2000)</f>
        <v>0</v>
      </c>
      <c r="J21" s="2705">
        <f>I21</f>
        <v>0</v>
      </c>
      <c r="K21" s="762"/>
    </row>
    <row r="22" spans="1:16" ht="15.5">
      <c r="A22" s="760"/>
      <c r="B22" s="4916"/>
      <c r="C22" s="2700" t="s">
        <v>32</v>
      </c>
      <c r="D22" s="2701">
        <v>0</v>
      </c>
      <c r="E22" s="2701">
        <v>8760</v>
      </c>
      <c r="F22" s="2703">
        <v>1.7E-5</v>
      </c>
      <c r="G22" s="2704">
        <f>G23</f>
        <v>0</v>
      </c>
      <c r="H22" s="2704">
        <f>H23</f>
        <v>0</v>
      </c>
      <c r="I22" s="2705">
        <f>(D22*E22*F22)*(G22)/(2000)</f>
        <v>0</v>
      </c>
      <c r="J22" s="2705">
        <f>I22</f>
        <v>0</v>
      </c>
      <c r="K22" s="762"/>
    </row>
    <row r="23" spans="1:16" ht="16" thickBot="1">
      <c r="A23" s="760"/>
      <c r="B23" s="4917"/>
      <c r="C23" s="2706" t="s">
        <v>33</v>
      </c>
      <c r="D23" s="2707">
        <v>1400</v>
      </c>
      <c r="E23" s="2707">
        <v>8760</v>
      </c>
      <c r="F23" s="2709">
        <v>2.43E-4</v>
      </c>
      <c r="G23" s="2710">
        <f>G19</f>
        <v>0</v>
      </c>
      <c r="H23" s="2710">
        <f>H19</f>
        <v>0</v>
      </c>
      <c r="I23" s="2711">
        <f>(D23*E23*F23)*(G23)/(2000)</f>
        <v>0</v>
      </c>
      <c r="J23" s="2711">
        <f>I23</f>
        <v>0</v>
      </c>
      <c r="K23" s="762"/>
    </row>
    <row r="24" spans="1:16" ht="15.5">
      <c r="A24" s="760"/>
      <c r="B24" s="4915" t="s">
        <v>34</v>
      </c>
      <c r="C24" s="2694" t="s">
        <v>30</v>
      </c>
      <c r="D24" s="2695">
        <f>8000+354</f>
        <v>8354</v>
      </c>
      <c r="E24" s="2695">
        <v>8760</v>
      </c>
      <c r="F24" s="2697">
        <v>8.5999999999999998E-4</v>
      </c>
      <c r="G24" s="2698">
        <f>G20</f>
        <v>0.49055101101333698</v>
      </c>
      <c r="H24" s="2698">
        <f>H20</f>
        <v>3.2907799999999997E-3</v>
      </c>
      <c r="I24" s="2699">
        <f>(D24*E24*F24)*(1-G24)/(2000)</f>
        <v>16.031262941626796</v>
      </c>
      <c r="J24" s="2699">
        <f>I24*H24/G24</f>
        <v>0.10754306540734522</v>
      </c>
      <c r="K24" s="762"/>
    </row>
    <row r="25" spans="1:16" ht="13.5" customHeight="1">
      <c r="A25" s="760"/>
      <c r="B25" s="4916"/>
      <c r="C25" s="2700" t="s">
        <v>31</v>
      </c>
      <c r="D25" s="2701">
        <v>11000</v>
      </c>
      <c r="E25" s="2701">
        <v>8760</v>
      </c>
      <c r="F25" s="2703">
        <v>2.43E-4</v>
      </c>
      <c r="G25" s="2704">
        <f>G26</f>
        <v>0</v>
      </c>
      <c r="H25" s="2704">
        <f>H26</f>
        <v>0</v>
      </c>
      <c r="I25" s="2705">
        <f>(D25*E25*F25)*(G25)/(2000)</f>
        <v>0</v>
      </c>
      <c r="J25" s="2705">
        <f>I25</f>
        <v>0</v>
      </c>
      <c r="K25" s="762"/>
    </row>
    <row r="26" spans="1:16" ht="15.5">
      <c r="A26" s="760"/>
      <c r="B26" s="4916"/>
      <c r="C26" s="2700" t="s">
        <v>32</v>
      </c>
      <c r="D26" s="2701">
        <v>367</v>
      </c>
      <c r="E26" s="2701">
        <v>8760</v>
      </c>
      <c r="F26" s="2703">
        <v>8.6000000000000002E-7</v>
      </c>
      <c r="G26" s="2704">
        <f>G27</f>
        <v>0</v>
      </c>
      <c r="H26" s="2704">
        <f>H27</f>
        <v>0</v>
      </c>
      <c r="I26" s="2705">
        <f>(D26*E26*F26)*(G26)/(2000)</f>
        <v>0</v>
      </c>
      <c r="J26" s="2705">
        <f>I26</f>
        <v>0</v>
      </c>
      <c r="K26" s="762"/>
    </row>
    <row r="27" spans="1:16" ht="16" thickBot="1">
      <c r="A27" s="760"/>
      <c r="B27" s="4917"/>
      <c r="C27" s="2706" t="s">
        <v>33</v>
      </c>
      <c r="D27" s="2707">
        <v>1500</v>
      </c>
      <c r="E27" s="2707">
        <v>8760</v>
      </c>
      <c r="F27" s="2709">
        <v>6.1999999999999999E-6</v>
      </c>
      <c r="G27" s="2710">
        <f>G23</f>
        <v>0</v>
      </c>
      <c r="H27" s="2710">
        <f>H23</f>
        <v>0</v>
      </c>
      <c r="I27" s="2711">
        <f>(D27*E27*F27)*(G27)/(2000)</f>
        <v>0</v>
      </c>
      <c r="J27" s="2711">
        <f>I27</f>
        <v>0</v>
      </c>
      <c r="K27" s="762"/>
    </row>
    <row r="28" spans="1:16" ht="13.5" customHeight="1">
      <c r="A28" s="760"/>
      <c r="B28" s="4915" t="s">
        <v>35</v>
      </c>
      <c r="C28" s="2694" t="s">
        <v>30</v>
      </c>
      <c r="D28" s="2695">
        <v>0</v>
      </c>
      <c r="E28" s="2695">
        <v>8760</v>
      </c>
      <c r="F28" s="2697">
        <v>4.4099999999999999E-3</v>
      </c>
      <c r="G28" s="2698">
        <f>G24</f>
        <v>0.49055101101333698</v>
      </c>
      <c r="H28" s="2698">
        <f>H24</f>
        <v>3.2907799999999997E-3</v>
      </c>
      <c r="I28" s="2699">
        <f>(D28*E28*F28)*(1-G28)/(2000)</f>
        <v>0</v>
      </c>
      <c r="J28" s="2699">
        <f>I28*H28/G28</f>
        <v>0</v>
      </c>
      <c r="K28" s="762"/>
    </row>
    <row r="29" spans="1:16" ht="15.5">
      <c r="A29" s="760"/>
      <c r="B29" s="4916"/>
      <c r="C29" s="2700" t="s">
        <v>31</v>
      </c>
      <c r="D29" s="2701">
        <v>0</v>
      </c>
      <c r="E29" s="2701">
        <v>8760</v>
      </c>
      <c r="F29" s="2703">
        <v>3.0899999999999999E-3</v>
      </c>
      <c r="G29" s="2704">
        <f>G30</f>
        <v>0</v>
      </c>
      <c r="H29" s="2704">
        <f>H30</f>
        <v>0</v>
      </c>
      <c r="I29" s="2705">
        <f>(D29*E29*F29)*(G29)/(2000)</f>
        <v>0</v>
      </c>
      <c r="J29" s="2705">
        <f>I29</f>
        <v>0</v>
      </c>
      <c r="K29" s="762"/>
    </row>
    <row r="30" spans="1:16" ht="15.5">
      <c r="A30" s="760"/>
      <c r="B30" s="4916"/>
      <c r="C30" s="2700" t="s">
        <v>32</v>
      </c>
      <c r="D30" s="2701">
        <v>0</v>
      </c>
      <c r="E30" s="2701">
        <v>8760</v>
      </c>
      <c r="F30" s="2703">
        <v>3.0899999999999998E-4</v>
      </c>
      <c r="G30" s="2704">
        <f>G31</f>
        <v>0</v>
      </c>
      <c r="H30" s="2704">
        <f>H31</f>
        <v>0</v>
      </c>
      <c r="I30" s="2705">
        <f>(D30*E30*F30)*(G30)/(2000)</f>
        <v>0</v>
      </c>
      <c r="J30" s="2705">
        <f>I30</f>
        <v>0</v>
      </c>
      <c r="K30" s="762"/>
    </row>
    <row r="31" spans="1:16" ht="16" thickBot="1">
      <c r="A31" s="760"/>
      <c r="B31" s="4917"/>
      <c r="C31" s="2706" t="s">
        <v>33</v>
      </c>
      <c r="D31" s="2707">
        <v>0</v>
      </c>
      <c r="E31" s="2707">
        <v>8760</v>
      </c>
      <c r="F31" s="2709">
        <v>5.5000000000000003E-4</v>
      </c>
      <c r="G31" s="2710">
        <f>G27</f>
        <v>0</v>
      </c>
      <c r="H31" s="2710">
        <f>H27</f>
        <v>0</v>
      </c>
      <c r="I31" s="2711">
        <f>(D31*E31*F31)*(G31)/(2000)</f>
        <v>0</v>
      </c>
      <c r="J31" s="2711">
        <f>I31</f>
        <v>0</v>
      </c>
      <c r="K31" s="762"/>
    </row>
    <row r="32" spans="1:16" ht="15.5">
      <c r="A32" s="760"/>
      <c r="B32" s="4918" t="s">
        <v>39</v>
      </c>
      <c r="C32" s="2694" t="s">
        <v>30</v>
      </c>
      <c r="D32" s="2695">
        <v>40</v>
      </c>
      <c r="E32" s="2695">
        <v>8760</v>
      </c>
      <c r="F32" s="2697">
        <v>1.9400000000000001E-2</v>
      </c>
      <c r="G32" s="2698">
        <f>G28</f>
        <v>0.49055101101333698</v>
      </c>
      <c r="H32" s="2698">
        <f>H28</f>
        <v>3.2907799999999997E-3</v>
      </c>
      <c r="I32" s="2699">
        <f>(D32*E32*F32)*(1-G32)/(2000)</f>
        <v>1.7315559796869893</v>
      </c>
      <c r="J32" s="2699">
        <f>I32*H32/G32</f>
        <v>1.1615855759961789E-2</v>
      </c>
      <c r="K32" s="762"/>
    </row>
    <row r="33" spans="1:11" ht="15.5">
      <c r="A33" s="760"/>
      <c r="B33" s="4919"/>
      <c r="C33" s="2700" t="s">
        <v>31</v>
      </c>
      <c r="D33" s="2701">
        <v>0</v>
      </c>
      <c r="E33" s="2701">
        <v>8760</v>
      </c>
      <c r="F33" s="2703">
        <v>1.6500000000000001E-2</v>
      </c>
      <c r="G33" s="2704">
        <f>G27</f>
        <v>0</v>
      </c>
      <c r="H33" s="2704">
        <f>H27</f>
        <v>0</v>
      </c>
      <c r="I33" s="2705">
        <f>(D33*E33*F33)*(G33)/(2000)</f>
        <v>0</v>
      </c>
      <c r="J33" s="2705">
        <f>I33</f>
        <v>0</v>
      </c>
      <c r="K33" s="762"/>
    </row>
    <row r="34" spans="1:11" ht="15.5">
      <c r="A34" s="760"/>
      <c r="B34" s="4919"/>
      <c r="C34" s="2700" t="s">
        <v>32</v>
      </c>
      <c r="D34" s="2701">
        <v>0</v>
      </c>
      <c r="E34" s="2701">
        <v>8760</v>
      </c>
      <c r="F34" s="2703">
        <v>6.7999999999999999E-5</v>
      </c>
      <c r="G34" s="2704">
        <f>G33</f>
        <v>0</v>
      </c>
      <c r="H34" s="2704">
        <f>H33</f>
        <v>0</v>
      </c>
      <c r="I34" s="2705">
        <f>(D34*E34*F34)*(G34)/(2000)</f>
        <v>0</v>
      </c>
      <c r="J34" s="2705">
        <f>I34</f>
        <v>0</v>
      </c>
      <c r="K34" s="762"/>
    </row>
    <row r="35" spans="1:11" ht="16" thickBot="1">
      <c r="A35" s="760"/>
      <c r="B35" s="4920"/>
      <c r="C35" s="2706" t="s">
        <v>33</v>
      </c>
      <c r="D35" s="2707">
        <v>0</v>
      </c>
      <c r="E35" s="2707">
        <v>8760</v>
      </c>
      <c r="F35" s="2709">
        <v>3.09E-2</v>
      </c>
      <c r="G35" s="2710">
        <f>G27</f>
        <v>0</v>
      </c>
      <c r="H35" s="2710">
        <f>H27</f>
        <v>0</v>
      </c>
      <c r="I35" s="2711">
        <f>(D35*E35*F35)*(G35)/(2000)</f>
        <v>0</v>
      </c>
      <c r="J35" s="2711">
        <f>I35</f>
        <v>0</v>
      </c>
      <c r="K35" s="762"/>
    </row>
    <row r="36" spans="1:11" ht="15.5">
      <c r="A36" s="760"/>
      <c r="B36" s="2713"/>
      <c r="C36" s="2713"/>
      <c r="D36" s="2714"/>
      <c r="E36" s="2714"/>
      <c r="F36" s="2715"/>
      <c r="G36" s="2716"/>
      <c r="H36" s="2716"/>
      <c r="I36" s="2717"/>
      <c r="J36" s="2717"/>
      <c r="K36" s="762"/>
    </row>
    <row r="37" spans="1:11" ht="16" thickBot="1">
      <c r="A37" s="760"/>
      <c r="B37" s="2713"/>
      <c r="C37" s="2713"/>
      <c r="D37" s="2718"/>
      <c r="E37" s="2719"/>
      <c r="F37" s="2720"/>
      <c r="G37" s="2721"/>
      <c r="H37" s="2721"/>
      <c r="I37" s="2717"/>
      <c r="J37" s="2717"/>
      <c r="K37" s="762"/>
    </row>
    <row r="38" spans="1:11" s="422" customFormat="1" ht="22.5" customHeight="1" thickBot="1">
      <c r="A38" s="1992"/>
      <c r="B38" s="2722"/>
      <c r="C38" s="4921" t="s">
        <v>46</v>
      </c>
      <c r="D38" s="4922"/>
      <c r="E38" s="4922"/>
      <c r="F38" s="4922"/>
      <c r="G38" s="4922"/>
      <c r="H38" s="4923"/>
      <c r="I38" s="2622" t="s">
        <v>1853</v>
      </c>
      <c r="J38" s="2622" t="s">
        <v>1854</v>
      </c>
      <c r="K38" s="1995"/>
    </row>
    <row r="39" spans="1:11" s="422" customFormat="1" ht="22.5" customHeight="1" thickBot="1">
      <c r="A39" s="1992"/>
      <c r="B39" s="2722"/>
      <c r="C39" s="4921" t="s">
        <v>1852</v>
      </c>
      <c r="D39" s="4922"/>
      <c r="E39" s="4922"/>
      <c r="F39" s="4922"/>
      <c r="G39" s="4922"/>
      <c r="H39" s="4923"/>
      <c r="I39" s="2723">
        <f>SUM(I12:I35)</f>
        <v>304.17757006611379</v>
      </c>
      <c r="J39" s="2723">
        <f>SUM(J12:J35)</f>
        <v>2.0405247192426055</v>
      </c>
      <c r="K39" s="1995"/>
    </row>
    <row r="40" spans="1:11" ht="15.5">
      <c r="A40" s="760"/>
      <c r="B40" s="2713"/>
      <c r="C40" s="2713"/>
      <c r="D40" s="2714"/>
      <c r="E40" s="2714"/>
      <c r="F40" s="2715"/>
      <c r="G40" s="2716"/>
      <c r="H40" s="2716"/>
      <c r="I40" s="2717"/>
      <c r="J40" s="2717"/>
      <c r="K40" s="762"/>
    </row>
    <row r="41" spans="1:11" s="422" customFormat="1" ht="12.65" customHeight="1">
      <c r="A41" s="4876" t="s">
        <v>521</v>
      </c>
      <c r="B41" s="4877"/>
      <c r="C41" s="2726"/>
      <c r="D41" s="2726"/>
      <c r="E41" s="2726"/>
      <c r="F41" s="2726"/>
      <c r="G41" s="2727"/>
      <c r="H41" s="2727"/>
      <c r="I41" s="2727"/>
      <c r="J41" s="2727"/>
      <c r="K41" s="1995"/>
    </row>
    <row r="42" spans="1:11" s="422" customFormat="1" ht="16.25" customHeight="1">
      <c r="A42" s="2731">
        <v>1</v>
      </c>
      <c r="B42" s="4878" t="s">
        <v>1851</v>
      </c>
      <c r="C42" s="4878"/>
      <c r="D42" s="4878"/>
      <c r="E42" s="4878"/>
      <c r="F42" s="4878"/>
      <c r="G42" s="4878"/>
      <c r="H42" s="4878"/>
      <c r="I42" s="4878"/>
      <c r="J42" s="4878"/>
      <c r="K42" s="1995"/>
    </row>
    <row r="43" spans="1:11" ht="29" customHeight="1">
      <c r="A43" s="2731">
        <v>2</v>
      </c>
      <c r="B43" s="4878" t="s">
        <v>1848</v>
      </c>
      <c r="C43" s="4878"/>
      <c r="D43" s="4878"/>
      <c r="E43" s="4878"/>
      <c r="F43" s="4878"/>
      <c r="G43" s="4878"/>
      <c r="H43" s="4878"/>
      <c r="I43" s="4878"/>
      <c r="J43" s="746"/>
      <c r="K43" s="762"/>
    </row>
    <row r="44" spans="1:11" ht="13.5" thickBot="1">
      <c r="A44" s="1582"/>
      <c r="B44" s="2001"/>
      <c r="C44" s="2732"/>
      <c r="D44" s="2733"/>
      <c r="E44" s="2733"/>
      <c r="F44" s="2734"/>
      <c r="G44" s="2725"/>
      <c r="H44" s="2725"/>
      <c r="I44" s="2733"/>
      <c r="J44" s="2732"/>
      <c r="K44" s="1583"/>
    </row>
  </sheetData>
  <mergeCells count="24">
    <mergeCell ref="B43:I43"/>
    <mergeCell ref="B42:J42"/>
    <mergeCell ref="A41:B41"/>
    <mergeCell ref="J10:J11"/>
    <mergeCell ref="H9:H11"/>
    <mergeCell ref="B20:B23"/>
    <mergeCell ref="B24:B27"/>
    <mergeCell ref="B28:B31"/>
    <mergeCell ref="B32:B35"/>
    <mergeCell ref="I10:I11"/>
    <mergeCell ref="B12:B15"/>
    <mergeCell ref="B16:B19"/>
    <mergeCell ref="C38:H38"/>
    <mergeCell ref="C39:H39"/>
    <mergeCell ref="B2:J2"/>
    <mergeCell ref="B3:J3"/>
    <mergeCell ref="B4:J4"/>
    <mergeCell ref="B8:J8"/>
    <mergeCell ref="B9:B11"/>
    <mergeCell ref="C9:C11"/>
    <mergeCell ref="D9:D11"/>
    <mergeCell ref="E9:E11"/>
    <mergeCell ref="F9:F11"/>
    <mergeCell ref="G9:G11"/>
  </mergeCells>
  <printOptions horizontalCentered="1"/>
  <pageMargins left="0.5" right="0.5" top="0.5" bottom="0.5" header="0.5" footer="0.5"/>
  <pageSetup scale="70" orientation="portrait" r:id="rId1"/>
  <headerFooter alignWithMargins="0">
    <oddFooter>&amp;CCalculations: Page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tabColor theme="3" tint="-0.249977111117893"/>
    <pageSetUpPr fitToPage="1"/>
  </sheetPr>
  <dimension ref="A1:P44"/>
  <sheetViews>
    <sheetView view="pageBreakPreview" topLeftCell="A25" zoomScaleNormal="100" zoomScaleSheetLayoutView="100" zoomScalePageLayoutView="70" workbookViewId="0">
      <selection activeCell="E19" sqref="E19:R19"/>
    </sheetView>
  </sheetViews>
  <sheetFormatPr defaultColWidth="9.36328125" defaultRowHeight="12.5"/>
  <cols>
    <col min="1" max="1" width="3.54296875" style="355" customWidth="1"/>
    <col min="2" max="2" width="11.54296875" style="355" customWidth="1"/>
    <col min="3" max="3" width="15.453125" style="355" customWidth="1"/>
    <col min="4" max="4" width="12.36328125" style="436" customWidth="1"/>
    <col min="5" max="5" width="6.36328125" style="436" customWidth="1"/>
    <col min="6" max="6" width="11.54296875" style="434" customWidth="1"/>
    <col min="7" max="7" width="13.6328125" style="435" bestFit="1" customWidth="1"/>
    <col min="8" max="8" width="13.6328125" style="435" customWidth="1"/>
    <col min="9" max="9" width="12" style="436" bestFit="1" customWidth="1"/>
    <col min="10" max="10" width="11.54296875" style="436" customWidth="1"/>
    <col min="11" max="11" width="3.54296875" style="355" customWidth="1"/>
    <col min="12" max="12" width="10.453125" style="355" customWidth="1"/>
    <col min="13" max="13" width="6.453125" style="355" bestFit="1" customWidth="1"/>
    <col min="14" max="16384" width="9.36328125" style="355"/>
  </cols>
  <sheetData>
    <row r="1" spans="1:16" ht="18.75" customHeight="1" thickBot="1">
      <c r="A1" s="774"/>
      <c r="B1" s="775"/>
      <c r="C1" s="775"/>
      <c r="D1" s="2002"/>
      <c r="E1" s="2002"/>
      <c r="F1" s="2003"/>
      <c r="G1" s="2004"/>
      <c r="H1" s="2004"/>
      <c r="I1" s="2002"/>
      <c r="J1" s="2002"/>
      <c r="K1" s="776"/>
    </row>
    <row r="2" spans="1:16" s="422" customFormat="1" ht="21" customHeight="1">
      <c r="A2" s="1992"/>
      <c r="B2" s="3931" t="str">
        <f>'Summary-Co'!B3</f>
        <v>XTO ENERGY INC.</v>
      </c>
      <c r="C2" s="3932"/>
      <c r="D2" s="3932"/>
      <c r="E2" s="3932"/>
      <c r="F2" s="3932"/>
      <c r="G2" s="3932"/>
      <c r="H2" s="3932"/>
      <c r="I2" s="3932"/>
      <c r="J2" s="3967"/>
      <c r="K2" s="1995"/>
    </row>
    <row r="3" spans="1:16" s="422" customFormat="1" ht="21" customHeight="1">
      <c r="A3" s="1992"/>
      <c r="B3" s="4326" t="str">
        <f>'Summary-Co'!B4</f>
        <v>HUSKY CDP</v>
      </c>
      <c r="C3" s="4327"/>
      <c r="D3" s="4327"/>
      <c r="E3" s="4327"/>
      <c r="F3" s="4327"/>
      <c r="G3" s="4327"/>
      <c r="H3" s="4327"/>
      <c r="I3" s="4327"/>
      <c r="J3" s="4365"/>
      <c r="K3" s="1995"/>
    </row>
    <row r="4" spans="1:16" s="422" customFormat="1" ht="21" customHeight="1" thickBot="1">
      <c r="A4" s="1992"/>
      <c r="B4" s="4366" t="s">
        <v>62</v>
      </c>
      <c r="C4" s="4367"/>
      <c r="D4" s="4367"/>
      <c r="E4" s="4367"/>
      <c r="F4" s="4367"/>
      <c r="G4" s="4367"/>
      <c r="H4" s="4367"/>
      <c r="I4" s="4367"/>
      <c r="J4" s="4368"/>
      <c r="K4" s="1995"/>
    </row>
    <row r="5" spans="1:16" ht="18.5" thickBot="1">
      <c r="A5" s="768"/>
      <c r="B5" s="2049"/>
      <c r="C5" s="2050"/>
      <c r="D5" s="2050"/>
      <c r="E5" s="2050"/>
      <c r="F5" s="2050"/>
      <c r="G5" s="2050"/>
      <c r="H5" s="2050"/>
      <c r="I5" s="2050"/>
      <c r="J5" s="2050"/>
      <c r="K5" s="773"/>
    </row>
    <row r="6" spans="1:16" ht="18">
      <c r="A6" s="423"/>
      <c r="B6" s="424"/>
      <c r="C6" s="425"/>
      <c r="D6" s="425"/>
      <c r="E6" s="425"/>
      <c r="F6" s="425"/>
      <c r="G6" s="425"/>
      <c r="H6" s="425"/>
      <c r="I6" s="425"/>
      <c r="J6" s="425"/>
      <c r="K6" s="423"/>
    </row>
    <row r="7" spans="1:16" ht="18.5" thickBot="1">
      <c r="A7" s="423"/>
      <c r="B7" s="424"/>
      <c r="C7" s="425"/>
      <c r="D7" s="425"/>
      <c r="E7" s="425"/>
      <c r="F7" s="425"/>
      <c r="G7" s="425"/>
      <c r="H7" s="425"/>
      <c r="I7" s="425"/>
      <c r="J7" s="425"/>
      <c r="K7" s="423"/>
    </row>
    <row r="8" spans="1:16" ht="18.5" thickBot="1">
      <c r="A8" s="774"/>
      <c r="B8" s="4879" t="s">
        <v>923</v>
      </c>
      <c r="C8" s="4879"/>
      <c r="D8" s="4879"/>
      <c r="E8" s="4879"/>
      <c r="F8" s="4879"/>
      <c r="G8" s="4879"/>
      <c r="H8" s="4879"/>
      <c r="I8" s="4879"/>
      <c r="J8" s="4879"/>
      <c r="K8" s="776"/>
    </row>
    <row r="9" spans="1:16" ht="17.25" customHeight="1" thickBot="1">
      <c r="A9" s="760"/>
      <c r="B9" s="4885" t="s">
        <v>40</v>
      </c>
      <c r="C9" s="4888" t="s">
        <v>41</v>
      </c>
      <c r="D9" s="4890" t="s">
        <v>38</v>
      </c>
      <c r="E9" s="4890" t="s">
        <v>24</v>
      </c>
      <c r="F9" s="4892" t="s">
        <v>25</v>
      </c>
      <c r="G9" s="4894" t="s">
        <v>557</v>
      </c>
      <c r="H9" s="4885" t="s">
        <v>26</v>
      </c>
      <c r="I9" s="4898"/>
      <c r="J9" s="4899"/>
      <c r="K9" s="762"/>
    </row>
    <row r="10" spans="1:16" s="429" customFormat="1" ht="17.25" customHeight="1">
      <c r="A10" s="1982"/>
      <c r="B10" s="4886"/>
      <c r="C10" s="4889"/>
      <c r="D10" s="4891"/>
      <c r="E10" s="4891"/>
      <c r="F10" s="4893"/>
      <c r="G10" s="4895"/>
      <c r="H10" s="4900" t="s">
        <v>61</v>
      </c>
      <c r="I10" s="4924" t="s">
        <v>27</v>
      </c>
      <c r="J10" s="4896" t="s">
        <v>28</v>
      </c>
      <c r="K10" s="1983"/>
      <c r="L10" s="428"/>
      <c r="M10" s="428"/>
      <c r="P10" s="1681"/>
    </row>
    <row r="11" spans="1:16" ht="17.25" customHeight="1" thickBot="1">
      <c r="A11" s="760"/>
      <c r="B11" s="4887"/>
      <c r="C11" s="4889"/>
      <c r="D11" s="4891"/>
      <c r="E11" s="4891"/>
      <c r="F11" s="4893"/>
      <c r="G11" s="4895"/>
      <c r="H11" s="4901"/>
      <c r="I11" s="4925"/>
      <c r="J11" s="4897"/>
      <c r="K11" s="762"/>
      <c r="L11" s="430"/>
      <c r="M11" s="430"/>
      <c r="O11" s="1682">
        <f>G12</f>
        <v>0</v>
      </c>
      <c r="P11" s="486"/>
    </row>
    <row r="12" spans="1:16" ht="13">
      <c r="A12" s="760"/>
      <c r="B12" s="4867" t="s">
        <v>29</v>
      </c>
      <c r="C12" s="2007" t="s">
        <v>30</v>
      </c>
      <c r="D12" s="2008">
        <f>Fugitive!D12</f>
        <v>12140</v>
      </c>
      <c r="E12" s="2009">
        <v>8760</v>
      </c>
      <c r="F12" s="2010">
        <v>9.92E-3</v>
      </c>
      <c r="G12" s="2011">
        <f>'Components - INLET GAS'!H47/100</f>
        <v>0</v>
      </c>
      <c r="H12" s="2042">
        <f>I12/8760</f>
        <v>0</v>
      </c>
      <c r="I12" s="2013">
        <f>D12*E12*F12*G12*(1-D43)</f>
        <v>0</v>
      </c>
      <c r="J12" s="2043">
        <f>I12/2000</f>
        <v>0</v>
      </c>
      <c r="K12" s="762"/>
      <c r="L12" s="431"/>
      <c r="M12" s="432">
        <f>H12+H16+H20+H24+H28+H32</f>
        <v>0</v>
      </c>
      <c r="O12" s="1682"/>
      <c r="P12" s="486"/>
    </row>
    <row r="13" spans="1:16" ht="13">
      <c r="A13" s="760"/>
      <c r="B13" s="4868"/>
      <c r="C13" s="2014" t="s">
        <v>31</v>
      </c>
      <c r="D13" s="2015">
        <f>Fugitive!D13</f>
        <v>5500</v>
      </c>
      <c r="E13" s="2016">
        <v>8760</v>
      </c>
      <c r="F13" s="2017">
        <v>5.4999999999999997E-3</v>
      </c>
      <c r="G13" s="2018">
        <f>('CDP + Flare PStreams'!F49+'CDP + Flare PStreams'!F51+'CDP + Flare PStreams'!F57+'CDP + Flare PStreams'!F59+'CDP + Flare PStreams'!F60)/100</f>
        <v>6.9234711519143705E-2</v>
      </c>
      <c r="H13" s="2044">
        <f t="shared" ref="H13:H35" si="0">I13/8760</f>
        <v>0.81679650914709789</v>
      </c>
      <c r="I13" s="2020">
        <f>D13*E13*F13*G13*(1-D44)</f>
        <v>7155.137420128578</v>
      </c>
      <c r="J13" s="2045">
        <f t="shared" ref="J13:J35" si="1">I13/2000</f>
        <v>3.577568710064289</v>
      </c>
      <c r="K13" s="762"/>
      <c r="L13" s="431"/>
      <c r="M13" s="431">
        <f>G39-M12</f>
        <v>1.8349882519246774</v>
      </c>
      <c r="P13" s="486"/>
    </row>
    <row r="14" spans="1:16" ht="13">
      <c r="A14" s="760"/>
      <c r="B14" s="4868"/>
      <c r="C14" s="2014" t="s">
        <v>32</v>
      </c>
      <c r="D14" s="2015">
        <f>Fugitive!D14</f>
        <v>159</v>
      </c>
      <c r="E14" s="2016">
        <v>8760</v>
      </c>
      <c r="F14" s="2017">
        <v>1.9000000000000001E-5</v>
      </c>
      <c r="G14" s="2018">
        <f>G13</f>
        <v>6.9234711519143705E-2</v>
      </c>
      <c r="H14" s="2044">
        <f t="shared" si="0"/>
        <v>2.0915806349933313E-4</v>
      </c>
      <c r="I14" s="2020">
        <f t="shared" ref="I14:I35" si="2">D14*E14*F14*G14</f>
        <v>1.8322246362541583</v>
      </c>
      <c r="J14" s="2045">
        <f t="shared" si="1"/>
        <v>9.1611231812707911E-4</v>
      </c>
      <c r="K14" s="762"/>
      <c r="L14" s="431"/>
      <c r="M14" s="430"/>
      <c r="P14" s="486"/>
    </row>
    <row r="15" spans="1:16" ht="13.5" thickBot="1">
      <c r="A15" s="760"/>
      <c r="B15" s="4869"/>
      <c r="C15" s="2021" t="s">
        <v>33</v>
      </c>
      <c r="D15" s="2022">
        <f>Fugitive!D15</f>
        <v>0</v>
      </c>
      <c r="E15" s="2023">
        <v>8760</v>
      </c>
      <c r="F15" s="2024">
        <v>2.1599999999999999E-4</v>
      </c>
      <c r="G15" s="2025">
        <f>G14</f>
        <v>6.9234711519143705E-2</v>
      </c>
      <c r="H15" s="2046">
        <f t="shared" si="0"/>
        <v>0</v>
      </c>
      <c r="I15" s="2027">
        <f t="shared" si="2"/>
        <v>0</v>
      </c>
      <c r="J15" s="2047">
        <f>I15/2000</f>
        <v>0</v>
      </c>
      <c r="K15" s="762"/>
      <c r="L15" s="431"/>
      <c r="M15" s="430"/>
      <c r="P15" s="486"/>
    </row>
    <row r="16" spans="1:16" ht="13.5" customHeight="1">
      <c r="A16" s="760"/>
      <c r="B16" s="4867" t="s">
        <v>60</v>
      </c>
      <c r="C16" s="2007" t="s">
        <v>30</v>
      </c>
      <c r="D16" s="2008">
        <f>Fugitive!D16</f>
        <v>0</v>
      </c>
      <c r="E16" s="2009">
        <v>8760</v>
      </c>
      <c r="F16" s="2010">
        <v>5.2900000000000004E-3</v>
      </c>
      <c r="G16" s="2011">
        <f>G12</f>
        <v>0</v>
      </c>
      <c r="H16" s="2042">
        <f t="shared" si="0"/>
        <v>0</v>
      </c>
      <c r="I16" s="2013">
        <f t="shared" si="2"/>
        <v>0</v>
      </c>
      <c r="J16" s="2043">
        <f t="shared" si="1"/>
        <v>0</v>
      </c>
      <c r="K16" s="762"/>
      <c r="L16" s="431"/>
      <c r="M16" s="430"/>
    </row>
    <row r="17" spans="1:16" ht="13">
      <c r="A17" s="760"/>
      <c r="B17" s="4868"/>
      <c r="C17" s="2014" t="s">
        <v>31</v>
      </c>
      <c r="D17" s="2015">
        <f>Fugitive!D17</f>
        <v>300</v>
      </c>
      <c r="E17" s="2016">
        <v>8760</v>
      </c>
      <c r="F17" s="2017">
        <v>2.8660000000000001E-2</v>
      </c>
      <c r="G17" s="2018">
        <f>G18</f>
        <v>6.9234711519143705E-2</v>
      </c>
      <c r="H17" s="2044">
        <f t="shared" si="0"/>
        <v>0.32740402730287871</v>
      </c>
      <c r="I17" s="2020">
        <f>D17*E17*F17*G17*(1-G43)</f>
        <v>2868.0592791732174</v>
      </c>
      <c r="J17" s="2045">
        <f t="shared" si="1"/>
        <v>1.4340296395866088</v>
      </c>
      <c r="K17" s="762"/>
      <c r="L17" s="431"/>
      <c r="P17" s="1681"/>
    </row>
    <row r="18" spans="1:16" ht="13">
      <c r="A18" s="760"/>
      <c r="B18" s="4868"/>
      <c r="C18" s="2014" t="s">
        <v>32</v>
      </c>
      <c r="D18" s="2015">
        <f>Fugitive!D18</f>
        <v>4</v>
      </c>
      <c r="E18" s="2016">
        <v>8760</v>
      </c>
      <c r="F18" s="2017">
        <v>1.1299999999999999E-3</v>
      </c>
      <c r="G18" s="2018">
        <f>G19</f>
        <v>6.9234711519143705E-2</v>
      </c>
      <c r="H18" s="2044">
        <f t="shared" si="0"/>
        <v>3.1294089606652951E-4</v>
      </c>
      <c r="I18" s="2020">
        <f t="shared" si="2"/>
        <v>2.7413622495427985</v>
      </c>
      <c r="J18" s="2045">
        <f t="shared" si="1"/>
        <v>1.3706811247713993E-3</v>
      </c>
      <c r="K18" s="762"/>
      <c r="L18" s="431"/>
      <c r="P18" s="486"/>
    </row>
    <row r="19" spans="1:16" ht="13.5" thickBot="1">
      <c r="A19" s="760"/>
      <c r="B19" s="4869"/>
      <c r="C19" s="2021" t="s">
        <v>33</v>
      </c>
      <c r="D19" s="2022">
        <f>Fugitive!D19</f>
        <v>40</v>
      </c>
      <c r="E19" s="2023">
        <v>8760</v>
      </c>
      <c r="F19" s="2024">
        <v>5.3000000000000001E-5</v>
      </c>
      <c r="G19" s="2025">
        <f>G15</f>
        <v>6.9234711519143705E-2</v>
      </c>
      <c r="H19" s="2046">
        <f t="shared" si="0"/>
        <v>1.4677758842058467E-4</v>
      </c>
      <c r="I19" s="2027">
        <f t="shared" si="2"/>
        <v>1.2857716745643217</v>
      </c>
      <c r="J19" s="2047">
        <f t="shared" si="1"/>
        <v>6.4288583728216086E-4</v>
      </c>
      <c r="K19" s="762"/>
      <c r="L19" s="431"/>
      <c r="M19" s="433"/>
      <c r="P19" s="486"/>
    </row>
    <row r="20" spans="1:16" ht="13">
      <c r="A20" s="760"/>
      <c r="B20" s="4867" t="s">
        <v>36</v>
      </c>
      <c r="C20" s="2007" t="s">
        <v>30</v>
      </c>
      <c r="D20" s="2008">
        <f>Fugitive!D20</f>
        <v>18000</v>
      </c>
      <c r="E20" s="2009">
        <v>8760</v>
      </c>
      <c r="F20" s="2010">
        <v>4.4000000000000002E-4</v>
      </c>
      <c r="G20" s="2011">
        <f>G16</f>
        <v>0</v>
      </c>
      <c r="H20" s="2042">
        <f t="shared" si="0"/>
        <v>0</v>
      </c>
      <c r="I20" s="2013">
        <f>D20*E20*F20*G20*(1-J43)</f>
        <v>0</v>
      </c>
      <c r="J20" s="2043">
        <f t="shared" si="1"/>
        <v>0</v>
      </c>
      <c r="K20" s="762"/>
      <c r="L20" s="431"/>
      <c r="P20" s="486"/>
    </row>
    <row r="21" spans="1:16" ht="13">
      <c r="A21" s="760"/>
      <c r="B21" s="4868"/>
      <c r="C21" s="2014" t="s">
        <v>31</v>
      </c>
      <c r="D21" s="2015">
        <f>Fugitive!D21</f>
        <v>15000</v>
      </c>
      <c r="E21" s="2016">
        <v>8760</v>
      </c>
      <c r="F21" s="2017">
        <v>4.6299999999999998E-4</v>
      </c>
      <c r="G21" s="2018">
        <f>G22</f>
        <v>6.9234711519143705E-2</v>
      </c>
      <c r="H21" s="2044">
        <f t="shared" si="0"/>
        <v>0.48083507150045296</v>
      </c>
      <c r="I21" s="2020">
        <f>D21*E21*F21*G21*(1-J43)</f>
        <v>4212.1152263439681</v>
      </c>
      <c r="J21" s="2045">
        <f t="shared" si="1"/>
        <v>2.1060576131719841</v>
      </c>
      <c r="K21" s="762"/>
      <c r="L21" s="431"/>
      <c r="M21" s="433"/>
      <c r="P21" s="486"/>
    </row>
    <row r="22" spans="1:16" ht="13">
      <c r="A22" s="760"/>
      <c r="B22" s="4868"/>
      <c r="C22" s="2014" t="s">
        <v>32</v>
      </c>
      <c r="D22" s="2015">
        <f>Fugitive!D22</f>
        <v>0</v>
      </c>
      <c r="E22" s="2016">
        <v>8760</v>
      </c>
      <c r="F22" s="2017">
        <v>1.7E-5</v>
      </c>
      <c r="G22" s="2018">
        <f>G23</f>
        <v>6.9234711519143705E-2</v>
      </c>
      <c r="H22" s="2044">
        <f t="shared" si="0"/>
        <v>0</v>
      </c>
      <c r="I22" s="2020">
        <f t="shared" si="2"/>
        <v>0</v>
      </c>
      <c r="J22" s="2045">
        <f t="shared" si="1"/>
        <v>0</v>
      </c>
      <c r="K22" s="762"/>
      <c r="L22" s="431"/>
      <c r="P22" s="486"/>
    </row>
    <row r="23" spans="1:16" ht="13.5" thickBot="1">
      <c r="A23" s="760"/>
      <c r="B23" s="4869"/>
      <c r="C23" s="2021" t="s">
        <v>33</v>
      </c>
      <c r="D23" s="2022">
        <f>Fugitive!D23</f>
        <v>1400</v>
      </c>
      <c r="E23" s="2023">
        <v>8760</v>
      </c>
      <c r="F23" s="2024">
        <v>2.43E-4</v>
      </c>
      <c r="G23" s="2025">
        <f>G19</f>
        <v>6.9234711519143705E-2</v>
      </c>
      <c r="H23" s="2046">
        <f t="shared" si="0"/>
        <v>2.3553648858812691E-2</v>
      </c>
      <c r="I23" s="2027">
        <f t="shared" si="2"/>
        <v>206.32996400319917</v>
      </c>
      <c r="J23" s="2047">
        <f t="shared" si="1"/>
        <v>0.10316498200159958</v>
      </c>
      <c r="K23" s="762"/>
      <c r="L23" s="431"/>
    </row>
    <row r="24" spans="1:16" ht="13.5" customHeight="1">
      <c r="A24" s="760"/>
      <c r="B24" s="4867" t="s">
        <v>34</v>
      </c>
      <c r="C24" s="2007" t="s">
        <v>30</v>
      </c>
      <c r="D24" s="2008">
        <f>Fugitive!D24</f>
        <v>8354</v>
      </c>
      <c r="E24" s="2009">
        <v>8760</v>
      </c>
      <c r="F24" s="2010">
        <v>8.5999999999999998E-4</v>
      </c>
      <c r="G24" s="2011">
        <f>G20</f>
        <v>0</v>
      </c>
      <c r="H24" s="2042">
        <f t="shared" si="0"/>
        <v>0</v>
      </c>
      <c r="I24" s="2013">
        <f>D24*E24*F24*G24*(1-J43)</f>
        <v>0</v>
      </c>
      <c r="J24" s="2043">
        <f t="shared" si="1"/>
        <v>0</v>
      </c>
      <c r="K24" s="762"/>
      <c r="L24" s="431"/>
    </row>
    <row r="25" spans="1:16" ht="13.5" customHeight="1">
      <c r="A25" s="760"/>
      <c r="B25" s="4868"/>
      <c r="C25" s="2014" t="s">
        <v>31</v>
      </c>
      <c r="D25" s="2015">
        <f>Fugitive!D25</f>
        <v>11000</v>
      </c>
      <c r="E25" s="2016">
        <v>8760</v>
      </c>
      <c r="F25" s="2017">
        <v>2.43E-4</v>
      </c>
      <c r="G25" s="2018">
        <f>G26</f>
        <v>6.9234711519143705E-2</v>
      </c>
      <c r="H25" s="2044">
        <f t="shared" si="0"/>
        <v>0.18506438389067112</v>
      </c>
      <c r="I25" s="2020">
        <f>D25*E25*F25*G25*(1-J43)</f>
        <v>1621.164002882279</v>
      </c>
      <c r="J25" s="2045">
        <f t="shared" si="1"/>
        <v>0.81058200144113945</v>
      </c>
      <c r="K25" s="762"/>
      <c r="L25" s="431"/>
      <c r="M25" s="433"/>
    </row>
    <row r="26" spans="1:16" ht="13">
      <c r="A26" s="760"/>
      <c r="B26" s="4868"/>
      <c r="C26" s="2014" t="s">
        <v>32</v>
      </c>
      <c r="D26" s="2015">
        <f>Fugitive!D26</f>
        <v>367</v>
      </c>
      <c r="E26" s="2016">
        <v>8760</v>
      </c>
      <c r="F26" s="2017">
        <v>8.6000000000000002E-7</v>
      </c>
      <c r="G26" s="2018">
        <f>G27</f>
        <v>6.9234711519143705E-2</v>
      </c>
      <c r="H26" s="2044">
        <f t="shared" si="0"/>
        <v>2.1851859649672137E-5</v>
      </c>
      <c r="I26" s="2020">
        <f t="shared" si="2"/>
        <v>0.19142229053112791</v>
      </c>
      <c r="J26" s="2045">
        <f t="shared" si="1"/>
        <v>9.5711145265563961E-5</v>
      </c>
      <c r="K26" s="762"/>
      <c r="L26" s="431"/>
    </row>
    <row r="27" spans="1:16" ht="13.5" thickBot="1">
      <c r="A27" s="760"/>
      <c r="B27" s="4869"/>
      <c r="C27" s="2021" t="s">
        <v>33</v>
      </c>
      <c r="D27" s="2022">
        <f>Fugitive!D27</f>
        <v>1500</v>
      </c>
      <c r="E27" s="2023">
        <v>8760</v>
      </c>
      <c r="F27" s="2024">
        <v>6.1999999999999999E-6</v>
      </c>
      <c r="G27" s="2025">
        <f>G23</f>
        <v>6.9234711519143705E-2</v>
      </c>
      <c r="H27" s="2046">
        <f t="shared" si="0"/>
        <v>6.4388281712803648E-4</v>
      </c>
      <c r="I27" s="2027">
        <f t="shared" si="2"/>
        <v>5.6404134780415998</v>
      </c>
      <c r="J27" s="2047">
        <f t="shared" si="1"/>
        <v>2.8202067390207999E-3</v>
      </c>
      <c r="K27" s="762"/>
      <c r="L27" s="431"/>
    </row>
    <row r="28" spans="1:16" ht="13.5" customHeight="1">
      <c r="A28" s="760"/>
      <c r="B28" s="4867" t="s">
        <v>35</v>
      </c>
      <c r="C28" s="2007" t="s">
        <v>30</v>
      </c>
      <c r="D28" s="2008">
        <f>Fugitive!D28</f>
        <v>0</v>
      </c>
      <c r="E28" s="2009">
        <v>8760</v>
      </c>
      <c r="F28" s="2010">
        <v>4.4099999999999999E-3</v>
      </c>
      <c r="G28" s="2011">
        <f>G24</f>
        <v>0</v>
      </c>
      <c r="H28" s="2042">
        <f t="shared" si="0"/>
        <v>0</v>
      </c>
      <c r="I28" s="2013">
        <f t="shared" si="2"/>
        <v>0</v>
      </c>
      <c r="J28" s="2043">
        <f t="shared" si="1"/>
        <v>0</v>
      </c>
      <c r="K28" s="762"/>
      <c r="L28" s="431"/>
    </row>
    <row r="29" spans="1:16" ht="13">
      <c r="A29" s="760"/>
      <c r="B29" s="4868"/>
      <c r="C29" s="2014" t="s">
        <v>31</v>
      </c>
      <c r="D29" s="2015">
        <f>Fugitive!D29</f>
        <v>0</v>
      </c>
      <c r="E29" s="2016">
        <v>8760</v>
      </c>
      <c r="F29" s="2017">
        <v>3.0899999999999999E-3</v>
      </c>
      <c r="G29" s="2018">
        <f>G30</f>
        <v>6.9234711519143705E-2</v>
      </c>
      <c r="H29" s="2044">
        <f t="shared" si="0"/>
        <v>0</v>
      </c>
      <c r="I29" s="2020">
        <f t="shared" si="2"/>
        <v>0</v>
      </c>
      <c r="J29" s="2045">
        <f t="shared" si="1"/>
        <v>0</v>
      </c>
      <c r="K29" s="762"/>
      <c r="L29" s="431"/>
    </row>
    <row r="30" spans="1:16" ht="13">
      <c r="A30" s="760"/>
      <c r="B30" s="4868"/>
      <c r="C30" s="2014" t="s">
        <v>32</v>
      </c>
      <c r="D30" s="2015">
        <f>Fugitive!D30</f>
        <v>0</v>
      </c>
      <c r="E30" s="2016">
        <v>8760</v>
      </c>
      <c r="F30" s="2017">
        <v>3.0899999999999998E-4</v>
      </c>
      <c r="G30" s="2018">
        <f>G31</f>
        <v>6.9234711519143705E-2</v>
      </c>
      <c r="H30" s="2044">
        <f t="shared" si="0"/>
        <v>0</v>
      </c>
      <c r="I30" s="2020">
        <f t="shared" si="2"/>
        <v>0</v>
      </c>
      <c r="J30" s="2045">
        <f t="shared" si="1"/>
        <v>0</v>
      </c>
      <c r="K30" s="762"/>
      <c r="L30" s="431"/>
    </row>
    <row r="31" spans="1:16" ht="13.5" thickBot="1">
      <c r="A31" s="760"/>
      <c r="B31" s="4869"/>
      <c r="C31" s="2021" t="s">
        <v>33</v>
      </c>
      <c r="D31" s="2022">
        <f>Fugitive!D31</f>
        <v>0</v>
      </c>
      <c r="E31" s="2023">
        <v>8760</v>
      </c>
      <c r="F31" s="2024">
        <v>5.5000000000000003E-4</v>
      </c>
      <c r="G31" s="2025">
        <f>G27</f>
        <v>6.9234711519143705E-2</v>
      </c>
      <c r="H31" s="2046">
        <f t="shared" si="0"/>
        <v>0</v>
      </c>
      <c r="I31" s="2027">
        <f t="shared" si="2"/>
        <v>0</v>
      </c>
      <c r="J31" s="2047">
        <f t="shared" si="1"/>
        <v>0</v>
      </c>
      <c r="K31" s="762"/>
      <c r="L31" s="431"/>
    </row>
    <row r="32" spans="1:16" ht="13">
      <c r="A32" s="760"/>
      <c r="B32" s="4870" t="s">
        <v>39</v>
      </c>
      <c r="C32" s="2007" t="s">
        <v>30</v>
      </c>
      <c r="D32" s="2008">
        <f>Fugitive!D32</f>
        <v>40</v>
      </c>
      <c r="E32" s="2009">
        <v>8760</v>
      </c>
      <c r="F32" s="2010">
        <v>1.9400000000000001E-2</v>
      </c>
      <c r="G32" s="2011">
        <f>G28</f>
        <v>0</v>
      </c>
      <c r="H32" s="2048">
        <f t="shared" si="0"/>
        <v>0</v>
      </c>
      <c r="I32" s="2013">
        <f t="shared" si="2"/>
        <v>0</v>
      </c>
      <c r="J32" s="2043">
        <f t="shared" si="1"/>
        <v>0</v>
      </c>
      <c r="K32" s="762"/>
      <c r="L32" s="431"/>
    </row>
    <row r="33" spans="1:12" ht="13">
      <c r="A33" s="760"/>
      <c r="B33" s="4871"/>
      <c r="C33" s="2014" t="s">
        <v>31</v>
      </c>
      <c r="D33" s="2015">
        <f>Fugitive!D33</f>
        <v>0</v>
      </c>
      <c r="E33" s="2016">
        <v>8760</v>
      </c>
      <c r="F33" s="2017">
        <v>1.6500000000000001E-2</v>
      </c>
      <c r="G33" s="2018">
        <f>G27</f>
        <v>6.9234711519143705E-2</v>
      </c>
      <c r="H33" s="2044">
        <f t="shared" si="0"/>
        <v>0</v>
      </c>
      <c r="I33" s="2020">
        <f t="shared" si="2"/>
        <v>0</v>
      </c>
      <c r="J33" s="2045">
        <f t="shared" si="1"/>
        <v>0</v>
      </c>
      <c r="K33" s="762"/>
      <c r="L33" s="431"/>
    </row>
    <row r="34" spans="1:12" ht="13">
      <c r="A34" s="760"/>
      <c r="B34" s="4871"/>
      <c r="C34" s="2014" t="s">
        <v>32</v>
      </c>
      <c r="D34" s="2015">
        <f>Fugitive!D34</f>
        <v>0</v>
      </c>
      <c r="E34" s="2016">
        <v>8760</v>
      </c>
      <c r="F34" s="2017">
        <v>6.7999999999999999E-5</v>
      </c>
      <c r="G34" s="2018">
        <f>G33</f>
        <v>6.9234711519143705E-2</v>
      </c>
      <c r="H34" s="2044">
        <f t="shared" si="0"/>
        <v>0</v>
      </c>
      <c r="I34" s="2020">
        <f t="shared" si="2"/>
        <v>0</v>
      </c>
      <c r="J34" s="2045">
        <f t="shared" si="1"/>
        <v>0</v>
      </c>
      <c r="K34" s="762"/>
      <c r="L34" s="431"/>
    </row>
    <row r="35" spans="1:12" ht="13.5" thickBot="1">
      <c r="A35" s="760"/>
      <c r="B35" s="4872"/>
      <c r="C35" s="2021" t="s">
        <v>33</v>
      </c>
      <c r="D35" s="2022">
        <f>Fugitive!D35</f>
        <v>0</v>
      </c>
      <c r="E35" s="2023">
        <v>8760</v>
      </c>
      <c r="F35" s="2024">
        <v>3.09E-2</v>
      </c>
      <c r="G35" s="2025">
        <f>G27</f>
        <v>6.9234711519143705E-2</v>
      </c>
      <c r="H35" s="2046">
        <f t="shared" si="0"/>
        <v>0</v>
      </c>
      <c r="I35" s="2027">
        <f t="shared" si="2"/>
        <v>0</v>
      </c>
      <c r="J35" s="2047">
        <f t="shared" si="1"/>
        <v>0</v>
      </c>
      <c r="K35" s="762"/>
      <c r="L35" s="431"/>
    </row>
    <row r="36" spans="1:12" ht="13">
      <c r="A36" s="760"/>
      <c r="B36" s="43"/>
      <c r="C36" s="43"/>
      <c r="D36" s="1984"/>
      <c r="E36" s="1984"/>
      <c r="F36" s="1985"/>
      <c r="G36" s="1986"/>
      <c r="H36" s="1986"/>
      <c r="I36" s="1987"/>
      <c r="J36" s="1987"/>
      <c r="K36" s="762"/>
    </row>
    <row r="37" spans="1:12" ht="13.5" thickBot="1">
      <c r="A37" s="760"/>
      <c r="B37" s="43"/>
      <c r="C37" s="43"/>
      <c r="D37" s="1988"/>
      <c r="E37" s="1989"/>
      <c r="F37" s="1990"/>
      <c r="G37" s="1991"/>
      <c r="H37" s="1991"/>
      <c r="I37" s="1987"/>
      <c r="J37" s="1987"/>
      <c r="K37" s="762"/>
    </row>
    <row r="38" spans="1:12" s="422" customFormat="1" ht="22.5" customHeight="1" thickBot="1">
      <c r="A38" s="1992"/>
      <c r="B38" s="1993"/>
      <c r="C38" s="4873" t="s">
        <v>46</v>
      </c>
      <c r="D38" s="4874"/>
      <c r="E38" s="4874"/>
      <c r="F38" s="4875"/>
      <c r="G38" s="2030" t="s">
        <v>22</v>
      </c>
      <c r="H38" s="2031" t="s">
        <v>27</v>
      </c>
      <c r="I38" s="2032" t="s">
        <v>37</v>
      </c>
      <c r="J38" s="1994"/>
      <c r="K38" s="1995"/>
    </row>
    <row r="39" spans="1:12" s="422" customFormat="1" ht="22.5" customHeight="1" thickBot="1">
      <c r="A39" s="1992"/>
      <c r="B39" s="1993"/>
      <c r="C39" s="4882" t="s">
        <v>45</v>
      </c>
      <c r="D39" s="4883"/>
      <c r="E39" s="4883"/>
      <c r="F39" s="4884"/>
      <c r="G39" s="2033">
        <f>H39/8760</f>
        <v>1.8349882519246774</v>
      </c>
      <c r="H39" s="2034">
        <f>SUM(I12:I35)</f>
        <v>16074.497086860174</v>
      </c>
      <c r="I39" s="2035">
        <f>SUM(J12:J35)</f>
        <v>8.0372485434300867</v>
      </c>
      <c r="J39" s="1994"/>
      <c r="K39" s="1995"/>
    </row>
    <row r="40" spans="1:12" ht="19.5" customHeight="1">
      <c r="A40" s="4927"/>
      <c r="B40" s="4928"/>
      <c r="C40" s="4928"/>
      <c r="D40" s="4928"/>
      <c r="E40" s="4928"/>
      <c r="F40" s="4928"/>
      <c r="G40" s="4928"/>
      <c r="H40" s="4928"/>
      <c r="I40" s="4928"/>
      <c r="J40" s="4928"/>
      <c r="K40" s="4929"/>
    </row>
    <row r="41" spans="1:12" s="422" customFormat="1" ht="12.65" customHeight="1">
      <c r="A41" s="4876" t="s">
        <v>521</v>
      </c>
      <c r="B41" s="4877"/>
      <c r="C41" s="2726"/>
      <c r="D41" s="2726"/>
      <c r="E41" s="2726"/>
      <c r="F41" s="2726"/>
      <c r="G41" s="2727"/>
      <c r="H41" s="2727"/>
      <c r="I41" s="2727"/>
      <c r="J41" s="2727"/>
      <c r="K41" s="1995"/>
    </row>
    <row r="42" spans="1:12" s="422" customFormat="1" ht="16.25" customHeight="1">
      <c r="A42" s="2731">
        <v>1</v>
      </c>
      <c r="B42" s="4878" t="s">
        <v>1966</v>
      </c>
      <c r="C42" s="4878"/>
      <c r="D42" s="4878"/>
      <c r="E42" s="4878"/>
      <c r="F42" s="4878"/>
      <c r="G42" s="4878"/>
      <c r="H42" s="4878"/>
      <c r="I42" s="4878"/>
      <c r="J42" s="4878"/>
      <c r="K42" s="1995"/>
    </row>
    <row r="43" spans="1:12" ht="12.75" customHeight="1">
      <c r="A43" s="760"/>
      <c r="B43" s="1999" t="s">
        <v>918</v>
      </c>
      <c r="C43" s="30" t="s">
        <v>919</v>
      </c>
      <c r="D43" s="2039">
        <f>Fugitive!D76</f>
        <v>0.67</v>
      </c>
      <c r="E43" s="748"/>
      <c r="F43" s="2000" t="s">
        <v>921</v>
      </c>
      <c r="G43" s="2040">
        <f>Fugitive!G76</f>
        <v>0.45</v>
      </c>
      <c r="H43" s="4926" t="s">
        <v>922</v>
      </c>
      <c r="I43" s="4926"/>
      <c r="J43" s="2039">
        <f>Fugitive!J76</f>
        <v>0</v>
      </c>
      <c r="K43" s="762"/>
    </row>
    <row r="44" spans="1:12" ht="13" thickBot="1">
      <c r="A44" s="1582"/>
      <c r="B44" s="1580"/>
      <c r="C44" s="1580" t="s">
        <v>920</v>
      </c>
      <c r="D44" s="2041">
        <f>Fugitive!D77</f>
        <v>0.61</v>
      </c>
      <c r="E44" s="1996"/>
      <c r="F44" s="1997"/>
      <c r="G44" s="1998"/>
      <c r="H44" s="1998"/>
      <c r="I44" s="1996"/>
      <c r="J44" s="1996"/>
      <c r="K44" s="1583"/>
    </row>
  </sheetData>
  <mergeCells count="26">
    <mergeCell ref="H43:I43"/>
    <mergeCell ref="B28:B31"/>
    <mergeCell ref="B32:B35"/>
    <mergeCell ref="C38:F38"/>
    <mergeCell ref="C39:F39"/>
    <mergeCell ref="A40:K40"/>
    <mergeCell ref="A41:B41"/>
    <mergeCell ref="B42:J42"/>
    <mergeCell ref="B16:B19"/>
    <mergeCell ref="B20:B23"/>
    <mergeCell ref="B24:B27"/>
    <mergeCell ref="H9:J9"/>
    <mergeCell ref="H10:H11"/>
    <mergeCell ref="I10:I11"/>
    <mergeCell ref="J10:J11"/>
    <mergeCell ref="B12:B15"/>
    <mergeCell ref="B2:J2"/>
    <mergeCell ref="B3:J3"/>
    <mergeCell ref="B4:J4"/>
    <mergeCell ref="B9:B11"/>
    <mergeCell ref="C9:C11"/>
    <mergeCell ref="D9:D11"/>
    <mergeCell ref="E9:E11"/>
    <mergeCell ref="F9:F11"/>
    <mergeCell ref="G9:G11"/>
    <mergeCell ref="B8:J8"/>
  </mergeCells>
  <pageMargins left="0.5" right="0.5" top="0.5" bottom="0.5" header="0.5" footer="0.5"/>
  <pageSetup scale="85" orientation="portrait" r:id="rId1"/>
  <headerFooter alignWithMargins="0">
    <oddFooter>&amp;CCalculations: 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theme="1"/>
  </sheetPr>
  <dimension ref="A1:Q539"/>
  <sheetViews>
    <sheetView view="pageLayout" zoomScale="70" zoomScaleNormal="85" zoomScaleSheetLayoutView="80" zoomScalePageLayoutView="70" workbookViewId="0">
      <selection activeCell="G29" sqref="G29:G32"/>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9" width="8.54296875" style="56"/>
    <col min="10" max="10" width="8.54296875" style="56" customWidth="1"/>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1769</v>
      </c>
      <c r="B1" s="3843"/>
      <c r="C1" s="3843"/>
      <c r="D1" s="3843"/>
      <c r="E1" s="3843"/>
      <c r="F1" s="3843"/>
      <c r="G1" s="3843"/>
      <c r="H1" s="3844"/>
      <c r="I1" s="3844"/>
      <c r="J1" s="3844"/>
      <c r="K1" s="3844"/>
      <c r="L1" s="3844"/>
      <c r="M1" s="3844"/>
      <c r="N1" s="55"/>
      <c r="O1" s="55"/>
      <c r="P1" s="55"/>
    </row>
    <row r="2" spans="1:17" ht="17.149999999999999" customHeight="1" thickBot="1">
      <c r="A2" s="3845" t="s">
        <v>1492</v>
      </c>
      <c r="B2" s="3845"/>
      <c r="C2" s="3845"/>
      <c r="D2" s="3845"/>
      <c r="E2" s="3845"/>
      <c r="F2" s="3845"/>
      <c r="G2" s="3845"/>
      <c r="H2" s="3846"/>
      <c r="I2" s="3846"/>
      <c r="J2" s="3846"/>
      <c r="K2" s="3846"/>
      <c r="L2" s="3846"/>
      <c r="M2" s="3846"/>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tr">
        <f>'2-A All'!A7:A8</f>
        <v>SHTR1</v>
      </c>
      <c r="B7" s="3800" t="str">
        <f>'2-A All'!B7:B8</f>
        <v>Stabilization Hot Oil Heater
(64.83 MMBtu/hr)</v>
      </c>
      <c r="C7" s="3800" t="str">
        <f>'2-A All'!C7:C8</f>
        <v>THM</v>
      </c>
      <c r="D7" s="3800" t="str">
        <f>'2-A All'!D7:D8</f>
        <v>N/A</v>
      </c>
      <c r="E7" s="3800" t="str">
        <f>'2-A All'!E7:E8</f>
        <v>TBD</v>
      </c>
      <c r="F7" s="3800" t="str">
        <f>'2-A All'!F7:F8</f>
        <v>64.83 MMBtu/hr</v>
      </c>
      <c r="G7" s="3800" t="str">
        <f>'2-A All'!G7:G8</f>
        <v>64.83 MMBtu/hr</v>
      </c>
      <c r="H7" s="2371" t="s">
        <v>94</v>
      </c>
      <c r="I7" s="567" t="s">
        <v>604</v>
      </c>
      <c r="J7" s="3800">
        <v>31000403</v>
      </c>
      <c r="K7" s="3805" t="s">
        <v>1263</v>
      </c>
      <c r="L7" s="3809" t="s">
        <v>133</v>
      </c>
      <c r="M7" s="3807" t="s">
        <v>133</v>
      </c>
    </row>
    <row r="8" spans="1:17" s="568" customFormat="1" ht="20.25" customHeight="1">
      <c r="A8" s="3799"/>
      <c r="B8" s="3801"/>
      <c r="C8" s="3801"/>
      <c r="D8" s="3801"/>
      <c r="E8" s="3801"/>
      <c r="F8" s="3801"/>
      <c r="G8" s="3801"/>
      <c r="H8" s="569" t="s">
        <v>94</v>
      </c>
      <c r="I8" s="569" t="str">
        <f>A7</f>
        <v>SHTR1</v>
      </c>
      <c r="J8" s="3801"/>
      <c r="K8" s="3806"/>
      <c r="L8" s="3810"/>
      <c r="M8" s="3808"/>
    </row>
    <row r="9" spans="1:17" s="568" customFormat="1" ht="20.25" customHeight="1">
      <c r="A9" s="3798" t="str">
        <f>'2-A All'!A9:A10</f>
        <v>SHTR2</v>
      </c>
      <c r="B9" s="3800" t="str">
        <f>'2-A All'!B9:B10</f>
        <v>Stabilization Hot Oil Heater
(64.83 MMBtu/hr)</v>
      </c>
      <c r="C9" s="3800" t="str">
        <f>'2-A All'!C9:C10</f>
        <v>THM</v>
      </c>
      <c r="D9" s="3800" t="str">
        <f>'2-A All'!D9:D10</f>
        <v>N/A</v>
      </c>
      <c r="E9" s="3800" t="str">
        <f>'2-A All'!E9:E10</f>
        <v>TBD</v>
      </c>
      <c r="F9" s="3800" t="str">
        <f>'2-A All'!F9:F10</f>
        <v>64.83 MMBtu/hr</v>
      </c>
      <c r="G9" s="3800" t="str">
        <f>'2-A All'!G9:G10</f>
        <v>64.83 MMBtu/hr</v>
      </c>
      <c r="H9" s="2371" t="s">
        <v>94</v>
      </c>
      <c r="I9" s="567" t="s">
        <v>604</v>
      </c>
      <c r="J9" s="3800">
        <v>31000403</v>
      </c>
      <c r="K9" s="3805" t="s">
        <v>1263</v>
      </c>
      <c r="L9" s="3809" t="s">
        <v>133</v>
      </c>
      <c r="M9" s="3807" t="s">
        <v>133</v>
      </c>
    </row>
    <row r="10" spans="1:17" s="568" customFormat="1" ht="20.25" customHeight="1">
      <c r="A10" s="3799"/>
      <c r="B10" s="3801"/>
      <c r="C10" s="3801"/>
      <c r="D10" s="3801"/>
      <c r="E10" s="3801"/>
      <c r="F10" s="3801"/>
      <c r="G10" s="3801"/>
      <c r="H10" s="569" t="s">
        <v>94</v>
      </c>
      <c r="I10" s="569" t="str">
        <f>A9</f>
        <v>SHTR2</v>
      </c>
      <c r="J10" s="3801"/>
      <c r="K10" s="3806"/>
      <c r="L10" s="3810"/>
      <c r="M10" s="3808"/>
    </row>
    <row r="11" spans="1:17" s="568" customFormat="1" ht="20.25" customHeight="1">
      <c r="A11" s="3798" t="str">
        <f>'2-A All'!A11:A12</f>
        <v>SHTR3</v>
      </c>
      <c r="B11" s="3800" t="str">
        <f>'2-A All'!B11:B12</f>
        <v>Stabilization Hot Oil Heater
(64.83 MMBtu/hr)</v>
      </c>
      <c r="C11" s="3800" t="str">
        <f>'2-A All'!C11:C12</f>
        <v>THM</v>
      </c>
      <c r="D11" s="3800" t="str">
        <f>'2-A All'!D11:D12</f>
        <v>N/A</v>
      </c>
      <c r="E11" s="3800" t="str">
        <f>'2-A All'!E11:E12</f>
        <v>TBD</v>
      </c>
      <c r="F11" s="3800" t="str">
        <f>'2-A All'!F11:F12</f>
        <v>64.83 MMBtu/hr</v>
      </c>
      <c r="G11" s="3800" t="str">
        <f>'2-A All'!G11:G12</f>
        <v>64.83 MMBtu/hr</v>
      </c>
      <c r="H11" s="2371" t="s">
        <v>94</v>
      </c>
      <c r="I11" s="567" t="s">
        <v>604</v>
      </c>
      <c r="J11" s="3816">
        <v>31000403</v>
      </c>
      <c r="K11" s="3817" t="s">
        <v>1263</v>
      </c>
      <c r="L11" s="3816" t="s">
        <v>133</v>
      </c>
      <c r="M11" s="3828" t="s">
        <v>133</v>
      </c>
    </row>
    <row r="12" spans="1:17" s="568" customFormat="1" ht="20.25" customHeight="1">
      <c r="A12" s="3799"/>
      <c r="B12" s="3801"/>
      <c r="C12" s="3801"/>
      <c r="D12" s="3801"/>
      <c r="E12" s="3801"/>
      <c r="F12" s="3801"/>
      <c r="G12" s="3801"/>
      <c r="H12" s="569" t="s">
        <v>94</v>
      </c>
      <c r="I12" s="569" t="str">
        <f>A11</f>
        <v>SHTR3</v>
      </c>
      <c r="J12" s="3801"/>
      <c r="K12" s="3806"/>
      <c r="L12" s="3801"/>
      <c r="M12" s="3829"/>
    </row>
    <row r="13" spans="1:17" s="568" customFormat="1" ht="20.25" customHeight="1">
      <c r="A13" s="3798" t="str">
        <f>'2-A All'!A13:A14</f>
        <v>SHTR4</v>
      </c>
      <c r="B13" s="3800" t="str">
        <f>'2-A All'!B13:B14</f>
        <v>Stabilization Hot Oil Heater
(64.83 MMBtu/hr)</v>
      </c>
      <c r="C13" s="3800" t="str">
        <f>'2-A All'!C13:C14</f>
        <v>THM</v>
      </c>
      <c r="D13" s="3800" t="str">
        <f>'2-A All'!D13:D14</f>
        <v>N/A</v>
      </c>
      <c r="E13" s="3800" t="str">
        <f>'2-A All'!E13:E14</f>
        <v>TBD</v>
      </c>
      <c r="F13" s="3800" t="str">
        <f>'2-A All'!F13:F14</f>
        <v>64.83 MMBtu/hr</v>
      </c>
      <c r="G13" s="3800" t="str">
        <f>'2-A All'!G13:G14</f>
        <v>64.83 MMBtu/hr</v>
      </c>
      <c r="H13" s="2371" t="s">
        <v>94</v>
      </c>
      <c r="I13" s="567" t="s">
        <v>604</v>
      </c>
      <c r="J13" s="3816">
        <v>31000403</v>
      </c>
      <c r="K13" s="3817" t="s">
        <v>1263</v>
      </c>
      <c r="L13" s="3816" t="s">
        <v>133</v>
      </c>
      <c r="M13" s="3828" t="s">
        <v>133</v>
      </c>
    </row>
    <row r="14" spans="1:17" s="568" customFormat="1" ht="20.25" customHeight="1">
      <c r="A14" s="3799"/>
      <c r="B14" s="3801"/>
      <c r="C14" s="3801"/>
      <c r="D14" s="3801"/>
      <c r="E14" s="3801"/>
      <c r="F14" s="3801"/>
      <c r="G14" s="3801"/>
      <c r="H14" s="569" t="s">
        <v>94</v>
      </c>
      <c r="I14" s="569" t="str">
        <f>A13</f>
        <v>SHTR4</v>
      </c>
      <c r="J14" s="3801"/>
      <c r="K14" s="3806"/>
      <c r="L14" s="3801"/>
      <c r="M14" s="3829"/>
    </row>
    <row r="15" spans="1:17" s="568" customFormat="1" ht="20.25" customHeight="1">
      <c r="A15" s="3798" t="str">
        <f>'2-A All'!A15:A16</f>
        <v>SHTR5</v>
      </c>
      <c r="B15" s="3800" t="str">
        <f>'2-A All'!B15:B16</f>
        <v>Stabilization Hot Oil Heater
(64.83 MMBtu/hr)</v>
      </c>
      <c r="C15" s="3800" t="str">
        <f>'2-A All'!C15:C16</f>
        <v>THM</v>
      </c>
      <c r="D15" s="3800" t="str">
        <f>'2-A All'!D15:D16</f>
        <v>N/A</v>
      </c>
      <c r="E15" s="3800" t="str">
        <f>'2-A All'!E15:E16</f>
        <v>TBD</v>
      </c>
      <c r="F15" s="3800" t="str">
        <f>'2-A All'!F15:F16</f>
        <v>64.83 MMBtu/hr</v>
      </c>
      <c r="G15" s="3800" t="str">
        <f>'2-A All'!G15:G16</f>
        <v>64.83 MMBtu/hr</v>
      </c>
      <c r="H15" s="2371" t="s">
        <v>94</v>
      </c>
      <c r="I15" s="567" t="s">
        <v>604</v>
      </c>
      <c r="J15" s="3816">
        <v>31000403</v>
      </c>
      <c r="K15" s="3817" t="s">
        <v>1263</v>
      </c>
      <c r="L15" s="3816" t="s">
        <v>133</v>
      </c>
      <c r="M15" s="3828" t="s">
        <v>133</v>
      </c>
    </row>
    <row r="16" spans="1:17" s="568" customFormat="1" ht="20.25" customHeight="1">
      <c r="A16" s="3799"/>
      <c r="B16" s="3801"/>
      <c r="C16" s="3801"/>
      <c r="D16" s="3801"/>
      <c r="E16" s="3801"/>
      <c r="F16" s="3801"/>
      <c r="G16" s="3801"/>
      <c r="H16" s="569" t="s">
        <v>94</v>
      </c>
      <c r="I16" s="569" t="str">
        <f>A15</f>
        <v>SHTR5</v>
      </c>
      <c r="J16" s="3801"/>
      <c r="K16" s="3806"/>
      <c r="L16" s="3801"/>
      <c r="M16" s="3829"/>
    </row>
    <row r="17" spans="1:13" s="568" customFormat="1" ht="20.25" customHeight="1">
      <c r="A17" s="3798" t="str">
        <f>'2-A All'!A17:A18</f>
        <v>SHTR6</v>
      </c>
      <c r="B17" s="3800" t="str">
        <f>'2-A All'!B17:B18</f>
        <v>Stabilization Hot Oil Heater
(64.83 MMBtu/hr)</v>
      </c>
      <c r="C17" s="3800" t="str">
        <f>'2-A All'!C17:C18</f>
        <v>THM</v>
      </c>
      <c r="D17" s="3800" t="str">
        <f>'2-A All'!D17:D18</f>
        <v>N/A</v>
      </c>
      <c r="E17" s="3800" t="str">
        <f>'2-A All'!E17:E18</f>
        <v>TBD</v>
      </c>
      <c r="F17" s="3800" t="str">
        <f>'2-A All'!F17:F18</f>
        <v>64.83 MMBtu/hr</v>
      </c>
      <c r="G17" s="3800" t="str">
        <f>'2-A All'!G17:G18</f>
        <v>64.83 MMBtu/hr</v>
      </c>
      <c r="H17" s="2371" t="s">
        <v>94</v>
      </c>
      <c r="I17" s="567" t="s">
        <v>604</v>
      </c>
      <c r="J17" s="3816">
        <v>31000403</v>
      </c>
      <c r="K17" s="3817" t="s">
        <v>1263</v>
      </c>
      <c r="L17" s="3816" t="s">
        <v>133</v>
      </c>
      <c r="M17" s="3828" t="s">
        <v>133</v>
      </c>
    </row>
    <row r="18" spans="1:13" s="568" customFormat="1" ht="20.25" customHeight="1">
      <c r="A18" s="3799"/>
      <c r="B18" s="3801"/>
      <c r="C18" s="3801"/>
      <c r="D18" s="3801"/>
      <c r="E18" s="3801"/>
      <c r="F18" s="3801"/>
      <c r="G18" s="3801"/>
      <c r="H18" s="569" t="s">
        <v>94</v>
      </c>
      <c r="I18" s="569" t="str">
        <f>A17</f>
        <v>SHTR6</v>
      </c>
      <c r="J18" s="3801"/>
      <c r="K18" s="3806"/>
      <c r="L18" s="3801"/>
      <c r="M18" s="3829"/>
    </row>
    <row r="19" spans="1:13" s="568" customFormat="1" ht="20.25" customHeight="1">
      <c r="A19" s="3798" t="str">
        <f>'2-A All'!A19:A20</f>
        <v>SHTR7</v>
      </c>
      <c r="B19" s="3800" t="str">
        <f>'2-A All'!B19:B20</f>
        <v>Stabilization Hot Oil Heater
(64.83 MMBtu/hr)</v>
      </c>
      <c r="C19" s="3800" t="str">
        <f>'2-A All'!C19:C20</f>
        <v>THM</v>
      </c>
      <c r="D19" s="3800" t="str">
        <f>'2-A All'!D19:D20</f>
        <v>N/A</v>
      </c>
      <c r="E19" s="3800" t="str">
        <f>'2-A All'!E19:E20</f>
        <v>TBD</v>
      </c>
      <c r="F19" s="3800" t="str">
        <f>'2-A All'!F19:F20</f>
        <v>64.83 MMBtu/hr</v>
      </c>
      <c r="G19" s="3800" t="str">
        <f>'2-A All'!G19:G20</f>
        <v>64.83 MMBtu/hr</v>
      </c>
      <c r="H19" s="2371" t="s">
        <v>94</v>
      </c>
      <c r="I19" s="567" t="s">
        <v>604</v>
      </c>
      <c r="J19" s="3816">
        <v>31000403</v>
      </c>
      <c r="K19" s="3817" t="s">
        <v>1263</v>
      </c>
      <c r="L19" s="3816" t="s">
        <v>133</v>
      </c>
      <c r="M19" s="3828" t="s">
        <v>133</v>
      </c>
    </row>
    <row r="20" spans="1:13" s="568" customFormat="1" ht="20.25" customHeight="1">
      <c r="A20" s="3799"/>
      <c r="B20" s="3801"/>
      <c r="C20" s="3801"/>
      <c r="D20" s="3801"/>
      <c r="E20" s="3801"/>
      <c r="F20" s="3801"/>
      <c r="G20" s="3801"/>
      <c r="H20" s="569" t="s">
        <v>94</v>
      </c>
      <c r="I20" s="569" t="str">
        <f>A19</f>
        <v>SHTR7</v>
      </c>
      <c r="J20" s="3801"/>
      <c r="K20" s="3806"/>
      <c r="L20" s="3801"/>
      <c r="M20" s="3829"/>
    </row>
    <row r="21" spans="1:13" s="568" customFormat="1" ht="20.25" customHeight="1">
      <c r="A21" s="3798" t="str">
        <f>'2-A All'!A21:A22</f>
        <v>SHTR8</v>
      </c>
      <c r="B21" s="3800" t="str">
        <f>'2-A All'!B21:B22</f>
        <v>Stabilization Hot Oil Heater
(64.83 MMBtu/hr)</v>
      </c>
      <c r="C21" s="3800" t="str">
        <f>'2-A All'!C21:C22</f>
        <v>THM</v>
      </c>
      <c r="D21" s="3800" t="str">
        <f>'2-A All'!D21:D22</f>
        <v>N/A</v>
      </c>
      <c r="E21" s="3800" t="str">
        <f>'2-A All'!E21:E22</f>
        <v>TBD</v>
      </c>
      <c r="F21" s="3800" t="str">
        <f>'2-A All'!F21:F22</f>
        <v>64.83 MMBtu/hr</v>
      </c>
      <c r="G21" s="3800" t="str">
        <f>'2-A All'!G21:G22</f>
        <v>64.83 MMBtu/hr</v>
      </c>
      <c r="H21" s="2371" t="s">
        <v>94</v>
      </c>
      <c r="I21" s="567" t="s">
        <v>604</v>
      </c>
      <c r="J21" s="3816">
        <v>31000403</v>
      </c>
      <c r="K21" s="3817" t="s">
        <v>1263</v>
      </c>
      <c r="L21" s="3816" t="s">
        <v>133</v>
      </c>
      <c r="M21" s="3828" t="s">
        <v>133</v>
      </c>
    </row>
    <row r="22" spans="1:13" s="568" customFormat="1" ht="20.25" customHeight="1">
      <c r="A22" s="3799"/>
      <c r="B22" s="3801"/>
      <c r="C22" s="3801"/>
      <c r="D22" s="3801"/>
      <c r="E22" s="3801"/>
      <c r="F22" s="3801"/>
      <c r="G22" s="3801"/>
      <c r="H22" s="569" t="s">
        <v>94</v>
      </c>
      <c r="I22" s="569" t="str">
        <f>A21</f>
        <v>SHTR8</v>
      </c>
      <c r="J22" s="3801"/>
      <c r="K22" s="3806"/>
      <c r="L22" s="3801"/>
      <c r="M22" s="3829"/>
    </row>
    <row r="23" spans="1:13" s="568" customFormat="1" ht="20.25" customHeight="1">
      <c r="A23" s="3830" t="str">
        <f>'2-A All'!A31</f>
        <v>CHTR1</v>
      </c>
      <c r="B23" s="3816" t="str">
        <f>'2-A All'!B31</f>
        <v>Cryo Hot Oil Heater
(103.99 MMBtu/hr)</v>
      </c>
      <c r="C23" s="3816" t="str">
        <f>'2-A All'!C31</f>
        <v>THM</v>
      </c>
      <c r="D23" s="3816" t="str">
        <f>'2-A All'!D31</f>
        <v>N/A</v>
      </c>
      <c r="E23" s="3816" t="str">
        <f>'2-A All'!E31</f>
        <v>TBD</v>
      </c>
      <c r="F23" s="3816" t="str">
        <f>'2-A All'!F31</f>
        <v>103.99 MMBtu/hr</v>
      </c>
      <c r="G23" s="3816" t="str">
        <f>'2-A All'!G31</f>
        <v>103.99 MMBtu/hr</v>
      </c>
      <c r="H23" s="2371" t="s">
        <v>94</v>
      </c>
      <c r="I23" s="567" t="s">
        <v>604</v>
      </c>
      <c r="J23" s="3816">
        <v>31000403</v>
      </c>
      <c r="K23" s="3817" t="s">
        <v>1263</v>
      </c>
      <c r="L23" s="3816" t="s">
        <v>133</v>
      </c>
      <c r="M23" s="3828" t="s">
        <v>133</v>
      </c>
    </row>
    <row r="24" spans="1:13" s="568" customFormat="1" ht="20.25" customHeight="1">
      <c r="A24" s="3831"/>
      <c r="B24" s="3801"/>
      <c r="C24" s="3801"/>
      <c r="D24" s="3801"/>
      <c r="E24" s="3801"/>
      <c r="F24" s="3801"/>
      <c r="G24" s="3801"/>
      <c r="H24" s="569" t="s">
        <v>94</v>
      </c>
      <c r="I24" s="569" t="str">
        <f>A23</f>
        <v>CHTR1</v>
      </c>
      <c r="J24" s="3801"/>
      <c r="K24" s="3806"/>
      <c r="L24" s="3801"/>
      <c r="M24" s="3829"/>
    </row>
    <row r="25" spans="1:13" s="568" customFormat="1" ht="20.25" customHeight="1">
      <c r="A25" s="3830" t="str">
        <f>'2-A All'!A33</f>
        <v>CHTR2</v>
      </c>
      <c r="B25" s="3816" t="str">
        <f>'2-A All'!B33</f>
        <v>Cryo Hot Oil Heater
(103.99 MMBtu/hr)</v>
      </c>
      <c r="C25" s="3816" t="str">
        <f>'2-A All'!C33</f>
        <v>THM</v>
      </c>
      <c r="D25" s="3816" t="str">
        <f>'2-A All'!D33</f>
        <v>N/A</v>
      </c>
      <c r="E25" s="3816" t="str">
        <f>'2-A All'!E33</f>
        <v>TBD</v>
      </c>
      <c r="F25" s="3816" t="str">
        <f>'2-A All'!F33</f>
        <v>103.99 MMBtu/hr</v>
      </c>
      <c r="G25" s="3816" t="str">
        <f>'2-A All'!G33</f>
        <v>103.99 MMBtu/hr</v>
      </c>
      <c r="H25" s="2371" t="s">
        <v>94</v>
      </c>
      <c r="I25" s="567" t="s">
        <v>604</v>
      </c>
      <c r="J25" s="3816">
        <v>31000403</v>
      </c>
      <c r="K25" s="3817" t="s">
        <v>1263</v>
      </c>
      <c r="L25" s="3816" t="s">
        <v>133</v>
      </c>
      <c r="M25" s="3828" t="s">
        <v>133</v>
      </c>
    </row>
    <row r="26" spans="1:13" s="568" customFormat="1" ht="20.25" customHeight="1">
      <c r="A26" s="3831"/>
      <c r="B26" s="3801"/>
      <c r="C26" s="3801"/>
      <c r="D26" s="3801"/>
      <c r="E26" s="3801"/>
      <c r="F26" s="3801"/>
      <c r="G26" s="3801"/>
      <c r="H26" s="569" t="s">
        <v>94</v>
      </c>
      <c r="I26" s="569" t="str">
        <f>A25</f>
        <v>CHTR2</v>
      </c>
      <c r="J26" s="3801"/>
      <c r="K26" s="3806"/>
      <c r="L26" s="3801"/>
      <c r="M26" s="3829"/>
    </row>
    <row r="27" spans="1:13" s="568" customFormat="1" ht="20.25" customHeight="1">
      <c r="A27" s="3830" t="str">
        <f>'2-A All'!A35</f>
        <v>CHTR3</v>
      </c>
      <c r="B27" s="3816" t="str">
        <f>'2-A All'!B35</f>
        <v>Cryo Hot Oil Heater
(103.99 MMBtu/hr)</v>
      </c>
      <c r="C27" s="3816" t="str">
        <f>'2-A All'!C35</f>
        <v>THM</v>
      </c>
      <c r="D27" s="3816" t="str">
        <f>'2-A All'!D35</f>
        <v>N/A</v>
      </c>
      <c r="E27" s="3816" t="str">
        <f>'2-A All'!E35</f>
        <v>TBD</v>
      </c>
      <c r="F27" s="3816" t="str">
        <f>'2-A All'!F35</f>
        <v>103.99 MMBtu/hr</v>
      </c>
      <c r="G27" s="3816" t="str">
        <f>'2-A All'!G35</f>
        <v>103.99 MMBtu/hr</v>
      </c>
      <c r="H27" s="2371" t="s">
        <v>94</v>
      </c>
      <c r="I27" s="567" t="s">
        <v>604</v>
      </c>
      <c r="J27" s="3816">
        <v>31000403</v>
      </c>
      <c r="K27" s="3817" t="s">
        <v>1263</v>
      </c>
      <c r="L27" s="3816" t="s">
        <v>133</v>
      </c>
      <c r="M27" s="3828" t="s">
        <v>133</v>
      </c>
    </row>
    <row r="28" spans="1:13" s="568" customFormat="1" ht="20.25" customHeight="1">
      <c r="A28" s="3831"/>
      <c r="B28" s="3801"/>
      <c r="C28" s="3801"/>
      <c r="D28" s="3801"/>
      <c r="E28" s="3801"/>
      <c r="F28" s="3801"/>
      <c r="G28" s="3801"/>
      <c r="H28" s="569" t="s">
        <v>94</v>
      </c>
      <c r="I28" s="569" t="str">
        <f>A27</f>
        <v>CHTR3</v>
      </c>
      <c r="J28" s="3801"/>
      <c r="K28" s="3806"/>
      <c r="L28" s="3801"/>
      <c r="M28" s="3829"/>
    </row>
    <row r="29" spans="1:13" s="568" customFormat="1" ht="20.25" customHeight="1">
      <c r="A29" s="3830" t="str">
        <f>'2-A All'!A37</f>
        <v>RHTR1</v>
      </c>
      <c r="B29" s="3816" t="str">
        <f>'2-A All'!B37</f>
        <v>Regen Heater 
(39.14 MMBtu/hr)</v>
      </c>
      <c r="C29" s="3816" t="str">
        <f>'2-A All'!C37</f>
        <v>THM</v>
      </c>
      <c r="D29" s="3816" t="str">
        <f>'2-A All'!D37</f>
        <v>N/A</v>
      </c>
      <c r="E29" s="3816" t="str">
        <f>'2-A All'!E37</f>
        <v>TBD</v>
      </c>
      <c r="F29" s="3816" t="str">
        <f>'2-A All'!F37</f>
        <v>39.14 MMBtu/hr</v>
      </c>
      <c r="G29" s="3816" t="str">
        <f>'2-A All'!G37</f>
        <v>39.14 MMBtu/hr</v>
      </c>
      <c r="H29" s="2371" t="s">
        <v>94</v>
      </c>
      <c r="I29" s="567" t="s">
        <v>604</v>
      </c>
      <c r="J29" s="3800">
        <v>31000405</v>
      </c>
      <c r="K29" s="3805" t="s">
        <v>1263</v>
      </c>
      <c r="L29" s="3809" t="s">
        <v>133</v>
      </c>
      <c r="M29" s="3807" t="s">
        <v>133</v>
      </c>
    </row>
    <row r="30" spans="1:13" s="568" customFormat="1" ht="20.25" customHeight="1">
      <c r="A30" s="3831"/>
      <c r="B30" s="3801"/>
      <c r="C30" s="3801"/>
      <c r="D30" s="3801"/>
      <c r="E30" s="3801"/>
      <c r="F30" s="3801"/>
      <c r="G30" s="3801"/>
      <c r="H30" s="569" t="s">
        <v>94</v>
      </c>
      <c r="I30" s="569" t="str">
        <f>A29</f>
        <v>RHTR1</v>
      </c>
      <c r="J30" s="3801"/>
      <c r="K30" s="3806"/>
      <c r="L30" s="3810"/>
      <c r="M30" s="3808"/>
    </row>
    <row r="31" spans="1:13" s="568" customFormat="1" ht="20.25" customHeight="1">
      <c r="A31" s="3830" t="str">
        <f>'2-A All'!A39</f>
        <v>RHTR2</v>
      </c>
      <c r="B31" s="3816" t="str">
        <f>'2-A All'!B39</f>
        <v>Regen Heater
(39.14 MMBtu/hr)</v>
      </c>
      <c r="C31" s="3816" t="str">
        <f>'2-A All'!C39</f>
        <v>THM</v>
      </c>
      <c r="D31" s="3816" t="str">
        <f>'2-A All'!D39</f>
        <v>N/A</v>
      </c>
      <c r="E31" s="3816" t="str">
        <f>'2-A All'!E39</f>
        <v>TBD</v>
      </c>
      <c r="F31" s="3816" t="str">
        <f>'2-A All'!F39</f>
        <v>39.14 MMBtu/hr</v>
      </c>
      <c r="G31" s="3816" t="str">
        <f>'2-A All'!G39</f>
        <v>39.14 MMBtu/hr</v>
      </c>
      <c r="H31" s="2371" t="s">
        <v>94</v>
      </c>
      <c r="I31" s="567" t="s">
        <v>604</v>
      </c>
      <c r="J31" s="3800">
        <v>31000405</v>
      </c>
      <c r="K31" s="3805" t="s">
        <v>1263</v>
      </c>
      <c r="L31" s="3809" t="s">
        <v>133</v>
      </c>
      <c r="M31" s="3807" t="s">
        <v>133</v>
      </c>
    </row>
    <row r="32" spans="1:13" s="568" customFormat="1" ht="20.25" customHeight="1">
      <c r="A32" s="3831"/>
      <c r="B32" s="3801"/>
      <c r="C32" s="3801"/>
      <c r="D32" s="3801"/>
      <c r="E32" s="3801"/>
      <c r="F32" s="3801"/>
      <c r="G32" s="3801"/>
      <c r="H32" s="569" t="s">
        <v>94</v>
      </c>
      <c r="I32" s="569" t="str">
        <f>A31</f>
        <v>RHTR2</v>
      </c>
      <c r="J32" s="3801"/>
      <c r="K32" s="3806"/>
      <c r="L32" s="3810"/>
      <c r="M32" s="3808"/>
    </row>
    <row r="33" spans="1:13" s="568" customFormat="1" ht="20.25" customHeight="1">
      <c r="A33" s="3830" t="str">
        <f>'2-A All'!A41</f>
        <v>RHTR3</v>
      </c>
      <c r="B33" s="3816" t="str">
        <f>'2-A All'!B41</f>
        <v>Regen Heater
(39.14 MMBtu/hr)</v>
      </c>
      <c r="C33" s="3816" t="str">
        <f>'2-A All'!C41</f>
        <v>THM</v>
      </c>
      <c r="D33" s="3816" t="str">
        <f>'2-A All'!D41</f>
        <v>N/A</v>
      </c>
      <c r="E33" s="3816" t="str">
        <f>'2-A All'!E41</f>
        <v>TBD</v>
      </c>
      <c r="F33" s="3816" t="str">
        <f>'2-A All'!F41</f>
        <v>39.14 MMBtu/hr</v>
      </c>
      <c r="G33" s="3816" t="str">
        <f>'2-A All'!G41</f>
        <v>39.14 MMBtu/hr</v>
      </c>
      <c r="H33" s="2371" t="s">
        <v>94</v>
      </c>
      <c r="I33" s="567" t="s">
        <v>604</v>
      </c>
      <c r="J33" s="3800">
        <v>31000405</v>
      </c>
      <c r="K33" s="3805" t="s">
        <v>1263</v>
      </c>
      <c r="L33" s="3809" t="s">
        <v>133</v>
      </c>
      <c r="M33" s="3807" t="s">
        <v>133</v>
      </c>
    </row>
    <row r="34" spans="1:13" s="568" customFormat="1" ht="20.25" customHeight="1">
      <c r="A34" s="3831"/>
      <c r="B34" s="3801"/>
      <c r="C34" s="3801"/>
      <c r="D34" s="3801"/>
      <c r="E34" s="3801"/>
      <c r="F34" s="3801"/>
      <c r="G34" s="3801"/>
      <c r="H34" s="569" t="s">
        <v>94</v>
      </c>
      <c r="I34" s="569" t="str">
        <f>A33</f>
        <v>RHTR3</v>
      </c>
      <c r="J34" s="3801"/>
      <c r="K34" s="3806"/>
      <c r="L34" s="3810"/>
      <c r="M34" s="3808"/>
    </row>
    <row r="35" spans="1:13" s="568" customFormat="1" ht="20.25" customHeight="1">
      <c r="A35" s="3830" t="str">
        <f>'2-A All'!A43</f>
        <v>FL1</v>
      </c>
      <c r="B35" s="3816" t="str">
        <f>'2-A All'!B43</f>
        <v>SSM/Emergency 
Flare 1 
(Dual Tip Flare)</v>
      </c>
      <c r="C35" s="3816" t="str">
        <f>'2-A All'!C43</f>
        <v>Zeeco, Inc.</v>
      </c>
      <c r="D35" s="3816" t="str">
        <f>'2-A All'!D43</f>
        <v>N/A</v>
      </c>
      <c r="E35" s="3816" t="str">
        <f>'2-A All'!E43</f>
        <v>TBD</v>
      </c>
      <c r="F35" s="3816" t="str">
        <f>'2-A All'!F43</f>
        <v>250
MMscfd</v>
      </c>
      <c r="G35" s="3816" t="str">
        <f>'2-A All'!G43</f>
        <v>250
MMscfd</v>
      </c>
      <c r="H35" s="2371" t="s">
        <v>94</v>
      </c>
      <c r="I35" s="567" t="s">
        <v>604</v>
      </c>
      <c r="J35" s="3811">
        <v>31000160</v>
      </c>
      <c r="K35" s="3805" t="s">
        <v>1263</v>
      </c>
      <c r="L35" s="3809" t="s">
        <v>133</v>
      </c>
      <c r="M35" s="3807" t="s">
        <v>133</v>
      </c>
    </row>
    <row r="36" spans="1:13" s="568" customFormat="1" ht="20.25" customHeight="1">
      <c r="A36" s="3831"/>
      <c r="B36" s="3801"/>
      <c r="C36" s="3801"/>
      <c r="D36" s="3801"/>
      <c r="E36" s="3801"/>
      <c r="F36" s="3801"/>
      <c r="G36" s="3801"/>
      <c r="H36" s="569" t="s">
        <v>94</v>
      </c>
      <c r="I36" s="569" t="str">
        <f>A35</f>
        <v>FL1</v>
      </c>
      <c r="J36" s="3812"/>
      <c r="K36" s="3806"/>
      <c r="L36" s="3810"/>
      <c r="M36" s="3808"/>
    </row>
    <row r="37" spans="1:13" s="568" customFormat="1" ht="20.25" customHeight="1">
      <c r="A37" s="3830" t="str">
        <f>'2-A All'!A45</f>
        <v>FL2</v>
      </c>
      <c r="B37" s="3816" t="str">
        <f>'2-A All'!B45</f>
        <v>SSM/Emergency 
Flare 2 
(Dual Tip Flare)</v>
      </c>
      <c r="C37" s="3816" t="str">
        <f>'2-A All'!C45</f>
        <v>Zeeco, Inc.</v>
      </c>
      <c r="D37" s="3816" t="str">
        <f>'2-A All'!D45</f>
        <v>N/A</v>
      </c>
      <c r="E37" s="3816" t="str">
        <f>'2-A All'!E45</f>
        <v>TBD</v>
      </c>
      <c r="F37" s="3816" t="str">
        <f>'2-A All'!F45</f>
        <v>250
MMscfd</v>
      </c>
      <c r="G37" s="3816" t="str">
        <f>'2-A All'!G45</f>
        <v>250
MMscfd</v>
      </c>
      <c r="H37" s="2371" t="s">
        <v>94</v>
      </c>
      <c r="I37" s="567" t="s">
        <v>604</v>
      </c>
      <c r="J37" s="3811">
        <v>31000160</v>
      </c>
      <c r="K37" s="3805" t="s">
        <v>1263</v>
      </c>
      <c r="L37" s="3809" t="s">
        <v>133</v>
      </c>
      <c r="M37" s="3807" t="s">
        <v>133</v>
      </c>
    </row>
    <row r="38" spans="1:13" s="568" customFormat="1" ht="20.25" customHeight="1">
      <c r="A38" s="3831"/>
      <c r="B38" s="3801"/>
      <c r="C38" s="3801"/>
      <c r="D38" s="3801"/>
      <c r="E38" s="3801"/>
      <c r="F38" s="3801"/>
      <c r="G38" s="3801"/>
      <c r="H38" s="569" t="s">
        <v>94</v>
      </c>
      <c r="I38" s="569" t="str">
        <f>A37</f>
        <v>FL2</v>
      </c>
      <c r="J38" s="3812"/>
      <c r="K38" s="3806"/>
      <c r="L38" s="3810"/>
      <c r="M38" s="3808"/>
    </row>
    <row r="39" spans="1:13" s="568" customFormat="1" ht="20.25" customHeight="1">
      <c r="A39" s="3830" t="str">
        <f>'2-A All'!A47</f>
        <v>FL3</v>
      </c>
      <c r="B39" s="3816" t="str">
        <f>'2-A All'!B47</f>
        <v>Backup SSM/Emergency 
Flare 3 
(Dual Tip Flare)</v>
      </c>
      <c r="C39" s="3816" t="str">
        <f>'2-A All'!C47</f>
        <v>Zeeco, Inc.</v>
      </c>
      <c r="D39" s="3816" t="str">
        <f>'2-A All'!D47</f>
        <v>N/A</v>
      </c>
      <c r="E39" s="3816" t="str">
        <f>'2-A All'!E47</f>
        <v>TBD</v>
      </c>
      <c r="F39" s="3816" t="str">
        <f>'2-A All'!F47</f>
        <v>250
MMscfd</v>
      </c>
      <c r="G39" s="3816" t="str">
        <f>'2-A All'!G47</f>
        <v>250
MMscfd</v>
      </c>
      <c r="H39" s="2371" t="s">
        <v>94</v>
      </c>
      <c r="I39" s="567" t="s">
        <v>604</v>
      </c>
      <c r="J39" s="3811">
        <v>31000160</v>
      </c>
      <c r="K39" s="3805" t="s">
        <v>1263</v>
      </c>
      <c r="L39" s="3809" t="s">
        <v>133</v>
      </c>
      <c r="M39" s="3807" t="s">
        <v>133</v>
      </c>
    </row>
    <row r="40" spans="1:13" s="568" customFormat="1" ht="20.25" customHeight="1">
      <c r="A40" s="3831"/>
      <c r="B40" s="3801"/>
      <c r="C40" s="3801"/>
      <c r="D40" s="3801"/>
      <c r="E40" s="3801"/>
      <c r="F40" s="3801"/>
      <c r="G40" s="3801"/>
      <c r="H40" s="569" t="s">
        <v>94</v>
      </c>
      <c r="I40" s="569" t="str">
        <f>A39</f>
        <v>FL3</v>
      </c>
      <c r="J40" s="3812"/>
      <c r="K40" s="3806"/>
      <c r="L40" s="3810"/>
      <c r="M40" s="3808"/>
    </row>
    <row r="41" spans="1:13" s="568" customFormat="1" ht="20.25" customHeight="1">
      <c r="A41" s="3830" t="str">
        <f>'2-A All'!A53</f>
        <v>IFR1</v>
      </c>
      <c r="B41" s="3816" t="str">
        <f>'2-A All'!B53</f>
        <v>Oil Storage 1 (100,000 bbl)</v>
      </c>
      <c r="C41" s="3816" t="str">
        <f>'2-A All'!C53</f>
        <v>Advance Tank</v>
      </c>
      <c r="D41" s="3816" t="str">
        <f>'2-A All'!D53</f>
        <v>N/A</v>
      </c>
      <c r="E41" s="3816" t="str">
        <f>'2-A All'!E53</f>
        <v>TBD</v>
      </c>
      <c r="F41" s="3816" t="str">
        <f>'2-A All'!F53</f>
        <v>100,000 bbl</v>
      </c>
      <c r="G41" s="3816" t="str">
        <f>'2-A All'!G53</f>
        <v>100,000 bbl</v>
      </c>
      <c r="H41" s="2371" t="s">
        <v>94</v>
      </c>
      <c r="I41" s="567" t="s">
        <v>604</v>
      </c>
      <c r="J41" s="3800">
        <v>40400331</v>
      </c>
      <c r="K41" s="3805" t="s">
        <v>1263</v>
      </c>
      <c r="L41" s="3809" t="s">
        <v>133</v>
      </c>
      <c r="M41" s="3807" t="s">
        <v>133</v>
      </c>
    </row>
    <row r="42" spans="1:13" s="568" customFormat="1" ht="20.25" customHeight="1">
      <c r="A42" s="3831"/>
      <c r="B42" s="3801"/>
      <c r="C42" s="3801"/>
      <c r="D42" s="3801"/>
      <c r="E42" s="3801"/>
      <c r="F42" s="3801"/>
      <c r="G42" s="3801"/>
      <c r="H42" s="569" t="s">
        <v>94</v>
      </c>
      <c r="I42" s="569" t="str">
        <f>A41</f>
        <v>IFR1</v>
      </c>
      <c r="J42" s="3804"/>
      <c r="K42" s="3806"/>
      <c r="L42" s="3810"/>
      <c r="M42" s="3808"/>
    </row>
    <row r="43" spans="1:13" s="568" customFormat="1" ht="20.25" customHeight="1">
      <c r="A43" s="3830" t="str">
        <f>'2-A All'!A55</f>
        <v>IFR2</v>
      </c>
      <c r="B43" s="3816" t="str">
        <f>'2-A All'!B55</f>
        <v>Oil Storage 2 (100,000 bbl)</v>
      </c>
      <c r="C43" s="3816" t="str">
        <f>'2-A All'!C55</f>
        <v>Advance Tank</v>
      </c>
      <c r="D43" s="3816" t="str">
        <f>'2-A All'!D55</f>
        <v>N/A</v>
      </c>
      <c r="E43" s="3816" t="str">
        <f>'2-A All'!E55</f>
        <v>TBD</v>
      </c>
      <c r="F43" s="3816" t="str">
        <f>'2-A All'!F55</f>
        <v>100,000 bbl</v>
      </c>
      <c r="G43" s="3816" t="str">
        <f>'2-A All'!G55</f>
        <v>100,000 bbl</v>
      </c>
      <c r="H43" s="2371" t="s">
        <v>94</v>
      </c>
      <c r="I43" s="567" t="s">
        <v>604</v>
      </c>
      <c r="J43" s="3800">
        <v>40400331</v>
      </c>
      <c r="K43" s="3805" t="s">
        <v>1263</v>
      </c>
      <c r="L43" s="3809" t="s">
        <v>133</v>
      </c>
      <c r="M43" s="3807" t="s">
        <v>133</v>
      </c>
    </row>
    <row r="44" spans="1:13" s="568" customFormat="1" ht="20.25" customHeight="1">
      <c r="A44" s="3831"/>
      <c r="B44" s="3801"/>
      <c r="C44" s="3801"/>
      <c r="D44" s="3801"/>
      <c r="E44" s="3801"/>
      <c r="F44" s="3801"/>
      <c r="G44" s="3801"/>
      <c r="H44" s="569" t="s">
        <v>94</v>
      </c>
      <c r="I44" s="569" t="str">
        <f>A43</f>
        <v>IFR2</v>
      </c>
      <c r="J44" s="3804"/>
      <c r="K44" s="3806"/>
      <c r="L44" s="3810"/>
      <c r="M44" s="3808"/>
    </row>
    <row r="45" spans="1:13" s="568" customFormat="1" ht="20.25" customHeight="1">
      <c r="A45" s="3830" t="str">
        <f>'2-A All'!A57</f>
        <v>IFR3</v>
      </c>
      <c r="B45" s="3816" t="str">
        <f>'2-A All'!B57</f>
        <v>Oil Storage 3 (100,000 bbl)</v>
      </c>
      <c r="C45" s="3816" t="str">
        <f>'2-A All'!C57</f>
        <v>Advance Tank</v>
      </c>
      <c r="D45" s="3816" t="str">
        <f>'2-A All'!D57</f>
        <v>N/A</v>
      </c>
      <c r="E45" s="3816" t="str">
        <f>'2-A All'!E57</f>
        <v>TBD</v>
      </c>
      <c r="F45" s="3816" t="str">
        <f>'2-A All'!F57</f>
        <v>100,000 bbl</v>
      </c>
      <c r="G45" s="3816" t="str">
        <f>'2-A All'!G57</f>
        <v>100,000 bbl</v>
      </c>
      <c r="H45" s="2371" t="s">
        <v>94</v>
      </c>
      <c r="I45" s="567" t="s">
        <v>604</v>
      </c>
      <c r="J45" s="3800">
        <v>40400331</v>
      </c>
      <c r="K45" s="3805" t="s">
        <v>1263</v>
      </c>
      <c r="L45" s="3809" t="s">
        <v>133</v>
      </c>
      <c r="M45" s="3807" t="s">
        <v>133</v>
      </c>
    </row>
    <row r="46" spans="1:13" s="568" customFormat="1" ht="20.25" customHeight="1">
      <c r="A46" s="3831"/>
      <c r="B46" s="3801"/>
      <c r="C46" s="3801"/>
      <c r="D46" s="3801"/>
      <c r="E46" s="3801"/>
      <c r="F46" s="3801"/>
      <c r="G46" s="3801"/>
      <c r="H46" s="569" t="s">
        <v>94</v>
      </c>
      <c r="I46" s="569" t="str">
        <f>A45</f>
        <v>IFR3</v>
      </c>
      <c r="J46" s="3804"/>
      <c r="K46" s="3806"/>
      <c r="L46" s="3810"/>
      <c r="M46" s="3808"/>
    </row>
    <row r="47" spans="1:13" s="568" customFormat="1" ht="20.25" customHeight="1">
      <c r="A47" s="3830" t="str">
        <f>'2-A All'!A59</f>
        <v>IFR4</v>
      </c>
      <c r="B47" s="3816" t="str">
        <f>'2-A All'!B59</f>
        <v>Oil Storage 4 (100,000 bbl)</v>
      </c>
      <c r="C47" s="3816" t="str">
        <f>'2-A All'!C59</f>
        <v>Advance Tank</v>
      </c>
      <c r="D47" s="3816" t="str">
        <f>'2-A All'!D59</f>
        <v>N/A</v>
      </c>
      <c r="E47" s="3816" t="str">
        <f>'2-A All'!E59</f>
        <v>TBD</v>
      </c>
      <c r="F47" s="3816" t="str">
        <f>'2-A All'!F59</f>
        <v>100,000 bbl</v>
      </c>
      <c r="G47" s="3816" t="str">
        <f>'2-A All'!G59</f>
        <v>100,000 bbl</v>
      </c>
      <c r="H47" s="2371" t="s">
        <v>94</v>
      </c>
      <c r="I47" s="567" t="s">
        <v>604</v>
      </c>
      <c r="J47" s="3800">
        <v>40400331</v>
      </c>
      <c r="K47" s="3805" t="s">
        <v>1263</v>
      </c>
      <c r="L47" s="3809" t="s">
        <v>133</v>
      </c>
      <c r="M47" s="3807" t="s">
        <v>133</v>
      </c>
    </row>
    <row r="48" spans="1:13" s="568" customFormat="1" ht="20.25" customHeight="1">
      <c r="A48" s="3831"/>
      <c r="B48" s="3801"/>
      <c r="C48" s="3801"/>
      <c r="D48" s="3801"/>
      <c r="E48" s="3801"/>
      <c r="F48" s="3801"/>
      <c r="G48" s="3801"/>
      <c r="H48" s="569" t="s">
        <v>94</v>
      </c>
      <c r="I48" s="569" t="str">
        <f>A47</f>
        <v>IFR4</v>
      </c>
      <c r="J48" s="3804"/>
      <c r="K48" s="3806"/>
      <c r="L48" s="3810"/>
      <c r="M48" s="3808"/>
    </row>
    <row r="49" spans="1:13" s="568" customFormat="1" ht="20.25" customHeight="1">
      <c r="A49" s="3830" t="str">
        <f>'2-A All'!A61</f>
        <v>OTK1</v>
      </c>
      <c r="B49" s="3816" t="str">
        <f>'2-A All'!B61</f>
        <v>3rd-Party Oil Storage 1</v>
      </c>
      <c r="C49" s="3816" t="str">
        <f>'2-A All'!C61</f>
        <v>Advance Tank</v>
      </c>
      <c r="D49" s="3816" t="str">
        <f>'2-A All'!D61</f>
        <v>N/A</v>
      </c>
      <c r="E49" s="3816" t="str">
        <f>'2-A All'!E61</f>
        <v>TBD</v>
      </c>
      <c r="F49" s="3816" t="str">
        <f>'2-A All'!F61</f>
        <v>2,000 bbl</v>
      </c>
      <c r="G49" s="3816" t="str">
        <f>'2-A All'!G61</f>
        <v>2,000 bbl</v>
      </c>
      <c r="H49" s="2371" t="s">
        <v>94</v>
      </c>
      <c r="I49" s="567" t="str">
        <f>A61</f>
        <v>ECD1</v>
      </c>
      <c r="J49" s="3800">
        <v>40400311</v>
      </c>
      <c r="K49" s="3805" t="s">
        <v>1263</v>
      </c>
      <c r="L49" s="3809" t="s">
        <v>133</v>
      </c>
      <c r="M49" s="3807" t="s">
        <v>133</v>
      </c>
    </row>
    <row r="50" spans="1:13" s="568" customFormat="1" ht="20.25" customHeight="1">
      <c r="A50" s="3831"/>
      <c r="B50" s="3801"/>
      <c r="C50" s="3801"/>
      <c r="D50" s="3801"/>
      <c r="E50" s="3801"/>
      <c r="F50" s="3801"/>
      <c r="G50" s="3801"/>
      <c r="H50" s="569" t="s">
        <v>94</v>
      </c>
      <c r="I50" s="569" t="str">
        <f>I49</f>
        <v>ECD1</v>
      </c>
      <c r="J50" s="3804"/>
      <c r="K50" s="3806"/>
      <c r="L50" s="3810"/>
      <c r="M50" s="3808"/>
    </row>
    <row r="51" spans="1:13" s="568" customFormat="1" ht="20.25" customHeight="1">
      <c r="A51" s="3830" t="str">
        <f>'2-A All'!A63</f>
        <v>OTK2</v>
      </c>
      <c r="B51" s="3816" t="str">
        <f>'2-A All'!B63</f>
        <v>3rd-Party Oil Storage 2</v>
      </c>
      <c r="C51" s="3816" t="str">
        <f>'2-A All'!C63</f>
        <v>Advance Tank</v>
      </c>
      <c r="D51" s="3816" t="str">
        <f>'2-A All'!D63</f>
        <v>N/A</v>
      </c>
      <c r="E51" s="3816" t="str">
        <f>'2-A All'!E63</f>
        <v>TBD</v>
      </c>
      <c r="F51" s="3816" t="str">
        <f>'2-A All'!F63</f>
        <v>2,000 bbl</v>
      </c>
      <c r="G51" s="3816" t="str">
        <f>'2-A All'!G63</f>
        <v>2,000 bbl</v>
      </c>
      <c r="H51" s="2371" t="s">
        <v>94</v>
      </c>
      <c r="I51" s="567" t="str">
        <f>A61</f>
        <v>ECD1</v>
      </c>
      <c r="J51" s="3800">
        <v>40400311</v>
      </c>
      <c r="K51" s="3805" t="s">
        <v>1263</v>
      </c>
      <c r="L51" s="3809" t="s">
        <v>133</v>
      </c>
      <c r="M51" s="3807" t="s">
        <v>133</v>
      </c>
    </row>
    <row r="52" spans="1:13" s="568" customFormat="1" ht="20.25" customHeight="1">
      <c r="A52" s="3831"/>
      <c r="B52" s="3801"/>
      <c r="C52" s="3801"/>
      <c r="D52" s="3801"/>
      <c r="E52" s="3801"/>
      <c r="F52" s="3801"/>
      <c r="G52" s="3801"/>
      <c r="H52" s="569" t="s">
        <v>94</v>
      </c>
      <c r="I52" s="569" t="str">
        <f>I51</f>
        <v>ECD1</v>
      </c>
      <c r="J52" s="3804"/>
      <c r="K52" s="3806"/>
      <c r="L52" s="3810"/>
      <c r="M52" s="3808"/>
    </row>
    <row r="53" spans="1:13" s="568" customFormat="1" ht="20.25" customHeight="1">
      <c r="A53" s="3830" t="str">
        <f>'2-A All'!A65</f>
        <v>OTK3</v>
      </c>
      <c r="B53" s="3816" t="str">
        <f>'2-A All'!B65</f>
        <v>3rd-Party Oil Storage 3</v>
      </c>
      <c r="C53" s="3816" t="str">
        <f>'2-A All'!C65</f>
        <v>Advance Tank</v>
      </c>
      <c r="D53" s="3816" t="str">
        <f>'2-A All'!D65</f>
        <v>N/A</v>
      </c>
      <c r="E53" s="3816" t="str">
        <f>'2-A All'!E65</f>
        <v>TBD</v>
      </c>
      <c r="F53" s="3816" t="str">
        <f>'2-A All'!F65</f>
        <v>2,000 bbl</v>
      </c>
      <c r="G53" s="3816" t="str">
        <f>'2-A All'!G65</f>
        <v>2,000 bbl</v>
      </c>
      <c r="H53" s="2371" t="s">
        <v>94</v>
      </c>
      <c r="I53" s="567" t="str">
        <f>A61</f>
        <v>ECD1</v>
      </c>
      <c r="J53" s="3800">
        <v>40400311</v>
      </c>
      <c r="K53" s="3805" t="s">
        <v>1263</v>
      </c>
      <c r="L53" s="3809" t="s">
        <v>133</v>
      </c>
      <c r="M53" s="3807" t="s">
        <v>133</v>
      </c>
    </row>
    <row r="54" spans="1:13" s="568" customFormat="1" ht="20.25" customHeight="1">
      <c r="A54" s="3831"/>
      <c r="B54" s="3801"/>
      <c r="C54" s="3801"/>
      <c r="D54" s="3801"/>
      <c r="E54" s="3801"/>
      <c r="F54" s="3801"/>
      <c r="G54" s="3801"/>
      <c r="H54" s="569" t="s">
        <v>94</v>
      </c>
      <c r="I54" s="569" t="str">
        <f>I53</f>
        <v>ECD1</v>
      </c>
      <c r="J54" s="3804"/>
      <c r="K54" s="3806"/>
      <c r="L54" s="3810"/>
      <c r="M54" s="3808"/>
    </row>
    <row r="55" spans="1:13" s="568" customFormat="1" ht="20.25" customHeight="1">
      <c r="A55" s="3830" t="str">
        <f>'2-A All'!A67</f>
        <v>OTK4</v>
      </c>
      <c r="B55" s="3816" t="str">
        <f>'2-A All'!B67</f>
        <v>3rd-Party Oil Storage 4</v>
      </c>
      <c r="C55" s="3816" t="str">
        <f>'2-A All'!C67</f>
        <v>Advance Tank</v>
      </c>
      <c r="D55" s="3816" t="str">
        <f>'2-A All'!D67</f>
        <v>N/A</v>
      </c>
      <c r="E55" s="3816" t="str">
        <f>'2-A All'!E67</f>
        <v>TBD</v>
      </c>
      <c r="F55" s="3816" t="str">
        <f>'2-A All'!F67</f>
        <v>2,000 bbl</v>
      </c>
      <c r="G55" s="3816" t="str">
        <f>'2-A All'!G67</f>
        <v>2,000 bbl</v>
      </c>
      <c r="H55" s="2371" t="s">
        <v>94</v>
      </c>
      <c r="I55" s="567" t="str">
        <f>A61</f>
        <v>ECD1</v>
      </c>
      <c r="J55" s="3800">
        <v>40400311</v>
      </c>
      <c r="K55" s="3805" t="s">
        <v>1263</v>
      </c>
      <c r="L55" s="3809" t="s">
        <v>133</v>
      </c>
      <c r="M55" s="3807" t="s">
        <v>133</v>
      </c>
    </row>
    <row r="56" spans="1:13" s="568" customFormat="1" ht="20.25" customHeight="1">
      <c r="A56" s="3831"/>
      <c r="B56" s="3801"/>
      <c r="C56" s="3801"/>
      <c r="D56" s="3801"/>
      <c r="E56" s="3801"/>
      <c r="F56" s="3801"/>
      <c r="G56" s="3801"/>
      <c r="H56" s="569" t="s">
        <v>94</v>
      </c>
      <c r="I56" s="569" t="str">
        <f>I55</f>
        <v>ECD1</v>
      </c>
      <c r="J56" s="3804"/>
      <c r="K56" s="3806"/>
      <c r="L56" s="3810"/>
      <c r="M56" s="3808"/>
    </row>
    <row r="57" spans="1:13" s="568" customFormat="1" ht="20.25" customHeight="1">
      <c r="A57" s="3830" t="str">
        <f>'2-A All'!A69</f>
        <v>OTK5</v>
      </c>
      <c r="B57" s="3816" t="str">
        <f>'2-A All'!B69</f>
        <v>3rd-Party Oil Storage 5</v>
      </c>
      <c r="C57" s="3816" t="str">
        <f>'2-A All'!C69</f>
        <v>Advance Tank</v>
      </c>
      <c r="D57" s="3816" t="str">
        <f>'2-A All'!D69</f>
        <v>N/A</v>
      </c>
      <c r="E57" s="3816" t="str">
        <f>'2-A All'!E69</f>
        <v>TBD</v>
      </c>
      <c r="F57" s="3816" t="str">
        <f>'2-A All'!F69</f>
        <v>2,000 bbl</v>
      </c>
      <c r="G57" s="3816" t="str">
        <f>'2-A All'!G69</f>
        <v>2,000 bbl</v>
      </c>
      <c r="H57" s="2371" t="s">
        <v>94</v>
      </c>
      <c r="I57" s="567" t="str">
        <f>A61</f>
        <v>ECD1</v>
      </c>
      <c r="J57" s="3800">
        <v>40400311</v>
      </c>
      <c r="K57" s="3805" t="s">
        <v>1263</v>
      </c>
      <c r="L57" s="3809" t="s">
        <v>133</v>
      </c>
      <c r="M57" s="3807" t="s">
        <v>133</v>
      </c>
    </row>
    <row r="58" spans="1:13" s="568" customFormat="1" ht="20.25" customHeight="1">
      <c r="A58" s="3831"/>
      <c r="B58" s="3801"/>
      <c r="C58" s="3801"/>
      <c r="D58" s="3801"/>
      <c r="E58" s="3801"/>
      <c r="F58" s="3801"/>
      <c r="G58" s="3801"/>
      <c r="H58" s="569" t="s">
        <v>94</v>
      </c>
      <c r="I58" s="569" t="str">
        <f>I57</f>
        <v>ECD1</v>
      </c>
      <c r="J58" s="3804"/>
      <c r="K58" s="3806"/>
      <c r="L58" s="3810"/>
      <c r="M58" s="3808"/>
    </row>
    <row r="59" spans="1:13" s="568" customFormat="1" ht="20.25" customHeight="1">
      <c r="A59" s="3830" t="str">
        <f>'2-A All'!A71</f>
        <v>OTK6</v>
      </c>
      <c r="B59" s="3816" t="str">
        <f>'2-A All'!B71</f>
        <v>3rd-Party Oil Storage 6</v>
      </c>
      <c r="C59" s="3816" t="str">
        <f>'2-A All'!C71</f>
        <v>Advance Tank</v>
      </c>
      <c r="D59" s="3816" t="str">
        <f>'2-A All'!D71</f>
        <v>N/A</v>
      </c>
      <c r="E59" s="3816" t="str">
        <f>'2-A All'!E71</f>
        <v>TBD</v>
      </c>
      <c r="F59" s="3816" t="str">
        <f>'2-A All'!F71</f>
        <v>2,000 bbl</v>
      </c>
      <c r="G59" s="3816" t="str">
        <f>'2-A All'!G71</f>
        <v>2,000 bbl</v>
      </c>
      <c r="H59" s="2371" t="s">
        <v>94</v>
      </c>
      <c r="I59" s="567" t="str">
        <f>A61</f>
        <v>ECD1</v>
      </c>
      <c r="J59" s="3800">
        <v>40400311</v>
      </c>
      <c r="K59" s="3805" t="s">
        <v>1263</v>
      </c>
      <c r="L59" s="3809" t="s">
        <v>133</v>
      </c>
      <c r="M59" s="3807" t="s">
        <v>133</v>
      </c>
    </row>
    <row r="60" spans="1:13" s="568" customFormat="1" ht="20.25" customHeight="1">
      <c r="A60" s="3831"/>
      <c r="B60" s="3801"/>
      <c r="C60" s="3801"/>
      <c r="D60" s="3801"/>
      <c r="E60" s="3801"/>
      <c r="F60" s="3801"/>
      <c r="G60" s="3801"/>
      <c r="H60" s="569" t="s">
        <v>94</v>
      </c>
      <c r="I60" s="569" t="str">
        <f>I59</f>
        <v>ECD1</v>
      </c>
      <c r="J60" s="3804"/>
      <c r="K60" s="3806"/>
      <c r="L60" s="3810"/>
      <c r="M60" s="3808"/>
    </row>
    <row r="61" spans="1:13" s="568" customFormat="1" ht="20.25" customHeight="1">
      <c r="A61" s="3830" t="str">
        <f>'2-A All'!A73</f>
        <v>ECD1</v>
      </c>
      <c r="B61" s="3816" t="str">
        <f>'2-A All'!B73</f>
        <v>Combustor</v>
      </c>
      <c r="C61" s="3816" t="str">
        <f>'2-A All'!C73</f>
        <v>Zeeco, Inc.</v>
      </c>
      <c r="D61" s="3816" t="str">
        <f>'2-A All'!D73</f>
        <v>N/A</v>
      </c>
      <c r="E61" s="3816" t="str">
        <f>'2-A All'!E73</f>
        <v>TBD</v>
      </c>
      <c r="F61" s="3816" t="str">
        <f>'2-A All'!F73</f>
        <v>N/A</v>
      </c>
      <c r="G61" s="3816" t="str">
        <f>'2-A All'!G73</f>
        <v>N/A</v>
      </c>
      <c r="H61" s="2371" t="s">
        <v>94</v>
      </c>
      <c r="I61" s="567" t="s">
        <v>604</v>
      </c>
      <c r="J61" s="3811">
        <v>31000209</v>
      </c>
      <c r="K61" s="3805" t="s">
        <v>1263</v>
      </c>
      <c r="L61" s="3809" t="s">
        <v>133</v>
      </c>
      <c r="M61" s="3807" t="s">
        <v>133</v>
      </c>
    </row>
    <row r="62" spans="1:13" s="568" customFormat="1" ht="20.25" customHeight="1">
      <c r="A62" s="3831"/>
      <c r="B62" s="3801"/>
      <c r="C62" s="3801"/>
      <c r="D62" s="3801"/>
      <c r="E62" s="3801"/>
      <c r="F62" s="3801"/>
      <c r="G62" s="3801"/>
      <c r="H62" s="569" t="s">
        <v>94</v>
      </c>
      <c r="I62" s="569" t="str">
        <f>A61</f>
        <v>ECD1</v>
      </c>
      <c r="J62" s="3812"/>
      <c r="K62" s="3806"/>
      <c r="L62" s="3810"/>
      <c r="M62" s="3808"/>
    </row>
    <row r="63" spans="1:13" s="568" customFormat="1" ht="20.25" customHeight="1">
      <c r="A63" s="3830" t="str">
        <f>'2-A All'!A75</f>
        <v>TO1</v>
      </c>
      <c r="B63" s="3816" t="str">
        <f>'2-A All'!B75</f>
        <v>Thermal Oxidizer</v>
      </c>
      <c r="C63" s="3816" t="str">
        <f>'2-A All'!C75</f>
        <v>Zeeco, Inc.</v>
      </c>
      <c r="D63" s="3816" t="str">
        <f>'2-A All'!D75</f>
        <v>N/A</v>
      </c>
      <c r="E63" s="3816" t="str">
        <f>'2-A All'!E75</f>
        <v>TBD</v>
      </c>
      <c r="F63" s="3816" t="str">
        <f>'2-A All'!F75</f>
        <v xml:space="preserve">31.5 MMBtu/hr </v>
      </c>
      <c r="G63" s="3816" t="str">
        <f>'2-A All'!G75</f>
        <v xml:space="preserve">31.5 MMBtu/hr </v>
      </c>
      <c r="H63" s="2371" t="s">
        <v>94</v>
      </c>
      <c r="I63" s="567" t="s">
        <v>604</v>
      </c>
      <c r="J63" s="3811">
        <v>31000209</v>
      </c>
      <c r="K63" s="3805" t="s">
        <v>1263</v>
      </c>
      <c r="L63" s="3809" t="s">
        <v>133</v>
      </c>
      <c r="M63" s="3807" t="s">
        <v>133</v>
      </c>
    </row>
    <row r="64" spans="1:13" s="568" customFormat="1" ht="20.25" customHeight="1">
      <c r="A64" s="3831"/>
      <c r="B64" s="3801"/>
      <c r="C64" s="3801"/>
      <c r="D64" s="3801"/>
      <c r="E64" s="3801"/>
      <c r="F64" s="3801"/>
      <c r="G64" s="3801"/>
      <c r="H64" s="569" t="s">
        <v>94</v>
      </c>
      <c r="I64" s="569" t="str">
        <f>A63</f>
        <v>TO1</v>
      </c>
      <c r="J64" s="3812"/>
      <c r="K64" s="3806"/>
      <c r="L64" s="3810"/>
      <c r="M64" s="3808"/>
    </row>
    <row r="65" spans="1:13" s="568" customFormat="1" ht="20.25" customHeight="1">
      <c r="A65" s="3830" t="str">
        <f>'2-A All'!A77</f>
        <v>TO2</v>
      </c>
      <c r="B65" s="3816" t="str">
        <f>'2-A All'!B77</f>
        <v>Thermal Oxidizer</v>
      </c>
      <c r="C65" s="3816" t="str">
        <f>'2-A All'!C77</f>
        <v>Zeeco, Inc.</v>
      </c>
      <c r="D65" s="3816" t="str">
        <f>'2-A All'!D77</f>
        <v>N/A</v>
      </c>
      <c r="E65" s="3816" t="str">
        <f>'2-A All'!E77</f>
        <v>TBD</v>
      </c>
      <c r="F65" s="3816" t="str">
        <f>'2-A All'!F77</f>
        <v xml:space="preserve">31.5 MMBtu/hr </v>
      </c>
      <c r="G65" s="3816" t="str">
        <f>'2-A All'!G77</f>
        <v xml:space="preserve">31.5 MMBtu/hr </v>
      </c>
      <c r="H65" s="2371" t="s">
        <v>94</v>
      </c>
      <c r="I65" s="567" t="s">
        <v>604</v>
      </c>
      <c r="J65" s="3811">
        <v>31000209</v>
      </c>
      <c r="K65" s="3805" t="s">
        <v>1263</v>
      </c>
      <c r="L65" s="3809" t="s">
        <v>133</v>
      </c>
      <c r="M65" s="3807" t="s">
        <v>133</v>
      </c>
    </row>
    <row r="66" spans="1:13" s="568" customFormat="1" ht="20.25" customHeight="1">
      <c r="A66" s="3831"/>
      <c r="B66" s="3801"/>
      <c r="C66" s="3801"/>
      <c r="D66" s="3801"/>
      <c r="E66" s="3801"/>
      <c r="F66" s="3801"/>
      <c r="G66" s="3801"/>
      <c r="H66" s="569" t="s">
        <v>94</v>
      </c>
      <c r="I66" s="569" t="str">
        <f>A65</f>
        <v>TO2</v>
      </c>
      <c r="J66" s="3815"/>
      <c r="K66" s="3806"/>
      <c r="L66" s="3810"/>
      <c r="M66" s="3808"/>
    </row>
    <row r="67" spans="1:13" s="568" customFormat="1" ht="20.25" customHeight="1">
      <c r="A67" s="3830" t="str">
        <f>'2-A All'!A79</f>
        <v>TO3</v>
      </c>
      <c r="B67" s="3816" t="str">
        <f>'2-A All'!B79</f>
        <v>Thermal Oxidizer</v>
      </c>
      <c r="C67" s="3816" t="str">
        <f>'2-A All'!C79</f>
        <v>Zeeco, Inc.</v>
      </c>
      <c r="D67" s="3816" t="str">
        <f>'2-A All'!D79</f>
        <v>N/A</v>
      </c>
      <c r="E67" s="3816" t="str">
        <f>'2-A All'!E79</f>
        <v>TBD</v>
      </c>
      <c r="F67" s="3816" t="str">
        <f>'2-A All'!F79</f>
        <v xml:space="preserve">31.5 MMBtu/hr </v>
      </c>
      <c r="G67" s="3816" t="str">
        <f>'2-A All'!G79</f>
        <v xml:space="preserve">31.5 MMBtu/hr </v>
      </c>
      <c r="H67" s="2371" t="s">
        <v>94</v>
      </c>
      <c r="I67" s="567" t="s">
        <v>604</v>
      </c>
      <c r="J67" s="3811">
        <v>31000209</v>
      </c>
      <c r="K67" s="3805" t="s">
        <v>1263</v>
      </c>
      <c r="L67" s="3809" t="s">
        <v>133</v>
      </c>
      <c r="M67" s="3807" t="s">
        <v>133</v>
      </c>
    </row>
    <row r="68" spans="1:13" s="568" customFormat="1" ht="20.25" customHeight="1">
      <c r="A68" s="3831"/>
      <c r="B68" s="3801"/>
      <c r="C68" s="3801"/>
      <c r="D68" s="3801"/>
      <c r="E68" s="3801"/>
      <c r="F68" s="3801"/>
      <c r="G68" s="3801"/>
      <c r="H68" s="569" t="s">
        <v>94</v>
      </c>
      <c r="I68" s="569" t="str">
        <f>A67</f>
        <v>TO3</v>
      </c>
      <c r="J68" s="3815"/>
      <c r="K68" s="3806"/>
      <c r="L68" s="3810"/>
      <c r="M68" s="3808"/>
    </row>
    <row r="69" spans="1:13" s="568" customFormat="1" ht="20.25" customHeight="1">
      <c r="A69" s="3830" t="str">
        <f>'2-A All'!A81</f>
        <v>FUG</v>
      </c>
      <c r="B69" s="3816" t="str">
        <f>'2-A All'!B81</f>
        <v>Fugitives</v>
      </c>
      <c r="C69" s="3816" t="str">
        <f>'2-A All'!C81</f>
        <v>N/A</v>
      </c>
      <c r="D69" s="3816" t="str">
        <f>'2-A All'!D81</f>
        <v>N/A</v>
      </c>
      <c r="E69" s="3816" t="str">
        <f>'2-A All'!E81</f>
        <v>N/A</v>
      </c>
      <c r="F69" s="3816" t="str">
        <f>'2-A All'!F81</f>
        <v>N/A</v>
      </c>
      <c r="G69" s="3816" t="str">
        <f>'2-A All'!G81</f>
        <v>N/A</v>
      </c>
      <c r="H69" s="2371" t="s">
        <v>94</v>
      </c>
      <c r="I69" s="567" t="s">
        <v>604</v>
      </c>
      <c r="J69" s="3811">
        <v>31088811</v>
      </c>
      <c r="K69" s="3805" t="s">
        <v>1263</v>
      </c>
      <c r="L69" s="3809" t="s">
        <v>133</v>
      </c>
      <c r="M69" s="3807" t="s">
        <v>133</v>
      </c>
    </row>
    <row r="70" spans="1:13" s="568" customFormat="1" ht="20.25" customHeight="1">
      <c r="A70" s="3831"/>
      <c r="B70" s="3801"/>
      <c r="C70" s="3801"/>
      <c r="D70" s="3801"/>
      <c r="E70" s="3801"/>
      <c r="F70" s="3801"/>
      <c r="G70" s="3801"/>
      <c r="H70" s="569" t="s">
        <v>94</v>
      </c>
      <c r="I70" s="569" t="str">
        <f>A69</f>
        <v>FUG</v>
      </c>
      <c r="J70" s="3812"/>
      <c r="K70" s="3806"/>
      <c r="L70" s="3810"/>
      <c r="M70" s="3808"/>
    </row>
    <row r="71" spans="1:13" s="568" customFormat="1" ht="20.25" customHeight="1">
      <c r="A71" s="3830" t="str">
        <f>'2-A All'!A83</f>
        <v>SSM</v>
      </c>
      <c r="B71" s="3816" t="str">
        <f>'2-A All'!B83</f>
        <v>Storage Tank SSM Emissions</v>
      </c>
      <c r="C71" s="3816" t="str">
        <f>'2-A All'!C83</f>
        <v>N/A</v>
      </c>
      <c r="D71" s="3816" t="str">
        <f>'2-A All'!D83</f>
        <v>N/A</v>
      </c>
      <c r="E71" s="3816" t="str">
        <f>'2-A All'!E83</f>
        <v>N/A</v>
      </c>
      <c r="F71" s="3816" t="str">
        <f>'2-A All'!F83</f>
        <v>N/A</v>
      </c>
      <c r="G71" s="3816" t="str">
        <f>'2-A All'!G83</f>
        <v>N/A</v>
      </c>
      <c r="H71" s="2371" t="s">
        <v>94</v>
      </c>
      <c r="I71" s="567" t="s">
        <v>604</v>
      </c>
      <c r="J71" s="3811">
        <v>31088811</v>
      </c>
      <c r="K71" s="3805" t="s">
        <v>1263</v>
      </c>
      <c r="L71" s="3809" t="s">
        <v>133</v>
      </c>
      <c r="M71" s="3807" t="s">
        <v>133</v>
      </c>
    </row>
    <row r="72" spans="1:13" s="568" customFormat="1" ht="20.25" customHeight="1">
      <c r="A72" s="3831"/>
      <c r="B72" s="3801"/>
      <c r="C72" s="3801"/>
      <c r="D72" s="3801"/>
      <c r="E72" s="3801"/>
      <c r="F72" s="3801"/>
      <c r="G72" s="3801"/>
      <c r="H72" s="569" t="s">
        <v>94</v>
      </c>
      <c r="I72" s="569" t="str">
        <f>A71</f>
        <v>SSM</v>
      </c>
      <c r="J72" s="3812"/>
      <c r="K72" s="3806"/>
      <c r="L72" s="3810"/>
      <c r="M72" s="3808"/>
    </row>
    <row r="73" spans="1:13" s="568" customFormat="1" ht="20.25" customHeight="1">
      <c r="A73" s="3830" t="str">
        <f>'2-A All'!A85</f>
        <v>ROAD</v>
      </c>
      <c r="B73" s="3816" t="str">
        <f>'2-A All'!B85</f>
        <v>Haul Road Fugitives</v>
      </c>
      <c r="C73" s="3816" t="str">
        <f>'2-A All'!C85</f>
        <v>N/A</v>
      </c>
      <c r="D73" s="3816" t="str">
        <f>'2-A All'!D85</f>
        <v>N/A</v>
      </c>
      <c r="E73" s="3816" t="str">
        <f>'2-A All'!E85</f>
        <v>N/A</v>
      </c>
      <c r="F73" s="3816" t="str">
        <f>'2-A All'!F85</f>
        <v>N/A</v>
      </c>
      <c r="G73" s="3816" t="str">
        <f>'2-A All'!G85</f>
        <v>N/A</v>
      </c>
      <c r="H73" s="2371" t="s">
        <v>94</v>
      </c>
      <c r="I73" s="567" t="s">
        <v>604</v>
      </c>
      <c r="J73" s="3811">
        <v>31088811</v>
      </c>
      <c r="K73" s="3805" t="s">
        <v>1263</v>
      </c>
      <c r="L73" s="3809" t="s">
        <v>133</v>
      </c>
      <c r="M73" s="3807" t="s">
        <v>133</v>
      </c>
    </row>
    <row r="74" spans="1:13" s="568" customFormat="1" ht="20.25" customHeight="1">
      <c r="A74" s="3831"/>
      <c r="B74" s="3801"/>
      <c r="C74" s="3801"/>
      <c r="D74" s="3801"/>
      <c r="E74" s="3801"/>
      <c r="F74" s="3801"/>
      <c r="G74" s="3801"/>
      <c r="H74" s="569" t="s">
        <v>94</v>
      </c>
      <c r="I74" s="569" t="str">
        <f>A73</f>
        <v>ROAD</v>
      </c>
      <c r="J74" s="3812"/>
      <c r="K74" s="3806"/>
      <c r="L74" s="3810"/>
      <c r="M74" s="3808"/>
    </row>
    <row r="75" spans="1:13" s="568" customFormat="1" ht="20.25" customHeight="1">
      <c r="A75" s="3830" t="str">
        <f>'2-A All'!A87</f>
        <v>PWTK1</v>
      </c>
      <c r="B75" s="3816" t="str">
        <f>'2-A All'!B87</f>
        <v>Produced Water Tank 1</v>
      </c>
      <c r="C75" s="3816" t="str">
        <f>'2-A All'!C87</f>
        <v>TBD</v>
      </c>
      <c r="D75" s="3816" t="str">
        <f>'2-A All'!D87</f>
        <v>N/A</v>
      </c>
      <c r="E75" s="3816" t="str">
        <f>'2-A All'!E87</f>
        <v>TBD</v>
      </c>
      <c r="F75" s="3816" t="str">
        <f>'2-A All'!F87</f>
        <v>750 bbl</v>
      </c>
      <c r="G75" s="3816" t="str">
        <f>'2-A All'!G87</f>
        <v>750 bbl</v>
      </c>
      <c r="H75" s="2371" t="s">
        <v>94</v>
      </c>
      <c r="I75" s="567" t="str">
        <f>A61</f>
        <v>ECD1</v>
      </c>
      <c r="J75" s="3800">
        <v>40400315</v>
      </c>
      <c r="K75" s="3805" t="s">
        <v>1263</v>
      </c>
      <c r="L75" s="3809" t="s">
        <v>133</v>
      </c>
      <c r="M75" s="3807" t="s">
        <v>133</v>
      </c>
    </row>
    <row r="76" spans="1:13" s="568" customFormat="1" ht="20.25" customHeight="1">
      <c r="A76" s="3831"/>
      <c r="B76" s="3801"/>
      <c r="C76" s="3801"/>
      <c r="D76" s="3801"/>
      <c r="E76" s="3801"/>
      <c r="F76" s="3801"/>
      <c r="G76" s="3801"/>
      <c r="H76" s="569" t="s">
        <v>94</v>
      </c>
      <c r="I76" s="569" t="str">
        <f>I75</f>
        <v>ECD1</v>
      </c>
      <c r="J76" s="3804"/>
      <c r="K76" s="3806"/>
      <c r="L76" s="3810"/>
      <c r="M76" s="3808"/>
    </row>
    <row r="77" spans="1:13" s="568" customFormat="1" ht="20.25" customHeight="1">
      <c r="A77" s="3830" t="str">
        <f>'2-A All'!A89</f>
        <v>PWTK2</v>
      </c>
      <c r="B77" s="3816" t="str">
        <f>'2-A All'!B89</f>
        <v>Produced Water Tank 2</v>
      </c>
      <c r="C77" s="3816" t="str">
        <f>'2-A All'!C89</f>
        <v>TBD</v>
      </c>
      <c r="D77" s="3816" t="str">
        <f>'2-A All'!D89</f>
        <v>N/A</v>
      </c>
      <c r="E77" s="3816" t="str">
        <f>'2-A All'!E89</f>
        <v>TBD</v>
      </c>
      <c r="F77" s="3816" t="str">
        <f>'2-A All'!F89</f>
        <v>750 bbl</v>
      </c>
      <c r="G77" s="3816" t="str">
        <f>'2-A All'!G89</f>
        <v>750 bbl</v>
      </c>
      <c r="H77" s="2371" t="s">
        <v>94</v>
      </c>
      <c r="I77" s="567" t="str">
        <f>A61</f>
        <v>ECD1</v>
      </c>
      <c r="J77" s="3800">
        <v>40400315</v>
      </c>
      <c r="K77" s="3805" t="s">
        <v>1263</v>
      </c>
      <c r="L77" s="3809" t="s">
        <v>133</v>
      </c>
      <c r="M77" s="3807" t="s">
        <v>133</v>
      </c>
    </row>
    <row r="78" spans="1:13" s="568" customFormat="1" ht="20.25" customHeight="1">
      <c r="A78" s="3831"/>
      <c r="B78" s="3801"/>
      <c r="C78" s="3801"/>
      <c r="D78" s="3801"/>
      <c r="E78" s="3801"/>
      <c r="F78" s="3801"/>
      <c r="G78" s="3801"/>
      <c r="H78" s="569" t="s">
        <v>94</v>
      </c>
      <c r="I78" s="569" t="str">
        <f>I77</f>
        <v>ECD1</v>
      </c>
      <c r="J78" s="3804"/>
      <c r="K78" s="3806"/>
      <c r="L78" s="3810"/>
      <c r="M78" s="3808"/>
    </row>
    <row r="79" spans="1:13" s="568" customFormat="1" ht="20.25" customHeight="1">
      <c r="A79" s="3830" t="str">
        <f>'2-A All'!A91</f>
        <v>PWTL</v>
      </c>
      <c r="B79" s="3816" t="str">
        <f>'2-A All'!B91</f>
        <v>Produced Water Loading</v>
      </c>
      <c r="C79" s="3816" t="str">
        <f>'2-A All'!C91</f>
        <v>N/A</v>
      </c>
      <c r="D79" s="3816" t="str">
        <f>'2-A All'!D91</f>
        <v>N/A</v>
      </c>
      <c r="E79" s="3816" t="str">
        <f>'2-A All'!E91</f>
        <v>N/A</v>
      </c>
      <c r="F79" s="3816" t="str">
        <f>'2-A All'!F91</f>
        <v>N/A</v>
      </c>
      <c r="G79" s="3816" t="str">
        <f>'2-A All'!G91</f>
        <v>10,308 bbl/day</v>
      </c>
      <c r="H79" s="2371" t="s">
        <v>94</v>
      </c>
      <c r="I79" s="567" t="s">
        <v>604</v>
      </c>
      <c r="J79" s="3814">
        <v>40400250</v>
      </c>
      <c r="K79" s="3805" t="s">
        <v>1263</v>
      </c>
      <c r="L79" s="3809" t="s">
        <v>133</v>
      </c>
      <c r="M79" s="3807" t="s">
        <v>133</v>
      </c>
    </row>
    <row r="80" spans="1:13" s="568" customFormat="1" ht="20.25" customHeight="1">
      <c r="A80" s="3831"/>
      <c r="B80" s="3801"/>
      <c r="C80" s="3801"/>
      <c r="D80" s="3801"/>
      <c r="E80" s="3801"/>
      <c r="F80" s="3801"/>
      <c r="G80" s="3801"/>
      <c r="H80" s="569" t="s">
        <v>94</v>
      </c>
      <c r="I80" s="569" t="str">
        <f>A79</f>
        <v>PWTL</v>
      </c>
      <c r="J80" s="3815"/>
      <c r="K80" s="3806"/>
      <c r="L80" s="3810"/>
      <c r="M80" s="3808"/>
    </row>
    <row r="81" spans="1:13" s="568" customFormat="1" ht="20.25" customHeight="1">
      <c r="A81" s="3830" t="str">
        <f>'2-A All'!A93</f>
        <v>OTL</v>
      </c>
      <c r="B81" s="3816" t="str">
        <f>'2-A All'!B93</f>
        <v>Slop Oil Loading</v>
      </c>
      <c r="C81" s="3816" t="str">
        <f>'2-A All'!C93</f>
        <v>N/A</v>
      </c>
      <c r="D81" s="3816" t="str">
        <f>'2-A All'!D93</f>
        <v>N/A</v>
      </c>
      <c r="E81" s="3816" t="str">
        <f>'2-A All'!E93</f>
        <v>N/A</v>
      </c>
      <c r="F81" s="3816" t="str">
        <f>'2-A All'!F93</f>
        <v>210 bbl/day</v>
      </c>
      <c r="G81" s="3816" t="str">
        <f>'2-A All'!G93</f>
        <v>210 bbl/day</v>
      </c>
      <c r="H81" s="2371" t="s">
        <v>94</v>
      </c>
      <c r="I81" s="567" t="s">
        <v>604</v>
      </c>
      <c r="J81" s="3814">
        <v>40400250</v>
      </c>
      <c r="K81" s="3805" t="s">
        <v>1263</v>
      </c>
      <c r="L81" s="3809" t="s">
        <v>133</v>
      </c>
      <c r="M81" s="3807" t="s">
        <v>133</v>
      </c>
    </row>
    <row r="82" spans="1:13" s="568" customFormat="1" ht="20.25" customHeight="1">
      <c r="A82" s="3831"/>
      <c r="B82" s="3801"/>
      <c r="C82" s="3801"/>
      <c r="D82" s="3801"/>
      <c r="E82" s="3801"/>
      <c r="F82" s="3801"/>
      <c r="G82" s="3801"/>
      <c r="H82" s="569" t="s">
        <v>94</v>
      </c>
      <c r="I82" s="569" t="str">
        <f>A81</f>
        <v>OTL</v>
      </c>
      <c r="J82" s="3815"/>
      <c r="K82" s="3806"/>
      <c r="L82" s="3810"/>
      <c r="M82" s="3808"/>
    </row>
    <row r="83" spans="1:13" s="568" customFormat="1" ht="20.25" customHeight="1">
      <c r="A83" s="3830" t="str">
        <f>'2-A All'!A95</f>
        <v>AU1</v>
      </c>
      <c r="B83" s="3816" t="str">
        <f>'2-A All'!B95</f>
        <v>Amine Unit 1</v>
      </c>
      <c r="C83" s="3816" t="str">
        <f>'2-A All'!C95</f>
        <v>TBD</v>
      </c>
      <c r="D83" s="3816" t="str">
        <f>'2-A All'!D95</f>
        <v>N/A</v>
      </c>
      <c r="E83" s="3816" t="str">
        <f>'2-A All'!E95</f>
        <v>TBD</v>
      </c>
      <c r="F83" s="3816" t="str">
        <f>'2-A All'!F95</f>
        <v>250 MMSCFD</v>
      </c>
      <c r="G83" s="3816" t="str">
        <f>'2-A All'!G95</f>
        <v>250 MMSCFD</v>
      </c>
      <c r="H83" s="2371" t="s">
        <v>94</v>
      </c>
      <c r="I83" s="567" t="str">
        <f>A63</f>
        <v>TO1</v>
      </c>
      <c r="J83" s="3811">
        <v>31000305</v>
      </c>
      <c r="K83" s="3805" t="s">
        <v>1263</v>
      </c>
      <c r="L83" s="3809" t="s">
        <v>133</v>
      </c>
      <c r="M83" s="3807" t="s">
        <v>133</v>
      </c>
    </row>
    <row r="84" spans="1:13" s="568" customFormat="1" ht="20.25" customHeight="1">
      <c r="A84" s="3831"/>
      <c r="B84" s="3801"/>
      <c r="C84" s="3801"/>
      <c r="D84" s="3801"/>
      <c r="E84" s="3801"/>
      <c r="F84" s="3801"/>
      <c r="G84" s="3801"/>
      <c r="H84" s="569" t="s">
        <v>94</v>
      </c>
      <c r="I84" s="569" t="str">
        <f>I83</f>
        <v>TO1</v>
      </c>
      <c r="J84" s="3812"/>
      <c r="K84" s="3806"/>
      <c r="L84" s="3810"/>
      <c r="M84" s="3808"/>
    </row>
    <row r="85" spans="1:13" s="568" customFormat="1" ht="20.25" customHeight="1">
      <c r="A85" s="3830" t="str">
        <f>'2-A All'!A97</f>
        <v>AU2</v>
      </c>
      <c r="B85" s="3816" t="str">
        <f>'2-A All'!B97</f>
        <v>Amine Unit 2</v>
      </c>
      <c r="C85" s="3816" t="str">
        <f>'2-A All'!C97</f>
        <v>TBD</v>
      </c>
      <c r="D85" s="3816" t="str">
        <f>'2-A All'!D97</f>
        <v>N/A</v>
      </c>
      <c r="E85" s="3816" t="str">
        <f>'2-A All'!E97</f>
        <v>TBD</v>
      </c>
      <c r="F85" s="3816" t="str">
        <f>'2-A All'!F97</f>
        <v>250 MMSCFD</v>
      </c>
      <c r="G85" s="3816" t="str">
        <f>'2-A All'!G97</f>
        <v>250 MMSCFD</v>
      </c>
      <c r="H85" s="2371" t="s">
        <v>94</v>
      </c>
      <c r="I85" s="567" t="str">
        <f>A65</f>
        <v>TO2</v>
      </c>
      <c r="J85" s="3811">
        <v>31000305</v>
      </c>
      <c r="K85" s="3805" t="s">
        <v>1263</v>
      </c>
      <c r="L85" s="3809" t="s">
        <v>133</v>
      </c>
      <c r="M85" s="3807" t="s">
        <v>133</v>
      </c>
    </row>
    <row r="86" spans="1:13" s="568" customFormat="1" ht="20.25" customHeight="1">
      <c r="A86" s="3831"/>
      <c r="B86" s="3801"/>
      <c r="C86" s="3801"/>
      <c r="D86" s="3801"/>
      <c r="E86" s="3801"/>
      <c r="F86" s="3801"/>
      <c r="G86" s="3801"/>
      <c r="H86" s="569" t="s">
        <v>94</v>
      </c>
      <c r="I86" s="569" t="str">
        <f>I85</f>
        <v>TO2</v>
      </c>
      <c r="J86" s="3812"/>
      <c r="K86" s="3806"/>
      <c r="L86" s="3810"/>
      <c r="M86" s="3808"/>
    </row>
    <row r="87" spans="1:13" s="568" customFormat="1" ht="20.25" customHeight="1">
      <c r="A87" s="3830" t="str">
        <f>'2-A All'!A99</f>
        <v>AU3</v>
      </c>
      <c r="B87" s="3816" t="str">
        <f>'2-A All'!B99</f>
        <v>Amine Unit 3</v>
      </c>
      <c r="C87" s="3816" t="str">
        <f>'2-A All'!C99</f>
        <v>TBD</v>
      </c>
      <c r="D87" s="3816" t="str">
        <f>'2-A All'!D99</f>
        <v>N/A</v>
      </c>
      <c r="E87" s="3816" t="str">
        <f>'2-A All'!E99</f>
        <v>TBD</v>
      </c>
      <c r="F87" s="3816" t="str">
        <f>'2-A All'!F99</f>
        <v>250 MMSCFD</v>
      </c>
      <c r="G87" s="3816" t="str">
        <f>'2-A All'!G99</f>
        <v>250 MMSCFD</v>
      </c>
      <c r="H87" s="2371" t="s">
        <v>94</v>
      </c>
      <c r="I87" s="567" t="str">
        <f>A67</f>
        <v>TO3</v>
      </c>
      <c r="J87" s="3811">
        <v>31000305</v>
      </c>
      <c r="K87" s="3805" t="s">
        <v>1263</v>
      </c>
      <c r="L87" s="3809" t="s">
        <v>133</v>
      </c>
      <c r="M87" s="3807" t="s">
        <v>133</v>
      </c>
    </row>
    <row r="88" spans="1:13" s="568" customFormat="1" ht="20.25" customHeight="1">
      <c r="A88" s="3831"/>
      <c r="B88" s="3801"/>
      <c r="C88" s="3801"/>
      <c r="D88" s="3801"/>
      <c r="E88" s="3801"/>
      <c r="F88" s="3801"/>
      <c r="G88" s="3801"/>
      <c r="H88" s="569" t="s">
        <v>94</v>
      </c>
      <c r="I88" s="569" t="str">
        <f>I87</f>
        <v>TO3</v>
      </c>
      <c r="J88" s="3812"/>
      <c r="K88" s="3806"/>
      <c r="L88" s="3810"/>
      <c r="M88" s="3808"/>
    </row>
    <row r="89" spans="1:13" s="568" customFormat="1" ht="20.25" customHeight="1">
      <c r="A89" s="3830" t="str">
        <f>'2-A All'!A101</f>
        <v>GBS1</v>
      </c>
      <c r="B89" s="3816" t="str">
        <f>'2-A All'!B101</f>
        <v>Gunbarrel Tank</v>
      </c>
      <c r="C89" s="3816" t="str">
        <f>'2-A All'!C101</f>
        <v>Advance Tank</v>
      </c>
      <c r="D89" s="3816" t="str">
        <f>'2-A All'!D101</f>
        <v>N/A</v>
      </c>
      <c r="E89" s="3816" t="str">
        <f>'2-A All'!E101</f>
        <v>TBD</v>
      </c>
      <c r="F89" s="3816" t="str">
        <f>'2-A All'!F101</f>
        <v>1,000 bbl</v>
      </c>
      <c r="G89" s="3816" t="str">
        <f>'2-A All'!G101</f>
        <v>1,000 bbl</v>
      </c>
      <c r="H89" s="2371" t="s">
        <v>94</v>
      </c>
      <c r="I89" s="567" t="str">
        <f>A61</f>
        <v>ECD1</v>
      </c>
      <c r="J89" s="3800">
        <v>31000506</v>
      </c>
      <c r="K89" s="3805" t="s">
        <v>1263</v>
      </c>
      <c r="L89" s="3809" t="s">
        <v>133</v>
      </c>
      <c r="M89" s="3807" t="s">
        <v>133</v>
      </c>
    </row>
    <row r="90" spans="1:13" s="568" customFormat="1" ht="20.25" customHeight="1">
      <c r="A90" s="3831"/>
      <c r="B90" s="3801"/>
      <c r="C90" s="3801"/>
      <c r="D90" s="3801"/>
      <c r="E90" s="3801"/>
      <c r="F90" s="3801"/>
      <c r="G90" s="3801"/>
      <c r="H90" s="569" t="s">
        <v>94</v>
      </c>
      <c r="I90" s="569" t="str">
        <f>I89</f>
        <v>ECD1</v>
      </c>
      <c r="J90" s="3804"/>
      <c r="K90" s="3806"/>
      <c r="L90" s="3810"/>
      <c r="M90" s="3808"/>
    </row>
    <row r="91" spans="1:13" s="568" customFormat="1" ht="20.25" customHeight="1">
      <c r="A91" s="3830" t="str">
        <f>'2-A All'!A103</f>
        <v>OTK7</v>
      </c>
      <c r="B91" s="3816" t="str">
        <f>'2-A All'!B103</f>
        <v>Slop Oil Tank</v>
      </c>
      <c r="C91" s="3816" t="str">
        <f>'2-A All'!C103</f>
        <v>Advance Tank</v>
      </c>
      <c r="D91" s="3816" t="str">
        <f>'2-A All'!D103</f>
        <v>N/A</v>
      </c>
      <c r="E91" s="3816" t="str">
        <f>'2-A All'!E103</f>
        <v>TBD</v>
      </c>
      <c r="F91" s="3816" t="str">
        <f>'2-A All'!F103</f>
        <v>500 bbl</v>
      </c>
      <c r="G91" s="3816" t="str">
        <f>'2-A All'!G103</f>
        <v>500 bbl</v>
      </c>
      <c r="H91" s="2371" t="s">
        <v>94</v>
      </c>
      <c r="I91" s="567" t="str">
        <f>A61</f>
        <v>ECD1</v>
      </c>
      <c r="J91" s="3800">
        <v>40400311</v>
      </c>
      <c r="K91" s="3805" t="s">
        <v>1263</v>
      </c>
      <c r="L91" s="3809" t="s">
        <v>133</v>
      </c>
      <c r="M91" s="3807" t="s">
        <v>133</v>
      </c>
    </row>
    <row r="92" spans="1:13" s="568" customFormat="1" ht="20.25" customHeight="1">
      <c r="A92" s="3831"/>
      <c r="B92" s="3801"/>
      <c r="C92" s="3801"/>
      <c r="D92" s="3801"/>
      <c r="E92" s="3801"/>
      <c r="F92" s="3801"/>
      <c r="G92" s="3801"/>
      <c r="H92" s="569" t="s">
        <v>94</v>
      </c>
      <c r="I92" s="569" t="str">
        <f>I91</f>
        <v>ECD1</v>
      </c>
      <c r="J92" s="3804"/>
      <c r="K92" s="3806"/>
      <c r="L92" s="3810"/>
      <c r="M92" s="3808"/>
    </row>
    <row r="93" spans="1:13" s="60" customFormat="1" ht="17.25" customHeight="1">
      <c r="A93" s="3830" t="str">
        <f>'2-A All'!A105</f>
        <v>TUR1</v>
      </c>
      <c r="B93" s="3816" t="str">
        <f>'2-A All'!B105</f>
        <v>Turbine</v>
      </c>
      <c r="C93" s="3816" t="str">
        <f>'2-A All'!C105</f>
        <v>Mitsubishi</v>
      </c>
      <c r="D93" s="3816" t="str">
        <f>'2-A All'!D105</f>
        <v>H-100</v>
      </c>
      <c r="E93" s="3816" t="str">
        <f>'2-A All'!E105</f>
        <v>TBD</v>
      </c>
      <c r="F93" s="3816" t="str">
        <f>'2-A All'!F105</f>
        <v>120 MW</v>
      </c>
      <c r="G93" s="3816" t="str">
        <f>'2-A All'!G105</f>
        <v>120 MW</v>
      </c>
      <c r="H93" s="2371" t="s">
        <v>94</v>
      </c>
      <c r="I93" s="1703" t="s">
        <v>1504</v>
      </c>
      <c r="J93" s="3854">
        <v>20200203</v>
      </c>
      <c r="K93" s="3805" t="s">
        <v>1263</v>
      </c>
      <c r="L93" s="3794" t="s">
        <v>133</v>
      </c>
      <c r="M93" s="3796" t="s">
        <v>133</v>
      </c>
    </row>
    <row r="94" spans="1:13" s="60" customFormat="1" ht="17.149999999999999" customHeight="1">
      <c r="A94" s="3831"/>
      <c r="B94" s="3801"/>
      <c r="C94" s="3801"/>
      <c r="D94" s="3801"/>
      <c r="E94" s="3801"/>
      <c r="F94" s="3801"/>
      <c r="G94" s="3801"/>
      <c r="H94" s="569" t="s">
        <v>94</v>
      </c>
      <c r="I94" s="545" t="str">
        <f>A93</f>
        <v>TUR1</v>
      </c>
      <c r="J94" s="3855"/>
      <c r="K94" s="3806"/>
      <c r="L94" s="3795"/>
      <c r="M94" s="3797"/>
    </row>
    <row r="95" spans="1:13" s="62" customFormat="1" ht="11.25" customHeight="1">
      <c r="A95" s="61" t="s">
        <v>134</v>
      </c>
    </row>
    <row r="96" spans="1:13" s="62" customFormat="1" ht="11.25" customHeight="1">
      <c r="A96" s="61" t="s">
        <v>135</v>
      </c>
    </row>
    <row r="97" spans="1:7" s="62" customFormat="1" ht="11.25" customHeight="1">
      <c r="A97" s="61" t="s">
        <v>136</v>
      </c>
    </row>
    <row r="98" spans="1:7" ht="11.25" customHeight="1">
      <c r="A98" s="61" t="s">
        <v>137</v>
      </c>
      <c r="B98" s="56"/>
      <c r="C98" s="56"/>
      <c r="D98" s="56"/>
      <c r="E98" s="56"/>
      <c r="F98" s="56"/>
      <c r="G98" s="56"/>
    </row>
    <row r="99" spans="1:7" ht="20.75" customHeight="1">
      <c r="A99" s="56"/>
      <c r="B99" s="56"/>
      <c r="C99" s="56"/>
      <c r="D99" s="56"/>
      <c r="E99" s="56"/>
      <c r="F99" s="56"/>
      <c r="G99" s="56"/>
    </row>
    <row r="100" spans="1:7" ht="20.75" customHeight="1">
      <c r="A100" s="56"/>
      <c r="B100" s="56"/>
      <c r="C100" s="56"/>
      <c r="D100" s="56"/>
      <c r="E100" s="56"/>
      <c r="F100" s="56"/>
      <c r="G100" s="56"/>
    </row>
    <row r="101" spans="1:7" ht="20.75" customHeight="1">
      <c r="A101" s="56"/>
      <c r="B101" s="56"/>
      <c r="C101" s="56"/>
      <c r="D101" s="56"/>
      <c r="E101" s="56"/>
      <c r="F101" s="56"/>
      <c r="G101" s="56"/>
    </row>
    <row r="102" spans="1:7" ht="20.75" customHeight="1">
      <c r="A102" s="56"/>
      <c r="B102" s="56"/>
      <c r="C102" s="56"/>
      <c r="D102" s="56"/>
      <c r="E102" s="56"/>
      <c r="F102" s="56"/>
      <c r="G102" s="56"/>
    </row>
    <row r="103" spans="1:7" ht="20.75" customHeight="1">
      <c r="A103" s="56"/>
      <c r="B103" s="56"/>
      <c r="C103" s="56"/>
      <c r="D103" s="56"/>
      <c r="E103" s="56"/>
      <c r="F103" s="56"/>
      <c r="G103" s="56"/>
    </row>
    <row r="104" spans="1:7" ht="20.75" customHeight="1">
      <c r="A104" s="56"/>
      <c r="B104" s="56"/>
      <c r="C104" s="56"/>
      <c r="D104" s="56"/>
      <c r="E104" s="56"/>
      <c r="F104" s="56"/>
      <c r="G104" s="56"/>
    </row>
    <row r="105" spans="1:7" ht="20.75" customHeight="1">
      <c r="A105" s="56"/>
      <c r="B105" s="56"/>
      <c r="C105" s="56"/>
      <c r="D105" s="56"/>
      <c r="E105" s="56"/>
      <c r="F105" s="56"/>
      <c r="G105" s="56"/>
    </row>
    <row r="106" spans="1:7" ht="20.75" customHeight="1">
      <c r="A106" s="56"/>
      <c r="B106" s="56"/>
      <c r="C106" s="56"/>
      <c r="D106" s="56"/>
      <c r="E106" s="56"/>
      <c r="F106" s="56"/>
      <c r="G106" s="56"/>
    </row>
    <row r="107" spans="1:7" ht="20.75" customHeight="1">
      <c r="A107" s="56"/>
      <c r="B107" s="56"/>
      <c r="C107" s="56"/>
      <c r="D107" s="56"/>
      <c r="E107" s="56"/>
      <c r="F107" s="56"/>
      <c r="G107" s="56"/>
    </row>
    <row r="108" spans="1:7" ht="20.75" customHeight="1">
      <c r="A108" s="56"/>
      <c r="B108" s="56"/>
      <c r="C108" s="56"/>
      <c r="D108" s="56"/>
      <c r="E108" s="56"/>
      <c r="F108" s="56"/>
      <c r="G108" s="56"/>
    </row>
    <row r="109" spans="1:7" ht="20.75" customHeight="1">
      <c r="A109" s="56"/>
      <c r="B109" s="56"/>
      <c r="C109" s="56"/>
      <c r="D109" s="56"/>
      <c r="E109" s="56"/>
      <c r="F109" s="56"/>
      <c r="G109" s="56"/>
    </row>
    <row r="110" spans="1:7" ht="20.75" customHeight="1">
      <c r="A110" s="56"/>
      <c r="B110" s="56"/>
      <c r="C110" s="56"/>
      <c r="D110" s="56"/>
      <c r="E110" s="56"/>
      <c r="F110" s="56"/>
      <c r="G110" s="56"/>
    </row>
    <row r="111" spans="1:7" ht="20.75" customHeight="1">
      <c r="A111" s="56"/>
      <c r="B111" s="56"/>
      <c r="C111" s="56"/>
      <c r="D111" s="56"/>
      <c r="E111" s="56"/>
      <c r="F111" s="56"/>
      <c r="G111" s="56"/>
    </row>
    <row r="112" spans="1:7" ht="20.75" customHeight="1">
      <c r="A112" s="56"/>
      <c r="B112" s="56"/>
      <c r="C112" s="56"/>
      <c r="D112" s="56"/>
      <c r="E112" s="56"/>
      <c r="F112" s="56"/>
      <c r="G112" s="56"/>
    </row>
    <row r="113" spans="1:7" ht="20.75" customHeight="1">
      <c r="A113" s="56"/>
      <c r="B113" s="56"/>
      <c r="C113" s="56"/>
      <c r="D113" s="56"/>
      <c r="E113" s="56"/>
      <c r="F113" s="56"/>
      <c r="G113" s="56"/>
    </row>
    <row r="114" spans="1:7" ht="20.75" customHeight="1">
      <c r="A114" s="56"/>
      <c r="B114" s="56"/>
      <c r="C114" s="56"/>
      <c r="D114" s="56"/>
      <c r="E114" s="56"/>
      <c r="F114" s="56"/>
      <c r="G114" s="56"/>
    </row>
    <row r="115" spans="1:7" ht="20.75" customHeight="1">
      <c r="A115" s="56"/>
      <c r="B115" s="56"/>
      <c r="C115" s="56"/>
      <c r="D115" s="56"/>
      <c r="E115" s="56"/>
      <c r="F115" s="56"/>
      <c r="G115" s="56"/>
    </row>
    <row r="116" spans="1:7" ht="20.75" customHeight="1">
      <c r="A116" s="56"/>
      <c r="B116" s="56"/>
      <c r="C116" s="56"/>
      <c r="D116" s="56"/>
      <c r="E116" s="56"/>
      <c r="F116" s="56"/>
      <c r="G116" s="56"/>
    </row>
    <row r="117" spans="1:7" ht="20.75" customHeight="1">
      <c r="A117" s="56"/>
      <c r="B117" s="56"/>
      <c r="C117" s="56"/>
      <c r="D117" s="56"/>
      <c r="E117" s="56"/>
      <c r="F117" s="56"/>
      <c r="G117" s="56"/>
    </row>
    <row r="118" spans="1:7" ht="20.75" customHeight="1">
      <c r="A118" s="56"/>
      <c r="B118" s="56"/>
      <c r="C118" s="56"/>
      <c r="D118" s="56"/>
      <c r="E118" s="56"/>
      <c r="F118" s="56"/>
      <c r="G118" s="56"/>
    </row>
    <row r="119" spans="1:7" ht="36" customHeight="1">
      <c r="A119" s="56"/>
      <c r="B119" s="56"/>
      <c r="C119" s="56"/>
      <c r="D119" s="56"/>
      <c r="E119" s="56"/>
      <c r="F119" s="56"/>
      <c r="G119" s="56"/>
    </row>
    <row r="120" spans="1:7">
      <c r="A120" s="56"/>
      <c r="B120" s="56"/>
      <c r="C120" s="56"/>
      <c r="D120" s="56"/>
      <c r="E120" s="56"/>
      <c r="F120" s="56"/>
      <c r="G120" s="56"/>
    </row>
    <row r="121" spans="1:7" ht="20.75" customHeight="1">
      <c r="A121" s="56"/>
      <c r="B121" s="56"/>
      <c r="C121" s="56"/>
      <c r="D121" s="56"/>
      <c r="E121" s="56"/>
      <c r="F121" s="56"/>
      <c r="G121" s="56"/>
    </row>
    <row r="122" spans="1:7" ht="20.75" customHeight="1">
      <c r="A122" s="56"/>
      <c r="B122" s="56"/>
      <c r="C122" s="56"/>
      <c r="D122" s="56"/>
      <c r="E122" s="56"/>
      <c r="F122" s="56"/>
      <c r="G122" s="56"/>
    </row>
    <row r="123" spans="1:7" ht="20.75" customHeight="1">
      <c r="A123" s="56"/>
      <c r="B123" s="56"/>
      <c r="C123" s="56"/>
      <c r="D123" s="56"/>
      <c r="E123" s="56"/>
      <c r="F123" s="56"/>
      <c r="G123" s="56"/>
    </row>
    <row r="124" spans="1:7" ht="20.75" customHeight="1">
      <c r="A124" s="56"/>
      <c r="B124" s="56"/>
      <c r="C124" s="56"/>
      <c r="D124" s="56"/>
      <c r="E124" s="56"/>
      <c r="F124" s="56"/>
      <c r="G124" s="56"/>
    </row>
    <row r="125" spans="1:7" ht="25.25" customHeight="1">
      <c r="A125" s="56"/>
      <c r="B125" s="56"/>
      <c r="C125" s="56"/>
      <c r="D125" s="56"/>
      <c r="E125" s="56"/>
      <c r="F125" s="56"/>
      <c r="G125" s="56"/>
    </row>
    <row r="126" spans="1:7" ht="25.25" customHeight="1">
      <c r="A126" s="56"/>
      <c r="B126" s="56"/>
      <c r="C126" s="56"/>
      <c r="D126" s="56"/>
      <c r="E126" s="56"/>
      <c r="F126" s="56"/>
      <c r="G126" s="56"/>
    </row>
    <row r="127" spans="1:7">
      <c r="A127" s="56"/>
      <c r="B127" s="56"/>
      <c r="C127" s="56"/>
      <c r="D127" s="56"/>
      <c r="E127" s="56"/>
      <c r="F127" s="56"/>
      <c r="G127" s="56"/>
    </row>
    <row r="128" spans="1:7">
      <c r="A128" s="56"/>
      <c r="B128" s="56"/>
      <c r="C128" s="56"/>
      <c r="D128" s="56"/>
      <c r="E128" s="56"/>
      <c r="F128" s="56"/>
      <c r="G128" s="56"/>
    </row>
    <row r="129" spans="1:7">
      <c r="A129" s="56"/>
      <c r="B129" s="56"/>
      <c r="C129" s="56"/>
      <c r="D129" s="56"/>
      <c r="E129" s="56"/>
      <c r="F129" s="56"/>
      <c r="G129" s="56"/>
    </row>
    <row r="130" spans="1:7">
      <c r="A130" s="56"/>
      <c r="B130" s="56"/>
      <c r="C130" s="56"/>
      <c r="D130" s="56"/>
      <c r="E130" s="56"/>
      <c r="F130" s="56"/>
      <c r="G130" s="56"/>
    </row>
    <row r="131" spans="1:7">
      <c r="A131" s="56"/>
      <c r="B131" s="56"/>
      <c r="C131" s="56"/>
      <c r="D131" s="56"/>
      <c r="E131" s="56"/>
      <c r="F131" s="56"/>
      <c r="G131" s="56"/>
    </row>
    <row r="132" spans="1:7">
      <c r="A132" s="56"/>
      <c r="B132" s="56"/>
      <c r="C132" s="56"/>
      <c r="D132" s="56"/>
      <c r="E132" s="56"/>
      <c r="F132" s="56"/>
      <c r="G132" s="56"/>
    </row>
    <row r="133" spans="1:7">
      <c r="A133" s="56"/>
      <c r="B133" s="56"/>
      <c r="C133" s="56"/>
      <c r="D133" s="56"/>
      <c r="E133" s="56"/>
      <c r="F133" s="56"/>
      <c r="G133" s="56"/>
    </row>
    <row r="134" spans="1:7">
      <c r="A134" s="56"/>
      <c r="B134" s="56"/>
      <c r="C134" s="56"/>
      <c r="D134" s="56"/>
      <c r="E134" s="56"/>
      <c r="F134" s="56"/>
      <c r="G134" s="56"/>
    </row>
    <row r="135" spans="1:7">
      <c r="A135" s="56"/>
      <c r="B135" s="56"/>
      <c r="C135" s="56"/>
      <c r="D135" s="56"/>
      <c r="E135" s="56"/>
      <c r="F135" s="56"/>
      <c r="G135" s="56"/>
    </row>
    <row r="136" spans="1:7">
      <c r="A136" s="56"/>
      <c r="B136" s="56"/>
      <c r="C136" s="56"/>
      <c r="D136" s="56"/>
      <c r="E136" s="56"/>
      <c r="F136" s="56"/>
      <c r="G136" s="56"/>
    </row>
    <row r="137" spans="1:7">
      <c r="A137" s="56"/>
      <c r="B137" s="56"/>
      <c r="C137" s="56"/>
      <c r="D137" s="56"/>
      <c r="E137" s="56"/>
      <c r="F137" s="56"/>
      <c r="G137" s="56"/>
    </row>
    <row r="138" spans="1:7">
      <c r="A138" s="56"/>
      <c r="B138" s="56"/>
      <c r="C138" s="56"/>
      <c r="D138" s="56"/>
      <c r="E138" s="56"/>
      <c r="F138" s="56"/>
      <c r="G138" s="56"/>
    </row>
    <row r="139" spans="1:7">
      <c r="A139" s="56"/>
      <c r="B139" s="56"/>
      <c r="C139" s="56"/>
      <c r="D139" s="56"/>
      <c r="E139" s="56"/>
      <c r="F139" s="56"/>
      <c r="G139" s="56"/>
    </row>
    <row r="140" spans="1:7">
      <c r="A140" s="56"/>
      <c r="B140" s="56"/>
      <c r="C140" s="56"/>
      <c r="D140" s="56"/>
      <c r="E140" s="56"/>
      <c r="F140" s="56"/>
      <c r="G140" s="56"/>
    </row>
    <row r="141" spans="1:7">
      <c r="A141" s="56"/>
      <c r="B141" s="56"/>
      <c r="C141" s="56"/>
      <c r="D141" s="56"/>
      <c r="E141" s="56"/>
      <c r="F141" s="56"/>
      <c r="G141" s="56"/>
    </row>
    <row r="142" spans="1:7">
      <c r="A142" s="56"/>
      <c r="B142" s="56"/>
      <c r="C142" s="56"/>
      <c r="D142" s="56"/>
      <c r="E142" s="56"/>
      <c r="F142" s="56"/>
      <c r="G142" s="56"/>
    </row>
    <row r="143" spans="1:7">
      <c r="A143" s="56"/>
      <c r="B143" s="56"/>
      <c r="C143" s="56"/>
      <c r="D143" s="56"/>
      <c r="E143" s="56"/>
      <c r="F143" s="56"/>
      <c r="G143" s="56"/>
    </row>
    <row r="144" spans="1:7">
      <c r="A144" s="56"/>
      <c r="B144" s="56"/>
      <c r="C144" s="56"/>
      <c r="D144" s="56"/>
      <c r="E144" s="56"/>
      <c r="F144" s="56"/>
      <c r="G144" s="56"/>
    </row>
    <row r="145" spans="1:7">
      <c r="A145" s="56"/>
      <c r="B145" s="56"/>
      <c r="C145" s="56"/>
      <c r="D145" s="56"/>
      <c r="E145" s="56"/>
      <c r="F145" s="56"/>
      <c r="G145" s="56"/>
    </row>
    <row r="146" spans="1:7">
      <c r="A146" s="56"/>
      <c r="B146" s="56"/>
      <c r="C146" s="56"/>
      <c r="D146" s="56"/>
      <c r="E146" s="56"/>
      <c r="F146" s="56"/>
      <c r="G146" s="56"/>
    </row>
    <row r="147" spans="1:7">
      <c r="A147" s="56"/>
      <c r="B147" s="56"/>
      <c r="C147" s="56"/>
      <c r="D147" s="56"/>
      <c r="E147" s="56"/>
      <c r="F147" s="56"/>
      <c r="G147" s="56"/>
    </row>
    <row r="148" spans="1:7">
      <c r="A148" s="56"/>
      <c r="B148" s="56"/>
      <c r="C148" s="56"/>
      <c r="D148" s="56"/>
      <c r="E148" s="56"/>
      <c r="F148" s="56"/>
      <c r="G148" s="56"/>
    </row>
    <row r="149" spans="1:7">
      <c r="A149" s="56"/>
      <c r="B149" s="56"/>
      <c r="C149" s="56"/>
      <c r="D149" s="56"/>
      <c r="E149" s="56"/>
      <c r="F149" s="56"/>
      <c r="G149" s="56"/>
    </row>
    <row r="150" spans="1:7">
      <c r="A150" s="56"/>
      <c r="B150" s="56"/>
      <c r="C150" s="56"/>
      <c r="D150" s="56"/>
      <c r="E150" s="56"/>
      <c r="F150" s="56"/>
      <c r="G150" s="56"/>
    </row>
    <row r="151" spans="1:7">
      <c r="A151" s="56"/>
      <c r="B151" s="56"/>
      <c r="C151" s="56"/>
      <c r="D151" s="56"/>
      <c r="E151" s="56"/>
      <c r="F151" s="56"/>
      <c r="G151" s="56"/>
    </row>
    <row r="152" spans="1:7">
      <c r="A152" s="56"/>
      <c r="B152" s="56"/>
      <c r="C152" s="56"/>
      <c r="D152" s="56"/>
      <c r="E152" s="56"/>
      <c r="F152" s="56"/>
      <c r="G152" s="56"/>
    </row>
    <row r="153" spans="1:7">
      <c r="A153" s="56"/>
      <c r="B153" s="56"/>
      <c r="C153" s="56"/>
      <c r="D153" s="56"/>
      <c r="E153" s="56"/>
      <c r="F153" s="56"/>
      <c r="G153" s="56"/>
    </row>
    <row r="154" spans="1:7">
      <c r="A154" s="56"/>
      <c r="B154" s="56"/>
      <c r="C154" s="56"/>
      <c r="D154" s="56"/>
      <c r="E154" s="56"/>
      <c r="F154" s="56"/>
      <c r="G154" s="56"/>
    </row>
    <row r="155" spans="1:7">
      <c r="A155" s="56"/>
      <c r="B155" s="56"/>
      <c r="C155" s="56"/>
      <c r="D155" s="56"/>
      <c r="E155" s="56"/>
      <c r="F155" s="56"/>
      <c r="G155" s="56"/>
    </row>
    <row r="156" spans="1:7">
      <c r="A156" s="56"/>
      <c r="B156" s="56"/>
      <c r="C156" s="56"/>
      <c r="D156" s="56"/>
      <c r="E156" s="56"/>
      <c r="F156" s="56"/>
      <c r="G156" s="56"/>
    </row>
    <row r="157" spans="1:7">
      <c r="A157" s="56"/>
      <c r="B157" s="56"/>
      <c r="C157" s="56"/>
      <c r="D157" s="56"/>
      <c r="E157" s="56"/>
      <c r="F157" s="56"/>
      <c r="G157" s="56"/>
    </row>
    <row r="158" spans="1:7">
      <c r="A158" s="56"/>
      <c r="B158" s="56"/>
      <c r="C158" s="56"/>
      <c r="D158" s="56"/>
      <c r="E158" s="56"/>
      <c r="F158" s="56"/>
      <c r="G158" s="56"/>
    </row>
    <row r="159" spans="1:7">
      <c r="A159" s="56"/>
      <c r="B159" s="56"/>
      <c r="C159" s="56"/>
      <c r="D159" s="56"/>
      <c r="E159" s="56"/>
      <c r="F159" s="56"/>
      <c r="G159" s="56"/>
    </row>
    <row r="160" spans="1:7">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row r="532" spans="1:7">
      <c r="A532" s="56"/>
      <c r="B532" s="56"/>
      <c r="C532" s="56"/>
      <c r="D532" s="56"/>
      <c r="E532" s="56"/>
      <c r="F532" s="56"/>
      <c r="G532" s="56"/>
    </row>
    <row r="533" spans="1:7">
      <c r="A533" s="56"/>
      <c r="B533" s="56"/>
      <c r="C533" s="56"/>
      <c r="D533" s="56"/>
      <c r="E533" s="56"/>
      <c r="F533" s="56"/>
      <c r="G533" s="56"/>
    </row>
    <row r="534" spans="1:7">
      <c r="A534" s="56"/>
      <c r="B534" s="56"/>
      <c r="C534" s="56"/>
      <c r="D534" s="56"/>
      <c r="E534" s="56"/>
      <c r="F534" s="56"/>
      <c r="G534" s="56"/>
    </row>
    <row r="535" spans="1:7">
      <c r="A535" s="56"/>
      <c r="B535" s="56"/>
      <c r="C535" s="56"/>
      <c r="D535" s="56"/>
      <c r="E535" s="56"/>
      <c r="F535" s="56"/>
      <c r="G535" s="56"/>
    </row>
    <row r="536" spans="1:7">
      <c r="A536" s="56"/>
      <c r="B536" s="56"/>
      <c r="C536" s="56"/>
      <c r="D536" s="56"/>
      <c r="E536" s="56"/>
      <c r="F536" s="56"/>
      <c r="G536" s="56"/>
    </row>
    <row r="537" spans="1:7">
      <c r="A537" s="56"/>
      <c r="B537" s="56"/>
      <c r="C537" s="56"/>
      <c r="D537" s="56"/>
      <c r="E537" s="56"/>
      <c r="F537" s="56"/>
      <c r="G537" s="56"/>
    </row>
    <row r="538" spans="1:7">
      <c r="A538" s="56"/>
      <c r="B538" s="56"/>
      <c r="C538" s="56"/>
      <c r="D538" s="56"/>
      <c r="E538" s="56"/>
      <c r="F538" s="56"/>
      <c r="G538" s="56"/>
    </row>
    <row r="539" spans="1:7">
      <c r="A539" s="56"/>
      <c r="B539" s="56"/>
      <c r="C539" s="56"/>
      <c r="D539" s="56"/>
      <c r="E539" s="56"/>
      <c r="F539" s="56"/>
      <c r="G539" s="56"/>
    </row>
  </sheetData>
  <mergeCells count="501">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A9:A10"/>
    <mergeCell ref="B9:B10"/>
    <mergeCell ref="C9:C10"/>
    <mergeCell ref="D9:D10"/>
    <mergeCell ref="E9:E10"/>
    <mergeCell ref="A7:A8"/>
    <mergeCell ref="B7:B8"/>
    <mergeCell ref="C7:C8"/>
    <mergeCell ref="D7:D8"/>
    <mergeCell ref="E7:E8"/>
    <mergeCell ref="F9:F10"/>
    <mergeCell ref="G9:G10"/>
    <mergeCell ref="J9:J10"/>
    <mergeCell ref="K9:K10"/>
    <mergeCell ref="L9:L10"/>
    <mergeCell ref="M9:M10"/>
    <mergeCell ref="G7:G8"/>
    <mergeCell ref="J7:J8"/>
    <mergeCell ref="K7:K8"/>
    <mergeCell ref="L7:L8"/>
    <mergeCell ref="M7:M8"/>
    <mergeCell ref="F7:F8"/>
    <mergeCell ref="A13:A14"/>
    <mergeCell ref="B13:B14"/>
    <mergeCell ref="C13:C14"/>
    <mergeCell ref="D13:D14"/>
    <mergeCell ref="E13:E14"/>
    <mergeCell ref="A11:A12"/>
    <mergeCell ref="B11:B12"/>
    <mergeCell ref="C11:C12"/>
    <mergeCell ref="D11:D12"/>
    <mergeCell ref="E11:E12"/>
    <mergeCell ref="F13:F14"/>
    <mergeCell ref="G13:G14"/>
    <mergeCell ref="J13:J14"/>
    <mergeCell ref="K13:K14"/>
    <mergeCell ref="L13:L14"/>
    <mergeCell ref="M13:M14"/>
    <mergeCell ref="G11:G12"/>
    <mergeCell ref="J11:J12"/>
    <mergeCell ref="K11:K12"/>
    <mergeCell ref="L11:L12"/>
    <mergeCell ref="M11:M12"/>
    <mergeCell ref="F11:F12"/>
    <mergeCell ref="A17:A18"/>
    <mergeCell ref="B17:B18"/>
    <mergeCell ref="C17:C18"/>
    <mergeCell ref="D17:D18"/>
    <mergeCell ref="E17:E18"/>
    <mergeCell ref="A15:A16"/>
    <mergeCell ref="B15:B16"/>
    <mergeCell ref="C15:C16"/>
    <mergeCell ref="D15:D16"/>
    <mergeCell ref="E15:E16"/>
    <mergeCell ref="F17:F18"/>
    <mergeCell ref="G17:G18"/>
    <mergeCell ref="J17:J18"/>
    <mergeCell ref="K17:K18"/>
    <mergeCell ref="L17:L18"/>
    <mergeCell ref="M17:M18"/>
    <mergeCell ref="G15:G16"/>
    <mergeCell ref="J15:J16"/>
    <mergeCell ref="K15:K16"/>
    <mergeCell ref="L15:L16"/>
    <mergeCell ref="M15:M16"/>
    <mergeCell ref="F15:F16"/>
    <mergeCell ref="A21:A22"/>
    <mergeCell ref="B21:B22"/>
    <mergeCell ref="C21:C22"/>
    <mergeCell ref="D21:D22"/>
    <mergeCell ref="E21:E22"/>
    <mergeCell ref="A19:A20"/>
    <mergeCell ref="B19:B20"/>
    <mergeCell ref="C19:C20"/>
    <mergeCell ref="D19:D20"/>
    <mergeCell ref="E19:E20"/>
    <mergeCell ref="F21:F22"/>
    <mergeCell ref="G21:G22"/>
    <mergeCell ref="J21:J22"/>
    <mergeCell ref="K21:K22"/>
    <mergeCell ref="L21:L22"/>
    <mergeCell ref="M21:M22"/>
    <mergeCell ref="G19:G20"/>
    <mergeCell ref="J19:J20"/>
    <mergeCell ref="K19:K20"/>
    <mergeCell ref="L19:L20"/>
    <mergeCell ref="M19:M20"/>
    <mergeCell ref="F19:F20"/>
    <mergeCell ref="G25:G26"/>
    <mergeCell ref="G23:G24"/>
    <mergeCell ref="F23:F24"/>
    <mergeCell ref="A23:A24"/>
    <mergeCell ref="B23:B24"/>
    <mergeCell ref="J25:J26"/>
    <mergeCell ref="K25:K26"/>
    <mergeCell ref="L25:L26"/>
    <mergeCell ref="M25:M26"/>
    <mergeCell ref="J23:J24"/>
    <mergeCell ref="K23:K24"/>
    <mergeCell ref="L23:L24"/>
    <mergeCell ref="M23:M24"/>
    <mergeCell ref="A25:A26"/>
    <mergeCell ref="B25:B26"/>
    <mergeCell ref="C25:C26"/>
    <mergeCell ref="D25:D26"/>
    <mergeCell ref="E25:E26"/>
    <mergeCell ref="C23:C24"/>
    <mergeCell ref="D23:D24"/>
    <mergeCell ref="E23:E24"/>
    <mergeCell ref="F25:F26"/>
    <mergeCell ref="A29:A30"/>
    <mergeCell ref="B29:B30"/>
    <mergeCell ref="C29:C30"/>
    <mergeCell ref="D29:D30"/>
    <mergeCell ref="E29:E30"/>
    <mergeCell ref="A27:A28"/>
    <mergeCell ref="B27:B28"/>
    <mergeCell ref="C27:C28"/>
    <mergeCell ref="D27:D28"/>
    <mergeCell ref="E27:E28"/>
    <mergeCell ref="F29:F30"/>
    <mergeCell ref="G29:G30"/>
    <mergeCell ref="J29:J30"/>
    <mergeCell ref="K29:K30"/>
    <mergeCell ref="L29:L30"/>
    <mergeCell ref="M29:M30"/>
    <mergeCell ref="G27:G28"/>
    <mergeCell ref="J27:J28"/>
    <mergeCell ref="K27:K28"/>
    <mergeCell ref="L27:L28"/>
    <mergeCell ref="M27:M28"/>
    <mergeCell ref="F27:F28"/>
    <mergeCell ref="A33:A34"/>
    <mergeCell ref="B33:B34"/>
    <mergeCell ref="C33:C34"/>
    <mergeCell ref="D33:D34"/>
    <mergeCell ref="E33:E34"/>
    <mergeCell ref="A31:A32"/>
    <mergeCell ref="B31:B32"/>
    <mergeCell ref="C31:C32"/>
    <mergeCell ref="D31:D32"/>
    <mergeCell ref="E31:E32"/>
    <mergeCell ref="F33:F34"/>
    <mergeCell ref="G33:G34"/>
    <mergeCell ref="J33:J34"/>
    <mergeCell ref="K33:K34"/>
    <mergeCell ref="L33:L34"/>
    <mergeCell ref="M33:M34"/>
    <mergeCell ref="G31:G32"/>
    <mergeCell ref="J31:J32"/>
    <mergeCell ref="K31:K32"/>
    <mergeCell ref="L31:L32"/>
    <mergeCell ref="M31:M32"/>
    <mergeCell ref="F31:F32"/>
    <mergeCell ref="A37:A38"/>
    <mergeCell ref="B37:B38"/>
    <mergeCell ref="C37:C38"/>
    <mergeCell ref="D37:D38"/>
    <mergeCell ref="E37:E38"/>
    <mergeCell ref="A35:A36"/>
    <mergeCell ref="B35:B36"/>
    <mergeCell ref="C35:C36"/>
    <mergeCell ref="D35:D36"/>
    <mergeCell ref="E35:E36"/>
    <mergeCell ref="F37:F38"/>
    <mergeCell ref="G37:G38"/>
    <mergeCell ref="J37:J38"/>
    <mergeCell ref="K37:K38"/>
    <mergeCell ref="L37:L38"/>
    <mergeCell ref="M37:M38"/>
    <mergeCell ref="G35:G36"/>
    <mergeCell ref="J35:J36"/>
    <mergeCell ref="K35:K36"/>
    <mergeCell ref="L35:L36"/>
    <mergeCell ref="M35:M36"/>
    <mergeCell ref="F35:F36"/>
    <mergeCell ref="A41:A42"/>
    <mergeCell ref="B41:B42"/>
    <mergeCell ref="C41:C42"/>
    <mergeCell ref="D41:D42"/>
    <mergeCell ref="E41:E42"/>
    <mergeCell ref="A39:A40"/>
    <mergeCell ref="B39:B40"/>
    <mergeCell ref="C39:C40"/>
    <mergeCell ref="D39:D40"/>
    <mergeCell ref="E39:E40"/>
    <mergeCell ref="F41:F42"/>
    <mergeCell ref="G41:G42"/>
    <mergeCell ref="J41:J42"/>
    <mergeCell ref="K41:K42"/>
    <mergeCell ref="L41:L42"/>
    <mergeCell ref="M41:M42"/>
    <mergeCell ref="G39:G40"/>
    <mergeCell ref="J39:J40"/>
    <mergeCell ref="K39:K40"/>
    <mergeCell ref="L39:L40"/>
    <mergeCell ref="M39:M40"/>
    <mergeCell ref="F39:F40"/>
    <mergeCell ref="A45:A46"/>
    <mergeCell ref="B45:B46"/>
    <mergeCell ref="C45:C46"/>
    <mergeCell ref="D45:D46"/>
    <mergeCell ref="E45:E46"/>
    <mergeCell ref="A43:A44"/>
    <mergeCell ref="B43:B44"/>
    <mergeCell ref="C43:C44"/>
    <mergeCell ref="D43:D44"/>
    <mergeCell ref="E43:E44"/>
    <mergeCell ref="F45:F46"/>
    <mergeCell ref="G45:G46"/>
    <mergeCell ref="J45:J46"/>
    <mergeCell ref="K45:K46"/>
    <mergeCell ref="L45:L46"/>
    <mergeCell ref="M45:M46"/>
    <mergeCell ref="G43:G44"/>
    <mergeCell ref="J43:J44"/>
    <mergeCell ref="K43:K44"/>
    <mergeCell ref="L43:L44"/>
    <mergeCell ref="M43:M44"/>
    <mergeCell ref="F43:F44"/>
    <mergeCell ref="A49:A50"/>
    <mergeCell ref="B49:B50"/>
    <mergeCell ref="C49:C50"/>
    <mergeCell ref="D49:D50"/>
    <mergeCell ref="E49:E50"/>
    <mergeCell ref="A47:A48"/>
    <mergeCell ref="B47:B48"/>
    <mergeCell ref="C47:C48"/>
    <mergeCell ref="D47:D48"/>
    <mergeCell ref="E47:E48"/>
    <mergeCell ref="F49:F50"/>
    <mergeCell ref="G49:G50"/>
    <mergeCell ref="J49:J50"/>
    <mergeCell ref="K49:K50"/>
    <mergeCell ref="L49:L50"/>
    <mergeCell ref="M49:M50"/>
    <mergeCell ref="G47:G48"/>
    <mergeCell ref="J47:J48"/>
    <mergeCell ref="K47:K48"/>
    <mergeCell ref="L47:L48"/>
    <mergeCell ref="M47:M48"/>
    <mergeCell ref="F47:F48"/>
    <mergeCell ref="A53:A54"/>
    <mergeCell ref="B53:B54"/>
    <mergeCell ref="C53:C54"/>
    <mergeCell ref="D53:D54"/>
    <mergeCell ref="E53:E54"/>
    <mergeCell ref="A51:A52"/>
    <mergeCell ref="B51:B52"/>
    <mergeCell ref="C51:C52"/>
    <mergeCell ref="D51:D52"/>
    <mergeCell ref="E51:E52"/>
    <mergeCell ref="F53:F54"/>
    <mergeCell ref="G53:G54"/>
    <mergeCell ref="J53:J54"/>
    <mergeCell ref="K53:K54"/>
    <mergeCell ref="L53:L54"/>
    <mergeCell ref="M53:M54"/>
    <mergeCell ref="G51:G52"/>
    <mergeCell ref="J51:J52"/>
    <mergeCell ref="K51:K52"/>
    <mergeCell ref="L51:L52"/>
    <mergeCell ref="M51:M52"/>
    <mergeCell ref="F51:F52"/>
    <mergeCell ref="A57:A58"/>
    <mergeCell ref="B57:B58"/>
    <mergeCell ref="C57:C58"/>
    <mergeCell ref="D57:D58"/>
    <mergeCell ref="E57:E58"/>
    <mergeCell ref="A55:A56"/>
    <mergeCell ref="B55:B56"/>
    <mergeCell ref="C55:C56"/>
    <mergeCell ref="D55:D56"/>
    <mergeCell ref="E55:E56"/>
    <mergeCell ref="F57:F58"/>
    <mergeCell ref="G57:G58"/>
    <mergeCell ref="J57:J58"/>
    <mergeCell ref="K57:K58"/>
    <mergeCell ref="L57:L58"/>
    <mergeCell ref="M57:M58"/>
    <mergeCell ref="G55:G56"/>
    <mergeCell ref="J55:J56"/>
    <mergeCell ref="K55:K56"/>
    <mergeCell ref="L55:L56"/>
    <mergeCell ref="M55:M56"/>
    <mergeCell ref="F55:F56"/>
    <mergeCell ref="A61:A62"/>
    <mergeCell ref="B61:B62"/>
    <mergeCell ref="C61:C62"/>
    <mergeCell ref="D61:D62"/>
    <mergeCell ref="E61:E62"/>
    <mergeCell ref="A59:A60"/>
    <mergeCell ref="B59:B60"/>
    <mergeCell ref="C59:C60"/>
    <mergeCell ref="D59:D60"/>
    <mergeCell ref="E59:E60"/>
    <mergeCell ref="F61:F62"/>
    <mergeCell ref="G61:G62"/>
    <mergeCell ref="J61:J62"/>
    <mergeCell ref="K61:K62"/>
    <mergeCell ref="L61:L62"/>
    <mergeCell ref="M61:M62"/>
    <mergeCell ref="G59:G60"/>
    <mergeCell ref="J59:J60"/>
    <mergeCell ref="K59:K60"/>
    <mergeCell ref="L59:L60"/>
    <mergeCell ref="M59:M60"/>
    <mergeCell ref="F59:F60"/>
    <mergeCell ref="A65:A66"/>
    <mergeCell ref="B65:B66"/>
    <mergeCell ref="C65:C66"/>
    <mergeCell ref="D65:D66"/>
    <mergeCell ref="E65:E66"/>
    <mergeCell ref="A63:A64"/>
    <mergeCell ref="B63:B64"/>
    <mergeCell ref="C63:C64"/>
    <mergeCell ref="D63:D64"/>
    <mergeCell ref="E63:E64"/>
    <mergeCell ref="F65:F66"/>
    <mergeCell ref="G65:G66"/>
    <mergeCell ref="J65:J66"/>
    <mergeCell ref="K65:K66"/>
    <mergeCell ref="L65:L66"/>
    <mergeCell ref="M65:M66"/>
    <mergeCell ref="G63:G64"/>
    <mergeCell ref="J63:J64"/>
    <mergeCell ref="K63:K64"/>
    <mergeCell ref="L63:L64"/>
    <mergeCell ref="M63:M64"/>
    <mergeCell ref="F63:F64"/>
    <mergeCell ref="A69:A70"/>
    <mergeCell ref="B69:B70"/>
    <mergeCell ref="C69:C70"/>
    <mergeCell ref="D69:D70"/>
    <mergeCell ref="E69:E70"/>
    <mergeCell ref="A67:A68"/>
    <mergeCell ref="B67:B68"/>
    <mergeCell ref="C67:C68"/>
    <mergeCell ref="D67:D68"/>
    <mergeCell ref="E67:E68"/>
    <mergeCell ref="F69:F70"/>
    <mergeCell ref="G69:G70"/>
    <mergeCell ref="J69:J70"/>
    <mergeCell ref="K69:K70"/>
    <mergeCell ref="L69:L70"/>
    <mergeCell ref="M69:M70"/>
    <mergeCell ref="G67:G68"/>
    <mergeCell ref="J67:J68"/>
    <mergeCell ref="K67:K68"/>
    <mergeCell ref="L67:L68"/>
    <mergeCell ref="M67:M68"/>
    <mergeCell ref="F67:F68"/>
    <mergeCell ref="A73:A74"/>
    <mergeCell ref="B73:B74"/>
    <mergeCell ref="C73:C74"/>
    <mergeCell ref="D73:D74"/>
    <mergeCell ref="E73:E74"/>
    <mergeCell ref="A71:A72"/>
    <mergeCell ref="B71:B72"/>
    <mergeCell ref="C71:C72"/>
    <mergeCell ref="D71:D72"/>
    <mergeCell ref="E71:E72"/>
    <mergeCell ref="F73:F74"/>
    <mergeCell ref="G73:G74"/>
    <mergeCell ref="J73:J74"/>
    <mergeCell ref="K73:K74"/>
    <mergeCell ref="L73:L74"/>
    <mergeCell ref="M73:M74"/>
    <mergeCell ref="G71:G72"/>
    <mergeCell ref="J71:J72"/>
    <mergeCell ref="K71:K72"/>
    <mergeCell ref="L71:L72"/>
    <mergeCell ref="M71:M72"/>
    <mergeCell ref="F71:F72"/>
    <mergeCell ref="A77:A78"/>
    <mergeCell ref="B77:B78"/>
    <mergeCell ref="C77:C78"/>
    <mergeCell ref="D77:D78"/>
    <mergeCell ref="E77:E78"/>
    <mergeCell ref="A75:A76"/>
    <mergeCell ref="B75:B76"/>
    <mergeCell ref="C75:C76"/>
    <mergeCell ref="D75:D76"/>
    <mergeCell ref="E75:E76"/>
    <mergeCell ref="F77:F78"/>
    <mergeCell ref="G77:G78"/>
    <mergeCell ref="J77:J78"/>
    <mergeCell ref="K77:K78"/>
    <mergeCell ref="L77:L78"/>
    <mergeCell ref="M77:M78"/>
    <mergeCell ref="G75:G76"/>
    <mergeCell ref="J75:J76"/>
    <mergeCell ref="K75:K76"/>
    <mergeCell ref="L75:L76"/>
    <mergeCell ref="M75:M76"/>
    <mergeCell ref="F75:F76"/>
    <mergeCell ref="A81:A82"/>
    <mergeCell ref="B81:B82"/>
    <mergeCell ref="C81:C82"/>
    <mergeCell ref="D81:D82"/>
    <mergeCell ref="E81:E82"/>
    <mergeCell ref="A79:A80"/>
    <mergeCell ref="B79:B80"/>
    <mergeCell ref="C79:C80"/>
    <mergeCell ref="D79:D80"/>
    <mergeCell ref="E79:E80"/>
    <mergeCell ref="F81:F82"/>
    <mergeCell ref="G81:G82"/>
    <mergeCell ref="J81:J82"/>
    <mergeCell ref="K81:K82"/>
    <mergeCell ref="L81:L82"/>
    <mergeCell ref="M81:M82"/>
    <mergeCell ref="G79:G80"/>
    <mergeCell ref="J79:J80"/>
    <mergeCell ref="K79:K80"/>
    <mergeCell ref="L79:L80"/>
    <mergeCell ref="M79:M80"/>
    <mergeCell ref="F79:F80"/>
    <mergeCell ref="A85:A86"/>
    <mergeCell ref="B85:B86"/>
    <mergeCell ref="C85:C86"/>
    <mergeCell ref="D85:D86"/>
    <mergeCell ref="E85:E86"/>
    <mergeCell ref="A83:A84"/>
    <mergeCell ref="B83:B84"/>
    <mergeCell ref="C83:C84"/>
    <mergeCell ref="D83:D84"/>
    <mergeCell ref="E83:E84"/>
    <mergeCell ref="F85:F86"/>
    <mergeCell ref="G85:G86"/>
    <mergeCell ref="J85:J86"/>
    <mergeCell ref="K85:K86"/>
    <mergeCell ref="L85:L86"/>
    <mergeCell ref="M85:M86"/>
    <mergeCell ref="G83:G84"/>
    <mergeCell ref="J83:J84"/>
    <mergeCell ref="K83:K84"/>
    <mergeCell ref="L83:L84"/>
    <mergeCell ref="M83:M84"/>
    <mergeCell ref="F83:F84"/>
    <mergeCell ref="A89:A90"/>
    <mergeCell ref="B89:B90"/>
    <mergeCell ref="C89:C90"/>
    <mergeCell ref="D89:D90"/>
    <mergeCell ref="E89:E90"/>
    <mergeCell ref="A87:A88"/>
    <mergeCell ref="B87:B88"/>
    <mergeCell ref="C87:C88"/>
    <mergeCell ref="D87:D88"/>
    <mergeCell ref="E87:E88"/>
    <mergeCell ref="F89:F90"/>
    <mergeCell ref="G89:G90"/>
    <mergeCell ref="J89:J90"/>
    <mergeCell ref="K89:K90"/>
    <mergeCell ref="L89:L90"/>
    <mergeCell ref="M89:M90"/>
    <mergeCell ref="G87:G88"/>
    <mergeCell ref="J87:J88"/>
    <mergeCell ref="K87:K88"/>
    <mergeCell ref="L87:L88"/>
    <mergeCell ref="M87:M88"/>
    <mergeCell ref="F87:F88"/>
    <mergeCell ref="A93:A94"/>
    <mergeCell ref="B93:B94"/>
    <mergeCell ref="C93:C94"/>
    <mergeCell ref="D93:D94"/>
    <mergeCell ref="E93:E94"/>
    <mergeCell ref="A91:A92"/>
    <mergeCell ref="B91:B92"/>
    <mergeCell ref="C91:C92"/>
    <mergeCell ref="D91:D92"/>
    <mergeCell ref="E91:E92"/>
    <mergeCell ref="F93:F94"/>
    <mergeCell ref="G93:G94"/>
    <mergeCell ref="J93:J94"/>
    <mergeCell ref="K93:K94"/>
    <mergeCell ref="L93:L94"/>
    <mergeCell ref="M93:M94"/>
    <mergeCell ref="G91:G92"/>
    <mergeCell ref="J91:J92"/>
    <mergeCell ref="K91:K92"/>
    <mergeCell ref="L91:L92"/>
    <mergeCell ref="M91:M92"/>
    <mergeCell ref="F91:F92"/>
  </mergeCells>
  <dataValidations disablePrompts="1" count="1">
    <dataValidation type="list" allowBlank="1" showInputMessage="1" showErrorMessage="1" sqref="L7:L92" xr:uid="{00000000-0002-0000-0700-000000000000}">
      <formula1>$L$96:$L$101</formula1>
    </dataValidation>
  </dataValidations>
  <printOptions horizontalCentered="1" verticalCentered="1"/>
  <pageMargins left="0.5" right="0.5" top="0.5" bottom="0.5" header="0.35" footer="0.35"/>
  <pageSetup scale="81" fitToHeight="4"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5/3/2016&amp;C&amp;8Table 2-A:  Page &amp;P&amp;R&amp;8Printed &amp;D &amp;T</oddFooter>
  </headerFooter>
  <rowBreaks count="3" manualBreakCount="3">
    <brk id="26" max="12" man="1"/>
    <brk id="50" max="12" man="1"/>
    <brk id="74"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4">
    <tabColor theme="3" tint="-0.249977111117893"/>
  </sheetPr>
  <dimension ref="A1:M103"/>
  <sheetViews>
    <sheetView view="pageBreakPreview" zoomScale="85" zoomScaleNormal="115" zoomScaleSheetLayoutView="85" workbookViewId="0">
      <selection activeCell="E19" sqref="E19:R19"/>
    </sheetView>
  </sheetViews>
  <sheetFormatPr defaultColWidth="9.36328125" defaultRowHeight="12.5"/>
  <cols>
    <col min="1" max="1" width="3.54296875" style="48" customWidth="1"/>
    <col min="2" max="2" width="26.36328125" style="48" customWidth="1"/>
    <col min="3" max="3" width="14.6328125" style="48" customWidth="1"/>
    <col min="4" max="4" width="12.54296875" style="48" customWidth="1"/>
    <col min="5" max="5" width="17.36328125" style="48" customWidth="1"/>
    <col min="6" max="7" width="12.54296875" style="48" customWidth="1"/>
    <col min="8" max="8" width="3.36328125" style="48" customWidth="1"/>
    <col min="9" max="16384" width="9.36328125" style="48"/>
  </cols>
  <sheetData>
    <row r="1" spans="1:8" ht="13" thickBot="1">
      <c r="A1" s="584"/>
      <c r="B1" s="585"/>
      <c r="C1" s="585"/>
      <c r="D1" s="585"/>
      <c r="E1" s="585"/>
      <c r="F1" s="585"/>
      <c r="G1" s="585"/>
      <c r="H1" s="586"/>
    </row>
    <row r="2" spans="1:8" ht="23.25" customHeight="1">
      <c r="A2" s="587"/>
      <c r="B2" s="4653" t="str">
        <f>'Summary-Co'!B3</f>
        <v>XTO ENERGY INC.</v>
      </c>
      <c r="C2" s="4671"/>
      <c r="D2" s="4671"/>
      <c r="E2" s="4671"/>
      <c r="F2" s="4671"/>
      <c r="G2" s="4654"/>
      <c r="H2" s="588"/>
    </row>
    <row r="3" spans="1:8" ht="23.25" customHeight="1">
      <c r="A3" s="587"/>
      <c r="B3" s="4766" t="str">
        <f>'Summary-Co'!B4</f>
        <v>HUSKY CDP</v>
      </c>
      <c r="C3" s="4767"/>
      <c r="D3" s="4767"/>
      <c r="E3" s="4767"/>
      <c r="F3" s="4767"/>
      <c r="G3" s="4980"/>
      <c r="H3" s="588"/>
    </row>
    <row r="4" spans="1:8" ht="23.25" customHeight="1" thickBot="1">
      <c r="A4" s="587"/>
      <c r="B4" s="4981" t="s">
        <v>904</v>
      </c>
      <c r="C4" s="4982"/>
      <c r="D4" s="4982"/>
      <c r="E4" s="4982"/>
      <c r="F4" s="4982"/>
      <c r="G4" s="4983"/>
      <c r="H4" s="588"/>
    </row>
    <row r="5" spans="1:8" ht="13.5" thickBot="1">
      <c r="A5" s="1575"/>
      <c r="B5" s="1411"/>
      <c r="C5" s="1411"/>
      <c r="D5" s="1411"/>
      <c r="E5" s="1411"/>
      <c r="F5" s="1411"/>
      <c r="G5" s="1411"/>
      <c r="H5" s="2051"/>
    </row>
    <row r="6" spans="1:8">
      <c r="A6" s="2056"/>
      <c r="B6" s="2056"/>
      <c r="C6" s="2056"/>
      <c r="D6" s="2056"/>
      <c r="E6" s="2056"/>
      <c r="F6" s="2056"/>
      <c r="G6" s="2056"/>
      <c r="H6" s="2056"/>
    </row>
    <row r="7" spans="1:8">
      <c r="A7" s="2056"/>
      <c r="B7" s="2056"/>
      <c r="C7" s="2056"/>
      <c r="D7" s="2056"/>
      <c r="E7" s="2056"/>
      <c r="F7" s="2056"/>
      <c r="G7" s="2056"/>
      <c r="H7" s="2056"/>
    </row>
    <row r="8" spans="1:8" ht="13.5" thickBot="1">
      <c r="A8" s="2056"/>
      <c r="B8" s="590"/>
      <c r="C8" s="590"/>
      <c r="D8" s="590"/>
      <c r="E8" s="590"/>
      <c r="F8" s="590"/>
      <c r="G8" s="590"/>
      <c r="H8" s="2056"/>
    </row>
    <row r="9" spans="1:8" ht="16" thickBot="1">
      <c r="A9" s="4682" t="s">
        <v>636</v>
      </c>
      <c r="B9" s="4683"/>
      <c r="C9" s="4683"/>
      <c r="D9" s="4683"/>
      <c r="E9" s="4683"/>
      <c r="F9" s="4683"/>
      <c r="G9" s="4683"/>
      <c r="H9" s="4684"/>
    </row>
    <row r="10" spans="1:8" ht="21" thickBot="1">
      <c r="A10" s="2052"/>
      <c r="B10" s="2053"/>
      <c r="C10" s="2053"/>
      <c r="D10" s="2053"/>
      <c r="E10" s="2053"/>
      <c r="F10" s="2053"/>
      <c r="G10" s="2053"/>
      <c r="H10" s="588"/>
    </row>
    <row r="11" spans="1:8" ht="24" customHeight="1">
      <c r="A11" s="587"/>
      <c r="B11" s="657"/>
      <c r="C11" s="4984" t="s">
        <v>637</v>
      </c>
      <c r="D11" s="4985"/>
      <c r="E11" s="4986">
        <v>210</v>
      </c>
      <c r="F11" s="4987"/>
      <c r="G11" s="1980"/>
      <c r="H11" s="588"/>
    </row>
    <row r="12" spans="1:8" ht="24" customHeight="1" thickBot="1">
      <c r="A12" s="587"/>
      <c r="B12" s="657"/>
      <c r="C12" s="4687" t="s">
        <v>638</v>
      </c>
      <c r="D12" s="4688"/>
      <c r="E12" s="4988">
        <f>E11*365</f>
        <v>76650</v>
      </c>
      <c r="F12" s="4989"/>
      <c r="G12" s="1980"/>
      <c r="H12" s="588"/>
    </row>
    <row r="13" spans="1:8" ht="13.5" thickBot="1">
      <c r="A13" s="587"/>
      <c r="B13" s="657"/>
      <c r="C13" s="657"/>
      <c r="D13" s="657"/>
      <c r="E13" s="657"/>
      <c r="F13" s="657"/>
      <c r="G13" s="657"/>
      <c r="H13" s="588"/>
    </row>
    <row r="14" spans="1:8">
      <c r="A14" s="587"/>
      <c r="B14" s="4696" t="s">
        <v>301</v>
      </c>
      <c r="C14" s="4931"/>
      <c r="D14" s="4931"/>
      <c r="E14" s="4931"/>
      <c r="F14" s="4931"/>
      <c r="G14" s="4697"/>
      <c r="H14" s="588"/>
    </row>
    <row r="15" spans="1:8">
      <c r="A15" s="587"/>
      <c r="B15" s="4685"/>
      <c r="C15" s="4932"/>
      <c r="D15" s="4932"/>
      <c r="E15" s="4932"/>
      <c r="F15" s="4932"/>
      <c r="G15" s="4686"/>
      <c r="H15" s="588"/>
    </row>
    <row r="16" spans="1:8" ht="20.25" customHeight="1">
      <c r="A16" s="587"/>
      <c r="B16" s="4951" t="s">
        <v>302</v>
      </c>
      <c r="C16" s="4952"/>
      <c r="D16" s="4952"/>
      <c r="E16" s="4952"/>
      <c r="F16" s="4990">
        <v>0.6</v>
      </c>
      <c r="G16" s="4973"/>
      <c r="H16" s="588"/>
    </row>
    <row r="17" spans="1:13" ht="20.25" customHeight="1">
      <c r="A17" s="587"/>
      <c r="B17" s="4951" t="s">
        <v>1400</v>
      </c>
      <c r="C17" s="4952"/>
      <c r="D17" s="4952"/>
      <c r="E17" s="4952"/>
      <c r="F17" s="4976">
        <f>' UserValueSets Report'!C695</f>
        <v>10.1954572839268</v>
      </c>
      <c r="G17" s="4973"/>
      <c r="H17" s="588"/>
    </row>
    <row r="18" spans="1:13" ht="20.25" customHeight="1">
      <c r="A18" s="587"/>
      <c r="B18" s="4951" t="s">
        <v>1399</v>
      </c>
      <c r="C18" s="4952"/>
      <c r="D18" s="4952"/>
      <c r="E18" s="4952"/>
      <c r="F18" s="4976">
        <v>10.19</v>
      </c>
      <c r="G18" s="4977"/>
      <c r="H18" s="588"/>
      <c r="J18" s="581"/>
    </row>
    <row r="19" spans="1:13" ht="20.25" customHeight="1">
      <c r="A19" s="587"/>
      <c r="B19" s="4951" t="s">
        <v>641</v>
      </c>
      <c r="C19" s="4952"/>
      <c r="D19" s="4952"/>
      <c r="E19" s="4952"/>
      <c r="F19" s="4978">
        <f>70+460</f>
        <v>530</v>
      </c>
      <c r="G19" s="4979"/>
      <c r="H19" s="2054"/>
      <c r="J19" s="581"/>
    </row>
    <row r="20" spans="1:13" ht="20.25" customHeight="1">
      <c r="A20" s="587"/>
      <c r="B20" s="4951" t="s">
        <v>642</v>
      </c>
      <c r="C20" s="4952"/>
      <c r="D20" s="4952"/>
      <c r="E20" s="4952"/>
      <c r="F20" s="4978">
        <f>90+460</f>
        <v>550</v>
      </c>
      <c r="G20" s="4979"/>
      <c r="H20" s="2054"/>
      <c r="I20" s="48">
        <f>SUM('CDP + Flare PStreams'!AE42:AE63)</f>
        <v>88.724332489999995</v>
      </c>
      <c r="J20" s="48" t="s">
        <v>1</v>
      </c>
    </row>
    <row r="21" spans="1:13" ht="20.25" customHeight="1">
      <c r="A21" s="587"/>
      <c r="B21" s="4951" t="s">
        <v>1398</v>
      </c>
      <c r="C21" s="4952"/>
      <c r="D21" s="4952"/>
      <c r="E21" s="4952"/>
      <c r="F21" s="4972">
        <f>'Hrly (ECD1)'!D44</f>
        <v>50.253999895459501</v>
      </c>
      <c r="G21" s="4973"/>
      <c r="H21" s="588"/>
      <c r="I21" s="48">
        <f>'CDP + Flare PStreams'!AE49+'CDP + Flare PStreams'!AE51+'CDP + Flare PStreams'!AE57+'CDP + Flare PStreams'!AE59+'CDP + Flare PStreams'!AE60</f>
        <v>2.7097776689505317</v>
      </c>
      <c r="J21" s="48" t="s">
        <v>1529</v>
      </c>
      <c r="M21" s="582"/>
    </row>
    <row r="22" spans="1:13" ht="20.25" customHeight="1">
      <c r="A22" s="587"/>
      <c r="B22" s="4951" t="s">
        <v>644</v>
      </c>
      <c r="C22" s="4952"/>
      <c r="D22" s="4952"/>
      <c r="E22" s="4952"/>
      <c r="F22" s="4974">
        <v>0</v>
      </c>
      <c r="G22" s="4975"/>
      <c r="H22" s="588"/>
    </row>
    <row r="23" spans="1:13" ht="20.25" customHeight="1">
      <c r="A23" s="587"/>
      <c r="B23" s="4951" t="s">
        <v>645</v>
      </c>
      <c r="C23" s="4952"/>
      <c r="D23" s="4952"/>
      <c r="E23" s="4952"/>
      <c r="F23" s="4966">
        <f>((12.46*F16*F17*F21/F19)*(1-F22/100))/(1000/42)</f>
        <v>0.30354288493215126</v>
      </c>
      <c r="G23" s="4967"/>
      <c r="H23" s="588"/>
      <c r="I23" s="583"/>
    </row>
    <row r="24" spans="1:13" ht="20.25" customHeight="1">
      <c r="A24" s="587"/>
      <c r="B24" s="4951" t="s">
        <v>646</v>
      </c>
      <c r="C24" s="4952"/>
      <c r="D24" s="4952"/>
      <c r="E24" s="4952"/>
      <c r="F24" s="4966">
        <f>((12.46*F16*F18*F21/F20)*(1-F22/100))/(1000/42)</f>
        <v>0.29234839381715355</v>
      </c>
      <c r="G24" s="4967"/>
      <c r="H24" s="2055"/>
      <c r="I24" s="52"/>
    </row>
    <row r="25" spans="1:13" ht="20.25" customHeight="1">
      <c r="A25" s="587"/>
      <c r="B25" s="4968" t="s">
        <v>647</v>
      </c>
      <c r="C25" s="4969"/>
      <c r="D25" s="4969"/>
      <c r="E25" s="4969"/>
      <c r="F25" s="4970">
        <f>F23*I20/100</f>
        <v>0.26931639847694</v>
      </c>
      <c r="G25" s="4971"/>
      <c r="H25" s="2055"/>
      <c r="I25" s="52"/>
    </row>
    <row r="26" spans="1:13" ht="20.25" customHeight="1">
      <c r="A26" s="587"/>
      <c r="B26" s="4968" t="s">
        <v>648</v>
      </c>
      <c r="C26" s="4969"/>
      <c r="D26" s="4969"/>
      <c r="E26" s="4969"/>
      <c r="F26" s="4970">
        <f>F24*I20/100</f>
        <v>0.25938416095950589</v>
      </c>
      <c r="G26" s="4971"/>
      <c r="H26" s="588"/>
      <c r="I26" s="52"/>
    </row>
    <row r="27" spans="1:13" ht="20.25" customHeight="1">
      <c r="A27" s="587"/>
      <c r="B27" s="4951" t="s">
        <v>303</v>
      </c>
      <c r="C27" s="4952"/>
      <c r="D27" s="4952"/>
      <c r="E27" s="4952"/>
      <c r="F27" s="4953">
        <f>E12</f>
        <v>76650</v>
      </c>
      <c r="G27" s="4954"/>
      <c r="H27" s="588"/>
    </row>
    <row r="28" spans="1:13" ht="20.25" customHeight="1">
      <c r="A28" s="587"/>
      <c r="B28" s="4951" t="s">
        <v>304</v>
      </c>
      <c r="C28" s="4952"/>
      <c r="D28" s="4952"/>
      <c r="E28" s="4952"/>
      <c r="F28" s="4953">
        <v>210</v>
      </c>
      <c r="G28" s="4954"/>
      <c r="H28" s="588"/>
      <c r="I28" s="49"/>
    </row>
    <row r="29" spans="1:13" ht="20.25" customHeight="1" thickBot="1">
      <c r="A29" s="587"/>
      <c r="B29" s="4955" t="s">
        <v>649</v>
      </c>
      <c r="C29" s="4956"/>
      <c r="D29" s="4956"/>
      <c r="E29" s="4956"/>
      <c r="F29" s="4957">
        <f>F27/F28</f>
        <v>365</v>
      </c>
      <c r="G29" s="4958"/>
      <c r="H29" s="588"/>
    </row>
    <row r="30" spans="1:13" ht="13.5" thickBot="1">
      <c r="A30" s="587"/>
      <c r="B30" s="4963"/>
      <c r="C30" s="4963"/>
      <c r="D30" s="4963"/>
      <c r="E30" s="4963"/>
      <c r="F30" s="4963"/>
      <c r="G30" s="4963"/>
      <c r="H30" s="588"/>
    </row>
    <row r="31" spans="1:13" ht="19" thickBot="1">
      <c r="A31" s="587"/>
      <c r="B31" s="4964" t="s">
        <v>1405</v>
      </c>
      <c r="C31" s="4950"/>
      <c r="D31" s="4950"/>
      <c r="E31" s="4950"/>
      <c r="F31" s="4950"/>
      <c r="G31" s="4965"/>
      <c r="H31" s="588"/>
      <c r="J31" s="48" t="s">
        <v>1842</v>
      </c>
    </row>
    <row r="32" spans="1:13">
      <c r="A32" s="587"/>
      <c r="B32" s="4696" t="s">
        <v>1397</v>
      </c>
      <c r="C32" s="4931"/>
      <c r="D32" s="4931"/>
      <c r="E32" s="4931"/>
      <c r="F32" s="4934" t="s">
        <v>22</v>
      </c>
      <c r="G32" s="4936" t="s">
        <v>37</v>
      </c>
      <c r="H32" s="588"/>
      <c r="J32" s="48">
        <f>((F23*F27*(1-0.987))/2000)</f>
        <v>0.1512326538453212</v>
      </c>
    </row>
    <row r="33" spans="1:8">
      <c r="A33" s="587"/>
      <c r="B33" s="4685"/>
      <c r="C33" s="4932"/>
      <c r="D33" s="4932"/>
      <c r="E33" s="4932"/>
      <c r="F33" s="4935"/>
      <c r="G33" s="4937"/>
      <c r="H33" s="588"/>
    </row>
    <row r="34" spans="1:8">
      <c r="A34" s="587"/>
      <c r="B34" s="4685"/>
      <c r="C34" s="4932"/>
      <c r="D34" s="4932"/>
      <c r="E34" s="4932"/>
      <c r="F34" s="4938">
        <f>F24*F28</f>
        <v>61.393162701602243</v>
      </c>
      <c r="G34" s="4940">
        <f>F23*F27/2000</f>
        <v>11.633281065024697</v>
      </c>
      <c r="H34" s="588"/>
    </row>
    <row r="35" spans="1:8" ht="13" thickBot="1">
      <c r="A35" s="587"/>
      <c r="B35" s="4687"/>
      <c r="C35" s="4933"/>
      <c r="D35" s="4933"/>
      <c r="E35" s="4933"/>
      <c r="F35" s="4939"/>
      <c r="G35" s="4941"/>
      <c r="H35" s="588"/>
    </row>
    <row r="36" spans="1:8">
      <c r="A36" s="587"/>
      <c r="B36" s="4696" t="s">
        <v>650</v>
      </c>
      <c r="C36" s="4931"/>
      <c r="D36" s="4931"/>
      <c r="E36" s="4931"/>
      <c r="F36" s="4934" t="s">
        <v>22</v>
      </c>
      <c r="G36" s="4936" t="s">
        <v>37</v>
      </c>
      <c r="H36" s="588"/>
    </row>
    <row r="37" spans="1:8">
      <c r="A37" s="587"/>
      <c r="B37" s="4685"/>
      <c r="C37" s="4932"/>
      <c r="D37" s="4932"/>
      <c r="E37" s="4932"/>
      <c r="F37" s="4935"/>
      <c r="G37" s="4937"/>
      <c r="H37" s="588"/>
    </row>
    <row r="38" spans="1:8">
      <c r="A38" s="587"/>
      <c r="B38" s="4685"/>
      <c r="C38" s="4932"/>
      <c r="D38" s="4932"/>
      <c r="E38" s="4932"/>
      <c r="F38" s="4938">
        <f>F34*I21/100</f>
        <v>1.6636182131504844</v>
      </c>
      <c r="G38" s="4940">
        <f>G34*I21/100</f>
        <v>0.31523605246628983</v>
      </c>
      <c r="H38" s="588"/>
    </row>
    <row r="39" spans="1:8" ht="13" thickBot="1">
      <c r="A39" s="587"/>
      <c r="B39" s="4687"/>
      <c r="C39" s="4933"/>
      <c r="D39" s="4933"/>
      <c r="E39" s="4933"/>
      <c r="F39" s="4939"/>
      <c r="G39" s="4941"/>
      <c r="H39" s="588"/>
    </row>
    <row r="40" spans="1:8" ht="19" thickBot="1">
      <c r="A40" s="587"/>
      <c r="B40" s="4950" t="s">
        <v>1404</v>
      </c>
      <c r="C40" s="4950"/>
      <c r="D40" s="4950"/>
      <c r="E40" s="4950"/>
      <c r="F40" s="4950"/>
      <c r="G40" s="4950"/>
      <c r="H40" s="588"/>
    </row>
    <row r="41" spans="1:8">
      <c r="A41" s="587"/>
      <c r="B41" s="4696" t="s">
        <v>305</v>
      </c>
      <c r="C41" s="4931"/>
      <c r="D41" s="4931"/>
      <c r="E41" s="4931"/>
      <c r="F41" s="4934" t="s">
        <v>22</v>
      </c>
      <c r="G41" s="4936" t="s">
        <v>37</v>
      </c>
      <c r="H41" s="588"/>
    </row>
    <row r="42" spans="1:8">
      <c r="A42" s="587"/>
      <c r="B42" s="4685"/>
      <c r="C42" s="4932"/>
      <c r="D42" s="4932"/>
      <c r="E42" s="4932"/>
      <c r="F42" s="4935"/>
      <c r="G42" s="4937"/>
      <c r="H42" s="588"/>
    </row>
    <row r="43" spans="1:8">
      <c r="A43" s="587"/>
      <c r="B43" s="4685"/>
      <c r="C43" s="4932"/>
      <c r="D43" s="4932"/>
      <c r="E43" s="4932"/>
      <c r="F43" s="4938">
        <f>F26*F28*(1-0.987)</f>
        <v>0.70811875941945179</v>
      </c>
      <c r="G43" s="4940">
        <f>F25*F27/2000*(1-0.987)</f>
        <v>0.13418016263117355</v>
      </c>
      <c r="H43" s="588"/>
    </row>
    <row r="44" spans="1:8" ht="13" thickBot="1">
      <c r="A44" s="587"/>
      <c r="B44" s="4687"/>
      <c r="C44" s="4933"/>
      <c r="D44" s="4933"/>
      <c r="E44" s="4933"/>
      <c r="F44" s="4939"/>
      <c r="G44" s="4941"/>
      <c r="H44" s="588"/>
    </row>
    <row r="45" spans="1:8">
      <c r="A45" s="587"/>
      <c r="B45" s="4696" t="s">
        <v>650</v>
      </c>
      <c r="C45" s="4931"/>
      <c r="D45" s="4931"/>
      <c r="E45" s="4931"/>
      <c r="F45" s="4934" t="s">
        <v>22</v>
      </c>
      <c r="G45" s="4936" t="s">
        <v>37</v>
      </c>
      <c r="H45" s="588"/>
    </row>
    <row r="46" spans="1:8">
      <c r="A46" s="587"/>
      <c r="B46" s="4685"/>
      <c r="C46" s="4932"/>
      <c r="D46" s="4932"/>
      <c r="E46" s="4932"/>
      <c r="F46" s="4935"/>
      <c r="G46" s="4937"/>
      <c r="H46" s="588"/>
    </row>
    <row r="47" spans="1:8">
      <c r="A47" s="587"/>
      <c r="B47" s="4685"/>
      <c r="C47" s="4932"/>
      <c r="D47" s="4932"/>
      <c r="E47" s="4932"/>
      <c r="F47" s="4938">
        <f>F43*I21/100</f>
        <v>1.9188444012397846E-2</v>
      </c>
      <c r="G47" s="4940">
        <f>G43*I21/100</f>
        <v>3.6359840831410471E-3</v>
      </c>
      <c r="H47" s="588"/>
    </row>
    <row r="48" spans="1:8" ht="13" thickBot="1">
      <c r="A48" s="587"/>
      <c r="B48" s="4687"/>
      <c r="C48" s="4933"/>
      <c r="D48" s="4933"/>
      <c r="E48" s="4933"/>
      <c r="F48" s="4939"/>
      <c r="G48" s="4941"/>
      <c r="H48" s="588"/>
    </row>
    <row r="49" spans="1:8" ht="13.5" thickBot="1">
      <c r="A49" s="1575"/>
      <c r="B49" s="1026"/>
      <c r="C49" s="1026"/>
      <c r="D49" s="1026"/>
      <c r="E49" s="1026"/>
      <c r="F49" s="2504"/>
      <c r="G49" s="2504"/>
      <c r="H49" s="2051"/>
    </row>
    <row r="50" spans="1:8" ht="13.5" thickBot="1">
      <c r="A50" s="587"/>
      <c r="B50" s="1722"/>
      <c r="C50" s="1722"/>
      <c r="D50" s="1722"/>
      <c r="E50" s="1722"/>
      <c r="F50" s="655"/>
      <c r="G50" s="655"/>
      <c r="H50" s="588"/>
    </row>
    <row r="51" spans="1:8" ht="24.65" customHeight="1">
      <c r="A51" s="587"/>
      <c r="B51" s="4947" t="s">
        <v>2</v>
      </c>
      <c r="C51" s="4943" t="s">
        <v>1479</v>
      </c>
      <c r="D51" s="4944"/>
      <c r="E51" s="4959" t="s">
        <v>1480</v>
      </c>
      <c r="F51" s="4960"/>
      <c r="G51" s="655"/>
      <c r="H51" s="588"/>
    </row>
    <row r="52" spans="1:8" ht="24.65" customHeight="1">
      <c r="A52" s="587"/>
      <c r="B52" s="4948"/>
      <c r="C52" s="4945"/>
      <c r="D52" s="4946"/>
      <c r="E52" s="4961"/>
      <c r="F52" s="4962"/>
      <c r="G52" s="655"/>
      <c r="H52" s="588"/>
    </row>
    <row r="53" spans="1:8" ht="16" thickBot="1">
      <c r="A53" s="587"/>
      <c r="B53" s="4949"/>
      <c r="C53" s="1644" t="s">
        <v>1406</v>
      </c>
      <c r="D53" s="1641" t="s">
        <v>1396</v>
      </c>
      <c r="E53" s="1641" t="s">
        <v>1396</v>
      </c>
      <c r="F53" s="1641" t="s">
        <v>1407</v>
      </c>
      <c r="G53" s="655"/>
      <c r="H53" s="588"/>
    </row>
    <row r="54" spans="1:8" ht="13">
      <c r="A54" s="587"/>
      <c r="B54" s="1720" t="s">
        <v>298</v>
      </c>
      <c r="C54" s="1643">
        <f>'CDP + Flare PStreams'!AE36</f>
        <v>1.2505903154513001E-3</v>
      </c>
      <c r="D54" s="671">
        <f t="shared" ref="D54:D81" si="0">$F$34*C54/100</f>
        <v>7.6777694709549737E-4</v>
      </c>
      <c r="E54" s="671">
        <f>$F$34*C54/100*0.987</f>
        <v>7.5779584678325595E-4</v>
      </c>
      <c r="F54" s="671">
        <f>E54*$F$29/2000</f>
        <v>1.382977420379442E-4</v>
      </c>
      <c r="G54" s="655"/>
      <c r="H54" s="588"/>
    </row>
    <row r="55" spans="1:8" ht="13">
      <c r="A55" s="587"/>
      <c r="B55" s="1723" t="s">
        <v>5</v>
      </c>
      <c r="C55" s="1579">
        <f>'CDP + Flare PStreams'!AE37</f>
        <v>0</v>
      </c>
      <c r="D55" s="1467">
        <f t="shared" si="0"/>
        <v>0</v>
      </c>
      <c r="E55" s="671">
        <f t="shared" ref="E55:E81" si="1">$F$34*C55/100*0.987</f>
        <v>0</v>
      </c>
      <c r="F55" s="671">
        <f t="shared" ref="F55:F81" si="2">E55*$F$29/2000</f>
        <v>0</v>
      </c>
      <c r="G55" s="655"/>
      <c r="H55" s="588"/>
    </row>
    <row r="56" spans="1:8" ht="13">
      <c r="A56" s="587"/>
      <c r="B56" s="1723" t="s">
        <v>4</v>
      </c>
      <c r="C56" s="1579">
        <f>'CDP + Flare PStreams'!AE38</f>
        <v>0</v>
      </c>
      <c r="D56" s="1467">
        <f t="shared" si="0"/>
        <v>0</v>
      </c>
      <c r="E56" s="671">
        <f t="shared" si="1"/>
        <v>0</v>
      </c>
      <c r="F56" s="671">
        <f t="shared" si="2"/>
        <v>0</v>
      </c>
      <c r="G56" s="655"/>
      <c r="H56" s="588"/>
    </row>
    <row r="57" spans="1:8" ht="13">
      <c r="A57" s="587"/>
      <c r="B57" s="1723" t="s">
        <v>3</v>
      </c>
      <c r="C57" s="1579">
        <f>'CDP + Flare PStreams'!AE39</f>
        <v>1.8194275034005599E-3</v>
      </c>
      <c r="D57" s="1467">
        <f t="shared" si="0"/>
        <v>1.1170040874004055E-3</v>
      </c>
      <c r="E57" s="671">
        <f t="shared" si="1"/>
        <v>1.1024830342642002E-3</v>
      </c>
      <c r="F57" s="671">
        <f t="shared" si="2"/>
        <v>2.0120315375321654E-4</v>
      </c>
      <c r="G57" s="655"/>
      <c r="H57" s="588"/>
    </row>
    <row r="58" spans="1:8" ht="13">
      <c r="A58" s="587"/>
      <c r="B58" s="1723" t="s">
        <v>6</v>
      </c>
      <c r="C58" s="1579">
        <f>'CDP + Flare PStreams'!AE40</f>
        <v>4.8668055201895304E-3</v>
      </c>
      <c r="D58" s="1467">
        <f t="shared" si="0"/>
        <v>2.9878858313805178E-3</v>
      </c>
      <c r="E58" s="671">
        <f t="shared" si="1"/>
        <v>2.9490433155725713E-3</v>
      </c>
      <c r="F58" s="671">
        <f t="shared" si="2"/>
        <v>5.3820040509199431E-4</v>
      </c>
      <c r="G58" s="655"/>
      <c r="H58" s="588"/>
    </row>
    <row r="59" spans="1:8" ht="13">
      <c r="A59" s="587"/>
      <c r="B59" s="1723" t="s">
        <v>7</v>
      </c>
      <c r="C59" s="1579">
        <f>'CDP + Flare PStreams'!AE41</f>
        <v>11.267730686660901</v>
      </c>
      <c r="D59" s="1467">
        <f t="shared" si="0"/>
        <v>6.917616233240091</v>
      </c>
      <c r="E59" s="671">
        <f t="shared" si="1"/>
        <v>6.8276872222079694</v>
      </c>
      <c r="F59" s="671">
        <f t="shared" si="2"/>
        <v>1.2460529180529545</v>
      </c>
      <c r="G59" s="655"/>
      <c r="H59" s="588"/>
    </row>
    <row r="60" spans="1:8" ht="13">
      <c r="A60" s="587"/>
      <c r="B60" s="1723" t="s">
        <v>8</v>
      </c>
      <c r="C60" s="1579">
        <f>'CDP + Flare PStreams'!AE42</f>
        <v>35.794978491197398</v>
      </c>
      <c r="D60" s="1467">
        <f t="shared" si="0"/>
        <v>21.975669384104343</v>
      </c>
      <c r="E60" s="671">
        <f t="shared" si="1"/>
        <v>21.689985682110986</v>
      </c>
      <c r="F60" s="671">
        <f t="shared" si="2"/>
        <v>3.9584223869852551</v>
      </c>
      <c r="G60" s="655"/>
      <c r="H60" s="588"/>
    </row>
    <row r="61" spans="1:8" ht="13">
      <c r="A61" s="587"/>
      <c r="B61" s="1723" t="s">
        <v>747</v>
      </c>
      <c r="C61" s="1579">
        <f>'CDP + Flare PStreams'!AE43</f>
        <v>8.5462375866921505</v>
      </c>
      <c r="D61" s="1467">
        <f t="shared" si="0"/>
        <v>5.2468055464633974</v>
      </c>
      <c r="E61" s="671">
        <f t="shared" si="1"/>
        <v>5.1785970743593728</v>
      </c>
      <c r="F61" s="671">
        <f t="shared" si="2"/>
        <v>0.9450939660705856</v>
      </c>
      <c r="G61" s="655"/>
      <c r="H61" s="588"/>
    </row>
    <row r="62" spans="1:8" ht="13">
      <c r="A62" s="587"/>
      <c r="B62" s="1723" t="s">
        <v>748</v>
      </c>
      <c r="C62" s="1579">
        <f>'CDP + Flare PStreams'!AE44</f>
        <v>20.8048424245037</v>
      </c>
      <c r="D62" s="1467">
        <f t="shared" si="0"/>
        <v>12.772750759487526</v>
      </c>
      <c r="E62" s="671">
        <f t="shared" si="1"/>
        <v>12.606704999614188</v>
      </c>
      <c r="F62" s="671">
        <f t="shared" si="2"/>
        <v>2.300723662429589</v>
      </c>
      <c r="G62" s="655"/>
      <c r="H62" s="588"/>
    </row>
    <row r="63" spans="1:8" ht="13">
      <c r="A63" s="587"/>
      <c r="B63" s="1723" t="s">
        <v>749</v>
      </c>
      <c r="C63" s="1579">
        <f>'CDP + Flare PStreams'!AE45</f>
        <v>6.3652404033240702</v>
      </c>
      <c r="D63" s="1467">
        <f t="shared" si="0"/>
        <v>3.907822397160869</v>
      </c>
      <c r="E63" s="671">
        <f t="shared" si="1"/>
        <v>3.8570207059977775</v>
      </c>
      <c r="F63" s="671">
        <f t="shared" si="2"/>
        <v>0.70390627884459434</v>
      </c>
      <c r="G63" s="655"/>
      <c r="H63" s="588"/>
    </row>
    <row r="64" spans="1:8" ht="13">
      <c r="A64" s="587"/>
      <c r="B64" s="1723" t="s">
        <v>750</v>
      </c>
      <c r="C64" s="1579">
        <f>'CDP + Flare PStreams'!AE46</f>
        <v>6.45139026646219</v>
      </c>
      <c r="D64" s="1467">
        <f t="shared" si="0"/>
        <v>3.9607125228044628</v>
      </c>
      <c r="E64" s="671">
        <f t="shared" si="1"/>
        <v>3.9092232600080048</v>
      </c>
      <c r="F64" s="671">
        <f t="shared" si="2"/>
        <v>0.71343324495146088</v>
      </c>
      <c r="G64" s="655"/>
      <c r="H64" s="588"/>
    </row>
    <row r="65" spans="1:8" ht="13">
      <c r="A65" s="587"/>
      <c r="B65" s="1723" t="s">
        <v>800</v>
      </c>
      <c r="C65" s="1579">
        <f>'CDP + Flare PStreams'!AE47</f>
        <v>0</v>
      </c>
      <c r="D65" s="1467">
        <f t="shared" si="0"/>
        <v>0</v>
      </c>
      <c r="E65" s="671">
        <f t="shared" si="1"/>
        <v>0</v>
      </c>
      <c r="F65" s="671">
        <f t="shared" si="2"/>
        <v>0</v>
      </c>
      <c r="G65" s="655"/>
      <c r="H65" s="588"/>
    </row>
    <row r="66" spans="1:8" ht="13">
      <c r="A66" s="587"/>
      <c r="B66" s="1723" t="s">
        <v>292</v>
      </c>
      <c r="C66" s="1579">
        <f>'CDP + Flare PStreams'!AE48</f>
        <v>2.47395851813706</v>
      </c>
      <c r="D66" s="1467">
        <f t="shared" si="0"/>
        <v>1.5188413782100332</v>
      </c>
      <c r="E66" s="671">
        <f t="shared" si="1"/>
        <v>1.4990964402933027</v>
      </c>
      <c r="F66" s="671">
        <f t="shared" si="2"/>
        <v>0.27358510035352779</v>
      </c>
      <c r="G66" s="655"/>
      <c r="H66" s="588"/>
    </row>
    <row r="67" spans="1:8" ht="13">
      <c r="A67" s="587"/>
      <c r="B67" s="1723" t="s">
        <v>10</v>
      </c>
      <c r="C67" s="1579">
        <f>'CDP + Flare PStreams'!AE49</f>
        <v>1.4915893729940599</v>
      </c>
      <c r="D67" s="1467">
        <f t="shared" si="0"/>
        <v>0.91573389060205201</v>
      </c>
      <c r="E67" s="671">
        <f t="shared" si="1"/>
        <v>0.90382935002422538</v>
      </c>
      <c r="F67" s="671">
        <f t="shared" si="2"/>
        <v>0.16494885637942114</v>
      </c>
      <c r="G67" s="655"/>
      <c r="H67" s="588"/>
    </row>
    <row r="68" spans="1:8" ht="13">
      <c r="A68" s="587"/>
      <c r="B68" s="1723" t="s">
        <v>9</v>
      </c>
      <c r="C68" s="1579">
        <f>'CDP + Flare PStreams'!AE50</f>
        <v>1.05938129815654</v>
      </c>
      <c r="D68" s="1467">
        <f t="shared" si="0"/>
        <v>0.65038768400759051</v>
      </c>
      <c r="E68" s="671">
        <f t="shared" si="1"/>
        <v>0.64193264411549178</v>
      </c>
      <c r="F68" s="671">
        <f t="shared" si="2"/>
        <v>0.11715270755107726</v>
      </c>
      <c r="G68" s="655"/>
      <c r="H68" s="588"/>
    </row>
    <row r="69" spans="1:8" ht="13">
      <c r="A69" s="587"/>
      <c r="B69" s="1723" t="s">
        <v>11</v>
      </c>
      <c r="C69" s="1579">
        <f>'CDP + Flare PStreams'!AE51</f>
        <v>0.66861542231075999</v>
      </c>
      <c r="D69" s="1467">
        <f t="shared" si="0"/>
        <v>0.41048415406724986</v>
      </c>
      <c r="E69" s="671">
        <f t="shared" si="1"/>
        <v>0.40514786006437559</v>
      </c>
      <c r="F69" s="671">
        <f t="shared" si="2"/>
        <v>7.3939484461748556E-2</v>
      </c>
      <c r="G69" s="655"/>
      <c r="H69" s="588"/>
    </row>
    <row r="70" spans="1:8" ht="13">
      <c r="A70" s="587"/>
      <c r="B70" s="1723" t="s">
        <v>12</v>
      </c>
      <c r="C70" s="1579">
        <f>'CDP + Flare PStreams'!AE52</f>
        <v>1.7087403345052501</v>
      </c>
      <c r="D70" s="1467">
        <f t="shared" si="0"/>
        <v>1.0490497337107108</v>
      </c>
      <c r="E70" s="671">
        <f t="shared" si="1"/>
        <v>1.0354120871724715</v>
      </c>
      <c r="F70" s="671">
        <f t="shared" si="2"/>
        <v>0.18896270590897604</v>
      </c>
      <c r="G70" s="655"/>
      <c r="H70" s="588"/>
    </row>
    <row r="71" spans="1:8" ht="13">
      <c r="A71" s="587"/>
      <c r="B71" s="1723" t="s">
        <v>286</v>
      </c>
      <c r="C71" s="1579">
        <f>'CDP + Flare PStreams'!AE53</f>
        <v>0</v>
      </c>
      <c r="D71" s="1467">
        <f t="shared" si="0"/>
        <v>0</v>
      </c>
      <c r="E71" s="671">
        <f t="shared" si="1"/>
        <v>0</v>
      </c>
      <c r="F71" s="671">
        <f t="shared" si="2"/>
        <v>0</v>
      </c>
      <c r="G71" s="655"/>
      <c r="H71" s="588"/>
    </row>
    <row r="72" spans="1:8" ht="13">
      <c r="A72" s="587"/>
      <c r="B72" s="1723" t="s">
        <v>801</v>
      </c>
      <c r="C72" s="1579">
        <f>'CDP + Flare PStreams'!AE54</f>
        <v>0.14054959085448199</v>
      </c>
      <c r="D72" s="1467">
        <f t="shared" si="0"/>
        <v>8.6287838989728402E-2</v>
      </c>
      <c r="E72" s="671">
        <f t="shared" si="1"/>
        <v>8.5166097082861936E-2</v>
      </c>
      <c r="F72" s="671">
        <f t="shared" si="2"/>
        <v>1.5542812717622303E-2</v>
      </c>
      <c r="G72" s="655"/>
      <c r="H72" s="588"/>
    </row>
    <row r="73" spans="1:8" ht="13">
      <c r="A73" s="587"/>
      <c r="B73" s="1723" t="s">
        <v>65</v>
      </c>
      <c r="C73" s="1579">
        <f>'CDP + Flare PStreams'!AE55</f>
        <v>1.1640362125768899</v>
      </c>
      <c r="D73" s="1467">
        <f t="shared" si="0"/>
        <v>0.71463864589289861</v>
      </c>
      <c r="E73" s="671">
        <f t="shared" si="1"/>
        <v>0.70534834349629094</v>
      </c>
      <c r="F73" s="671">
        <f t="shared" si="2"/>
        <v>0.1287260726880731</v>
      </c>
      <c r="G73" s="655"/>
      <c r="H73" s="588"/>
    </row>
    <row r="74" spans="1:8" ht="13">
      <c r="A74" s="587"/>
      <c r="B74" s="1723" t="s">
        <v>13</v>
      </c>
      <c r="C74" s="1579">
        <f>'CDP + Flare PStreams'!AE56</f>
        <v>0.74905609078011803</v>
      </c>
      <c r="D74" s="1467">
        <f t="shared" si="0"/>
        <v>0.45986922453889922</v>
      </c>
      <c r="E74" s="671">
        <f t="shared" si="1"/>
        <v>0.45389092461989355</v>
      </c>
      <c r="F74" s="671">
        <f t="shared" si="2"/>
        <v>8.2835093743130569E-2</v>
      </c>
      <c r="G74" s="655"/>
      <c r="H74" s="588"/>
    </row>
    <row r="75" spans="1:8" ht="13">
      <c r="A75" s="587"/>
      <c r="B75" s="1723" t="s">
        <v>14</v>
      </c>
      <c r="C75" s="1579">
        <f>'CDP + Flare PStreams'!AE57</f>
        <v>0.430138486702067</v>
      </c>
      <c r="D75" s="1467">
        <f t="shared" si="0"/>
        <v>0.26407562098320975</v>
      </c>
      <c r="E75" s="671">
        <f t="shared" si="1"/>
        <v>0.26064263791042802</v>
      </c>
      <c r="F75" s="671">
        <f t="shared" si="2"/>
        <v>4.7567281418653115E-2</v>
      </c>
      <c r="G75" s="655"/>
      <c r="H75" s="588"/>
    </row>
    <row r="76" spans="1:8" ht="13">
      <c r="A76" s="587"/>
      <c r="B76" s="1723" t="s">
        <v>804</v>
      </c>
      <c r="C76" s="1579">
        <f>'CDP + Flare PStreams'!AE58</f>
        <v>0.53582178520484902</v>
      </c>
      <c r="D76" s="1467">
        <f t="shared" si="0"/>
        <v>0.32895794038144266</v>
      </c>
      <c r="E76" s="671">
        <f t="shared" si="1"/>
        <v>0.32468148715648393</v>
      </c>
      <c r="F76" s="671">
        <f t="shared" si="2"/>
        <v>5.9254371406058319E-2</v>
      </c>
      <c r="G76" s="655"/>
      <c r="H76" s="588"/>
    </row>
    <row r="77" spans="1:8" ht="13">
      <c r="A77" s="587"/>
      <c r="B77" s="1723" t="s">
        <v>16</v>
      </c>
      <c r="C77" s="1579">
        <f>'CDP + Flare PStreams'!AE59</f>
        <v>2.0057463116350999E-4</v>
      </c>
      <c r="D77" s="1467">
        <f t="shared" si="0"/>
        <v>1.2313910964835228E-4</v>
      </c>
      <c r="E77" s="671">
        <f t="shared" si="1"/>
        <v>1.2153830122292369E-4</v>
      </c>
      <c r="F77" s="671">
        <f t="shared" si="2"/>
        <v>2.2180739973183573E-5</v>
      </c>
      <c r="G77" s="655"/>
      <c r="H77" s="588"/>
    </row>
    <row r="78" spans="1:8" ht="13">
      <c r="A78" s="587"/>
      <c r="B78" s="1723" t="s">
        <v>802</v>
      </c>
      <c r="C78" s="1579">
        <f>'CDP + Flare PStreams'!AE60</f>
        <v>0.11923381231248099</v>
      </c>
      <c r="D78" s="1467">
        <f t="shared" si="0"/>
        <v>7.3201408388324507E-2</v>
      </c>
      <c r="E78" s="671">
        <f t="shared" si="1"/>
        <v>7.2249790079276288E-2</v>
      </c>
      <c r="F78" s="671">
        <f t="shared" si="2"/>
        <v>1.3185586689467923E-2</v>
      </c>
      <c r="G78" s="655"/>
      <c r="H78" s="588"/>
    </row>
    <row r="79" spans="1:8" ht="13">
      <c r="A79" s="587"/>
      <c r="B79" s="1723" t="s">
        <v>803</v>
      </c>
      <c r="C79" s="1579">
        <f>'CDP + Flare PStreams'!AE61</f>
        <v>0.16295870851077399</v>
      </c>
      <c r="D79" s="1467">
        <f t="shared" si="0"/>
        <v>0.10004550505244922</v>
      </c>
      <c r="E79" s="671">
        <f t="shared" si="1"/>
        <v>9.874491348676738E-2</v>
      </c>
      <c r="F79" s="671">
        <f t="shared" si="2"/>
        <v>1.8020946711335046E-2</v>
      </c>
      <c r="G79" s="655"/>
      <c r="H79" s="588"/>
    </row>
    <row r="80" spans="1:8" ht="13">
      <c r="A80" s="587"/>
      <c r="B80" s="1723" t="s">
        <v>805</v>
      </c>
      <c r="C80" s="1579">
        <f>'CDP + Flare PStreams'!AE62</f>
        <v>5.73198602324822E-2</v>
      </c>
      <c r="D80" s="1467">
        <f t="shared" si="0"/>
        <v>3.51904750528588E-2</v>
      </c>
      <c r="E80" s="671">
        <f t="shared" si="1"/>
        <v>3.4732998877171635E-2</v>
      </c>
      <c r="F80" s="671">
        <f t="shared" si="2"/>
        <v>6.338772295083824E-3</v>
      </c>
      <c r="G80" s="655"/>
      <c r="H80" s="588"/>
    </row>
    <row r="81" spans="1:8" ht="13.5" thickBot="1">
      <c r="A81" s="587"/>
      <c r="B81" s="1724" t="s">
        <v>752</v>
      </c>
      <c r="C81" s="1581">
        <f>'CDP + Flare PStreams'!AE63</f>
        <v>4.3249911527493797E-5</v>
      </c>
      <c r="D81" s="1642">
        <f t="shared" si="0"/>
        <v>2.6552488552373293E-5</v>
      </c>
      <c r="E81" s="1642">
        <f t="shared" si="1"/>
        <v>2.6207306201192438E-5</v>
      </c>
      <c r="F81" s="1647">
        <f t="shared" si="2"/>
        <v>4.7828333817176199E-6</v>
      </c>
      <c r="G81" s="655"/>
      <c r="H81" s="588"/>
    </row>
    <row r="82" spans="1:8" ht="13">
      <c r="A82" s="587"/>
      <c r="B82" s="1721" t="s">
        <v>692</v>
      </c>
      <c r="C82" s="1643">
        <f>SUM(C54:C81)</f>
        <v>99.999999999999943</v>
      </c>
      <c r="D82" s="671">
        <f>SUM(D54:D81)</f>
        <v>61.393162701602208</v>
      </c>
      <c r="E82" s="671">
        <f>SUM(E54:E81)</f>
        <v>60.595051586481382</v>
      </c>
      <c r="F82" s="671">
        <f>SUM(F54:F81)</f>
        <v>11.058596914532851</v>
      </c>
      <c r="G82" s="655"/>
      <c r="H82" s="588"/>
    </row>
    <row r="83" spans="1:8" ht="13">
      <c r="A83" s="587"/>
      <c r="B83" s="1723" t="s">
        <v>55</v>
      </c>
      <c r="C83" s="1645" t="s">
        <v>445</v>
      </c>
      <c r="D83" s="1467">
        <f>SUM(D60:D81)</f>
        <v>54.470673801496233</v>
      </c>
      <c r="E83" s="1467">
        <f>SUM(E60:E81)</f>
        <v>53.762555042076791</v>
      </c>
      <c r="F83" s="1467">
        <f>SUM(F60:F81)</f>
        <v>9.8116662951790143</v>
      </c>
      <c r="G83" s="655"/>
      <c r="H83" s="588"/>
    </row>
    <row r="84" spans="1:8" ht="13.5" thickBot="1">
      <c r="A84" s="587"/>
      <c r="B84" s="1724" t="s">
        <v>693</v>
      </c>
      <c r="C84" s="1646" t="s">
        <v>445</v>
      </c>
      <c r="D84" s="1642">
        <f>D67+D69+D75+D77+D78</f>
        <v>1.6636182131504846</v>
      </c>
      <c r="E84" s="1642">
        <f>E67+E69+E75+E77+E78</f>
        <v>1.6419911763795283</v>
      </c>
      <c r="F84" s="1642">
        <f>F67+F69+F75+F77+F78</f>
        <v>0.29966338968926387</v>
      </c>
      <c r="G84" s="655"/>
      <c r="H84" s="588"/>
    </row>
    <row r="85" spans="1:8" ht="13">
      <c r="A85" s="587"/>
      <c r="B85" s="1722"/>
      <c r="C85" s="1722"/>
      <c r="D85" s="1722"/>
      <c r="E85" s="1722"/>
      <c r="F85" s="655"/>
      <c r="G85" s="655"/>
      <c r="H85" s="588"/>
    </row>
    <row r="86" spans="1:8" ht="21.75" customHeight="1">
      <c r="A86" s="587"/>
      <c r="B86" s="4942" t="s">
        <v>1401</v>
      </c>
      <c r="C86" s="4942"/>
      <c r="D86" s="4942"/>
      <c r="E86" s="4942"/>
      <c r="F86" s="4942"/>
      <c r="G86" s="4942"/>
      <c r="H86" s="588"/>
    </row>
    <row r="87" spans="1:8" ht="21.75" customHeight="1">
      <c r="A87" s="587"/>
      <c r="B87" s="4942" t="s">
        <v>1402</v>
      </c>
      <c r="C87" s="4942"/>
      <c r="D87" s="4942"/>
      <c r="E87" s="4942"/>
      <c r="F87" s="4942"/>
      <c r="G87" s="4942"/>
      <c r="H87" s="588"/>
    </row>
    <row r="88" spans="1:8" ht="29.75" customHeight="1">
      <c r="A88" s="587"/>
      <c r="B88" s="4942" t="s">
        <v>1403</v>
      </c>
      <c r="C88" s="4942"/>
      <c r="D88" s="4942"/>
      <c r="E88" s="4942"/>
      <c r="F88" s="4942"/>
      <c r="G88" s="4942"/>
      <c r="H88" s="588"/>
    </row>
    <row r="89" spans="1:8" ht="32.75" customHeight="1" thickBot="1">
      <c r="A89" s="1575"/>
      <c r="B89" s="4930" t="s">
        <v>1484</v>
      </c>
      <c r="C89" s="4930"/>
      <c r="D89" s="4930"/>
      <c r="E89" s="4930"/>
      <c r="F89" s="4930"/>
      <c r="G89" s="4930"/>
      <c r="H89" s="2051"/>
    </row>
    <row r="91" spans="1:8">
      <c r="C91" s="48" t="s">
        <v>1395</v>
      </c>
    </row>
    <row r="92" spans="1:8">
      <c r="C92" s="1636" t="s">
        <v>1386</v>
      </c>
      <c r="D92" s="1636" t="s">
        <v>730</v>
      </c>
      <c r="E92" s="1636" t="s">
        <v>1387</v>
      </c>
      <c r="F92" s="1636" t="s">
        <v>1388</v>
      </c>
      <c r="G92" s="1636" t="s">
        <v>1389</v>
      </c>
    </row>
    <row r="93" spans="1:8">
      <c r="C93" s="1637">
        <f>F24*F28</f>
        <v>61.393162701602243</v>
      </c>
      <c r="D93" s="1638">
        <v>13.28</v>
      </c>
      <c r="E93" s="1638">
        <v>10.73</v>
      </c>
      <c r="F93" s="1639">
        <f>F21</f>
        <v>50.253999895459501</v>
      </c>
      <c r="G93" s="1640">
        <f>F20</f>
        <v>550</v>
      </c>
    </row>
    <row r="94" spans="1:8">
      <c r="C94" s="47"/>
      <c r="D94" s="47"/>
      <c r="E94" s="47"/>
      <c r="F94" s="47"/>
      <c r="G94" s="47"/>
    </row>
    <row r="95" spans="1:8">
      <c r="C95" s="47"/>
      <c r="D95" s="47"/>
      <c r="E95" s="47"/>
      <c r="F95" s="47"/>
      <c r="G95" s="47"/>
    </row>
    <row r="96" spans="1:8">
      <c r="C96" s="47"/>
      <c r="D96" s="42" t="s">
        <v>1390</v>
      </c>
      <c r="E96" s="47"/>
      <c r="F96" s="47">
        <f>C93/D93*E93*G93/F93</f>
        <v>542.89233350783127</v>
      </c>
      <c r="G96" s="42" t="s">
        <v>1391</v>
      </c>
    </row>
    <row r="97" spans="3:7">
      <c r="C97" s="47"/>
      <c r="D97" s="47" t="s">
        <v>1392</v>
      </c>
      <c r="E97" s="47"/>
      <c r="F97" s="354">
        <f>F29</f>
        <v>365</v>
      </c>
      <c r="G97" s="47"/>
    </row>
    <row r="98" spans="3:7">
      <c r="C98" s="47"/>
      <c r="D98" s="47" t="s">
        <v>1393</v>
      </c>
      <c r="E98" s="47"/>
      <c r="F98" s="47">
        <f>F96*F97</f>
        <v>198155.70173035841</v>
      </c>
      <c r="G98" s="47" t="s">
        <v>1394</v>
      </c>
    </row>
    <row r="101" spans="3:7">
      <c r="D101" s="42"/>
      <c r="E101" s="47"/>
      <c r="F101" s="47"/>
      <c r="G101" s="42"/>
    </row>
    <row r="102" spans="3:7">
      <c r="D102" s="47"/>
      <c r="E102" s="47"/>
      <c r="F102" s="354"/>
      <c r="G102" s="47"/>
    </row>
    <row r="103" spans="3:7">
      <c r="D103" s="47"/>
      <c r="E103" s="47"/>
      <c r="F103" s="47"/>
      <c r="G103" s="47"/>
    </row>
  </sheetData>
  <mergeCells count="68">
    <mergeCell ref="B17:E17"/>
    <mergeCell ref="F17:G17"/>
    <mergeCell ref="B2:G2"/>
    <mergeCell ref="B3:G3"/>
    <mergeCell ref="B4:G4"/>
    <mergeCell ref="C11:D11"/>
    <mergeCell ref="E11:F11"/>
    <mergeCell ref="C12:D12"/>
    <mergeCell ref="E12:F12"/>
    <mergeCell ref="B14:G15"/>
    <mergeCell ref="B16:E16"/>
    <mergeCell ref="F16:G16"/>
    <mergeCell ref="A9:H9"/>
    <mergeCell ref="B18:E18"/>
    <mergeCell ref="F18:G18"/>
    <mergeCell ref="B19:E19"/>
    <mergeCell ref="F19:G19"/>
    <mergeCell ref="B20:E20"/>
    <mergeCell ref="F20:G20"/>
    <mergeCell ref="B21:E21"/>
    <mergeCell ref="F21:G21"/>
    <mergeCell ref="B22:E22"/>
    <mergeCell ref="F22:G22"/>
    <mergeCell ref="B23:E23"/>
    <mergeCell ref="F23:G23"/>
    <mergeCell ref="B24:E24"/>
    <mergeCell ref="F24:G24"/>
    <mergeCell ref="B25:E25"/>
    <mergeCell ref="F25:G25"/>
    <mergeCell ref="B26:E26"/>
    <mergeCell ref="F26:G26"/>
    <mergeCell ref="B40:G40"/>
    <mergeCell ref="B86:G86"/>
    <mergeCell ref="B27:E27"/>
    <mergeCell ref="F27:G27"/>
    <mergeCell ref="B28:E28"/>
    <mergeCell ref="F28:G28"/>
    <mergeCell ref="B29:E29"/>
    <mergeCell ref="F29:G29"/>
    <mergeCell ref="E51:F52"/>
    <mergeCell ref="B30:E30"/>
    <mergeCell ref="F30:G30"/>
    <mergeCell ref="B41:E44"/>
    <mergeCell ref="F41:F42"/>
    <mergeCell ref="G41:G42"/>
    <mergeCell ref="F43:F44"/>
    <mergeCell ref="B31:G31"/>
    <mergeCell ref="B32:E35"/>
    <mergeCell ref="F32:F33"/>
    <mergeCell ref="G32:G33"/>
    <mergeCell ref="F34:F35"/>
    <mergeCell ref="G34:G35"/>
    <mergeCell ref="B89:G89"/>
    <mergeCell ref="B36:E39"/>
    <mergeCell ref="F36:F37"/>
    <mergeCell ref="G36:G37"/>
    <mergeCell ref="F38:F39"/>
    <mergeCell ref="G38:G39"/>
    <mergeCell ref="B88:G88"/>
    <mergeCell ref="B87:G87"/>
    <mergeCell ref="C51:D52"/>
    <mergeCell ref="B51:B53"/>
    <mergeCell ref="B45:E48"/>
    <mergeCell ref="F45:F46"/>
    <mergeCell ref="G45:G46"/>
    <mergeCell ref="F47:F48"/>
    <mergeCell ref="G43:G44"/>
    <mergeCell ref="G47:G48"/>
  </mergeCells>
  <pageMargins left="0.7" right="0.7" top="0.75" bottom="0.75" header="0.3" footer="0.3"/>
  <pageSetup scale="84" fitToHeight="2" orientation="portrait" r:id="rId1"/>
  <headerFooter>
    <oddFooter>&amp;CCalculations: Page &amp;P</oddFooter>
  </headerFooter>
  <rowBreaks count="1" manualBreakCount="1">
    <brk id="49" max="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0">
    <tabColor theme="3" tint="-0.249977111117893"/>
    <pageSetUpPr fitToPage="1"/>
  </sheetPr>
  <dimension ref="A1:T40"/>
  <sheetViews>
    <sheetView view="pageBreakPreview" topLeftCell="A4" zoomScale="70" zoomScaleNormal="115" zoomScaleSheetLayoutView="70" workbookViewId="0">
      <selection activeCell="E19" sqref="E19:R19"/>
    </sheetView>
  </sheetViews>
  <sheetFormatPr defaultColWidth="9.36328125" defaultRowHeight="12.5"/>
  <cols>
    <col min="1" max="1" width="3.54296875" style="48" customWidth="1"/>
    <col min="2" max="7" width="12.54296875" style="48" customWidth="1"/>
    <col min="8" max="8" width="3.54296875" style="48" customWidth="1"/>
    <col min="9" max="9" width="9.6328125" style="48" bestFit="1" customWidth="1"/>
    <col min="10" max="10" width="11.36328125" style="48" bestFit="1" customWidth="1"/>
    <col min="11" max="14" width="9.36328125" style="48"/>
    <col min="15" max="15" width="11.36328125" style="48" customWidth="1"/>
    <col min="16" max="16384" width="9.36328125" style="48"/>
  </cols>
  <sheetData>
    <row r="1" spans="1:20" ht="13" thickBot="1">
      <c r="A1" s="584"/>
      <c r="B1" s="585"/>
      <c r="C1" s="585"/>
      <c r="D1" s="585"/>
      <c r="E1" s="585"/>
      <c r="F1" s="585"/>
      <c r="G1" s="585"/>
      <c r="H1" s="586"/>
    </row>
    <row r="2" spans="1:20" ht="23.25" customHeight="1">
      <c r="A2" s="587"/>
      <c r="B2" s="4653" t="str">
        <f>'Summary-Co'!B3</f>
        <v>XTO ENERGY INC.</v>
      </c>
      <c r="C2" s="4671"/>
      <c r="D2" s="4671"/>
      <c r="E2" s="4671"/>
      <c r="F2" s="4671"/>
      <c r="G2" s="4654"/>
      <c r="H2" s="588"/>
    </row>
    <row r="3" spans="1:20" ht="23.25" customHeight="1">
      <c r="A3" s="587"/>
      <c r="B3" s="4766" t="str">
        <f>'Summary-Co'!B4</f>
        <v>HUSKY CDP</v>
      </c>
      <c r="C3" s="4767"/>
      <c r="D3" s="4767"/>
      <c r="E3" s="4767"/>
      <c r="F3" s="4767"/>
      <c r="G3" s="4980"/>
      <c r="H3" s="588"/>
    </row>
    <row r="4" spans="1:20" ht="23.25" customHeight="1" thickBot="1">
      <c r="A4" s="587"/>
      <c r="B4" s="4655" t="s">
        <v>207</v>
      </c>
      <c r="C4" s="4672"/>
      <c r="D4" s="4672"/>
      <c r="E4" s="4672"/>
      <c r="F4" s="4672"/>
      <c r="G4" s="4656"/>
      <c r="H4" s="588"/>
    </row>
    <row r="5" spans="1:20" ht="13.5" thickBot="1">
      <c r="A5" s="589"/>
      <c r="B5" s="541"/>
      <c r="C5" s="541"/>
      <c r="D5" s="541"/>
      <c r="E5" s="541"/>
      <c r="F5" s="541"/>
      <c r="G5" s="541"/>
      <c r="H5" s="543"/>
    </row>
    <row r="6" spans="1:20" ht="13">
      <c r="H6" s="522"/>
      <c r="N6" s="813" t="s">
        <v>897</v>
      </c>
      <c r="O6" s="814"/>
      <c r="P6" s="814"/>
      <c r="Q6" s="806"/>
      <c r="R6" s="806"/>
      <c r="S6" s="806"/>
      <c r="T6" s="807"/>
    </row>
    <row r="7" spans="1:20" ht="13">
      <c r="H7" s="522"/>
      <c r="N7" s="808"/>
      <c r="O7" s="52"/>
      <c r="P7" s="52"/>
      <c r="Q7" s="52"/>
      <c r="R7" s="52"/>
      <c r="S7" s="52"/>
      <c r="T7" s="809"/>
    </row>
    <row r="8" spans="1:20" ht="13.5" thickBot="1">
      <c r="B8" s="522"/>
      <c r="C8" s="522"/>
      <c r="D8" s="522"/>
      <c r="E8" s="522"/>
      <c r="F8" s="522"/>
      <c r="G8" s="522"/>
      <c r="H8" s="522"/>
      <c r="N8" s="808"/>
      <c r="O8" s="52"/>
      <c r="P8" s="52"/>
      <c r="Q8" s="52"/>
      <c r="R8" s="52"/>
      <c r="S8" s="52"/>
      <c r="T8" s="809"/>
    </row>
    <row r="9" spans="1:20" ht="16" thickBot="1">
      <c r="A9" s="5003" t="s">
        <v>636</v>
      </c>
      <c r="B9" s="5004"/>
      <c r="C9" s="5004"/>
      <c r="D9" s="5004"/>
      <c r="E9" s="5004"/>
      <c r="F9" s="5004"/>
      <c r="G9" s="5004"/>
      <c r="H9" s="5005"/>
      <c r="N9" s="808"/>
      <c r="O9" s="52"/>
      <c r="P9" s="52"/>
      <c r="Q9" s="52"/>
      <c r="R9" s="52"/>
      <c r="S9" s="52"/>
      <c r="T9" s="809"/>
    </row>
    <row r="10" spans="1:20" ht="21" thickBot="1">
      <c r="A10" s="591"/>
      <c r="B10" s="592"/>
      <c r="C10" s="592"/>
      <c r="D10" s="592"/>
      <c r="E10" s="592"/>
      <c r="F10" s="592"/>
      <c r="G10" s="592"/>
      <c r="H10" s="593"/>
      <c r="N10" s="808" t="s">
        <v>899</v>
      </c>
      <c r="O10" s="52"/>
      <c r="P10" s="52" t="s">
        <v>900</v>
      </c>
      <c r="Q10" s="52"/>
      <c r="R10" s="52"/>
      <c r="S10" s="52"/>
      <c r="T10" s="809"/>
    </row>
    <row r="11" spans="1:20" ht="24" customHeight="1">
      <c r="A11" s="587"/>
      <c r="B11" s="657"/>
      <c r="C11" s="4984" t="s">
        <v>651</v>
      </c>
      <c r="D11" s="5006"/>
      <c r="E11" s="4986">
        <f>P12</f>
        <v>10028.606862908196</v>
      </c>
      <c r="F11" s="4987"/>
      <c r="G11" s="1980"/>
      <c r="H11" s="51"/>
      <c r="I11" s="48">
        <f>E11*365</f>
        <v>3660441.5049614916</v>
      </c>
      <c r="J11" s="48">
        <f>I11*42</f>
        <v>153738543.20838264</v>
      </c>
      <c r="N11" s="808"/>
      <c r="O11" s="52" t="s">
        <v>901</v>
      </c>
      <c r="P11" s="52">
        <f>SUM('CDP + Flare PStreams'!AB13:AB34)*100</f>
        <v>22.769621840316567</v>
      </c>
      <c r="Q11" s="52"/>
      <c r="R11" s="52"/>
      <c r="S11" s="52"/>
      <c r="T11" s="809"/>
    </row>
    <row r="12" spans="1:20" ht="24" customHeight="1" thickBot="1">
      <c r="A12" s="587"/>
      <c r="B12" s="657"/>
      <c r="C12" s="5007" t="s">
        <v>652</v>
      </c>
      <c r="D12" s="5008"/>
      <c r="E12" s="5009">
        <f>E11*365</f>
        <v>3660441.5049614916</v>
      </c>
      <c r="F12" s="5010"/>
      <c r="G12" s="1980"/>
      <c r="H12" s="51"/>
      <c r="I12" s="48">
        <f>E12*42</f>
        <v>153738543.20838264</v>
      </c>
      <c r="N12" s="808"/>
      <c r="O12" s="52" t="s">
        <v>902</v>
      </c>
      <c r="P12" s="52">
        <f>'CDP + Flare PStreams'!W134*60*24/42</f>
        <v>10028.606862908196</v>
      </c>
      <c r="Q12" s="52" t="s">
        <v>903</v>
      </c>
      <c r="R12" s="52"/>
      <c r="S12" s="52"/>
      <c r="T12" s="809"/>
    </row>
    <row r="13" spans="1:20" ht="13.5" thickBot="1">
      <c r="A13" s="587"/>
      <c r="B13" s="657"/>
      <c r="C13" s="657"/>
      <c r="D13" s="657"/>
      <c r="E13" s="657"/>
      <c r="F13" s="657"/>
      <c r="G13" s="657"/>
      <c r="H13" s="51"/>
      <c r="N13" s="810"/>
      <c r="O13" s="811"/>
      <c r="P13" s="811"/>
      <c r="Q13" s="811"/>
      <c r="R13" s="811"/>
      <c r="S13" s="811"/>
      <c r="T13" s="812"/>
    </row>
    <row r="14" spans="1:20" ht="13">
      <c r="A14" s="587"/>
      <c r="B14" s="4696" t="s">
        <v>301</v>
      </c>
      <c r="C14" s="4931"/>
      <c r="D14" s="4931"/>
      <c r="E14" s="4931"/>
      <c r="F14" s="4931"/>
      <c r="G14" s="4697"/>
      <c r="H14" s="51"/>
    </row>
    <row r="15" spans="1:20" ht="13">
      <c r="A15" s="587"/>
      <c r="B15" s="4685"/>
      <c r="C15" s="4932"/>
      <c r="D15" s="4932"/>
      <c r="E15" s="4932"/>
      <c r="F15" s="4932"/>
      <c r="G15" s="4686"/>
      <c r="H15" s="51"/>
    </row>
    <row r="16" spans="1:20" ht="20.25" customHeight="1">
      <c r="A16" s="587"/>
      <c r="B16" s="4951" t="s">
        <v>302</v>
      </c>
      <c r="C16" s="4952"/>
      <c r="D16" s="4952"/>
      <c r="E16" s="4952"/>
      <c r="F16" s="4990">
        <v>0.6</v>
      </c>
      <c r="G16" s="4973"/>
      <c r="H16" s="51"/>
    </row>
    <row r="17" spans="1:15" ht="20.25" customHeight="1">
      <c r="A17" s="587"/>
      <c r="B17" s="4951" t="s">
        <v>639</v>
      </c>
      <c r="C17" s="4952"/>
      <c r="D17" s="4952"/>
      <c r="E17" s="4952"/>
      <c r="F17" s="4976">
        <f>' UserValueSets Report'!C498</f>
        <v>0.56967293570996302</v>
      </c>
      <c r="G17" s="4973"/>
      <c r="H17" s="51"/>
    </row>
    <row r="18" spans="1:15" ht="20.25" customHeight="1">
      <c r="A18" s="587"/>
      <c r="B18" s="4951" t="s">
        <v>640</v>
      </c>
      <c r="C18" s="4952"/>
      <c r="D18" s="4952"/>
      <c r="E18" s="4952"/>
      <c r="F18" s="4976">
        <f>' UserValueSets Report'!C502</f>
        <v>0.79994541902070204</v>
      </c>
      <c r="G18" s="4977"/>
      <c r="H18" s="51"/>
    </row>
    <row r="19" spans="1:15" ht="20.25" customHeight="1">
      <c r="A19" s="587"/>
      <c r="B19" s="4951" t="s">
        <v>641</v>
      </c>
      <c r="C19" s="4952"/>
      <c r="D19" s="4952"/>
      <c r="E19" s="4952"/>
      <c r="F19" s="4978">
        <f>' UserValueSets Report'!C510+460</f>
        <v>543.30790333260006</v>
      </c>
      <c r="G19" s="4979"/>
      <c r="H19" s="51"/>
      <c r="J19" s="581"/>
    </row>
    <row r="20" spans="1:15" ht="20.25" customHeight="1">
      <c r="A20" s="587"/>
      <c r="B20" s="4951" t="s">
        <v>642</v>
      </c>
      <c r="C20" s="4952"/>
      <c r="D20" s="4952"/>
      <c r="E20" s="4952"/>
      <c r="F20" s="4978">
        <f>' UserValueSets Report'!C514+460</f>
        <v>554.12600333199998</v>
      </c>
      <c r="G20" s="4979"/>
      <c r="H20" s="51"/>
      <c r="J20" s="581"/>
    </row>
    <row r="21" spans="1:15" ht="20.25" customHeight="1">
      <c r="A21" s="587"/>
      <c r="B21" s="4951" t="s">
        <v>643</v>
      </c>
      <c r="C21" s="4952"/>
      <c r="D21" s="4952"/>
      <c r="E21" s="4952"/>
      <c r="F21" s="4972">
        <f>'Hrly (ECD1)'!H44</f>
        <v>18.150207979956001</v>
      </c>
      <c r="G21" s="4973"/>
      <c r="H21" s="51"/>
      <c r="O21" s="582"/>
    </row>
    <row r="22" spans="1:15" ht="20.25" customHeight="1">
      <c r="A22" s="587"/>
      <c r="B22" s="4951" t="s">
        <v>644</v>
      </c>
      <c r="C22" s="4952"/>
      <c r="D22" s="4952"/>
      <c r="E22" s="4952"/>
      <c r="F22" s="4974">
        <v>0</v>
      </c>
      <c r="G22" s="4975"/>
      <c r="H22" s="51"/>
    </row>
    <row r="23" spans="1:15" ht="20.25" customHeight="1">
      <c r="A23" s="587"/>
      <c r="B23" s="4951" t="s">
        <v>645</v>
      </c>
      <c r="C23" s="4952"/>
      <c r="D23" s="4952"/>
      <c r="E23" s="4952"/>
      <c r="F23" s="4966">
        <f>((12.46*F16*F17*F21/F19)*(1-F22/100))/(1000/42)</f>
        <v>5.975575715769451E-3</v>
      </c>
      <c r="G23" s="4967"/>
      <c r="H23" s="51"/>
      <c r="K23" s="583"/>
    </row>
    <row r="24" spans="1:15" ht="20.25" customHeight="1">
      <c r="A24" s="587"/>
      <c r="B24" s="4951" t="s">
        <v>646</v>
      </c>
      <c r="C24" s="4952"/>
      <c r="D24" s="4952"/>
      <c r="E24" s="4952"/>
      <c r="F24" s="4966">
        <f>((12.46*F16*F18*F21/F20)*(1-F22/100))/(1000/42)</f>
        <v>8.227199224946186E-3</v>
      </c>
      <c r="G24" s="4967"/>
      <c r="H24" s="51"/>
      <c r="J24" s="49"/>
      <c r="K24" s="52"/>
    </row>
    <row r="25" spans="1:15" ht="20.25" customHeight="1">
      <c r="A25" s="587"/>
      <c r="B25" s="4968" t="s">
        <v>647</v>
      </c>
      <c r="C25" s="4969"/>
      <c r="D25" s="4969"/>
      <c r="E25" s="4969"/>
      <c r="F25" s="4970">
        <f>F23*P11/100</f>
        <v>1.3606159932624939E-3</v>
      </c>
      <c r="G25" s="4971"/>
      <c r="H25" s="51"/>
      <c r="J25" s="49"/>
      <c r="K25" s="52"/>
    </row>
    <row r="26" spans="1:15" ht="20.25" customHeight="1">
      <c r="A26" s="587"/>
      <c r="B26" s="4968" t="s">
        <v>648</v>
      </c>
      <c r="C26" s="4969"/>
      <c r="D26" s="4969"/>
      <c r="E26" s="4969"/>
      <c r="F26" s="4970">
        <f>F24*P11/100</f>
        <v>1.8733021515697022E-3</v>
      </c>
      <c r="G26" s="4971"/>
      <c r="H26" s="51"/>
      <c r="K26" s="52"/>
    </row>
    <row r="27" spans="1:15" ht="20.25" customHeight="1">
      <c r="A27" s="587"/>
      <c r="B27" s="4951" t="s">
        <v>303</v>
      </c>
      <c r="C27" s="4952"/>
      <c r="D27" s="4952"/>
      <c r="E27" s="4952"/>
      <c r="F27" s="4953">
        <f>E12</f>
        <v>3660441.5049614916</v>
      </c>
      <c r="G27" s="4954"/>
      <c r="H27" s="51"/>
    </row>
    <row r="28" spans="1:15" ht="20.25" customHeight="1">
      <c r="A28" s="587"/>
      <c r="B28" s="4951" t="s">
        <v>304</v>
      </c>
      <c r="C28" s="4952"/>
      <c r="D28" s="4952"/>
      <c r="E28" s="4952"/>
      <c r="F28" s="4953">
        <v>210</v>
      </c>
      <c r="G28" s="4954"/>
      <c r="H28" s="51"/>
      <c r="K28" s="49"/>
    </row>
    <row r="29" spans="1:15" ht="20.25" customHeight="1" thickBot="1">
      <c r="A29" s="587"/>
      <c r="B29" s="4999" t="s">
        <v>649</v>
      </c>
      <c r="C29" s="5000"/>
      <c r="D29" s="5000"/>
      <c r="E29" s="5000"/>
      <c r="F29" s="5001">
        <f>F27/F28</f>
        <v>17430.673833149958</v>
      </c>
      <c r="G29" s="5002"/>
      <c r="H29" s="51"/>
    </row>
    <row r="30" spans="1:15" ht="13.5" thickBot="1">
      <c r="A30" s="587"/>
      <c r="B30" s="4963"/>
      <c r="C30" s="4963"/>
      <c r="D30" s="4963"/>
      <c r="E30" s="4963"/>
      <c r="F30" s="4963"/>
      <c r="G30" s="4963"/>
      <c r="H30" s="51"/>
    </row>
    <row r="31" spans="1:15" ht="13">
      <c r="A31" s="587"/>
      <c r="B31" s="4670" t="s">
        <v>305</v>
      </c>
      <c r="C31" s="4671"/>
      <c r="D31" s="4671"/>
      <c r="E31" s="4671"/>
      <c r="F31" s="4934" t="s">
        <v>22</v>
      </c>
      <c r="G31" s="4936" t="s">
        <v>37</v>
      </c>
      <c r="H31" s="51"/>
    </row>
    <row r="32" spans="1:15" ht="13">
      <c r="A32" s="587"/>
      <c r="B32" s="4766"/>
      <c r="C32" s="4767"/>
      <c r="D32" s="4767"/>
      <c r="E32" s="4767"/>
      <c r="F32" s="4993"/>
      <c r="G32" s="4994"/>
      <c r="H32" s="51"/>
    </row>
    <row r="33" spans="1:8" ht="13">
      <c r="A33" s="587"/>
      <c r="B33" s="4766"/>
      <c r="C33" s="4767"/>
      <c r="D33" s="4767"/>
      <c r="E33" s="4767"/>
      <c r="F33" s="4995">
        <f>F26*F28</f>
        <v>0.39339345182963747</v>
      </c>
      <c r="G33" s="4997">
        <f>F25*F27/2000</f>
        <v>2.4902276270262185</v>
      </c>
      <c r="H33" s="51"/>
    </row>
    <row r="34" spans="1:8" ht="13.5" thickBot="1">
      <c r="A34" s="587"/>
      <c r="B34" s="4655"/>
      <c r="C34" s="4672"/>
      <c r="D34" s="4672"/>
      <c r="E34" s="4672"/>
      <c r="F34" s="4996"/>
      <c r="G34" s="4998"/>
      <c r="H34" s="51"/>
    </row>
    <row r="35" spans="1:8" ht="13">
      <c r="A35" s="587"/>
      <c r="B35" s="4653" t="s">
        <v>650</v>
      </c>
      <c r="C35" s="4671"/>
      <c r="D35" s="4671"/>
      <c r="E35" s="4671"/>
      <c r="F35" s="4934" t="s">
        <v>22</v>
      </c>
      <c r="G35" s="4936" t="s">
        <v>37</v>
      </c>
      <c r="H35" s="51"/>
    </row>
    <row r="36" spans="1:8" ht="13">
      <c r="A36" s="587"/>
      <c r="B36" s="4766"/>
      <c r="C36" s="4767"/>
      <c r="D36" s="4767"/>
      <c r="E36" s="4767"/>
      <c r="F36" s="4993"/>
      <c r="G36" s="4994"/>
      <c r="H36" s="51"/>
    </row>
    <row r="37" spans="1:8" ht="13">
      <c r="A37" s="587"/>
      <c r="B37" s="4766"/>
      <c r="C37" s="4767"/>
      <c r="D37" s="4767"/>
      <c r="E37" s="4767"/>
      <c r="F37" s="4995">
        <f>F33*0.2807/100</f>
        <v>1.1042554192857925E-3</v>
      </c>
      <c r="G37" s="4997">
        <f>G33*0.2807/100</f>
        <v>6.9900689490625953E-3</v>
      </c>
      <c r="H37" s="51"/>
    </row>
    <row r="38" spans="1:8" ht="13.5" thickBot="1">
      <c r="A38" s="587"/>
      <c r="B38" s="4655"/>
      <c r="C38" s="4672"/>
      <c r="D38" s="4672"/>
      <c r="E38" s="4672"/>
      <c r="F38" s="4996"/>
      <c r="G38" s="4998"/>
      <c r="H38" s="51"/>
    </row>
    <row r="39" spans="1:8" ht="21.75" customHeight="1">
      <c r="A39" s="587"/>
      <c r="B39" s="4991" t="s">
        <v>1136</v>
      </c>
      <c r="C39" s="4991"/>
      <c r="D39" s="4991"/>
      <c r="E39" s="4991"/>
      <c r="F39" s="4991"/>
      <c r="G39" s="4991"/>
      <c r="H39" s="1574"/>
    </row>
    <row r="40" spans="1:8" ht="21.75" customHeight="1" thickBot="1">
      <c r="A40" s="589"/>
      <c r="B40" s="4992"/>
      <c r="C40" s="4992"/>
      <c r="D40" s="4992"/>
      <c r="E40" s="4992"/>
      <c r="F40" s="4992"/>
      <c r="G40" s="4992"/>
      <c r="H40" s="1981"/>
    </row>
  </sheetData>
  <mergeCells count="50">
    <mergeCell ref="B17:E17"/>
    <mergeCell ref="F17:G17"/>
    <mergeCell ref="B2:G2"/>
    <mergeCell ref="B3:G3"/>
    <mergeCell ref="B4:G4"/>
    <mergeCell ref="A9:H9"/>
    <mergeCell ref="C11:D11"/>
    <mergeCell ref="E11:F11"/>
    <mergeCell ref="C12:D12"/>
    <mergeCell ref="E12:F12"/>
    <mergeCell ref="B14:G15"/>
    <mergeCell ref="B16:E16"/>
    <mergeCell ref="F16:G16"/>
    <mergeCell ref="B18:E18"/>
    <mergeCell ref="F18:G18"/>
    <mergeCell ref="B19:E19"/>
    <mergeCell ref="F19:G19"/>
    <mergeCell ref="B20:E20"/>
    <mergeCell ref="F20:G20"/>
    <mergeCell ref="B21:E21"/>
    <mergeCell ref="F21:G21"/>
    <mergeCell ref="B22:E22"/>
    <mergeCell ref="F22:G22"/>
    <mergeCell ref="B23:E23"/>
    <mergeCell ref="F23:G23"/>
    <mergeCell ref="B24:E24"/>
    <mergeCell ref="F24:G24"/>
    <mergeCell ref="B25:E25"/>
    <mergeCell ref="F25:G25"/>
    <mergeCell ref="B26:E26"/>
    <mergeCell ref="F26:G26"/>
    <mergeCell ref="B27:E27"/>
    <mergeCell ref="F27:G27"/>
    <mergeCell ref="B28:E28"/>
    <mergeCell ref="F28:G28"/>
    <mergeCell ref="B29:E29"/>
    <mergeCell ref="F29:G29"/>
    <mergeCell ref="B39:G40"/>
    <mergeCell ref="B30:E30"/>
    <mergeCell ref="F30:G30"/>
    <mergeCell ref="B31:E34"/>
    <mergeCell ref="F31:F32"/>
    <mergeCell ref="G31:G32"/>
    <mergeCell ref="F33:F34"/>
    <mergeCell ref="G33:G34"/>
    <mergeCell ref="B35:E38"/>
    <mergeCell ref="F35:F36"/>
    <mergeCell ref="G35:G36"/>
    <mergeCell ref="F37:F38"/>
    <mergeCell ref="G37:G38"/>
  </mergeCells>
  <pageMargins left="0.7" right="0.7" top="0.75" bottom="0.75" header="0.3" footer="0.3"/>
  <pageSetup scale="96" orientation="portrait" r:id="rId1"/>
  <headerFooter>
    <oddFooter>&amp;CCalculations: Page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theme="3" tint="-0.249977111117893"/>
    <pageSetUpPr fitToPage="1"/>
  </sheetPr>
  <dimension ref="A1:M38"/>
  <sheetViews>
    <sheetView view="pageBreakPreview" topLeftCell="A13" zoomScale="85" zoomScaleNormal="100" zoomScaleSheetLayoutView="85" workbookViewId="0">
      <selection activeCell="E19" sqref="E19:R19"/>
    </sheetView>
  </sheetViews>
  <sheetFormatPr defaultColWidth="8.6328125" defaultRowHeight="13"/>
  <cols>
    <col min="1" max="1" width="4.54296875" style="363" customWidth="1"/>
    <col min="2" max="2" width="39.36328125" style="363" customWidth="1"/>
    <col min="3" max="3" width="11.6328125" style="363" customWidth="1"/>
    <col min="4" max="4" width="4.54296875" style="363" customWidth="1"/>
    <col min="5" max="5" width="38.453125" style="363" customWidth="1"/>
    <col min="6" max="6" width="11.6328125" style="363" customWidth="1"/>
    <col min="7" max="7" width="4.54296875" style="363" customWidth="1"/>
    <col min="8" max="8" width="38.36328125" style="363" customWidth="1"/>
    <col min="9" max="9" width="12.36328125" style="363" customWidth="1"/>
    <col min="10" max="10" width="4.54296875" style="363" customWidth="1"/>
    <col min="11" max="11" width="8.6328125" style="363"/>
    <col min="12" max="12" width="52.453125" style="363" bestFit="1" customWidth="1"/>
    <col min="13" max="13" width="9" style="363" bestFit="1" customWidth="1"/>
    <col min="14" max="247" width="8.6328125" style="363"/>
    <col min="248" max="248" width="23.36328125" style="363" customWidth="1"/>
    <col min="249" max="250" width="8.6328125" style="363"/>
    <col min="251" max="251" width="21.6328125" style="363" customWidth="1"/>
    <col min="252" max="253" width="8.6328125" style="363"/>
    <col min="254" max="254" width="21.453125" style="363" customWidth="1"/>
    <col min="255" max="503" width="8.6328125" style="363"/>
    <col min="504" max="504" width="23.36328125" style="363" customWidth="1"/>
    <col min="505" max="506" width="8.6328125" style="363"/>
    <col min="507" max="507" width="21.6328125" style="363" customWidth="1"/>
    <col min="508" max="509" width="8.6328125" style="363"/>
    <col min="510" max="510" width="21.453125" style="363" customWidth="1"/>
    <col min="511" max="759" width="8.6328125" style="363"/>
    <col min="760" max="760" width="23.36328125" style="363" customWidth="1"/>
    <col min="761" max="762" width="8.6328125" style="363"/>
    <col min="763" max="763" width="21.6328125" style="363" customWidth="1"/>
    <col min="764" max="765" width="8.6328125" style="363"/>
    <col min="766" max="766" width="21.453125" style="363" customWidth="1"/>
    <col min="767" max="1015" width="8.6328125" style="363"/>
    <col min="1016" max="1016" width="23.36328125" style="363" customWidth="1"/>
    <col min="1017" max="1018" width="8.6328125" style="363"/>
    <col min="1019" max="1019" width="21.6328125" style="363" customWidth="1"/>
    <col min="1020" max="1021" width="8.6328125" style="363"/>
    <col min="1022" max="1022" width="21.453125" style="363" customWidth="1"/>
    <col min="1023" max="1271" width="8.6328125" style="363"/>
    <col min="1272" max="1272" width="23.36328125" style="363" customWidth="1"/>
    <col min="1273" max="1274" width="8.6328125" style="363"/>
    <col min="1275" max="1275" width="21.6328125" style="363" customWidth="1"/>
    <col min="1276" max="1277" width="8.6328125" style="363"/>
    <col min="1278" max="1278" width="21.453125" style="363" customWidth="1"/>
    <col min="1279" max="1527" width="8.6328125" style="363"/>
    <col min="1528" max="1528" width="23.36328125" style="363" customWidth="1"/>
    <col min="1529" max="1530" width="8.6328125" style="363"/>
    <col min="1531" max="1531" width="21.6328125" style="363" customWidth="1"/>
    <col min="1532" max="1533" width="8.6328125" style="363"/>
    <col min="1534" max="1534" width="21.453125" style="363" customWidth="1"/>
    <col min="1535" max="1783" width="8.6328125" style="363"/>
    <col min="1784" max="1784" width="23.36328125" style="363" customWidth="1"/>
    <col min="1785" max="1786" width="8.6328125" style="363"/>
    <col min="1787" max="1787" width="21.6328125" style="363" customWidth="1"/>
    <col min="1788" max="1789" width="8.6328125" style="363"/>
    <col min="1790" max="1790" width="21.453125" style="363" customWidth="1"/>
    <col min="1791" max="2039" width="8.6328125" style="363"/>
    <col min="2040" max="2040" width="23.36328125" style="363" customWidth="1"/>
    <col min="2041" max="2042" width="8.6328125" style="363"/>
    <col min="2043" max="2043" width="21.6328125" style="363" customWidth="1"/>
    <col min="2044" max="2045" width="8.6328125" style="363"/>
    <col min="2046" max="2046" width="21.453125" style="363" customWidth="1"/>
    <col min="2047" max="2295" width="8.6328125" style="363"/>
    <col min="2296" max="2296" width="23.36328125" style="363" customWidth="1"/>
    <col min="2297" max="2298" width="8.6328125" style="363"/>
    <col min="2299" max="2299" width="21.6328125" style="363" customWidth="1"/>
    <col min="2300" max="2301" width="8.6328125" style="363"/>
    <col min="2302" max="2302" width="21.453125" style="363" customWidth="1"/>
    <col min="2303" max="2551" width="8.6328125" style="363"/>
    <col min="2552" max="2552" width="23.36328125" style="363" customWidth="1"/>
    <col min="2553" max="2554" width="8.6328125" style="363"/>
    <col min="2555" max="2555" width="21.6328125" style="363" customWidth="1"/>
    <col min="2556" max="2557" width="8.6328125" style="363"/>
    <col min="2558" max="2558" width="21.453125" style="363" customWidth="1"/>
    <col min="2559" max="2807" width="8.6328125" style="363"/>
    <col min="2808" max="2808" width="23.36328125" style="363" customWidth="1"/>
    <col min="2809" max="2810" width="8.6328125" style="363"/>
    <col min="2811" max="2811" width="21.6328125" style="363" customWidth="1"/>
    <col min="2812" max="2813" width="8.6328125" style="363"/>
    <col min="2814" max="2814" width="21.453125" style="363" customWidth="1"/>
    <col min="2815" max="3063" width="8.6328125" style="363"/>
    <col min="3064" max="3064" width="23.36328125" style="363" customWidth="1"/>
    <col min="3065" max="3066" width="8.6328125" style="363"/>
    <col min="3067" max="3067" width="21.6328125" style="363" customWidth="1"/>
    <col min="3068" max="3069" width="8.6328125" style="363"/>
    <col min="3070" max="3070" width="21.453125" style="363" customWidth="1"/>
    <col min="3071" max="3319" width="8.6328125" style="363"/>
    <col min="3320" max="3320" width="23.36328125" style="363" customWidth="1"/>
    <col min="3321" max="3322" width="8.6328125" style="363"/>
    <col min="3323" max="3323" width="21.6328125" style="363" customWidth="1"/>
    <col min="3324" max="3325" width="8.6328125" style="363"/>
    <col min="3326" max="3326" width="21.453125" style="363" customWidth="1"/>
    <col min="3327" max="3575" width="8.6328125" style="363"/>
    <col min="3576" max="3576" width="23.36328125" style="363" customWidth="1"/>
    <col min="3577" max="3578" width="8.6328125" style="363"/>
    <col min="3579" max="3579" width="21.6328125" style="363" customWidth="1"/>
    <col min="3580" max="3581" width="8.6328125" style="363"/>
    <col min="3582" max="3582" width="21.453125" style="363" customWidth="1"/>
    <col min="3583" max="3831" width="8.6328125" style="363"/>
    <col min="3832" max="3832" width="23.36328125" style="363" customWidth="1"/>
    <col min="3833" max="3834" width="8.6328125" style="363"/>
    <col min="3835" max="3835" width="21.6328125" style="363" customWidth="1"/>
    <col min="3836" max="3837" width="8.6328125" style="363"/>
    <col min="3838" max="3838" width="21.453125" style="363" customWidth="1"/>
    <col min="3839" max="4087" width="8.6328125" style="363"/>
    <col min="4088" max="4088" width="23.36328125" style="363" customWidth="1"/>
    <col min="4089" max="4090" width="8.6328125" style="363"/>
    <col min="4091" max="4091" width="21.6328125" style="363" customWidth="1"/>
    <col min="4092" max="4093" width="8.6328125" style="363"/>
    <col min="4094" max="4094" width="21.453125" style="363" customWidth="1"/>
    <col min="4095" max="4343" width="8.6328125" style="363"/>
    <col min="4344" max="4344" width="23.36328125" style="363" customWidth="1"/>
    <col min="4345" max="4346" width="8.6328125" style="363"/>
    <col min="4347" max="4347" width="21.6328125" style="363" customWidth="1"/>
    <col min="4348" max="4349" width="8.6328125" style="363"/>
    <col min="4350" max="4350" width="21.453125" style="363" customWidth="1"/>
    <col min="4351" max="4599" width="8.6328125" style="363"/>
    <col min="4600" max="4600" width="23.36328125" style="363" customWidth="1"/>
    <col min="4601" max="4602" width="8.6328125" style="363"/>
    <col min="4603" max="4603" width="21.6328125" style="363" customWidth="1"/>
    <col min="4604" max="4605" width="8.6328125" style="363"/>
    <col min="4606" max="4606" width="21.453125" style="363" customWidth="1"/>
    <col min="4607" max="4855" width="8.6328125" style="363"/>
    <col min="4856" max="4856" width="23.36328125" style="363" customWidth="1"/>
    <col min="4857" max="4858" width="8.6328125" style="363"/>
    <col min="4859" max="4859" width="21.6328125" style="363" customWidth="1"/>
    <col min="4860" max="4861" width="8.6328125" style="363"/>
    <col min="4862" max="4862" width="21.453125" style="363" customWidth="1"/>
    <col min="4863" max="5111" width="8.6328125" style="363"/>
    <col min="5112" max="5112" width="23.36328125" style="363" customWidth="1"/>
    <col min="5113" max="5114" width="8.6328125" style="363"/>
    <col min="5115" max="5115" width="21.6328125" style="363" customWidth="1"/>
    <col min="5116" max="5117" width="8.6328125" style="363"/>
    <col min="5118" max="5118" width="21.453125" style="363" customWidth="1"/>
    <col min="5119" max="5367" width="8.6328125" style="363"/>
    <col min="5368" max="5368" width="23.36328125" style="363" customWidth="1"/>
    <col min="5369" max="5370" width="8.6328125" style="363"/>
    <col min="5371" max="5371" width="21.6328125" style="363" customWidth="1"/>
    <col min="5372" max="5373" width="8.6328125" style="363"/>
    <col min="5374" max="5374" width="21.453125" style="363" customWidth="1"/>
    <col min="5375" max="5623" width="8.6328125" style="363"/>
    <col min="5624" max="5624" width="23.36328125" style="363" customWidth="1"/>
    <col min="5625" max="5626" width="8.6328125" style="363"/>
    <col min="5627" max="5627" width="21.6328125" style="363" customWidth="1"/>
    <col min="5628" max="5629" width="8.6328125" style="363"/>
    <col min="5630" max="5630" width="21.453125" style="363" customWidth="1"/>
    <col min="5631" max="5879" width="8.6328125" style="363"/>
    <col min="5880" max="5880" width="23.36328125" style="363" customWidth="1"/>
    <col min="5881" max="5882" width="8.6328125" style="363"/>
    <col min="5883" max="5883" width="21.6328125" style="363" customWidth="1"/>
    <col min="5884" max="5885" width="8.6328125" style="363"/>
    <col min="5886" max="5886" width="21.453125" style="363" customWidth="1"/>
    <col min="5887" max="6135" width="8.6328125" style="363"/>
    <col min="6136" max="6136" width="23.36328125" style="363" customWidth="1"/>
    <col min="6137" max="6138" width="8.6328125" style="363"/>
    <col min="6139" max="6139" width="21.6328125" style="363" customWidth="1"/>
    <col min="6140" max="6141" width="8.6328125" style="363"/>
    <col min="6142" max="6142" width="21.453125" style="363" customWidth="1"/>
    <col min="6143" max="6391" width="8.6328125" style="363"/>
    <col min="6392" max="6392" width="23.36328125" style="363" customWidth="1"/>
    <col min="6393" max="6394" width="8.6328125" style="363"/>
    <col min="6395" max="6395" width="21.6328125" style="363" customWidth="1"/>
    <col min="6396" max="6397" width="8.6328125" style="363"/>
    <col min="6398" max="6398" width="21.453125" style="363" customWidth="1"/>
    <col min="6399" max="6647" width="8.6328125" style="363"/>
    <col min="6648" max="6648" width="23.36328125" style="363" customWidth="1"/>
    <col min="6649" max="6650" width="8.6328125" style="363"/>
    <col min="6651" max="6651" width="21.6328125" style="363" customWidth="1"/>
    <col min="6652" max="6653" width="8.6328125" style="363"/>
    <col min="6654" max="6654" width="21.453125" style="363" customWidth="1"/>
    <col min="6655" max="6903" width="8.6328125" style="363"/>
    <col min="6904" max="6904" width="23.36328125" style="363" customWidth="1"/>
    <col min="6905" max="6906" width="8.6328125" style="363"/>
    <col min="6907" max="6907" width="21.6328125" style="363" customWidth="1"/>
    <col min="6908" max="6909" width="8.6328125" style="363"/>
    <col min="6910" max="6910" width="21.453125" style="363" customWidth="1"/>
    <col min="6911" max="7159" width="8.6328125" style="363"/>
    <col min="7160" max="7160" width="23.36328125" style="363" customWidth="1"/>
    <col min="7161" max="7162" width="8.6328125" style="363"/>
    <col min="7163" max="7163" width="21.6328125" style="363" customWidth="1"/>
    <col min="7164" max="7165" width="8.6328125" style="363"/>
    <col min="7166" max="7166" width="21.453125" style="363" customWidth="1"/>
    <col min="7167" max="7415" width="8.6328125" style="363"/>
    <col min="7416" max="7416" width="23.36328125" style="363" customWidth="1"/>
    <col min="7417" max="7418" width="8.6328125" style="363"/>
    <col min="7419" max="7419" width="21.6328125" style="363" customWidth="1"/>
    <col min="7420" max="7421" width="8.6328125" style="363"/>
    <col min="7422" max="7422" width="21.453125" style="363" customWidth="1"/>
    <col min="7423" max="7671" width="8.6328125" style="363"/>
    <col min="7672" max="7672" width="23.36328125" style="363" customWidth="1"/>
    <col min="7673" max="7674" width="8.6328125" style="363"/>
    <col min="7675" max="7675" width="21.6328125" style="363" customWidth="1"/>
    <col min="7676" max="7677" width="8.6328125" style="363"/>
    <col min="7678" max="7678" width="21.453125" style="363" customWidth="1"/>
    <col min="7679" max="7927" width="8.6328125" style="363"/>
    <col min="7928" max="7928" width="23.36328125" style="363" customWidth="1"/>
    <col min="7929" max="7930" width="8.6328125" style="363"/>
    <col min="7931" max="7931" width="21.6328125" style="363" customWidth="1"/>
    <col min="7932" max="7933" width="8.6328125" style="363"/>
    <col min="7934" max="7934" width="21.453125" style="363" customWidth="1"/>
    <col min="7935" max="8183" width="8.6328125" style="363"/>
    <col min="8184" max="8184" width="23.36328125" style="363" customWidth="1"/>
    <col min="8185" max="8186" width="8.6328125" style="363"/>
    <col min="8187" max="8187" width="21.6328125" style="363" customWidth="1"/>
    <col min="8188" max="8189" width="8.6328125" style="363"/>
    <col min="8190" max="8190" width="21.453125" style="363" customWidth="1"/>
    <col min="8191" max="8439" width="8.6328125" style="363"/>
    <col min="8440" max="8440" width="23.36328125" style="363" customWidth="1"/>
    <col min="8441" max="8442" width="8.6328125" style="363"/>
    <col min="8443" max="8443" width="21.6328125" style="363" customWidth="1"/>
    <col min="8444" max="8445" width="8.6328125" style="363"/>
    <col min="8446" max="8446" width="21.453125" style="363" customWidth="1"/>
    <col min="8447" max="8695" width="8.6328125" style="363"/>
    <col min="8696" max="8696" width="23.36328125" style="363" customWidth="1"/>
    <col min="8697" max="8698" width="8.6328125" style="363"/>
    <col min="8699" max="8699" width="21.6328125" style="363" customWidth="1"/>
    <col min="8700" max="8701" width="8.6328125" style="363"/>
    <col min="8702" max="8702" width="21.453125" style="363" customWidth="1"/>
    <col min="8703" max="8951" width="8.6328125" style="363"/>
    <col min="8952" max="8952" width="23.36328125" style="363" customWidth="1"/>
    <col min="8953" max="8954" width="8.6328125" style="363"/>
    <col min="8955" max="8955" width="21.6328125" style="363" customWidth="1"/>
    <col min="8956" max="8957" width="8.6328125" style="363"/>
    <col min="8958" max="8958" width="21.453125" style="363" customWidth="1"/>
    <col min="8959" max="9207" width="8.6328125" style="363"/>
    <col min="9208" max="9208" width="23.36328125" style="363" customWidth="1"/>
    <col min="9209" max="9210" width="8.6328125" style="363"/>
    <col min="9211" max="9211" width="21.6328125" style="363" customWidth="1"/>
    <col min="9212" max="9213" width="8.6328125" style="363"/>
    <col min="9214" max="9214" width="21.453125" style="363" customWidth="1"/>
    <col min="9215" max="9463" width="8.6328125" style="363"/>
    <col min="9464" max="9464" width="23.36328125" style="363" customWidth="1"/>
    <col min="9465" max="9466" width="8.6328125" style="363"/>
    <col min="9467" max="9467" width="21.6328125" style="363" customWidth="1"/>
    <col min="9468" max="9469" width="8.6328125" style="363"/>
    <col min="9470" max="9470" width="21.453125" style="363" customWidth="1"/>
    <col min="9471" max="9719" width="8.6328125" style="363"/>
    <col min="9720" max="9720" width="23.36328125" style="363" customWidth="1"/>
    <col min="9721" max="9722" width="8.6328125" style="363"/>
    <col min="9723" max="9723" width="21.6328125" style="363" customWidth="1"/>
    <col min="9724" max="9725" width="8.6328125" style="363"/>
    <col min="9726" max="9726" width="21.453125" style="363" customWidth="1"/>
    <col min="9727" max="9975" width="8.6328125" style="363"/>
    <col min="9976" max="9976" width="23.36328125" style="363" customWidth="1"/>
    <col min="9977" max="9978" width="8.6328125" style="363"/>
    <col min="9979" max="9979" width="21.6328125" style="363" customWidth="1"/>
    <col min="9980" max="9981" width="8.6328125" style="363"/>
    <col min="9982" max="9982" width="21.453125" style="363" customWidth="1"/>
    <col min="9983" max="10231" width="8.6328125" style="363"/>
    <col min="10232" max="10232" width="23.36328125" style="363" customWidth="1"/>
    <col min="10233" max="10234" width="8.6328125" style="363"/>
    <col min="10235" max="10235" width="21.6328125" style="363" customWidth="1"/>
    <col min="10236" max="10237" width="8.6328125" style="363"/>
    <col min="10238" max="10238" width="21.453125" style="363" customWidth="1"/>
    <col min="10239" max="10487" width="8.6328125" style="363"/>
    <col min="10488" max="10488" width="23.36328125" style="363" customWidth="1"/>
    <col min="10489" max="10490" width="8.6328125" style="363"/>
    <col min="10491" max="10491" width="21.6328125" style="363" customWidth="1"/>
    <col min="10492" max="10493" width="8.6328125" style="363"/>
    <col min="10494" max="10494" width="21.453125" style="363" customWidth="1"/>
    <col min="10495" max="10743" width="8.6328125" style="363"/>
    <col min="10744" max="10744" width="23.36328125" style="363" customWidth="1"/>
    <col min="10745" max="10746" width="8.6328125" style="363"/>
    <col min="10747" max="10747" width="21.6328125" style="363" customWidth="1"/>
    <col min="10748" max="10749" width="8.6328125" style="363"/>
    <col min="10750" max="10750" width="21.453125" style="363" customWidth="1"/>
    <col min="10751" max="10999" width="8.6328125" style="363"/>
    <col min="11000" max="11000" width="23.36328125" style="363" customWidth="1"/>
    <col min="11001" max="11002" width="8.6328125" style="363"/>
    <col min="11003" max="11003" width="21.6328125" style="363" customWidth="1"/>
    <col min="11004" max="11005" width="8.6328125" style="363"/>
    <col min="11006" max="11006" width="21.453125" style="363" customWidth="1"/>
    <col min="11007" max="11255" width="8.6328125" style="363"/>
    <col min="11256" max="11256" width="23.36328125" style="363" customWidth="1"/>
    <col min="11257" max="11258" width="8.6328125" style="363"/>
    <col min="11259" max="11259" width="21.6328125" style="363" customWidth="1"/>
    <col min="11260" max="11261" width="8.6328125" style="363"/>
    <col min="11262" max="11262" width="21.453125" style="363" customWidth="1"/>
    <col min="11263" max="11511" width="8.6328125" style="363"/>
    <col min="11512" max="11512" width="23.36328125" style="363" customWidth="1"/>
    <col min="11513" max="11514" width="8.6328125" style="363"/>
    <col min="11515" max="11515" width="21.6328125" style="363" customWidth="1"/>
    <col min="11516" max="11517" width="8.6328125" style="363"/>
    <col min="11518" max="11518" width="21.453125" style="363" customWidth="1"/>
    <col min="11519" max="11767" width="8.6328125" style="363"/>
    <col min="11768" max="11768" width="23.36328125" style="363" customWidth="1"/>
    <col min="11769" max="11770" width="8.6328125" style="363"/>
    <col min="11771" max="11771" width="21.6328125" style="363" customWidth="1"/>
    <col min="11772" max="11773" width="8.6328125" style="363"/>
    <col min="11774" max="11774" width="21.453125" style="363" customWidth="1"/>
    <col min="11775" max="12023" width="8.6328125" style="363"/>
    <col min="12024" max="12024" width="23.36328125" style="363" customWidth="1"/>
    <col min="12025" max="12026" width="8.6328125" style="363"/>
    <col min="12027" max="12027" width="21.6328125" style="363" customWidth="1"/>
    <col min="12028" max="12029" width="8.6328125" style="363"/>
    <col min="12030" max="12030" width="21.453125" style="363" customWidth="1"/>
    <col min="12031" max="12279" width="8.6328125" style="363"/>
    <col min="12280" max="12280" width="23.36328125" style="363" customWidth="1"/>
    <col min="12281" max="12282" width="8.6328125" style="363"/>
    <col min="12283" max="12283" width="21.6328125" style="363" customWidth="1"/>
    <col min="12284" max="12285" width="8.6328125" style="363"/>
    <col min="12286" max="12286" width="21.453125" style="363" customWidth="1"/>
    <col min="12287" max="12535" width="8.6328125" style="363"/>
    <col min="12536" max="12536" width="23.36328125" style="363" customWidth="1"/>
    <col min="12537" max="12538" width="8.6328125" style="363"/>
    <col min="12539" max="12539" width="21.6328125" style="363" customWidth="1"/>
    <col min="12540" max="12541" width="8.6328125" style="363"/>
    <col min="12542" max="12542" width="21.453125" style="363" customWidth="1"/>
    <col min="12543" max="12791" width="8.6328125" style="363"/>
    <col min="12792" max="12792" width="23.36328125" style="363" customWidth="1"/>
    <col min="12793" max="12794" width="8.6328125" style="363"/>
    <col min="12795" max="12795" width="21.6328125" style="363" customWidth="1"/>
    <col min="12796" max="12797" width="8.6328125" style="363"/>
    <col min="12798" max="12798" width="21.453125" style="363" customWidth="1"/>
    <col min="12799" max="13047" width="8.6328125" style="363"/>
    <col min="13048" max="13048" width="23.36328125" style="363" customWidth="1"/>
    <col min="13049" max="13050" width="8.6328125" style="363"/>
    <col min="13051" max="13051" width="21.6328125" style="363" customWidth="1"/>
    <col min="13052" max="13053" width="8.6328125" style="363"/>
    <col min="13054" max="13054" width="21.453125" style="363" customWidth="1"/>
    <col min="13055" max="13303" width="8.6328125" style="363"/>
    <col min="13304" max="13304" width="23.36328125" style="363" customWidth="1"/>
    <col min="13305" max="13306" width="8.6328125" style="363"/>
    <col min="13307" max="13307" width="21.6328125" style="363" customWidth="1"/>
    <col min="13308" max="13309" width="8.6328125" style="363"/>
    <col min="13310" max="13310" width="21.453125" style="363" customWidth="1"/>
    <col min="13311" max="13559" width="8.6328125" style="363"/>
    <col min="13560" max="13560" width="23.36328125" style="363" customWidth="1"/>
    <col min="13561" max="13562" width="8.6328125" style="363"/>
    <col min="13563" max="13563" width="21.6328125" style="363" customWidth="1"/>
    <col min="13564" max="13565" width="8.6328125" style="363"/>
    <col min="13566" max="13566" width="21.453125" style="363" customWidth="1"/>
    <col min="13567" max="13815" width="8.6328125" style="363"/>
    <col min="13816" max="13816" width="23.36328125" style="363" customWidth="1"/>
    <col min="13817" max="13818" width="8.6328125" style="363"/>
    <col min="13819" max="13819" width="21.6328125" style="363" customWidth="1"/>
    <col min="13820" max="13821" width="8.6328125" style="363"/>
    <col min="13822" max="13822" width="21.453125" style="363" customWidth="1"/>
    <col min="13823" max="14071" width="8.6328125" style="363"/>
    <col min="14072" max="14072" width="23.36328125" style="363" customWidth="1"/>
    <col min="14073" max="14074" width="8.6328125" style="363"/>
    <col min="14075" max="14075" width="21.6328125" style="363" customWidth="1"/>
    <col min="14076" max="14077" width="8.6328125" style="363"/>
    <col min="14078" max="14078" width="21.453125" style="363" customWidth="1"/>
    <col min="14079" max="14327" width="8.6328125" style="363"/>
    <col min="14328" max="14328" width="23.36328125" style="363" customWidth="1"/>
    <col min="14329" max="14330" width="8.6328125" style="363"/>
    <col min="14331" max="14331" width="21.6328125" style="363" customWidth="1"/>
    <col min="14332" max="14333" width="8.6328125" style="363"/>
    <col min="14334" max="14334" width="21.453125" style="363" customWidth="1"/>
    <col min="14335" max="14583" width="8.6328125" style="363"/>
    <col min="14584" max="14584" width="23.36328125" style="363" customWidth="1"/>
    <col min="14585" max="14586" width="8.6328125" style="363"/>
    <col min="14587" max="14587" width="21.6328125" style="363" customWidth="1"/>
    <col min="14588" max="14589" width="8.6328125" style="363"/>
    <col min="14590" max="14590" width="21.453125" style="363" customWidth="1"/>
    <col min="14591" max="14839" width="8.6328125" style="363"/>
    <col min="14840" max="14840" width="23.36328125" style="363" customWidth="1"/>
    <col min="14841" max="14842" width="8.6328125" style="363"/>
    <col min="14843" max="14843" width="21.6328125" style="363" customWidth="1"/>
    <col min="14844" max="14845" width="8.6328125" style="363"/>
    <col min="14846" max="14846" width="21.453125" style="363" customWidth="1"/>
    <col min="14847" max="15095" width="8.6328125" style="363"/>
    <col min="15096" max="15096" width="23.36328125" style="363" customWidth="1"/>
    <col min="15097" max="15098" width="8.6328125" style="363"/>
    <col min="15099" max="15099" width="21.6328125" style="363" customWidth="1"/>
    <col min="15100" max="15101" width="8.6328125" style="363"/>
    <col min="15102" max="15102" width="21.453125" style="363" customWidth="1"/>
    <col min="15103" max="15351" width="8.6328125" style="363"/>
    <col min="15352" max="15352" width="23.36328125" style="363" customWidth="1"/>
    <col min="15353" max="15354" width="8.6328125" style="363"/>
    <col min="15355" max="15355" width="21.6328125" style="363" customWidth="1"/>
    <col min="15356" max="15357" width="8.6328125" style="363"/>
    <col min="15358" max="15358" width="21.453125" style="363" customWidth="1"/>
    <col min="15359" max="15607" width="8.6328125" style="363"/>
    <col min="15608" max="15608" width="23.36328125" style="363" customWidth="1"/>
    <col min="15609" max="15610" width="8.6328125" style="363"/>
    <col min="15611" max="15611" width="21.6328125" style="363" customWidth="1"/>
    <col min="15612" max="15613" width="8.6328125" style="363"/>
    <col min="15614" max="15614" width="21.453125" style="363" customWidth="1"/>
    <col min="15615" max="15863" width="8.6328125" style="363"/>
    <col min="15864" max="15864" width="23.36328125" style="363" customWidth="1"/>
    <col min="15865" max="15866" width="8.6328125" style="363"/>
    <col min="15867" max="15867" width="21.6328125" style="363" customWidth="1"/>
    <col min="15868" max="15869" width="8.6328125" style="363"/>
    <col min="15870" max="15870" width="21.453125" style="363" customWidth="1"/>
    <col min="15871" max="16119" width="8.6328125" style="363"/>
    <col min="16120" max="16120" width="23.36328125" style="363" customWidth="1"/>
    <col min="16121" max="16122" width="8.6328125" style="363"/>
    <col min="16123" max="16123" width="21.6328125" style="363" customWidth="1"/>
    <col min="16124" max="16125" width="8.6328125" style="363"/>
    <col min="16126" max="16126" width="21.453125" style="363" customWidth="1"/>
    <col min="16127" max="16384" width="8.6328125" style="363"/>
  </cols>
  <sheetData>
    <row r="1" spans="1:13" ht="13.5" thickBot="1">
      <c r="A1" s="640"/>
      <c r="B1" s="641"/>
      <c r="C1" s="641"/>
      <c r="D1" s="641"/>
      <c r="E1" s="641"/>
      <c r="F1" s="641"/>
      <c r="G1" s="641"/>
      <c r="H1" s="641"/>
      <c r="I1" s="1350"/>
      <c r="J1" s="1351"/>
      <c r="K1" s="439"/>
    </row>
    <row r="2" spans="1:13" ht="23.25" customHeight="1">
      <c r="A2" s="643"/>
      <c r="B2" s="4657" t="str">
        <f>'Summary-Co'!B3</f>
        <v>XTO ENERGY INC.</v>
      </c>
      <c r="C2" s="4658"/>
      <c r="D2" s="4658"/>
      <c r="E2" s="4658"/>
      <c r="F2" s="4658"/>
      <c r="G2" s="4658"/>
      <c r="H2" s="4658"/>
      <c r="I2" s="4659"/>
      <c r="J2" s="1352"/>
      <c r="K2" s="439"/>
    </row>
    <row r="3" spans="1:13" ht="23.25" customHeight="1">
      <c r="A3" s="643"/>
      <c r="B3" s="4660" t="str">
        <f>'Summary-Co'!B4</f>
        <v>HUSKY CDP</v>
      </c>
      <c r="C3" s="4661"/>
      <c r="D3" s="4661"/>
      <c r="E3" s="4661"/>
      <c r="F3" s="4661"/>
      <c r="G3" s="4661"/>
      <c r="H3" s="4661"/>
      <c r="I3" s="4662"/>
      <c r="J3" s="1352"/>
      <c r="K3" s="439"/>
    </row>
    <row r="4" spans="1:13" ht="23.25" customHeight="1" thickBot="1">
      <c r="A4" s="643"/>
      <c r="B4" s="4663" t="s">
        <v>115</v>
      </c>
      <c r="C4" s="4665"/>
      <c r="D4" s="4665"/>
      <c r="E4" s="4665"/>
      <c r="F4" s="4665"/>
      <c r="G4" s="4665"/>
      <c r="H4" s="4665"/>
      <c r="I4" s="4666"/>
      <c r="J4" s="1352"/>
      <c r="K4" s="439"/>
    </row>
    <row r="5" spans="1:13" ht="13.5" thickBot="1">
      <c r="A5" s="645"/>
      <c r="B5" s="1353"/>
      <c r="C5" s="1353"/>
      <c r="D5" s="1353"/>
      <c r="E5" s="1353"/>
      <c r="F5" s="1353"/>
      <c r="G5" s="1353"/>
      <c r="H5" s="1353"/>
      <c r="I5" s="541"/>
      <c r="J5" s="543"/>
      <c r="K5" s="439"/>
    </row>
    <row r="6" spans="1:13">
      <c r="A6" s="590"/>
      <c r="B6" s="1354"/>
      <c r="C6" s="1354"/>
      <c r="D6" s="1354"/>
      <c r="E6" s="1354"/>
      <c r="F6" s="1354"/>
      <c r="G6" s="1354"/>
      <c r="H6" s="1354"/>
      <c r="I6" s="1354"/>
      <c r="J6" s="590"/>
    </row>
    <row r="7" spans="1:13" ht="13.25" customHeight="1" thickBot="1">
      <c r="A7" s="590"/>
      <c r="B7" s="590"/>
      <c r="C7" s="590"/>
      <c r="D7" s="590"/>
      <c r="E7" s="5027"/>
      <c r="F7" s="5027"/>
      <c r="G7" s="5027"/>
      <c r="H7" s="5027"/>
      <c r="I7" s="5027"/>
      <c r="J7" s="590"/>
    </row>
    <row r="8" spans="1:13" ht="20.25" customHeight="1" thickBot="1">
      <c r="A8" s="640"/>
      <c r="B8" s="1345"/>
      <c r="C8" s="1345"/>
      <c r="D8" s="1345"/>
      <c r="E8" s="1345"/>
      <c r="F8" s="1345"/>
      <c r="G8" s="1345"/>
      <c r="H8" s="1345"/>
      <c r="I8" s="1345"/>
      <c r="J8" s="642"/>
    </row>
    <row r="9" spans="1:13" ht="20.25" customHeight="1">
      <c r="A9" s="643"/>
      <c r="B9" s="5017" t="s">
        <v>1309</v>
      </c>
      <c r="C9" s="5018"/>
      <c r="D9" s="1346"/>
      <c r="E9" s="5017" t="s">
        <v>545</v>
      </c>
      <c r="F9" s="5018"/>
      <c r="G9" s="1346"/>
      <c r="H9" s="5017" t="s">
        <v>546</v>
      </c>
      <c r="I9" s="5018"/>
      <c r="J9" s="51"/>
    </row>
    <row r="10" spans="1:13" ht="20.25" customHeight="1" thickBot="1">
      <c r="A10" s="643"/>
      <c r="B10" s="5019" t="s">
        <v>1792</v>
      </c>
      <c r="C10" s="5020"/>
      <c r="D10" s="1346"/>
      <c r="E10" s="5019" t="s">
        <v>1792</v>
      </c>
      <c r="F10" s="5020"/>
      <c r="G10" s="1346"/>
      <c r="H10" s="5019" t="s">
        <v>1792</v>
      </c>
      <c r="I10" s="5020"/>
      <c r="J10" s="51"/>
    </row>
    <row r="11" spans="1:13" s="443" customFormat="1" ht="21" customHeight="1">
      <c r="A11" s="1347"/>
      <c r="B11" s="2587" t="s">
        <v>104</v>
      </c>
      <c r="C11" s="2588">
        <v>0.7</v>
      </c>
      <c r="D11" s="1348"/>
      <c r="E11" s="2587" t="s">
        <v>104</v>
      </c>
      <c r="F11" s="2589">
        <v>0.9</v>
      </c>
      <c r="G11" s="1348"/>
      <c r="H11" s="2587" t="s">
        <v>104</v>
      </c>
      <c r="I11" s="2589">
        <v>0.9</v>
      </c>
      <c r="J11" s="1349"/>
      <c r="L11" s="444" t="s">
        <v>1325</v>
      </c>
      <c r="M11" s="444"/>
    </row>
    <row r="12" spans="1:13" s="443" customFormat="1" ht="21" customHeight="1">
      <c r="A12" s="1347"/>
      <c r="B12" s="2587" t="s">
        <v>105</v>
      </c>
      <c r="C12" s="2589">
        <v>0.45</v>
      </c>
      <c r="D12" s="1348"/>
      <c r="E12" s="2587" t="s">
        <v>105</v>
      </c>
      <c r="F12" s="2589">
        <v>0.45</v>
      </c>
      <c r="G12" s="1348"/>
      <c r="H12" s="2587" t="s">
        <v>105</v>
      </c>
      <c r="I12" s="2589">
        <v>0.45</v>
      </c>
      <c r="J12" s="1349"/>
      <c r="L12" s="444">
        <v>8000</v>
      </c>
      <c r="M12" s="1280">
        <f>L12/210*365</f>
        <v>13904.761904761905</v>
      </c>
    </row>
    <row r="13" spans="1:13" s="443" customFormat="1" ht="21" customHeight="1">
      <c r="A13" s="1347"/>
      <c r="B13" s="2587" t="s">
        <v>106</v>
      </c>
      <c r="C13" s="2589">
        <v>4.9000000000000004</v>
      </c>
      <c r="D13" s="1348"/>
      <c r="E13" s="2587" t="s">
        <v>106</v>
      </c>
      <c r="F13" s="2589">
        <v>1.5</v>
      </c>
      <c r="G13" s="1348"/>
      <c r="H13" s="2587" t="s">
        <v>106</v>
      </c>
      <c r="I13" s="2589">
        <v>0.15</v>
      </c>
      <c r="J13" s="1349"/>
      <c r="L13" s="444"/>
      <c r="M13" s="444"/>
    </row>
    <row r="14" spans="1:13" s="443" customFormat="1" ht="21" customHeight="1">
      <c r="A14" s="1347"/>
      <c r="B14" s="2587" t="s">
        <v>1310</v>
      </c>
      <c r="C14" s="2589">
        <v>4.8</v>
      </c>
      <c r="D14" s="1348"/>
      <c r="E14" s="2587" t="s">
        <v>1310</v>
      </c>
      <c r="F14" s="2589">
        <f>C14</f>
        <v>4.8</v>
      </c>
      <c r="G14" s="1348"/>
      <c r="H14" s="2587" t="s">
        <v>1310</v>
      </c>
      <c r="I14" s="2589">
        <f>C14</f>
        <v>4.8</v>
      </c>
      <c r="J14" s="1349"/>
      <c r="L14" s="445" t="s">
        <v>1264</v>
      </c>
      <c r="M14" s="445"/>
    </row>
    <row r="15" spans="1:13" s="443" customFormat="1" ht="21" customHeight="1">
      <c r="A15" s="1347"/>
      <c r="B15" s="2587" t="s">
        <v>107</v>
      </c>
      <c r="C15" s="2589">
        <v>28</v>
      </c>
      <c r="D15" s="1348"/>
      <c r="E15" s="2587" t="s">
        <v>107</v>
      </c>
      <c r="F15" s="2589">
        <v>28</v>
      </c>
      <c r="G15" s="1348"/>
      <c r="H15" s="2587" t="s">
        <v>107</v>
      </c>
      <c r="I15" s="2589">
        <v>28</v>
      </c>
      <c r="J15" s="1349"/>
      <c r="L15" s="445" t="s">
        <v>547</v>
      </c>
      <c r="M15" s="446">
        <f>'Load-Slop Oil'!F29+'Load-H2O'!F29</f>
        <v>17795.673833149958</v>
      </c>
    </row>
    <row r="16" spans="1:13" s="443" customFormat="1" ht="21" customHeight="1">
      <c r="A16" s="1347"/>
      <c r="B16" s="2587" t="s">
        <v>548</v>
      </c>
      <c r="C16" s="2590">
        <f>+C13*(C14/12)^C11*(C15/3)^C12</f>
        <v>7.0494400806296555</v>
      </c>
      <c r="D16" s="1348"/>
      <c r="E16" s="2587" t="s">
        <v>548</v>
      </c>
      <c r="F16" s="2590">
        <f>+F13*(F14/12)^F11*(F15/3)^F12</f>
        <v>1.7966430457700628</v>
      </c>
      <c r="G16" s="1348"/>
      <c r="H16" s="2587" t="str">
        <f>E16</f>
        <v>E-Hourly (lbs/VMT)</v>
      </c>
      <c r="I16" s="2590">
        <f>+I13*(I14/12)^I11*(I15/3)^I12</f>
        <v>0.17966430457700625</v>
      </c>
      <c r="J16" s="1349"/>
      <c r="L16" s="447" t="s">
        <v>549</v>
      </c>
      <c r="M16" s="448">
        <f>M12+M15</f>
        <v>31700.435737911863</v>
      </c>
    </row>
    <row r="17" spans="1:13" s="443" customFormat="1" ht="21" customHeight="1">
      <c r="A17" s="1347"/>
      <c r="B17" s="2587" t="s">
        <v>550</v>
      </c>
      <c r="C17" s="2591">
        <v>70</v>
      </c>
      <c r="D17" s="1348"/>
      <c r="E17" s="2587" t="s">
        <v>550</v>
      </c>
      <c r="F17" s="2591">
        <v>70</v>
      </c>
      <c r="G17" s="1348"/>
      <c r="H17" s="2587" t="str">
        <f>E17</f>
        <v>Rain Days</v>
      </c>
      <c r="I17" s="2591">
        <f>F17</f>
        <v>70</v>
      </c>
      <c r="J17" s="1349"/>
      <c r="M17" s="443">
        <f>M16/365</f>
        <v>86.850508870991405</v>
      </c>
    </row>
    <row r="18" spans="1:13" s="443" customFormat="1" ht="21" customHeight="1">
      <c r="A18" s="1347"/>
      <c r="B18" s="2587" t="s">
        <v>551</v>
      </c>
      <c r="C18" s="2592">
        <f>(365-C17)/365*C16</f>
        <v>5.6974926679061602</v>
      </c>
      <c r="D18" s="1348"/>
      <c r="E18" s="2587" t="s">
        <v>551</v>
      </c>
      <c r="F18" s="2592">
        <f>(365-F17)/365*F16</f>
        <v>1.4520813657593659</v>
      </c>
      <c r="G18" s="1348"/>
      <c r="H18" s="2587" t="str">
        <f>E18</f>
        <v>E-Annual (lbs/VMT)</v>
      </c>
      <c r="I18" s="2592">
        <f>(365-I17)/365*I16</f>
        <v>0.14520813657593656</v>
      </c>
      <c r="J18" s="1349"/>
      <c r="L18" s="449"/>
      <c r="M18" s="450">
        <v>4</v>
      </c>
    </row>
    <row r="19" spans="1:13" s="443" customFormat="1" ht="21" customHeight="1">
      <c r="A19" s="1347"/>
      <c r="B19" s="2587" t="s">
        <v>112</v>
      </c>
      <c r="C19" s="2591">
        <f>M16</f>
        <v>31700.435737911863</v>
      </c>
      <c r="D19" s="1348"/>
      <c r="E19" s="2587" t="s">
        <v>112</v>
      </c>
      <c r="F19" s="2591">
        <f>M16</f>
        <v>31700.435737911863</v>
      </c>
      <c r="G19" s="1348"/>
      <c r="H19" s="2587" t="str">
        <f>E19</f>
        <v>Truckloads per year</v>
      </c>
      <c r="I19" s="2591">
        <f>F19</f>
        <v>31700.435737911863</v>
      </c>
      <c r="J19" s="1349"/>
    </row>
    <row r="20" spans="1:13" s="443" customFormat="1" ht="21" customHeight="1">
      <c r="A20" s="1347"/>
      <c r="B20" s="2587" t="s">
        <v>111</v>
      </c>
      <c r="C20" s="2589">
        <v>3000</v>
      </c>
      <c r="D20" s="1348"/>
      <c r="E20" s="2587" t="s">
        <v>111</v>
      </c>
      <c r="F20" s="2589">
        <f>C20</f>
        <v>3000</v>
      </c>
      <c r="G20" s="1348"/>
      <c r="H20" s="2587" t="s">
        <v>111</v>
      </c>
      <c r="I20" s="2591">
        <f>C20</f>
        <v>3000</v>
      </c>
      <c r="J20" s="1349"/>
    </row>
    <row r="21" spans="1:13" s="443" customFormat="1" ht="21" customHeight="1">
      <c r="A21" s="1347"/>
      <c r="B21" s="2587" t="s">
        <v>113</v>
      </c>
      <c r="C21" s="2591">
        <f>C19*C20/5280</f>
        <v>18011.611214722652</v>
      </c>
      <c r="D21" s="1348"/>
      <c r="E21" s="2587" t="s">
        <v>113</v>
      </c>
      <c r="F21" s="2591">
        <f>F19*F20/5280</f>
        <v>18011.611214722652</v>
      </c>
      <c r="G21" s="1348"/>
      <c r="H21" s="2587" t="s">
        <v>113</v>
      </c>
      <c r="I21" s="2591">
        <f>F21</f>
        <v>18011.611214722652</v>
      </c>
      <c r="J21" s="1349"/>
    </row>
    <row r="22" spans="1:13" s="443" customFormat="1" ht="21" customHeight="1">
      <c r="A22" s="1347"/>
      <c r="B22" s="2587" t="s">
        <v>380</v>
      </c>
      <c r="C22" s="2590">
        <v>0.56999999999999995</v>
      </c>
      <c r="D22" s="1348"/>
      <c r="E22" s="2587" t="s">
        <v>380</v>
      </c>
      <c r="F22" s="2590">
        <f>C22</f>
        <v>0.56999999999999995</v>
      </c>
      <c r="G22" s="1348"/>
      <c r="H22" s="2587" t="s">
        <v>380</v>
      </c>
      <c r="I22" s="2590">
        <f>C22</f>
        <v>0.56999999999999995</v>
      </c>
      <c r="J22" s="1349"/>
    </row>
    <row r="23" spans="1:13" s="443" customFormat="1" ht="21" customHeight="1">
      <c r="A23" s="1347"/>
      <c r="B23" s="2587" t="s">
        <v>1812</v>
      </c>
      <c r="C23" s="2590">
        <v>0.6</v>
      </c>
      <c r="D23" s="1348"/>
      <c r="E23" s="2587" t="s">
        <v>1812</v>
      </c>
      <c r="F23" s="2590">
        <v>0.6</v>
      </c>
      <c r="G23" s="1348"/>
      <c r="H23" s="2587" t="s">
        <v>380</v>
      </c>
      <c r="I23" s="2590">
        <v>0.6</v>
      </c>
      <c r="J23" s="1349"/>
    </row>
    <row r="24" spans="1:13" s="443" customFormat="1" ht="21" customHeight="1">
      <c r="A24" s="1347"/>
      <c r="B24" s="2587" t="s">
        <v>108</v>
      </c>
      <c r="C24" s="2590">
        <f>+(C20/5280)*C16*(1-C22)*M18*(1-C23)</f>
        <v>2.7556902133370476</v>
      </c>
      <c r="D24" s="1348"/>
      <c r="E24" s="2587" t="s">
        <v>108</v>
      </c>
      <c r="F24" s="2590">
        <f>+(F20/5280)*F16*(1-F22)*M18*(1-F23)</f>
        <v>0.70232409971011567</v>
      </c>
      <c r="G24" s="1348"/>
      <c r="H24" s="2587" t="s">
        <v>108</v>
      </c>
      <c r="I24" s="2590">
        <f>+(I20/5280)*I16*(1-I22)*M18*(1-I23)</f>
        <v>7.0232409971011545E-2</v>
      </c>
      <c r="J24" s="1349"/>
    </row>
    <row r="25" spans="1:13" s="443" customFormat="1" ht="21" customHeight="1" thickBot="1">
      <c r="A25" s="1347"/>
      <c r="B25" s="2593" t="s">
        <v>109</v>
      </c>
      <c r="C25" s="2594">
        <f>C18*C21/2000*(1-C22)*(1-C23)</f>
        <v>8.8254079636430482</v>
      </c>
      <c r="D25" s="1348"/>
      <c r="E25" s="2593" t="s">
        <v>109</v>
      </c>
      <c r="F25" s="2594">
        <f>F18*F21/2000*(1-F22)*(1-F23)</f>
        <v>2.2492719510493018</v>
      </c>
      <c r="G25" s="1348"/>
      <c r="H25" s="2593" t="s">
        <v>109</v>
      </c>
      <c r="I25" s="2594">
        <f>I18*I21/2000*(1-I22)*(1-I23)</f>
        <v>0.22492719510493014</v>
      </c>
      <c r="J25" s="1349"/>
    </row>
    <row r="26" spans="1:13" ht="13.5" thickBot="1">
      <c r="A26" s="643"/>
      <c r="B26" s="1389"/>
      <c r="C26" s="1389"/>
      <c r="D26" s="1389"/>
      <c r="E26" s="1389"/>
      <c r="F26" s="1389"/>
      <c r="G26" s="1389"/>
      <c r="H26" s="1389"/>
      <c r="I26" s="1389"/>
      <c r="J26" s="51"/>
    </row>
    <row r="27" spans="1:13" ht="26.15" customHeight="1">
      <c r="A27" s="643"/>
      <c r="B27" s="5021" t="s">
        <v>521</v>
      </c>
      <c r="C27" s="5022"/>
      <c r="D27" s="5022"/>
      <c r="E27" s="5022"/>
      <c r="F27" s="5022"/>
      <c r="G27" s="5022"/>
      <c r="H27" s="5022"/>
      <c r="I27" s="5023"/>
      <c r="J27" s="51"/>
    </row>
    <row r="28" spans="1:13">
      <c r="A28" s="643"/>
      <c r="B28" s="5021" t="s">
        <v>1793</v>
      </c>
      <c r="C28" s="5022"/>
      <c r="D28" s="5022"/>
      <c r="E28" s="5022"/>
      <c r="F28" s="5022"/>
      <c r="G28" s="5022"/>
      <c r="H28" s="5022"/>
      <c r="I28" s="5023"/>
      <c r="J28" s="51"/>
    </row>
    <row r="29" spans="1:13">
      <c r="A29" s="643"/>
      <c r="B29" s="5024" t="s">
        <v>114</v>
      </c>
      <c r="C29" s="5025"/>
      <c r="D29" s="5025"/>
      <c r="E29" s="5025"/>
      <c r="F29" s="5025"/>
      <c r="G29" s="5025"/>
      <c r="H29" s="5025"/>
      <c r="I29" s="5026"/>
      <c r="J29" s="51"/>
    </row>
    <row r="30" spans="1:13">
      <c r="A30" s="643"/>
      <c r="B30" s="1357"/>
      <c r="C30" s="1355"/>
      <c r="D30" s="1355"/>
      <c r="E30" s="1355"/>
      <c r="F30" s="1355"/>
      <c r="G30" s="1355"/>
      <c r="H30" s="1355"/>
      <c r="I30" s="1356"/>
      <c r="J30" s="51"/>
    </row>
    <row r="31" spans="1:13">
      <c r="A31" s="643"/>
      <c r="B31" s="5024" t="s">
        <v>110</v>
      </c>
      <c r="C31" s="5025"/>
      <c r="D31" s="5025"/>
      <c r="E31" s="5025"/>
      <c r="F31" s="5025"/>
      <c r="G31" s="5025"/>
      <c r="H31" s="5025"/>
      <c r="I31" s="5026"/>
      <c r="J31" s="51"/>
    </row>
    <row r="32" spans="1:13">
      <c r="A32" s="643"/>
      <c r="B32" s="5011" t="s">
        <v>1794</v>
      </c>
      <c r="C32" s="5012"/>
      <c r="D32" s="5012"/>
      <c r="E32" s="5012"/>
      <c r="F32" s="5012"/>
      <c r="G32" s="5012"/>
      <c r="H32" s="5012"/>
      <c r="I32" s="5013"/>
      <c r="J32" s="51"/>
    </row>
    <row r="33" spans="1:10" ht="13.5" thickBot="1">
      <c r="A33" s="643"/>
      <c r="B33" s="5014" t="s">
        <v>1795</v>
      </c>
      <c r="C33" s="5015"/>
      <c r="D33" s="5015"/>
      <c r="E33" s="5015"/>
      <c r="F33" s="5015"/>
      <c r="G33" s="5015"/>
      <c r="H33" s="5015"/>
      <c r="I33" s="5016"/>
      <c r="J33" s="51"/>
    </row>
    <row r="34" spans="1:10" ht="13.5" thickBot="1">
      <c r="A34" s="645"/>
      <c r="B34" s="541"/>
      <c r="C34" s="541"/>
      <c r="D34" s="541"/>
      <c r="E34" s="541"/>
      <c r="F34" s="541"/>
      <c r="G34" s="541"/>
      <c r="H34" s="541"/>
      <c r="I34" s="541"/>
      <c r="J34" s="543"/>
    </row>
    <row r="36" spans="1:10">
      <c r="C36" s="363">
        <f>+(C20/5280)*C16*7</f>
        <v>28.037545775231585</v>
      </c>
      <c r="F36" s="363">
        <f>+(F20/5280)*F16*7</f>
        <v>7.1457393865854781</v>
      </c>
      <c r="I36" s="363">
        <f>+(I20/5280)*I16*7</f>
        <v>0.71457393865854757</v>
      </c>
    </row>
    <row r="37" spans="1:10">
      <c r="C37" s="363">
        <f>C18*C21/2000</f>
        <v>51.310511416529344</v>
      </c>
      <c r="F37" s="363">
        <f>F18*F21/2000</f>
        <v>13.07716250610059</v>
      </c>
      <c r="I37" s="363">
        <f>I18*I21/2000</f>
        <v>1.3077162506100588</v>
      </c>
    </row>
    <row r="38" spans="1:10">
      <c r="C38" s="363">
        <f>C20/5280</f>
        <v>0.56818181818181823</v>
      </c>
    </row>
  </sheetData>
  <mergeCells count="16">
    <mergeCell ref="B32:I32"/>
    <mergeCell ref="B33:I33"/>
    <mergeCell ref="B2:I2"/>
    <mergeCell ref="B3:I3"/>
    <mergeCell ref="B4:I4"/>
    <mergeCell ref="B9:C9"/>
    <mergeCell ref="B10:C10"/>
    <mergeCell ref="B27:I27"/>
    <mergeCell ref="B28:I28"/>
    <mergeCell ref="B31:I31"/>
    <mergeCell ref="E10:F10"/>
    <mergeCell ref="H10:I10"/>
    <mergeCell ref="E7:I7"/>
    <mergeCell ref="E9:F9"/>
    <mergeCell ref="H9:I9"/>
    <mergeCell ref="B29:I29"/>
  </mergeCells>
  <pageMargins left="0.25" right="0.25" top="0.75" bottom="0.75" header="0.3" footer="0.3"/>
  <pageSetup scale="61" fitToHeight="0" orientation="portrait" r:id="rId1"/>
  <headerFooter alignWithMargins="0">
    <oddFooter>&amp;CCalculations: Page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tabColor rgb="FFFF0000"/>
  </sheetPr>
  <dimension ref="A1"/>
  <sheetViews>
    <sheetView workbookViewId="0">
      <selection activeCell="I18" sqref="I18:I19"/>
    </sheetView>
  </sheetViews>
  <sheetFormatPr defaultRowHeight="12.5"/>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8">
    <tabColor rgb="FF00FFCC"/>
  </sheetPr>
  <dimension ref="A1:H1003"/>
  <sheetViews>
    <sheetView topLeftCell="A4" workbookViewId="0">
      <selection activeCell="G13" sqref="G13"/>
    </sheetView>
  </sheetViews>
  <sheetFormatPr defaultColWidth="8.6328125" defaultRowHeight="12.5"/>
  <cols>
    <col min="1" max="1" width="8.6328125" style="1686"/>
    <col min="2" max="2" width="15.54296875" style="1686" customWidth="1"/>
    <col min="3" max="3" width="12.453125" style="1686" customWidth="1"/>
    <col min="4" max="4" width="16.6328125" style="1686" customWidth="1"/>
    <col min="5" max="5" width="8.453125" style="1686" customWidth="1"/>
    <col min="6" max="6" width="12.453125" style="1686" customWidth="1"/>
    <col min="7" max="7" width="11.36328125" style="1686" customWidth="1"/>
    <col min="8" max="16384" width="8.6328125" style="1686"/>
  </cols>
  <sheetData>
    <row r="1" spans="1:8" ht="13" thickBot="1">
      <c r="A1" s="1343"/>
      <c r="B1" s="1343"/>
      <c r="C1" s="1343"/>
      <c r="D1" s="1343"/>
      <c r="E1" s="1343"/>
      <c r="F1" s="1343"/>
      <c r="G1" s="1343"/>
      <c r="H1" s="1343"/>
    </row>
    <row r="2" spans="1:8" ht="13" thickTop="1">
      <c r="A2" s="1343"/>
      <c r="B2" s="352"/>
      <c r="C2" s="381"/>
      <c r="D2" s="381"/>
      <c r="E2" s="381"/>
      <c r="F2" s="381"/>
      <c r="G2" s="353"/>
      <c r="H2" s="1343"/>
    </row>
    <row r="3" spans="1:8" ht="13">
      <c r="A3" s="1343"/>
      <c r="B3" s="365"/>
      <c r="C3" s="382"/>
      <c r="D3" s="382"/>
      <c r="E3" s="382"/>
      <c r="F3" s="382"/>
      <c r="G3" s="366"/>
      <c r="H3" s="1343"/>
    </row>
    <row r="4" spans="1:8" ht="15.5">
      <c r="A4" s="1343"/>
      <c r="B4" s="5040" t="s">
        <v>463</v>
      </c>
      <c r="C4" s="5041"/>
      <c r="D4" s="5041"/>
      <c r="E4" s="5041"/>
      <c r="F4" s="5041"/>
      <c r="G4" s="5042"/>
      <c r="H4" s="1343"/>
    </row>
    <row r="5" spans="1:8">
      <c r="A5" s="1343"/>
      <c r="B5" s="383"/>
      <c r="C5" s="1727"/>
      <c r="D5" s="1727"/>
      <c r="E5" s="1727"/>
      <c r="F5" s="1727"/>
      <c r="G5" s="384"/>
      <c r="H5" s="1343"/>
    </row>
    <row r="6" spans="1:8">
      <c r="A6" s="1343"/>
      <c r="B6" s="1728" t="s">
        <v>385</v>
      </c>
      <c r="C6" s="5043" t="s">
        <v>1530</v>
      </c>
      <c r="D6" s="5044"/>
      <c r="E6" s="5045"/>
      <c r="F6" s="1729" t="s">
        <v>387</v>
      </c>
      <c r="G6" s="1730" t="s">
        <v>1531</v>
      </c>
      <c r="H6" s="1343"/>
    </row>
    <row r="7" spans="1:8">
      <c r="A7" s="1343"/>
      <c r="B7" s="1728" t="s">
        <v>386</v>
      </c>
      <c r="C7" s="5043" t="s">
        <v>1085</v>
      </c>
      <c r="D7" s="5044"/>
      <c r="E7" s="5044"/>
      <c r="F7" s="5044"/>
      <c r="G7" s="5046"/>
      <c r="H7" s="1343"/>
    </row>
    <row r="8" spans="1:8">
      <c r="A8" s="1343"/>
      <c r="B8" s="1731" t="s">
        <v>464</v>
      </c>
      <c r="C8" s="1732"/>
      <c r="D8" s="1733"/>
      <c r="E8" s="1733"/>
      <c r="F8" s="1733"/>
      <c r="G8" s="1734"/>
      <c r="H8" s="1343"/>
    </row>
    <row r="9" spans="1:8" ht="13" thickBot="1">
      <c r="A9" s="1343"/>
      <c r="B9" s="1735"/>
      <c r="C9" s="1736"/>
      <c r="D9" s="1736"/>
      <c r="E9" s="1736"/>
      <c r="F9" s="1736"/>
      <c r="G9" s="1737"/>
      <c r="H9" s="1343"/>
    </row>
    <row r="10" spans="1:8" ht="13.5" thickBot="1">
      <c r="A10" s="1343"/>
      <c r="B10" s="5037" t="s">
        <v>1121</v>
      </c>
      <c r="C10" s="5038"/>
      <c r="D10" s="5038"/>
      <c r="E10" s="5038"/>
      <c r="F10" s="5038"/>
      <c r="G10" s="5039"/>
      <c r="H10" s="1343"/>
    </row>
    <row r="11" spans="1:8" ht="13.5" thickBot="1">
      <c r="A11" s="1343"/>
      <c r="B11" s="5031" t="s">
        <v>465</v>
      </c>
      <c r="C11" s="5032"/>
      <c r="D11" s="5032"/>
      <c r="E11" s="5032"/>
      <c r="F11" s="5032"/>
      <c r="G11" s="5033"/>
      <c r="H11" s="1343"/>
    </row>
    <row r="12" spans="1:8" ht="13" thickTop="1">
      <c r="A12" s="1343"/>
      <c r="B12" s="1687" t="s">
        <v>466</v>
      </c>
      <c r="C12" s="374">
        <v>1</v>
      </c>
      <c r="D12" s="368" t="s">
        <v>388</v>
      </c>
      <c r="E12" s="1738" t="s">
        <v>467</v>
      </c>
      <c r="F12" s="375" t="s">
        <v>18</v>
      </c>
      <c r="G12" s="1739" t="s">
        <v>388</v>
      </c>
      <c r="H12" s="1343"/>
    </row>
    <row r="13" spans="1:8">
      <c r="A13" s="1343"/>
      <c r="B13" s="1687" t="s">
        <v>468</v>
      </c>
      <c r="C13" s="380" t="s">
        <v>18</v>
      </c>
      <c r="D13" s="369" t="s">
        <v>388</v>
      </c>
      <c r="E13" s="1738" t="s">
        <v>469</v>
      </c>
      <c r="F13" s="379" t="b">
        <v>0</v>
      </c>
      <c r="G13" s="1739" t="s">
        <v>388</v>
      </c>
      <c r="H13" s="1343"/>
    </row>
    <row r="14" spans="1:8" ht="13" thickBot="1">
      <c r="A14" s="1343"/>
      <c r="B14" s="1735"/>
      <c r="C14" s="1736"/>
      <c r="D14" s="1736"/>
      <c r="E14" s="1736"/>
      <c r="F14" s="1736"/>
      <c r="G14" s="1737"/>
      <c r="H14" s="1343"/>
    </row>
    <row r="15" spans="1:8" ht="13.5" thickBot="1">
      <c r="A15" s="1343"/>
      <c r="B15" s="5031" t="s">
        <v>470</v>
      </c>
      <c r="C15" s="5032"/>
      <c r="D15" s="5032"/>
      <c r="E15" s="5032"/>
      <c r="F15" s="5032"/>
      <c r="G15" s="5033"/>
      <c r="H15" s="1343"/>
    </row>
    <row r="16" spans="1:8" ht="13" thickTop="1">
      <c r="A16" s="1343"/>
      <c r="B16" s="1687" t="s">
        <v>466</v>
      </c>
      <c r="C16" s="374">
        <v>50</v>
      </c>
      <c r="D16" s="368" t="s">
        <v>289</v>
      </c>
      <c r="E16" s="1738" t="s">
        <v>467</v>
      </c>
      <c r="F16" s="375" t="s">
        <v>18</v>
      </c>
      <c r="G16" s="1739" t="s">
        <v>289</v>
      </c>
      <c r="H16" s="1343"/>
    </row>
    <row r="17" spans="1:8">
      <c r="A17" s="1343"/>
      <c r="B17" s="1687" t="s">
        <v>468</v>
      </c>
      <c r="C17" s="380" t="s">
        <v>18</v>
      </c>
      <c r="D17" s="369" t="s">
        <v>289</v>
      </c>
      <c r="E17" s="1738" t="s">
        <v>469</v>
      </c>
      <c r="F17" s="379" t="b">
        <v>0</v>
      </c>
      <c r="G17" s="1739" t="s">
        <v>388</v>
      </c>
      <c r="H17" s="1343"/>
    </row>
    <row r="18" spans="1:8" ht="13" thickBot="1">
      <c r="A18" s="1343"/>
      <c r="B18" s="1735"/>
      <c r="C18" s="1736"/>
      <c r="D18" s="1736"/>
      <c r="E18" s="1736"/>
      <c r="F18" s="1736"/>
      <c r="G18" s="1737"/>
      <c r="H18" s="1343"/>
    </row>
    <row r="19" spans="1:8" ht="13.5" thickBot="1">
      <c r="A19" s="1343"/>
      <c r="B19" s="5031" t="s">
        <v>471</v>
      </c>
      <c r="C19" s="5032"/>
      <c r="D19" s="5032"/>
      <c r="E19" s="5032"/>
      <c r="F19" s="5032"/>
      <c r="G19" s="5033"/>
      <c r="H19" s="1343"/>
    </row>
    <row r="20" spans="1:8" ht="13" thickTop="1">
      <c r="A20" s="1343"/>
      <c r="B20" s="1687" t="s">
        <v>466</v>
      </c>
      <c r="C20" s="374">
        <v>130.5</v>
      </c>
      <c r="D20" s="368" t="s">
        <v>289</v>
      </c>
      <c r="E20" s="1738" t="s">
        <v>467</v>
      </c>
      <c r="F20" s="375" t="s">
        <v>18</v>
      </c>
      <c r="G20" s="1739" t="s">
        <v>289</v>
      </c>
      <c r="H20" s="1343"/>
    </row>
    <row r="21" spans="1:8">
      <c r="A21" s="1343"/>
      <c r="B21" s="1687" t="s">
        <v>468</v>
      </c>
      <c r="C21" s="380" t="s">
        <v>18</v>
      </c>
      <c r="D21" s="369" t="s">
        <v>289</v>
      </c>
      <c r="E21" s="1738" t="s">
        <v>469</v>
      </c>
      <c r="F21" s="379" t="b">
        <v>0</v>
      </c>
      <c r="G21" s="1739" t="s">
        <v>388</v>
      </c>
      <c r="H21" s="1343"/>
    </row>
    <row r="22" spans="1:8" ht="13" thickBot="1">
      <c r="A22" s="1343"/>
      <c r="B22" s="1735"/>
      <c r="C22" s="1736"/>
      <c r="D22" s="1736"/>
      <c r="E22" s="1736"/>
      <c r="F22" s="1736"/>
      <c r="G22" s="1737"/>
      <c r="H22" s="1343"/>
    </row>
    <row r="23" spans="1:8" ht="13.5" thickBot="1">
      <c r="A23" s="1343"/>
      <c r="B23" s="5031" t="s">
        <v>472</v>
      </c>
      <c r="C23" s="5032"/>
      <c r="D23" s="5032"/>
      <c r="E23" s="5032"/>
      <c r="F23" s="5032"/>
      <c r="G23" s="5033"/>
      <c r="H23" s="1343"/>
    </row>
    <row r="24" spans="1:8" ht="13" thickTop="1">
      <c r="A24" s="1343"/>
      <c r="B24" s="1687" t="s">
        <v>466</v>
      </c>
      <c r="C24" s="374">
        <v>-1.0900000000000001</v>
      </c>
      <c r="D24" s="368" t="s">
        <v>297</v>
      </c>
      <c r="E24" s="1738" t="s">
        <v>467</v>
      </c>
      <c r="F24" s="375" t="s">
        <v>18</v>
      </c>
      <c r="G24" s="1739" t="s">
        <v>297</v>
      </c>
      <c r="H24" s="1343"/>
    </row>
    <row r="25" spans="1:8">
      <c r="A25" s="1343"/>
      <c r="B25" s="1687" t="s">
        <v>468</v>
      </c>
      <c r="C25" s="380" t="s">
        <v>18</v>
      </c>
      <c r="D25" s="369" t="s">
        <v>297</v>
      </c>
      <c r="E25" s="1738" t="s">
        <v>469</v>
      </c>
      <c r="F25" s="379" t="b">
        <v>0</v>
      </c>
      <c r="G25" s="1739" t="s">
        <v>388</v>
      </c>
      <c r="H25" s="1343"/>
    </row>
    <row r="26" spans="1:8" ht="13" thickBot="1">
      <c r="A26" s="1343"/>
      <c r="B26" s="1735"/>
      <c r="C26" s="1736"/>
      <c r="D26" s="1736"/>
      <c r="E26" s="1736"/>
      <c r="F26" s="1736"/>
      <c r="G26" s="1737"/>
      <c r="H26" s="1343"/>
    </row>
    <row r="27" spans="1:8" ht="13.5" thickBot="1">
      <c r="A27" s="1343"/>
      <c r="B27" s="5031" t="s">
        <v>473</v>
      </c>
      <c r="C27" s="5032"/>
      <c r="D27" s="5032"/>
      <c r="E27" s="5032"/>
      <c r="F27" s="5032"/>
      <c r="G27" s="5033"/>
      <c r="H27" s="1343"/>
    </row>
    <row r="28" spans="1:8" ht="13" thickTop="1">
      <c r="A28" s="1343"/>
      <c r="B28" s="1687" t="s">
        <v>466</v>
      </c>
      <c r="C28" s="374">
        <v>-1.1499999999999999</v>
      </c>
      <c r="D28" s="368" t="s">
        <v>297</v>
      </c>
      <c r="E28" s="1738" t="s">
        <v>467</v>
      </c>
      <c r="F28" s="375" t="s">
        <v>18</v>
      </c>
      <c r="G28" s="1739" t="s">
        <v>297</v>
      </c>
      <c r="H28" s="1343"/>
    </row>
    <row r="29" spans="1:8">
      <c r="A29" s="1343"/>
      <c r="B29" s="1687" t="s">
        <v>468</v>
      </c>
      <c r="C29" s="380" t="s">
        <v>18</v>
      </c>
      <c r="D29" s="369" t="s">
        <v>297</v>
      </c>
      <c r="E29" s="1738" t="s">
        <v>469</v>
      </c>
      <c r="F29" s="379" t="b">
        <v>0</v>
      </c>
      <c r="G29" s="1739" t="s">
        <v>388</v>
      </c>
      <c r="H29" s="1343"/>
    </row>
    <row r="30" spans="1:8" ht="13" thickBot="1">
      <c r="A30" s="1343"/>
      <c r="B30" s="1735"/>
      <c r="C30" s="1736"/>
      <c r="D30" s="1736"/>
      <c r="E30" s="1736"/>
      <c r="F30" s="1736"/>
      <c r="G30" s="1737"/>
      <c r="H30" s="1343"/>
    </row>
    <row r="31" spans="1:8" ht="13.5" thickBot="1">
      <c r="A31" s="1343"/>
      <c r="B31" s="5031" t="s">
        <v>474</v>
      </c>
      <c r="C31" s="5032"/>
      <c r="D31" s="5032"/>
      <c r="E31" s="5032"/>
      <c r="F31" s="5032"/>
      <c r="G31" s="5033"/>
      <c r="H31" s="1343"/>
    </row>
    <row r="32" spans="1:8" ht="13" thickTop="1">
      <c r="A32" s="1343"/>
      <c r="B32" s="1687" t="s">
        <v>466</v>
      </c>
      <c r="C32" s="375" t="s">
        <v>18</v>
      </c>
      <c r="D32" s="368" t="s">
        <v>289</v>
      </c>
      <c r="E32" s="1738" t="s">
        <v>467</v>
      </c>
      <c r="F32" s="375" t="s">
        <v>18</v>
      </c>
      <c r="G32" s="1739" t="s">
        <v>289</v>
      </c>
      <c r="H32" s="1343"/>
    </row>
    <row r="33" spans="1:8">
      <c r="A33" s="1343"/>
      <c r="B33" s="1687" t="s">
        <v>468</v>
      </c>
      <c r="C33" s="375" t="s">
        <v>18</v>
      </c>
      <c r="D33" s="369" t="s">
        <v>289</v>
      </c>
      <c r="E33" s="1738" t="s">
        <v>469</v>
      </c>
      <c r="F33" s="379" t="b">
        <v>0</v>
      </c>
      <c r="G33" s="1739" t="s">
        <v>388</v>
      </c>
      <c r="H33" s="1343"/>
    </row>
    <row r="34" spans="1:8" ht="13" thickBot="1">
      <c r="A34" s="1343"/>
      <c r="B34" s="1735"/>
      <c r="C34" s="1736"/>
      <c r="D34" s="1736"/>
      <c r="E34" s="1736"/>
      <c r="F34" s="1736"/>
      <c r="G34" s="1737"/>
      <c r="H34" s="1343"/>
    </row>
    <row r="35" spans="1:8" ht="13.5" thickBot="1">
      <c r="A35" s="1343"/>
      <c r="B35" s="5031" t="s">
        <v>475</v>
      </c>
      <c r="C35" s="5032"/>
      <c r="D35" s="5032"/>
      <c r="E35" s="5032"/>
      <c r="F35" s="5032"/>
      <c r="G35" s="5033"/>
      <c r="H35" s="1343"/>
    </row>
    <row r="36" spans="1:8" ht="13" thickTop="1">
      <c r="A36" s="1343"/>
      <c r="B36" s="1687" t="s">
        <v>466</v>
      </c>
      <c r="C36" s="374">
        <v>-1.1200000000000001</v>
      </c>
      <c r="D36" s="368" t="s">
        <v>297</v>
      </c>
      <c r="E36" s="1738" t="s">
        <v>467</v>
      </c>
      <c r="F36" s="375" t="s">
        <v>18</v>
      </c>
      <c r="G36" s="1739" t="s">
        <v>297</v>
      </c>
      <c r="H36" s="1343"/>
    </row>
    <row r="37" spans="1:8">
      <c r="A37" s="1343"/>
      <c r="B37" s="1687" t="s">
        <v>468</v>
      </c>
      <c r="C37" s="380" t="s">
        <v>18</v>
      </c>
      <c r="D37" s="369" t="s">
        <v>297</v>
      </c>
      <c r="E37" s="1738" t="s">
        <v>469</v>
      </c>
      <c r="F37" s="379" t="b">
        <v>0</v>
      </c>
      <c r="G37" s="1739" t="s">
        <v>388</v>
      </c>
      <c r="H37" s="1343"/>
    </row>
    <row r="38" spans="1:8" ht="13" thickBot="1">
      <c r="A38" s="1343"/>
      <c r="B38" s="1735"/>
      <c r="C38" s="1736"/>
      <c r="D38" s="1736"/>
      <c r="E38" s="1736"/>
      <c r="F38" s="1736"/>
      <c r="G38" s="1737"/>
      <c r="H38" s="1343"/>
    </row>
    <row r="39" spans="1:8" ht="13.5" thickBot="1">
      <c r="A39" s="1343"/>
      <c r="B39" s="5031" t="s">
        <v>476</v>
      </c>
      <c r="C39" s="5032"/>
      <c r="D39" s="5032"/>
      <c r="E39" s="5032"/>
      <c r="F39" s="5032"/>
      <c r="G39" s="5033"/>
      <c r="H39" s="1343"/>
    </row>
    <row r="40" spans="1:8" ht="13" thickTop="1">
      <c r="A40" s="1343"/>
      <c r="B40" s="1687" t="s">
        <v>466</v>
      </c>
      <c r="C40" s="374">
        <v>50</v>
      </c>
      <c r="D40" s="368" t="s">
        <v>296</v>
      </c>
      <c r="E40" s="1738" t="s">
        <v>467</v>
      </c>
      <c r="F40" s="375" t="s">
        <v>18</v>
      </c>
      <c r="G40" s="1739" t="s">
        <v>296</v>
      </c>
      <c r="H40" s="1343"/>
    </row>
    <row r="41" spans="1:8">
      <c r="A41" s="1343"/>
      <c r="B41" s="1687" t="s">
        <v>468</v>
      </c>
      <c r="C41" s="380" t="s">
        <v>18</v>
      </c>
      <c r="D41" s="369" t="s">
        <v>296</v>
      </c>
      <c r="E41" s="1738" t="s">
        <v>469</v>
      </c>
      <c r="F41" s="379" t="b">
        <v>0</v>
      </c>
      <c r="G41" s="1739" t="s">
        <v>388</v>
      </c>
      <c r="H41" s="1343"/>
    </row>
    <row r="42" spans="1:8" ht="13" thickBot="1">
      <c r="A42" s="1343"/>
      <c r="B42" s="1735"/>
      <c r="C42" s="1736"/>
      <c r="D42" s="1736"/>
      <c r="E42" s="1736"/>
      <c r="F42" s="1736"/>
      <c r="G42" s="1737"/>
      <c r="H42" s="1343"/>
    </row>
    <row r="43" spans="1:8" ht="13.5" thickBot="1">
      <c r="A43" s="1343"/>
      <c r="B43" s="5031" t="s">
        <v>477</v>
      </c>
      <c r="C43" s="5032"/>
      <c r="D43" s="5032"/>
      <c r="E43" s="5032"/>
      <c r="F43" s="5032"/>
      <c r="G43" s="5033"/>
      <c r="H43" s="1343"/>
    </row>
    <row r="44" spans="1:8" ht="13" thickTop="1">
      <c r="A44" s="1343"/>
      <c r="B44" s="1687" t="s">
        <v>466</v>
      </c>
      <c r="C44" s="374">
        <v>90</v>
      </c>
      <c r="D44" s="368" t="s">
        <v>296</v>
      </c>
      <c r="E44" s="1738" t="s">
        <v>467</v>
      </c>
      <c r="F44" s="375" t="s">
        <v>18</v>
      </c>
      <c r="G44" s="1739" t="s">
        <v>296</v>
      </c>
      <c r="H44" s="1343"/>
    </row>
    <row r="45" spans="1:8">
      <c r="A45" s="1343"/>
      <c r="B45" s="1687" t="s">
        <v>468</v>
      </c>
      <c r="C45" s="380" t="s">
        <v>18</v>
      </c>
      <c r="D45" s="369" t="s">
        <v>296</v>
      </c>
      <c r="E45" s="1738" t="s">
        <v>469</v>
      </c>
      <c r="F45" s="379" t="b">
        <v>0</v>
      </c>
      <c r="G45" s="1739" t="s">
        <v>388</v>
      </c>
      <c r="H45" s="1343"/>
    </row>
    <row r="46" spans="1:8" ht="13" thickBot="1">
      <c r="A46" s="1343"/>
      <c r="B46" s="1735"/>
      <c r="C46" s="1736"/>
      <c r="D46" s="1736"/>
      <c r="E46" s="1736"/>
      <c r="F46" s="1736"/>
      <c r="G46" s="1737"/>
      <c r="H46" s="1343"/>
    </row>
    <row r="47" spans="1:8" ht="13.5" thickBot="1">
      <c r="A47" s="1343"/>
      <c r="B47" s="5031" t="s">
        <v>478</v>
      </c>
      <c r="C47" s="5032"/>
      <c r="D47" s="5032"/>
      <c r="E47" s="5032"/>
      <c r="F47" s="5032"/>
      <c r="G47" s="5033"/>
      <c r="H47" s="1343"/>
    </row>
    <row r="48" spans="1:8" ht="13" thickTop="1">
      <c r="A48" s="1343"/>
      <c r="B48" s="1687" t="s">
        <v>466</v>
      </c>
      <c r="C48" s="1740">
        <v>200981.59126464001</v>
      </c>
      <c r="D48" s="368" t="s">
        <v>479</v>
      </c>
      <c r="E48" s="1738" t="s">
        <v>467</v>
      </c>
      <c r="F48" s="375" t="s">
        <v>18</v>
      </c>
      <c r="G48" s="1739" t="s">
        <v>479</v>
      </c>
      <c r="H48" s="1343"/>
    </row>
    <row r="49" spans="1:8">
      <c r="A49" s="1343"/>
      <c r="B49" s="1687" t="s">
        <v>468</v>
      </c>
      <c r="C49" s="380" t="s">
        <v>18</v>
      </c>
      <c r="D49" s="369" t="s">
        <v>479</v>
      </c>
      <c r="E49" s="1738" t="s">
        <v>469</v>
      </c>
      <c r="F49" s="379" t="b">
        <v>0</v>
      </c>
      <c r="G49" s="1739" t="s">
        <v>388</v>
      </c>
      <c r="H49" s="1343"/>
    </row>
    <row r="50" spans="1:8" ht="13" thickBot="1">
      <c r="A50" s="1343"/>
      <c r="B50" s="1735"/>
      <c r="C50" s="1736"/>
      <c r="D50" s="1736"/>
      <c r="E50" s="1736"/>
      <c r="F50" s="1736"/>
      <c r="G50" s="1737"/>
      <c r="H50" s="1343"/>
    </row>
    <row r="51" spans="1:8" ht="13.5" thickBot="1">
      <c r="A51" s="1343"/>
      <c r="B51" s="5031" t="s">
        <v>480</v>
      </c>
      <c r="C51" s="5032"/>
      <c r="D51" s="5032"/>
      <c r="E51" s="5032"/>
      <c r="F51" s="5032"/>
      <c r="G51" s="5033"/>
      <c r="H51" s="1343"/>
    </row>
    <row r="52" spans="1:8" ht="13" thickTop="1">
      <c r="A52" s="1343"/>
      <c r="B52" s="1687" t="s">
        <v>466</v>
      </c>
      <c r="C52" s="374">
        <v>50</v>
      </c>
      <c r="D52" s="368" t="s">
        <v>296</v>
      </c>
      <c r="E52" s="1738" t="s">
        <v>467</v>
      </c>
      <c r="F52" s="375" t="s">
        <v>18</v>
      </c>
      <c r="G52" s="1739" t="s">
        <v>296</v>
      </c>
      <c r="H52" s="1343"/>
    </row>
    <row r="53" spans="1:8">
      <c r="A53" s="1343"/>
      <c r="B53" s="1687" t="s">
        <v>468</v>
      </c>
      <c r="C53" s="380" t="s">
        <v>18</v>
      </c>
      <c r="D53" s="369" t="s">
        <v>296</v>
      </c>
      <c r="E53" s="1738" t="s">
        <v>469</v>
      </c>
      <c r="F53" s="379" t="b">
        <v>0</v>
      </c>
      <c r="G53" s="1739" t="s">
        <v>388</v>
      </c>
      <c r="H53" s="1343"/>
    </row>
    <row r="54" spans="1:8" ht="13" thickBot="1">
      <c r="A54" s="1343"/>
      <c r="B54" s="1735"/>
      <c r="C54" s="1736"/>
      <c r="D54" s="1736"/>
      <c r="E54" s="1736"/>
      <c r="F54" s="1736"/>
      <c r="G54" s="1737"/>
      <c r="H54" s="1343"/>
    </row>
    <row r="55" spans="1:8" ht="13.5" thickBot="1">
      <c r="A55" s="1343"/>
      <c r="B55" s="5031" t="s">
        <v>481</v>
      </c>
      <c r="C55" s="5032"/>
      <c r="D55" s="5032"/>
      <c r="E55" s="5032"/>
      <c r="F55" s="5032"/>
      <c r="G55" s="5033"/>
      <c r="H55" s="1343"/>
    </row>
    <row r="56" spans="1:8" ht="13" thickTop="1">
      <c r="A56" s="1343"/>
      <c r="B56" s="1687" t="s">
        <v>466</v>
      </c>
      <c r="C56" s="376">
        <v>75.733333329999994</v>
      </c>
      <c r="D56" s="368" t="s">
        <v>299</v>
      </c>
      <c r="E56" s="1738" t="s">
        <v>467</v>
      </c>
      <c r="F56" s="375" t="s">
        <v>18</v>
      </c>
      <c r="G56" s="1739" t="s">
        <v>299</v>
      </c>
      <c r="H56" s="1343"/>
    </row>
    <row r="57" spans="1:8">
      <c r="A57" s="1343"/>
      <c r="B57" s="1687" t="s">
        <v>468</v>
      </c>
      <c r="C57" s="380" t="s">
        <v>18</v>
      </c>
      <c r="D57" s="369" t="s">
        <v>299</v>
      </c>
      <c r="E57" s="1738" t="s">
        <v>469</v>
      </c>
      <c r="F57" s="379" t="b">
        <v>0</v>
      </c>
      <c r="G57" s="1739" t="s">
        <v>388</v>
      </c>
      <c r="H57" s="1343"/>
    </row>
    <row r="58" spans="1:8" ht="13" thickBot="1">
      <c r="A58" s="1343"/>
      <c r="B58" s="1735"/>
      <c r="C58" s="1736"/>
      <c r="D58" s="1736"/>
      <c r="E58" s="1736"/>
      <c r="F58" s="1736"/>
      <c r="G58" s="1737"/>
      <c r="H58" s="1343"/>
    </row>
    <row r="59" spans="1:8" ht="13.5" thickBot="1">
      <c r="A59" s="1343"/>
      <c r="B59" s="5031" t="s">
        <v>482</v>
      </c>
      <c r="C59" s="5032"/>
      <c r="D59" s="5032"/>
      <c r="E59" s="5032"/>
      <c r="F59" s="5032"/>
      <c r="G59" s="5033"/>
      <c r="H59" s="1343"/>
    </row>
    <row r="60" spans="1:8" ht="13" thickTop="1">
      <c r="A60" s="1343"/>
      <c r="B60" s="1687" t="s">
        <v>466</v>
      </c>
      <c r="C60" s="374">
        <v>45.9</v>
      </c>
      <c r="D60" s="368" t="s">
        <v>299</v>
      </c>
      <c r="E60" s="1738" t="s">
        <v>467</v>
      </c>
      <c r="F60" s="375" t="s">
        <v>18</v>
      </c>
      <c r="G60" s="1739" t="s">
        <v>299</v>
      </c>
      <c r="H60" s="1343"/>
    </row>
    <row r="61" spans="1:8">
      <c r="A61" s="1343"/>
      <c r="B61" s="1687" t="s">
        <v>468</v>
      </c>
      <c r="C61" s="380" t="s">
        <v>18</v>
      </c>
      <c r="D61" s="369" t="s">
        <v>299</v>
      </c>
      <c r="E61" s="1738" t="s">
        <v>469</v>
      </c>
      <c r="F61" s="379" t="b">
        <v>0</v>
      </c>
      <c r="G61" s="1739" t="s">
        <v>388</v>
      </c>
      <c r="H61" s="1343"/>
    </row>
    <row r="62" spans="1:8" ht="13" thickBot="1">
      <c r="A62" s="1343"/>
      <c r="B62" s="1735"/>
      <c r="C62" s="1736"/>
      <c r="D62" s="1736"/>
      <c r="E62" s="1736"/>
      <c r="F62" s="1736"/>
      <c r="G62" s="1737"/>
      <c r="H62" s="1343"/>
    </row>
    <row r="63" spans="1:8" ht="13.5" thickBot="1">
      <c r="A63" s="1343"/>
      <c r="B63" s="5031" t="s">
        <v>483</v>
      </c>
      <c r="C63" s="5032"/>
      <c r="D63" s="5032"/>
      <c r="E63" s="5032"/>
      <c r="F63" s="5032"/>
      <c r="G63" s="5033"/>
      <c r="H63" s="1343"/>
    </row>
    <row r="64" spans="1:8" ht="13" thickTop="1">
      <c r="A64" s="1343"/>
      <c r="B64" s="1687" t="s">
        <v>466</v>
      </c>
      <c r="C64" s="374">
        <v>90</v>
      </c>
      <c r="D64" s="368" t="s">
        <v>299</v>
      </c>
      <c r="E64" s="1738" t="s">
        <v>467</v>
      </c>
      <c r="F64" s="375" t="s">
        <v>18</v>
      </c>
      <c r="G64" s="1739" t="s">
        <v>299</v>
      </c>
      <c r="H64" s="1343"/>
    </row>
    <row r="65" spans="1:8">
      <c r="A65" s="1343"/>
      <c r="B65" s="1687" t="s">
        <v>468</v>
      </c>
      <c r="C65" s="380" t="s">
        <v>18</v>
      </c>
      <c r="D65" s="369" t="s">
        <v>299</v>
      </c>
      <c r="E65" s="1738" t="s">
        <v>469</v>
      </c>
      <c r="F65" s="379" t="b">
        <v>0</v>
      </c>
      <c r="G65" s="1739" t="s">
        <v>388</v>
      </c>
      <c r="H65" s="1343"/>
    </row>
    <row r="66" spans="1:8" ht="13" thickBot="1">
      <c r="A66" s="1343"/>
      <c r="B66" s="1735"/>
      <c r="C66" s="1736"/>
      <c r="D66" s="1736"/>
      <c r="E66" s="1736"/>
      <c r="F66" s="1736"/>
      <c r="G66" s="1737"/>
      <c r="H66" s="1343"/>
    </row>
    <row r="67" spans="1:8" ht="13.5" thickBot="1">
      <c r="A67" s="1343"/>
      <c r="B67" s="5031" t="s">
        <v>484</v>
      </c>
      <c r="C67" s="5032"/>
      <c r="D67" s="5032"/>
      <c r="E67" s="5032"/>
      <c r="F67" s="5032"/>
      <c r="G67" s="5033"/>
      <c r="H67" s="1343"/>
    </row>
    <row r="68" spans="1:8" ht="13" thickTop="1">
      <c r="A68" s="1343"/>
      <c r="B68" s="1687" t="s">
        <v>466</v>
      </c>
      <c r="C68" s="374">
        <v>12.731</v>
      </c>
      <c r="D68" s="368" t="s">
        <v>295</v>
      </c>
      <c r="E68" s="1738" t="s">
        <v>467</v>
      </c>
      <c r="F68" s="375" t="s">
        <v>18</v>
      </c>
      <c r="G68" s="1739" t="s">
        <v>295</v>
      </c>
      <c r="H68" s="1343"/>
    </row>
    <row r="69" spans="1:8">
      <c r="A69" s="1343"/>
      <c r="B69" s="1687" t="s">
        <v>468</v>
      </c>
      <c r="C69" s="380" t="s">
        <v>18</v>
      </c>
      <c r="D69" s="369" t="s">
        <v>295</v>
      </c>
      <c r="E69" s="1738" t="s">
        <v>469</v>
      </c>
      <c r="F69" s="379" t="b">
        <v>0</v>
      </c>
      <c r="G69" s="1739" t="s">
        <v>388</v>
      </c>
      <c r="H69" s="1343"/>
    </row>
    <row r="70" spans="1:8" ht="13" thickBot="1">
      <c r="A70" s="1343"/>
      <c r="B70" s="1735"/>
      <c r="C70" s="1736"/>
      <c r="D70" s="1736"/>
      <c r="E70" s="1736"/>
      <c r="F70" s="1736"/>
      <c r="G70" s="1737"/>
      <c r="H70" s="1343"/>
    </row>
    <row r="71" spans="1:8" ht="13.5" thickBot="1">
      <c r="A71" s="1343"/>
      <c r="B71" s="5031" t="s">
        <v>485</v>
      </c>
      <c r="C71" s="5032"/>
      <c r="D71" s="5032"/>
      <c r="E71" s="5032"/>
      <c r="F71" s="5032"/>
      <c r="G71" s="5033"/>
      <c r="H71" s="1343"/>
    </row>
    <row r="72" spans="1:8" ht="13" thickTop="1">
      <c r="A72" s="1343"/>
      <c r="B72" s="1687" t="s">
        <v>466</v>
      </c>
      <c r="C72" s="374">
        <v>1810</v>
      </c>
      <c r="D72" s="368" t="s">
        <v>486</v>
      </c>
      <c r="E72" s="1738" t="s">
        <v>467</v>
      </c>
      <c r="F72" s="375" t="s">
        <v>18</v>
      </c>
      <c r="G72" s="1739" t="s">
        <v>486</v>
      </c>
      <c r="H72" s="1343"/>
    </row>
    <row r="73" spans="1:8">
      <c r="A73" s="1343"/>
      <c r="B73" s="1687" t="s">
        <v>468</v>
      </c>
      <c r="C73" s="380" t="s">
        <v>18</v>
      </c>
      <c r="D73" s="369" t="s">
        <v>486</v>
      </c>
      <c r="E73" s="1738" t="s">
        <v>469</v>
      </c>
      <c r="F73" s="379" t="b">
        <v>0</v>
      </c>
      <c r="G73" s="1739" t="s">
        <v>388</v>
      </c>
      <c r="H73" s="1343"/>
    </row>
    <row r="74" spans="1:8" ht="13" thickBot="1">
      <c r="A74" s="1343"/>
      <c r="B74" s="1735"/>
      <c r="C74" s="1736"/>
      <c r="D74" s="1736"/>
      <c r="E74" s="1736"/>
      <c r="F74" s="1736"/>
      <c r="G74" s="1737"/>
      <c r="H74" s="1343"/>
    </row>
    <row r="75" spans="1:8" ht="13.5" thickBot="1">
      <c r="A75" s="1343"/>
      <c r="B75" s="5031" t="s">
        <v>487</v>
      </c>
      <c r="C75" s="5032"/>
      <c r="D75" s="5032"/>
      <c r="E75" s="5032"/>
      <c r="F75" s="5032"/>
      <c r="G75" s="5033"/>
      <c r="H75" s="1343"/>
    </row>
    <row r="76" spans="1:8" ht="13" thickTop="1">
      <c r="A76" s="1343"/>
      <c r="B76" s="1687" t="s">
        <v>466</v>
      </c>
      <c r="C76" s="377">
        <v>8.6833333330000002</v>
      </c>
      <c r="D76" s="368" t="s">
        <v>488</v>
      </c>
      <c r="E76" s="1738" t="s">
        <v>467</v>
      </c>
      <c r="F76" s="375" t="s">
        <v>18</v>
      </c>
      <c r="G76" s="1739" t="s">
        <v>488</v>
      </c>
      <c r="H76" s="1343"/>
    </row>
    <row r="77" spans="1:8">
      <c r="A77" s="1343"/>
      <c r="B77" s="1687" t="s">
        <v>468</v>
      </c>
      <c r="C77" s="380" t="s">
        <v>18</v>
      </c>
      <c r="D77" s="369" t="s">
        <v>488</v>
      </c>
      <c r="E77" s="1738" t="s">
        <v>469</v>
      </c>
      <c r="F77" s="379" t="b">
        <v>0</v>
      </c>
      <c r="G77" s="1739" t="s">
        <v>388</v>
      </c>
      <c r="H77" s="1343"/>
    </row>
    <row r="78" spans="1:8" ht="13" thickBot="1">
      <c r="A78" s="1343"/>
      <c r="B78" s="1735"/>
      <c r="C78" s="1736"/>
      <c r="D78" s="1736"/>
      <c r="E78" s="1736"/>
      <c r="F78" s="1736"/>
      <c r="G78" s="1737"/>
      <c r="H78" s="1343"/>
    </row>
    <row r="79" spans="1:8" ht="13.5" thickBot="1">
      <c r="A79" s="1343"/>
      <c r="B79" s="5031" t="s">
        <v>489</v>
      </c>
      <c r="C79" s="5032"/>
      <c r="D79" s="5032"/>
      <c r="E79" s="5032"/>
      <c r="F79" s="5032"/>
      <c r="G79" s="5033"/>
      <c r="H79" s="1343"/>
    </row>
    <row r="80" spans="1:8" ht="13" thickTop="1">
      <c r="A80" s="1343"/>
      <c r="B80" s="1687" t="s">
        <v>466</v>
      </c>
      <c r="C80" s="374">
        <v>210</v>
      </c>
      <c r="D80" s="368" t="s">
        <v>490</v>
      </c>
      <c r="E80" s="1738" t="s">
        <v>467</v>
      </c>
      <c r="F80" s="375" t="s">
        <v>18</v>
      </c>
      <c r="G80" s="1739" t="s">
        <v>490</v>
      </c>
      <c r="H80" s="1343"/>
    </row>
    <row r="81" spans="1:8">
      <c r="A81" s="1343"/>
      <c r="B81" s="1687" t="s">
        <v>468</v>
      </c>
      <c r="C81" s="380" t="s">
        <v>18</v>
      </c>
      <c r="D81" s="369" t="s">
        <v>490</v>
      </c>
      <c r="E81" s="1738" t="s">
        <v>469</v>
      </c>
      <c r="F81" s="379" t="b">
        <v>0</v>
      </c>
      <c r="G81" s="1739" t="s">
        <v>388</v>
      </c>
      <c r="H81" s="1343"/>
    </row>
    <row r="82" spans="1:8" ht="13" thickBot="1">
      <c r="A82" s="1343"/>
      <c r="B82" s="1735"/>
      <c r="C82" s="1736"/>
      <c r="D82" s="1736"/>
      <c r="E82" s="1736"/>
      <c r="F82" s="1736"/>
      <c r="G82" s="1737"/>
      <c r="H82" s="1343"/>
    </row>
    <row r="83" spans="1:8" ht="13.5" thickBot="1">
      <c r="A83" s="1343"/>
      <c r="B83" s="5031" t="s">
        <v>1122</v>
      </c>
      <c r="C83" s="5032"/>
      <c r="D83" s="5032"/>
      <c r="E83" s="5032"/>
      <c r="F83" s="5032"/>
      <c r="G83" s="5033"/>
      <c r="H83" s="1343"/>
    </row>
    <row r="84" spans="1:8" ht="13" thickTop="1">
      <c r="A84" s="1343"/>
      <c r="B84" s="1687" t="s">
        <v>466</v>
      </c>
      <c r="C84" s="376">
        <v>87.1140633320002</v>
      </c>
      <c r="D84" s="368" t="s">
        <v>299</v>
      </c>
      <c r="E84" s="1738" t="s">
        <v>467</v>
      </c>
      <c r="F84" s="375" t="s">
        <v>18</v>
      </c>
      <c r="G84" s="1739" t="s">
        <v>299</v>
      </c>
      <c r="H84" s="1343"/>
    </row>
    <row r="85" spans="1:8">
      <c r="A85" s="1343"/>
      <c r="B85" s="1687" t="s">
        <v>468</v>
      </c>
      <c r="C85" s="380" t="s">
        <v>18</v>
      </c>
      <c r="D85" s="369" t="s">
        <v>299</v>
      </c>
      <c r="E85" s="1738" t="s">
        <v>469</v>
      </c>
      <c r="F85" s="379" t="b">
        <v>0</v>
      </c>
      <c r="G85" s="1739" t="s">
        <v>388</v>
      </c>
      <c r="H85" s="1343"/>
    </row>
    <row r="86" spans="1:8" ht="13" thickBot="1">
      <c r="A86" s="1343"/>
      <c r="B86" s="1735"/>
      <c r="C86" s="1736"/>
      <c r="D86" s="1736"/>
      <c r="E86" s="1736"/>
      <c r="F86" s="1736"/>
      <c r="G86" s="1737"/>
      <c r="H86" s="1343"/>
    </row>
    <row r="87" spans="1:8" ht="13.5" thickBot="1">
      <c r="A87" s="1343"/>
      <c r="B87" s="5031" t="s">
        <v>491</v>
      </c>
      <c r="C87" s="5032"/>
      <c r="D87" s="5032"/>
      <c r="E87" s="5032"/>
      <c r="F87" s="5032"/>
      <c r="G87" s="5033"/>
      <c r="H87" s="1343"/>
    </row>
    <row r="88" spans="1:8" ht="13" thickTop="1">
      <c r="A88" s="1343"/>
      <c r="B88" s="1687" t="s">
        <v>466</v>
      </c>
      <c r="C88" s="374">
        <v>1</v>
      </c>
      <c r="D88" s="368" t="s">
        <v>296</v>
      </c>
      <c r="E88" s="1738" t="s">
        <v>467</v>
      </c>
      <c r="F88" s="375" t="s">
        <v>18</v>
      </c>
      <c r="G88" s="1739" t="s">
        <v>296</v>
      </c>
      <c r="H88" s="1343"/>
    </row>
    <row r="89" spans="1:8">
      <c r="A89" s="1343"/>
      <c r="B89" s="1687" t="s">
        <v>468</v>
      </c>
      <c r="C89" s="380" t="s">
        <v>18</v>
      </c>
      <c r="D89" s="369" t="s">
        <v>296</v>
      </c>
      <c r="E89" s="1738" t="s">
        <v>469</v>
      </c>
      <c r="F89" s="379" t="b">
        <v>0</v>
      </c>
      <c r="G89" s="1739" t="s">
        <v>388</v>
      </c>
      <c r="H89" s="1343"/>
    </row>
    <row r="90" spans="1:8" ht="13" thickBot="1">
      <c r="A90" s="1343"/>
      <c r="B90" s="1735"/>
      <c r="C90" s="1736"/>
      <c r="D90" s="1736"/>
      <c r="E90" s="1736"/>
      <c r="F90" s="1736"/>
      <c r="G90" s="1737"/>
      <c r="H90" s="1343"/>
    </row>
    <row r="91" spans="1:8" ht="13.5" thickBot="1">
      <c r="A91" s="1343"/>
      <c r="B91" s="5031" t="s">
        <v>492</v>
      </c>
      <c r="C91" s="5032"/>
      <c r="D91" s="5032"/>
      <c r="E91" s="5032"/>
      <c r="F91" s="5032"/>
      <c r="G91" s="5033"/>
      <c r="H91" s="1343"/>
    </row>
    <row r="92" spans="1:8" ht="13" thickTop="1">
      <c r="A92" s="1343"/>
      <c r="B92" s="1687" t="s">
        <v>466</v>
      </c>
      <c r="C92" s="375" t="s">
        <v>18</v>
      </c>
      <c r="D92" s="368" t="s">
        <v>388</v>
      </c>
      <c r="E92" s="1738" t="s">
        <v>467</v>
      </c>
      <c r="F92" s="375" t="s">
        <v>18</v>
      </c>
      <c r="G92" s="1739" t="s">
        <v>388</v>
      </c>
      <c r="H92" s="1343"/>
    </row>
    <row r="93" spans="1:8">
      <c r="A93" s="1343"/>
      <c r="B93" s="1687" t="s">
        <v>468</v>
      </c>
      <c r="C93" s="375" t="s">
        <v>18</v>
      </c>
      <c r="D93" s="369" t="s">
        <v>388</v>
      </c>
      <c r="E93" s="1738" t="s">
        <v>469</v>
      </c>
      <c r="F93" s="379" t="b">
        <v>0</v>
      </c>
      <c r="G93" s="1739" t="s">
        <v>388</v>
      </c>
      <c r="H93" s="1343"/>
    </row>
    <row r="94" spans="1:8" ht="13" thickBot="1">
      <c r="A94" s="1343"/>
      <c r="B94" s="1735"/>
      <c r="C94" s="1736"/>
      <c r="D94" s="1736"/>
      <c r="E94" s="1736"/>
      <c r="F94" s="1736"/>
      <c r="G94" s="1737"/>
      <c r="H94" s="1343"/>
    </row>
    <row r="95" spans="1:8" ht="13.5" thickBot="1">
      <c r="A95" s="1343"/>
      <c r="B95" s="5031" t="s">
        <v>493</v>
      </c>
      <c r="C95" s="5032"/>
      <c r="D95" s="5032"/>
      <c r="E95" s="5032"/>
      <c r="F95" s="5032"/>
      <c r="G95" s="5033"/>
      <c r="H95" s="1343"/>
    </row>
    <row r="96" spans="1:8" ht="13" thickTop="1">
      <c r="A96" s="1343"/>
      <c r="B96" s="1687" t="s">
        <v>466</v>
      </c>
      <c r="C96" s="375" t="s">
        <v>18</v>
      </c>
      <c r="D96" s="368" t="s">
        <v>388</v>
      </c>
      <c r="E96" s="1738" t="s">
        <v>467</v>
      </c>
      <c r="F96" s="375" t="s">
        <v>18</v>
      </c>
      <c r="G96" s="1739" t="s">
        <v>388</v>
      </c>
      <c r="H96" s="1343"/>
    </row>
    <row r="97" spans="1:8">
      <c r="A97" s="1343"/>
      <c r="B97" s="1687" t="s">
        <v>468</v>
      </c>
      <c r="C97" s="375" t="s">
        <v>18</v>
      </c>
      <c r="D97" s="369" t="s">
        <v>388</v>
      </c>
      <c r="E97" s="1738" t="s">
        <v>469</v>
      </c>
      <c r="F97" s="379" t="b">
        <v>0</v>
      </c>
      <c r="G97" s="1739" t="s">
        <v>388</v>
      </c>
      <c r="H97" s="1343"/>
    </row>
    <row r="98" spans="1:8" ht="13" thickBot="1">
      <c r="A98" s="1343"/>
      <c r="B98" s="1735"/>
      <c r="C98" s="1736"/>
      <c r="D98" s="1736"/>
      <c r="E98" s="1736"/>
      <c r="F98" s="1736"/>
      <c r="G98" s="1737"/>
      <c r="H98" s="1343"/>
    </row>
    <row r="99" spans="1:8" ht="13.5" thickBot="1">
      <c r="A99" s="1343"/>
      <c r="B99" s="5031" t="s">
        <v>494</v>
      </c>
      <c r="C99" s="5032"/>
      <c r="D99" s="5032"/>
      <c r="E99" s="5032"/>
      <c r="F99" s="5032"/>
      <c r="G99" s="5033"/>
      <c r="H99" s="1343"/>
    </row>
    <row r="100" spans="1:8" ht="13" thickTop="1">
      <c r="A100" s="1343"/>
      <c r="B100" s="1687" t="s">
        <v>466</v>
      </c>
      <c r="C100" s="374">
        <v>12.731</v>
      </c>
      <c r="D100" s="368" t="s">
        <v>295</v>
      </c>
      <c r="E100" s="1738" t="s">
        <v>467</v>
      </c>
      <c r="F100" s="375" t="s">
        <v>18</v>
      </c>
      <c r="G100" s="1739" t="s">
        <v>295</v>
      </c>
      <c r="H100" s="1343"/>
    </row>
    <row r="101" spans="1:8">
      <c r="A101" s="1343"/>
      <c r="B101" s="1687" t="s">
        <v>468</v>
      </c>
      <c r="C101" s="380" t="s">
        <v>18</v>
      </c>
      <c r="D101" s="369" t="s">
        <v>295</v>
      </c>
      <c r="E101" s="1738" t="s">
        <v>469</v>
      </c>
      <c r="F101" s="379" t="b">
        <v>0</v>
      </c>
      <c r="G101" s="1739" t="s">
        <v>388</v>
      </c>
      <c r="H101" s="1343"/>
    </row>
    <row r="102" spans="1:8" ht="13" thickBot="1">
      <c r="A102" s="1343"/>
      <c r="B102" s="1735"/>
      <c r="C102" s="1736"/>
      <c r="D102" s="1736"/>
      <c r="E102" s="1736"/>
      <c r="F102" s="1736"/>
      <c r="G102" s="1737"/>
      <c r="H102" s="1343"/>
    </row>
    <row r="103" spans="1:8" ht="13.5" thickBot="1">
      <c r="A103" s="1343"/>
      <c r="B103" s="5031" t="s">
        <v>495</v>
      </c>
      <c r="C103" s="5032"/>
      <c r="D103" s="5032"/>
      <c r="E103" s="5032"/>
      <c r="F103" s="5032"/>
      <c r="G103" s="5033"/>
      <c r="H103" s="1343"/>
    </row>
    <row r="104" spans="1:8" ht="13" thickTop="1">
      <c r="A104" s="1343"/>
      <c r="B104" s="1687" t="s">
        <v>466</v>
      </c>
      <c r="C104" s="377">
        <v>6.7975784768895098</v>
      </c>
      <c r="D104" s="368" t="s">
        <v>295</v>
      </c>
      <c r="E104" s="1738" t="s">
        <v>467</v>
      </c>
      <c r="F104" s="375" t="s">
        <v>18</v>
      </c>
      <c r="G104" s="1739" t="s">
        <v>295</v>
      </c>
      <c r="H104" s="1343"/>
    </row>
    <row r="105" spans="1:8">
      <c r="A105" s="1343"/>
      <c r="B105" s="1687" t="s">
        <v>468</v>
      </c>
      <c r="C105" s="380" t="s">
        <v>18</v>
      </c>
      <c r="D105" s="369" t="s">
        <v>295</v>
      </c>
      <c r="E105" s="1738" t="s">
        <v>469</v>
      </c>
      <c r="F105" s="379" t="b">
        <v>0</v>
      </c>
      <c r="G105" s="1739" t="s">
        <v>388</v>
      </c>
      <c r="H105" s="1343"/>
    </row>
    <row r="106" spans="1:8" ht="13" thickBot="1">
      <c r="A106" s="1343"/>
      <c r="B106" s="1735"/>
      <c r="C106" s="1736"/>
      <c r="D106" s="1736"/>
      <c r="E106" s="1736"/>
      <c r="F106" s="1736"/>
      <c r="G106" s="1737"/>
      <c r="H106" s="1343"/>
    </row>
    <row r="107" spans="1:8" ht="13.5" thickBot="1">
      <c r="A107" s="1343"/>
      <c r="B107" s="5031" t="s">
        <v>496</v>
      </c>
      <c r="C107" s="5032"/>
      <c r="D107" s="5032"/>
      <c r="E107" s="5032"/>
      <c r="F107" s="5032"/>
      <c r="G107" s="5033"/>
      <c r="H107" s="1343"/>
    </row>
    <row r="108" spans="1:8" ht="13" thickTop="1">
      <c r="A108" s="1343"/>
      <c r="B108" s="1687" t="s">
        <v>466</v>
      </c>
      <c r="C108" s="377">
        <v>7.6853545915411798</v>
      </c>
      <c r="D108" s="368" t="s">
        <v>295</v>
      </c>
      <c r="E108" s="1738" t="s">
        <v>467</v>
      </c>
      <c r="F108" s="375" t="s">
        <v>18</v>
      </c>
      <c r="G108" s="1739" t="s">
        <v>295</v>
      </c>
      <c r="H108" s="1343"/>
    </row>
    <row r="109" spans="1:8">
      <c r="A109" s="1343"/>
      <c r="B109" s="1687" t="s">
        <v>468</v>
      </c>
      <c r="C109" s="380" t="s">
        <v>18</v>
      </c>
      <c r="D109" s="369" t="s">
        <v>295</v>
      </c>
      <c r="E109" s="1738" t="s">
        <v>469</v>
      </c>
      <c r="F109" s="379" t="b">
        <v>0</v>
      </c>
      <c r="G109" s="1739" t="s">
        <v>388</v>
      </c>
      <c r="H109" s="1343"/>
    </row>
    <row r="110" spans="1:8" ht="13" thickBot="1">
      <c r="A110" s="1343"/>
      <c r="B110" s="1735"/>
      <c r="C110" s="1736"/>
      <c r="D110" s="1736"/>
      <c r="E110" s="1736"/>
      <c r="F110" s="1736"/>
      <c r="G110" s="1737"/>
      <c r="H110" s="1343"/>
    </row>
    <row r="111" spans="1:8" ht="13.5" thickBot="1">
      <c r="A111" s="1343"/>
      <c r="B111" s="5031" t="s">
        <v>497</v>
      </c>
      <c r="C111" s="5032"/>
      <c r="D111" s="5032"/>
      <c r="E111" s="5032"/>
      <c r="F111" s="5032"/>
      <c r="G111" s="5033"/>
      <c r="H111" s="1343"/>
    </row>
    <row r="112" spans="1:8" ht="13" thickTop="1">
      <c r="A112" s="1343"/>
      <c r="B112" s="1687" t="s">
        <v>466</v>
      </c>
      <c r="C112" s="377">
        <v>5.9953095546988999</v>
      </c>
      <c r="D112" s="368" t="s">
        <v>295</v>
      </c>
      <c r="E112" s="1738" t="s">
        <v>467</v>
      </c>
      <c r="F112" s="375" t="s">
        <v>18</v>
      </c>
      <c r="G112" s="1739" t="s">
        <v>295</v>
      </c>
      <c r="H112" s="1343"/>
    </row>
    <row r="113" spans="1:8">
      <c r="A113" s="1343"/>
      <c r="B113" s="1687" t="s">
        <v>468</v>
      </c>
      <c r="C113" s="380" t="s">
        <v>18</v>
      </c>
      <c r="D113" s="369" t="s">
        <v>295</v>
      </c>
      <c r="E113" s="1738" t="s">
        <v>469</v>
      </c>
      <c r="F113" s="379" t="b">
        <v>0</v>
      </c>
      <c r="G113" s="1739" t="s">
        <v>388</v>
      </c>
      <c r="H113" s="1343"/>
    </row>
    <row r="114" spans="1:8" ht="13" thickBot="1">
      <c r="A114" s="1343"/>
      <c r="B114" s="1735"/>
      <c r="C114" s="1736"/>
      <c r="D114" s="1736"/>
      <c r="E114" s="1736"/>
      <c r="F114" s="1736"/>
      <c r="G114" s="1737"/>
      <c r="H114" s="1343"/>
    </row>
    <row r="115" spans="1:8" ht="13.5" thickBot="1">
      <c r="A115" s="1343"/>
      <c r="B115" s="5031" t="s">
        <v>498</v>
      </c>
      <c r="C115" s="5032"/>
      <c r="D115" s="5032"/>
      <c r="E115" s="5032"/>
      <c r="F115" s="5032"/>
      <c r="G115" s="5033"/>
      <c r="H115" s="1343"/>
    </row>
    <row r="116" spans="1:8" ht="13" thickTop="1">
      <c r="A116" s="1343"/>
      <c r="B116" s="1687" t="s">
        <v>466</v>
      </c>
      <c r="C116" s="376">
        <v>79.590163332600099</v>
      </c>
      <c r="D116" s="368" t="s">
        <v>299</v>
      </c>
      <c r="E116" s="1738" t="s">
        <v>467</v>
      </c>
      <c r="F116" s="375" t="s">
        <v>18</v>
      </c>
      <c r="G116" s="1739" t="s">
        <v>299</v>
      </c>
      <c r="H116" s="1343"/>
    </row>
    <row r="117" spans="1:8">
      <c r="A117" s="1343"/>
      <c r="B117" s="1687" t="s">
        <v>468</v>
      </c>
      <c r="C117" s="380" t="s">
        <v>18</v>
      </c>
      <c r="D117" s="369" t="s">
        <v>299</v>
      </c>
      <c r="E117" s="1738" t="s">
        <v>469</v>
      </c>
      <c r="F117" s="379" t="b">
        <v>0</v>
      </c>
      <c r="G117" s="1739" t="s">
        <v>388</v>
      </c>
      <c r="H117" s="1343"/>
    </row>
    <row r="118" spans="1:8" ht="13" thickBot="1">
      <c r="A118" s="1343"/>
      <c r="B118" s="1735"/>
      <c r="C118" s="1736"/>
      <c r="D118" s="1736"/>
      <c r="E118" s="1736"/>
      <c r="F118" s="1736"/>
      <c r="G118" s="1737"/>
      <c r="H118" s="1343"/>
    </row>
    <row r="119" spans="1:8" ht="13.5" thickBot="1">
      <c r="A119" s="1343"/>
      <c r="B119" s="5031" t="s">
        <v>499</v>
      </c>
      <c r="C119" s="5032"/>
      <c r="D119" s="5032"/>
      <c r="E119" s="5032"/>
      <c r="F119" s="5032"/>
      <c r="G119" s="5033"/>
      <c r="H119" s="1343"/>
    </row>
    <row r="120" spans="1:8" ht="13" thickTop="1">
      <c r="A120" s="1343"/>
      <c r="B120" s="1687" t="s">
        <v>466</v>
      </c>
      <c r="C120" s="376">
        <v>87.1140633320002</v>
      </c>
      <c r="D120" s="368" t="s">
        <v>299</v>
      </c>
      <c r="E120" s="1738" t="s">
        <v>467</v>
      </c>
      <c r="F120" s="375" t="s">
        <v>18</v>
      </c>
      <c r="G120" s="1739" t="s">
        <v>299</v>
      </c>
      <c r="H120" s="1343"/>
    </row>
    <row r="121" spans="1:8">
      <c r="A121" s="1343"/>
      <c r="B121" s="1687" t="s">
        <v>468</v>
      </c>
      <c r="C121" s="380" t="s">
        <v>18</v>
      </c>
      <c r="D121" s="369" t="s">
        <v>299</v>
      </c>
      <c r="E121" s="1738" t="s">
        <v>469</v>
      </c>
      <c r="F121" s="379" t="b">
        <v>0</v>
      </c>
      <c r="G121" s="1739" t="s">
        <v>388</v>
      </c>
      <c r="H121" s="1343"/>
    </row>
    <row r="122" spans="1:8" ht="13" thickBot="1">
      <c r="A122" s="1343"/>
      <c r="B122" s="1735"/>
      <c r="C122" s="1736"/>
      <c r="D122" s="1736"/>
      <c r="E122" s="1736"/>
      <c r="F122" s="1736"/>
      <c r="G122" s="1737"/>
      <c r="H122" s="1343"/>
    </row>
    <row r="123" spans="1:8" ht="13.5" thickBot="1">
      <c r="A123" s="1343"/>
      <c r="B123" s="5031" t="s">
        <v>500</v>
      </c>
      <c r="C123" s="5032"/>
      <c r="D123" s="5032"/>
      <c r="E123" s="5032"/>
      <c r="F123" s="5032"/>
      <c r="G123" s="5033"/>
      <c r="H123" s="1343"/>
    </row>
    <row r="124" spans="1:8" ht="13" thickTop="1">
      <c r="A124" s="1343"/>
      <c r="B124" s="1687" t="s">
        <v>466</v>
      </c>
      <c r="C124" s="377">
        <v>5.1332339553378796</v>
      </c>
      <c r="D124" s="368" t="s">
        <v>155</v>
      </c>
      <c r="E124" s="1738" t="s">
        <v>467</v>
      </c>
      <c r="F124" s="375" t="s">
        <v>18</v>
      </c>
      <c r="G124" s="1739" t="s">
        <v>155</v>
      </c>
      <c r="H124" s="1343"/>
    </row>
    <row r="125" spans="1:8">
      <c r="A125" s="1343"/>
      <c r="B125" s="1687" t="s">
        <v>468</v>
      </c>
      <c r="C125" s="380" t="s">
        <v>18</v>
      </c>
      <c r="D125" s="369" t="s">
        <v>155</v>
      </c>
      <c r="E125" s="1738" t="s">
        <v>469</v>
      </c>
      <c r="F125" s="379" t="b">
        <v>0</v>
      </c>
      <c r="G125" s="1739" t="s">
        <v>388</v>
      </c>
      <c r="H125" s="1343"/>
    </row>
    <row r="126" spans="1:8" ht="13" thickBot="1">
      <c r="A126" s="1343"/>
      <c r="B126" s="1735"/>
      <c r="C126" s="1736"/>
      <c r="D126" s="1736"/>
      <c r="E126" s="1736"/>
      <c r="F126" s="1736"/>
      <c r="G126" s="1737"/>
      <c r="H126" s="1343"/>
    </row>
    <row r="127" spans="1:8" ht="13.5" thickBot="1">
      <c r="A127" s="1343"/>
      <c r="B127" s="5031" t="s">
        <v>501</v>
      </c>
      <c r="C127" s="5032"/>
      <c r="D127" s="5032"/>
      <c r="E127" s="5032"/>
      <c r="F127" s="5032"/>
      <c r="G127" s="5033"/>
      <c r="H127" s="1343"/>
    </row>
    <row r="128" spans="1:8" ht="13" thickTop="1">
      <c r="A128" s="1343"/>
      <c r="B128" s="1687" t="s">
        <v>466</v>
      </c>
      <c r="C128" s="374">
        <v>0</v>
      </c>
      <c r="D128" s="368" t="s">
        <v>155</v>
      </c>
      <c r="E128" s="1738" t="s">
        <v>467</v>
      </c>
      <c r="F128" s="375" t="s">
        <v>18</v>
      </c>
      <c r="G128" s="1739" t="s">
        <v>155</v>
      </c>
      <c r="H128" s="1343"/>
    </row>
    <row r="129" spans="1:8">
      <c r="A129" s="1343"/>
      <c r="B129" s="1687" t="s">
        <v>468</v>
      </c>
      <c r="C129" s="380" t="s">
        <v>18</v>
      </c>
      <c r="D129" s="369" t="s">
        <v>155</v>
      </c>
      <c r="E129" s="1738" t="s">
        <v>469</v>
      </c>
      <c r="F129" s="379" t="b">
        <v>0</v>
      </c>
      <c r="G129" s="1739" t="s">
        <v>388</v>
      </c>
      <c r="H129" s="1343"/>
    </row>
    <row r="130" spans="1:8" ht="13" thickBot="1">
      <c r="A130" s="1343"/>
      <c r="B130" s="1735"/>
      <c r="C130" s="1736"/>
      <c r="D130" s="1736"/>
      <c r="E130" s="1736"/>
      <c r="F130" s="1736"/>
      <c r="G130" s="1737"/>
      <c r="H130" s="1343"/>
    </row>
    <row r="131" spans="1:8" ht="13.5" thickBot="1">
      <c r="A131" s="1343"/>
      <c r="B131" s="5031" t="s">
        <v>502</v>
      </c>
      <c r="C131" s="5032"/>
      <c r="D131" s="5032"/>
      <c r="E131" s="5032"/>
      <c r="F131" s="5032"/>
      <c r="G131" s="5033"/>
      <c r="H131" s="1343"/>
    </row>
    <row r="132" spans="1:8" ht="13" thickTop="1">
      <c r="A132" s="1343"/>
      <c r="B132" s="1687" t="s">
        <v>466</v>
      </c>
      <c r="C132" s="374">
        <v>0</v>
      </c>
      <c r="D132" s="368" t="s">
        <v>155</v>
      </c>
      <c r="E132" s="1738" t="s">
        <v>467</v>
      </c>
      <c r="F132" s="375" t="s">
        <v>18</v>
      </c>
      <c r="G132" s="1739" t="s">
        <v>155</v>
      </c>
      <c r="H132" s="1343"/>
    </row>
    <row r="133" spans="1:8">
      <c r="A133" s="1343"/>
      <c r="B133" s="1687" t="s">
        <v>468</v>
      </c>
      <c r="C133" s="380" t="s">
        <v>18</v>
      </c>
      <c r="D133" s="369" t="s">
        <v>155</v>
      </c>
      <c r="E133" s="1738" t="s">
        <v>469</v>
      </c>
      <c r="F133" s="379" t="b">
        <v>0</v>
      </c>
      <c r="G133" s="1739" t="s">
        <v>388</v>
      </c>
      <c r="H133" s="1343"/>
    </row>
    <row r="134" spans="1:8" ht="13" thickBot="1">
      <c r="A134" s="1343"/>
      <c r="B134" s="1735"/>
      <c r="C134" s="1736"/>
      <c r="D134" s="1736"/>
      <c r="E134" s="1736"/>
      <c r="F134" s="1736"/>
      <c r="G134" s="1737"/>
      <c r="H134" s="1343"/>
    </row>
    <row r="135" spans="1:8" ht="13.5" thickBot="1">
      <c r="A135" s="1343"/>
      <c r="B135" s="5031" t="s">
        <v>503</v>
      </c>
      <c r="C135" s="5032"/>
      <c r="D135" s="5032"/>
      <c r="E135" s="5032"/>
      <c r="F135" s="5032"/>
      <c r="G135" s="5033"/>
      <c r="H135" s="1343"/>
    </row>
    <row r="136" spans="1:8" ht="13" thickTop="1">
      <c r="A136" s="1343"/>
      <c r="B136" s="1687" t="s">
        <v>466</v>
      </c>
      <c r="C136" s="1741">
        <v>0.23738422793883601</v>
      </c>
      <c r="D136" s="368" t="s">
        <v>155</v>
      </c>
      <c r="E136" s="1738" t="s">
        <v>467</v>
      </c>
      <c r="F136" s="375" t="s">
        <v>18</v>
      </c>
      <c r="G136" s="1739" t="s">
        <v>155</v>
      </c>
      <c r="H136" s="1343"/>
    </row>
    <row r="137" spans="1:8">
      <c r="A137" s="1343"/>
      <c r="B137" s="1687" t="s">
        <v>468</v>
      </c>
      <c r="C137" s="380" t="s">
        <v>18</v>
      </c>
      <c r="D137" s="369" t="s">
        <v>155</v>
      </c>
      <c r="E137" s="1738" t="s">
        <v>469</v>
      </c>
      <c r="F137" s="379" t="b">
        <v>0</v>
      </c>
      <c r="G137" s="1739" t="s">
        <v>388</v>
      </c>
      <c r="H137" s="1343"/>
    </row>
    <row r="138" spans="1:8" ht="13" thickBot="1">
      <c r="A138" s="1343"/>
      <c r="B138" s="1735"/>
      <c r="C138" s="1736"/>
      <c r="D138" s="1736"/>
      <c r="E138" s="1736"/>
      <c r="F138" s="1736"/>
      <c r="G138" s="1737"/>
      <c r="H138" s="1343"/>
    </row>
    <row r="139" spans="1:8" ht="13.5" thickBot="1">
      <c r="A139" s="1343"/>
      <c r="B139" s="5031" t="s">
        <v>504</v>
      </c>
      <c r="C139" s="5032"/>
      <c r="D139" s="5032"/>
      <c r="E139" s="5032"/>
      <c r="F139" s="5032"/>
      <c r="G139" s="5033"/>
      <c r="H139" s="1343"/>
    </row>
    <row r="140" spans="1:8" ht="13" thickTop="1">
      <c r="A140" s="1343"/>
      <c r="B140" s="1687" t="s">
        <v>466</v>
      </c>
      <c r="C140" s="377">
        <v>2.7948628824231299</v>
      </c>
      <c r="D140" s="368" t="s">
        <v>155</v>
      </c>
      <c r="E140" s="1738" t="s">
        <v>467</v>
      </c>
      <c r="F140" s="375" t="s">
        <v>18</v>
      </c>
      <c r="G140" s="1739" t="s">
        <v>155</v>
      </c>
      <c r="H140" s="1343"/>
    </row>
    <row r="141" spans="1:8">
      <c r="A141" s="1343"/>
      <c r="B141" s="1687" t="s">
        <v>468</v>
      </c>
      <c r="C141" s="380" t="s">
        <v>18</v>
      </c>
      <c r="D141" s="369" t="s">
        <v>155</v>
      </c>
      <c r="E141" s="1738" t="s">
        <v>469</v>
      </c>
      <c r="F141" s="379" t="b">
        <v>0</v>
      </c>
      <c r="G141" s="1739" t="s">
        <v>388</v>
      </c>
      <c r="H141" s="1343"/>
    </row>
    <row r="142" spans="1:8" ht="13" thickBot="1">
      <c r="A142" s="1343"/>
      <c r="B142" s="1735"/>
      <c r="C142" s="1736"/>
      <c r="D142" s="1736"/>
      <c r="E142" s="1736"/>
      <c r="F142" s="1736"/>
      <c r="G142" s="1737"/>
      <c r="H142" s="1343"/>
    </row>
    <row r="143" spans="1:8" ht="13.5" thickBot="1">
      <c r="A143" s="1343"/>
      <c r="B143" s="5031" t="s">
        <v>505</v>
      </c>
      <c r="C143" s="5032"/>
      <c r="D143" s="5032"/>
      <c r="E143" s="5032"/>
      <c r="F143" s="5032"/>
      <c r="G143" s="5033"/>
      <c r="H143" s="1343"/>
    </row>
    <row r="144" spans="1:8" ht="13" thickTop="1">
      <c r="A144" s="1343"/>
      <c r="B144" s="1687" t="s">
        <v>466</v>
      </c>
      <c r="C144" s="374">
        <v>0</v>
      </c>
      <c r="D144" s="368" t="s">
        <v>155</v>
      </c>
      <c r="E144" s="1738" t="s">
        <v>467</v>
      </c>
      <c r="F144" s="375" t="s">
        <v>18</v>
      </c>
      <c r="G144" s="1739" t="s">
        <v>155</v>
      </c>
      <c r="H144" s="1343"/>
    </row>
    <row r="145" spans="1:8">
      <c r="A145" s="1343"/>
      <c r="B145" s="1687" t="s">
        <v>468</v>
      </c>
      <c r="C145" s="380" t="s">
        <v>18</v>
      </c>
      <c r="D145" s="369" t="s">
        <v>155</v>
      </c>
      <c r="E145" s="1738" t="s">
        <v>469</v>
      </c>
      <c r="F145" s="379" t="b">
        <v>0</v>
      </c>
      <c r="G145" s="1739" t="s">
        <v>388</v>
      </c>
      <c r="H145" s="1343"/>
    </row>
    <row r="146" spans="1:8" ht="13" thickBot="1">
      <c r="A146" s="1343"/>
      <c r="B146" s="1735"/>
      <c r="C146" s="1736"/>
      <c r="D146" s="1736"/>
      <c r="E146" s="1736"/>
      <c r="F146" s="1736"/>
      <c r="G146" s="1737"/>
      <c r="H146" s="1343"/>
    </row>
    <row r="147" spans="1:8" ht="13.5" thickBot="1">
      <c r="A147" s="1343"/>
      <c r="B147" s="5031" t="s">
        <v>506</v>
      </c>
      <c r="C147" s="5032"/>
      <c r="D147" s="5032"/>
      <c r="E147" s="5032"/>
      <c r="F147" s="5032"/>
      <c r="G147" s="5033"/>
      <c r="H147" s="1343"/>
    </row>
    <row r="148" spans="1:8" ht="13" thickTop="1">
      <c r="A148" s="1343"/>
      <c r="B148" s="1687" t="s">
        <v>466</v>
      </c>
      <c r="C148" s="374">
        <v>0</v>
      </c>
      <c r="D148" s="368" t="s">
        <v>22</v>
      </c>
      <c r="E148" s="1738" t="s">
        <v>467</v>
      </c>
      <c r="F148" s="375" t="s">
        <v>18</v>
      </c>
      <c r="G148" s="1739" t="s">
        <v>22</v>
      </c>
      <c r="H148" s="1343"/>
    </row>
    <row r="149" spans="1:8">
      <c r="A149" s="1343"/>
      <c r="B149" s="1687" t="s">
        <v>468</v>
      </c>
      <c r="C149" s="380" t="s">
        <v>18</v>
      </c>
      <c r="D149" s="369" t="s">
        <v>22</v>
      </c>
      <c r="E149" s="1738" t="s">
        <v>469</v>
      </c>
      <c r="F149" s="379" t="b">
        <v>0</v>
      </c>
      <c r="G149" s="1739" t="s">
        <v>388</v>
      </c>
      <c r="H149" s="1343"/>
    </row>
    <row r="150" spans="1:8" ht="13" thickBot="1">
      <c r="A150" s="1343"/>
      <c r="B150" s="1735"/>
      <c r="C150" s="1736"/>
      <c r="D150" s="1736"/>
      <c r="E150" s="1736"/>
      <c r="F150" s="1736"/>
      <c r="G150" s="1737"/>
      <c r="H150" s="1343"/>
    </row>
    <row r="151" spans="1:8" ht="13.5" thickBot="1">
      <c r="A151" s="1343"/>
      <c r="B151" s="5031" t="s">
        <v>507</v>
      </c>
      <c r="C151" s="5032"/>
      <c r="D151" s="5032"/>
      <c r="E151" s="5032"/>
      <c r="F151" s="5032"/>
      <c r="G151" s="5033"/>
      <c r="H151" s="1343"/>
    </row>
    <row r="152" spans="1:8" ht="13" thickTop="1">
      <c r="A152" s="1343"/>
      <c r="B152" s="1687" t="s">
        <v>466</v>
      </c>
      <c r="C152" s="1741">
        <v>0.122203265214124</v>
      </c>
      <c r="D152" s="368" t="s">
        <v>388</v>
      </c>
      <c r="E152" s="1738" t="s">
        <v>467</v>
      </c>
      <c r="F152" s="375" t="s">
        <v>18</v>
      </c>
      <c r="G152" s="1739" t="s">
        <v>388</v>
      </c>
      <c r="H152" s="1343"/>
    </row>
    <row r="153" spans="1:8">
      <c r="A153" s="1343"/>
      <c r="B153" s="1687" t="s">
        <v>468</v>
      </c>
      <c r="C153" s="380" t="s">
        <v>18</v>
      </c>
      <c r="D153" s="369" t="s">
        <v>388</v>
      </c>
      <c r="E153" s="1738" t="s">
        <v>469</v>
      </c>
      <c r="F153" s="379" t="b">
        <v>0</v>
      </c>
      <c r="G153" s="1739" t="s">
        <v>388</v>
      </c>
      <c r="H153" s="1343"/>
    </row>
    <row r="154" spans="1:8" ht="13" thickBot="1">
      <c r="A154" s="1343"/>
      <c r="B154" s="1735"/>
      <c r="C154" s="1736"/>
      <c r="D154" s="1736"/>
      <c r="E154" s="1736"/>
      <c r="F154" s="1736"/>
      <c r="G154" s="1737"/>
      <c r="H154" s="1343"/>
    </row>
    <row r="155" spans="1:8" ht="13.5" thickBot="1">
      <c r="A155" s="1343"/>
      <c r="B155" s="5031" t="s">
        <v>508</v>
      </c>
      <c r="C155" s="5032"/>
      <c r="D155" s="5032"/>
      <c r="E155" s="5032"/>
      <c r="F155" s="5032"/>
      <c r="G155" s="5033"/>
      <c r="H155" s="1343"/>
    </row>
    <row r="156" spans="1:8" ht="13" thickTop="1">
      <c r="A156" s="1343"/>
      <c r="B156" s="1687" t="s">
        <v>466</v>
      </c>
      <c r="C156" s="377">
        <v>5.3953172005748797</v>
      </c>
      <c r="D156" s="368" t="s">
        <v>155</v>
      </c>
      <c r="E156" s="1738" t="s">
        <v>467</v>
      </c>
      <c r="F156" s="375" t="s">
        <v>18</v>
      </c>
      <c r="G156" s="1739" t="s">
        <v>155</v>
      </c>
      <c r="H156" s="1343"/>
    </row>
    <row r="157" spans="1:8">
      <c r="A157" s="1343"/>
      <c r="B157" s="1687" t="s">
        <v>468</v>
      </c>
      <c r="C157" s="380" t="s">
        <v>18</v>
      </c>
      <c r="D157" s="369" t="s">
        <v>155</v>
      </c>
      <c r="E157" s="1738" t="s">
        <v>469</v>
      </c>
      <c r="F157" s="379" t="b">
        <v>0</v>
      </c>
      <c r="G157" s="1739" t="s">
        <v>388</v>
      </c>
      <c r="H157" s="1343"/>
    </row>
    <row r="158" spans="1:8" ht="13" thickBot="1">
      <c r="A158" s="1343"/>
      <c r="B158" s="1735"/>
      <c r="C158" s="1736"/>
      <c r="D158" s="1736"/>
      <c r="E158" s="1736"/>
      <c r="F158" s="1736"/>
      <c r="G158" s="1737"/>
      <c r="H158" s="1343"/>
    </row>
    <row r="159" spans="1:8" ht="13.5" thickBot="1">
      <c r="A159" s="1343"/>
      <c r="B159" s="5031" t="s">
        <v>509</v>
      </c>
      <c r="C159" s="5032"/>
      <c r="D159" s="5032"/>
      <c r="E159" s="5032"/>
      <c r="F159" s="5032"/>
      <c r="G159" s="5033"/>
      <c r="H159" s="1343"/>
    </row>
    <row r="160" spans="1:8" ht="13" thickTop="1">
      <c r="A160" s="1343"/>
      <c r="B160" s="1687" t="s">
        <v>466</v>
      </c>
      <c r="C160" s="374">
        <v>0</v>
      </c>
      <c r="D160" s="368" t="s">
        <v>155</v>
      </c>
      <c r="E160" s="1738" t="s">
        <v>467</v>
      </c>
      <c r="F160" s="375" t="s">
        <v>18</v>
      </c>
      <c r="G160" s="1739" t="s">
        <v>155</v>
      </c>
      <c r="H160" s="1343"/>
    </row>
    <row r="161" spans="1:8">
      <c r="A161" s="1343"/>
      <c r="B161" s="1687" t="s">
        <v>468</v>
      </c>
      <c r="C161" s="380" t="s">
        <v>18</v>
      </c>
      <c r="D161" s="369" t="s">
        <v>155</v>
      </c>
      <c r="E161" s="1738" t="s">
        <v>469</v>
      </c>
      <c r="F161" s="379" t="b">
        <v>0</v>
      </c>
      <c r="G161" s="1739" t="s">
        <v>388</v>
      </c>
      <c r="H161" s="1343"/>
    </row>
    <row r="162" spans="1:8" ht="13" thickBot="1">
      <c r="A162" s="1343"/>
      <c r="B162" s="1735"/>
      <c r="C162" s="1736"/>
      <c r="D162" s="1736"/>
      <c r="E162" s="1736"/>
      <c r="F162" s="1736"/>
      <c r="G162" s="1737"/>
      <c r="H162" s="1343"/>
    </row>
    <row r="163" spans="1:8" ht="13.5" thickBot="1">
      <c r="A163" s="1343"/>
      <c r="B163" s="5031" t="s">
        <v>510</v>
      </c>
      <c r="C163" s="5032"/>
      <c r="D163" s="5032"/>
      <c r="E163" s="5032"/>
      <c r="F163" s="5032"/>
      <c r="G163" s="5033"/>
      <c r="H163" s="1343"/>
    </row>
    <row r="164" spans="1:8" ht="13" thickTop="1">
      <c r="A164" s="1343"/>
      <c r="B164" s="1687" t="s">
        <v>466</v>
      </c>
      <c r="C164" s="374">
        <v>0</v>
      </c>
      <c r="D164" s="368" t="s">
        <v>22</v>
      </c>
      <c r="E164" s="1738" t="s">
        <v>467</v>
      </c>
      <c r="F164" s="375" t="s">
        <v>18</v>
      </c>
      <c r="G164" s="1739" t="s">
        <v>22</v>
      </c>
      <c r="H164" s="1343"/>
    </row>
    <row r="165" spans="1:8">
      <c r="A165" s="1343"/>
      <c r="B165" s="1687" t="s">
        <v>468</v>
      </c>
      <c r="C165" s="380" t="s">
        <v>18</v>
      </c>
      <c r="D165" s="369" t="s">
        <v>22</v>
      </c>
      <c r="E165" s="1738" t="s">
        <v>469</v>
      </c>
      <c r="F165" s="379" t="b">
        <v>0</v>
      </c>
      <c r="G165" s="1739" t="s">
        <v>388</v>
      </c>
      <c r="H165" s="1343"/>
    </row>
    <row r="166" spans="1:8" ht="13" thickBot="1">
      <c r="A166" s="1343"/>
      <c r="B166" s="1735"/>
      <c r="C166" s="1736"/>
      <c r="D166" s="1736"/>
      <c r="E166" s="1736"/>
      <c r="F166" s="1736"/>
      <c r="G166" s="1737"/>
      <c r="H166" s="1343"/>
    </row>
    <row r="167" spans="1:8" ht="13.5" thickBot="1">
      <c r="A167" s="1343"/>
      <c r="B167" s="5031" t="s">
        <v>511</v>
      </c>
      <c r="C167" s="5032"/>
      <c r="D167" s="5032"/>
      <c r="E167" s="5032"/>
      <c r="F167" s="5032"/>
      <c r="G167" s="5033"/>
      <c r="H167" s="1343"/>
    </row>
    <row r="168" spans="1:8" ht="13" thickTop="1">
      <c r="A168" s="1343"/>
      <c r="B168" s="1687" t="s">
        <v>466</v>
      </c>
      <c r="C168" s="374">
        <v>0</v>
      </c>
      <c r="D168" s="368" t="s">
        <v>155</v>
      </c>
      <c r="E168" s="1738" t="s">
        <v>467</v>
      </c>
      <c r="F168" s="375" t="s">
        <v>18</v>
      </c>
      <c r="G168" s="1739" t="s">
        <v>155</v>
      </c>
      <c r="H168" s="1343"/>
    </row>
    <row r="169" spans="1:8">
      <c r="A169" s="1343"/>
      <c r="B169" s="1687" t="s">
        <v>468</v>
      </c>
      <c r="C169" s="380" t="s">
        <v>18</v>
      </c>
      <c r="D169" s="369" t="s">
        <v>155</v>
      </c>
      <c r="E169" s="1738" t="s">
        <v>469</v>
      </c>
      <c r="F169" s="379" t="b">
        <v>0</v>
      </c>
      <c r="G169" s="1739" t="s">
        <v>388</v>
      </c>
      <c r="H169" s="1343"/>
    </row>
    <row r="170" spans="1:8" ht="13" thickBot="1">
      <c r="A170" s="1343"/>
      <c r="B170" s="1735"/>
      <c r="C170" s="1736"/>
      <c r="D170" s="1736"/>
      <c r="E170" s="1736"/>
      <c r="F170" s="1736"/>
      <c r="G170" s="1737"/>
      <c r="H170" s="1343"/>
    </row>
    <row r="171" spans="1:8" ht="13.5" thickBot="1">
      <c r="A171" s="1343"/>
      <c r="B171" s="5031" t="s">
        <v>512</v>
      </c>
      <c r="C171" s="5032"/>
      <c r="D171" s="5032"/>
      <c r="E171" s="5032"/>
      <c r="F171" s="5032"/>
      <c r="G171" s="5033"/>
      <c r="H171" s="1343"/>
    </row>
    <row r="172" spans="1:8" ht="13" thickTop="1">
      <c r="A172" s="1343"/>
      <c r="B172" s="1687" t="s">
        <v>466</v>
      </c>
      <c r="C172" s="377">
        <v>2.1009868449759099</v>
      </c>
      <c r="D172" s="368" t="s">
        <v>155</v>
      </c>
      <c r="E172" s="1738" t="s">
        <v>467</v>
      </c>
      <c r="F172" s="375" t="s">
        <v>18</v>
      </c>
      <c r="G172" s="1739" t="s">
        <v>155</v>
      </c>
      <c r="H172" s="1343"/>
    </row>
    <row r="173" spans="1:8">
      <c r="A173" s="1343"/>
      <c r="B173" s="1687" t="s">
        <v>468</v>
      </c>
      <c r="C173" s="380" t="s">
        <v>18</v>
      </c>
      <c r="D173" s="369" t="s">
        <v>155</v>
      </c>
      <c r="E173" s="1738" t="s">
        <v>469</v>
      </c>
      <c r="F173" s="379" t="b">
        <v>0</v>
      </c>
      <c r="G173" s="1739" t="s">
        <v>388</v>
      </c>
      <c r="H173" s="1343"/>
    </row>
    <row r="174" spans="1:8" ht="13" thickBot="1">
      <c r="A174" s="1343"/>
      <c r="B174" s="1735"/>
      <c r="C174" s="1736"/>
      <c r="D174" s="1736"/>
      <c r="E174" s="1736"/>
      <c r="F174" s="1736"/>
      <c r="G174" s="1737"/>
      <c r="H174" s="1343"/>
    </row>
    <row r="175" spans="1:8" ht="13.5" thickBot="1">
      <c r="A175" s="1343"/>
      <c r="B175" s="5031" t="s">
        <v>513</v>
      </c>
      <c r="C175" s="5032"/>
      <c r="D175" s="5032"/>
      <c r="E175" s="5032"/>
      <c r="F175" s="5032"/>
      <c r="G175" s="5033"/>
      <c r="H175" s="1343"/>
    </row>
    <row r="176" spans="1:8" ht="13" thickTop="1">
      <c r="A176" s="1343"/>
      <c r="B176" s="1687" t="s">
        <v>466</v>
      </c>
      <c r="C176" s="374">
        <v>0</v>
      </c>
      <c r="D176" s="368" t="s">
        <v>155</v>
      </c>
      <c r="E176" s="1738" t="s">
        <v>467</v>
      </c>
      <c r="F176" s="375" t="s">
        <v>18</v>
      </c>
      <c r="G176" s="1739" t="s">
        <v>155</v>
      </c>
      <c r="H176" s="1343"/>
    </row>
    <row r="177" spans="1:8">
      <c r="A177" s="1343"/>
      <c r="B177" s="1687" t="s">
        <v>468</v>
      </c>
      <c r="C177" s="380" t="s">
        <v>18</v>
      </c>
      <c r="D177" s="369" t="s">
        <v>155</v>
      </c>
      <c r="E177" s="1738" t="s">
        <v>469</v>
      </c>
      <c r="F177" s="379" t="b">
        <v>0</v>
      </c>
      <c r="G177" s="1739" t="s">
        <v>388</v>
      </c>
      <c r="H177" s="1343"/>
    </row>
    <row r="178" spans="1:8" ht="13" thickBot="1">
      <c r="A178" s="1343"/>
      <c r="B178" s="1735"/>
      <c r="C178" s="1736"/>
      <c r="D178" s="1736"/>
      <c r="E178" s="1736"/>
      <c r="F178" s="1736"/>
      <c r="G178" s="1737"/>
      <c r="H178" s="1343"/>
    </row>
    <row r="179" spans="1:8" ht="13.5" thickBot="1">
      <c r="A179" s="1343"/>
      <c r="B179" s="5031" t="s">
        <v>514</v>
      </c>
      <c r="C179" s="5032"/>
      <c r="D179" s="5032"/>
      <c r="E179" s="5032"/>
      <c r="F179" s="5032"/>
      <c r="G179" s="5033"/>
      <c r="H179" s="1343"/>
    </row>
    <row r="180" spans="1:8" ht="13" thickTop="1">
      <c r="A180" s="1343"/>
      <c r="B180" s="1687" t="s">
        <v>466</v>
      </c>
      <c r="C180" s="374">
        <v>0</v>
      </c>
      <c r="D180" s="368" t="s">
        <v>155</v>
      </c>
      <c r="E180" s="1738" t="s">
        <v>467</v>
      </c>
      <c r="F180" s="375" t="s">
        <v>18</v>
      </c>
      <c r="G180" s="1739" t="s">
        <v>155</v>
      </c>
      <c r="H180" s="1343"/>
    </row>
    <row r="181" spans="1:8">
      <c r="A181" s="1343"/>
      <c r="B181" s="1687" t="s">
        <v>468</v>
      </c>
      <c r="C181" s="380" t="s">
        <v>18</v>
      </c>
      <c r="D181" s="369" t="s">
        <v>155</v>
      </c>
      <c r="E181" s="1738" t="s">
        <v>469</v>
      </c>
      <c r="F181" s="379" t="b">
        <v>0</v>
      </c>
      <c r="G181" s="1739" t="s">
        <v>388</v>
      </c>
      <c r="H181" s="1343"/>
    </row>
    <row r="182" spans="1:8" ht="13" thickBot="1">
      <c r="A182" s="1343"/>
      <c r="B182" s="1735"/>
      <c r="C182" s="1736"/>
      <c r="D182" s="1736"/>
      <c r="E182" s="1736"/>
      <c r="F182" s="1736"/>
      <c r="G182" s="1737"/>
      <c r="H182" s="1343"/>
    </row>
    <row r="183" spans="1:8" ht="13.5" thickBot="1">
      <c r="A183" s="1343"/>
      <c r="B183" s="5031" t="s">
        <v>515</v>
      </c>
      <c r="C183" s="5032"/>
      <c r="D183" s="5032"/>
      <c r="E183" s="5032"/>
      <c r="F183" s="5032"/>
      <c r="G183" s="5033"/>
      <c r="H183" s="1343"/>
    </row>
    <row r="184" spans="1:8" ht="13" thickTop="1">
      <c r="A184" s="1343"/>
      <c r="B184" s="1687" t="s">
        <v>466</v>
      </c>
      <c r="C184" s="1742">
        <v>10094534.439335801</v>
      </c>
      <c r="D184" s="368" t="s">
        <v>155</v>
      </c>
      <c r="E184" s="1738" t="s">
        <v>467</v>
      </c>
      <c r="F184" s="375" t="s">
        <v>18</v>
      </c>
      <c r="G184" s="1739" t="s">
        <v>155</v>
      </c>
      <c r="H184" s="1343"/>
    </row>
    <row r="185" spans="1:8">
      <c r="A185" s="1343"/>
      <c r="B185" s="1687" t="s">
        <v>468</v>
      </c>
      <c r="C185" s="380" t="s">
        <v>18</v>
      </c>
      <c r="D185" s="369" t="s">
        <v>155</v>
      </c>
      <c r="E185" s="1738" t="s">
        <v>469</v>
      </c>
      <c r="F185" s="379" t="b">
        <v>0</v>
      </c>
      <c r="G185" s="1739" t="s">
        <v>388</v>
      </c>
      <c r="H185" s="1343"/>
    </row>
    <row r="186" spans="1:8" ht="13" thickBot="1">
      <c r="A186" s="1343"/>
      <c r="B186" s="1735"/>
      <c r="C186" s="1736"/>
      <c r="D186" s="1736"/>
      <c r="E186" s="1736"/>
      <c r="F186" s="1736"/>
      <c r="G186" s="1737"/>
      <c r="H186" s="1343"/>
    </row>
    <row r="187" spans="1:8" ht="13.5" thickBot="1">
      <c r="A187" s="1343"/>
      <c r="B187" s="5031" t="s">
        <v>516</v>
      </c>
      <c r="C187" s="5032"/>
      <c r="D187" s="5032"/>
      <c r="E187" s="5032"/>
      <c r="F187" s="5032"/>
      <c r="G187" s="5033"/>
      <c r="H187" s="1343"/>
    </row>
    <row r="188" spans="1:8" ht="13" thickTop="1">
      <c r="A188" s="1343"/>
      <c r="B188" s="1687" t="s">
        <v>466</v>
      </c>
      <c r="C188" s="378">
        <v>5.5154512203328503E-2</v>
      </c>
      <c r="D188" s="368" t="s">
        <v>517</v>
      </c>
      <c r="E188" s="1738" t="s">
        <v>467</v>
      </c>
      <c r="F188" s="375" t="s">
        <v>18</v>
      </c>
      <c r="G188" s="1739" t="s">
        <v>517</v>
      </c>
      <c r="H188" s="1343"/>
    </row>
    <row r="189" spans="1:8">
      <c r="A189" s="1343"/>
      <c r="B189" s="1687" t="s">
        <v>468</v>
      </c>
      <c r="C189" s="380" t="s">
        <v>18</v>
      </c>
      <c r="D189" s="369" t="s">
        <v>517</v>
      </c>
      <c r="E189" s="1738" t="s">
        <v>469</v>
      </c>
      <c r="F189" s="379" t="b">
        <v>0</v>
      </c>
      <c r="G189" s="1739" t="s">
        <v>388</v>
      </c>
      <c r="H189" s="1343"/>
    </row>
    <row r="190" spans="1:8" ht="13" thickBot="1">
      <c r="A190" s="1343"/>
      <c r="B190" s="1735"/>
      <c r="C190" s="1736"/>
      <c r="D190" s="1736"/>
      <c r="E190" s="1736"/>
      <c r="F190" s="1736"/>
      <c r="G190" s="1737"/>
      <c r="H190" s="1343"/>
    </row>
    <row r="191" spans="1:8" ht="13.5" thickBot="1">
      <c r="A191" s="1343"/>
      <c r="B191" s="5031" t="s">
        <v>518</v>
      </c>
      <c r="C191" s="5032"/>
      <c r="D191" s="5032"/>
      <c r="E191" s="5032"/>
      <c r="F191" s="5032"/>
      <c r="G191" s="5033"/>
      <c r="H191" s="1343"/>
    </row>
    <row r="192" spans="1:8" ht="13" thickTop="1">
      <c r="A192" s="1343"/>
      <c r="B192" s="1687" t="s">
        <v>466</v>
      </c>
      <c r="C192" s="376">
        <v>89.9614063426977</v>
      </c>
      <c r="D192" s="368" t="s">
        <v>296</v>
      </c>
      <c r="E192" s="1738" t="s">
        <v>467</v>
      </c>
      <c r="F192" s="375" t="s">
        <v>18</v>
      </c>
      <c r="G192" s="1739" t="s">
        <v>296</v>
      </c>
      <c r="H192" s="1343"/>
    </row>
    <row r="193" spans="1:8">
      <c r="A193" s="1343"/>
      <c r="B193" s="1687" t="s">
        <v>468</v>
      </c>
      <c r="C193" s="380" t="s">
        <v>18</v>
      </c>
      <c r="D193" s="369" t="s">
        <v>296</v>
      </c>
      <c r="E193" s="1738" t="s">
        <v>469</v>
      </c>
      <c r="F193" s="379" t="b">
        <v>0</v>
      </c>
      <c r="G193" s="1739" t="s">
        <v>388</v>
      </c>
      <c r="H193" s="1343"/>
    </row>
    <row r="194" spans="1:8" ht="13" thickBot="1">
      <c r="A194" s="1343"/>
      <c r="B194" s="1735"/>
      <c r="C194" s="1736"/>
      <c r="D194" s="1736"/>
      <c r="E194" s="1736"/>
      <c r="F194" s="1736"/>
      <c r="G194" s="1737"/>
      <c r="H194" s="1343"/>
    </row>
    <row r="195" spans="1:8" ht="13.5" thickBot="1">
      <c r="A195" s="1343"/>
      <c r="B195" s="5031" t="s">
        <v>519</v>
      </c>
      <c r="C195" s="5032"/>
      <c r="D195" s="5032"/>
      <c r="E195" s="5032"/>
      <c r="F195" s="5032"/>
      <c r="G195" s="5033"/>
      <c r="H195" s="1343"/>
    </row>
    <row r="196" spans="1:8" ht="13" thickTop="1">
      <c r="A196" s="1343"/>
      <c r="B196" s="1687" t="s">
        <v>466</v>
      </c>
      <c r="C196" s="376">
        <v>99.958884038795802</v>
      </c>
      <c r="D196" s="368" t="s">
        <v>296</v>
      </c>
      <c r="E196" s="1738" t="s">
        <v>467</v>
      </c>
      <c r="F196" s="375" t="s">
        <v>18</v>
      </c>
      <c r="G196" s="1739" t="s">
        <v>296</v>
      </c>
      <c r="H196" s="1343"/>
    </row>
    <row r="197" spans="1:8">
      <c r="A197" s="1343"/>
      <c r="B197" s="1687" t="s">
        <v>468</v>
      </c>
      <c r="C197" s="380" t="s">
        <v>18</v>
      </c>
      <c r="D197" s="369" t="s">
        <v>296</v>
      </c>
      <c r="E197" s="1738" t="s">
        <v>469</v>
      </c>
      <c r="F197" s="379" t="b">
        <v>0</v>
      </c>
      <c r="G197" s="1739" t="s">
        <v>388</v>
      </c>
      <c r="H197" s="1343"/>
    </row>
    <row r="198" spans="1:8" ht="13" thickBot="1">
      <c r="A198" s="1343"/>
      <c r="B198" s="1735"/>
      <c r="C198" s="1736"/>
      <c r="D198" s="1736"/>
      <c r="E198" s="1736"/>
      <c r="F198" s="1736"/>
      <c r="G198" s="1737"/>
      <c r="H198" s="1343"/>
    </row>
    <row r="199" spans="1:8" ht="13.5" thickBot="1">
      <c r="A199" s="1343"/>
      <c r="B199" s="5031" t="s">
        <v>520</v>
      </c>
      <c r="C199" s="5032"/>
      <c r="D199" s="5032"/>
      <c r="E199" s="5032"/>
      <c r="F199" s="5032"/>
      <c r="G199" s="5033"/>
      <c r="H199" s="1343"/>
    </row>
    <row r="200" spans="1:8" ht="13" thickTop="1">
      <c r="A200" s="1343"/>
      <c r="B200" s="1687" t="s">
        <v>466</v>
      </c>
      <c r="C200" s="374">
        <v>0</v>
      </c>
      <c r="D200" s="368" t="s">
        <v>296</v>
      </c>
      <c r="E200" s="1738" t="s">
        <v>467</v>
      </c>
      <c r="F200" s="375" t="s">
        <v>18</v>
      </c>
      <c r="G200" s="1739" t="s">
        <v>296</v>
      </c>
      <c r="H200" s="1343"/>
    </row>
    <row r="201" spans="1:8">
      <c r="A201" s="1343"/>
      <c r="B201" s="1687" t="s">
        <v>468</v>
      </c>
      <c r="C201" s="380" t="s">
        <v>18</v>
      </c>
      <c r="D201" s="369" t="s">
        <v>296</v>
      </c>
      <c r="E201" s="1738" t="s">
        <v>469</v>
      </c>
      <c r="F201" s="379" t="b">
        <v>0</v>
      </c>
      <c r="G201" s="1739" t="s">
        <v>388</v>
      </c>
      <c r="H201" s="1343"/>
    </row>
    <row r="202" spans="1:8">
      <c r="A202" s="1343"/>
      <c r="B202" s="1735"/>
      <c r="C202" s="1736"/>
      <c r="D202" s="1736"/>
      <c r="E202" s="1736"/>
      <c r="F202" s="1736"/>
      <c r="G202" s="1737"/>
      <c r="H202" s="1343"/>
    </row>
    <row r="203" spans="1:8">
      <c r="A203" s="1343"/>
      <c r="B203" s="5034" t="s">
        <v>521</v>
      </c>
      <c r="C203" s="5035"/>
      <c r="D203" s="5035"/>
      <c r="E203" s="5035"/>
      <c r="F203" s="5035"/>
      <c r="G203" s="5036"/>
      <c r="H203" s="1343"/>
    </row>
    <row r="204" spans="1:8">
      <c r="A204" s="1343"/>
      <c r="B204" s="5028" t="s">
        <v>1123</v>
      </c>
      <c r="C204" s="5029"/>
      <c r="D204" s="5029"/>
      <c r="E204" s="5029"/>
      <c r="F204" s="5029"/>
      <c r="G204" s="5030"/>
      <c r="H204" s="1343"/>
    </row>
    <row r="205" spans="1:8">
      <c r="A205" s="1343"/>
      <c r="B205" s="1743"/>
      <c r="C205" s="370"/>
      <c r="D205" s="370"/>
      <c r="E205" s="370"/>
      <c r="F205" s="370"/>
      <c r="G205" s="372"/>
      <c r="H205" s="1343"/>
    </row>
    <row r="206" spans="1:8" ht="13" thickBot="1">
      <c r="A206" s="1343"/>
      <c r="B206" s="1735"/>
      <c r="C206" s="1736"/>
      <c r="D206" s="1736"/>
      <c r="E206" s="1736"/>
      <c r="F206" s="1736"/>
      <c r="G206" s="1737"/>
      <c r="H206" s="1343"/>
    </row>
    <row r="207" spans="1:8" ht="13.5" thickBot="1">
      <c r="A207" s="1343"/>
      <c r="B207" s="5037" t="s">
        <v>1124</v>
      </c>
      <c r="C207" s="5038"/>
      <c r="D207" s="5038"/>
      <c r="E207" s="5038"/>
      <c r="F207" s="5038"/>
      <c r="G207" s="5039"/>
      <c r="H207" s="1343"/>
    </row>
    <row r="208" spans="1:8" ht="13.5" thickBot="1">
      <c r="A208" s="1343"/>
      <c r="B208" s="5031" t="s">
        <v>465</v>
      </c>
      <c r="C208" s="5032"/>
      <c r="D208" s="5032"/>
      <c r="E208" s="5032"/>
      <c r="F208" s="5032"/>
      <c r="G208" s="5033"/>
      <c r="H208" s="1343"/>
    </row>
    <row r="209" spans="1:8" ht="13" thickTop="1">
      <c r="A209" s="1343"/>
      <c r="B209" s="1687" t="s">
        <v>466</v>
      </c>
      <c r="C209" s="374">
        <v>1</v>
      </c>
      <c r="D209" s="368" t="s">
        <v>388</v>
      </c>
      <c r="E209" s="1738" t="s">
        <v>467</v>
      </c>
      <c r="F209" s="375" t="s">
        <v>18</v>
      </c>
      <c r="G209" s="1739" t="s">
        <v>388</v>
      </c>
      <c r="H209" s="1343"/>
    </row>
    <row r="210" spans="1:8">
      <c r="A210" s="1343"/>
      <c r="B210" s="1687" t="s">
        <v>468</v>
      </c>
      <c r="C210" s="380" t="s">
        <v>18</v>
      </c>
      <c r="D210" s="369" t="s">
        <v>388</v>
      </c>
      <c r="E210" s="1738" t="s">
        <v>469</v>
      </c>
      <c r="F210" s="379" t="b">
        <v>0</v>
      </c>
      <c r="G210" s="1739" t="s">
        <v>388</v>
      </c>
      <c r="H210" s="1343"/>
    </row>
    <row r="211" spans="1:8" ht="13" thickBot="1">
      <c r="A211" s="1343"/>
      <c r="B211" s="1735"/>
      <c r="C211" s="1736"/>
      <c r="D211" s="1736"/>
      <c r="E211" s="1736"/>
      <c r="F211" s="1736"/>
      <c r="G211" s="1737"/>
      <c r="H211" s="1343"/>
    </row>
    <row r="212" spans="1:8" ht="13.5" thickBot="1">
      <c r="A212" s="1343"/>
      <c r="B212" s="5031" t="s">
        <v>470</v>
      </c>
      <c r="C212" s="5032"/>
      <c r="D212" s="5032"/>
      <c r="E212" s="5032"/>
      <c r="F212" s="5032"/>
      <c r="G212" s="5033"/>
      <c r="H212" s="1343"/>
    </row>
    <row r="213" spans="1:8" ht="13" thickTop="1">
      <c r="A213" s="1343"/>
      <c r="B213" s="1687" t="s">
        <v>466</v>
      </c>
      <c r="C213" s="374">
        <v>24</v>
      </c>
      <c r="D213" s="368" t="s">
        <v>289</v>
      </c>
      <c r="E213" s="1738" t="s">
        <v>467</v>
      </c>
      <c r="F213" s="375" t="s">
        <v>18</v>
      </c>
      <c r="G213" s="1739" t="s">
        <v>289</v>
      </c>
      <c r="H213" s="1343"/>
    </row>
    <row r="214" spans="1:8">
      <c r="A214" s="1343"/>
      <c r="B214" s="1687" t="s">
        <v>468</v>
      </c>
      <c r="C214" s="380" t="s">
        <v>18</v>
      </c>
      <c r="D214" s="369" t="s">
        <v>289</v>
      </c>
      <c r="E214" s="1738" t="s">
        <v>469</v>
      </c>
      <c r="F214" s="379" t="b">
        <v>0</v>
      </c>
      <c r="G214" s="1739" t="s">
        <v>388</v>
      </c>
      <c r="H214" s="1343"/>
    </row>
    <row r="215" spans="1:8" ht="13" thickBot="1">
      <c r="A215" s="1343"/>
      <c r="B215" s="1735"/>
      <c r="C215" s="1736"/>
      <c r="D215" s="1736"/>
      <c r="E215" s="1736"/>
      <c r="F215" s="1736"/>
      <c r="G215" s="1737"/>
      <c r="H215" s="1343"/>
    </row>
    <row r="216" spans="1:8" ht="13.5" thickBot="1">
      <c r="A216" s="1343"/>
      <c r="B216" s="5031" t="s">
        <v>471</v>
      </c>
      <c r="C216" s="5032"/>
      <c r="D216" s="5032"/>
      <c r="E216" s="5032"/>
      <c r="F216" s="5032"/>
      <c r="G216" s="5033"/>
      <c r="H216" s="1343"/>
    </row>
    <row r="217" spans="1:8" ht="13" thickTop="1">
      <c r="A217" s="1343"/>
      <c r="B217" s="1687" t="s">
        <v>466</v>
      </c>
      <c r="C217" s="374">
        <v>25</v>
      </c>
      <c r="D217" s="368" t="s">
        <v>289</v>
      </c>
      <c r="E217" s="1738" t="s">
        <v>467</v>
      </c>
      <c r="F217" s="375" t="s">
        <v>18</v>
      </c>
      <c r="G217" s="1739" t="s">
        <v>289</v>
      </c>
      <c r="H217" s="1343"/>
    </row>
    <row r="218" spans="1:8">
      <c r="A218" s="1343"/>
      <c r="B218" s="1687" t="s">
        <v>468</v>
      </c>
      <c r="C218" s="380" t="s">
        <v>18</v>
      </c>
      <c r="D218" s="369" t="s">
        <v>289</v>
      </c>
      <c r="E218" s="1738" t="s">
        <v>469</v>
      </c>
      <c r="F218" s="379" t="b">
        <v>0</v>
      </c>
      <c r="G218" s="1739" t="s">
        <v>388</v>
      </c>
      <c r="H218" s="1343"/>
    </row>
    <row r="219" spans="1:8" ht="13" thickBot="1">
      <c r="A219" s="1343"/>
      <c r="B219" s="1735"/>
      <c r="C219" s="1736"/>
      <c r="D219" s="1736"/>
      <c r="E219" s="1736"/>
      <c r="F219" s="1736"/>
      <c r="G219" s="1737"/>
      <c r="H219" s="1343"/>
    </row>
    <row r="220" spans="1:8" ht="13.5" thickBot="1">
      <c r="A220" s="1343"/>
      <c r="B220" s="5031" t="s">
        <v>472</v>
      </c>
      <c r="C220" s="5032"/>
      <c r="D220" s="5032"/>
      <c r="E220" s="5032"/>
      <c r="F220" s="5032"/>
      <c r="G220" s="5033"/>
      <c r="H220" s="1343"/>
    </row>
    <row r="221" spans="1:8" ht="13" thickTop="1">
      <c r="A221" s="1343"/>
      <c r="B221" s="1687" t="s">
        <v>466</v>
      </c>
      <c r="C221" s="378">
        <v>2.9999999999999E-2</v>
      </c>
      <c r="D221" s="368" t="s">
        <v>297</v>
      </c>
      <c r="E221" s="1738" t="s">
        <v>467</v>
      </c>
      <c r="F221" s="375" t="s">
        <v>18</v>
      </c>
      <c r="G221" s="1739" t="s">
        <v>297</v>
      </c>
      <c r="H221" s="1343"/>
    </row>
    <row r="222" spans="1:8">
      <c r="A222" s="1343"/>
      <c r="B222" s="1687" t="s">
        <v>468</v>
      </c>
      <c r="C222" s="380" t="s">
        <v>18</v>
      </c>
      <c r="D222" s="369" t="s">
        <v>297</v>
      </c>
      <c r="E222" s="1738" t="s">
        <v>469</v>
      </c>
      <c r="F222" s="379" t="b">
        <v>0</v>
      </c>
      <c r="G222" s="1739" t="s">
        <v>388</v>
      </c>
      <c r="H222" s="1343"/>
    </row>
    <row r="223" spans="1:8" ht="13" thickBot="1">
      <c r="A223" s="1343"/>
      <c r="B223" s="1735"/>
      <c r="C223" s="1736"/>
      <c r="D223" s="1736"/>
      <c r="E223" s="1736"/>
      <c r="F223" s="1736"/>
      <c r="G223" s="1737"/>
      <c r="H223" s="1343"/>
    </row>
    <row r="224" spans="1:8" ht="13.5" thickBot="1">
      <c r="A224" s="1343"/>
      <c r="B224" s="5031" t="s">
        <v>473</v>
      </c>
      <c r="C224" s="5032"/>
      <c r="D224" s="5032"/>
      <c r="E224" s="5032"/>
      <c r="F224" s="5032"/>
      <c r="G224" s="5033"/>
      <c r="H224" s="1343"/>
    </row>
    <row r="225" spans="1:8" ht="13" thickTop="1">
      <c r="A225" s="1343"/>
      <c r="B225" s="1687" t="s">
        <v>466</v>
      </c>
      <c r="C225" s="378">
        <v>-2.9999999999999E-2</v>
      </c>
      <c r="D225" s="368" t="s">
        <v>297</v>
      </c>
      <c r="E225" s="1738" t="s">
        <v>467</v>
      </c>
      <c r="F225" s="375" t="s">
        <v>18</v>
      </c>
      <c r="G225" s="1739" t="s">
        <v>297</v>
      </c>
      <c r="H225" s="1343"/>
    </row>
    <row r="226" spans="1:8">
      <c r="A226" s="1343"/>
      <c r="B226" s="1687" t="s">
        <v>468</v>
      </c>
      <c r="C226" s="380" t="s">
        <v>18</v>
      </c>
      <c r="D226" s="369" t="s">
        <v>297</v>
      </c>
      <c r="E226" s="1738" t="s">
        <v>469</v>
      </c>
      <c r="F226" s="379" t="b">
        <v>0</v>
      </c>
      <c r="G226" s="1739" t="s">
        <v>388</v>
      </c>
      <c r="H226" s="1343"/>
    </row>
    <row r="227" spans="1:8" ht="13" thickBot="1">
      <c r="A227" s="1343"/>
      <c r="B227" s="1735"/>
      <c r="C227" s="1736"/>
      <c r="D227" s="1736"/>
      <c r="E227" s="1736"/>
      <c r="F227" s="1736"/>
      <c r="G227" s="1737"/>
      <c r="H227" s="1343"/>
    </row>
    <row r="228" spans="1:8" ht="13.5" thickBot="1">
      <c r="A228" s="1343"/>
      <c r="B228" s="5031" t="s">
        <v>474</v>
      </c>
      <c r="C228" s="5032"/>
      <c r="D228" s="5032"/>
      <c r="E228" s="5032"/>
      <c r="F228" s="5032"/>
      <c r="G228" s="5033"/>
      <c r="H228" s="1343"/>
    </row>
    <row r="229" spans="1:8" ht="13" thickTop="1">
      <c r="A229" s="1343"/>
      <c r="B229" s="1687" t="s">
        <v>466</v>
      </c>
      <c r="C229" s="375" t="s">
        <v>18</v>
      </c>
      <c r="D229" s="368" t="s">
        <v>289</v>
      </c>
      <c r="E229" s="1738" t="s">
        <v>467</v>
      </c>
      <c r="F229" s="375" t="s">
        <v>18</v>
      </c>
      <c r="G229" s="1739" t="s">
        <v>289</v>
      </c>
      <c r="H229" s="1343"/>
    </row>
    <row r="230" spans="1:8">
      <c r="A230" s="1343"/>
      <c r="B230" s="1687" t="s">
        <v>468</v>
      </c>
      <c r="C230" s="375" t="s">
        <v>18</v>
      </c>
      <c r="D230" s="369" t="s">
        <v>289</v>
      </c>
      <c r="E230" s="1738" t="s">
        <v>469</v>
      </c>
      <c r="F230" s="379" t="b">
        <v>0</v>
      </c>
      <c r="G230" s="1739" t="s">
        <v>388</v>
      </c>
      <c r="H230" s="1343"/>
    </row>
    <row r="231" spans="1:8" ht="13" thickBot="1">
      <c r="A231" s="1343"/>
      <c r="B231" s="1735"/>
      <c r="C231" s="1736"/>
      <c r="D231" s="1736"/>
      <c r="E231" s="1736"/>
      <c r="F231" s="1736"/>
      <c r="G231" s="1737"/>
      <c r="H231" s="1343"/>
    </row>
    <row r="232" spans="1:8" ht="13.5" thickBot="1">
      <c r="A232" s="1343"/>
      <c r="B232" s="5031" t="s">
        <v>475</v>
      </c>
      <c r="C232" s="5032"/>
      <c r="D232" s="5032"/>
      <c r="E232" s="5032"/>
      <c r="F232" s="5032"/>
      <c r="G232" s="5033"/>
      <c r="H232" s="1343"/>
    </row>
    <row r="233" spans="1:8" ht="13" thickTop="1">
      <c r="A233" s="1343"/>
      <c r="B233" s="1687" t="s">
        <v>466</v>
      </c>
      <c r="C233" s="374">
        <v>0</v>
      </c>
      <c r="D233" s="368" t="s">
        <v>297</v>
      </c>
      <c r="E233" s="1738" t="s">
        <v>467</v>
      </c>
      <c r="F233" s="375" t="s">
        <v>18</v>
      </c>
      <c r="G233" s="1739" t="s">
        <v>297</v>
      </c>
      <c r="H233" s="1343"/>
    </row>
    <row r="234" spans="1:8">
      <c r="A234" s="1343"/>
      <c r="B234" s="1687" t="s">
        <v>468</v>
      </c>
      <c r="C234" s="380" t="s">
        <v>18</v>
      </c>
      <c r="D234" s="369" t="s">
        <v>297</v>
      </c>
      <c r="E234" s="1738" t="s">
        <v>469</v>
      </c>
      <c r="F234" s="379" t="b">
        <v>0</v>
      </c>
      <c r="G234" s="1739" t="s">
        <v>388</v>
      </c>
      <c r="H234" s="1343"/>
    </row>
    <row r="235" spans="1:8" ht="13" thickBot="1">
      <c r="A235" s="1343"/>
      <c r="B235" s="1735"/>
      <c r="C235" s="1736"/>
      <c r="D235" s="1736"/>
      <c r="E235" s="1736"/>
      <c r="F235" s="1736"/>
      <c r="G235" s="1737"/>
      <c r="H235" s="1343"/>
    </row>
    <row r="236" spans="1:8" ht="13.5" thickBot="1">
      <c r="A236" s="1343"/>
      <c r="B236" s="5031" t="s">
        <v>476</v>
      </c>
      <c r="C236" s="5032"/>
      <c r="D236" s="5032"/>
      <c r="E236" s="5032"/>
      <c r="F236" s="5032"/>
      <c r="G236" s="5033"/>
      <c r="H236" s="1343"/>
    </row>
    <row r="237" spans="1:8" ht="13" thickTop="1">
      <c r="A237" s="1343"/>
      <c r="B237" s="1687" t="s">
        <v>466</v>
      </c>
      <c r="C237" s="374">
        <v>50</v>
      </c>
      <c r="D237" s="368" t="s">
        <v>296</v>
      </c>
      <c r="E237" s="1738" t="s">
        <v>467</v>
      </c>
      <c r="F237" s="375" t="s">
        <v>18</v>
      </c>
      <c r="G237" s="1739" t="s">
        <v>296</v>
      </c>
      <c r="H237" s="1343"/>
    </row>
    <row r="238" spans="1:8">
      <c r="A238" s="1343"/>
      <c r="B238" s="1687" t="s">
        <v>468</v>
      </c>
      <c r="C238" s="380" t="s">
        <v>18</v>
      </c>
      <c r="D238" s="369" t="s">
        <v>296</v>
      </c>
      <c r="E238" s="1738" t="s">
        <v>469</v>
      </c>
      <c r="F238" s="379" t="b">
        <v>0</v>
      </c>
      <c r="G238" s="1739" t="s">
        <v>388</v>
      </c>
      <c r="H238" s="1343"/>
    </row>
    <row r="239" spans="1:8" ht="13" thickBot="1">
      <c r="A239" s="1343"/>
      <c r="B239" s="1735"/>
      <c r="C239" s="1736"/>
      <c r="D239" s="1736"/>
      <c r="E239" s="1736"/>
      <c r="F239" s="1736"/>
      <c r="G239" s="1737"/>
      <c r="H239" s="1343"/>
    </row>
    <row r="240" spans="1:8" ht="13.5" thickBot="1">
      <c r="A240" s="1343"/>
      <c r="B240" s="5031" t="s">
        <v>477</v>
      </c>
      <c r="C240" s="5032"/>
      <c r="D240" s="5032"/>
      <c r="E240" s="5032"/>
      <c r="F240" s="5032"/>
      <c r="G240" s="5033"/>
      <c r="H240" s="1343"/>
    </row>
    <row r="241" spans="1:8" ht="13" thickTop="1">
      <c r="A241" s="1343"/>
      <c r="B241" s="1687" t="s">
        <v>466</v>
      </c>
      <c r="C241" s="374">
        <v>90</v>
      </c>
      <c r="D241" s="368" t="s">
        <v>296</v>
      </c>
      <c r="E241" s="1738" t="s">
        <v>467</v>
      </c>
      <c r="F241" s="375" t="s">
        <v>18</v>
      </c>
      <c r="G241" s="1739" t="s">
        <v>296</v>
      </c>
      <c r="H241" s="1343"/>
    </row>
    <row r="242" spans="1:8">
      <c r="A242" s="1343"/>
      <c r="B242" s="1687" t="s">
        <v>468</v>
      </c>
      <c r="C242" s="380" t="s">
        <v>18</v>
      </c>
      <c r="D242" s="369" t="s">
        <v>296</v>
      </c>
      <c r="E242" s="1738" t="s">
        <v>469</v>
      </c>
      <c r="F242" s="379" t="b">
        <v>0</v>
      </c>
      <c r="G242" s="1739" t="s">
        <v>388</v>
      </c>
      <c r="H242" s="1343"/>
    </row>
    <row r="243" spans="1:8" ht="13" thickBot="1">
      <c r="A243" s="1343"/>
      <c r="B243" s="1735"/>
      <c r="C243" s="1736"/>
      <c r="D243" s="1736"/>
      <c r="E243" s="1736"/>
      <c r="F243" s="1736"/>
      <c r="G243" s="1737"/>
      <c r="H243" s="1343"/>
    </row>
    <row r="244" spans="1:8" ht="13.5" thickBot="1">
      <c r="A244" s="1343"/>
      <c r="B244" s="5031" t="s">
        <v>478</v>
      </c>
      <c r="C244" s="5032"/>
      <c r="D244" s="5032"/>
      <c r="E244" s="5032"/>
      <c r="F244" s="5032"/>
      <c r="G244" s="5033"/>
      <c r="H244" s="1343"/>
    </row>
    <row r="245" spans="1:8" ht="13" thickTop="1">
      <c r="A245" s="1343"/>
      <c r="B245" s="1687" t="s">
        <v>466</v>
      </c>
      <c r="C245" s="1744">
        <v>24952.4645994483</v>
      </c>
      <c r="D245" s="368" t="s">
        <v>479</v>
      </c>
      <c r="E245" s="1738" t="s">
        <v>467</v>
      </c>
      <c r="F245" s="375" t="s">
        <v>18</v>
      </c>
      <c r="G245" s="1739" t="s">
        <v>479</v>
      </c>
      <c r="H245" s="1343"/>
    </row>
    <row r="246" spans="1:8">
      <c r="A246" s="1343"/>
      <c r="B246" s="1687" t="s">
        <v>468</v>
      </c>
      <c r="C246" s="380" t="s">
        <v>18</v>
      </c>
      <c r="D246" s="369" t="s">
        <v>479</v>
      </c>
      <c r="E246" s="1738" t="s">
        <v>469</v>
      </c>
      <c r="F246" s="379" t="b">
        <v>0</v>
      </c>
      <c r="G246" s="1739" t="s">
        <v>388</v>
      </c>
      <c r="H246" s="1343"/>
    </row>
    <row r="247" spans="1:8" ht="13" thickBot="1">
      <c r="A247" s="1343"/>
      <c r="B247" s="1735"/>
      <c r="C247" s="1736"/>
      <c r="D247" s="1736"/>
      <c r="E247" s="1736"/>
      <c r="F247" s="1736"/>
      <c r="G247" s="1737"/>
      <c r="H247" s="1343"/>
    </row>
    <row r="248" spans="1:8" ht="13.5" thickBot="1">
      <c r="A248" s="1343"/>
      <c r="B248" s="5031" t="s">
        <v>480</v>
      </c>
      <c r="C248" s="5032"/>
      <c r="D248" s="5032"/>
      <c r="E248" s="5032"/>
      <c r="F248" s="5032"/>
      <c r="G248" s="5033"/>
      <c r="H248" s="1343"/>
    </row>
    <row r="249" spans="1:8" ht="13" thickTop="1">
      <c r="A249" s="1343"/>
      <c r="B249" s="1687" t="s">
        <v>466</v>
      </c>
      <c r="C249" s="375" t="s">
        <v>18</v>
      </c>
      <c r="D249" s="368" t="s">
        <v>296</v>
      </c>
      <c r="E249" s="1738" t="s">
        <v>467</v>
      </c>
      <c r="F249" s="375" t="s">
        <v>18</v>
      </c>
      <c r="G249" s="1739" t="s">
        <v>296</v>
      </c>
      <c r="H249" s="1343"/>
    </row>
    <row r="250" spans="1:8">
      <c r="A250" s="1343"/>
      <c r="B250" s="1687" t="s">
        <v>468</v>
      </c>
      <c r="C250" s="375" t="s">
        <v>18</v>
      </c>
      <c r="D250" s="369" t="s">
        <v>296</v>
      </c>
      <c r="E250" s="1738" t="s">
        <v>469</v>
      </c>
      <c r="F250" s="379" t="b">
        <v>0</v>
      </c>
      <c r="G250" s="1739" t="s">
        <v>388</v>
      </c>
      <c r="H250" s="1343"/>
    </row>
    <row r="251" spans="1:8" ht="13" thickBot="1">
      <c r="A251" s="1343"/>
      <c r="B251" s="1735"/>
      <c r="C251" s="1736"/>
      <c r="D251" s="1736"/>
      <c r="E251" s="1736"/>
      <c r="F251" s="1736"/>
      <c r="G251" s="1737"/>
      <c r="H251" s="1343"/>
    </row>
    <row r="252" spans="1:8" ht="13.5" thickBot="1">
      <c r="A252" s="1343"/>
      <c r="B252" s="5031" t="s">
        <v>481</v>
      </c>
      <c r="C252" s="5032"/>
      <c r="D252" s="5032"/>
      <c r="E252" s="5032"/>
      <c r="F252" s="5032"/>
      <c r="G252" s="5033"/>
      <c r="H252" s="1343"/>
    </row>
    <row r="253" spans="1:8" ht="13" thickTop="1">
      <c r="A253" s="1343"/>
      <c r="B253" s="1687" t="s">
        <v>466</v>
      </c>
      <c r="C253" s="376">
        <v>75.733333329999994</v>
      </c>
      <c r="D253" s="368" t="s">
        <v>299</v>
      </c>
      <c r="E253" s="1738" t="s">
        <v>467</v>
      </c>
      <c r="F253" s="375" t="s">
        <v>18</v>
      </c>
      <c r="G253" s="1739" t="s">
        <v>299</v>
      </c>
      <c r="H253" s="1343"/>
    </row>
    <row r="254" spans="1:8">
      <c r="A254" s="1343"/>
      <c r="B254" s="1687" t="s">
        <v>468</v>
      </c>
      <c r="C254" s="380" t="s">
        <v>18</v>
      </c>
      <c r="D254" s="369" t="s">
        <v>299</v>
      </c>
      <c r="E254" s="1738" t="s">
        <v>469</v>
      </c>
      <c r="F254" s="379" t="b">
        <v>0</v>
      </c>
      <c r="G254" s="1739" t="s">
        <v>388</v>
      </c>
      <c r="H254" s="1343"/>
    </row>
    <row r="255" spans="1:8" ht="13" thickBot="1">
      <c r="A255" s="1343"/>
      <c r="B255" s="1735"/>
      <c r="C255" s="1736"/>
      <c r="D255" s="1736"/>
      <c r="E255" s="1736"/>
      <c r="F255" s="1736"/>
      <c r="G255" s="1737"/>
      <c r="H255" s="1343"/>
    </row>
    <row r="256" spans="1:8" ht="13.5" thickBot="1">
      <c r="A256" s="1343"/>
      <c r="B256" s="5031" t="s">
        <v>482</v>
      </c>
      <c r="C256" s="5032"/>
      <c r="D256" s="5032"/>
      <c r="E256" s="5032"/>
      <c r="F256" s="5032"/>
      <c r="G256" s="5033"/>
      <c r="H256" s="1343"/>
    </row>
    <row r="257" spans="1:8" ht="13" thickTop="1">
      <c r="A257" s="1343"/>
      <c r="B257" s="1687" t="s">
        <v>466</v>
      </c>
      <c r="C257" s="374">
        <v>45.9</v>
      </c>
      <c r="D257" s="368" t="s">
        <v>299</v>
      </c>
      <c r="E257" s="1738" t="s">
        <v>467</v>
      </c>
      <c r="F257" s="375" t="s">
        <v>18</v>
      </c>
      <c r="G257" s="1739" t="s">
        <v>299</v>
      </c>
      <c r="H257" s="1343"/>
    </row>
    <row r="258" spans="1:8">
      <c r="A258" s="1343"/>
      <c r="B258" s="1687" t="s">
        <v>468</v>
      </c>
      <c r="C258" s="380" t="s">
        <v>18</v>
      </c>
      <c r="D258" s="369" t="s">
        <v>299</v>
      </c>
      <c r="E258" s="1738" t="s">
        <v>469</v>
      </c>
      <c r="F258" s="379" t="b">
        <v>0</v>
      </c>
      <c r="G258" s="1739" t="s">
        <v>388</v>
      </c>
      <c r="H258" s="1343"/>
    </row>
    <row r="259" spans="1:8" ht="13" thickBot="1">
      <c r="A259" s="1343"/>
      <c r="B259" s="1735"/>
      <c r="C259" s="1736"/>
      <c r="D259" s="1736"/>
      <c r="E259" s="1736"/>
      <c r="F259" s="1736"/>
      <c r="G259" s="1737"/>
      <c r="H259" s="1343"/>
    </row>
    <row r="260" spans="1:8" ht="13.5" thickBot="1">
      <c r="A260" s="1343"/>
      <c r="B260" s="5031" t="s">
        <v>483</v>
      </c>
      <c r="C260" s="5032"/>
      <c r="D260" s="5032"/>
      <c r="E260" s="5032"/>
      <c r="F260" s="5032"/>
      <c r="G260" s="5033"/>
      <c r="H260" s="1343"/>
    </row>
    <row r="261" spans="1:8" ht="13" thickTop="1">
      <c r="A261" s="1343"/>
      <c r="B261" s="1687" t="s">
        <v>466</v>
      </c>
      <c r="C261" s="374">
        <v>80</v>
      </c>
      <c r="D261" s="368" t="s">
        <v>299</v>
      </c>
      <c r="E261" s="1738" t="s">
        <v>467</v>
      </c>
      <c r="F261" s="375" t="s">
        <v>18</v>
      </c>
      <c r="G261" s="1739" t="s">
        <v>299</v>
      </c>
      <c r="H261" s="1343"/>
    </row>
    <row r="262" spans="1:8">
      <c r="A262" s="1343"/>
      <c r="B262" s="1687" t="s">
        <v>468</v>
      </c>
      <c r="C262" s="380" t="s">
        <v>18</v>
      </c>
      <c r="D262" s="369" t="s">
        <v>299</v>
      </c>
      <c r="E262" s="1738" t="s">
        <v>469</v>
      </c>
      <c r="F262" s="379" t="b">
        <v>0</v>
      </c>
      <c r="G262" s="1739" t="s">
        <v>388</v>
      </c>
      <c r="H262" s="1343"/>
    </row>
    <row r="263" spans="1:8" ht="13" thickBot="1">
      <c r="A263" s="1343"/>
      <c r="B263" s="1735"/>
      <c r="C263" s="1736"/>
      <c r="D263" s="1736"/>
      <c r="E263" s="1736"/>
      <c r="F263" s="1736"/>
      <c r="G263" s="1737"/>
      <c r="H263" s="1343"/>
    </row>
    <row r="264" spans="1:8" ht="13.5" thickBot="1">
      <c r="A264" s="1343"/>
      <c r="B264" s="5031" t="s">
        <v>484</v>
      </c>
      <c r="C264" s="5032"/>
      <c r="D264" s="5032"/>
      <c r="E264" s="5032"/>
      <c r="F264" s="5032"/>
      <c r="G264" s="5033"/>
      <c r="H264" s="1343"/>
    </row>
    <row r="265" spans="1:8" ht="13" thickTop="1">
      <c r="A265" s="1343"/>
      <c r="B265" s="1687" t="s">
        <v>466</v>
      </c>
      <c r="C265" s="374">
        <v>12.731</v>
      </c>
      <c r="D265" s="368" t="s">
        <v>295</v>
      </c>
      <c r="E265" s="1738" t="s">
        <v>467</v>
      </c>
      <c r="F265" s="375" t="s">
        <v>18</v>
      </c>
      <c r="G265" s="1739" t="s">
        <v>295</v>
      </c>
      <c r="H265" s="1343"/>
    </row>
    <row r="266" spans="1:8">
      <c r="A266" s="1343"/>
      <c r="B266" s="1687" t="s">
        <v>468</v>
      </c>
      <c r="C266" s="380" t="s">
        <v>18</v>
      </c>
      <c r="D266" s="369" t="s">
        <v>295</v>
      </c>
      <c r="E266" s="1738" t="s">
        <v>469</v>
      </c>
      <c r="F266" s="379" t="b">
        <v>0</v>
      </c>
      <c r="G266" s="1739" t="s">
        <v>388</v>
      </c>
      <c r="H266" s="1343"/>
    </row>
    <row r="267" spans="1:8" ht="13" thickBot="1">
      <c r="A267" s="1343"/>
      <c r="B267" s="1735"/>
      <c r="C267" s="1736"/>
      <c r="D267" s="1736"/>
      <c r="E267" s="1736"/>
      <c r="F267" s="1736"/>
      <c r="G267" s="1737"/>
      <c r="H267" s="1343"/>
    </row>
    <row r="268" spans="1:8" ht="13.5" thickBot="1">
      <c r="A268" s="1343"/>
      <c r="B268" s="5031" t="s">
        <v>485</v>
      </c>
      <c r="C268" s="5032"/>
      <c r="D268" s="5032"/>
      <c r="E268" s="5032"/>
      <c r="F268" s="5032"/>
      <c r="G268" s="5033"/>
      <c r="H268" s="1343"/>
    </row>
    <row r="269" spans="1:8" ht="13" thickTop="1">
      <c r="A269" s="1343"/>
      <c r="B269" s="1687" t="s">
        <v>466</v>
      </c>
      <c r="C269" s="374">
        <v>1810</v>
      </c>
      <c r="D269" s="368" t="s">
        <v>486</v>
      </c>
      <c r="E269" s="1738" t="s">
        <v>467</v>
      </c>
      <c r="F269" s="375" t="s">
        <v>18</v>
      </c>
      <c r="G269" s="1739" t="s">
        <v>486</v>
      </c>
      <c r="H269" s="1343"/>
    </row>
    <row r="270" spans="1:8">
      <c r="A270" s="1343"/>
      <c r="B270" s="1687" t="s">
        <v>468</v>
      </c>
      <c r="C270" s="380" t="s">
        <v>18</v>
      </c>
      <c r="D270" s="369" t="s">
        <v>486</v>
      </c>
      <c r="E270" s="1738" t="s">
        <v>469</v>
      </c>
      <c r="F270" s="379" t="b">
        <v>0</v>
      </c>
      <c r="G270" s="1739" t="s">
        <v>388</v>
      </c>
      <c r="H270" s="1343"/>
    </row>
    <row r="271" spans="1:8" ht="13" thickBot="1">
      <c r="A271" s="1343"/>
      <c r="B271" s="1735"/>
      <c r="C271" s="1736"/>
      <c r="D271" s="1736"/>
      <c r="E271" s="1736"/>
      <c r="F271" s="1736"/>
      <c r="G271" s="1737"/>
      <c r="H271" s="1343"/>
    </row>
    <row r="272" spans="1:8" ht="13.5" thickBot="1">
      <c r="A272" s="1343"/>
      <c r="B272" s="5031" t="s">
        <v>487</v>
      </c>
      <c r="C272" s="5032"/>
      <c r="D272" s="5032"/>
      <c r="E272" s="5032"/>
      <c r="F272" s="5032"/>
      <c r="G272" s="5033"/>
      <c r="H272" s="1343"/>
    </row>
    <row r="273" spans="1:8" ht="13" thickTop="1">
      <c r="A273" s="1343"/>
      <c r="B273" s="1687" t="s">
        <v>466</v>
      </c>
      <c r="C273" s="377">
        <v>8.6833333330000002</v>
      </c>
      <c r="D273" s="368" t="s">
        <v>488</v>
      </c>
      <c r="E273" s="1738" t="s">
        <v>467</v>
      </c>
      <c r="F273" s="375" t="s">
        <v>18</v>
      </c>
      <c r="G273" s="1739" t="s">
        <v>488</v>
      </c>
      <c r="H273" s="1343"/>
    </row>
    <row r="274" spans="1:8">
      <c r="A274" s="1343"/>
      <c r="B274" s="1687" t="s">
        <v>468</v>
      </c>
      <c r="C274" s="380" t="s">
        <v>18</v>
      </c>
      <c r="D274" s="369" t="s">
        <v>488</v>
      </c>
      <c r="E274" s="1738" t="s">
        <v>469</v>
      </c>
      <c r="F274" s="379" t="b">
        <v>0</v>
      </c>
      <c r="G274" s="1739" t="s">
        <v>388</v>
      </c>
      <c r="H274" s="1343"/>
    </row>
    <row r="275" spans="1:8" ht="13" thickBot="1">
      <c r="A275" s="1343"/>
      <c r="B275" s="1735"/>
      <c r="C275" s="1736"/>
      <c r="D275" s="1736"/>
      <c r="E275" s="1736"/>
      <c r="F275" s="1736"/>
      <c r="G275" s="1737"/>
      <c r="H275" s="1343"/>
    </row>
    <row r="276" spans="1:8" ht="13.5" thickBot="1">
      <c r="A276" s="1343"/>
      <c r="B276" s="5031" t="s">
        <v>489</v>
      </c>
      <c r="C276" s="5032"/>
      <c r="D276" s="5032"/>
      <c r="E276" s="5032"/>
      <c r="F276" s="5032"/>
      <c r="G276" s="5033"/>
      <c r="H276" s="1343"/>
    </row>
    <row r="277" spans="1:8" ht="13" thickTop="1">
      <c r="A277" s="1343"/>
      <c r="B277" s="1687" t="s">
        <v>466</v>
      </c>
      <c r="C277" s="375" t="s">
        <v>18</v>
      </c>
      <c r="D277" s="368" t="s">
        <v>490</v>
      </c>
      <c r="E277" s="1738" t="s">
        <v>467</v>
      </c>
      <c r="F277" s="375" t="s">
        <v>18</v>
      </c>
      <c r="G277" s="1739" t="s">
        <v>490</v>
      </c>
      <c r="H277" s="1343"/>
    </row>
    <row r="278" spans="1:8">
      <c r="A278" s="1343"/>
      <c r="B278" s="1687" t="s">
        <v>468</v>
      </c>
      <c r="C278" s="375" t="s">
        <v>18</v>
      </c>
      <c r="D278" s="369" t="s">
        <v>490</v>
      </c>
      <c r="E278" s="1738" t="s">
        <v>469</v>
      </c>
      <c r="F278" s="379" t="b">
        <v>0</v>
      </c>
      <c r="G278" s="1739" t="s">
        <v>388</v>
      </c>
      <c r="H278" s="1343"/>
    </row>
    <row r="279" spans="1:8" ht="13" thickBot="1">
      <c r="A279" s="1343"/>
      <c r="B279" s="1735"/>
      <c r="C279" s="1736"/>
      <c r="D279" s="1736"/>
      <c r="E279" s="1736"/>
      <c r="F279" s="1736"/>
      <c r="G279" s="1737"/>
      <c r="H279" s="1343"/>
    </row>
    <row r="280" spans="1:8" ht="13.5" thickBot="1">
      <c r="A280" s="1343"/>
      <c r="B280" s="5031" t="s">
        <v>1122</v>
      </c>
      <c r="C280" s="5032"/>
      <c r="D280" s="5032"/>
      <c r="E280" s="5032"/>
      <c r="F280" s="5032"/>
      <c r="G280" s="5033"/>
      <c r="H280" s="1343"/>
    </row>
    <row r="281" spans="1:8" ht="13" thickTop="1">
      <c r="A281" s="1343"/>
      <c r="B281" s="1687" t="s">
        <v>466</v>
      </c>
      <c r="C281" s="376">
        <v>88.526003331999902</v>
      </c>
      <c r="D281" s="368" t="s">
        <v>299</v>
      </c>
      <c r="E281" s="1738" t="s">
        <v>467</v>
      </c>
      <c r="F281" s="375" t="s">
        <v>18</v>
      </c>
      <c r="G281" s="1739" t="s">
        <v>299</v>
      </c>
      <c r="H281" s="1343"/>
    </row>
    <row r="282" spans="1:8">
      <c r="A282" s="1343"/>
      <c r="B282" s="1687" t="s">
        <v>468</v>
      </c>
      <c r="C282" s="380" t="s">
        <v>18</v>
      </c>
      <c r="D282" s="369" t="s">
        <v>299</v>
      </c>
      <c r="E282" s="1738" t="s">
        <v>469</v>
      </c>
      <c r="F282" s="379" t="b">
        <v>0</v>
      </c>
      <c r="G282" s="1739" t="s">
        <v>388</v>
      </c>
      <c r="H282" s="1343"/>
    </row>
    <row r="283" spans="1:8" ht="13" thickBot="1">
      <c r="A283" s="1343"/>
      <c r="B283" s="1735"/>
      <c r="C283" s="1736"/>
      <c r="D283" s="1736"/>
      <c r="E283" s="1736"/>
      <c r="F283" s="1736"/>
      <c r="G283" s="1737"/>
      <c r="H283" s="1343"/>
    </row>
    <row r="284" spans="1:8" ht="13.5" thickBot="1">
      <c r="A284" s="1343"/>
      <c r="B284" s="5031" t="s">
        <v>491</v>
      </c>
      <c r="C284" s="5032"/>
      <c r="D284" s="5032"/>
      <c r="E284" s="5032"/>
      <c r="F284" s="5032"/>
      <c r="G284" s="5033"/>
      <c r="H284" s="1343"/>
    </row>
    <row r="285" spans="1:8" ht="13" thickTop="1">
      <c r="A285" s="1343"/>
      <c r="B285" s="1687" t="s">
        <v>466</v>
      </c>
      <c r="C285" s="374">
        <v>1</v>
      </c>
      <c r="D285" s="368" t="s">
        <v>296</v>
      </c>
      <c r="E285" s="1738" t="s">
        <v>467</v>
      </c>
      <c r="F285" s="375" t="s">
        <v>18</v>
      </c>
      <c r="G285" s="1739" t="s">
        <v>296</v>
      </c>
      <c r="H285" s="1343"/>
    </row>
    <row r="286" spans="1:8">
      <c r="A286" s="1343"/>
      <c r="B286" s="1687" t="s">
        <v>468</v>
      </c>
      <c r="C286" s="380" t="s">
        <v>18</v>
      </c>
      <c r="D286" s="369" t="s">
        <v>296</v>
      </c>
      <c r="E286" s="1738" t="s">
        <v>469</v>
      </c>
      <c r="F286" s="379" t="b">
        <v>0</v>
      </c>
      <c r="G286" s="1739" t="s">
        <v>388</v>
      </c>
      <c r="H286" s="1343"/>
    </row>
    <row r="287" spans="1:8" ht="13" thickBot="1">
      <c r="A287" s="1343"/>
      <c r="B287" s="1735"/>
      <c r="C287" s="1736"/>
      <c r="D287" s="1736"/>
      <c r="E287" s="1736"/>
      <c r="F287" s="1736"/>
      <c r="G287" s="1737"/>
      <c r="H287" s="1343"/>
    </row>
    <row r="288" spans="1:8" ht="13.5" thickBot="1">
      <c r="A288" s="1343"/>
      <c r="B288" s="5031" t="s">
        <v>492</v>
      </c>
      <c r="C288" s="5032"/>
      <c r="D288" s="5032"/>
      <c r="E288" s="5032"/>
      <c r="F288" s="5032"/>
      <c r="G288" s="5033"/>
      <c r="H288" s="1343"/>
    </row>
    <row r="289" spans="1:8" ht="13" thickTop="1">
      <c r="A289" s="1343"/>
      <c r="B289" s="1687" t="s">
        <v>466</v>
      </c>
      <c r="C289" s="1745">
        <v>803.71823275335203</v>
      </c>
      <c r="D289" s="368" t="s">
        <v>388</v>
      </c>
      <c r="E289" s="1738" t="s">
        <v>467</v>
      </c>
      <c r="F289" s="375" t="s">
        <v>18</v>
      </c>
      <c r="G289" s="1739" t="s">
        <v>388</v>
      </c>
      <c r="H289" s="1343"/>
    </row>
    <row r="290" spans="1:8">
      <c r="A290" s="1343"/>
      <c r="B290" s="1687" t="s">
        <v>468</v>
      </c>
      <c r="C290" s="380" t="s">
        <v>18</v>
      </c>
      <c r="D290" s="369" t="s">
        <v>388</v>
      </c>
      <c r="E290" s="1738" t="s">
        <v>469</v>
      </c>
      <c r="F290" s="379" t="b">
        <v>0</v>
      </c>
      <c r="G290" s="1739" t="s">
        <v>388</v>
      </c>
      <c r="H290" s="1343"/>
    </row>
    <row r="291" spans="1:8" ht="13" thickBot="1">
      <c r="A291" s="1343"/>
      <c r="B291" s="1735"/>
      <c r="C291" s="1736"/>
      <c r="D291" s="1736"/>
      <c r="E291" s="1736"/>
      <c r="F291" s="1736"/>
      <c r="G291" s="1737"/>
      <c r="H291" s="1343"/>
    </row>
    <row r="292" spans="1:8" ht="13.5" thickBot="1">
      <c r="A292" s="1343"/>
      <c r="B292" s="5031" t="s">
        <v>493</v>
      </c>
      <c r="C292" s="5032"/>
      <c r="D292" s="5032"/>
      <c r="E292" s="5032"/>
      <c r="F292" s="5032"/>
      <c r="G292" s="5033"/>
      <c r="H292" s="1343"/>
    </row>
    <row r="293" spans="1:8" ht="13" thickTop="1">
      <c r="A293" s="1343"/>
      <c r="B293" s="1687" t="s">
        <v>466</v>
      </c>
      <c r="C293" s="375" t="s">
        <v>18</v>
      </c>
      <c r="D293" s="368" t="s">
        <v>388</v>
      </c>
      <c r="E293" s="1738" t="s">
        <v>467</v>
      </c>
      <c r="F293" s="375" t="s">
        <v>18</v>
      </c>
      <c r="G293" s="1739" t="s">
        <v>388</v>
      </c>
      <c r="H293" s="1343"/>
    </row>
    <row r="294" spans="1:8">
      <c r="A294" s="1343"/>
      <c r="B294" s="1687" t="s">
        <v>468</v>
      </c>
      <c r="C294" s="375" t="s">
        <v>18</v>
      </c>
      <c r="D294" s="369" t="s">
        <v>388</v>
      </c>
      <c r="E294" s="1738" t="s">
        <v>469</v>
      </c>
      <c r="F294" s="379" t="b">
        <v>0</v>
      </c>
      <c r="G294" s="1739" t="s">
        <v>388</v>
      </c>
      <c r="H294" s="1343"/>
    </row>
    <row r="295" spans="1:8" ht="13" thickBot="1">
      <c r="A295" s="1343"/>
      <c r="B295" s="1735"/>
      <c r="C295" s="1736"/>
      <c r="D295" s="1736"/>
      <c r="E295" s="1736"/>
      <c r="F295" s="1736"/>
      <c r="G295" s="1737"/>
      <c r="H295" s="1343"/>
    </row>
    <row r="296" spans="1:8" ht="13.5" thickBot="1">
      <c r="A296" s="1343"/>
      <c r="B296" s="5031" t="s">
        <v>494</v>
      </c>
      <c r="C296" s="5032"/>
      <c r="D296" s="5032"/>
      <c r="E296" s="5032"/>
      <c r="F296" s="5032"/>
      <c r="G296" s="5033"/>
      <c r="H296" s="1343"/>
    </row>
    <row r="297" spans="1:8" ht="13" thickTop="1">
      <c r="A297" s="1343"/>
      <c r="B297" s="1687" t="s">
        <v>466</v>
      </c>
      <c r="C297" s="374">
        <v>12.731</v>
      </c>
      <c r="D297" s="368" t="s">
        <v>295</v>
      </c>
      <c r="E297" s="1738" t="s">
        <v>467</v>
      </c>
      <c r="F297" s="375" t="s">
        <v>18</v>
      </c>
      <c r="G297" s="1739" t="s">
        <v>295</v>
      </c>
      <c r="H297" s="1343"/>
    </row>
    <row r="298" spans="1:8">
      <c r="A298" s="1343"/>
      <c r="B298" s="1687" t="s">
        <v>468</v>
      </c>
      <c r="C298" s="380" t="s">
        <v>18</v>
      </c>
      <c r="D298" s="369" t="s">
        <v>295</v>
      </c>
      <c r="E298" s="1738" t="s">
        <v>469</v>
      </c>
      <c r="F298" s="379" t="b">
        <v>0</v>
      </c>
      <c r="G298" s="1739" t="s">
        <v>388</v>
      </c>
      <c r="H298" s="1343"/>
    </row>
    <row r="299" spans="1:8" ht="13" thickBot="1">
      <c r="A299" s="1343"/>
      <c r="B299" s="1735"/>
      <c r="C299" s="1736"/>
      <c r="D299" s="1736"/>
      <c r="E299" s="1736"/>
      <c r="F299" s="1736"/>
      <c r="G299" s="1737"/>
      <c r="H299" s="1343"/>
    </row>
    <row r="300" spans="1:8" ht="13.5" thickBot="1">
      <c r="A300" s="1343"/>
      <c r="B300" s="5031" t="s">
        <v>495</v>
      </c>
      <c r="C300" s="5032"/>
      <c r="D300" s="5032"/>
      <c r="E300" s="5032"/>
      <c r="F300" s="5032"/>
      <c r="G300" s="5033"/>
      <c r="H300" s="1343"/>
    </row>
    <row r="301" spans="1:8" ht="13" thickTop="1">
      <c r="A301" s="1343"/>
      <c r="B301" s="1687" t="s">
        <v>466</v>
      </c>
      <c r="C301" s="376">
        <v>10.3673118421223</v>
      </c>
      <c r="D301" s="368" t="s">
        <v>295</v>
      </c>
      <c r="E301" s="1738" t="s">
        <v>467</v>
      </c>
      <c r="F301" s="375" t="s">
        <v>18</v>
      </c>
      <c r="G301" s="1739" t="s">
        <v>295</v>
      </c>
      <c r="H301" s="1343"/>
    </row>
    <row r="302" spans="1:8">
      <c r="A302" s="1343"/>
      <c r="B302" s="1687" t="s">
        <v>468</v>
      </c>
      <c r="C302" s="380" t="s">
        <v>18</v>
      </c>
      <c r="D302" s="369" t="s">
        <v>295</v>
      </c>
      <c r="E302" s="1738" t="s">
        <v>469</v>
      </c>
      <c r="F302" s="379" t="b">
        <v>0</v>
      </c>
      <c r="G302" s="1739" t="s">
        <v>388</v>
      </c>
      <c r="H302" s="1343"/>
    </row>
    <row r="303" spans="1:8" ht="13" thickBot="1">
      <c r="A303" s="1343"/>
      <c r="B303" s="1735"/>
      <c r="C303" s="1736"/>
      <c r="D303" s="1736"/>
      <c r="E303" s="1736"/>
      <c r="F303" s="1736"/>
      <c r="G303" s="1737"/>
      <c r="H303" s="1343"/>
    </row>
    <row r="304" spans="1:8" ht="13.5" thickBot="1">
      <c r="A304" s="1343"/>
      <c r="B304" s="5031" t="s">
        <v>496</v>
      </c>
      <c r="C304" s="5032"/>
      <c r="D304" s="5032"/>
      <c r="E304" s="5032"/>
      <c r="F304" s="5032"/>
      <c r="G304" s="5033"/>
      <c r="H304" s="1343"/>
    </row>
    <row r="305" spans="1:8" ht="13" thickTop="1">
      <c r="A305" s="1343"/>
      <c r="B305" s="1687" t="s">
        <v>466</v>
      </c>
      <c r="C305" s="376">
        <v>12.201729408487701</v>
      </c>
      <c r="D305" s="368" t="s">
        <v>295</v>
      </c>
      <c r="E305" s="1738" t="s">
        <v>467</v>
      </c>
      <c r="F305" s="375" t="s">
        <v>18</v>
      </c>
      <c r="G305" s="1739" t="s">
        <v>295</v>
      </c>
      <c r="H305" s="1343"/>
    </row>
    <row r="306" spans="1:8">
      <c r="A306" s="1343"/>
      <c r="B306" s="1687" t="s">
        <v>468</v>
      </c>
      <c r="C306" s="380" t="s">
        <v>18</v>
      </c>
      <c r="D306" s="369" t="s">
        <v>295</v>
      </c>
      <c r="E306" s="1738" t="s">
        <v>469</v>
      </c>
      <c r="F306" s="379" t="b">
        <v>0</v>
      </c>
      <c r="G306" s="1739" t="s">
        <v>388</v>
      </c>
      <c r="H306" s="1343"/>
    </row>
    <row r="307" spans="1:8" ht="13" thickBot="1">
      <c r="A307" s="1343"/>
      <c r="B307" s="1735"/>
      <c r="C307" s="1736"/>
      <c r="D307" s="1736"/>
      <c r="E307" s="1736"/>
      <c r="F307" s="1736"/>
      <c r="G307" s="1737"/>
      <c r="H307" s="1343"/>
    </row>
    <row r="308" spans="1:8" ht="13.5" thickBot="1">
      <c r="A308" s="1343"/>
      <c r="B308" s="5031" t="s">
        <v>497</v>
      </c>
      <c r="C308" s="5032"/>
      <c r="D308" s="5032"/>
      <c r="E308" s="5032"/>
      <c r="F308" s="5032"/>
      <c r="G308" s="5033"/>
      <c r="H308" s="1343"/>
    </row>
    <row r="309" spans="1:8" ht="13" thickTop="1">
      <c r="A309" s="1343"/>
      <c r="B309" s="1687" t="s">
        <v>466</v>
      </c>
      <c r="C309" s="377">
        <v>8.7588040524566004</v>
      </c>
      <c r="D309" s="368" t="s">
        <v>295</v>
      </c>
      <c r="E309" s="1738" t="s">
        <v>467</v>
      </c>
      <c r="F309" s="375" t="s">
        <v>18</v>
      </c>
      <c r="G309" s="1739" t="s">
        <v>295</v>
      </c>
      <c r="H309" s="1343"/>
    </row>
    <row r="310" spans="1:8">
      <c r="A310" s="1343"/>
      <c r="B310" s="1687" t="s">
        <v>468</v>
      </c>
      <c r="C310" s="380" t="s">
        <v>18</v>
      </c>
      <c r="D310" s="369" t="s">
        <v>295</v>
      </c>
      <c r="E310" s="1738" t="s">
        <v>469</v>
      </c>
      <c r="F310" s="379" t="b">
        <v>0</v>
      </c>
      <c r="G310" s="1739" t="s">
        <v>388</v>
      </c>
      <c r="H310" s="1343"/>
    </row>
    <row r="311" spans="1:8" ht="13" thickBot="1">
      <c r="A311" s="1343"/>
      <c r="B311" s="1735"/>
      <c r="C311" s="1736"/>
      <c r="D311" s="1736"/>
      <c r="E311" s="1736"/>
      <c r="F311" s="1736"/>
      <c r="G311" s="1737"/>
      <c r="H311" s="1343"/>
    </row>
    <row r="312" spans="1:8" ht="13.5" thickBot="1">
      <c r="A312" s="1343"/>
      <c r="B312" s="5031" t="s">
        <v>498</v>
      </c>
      <c r="C312" s="5032"/>
      <c r="D312" s="5032"/>
      <c r="E312" s="5032"/>
      <c r="F312" s="5032"/>
      <c r="G312" s="5033"/>
      <c r="H312" s="1343"/>
    </row>
    <row r="313" spans="1:8" ht="13" thickTop="1">
      <c r="A313" s="1343"/>
      <c r="B313" s="1687" t="s">
        <v>466</v>
      </c>
      <c r="C313" s="376">
        <v>77.707903332599898</v>
      </c>
      <c r="D313" s="368" t="s">
        <v>299</v>
      </c>
      <c r="E313" s="1738" t="s">
        <v>467</v>
      </c>
      <c r="F313" s="375" t="s">
        <v>18</v>
      </c>
      <c r="G313" s="1739" t="s">
        <v>299</v>
      </c>
      <c r="H313" s="1343"/>
    </row>
    <row r="314" spans="1:8">
      <c r="A314" s="1343"/>
      <c r="B314" s="1687" t="s">
        <v>468</v>
      </c>
      <c r="C314" s="380" t="s">
        <v>18</v>
      </c>
      <c r="D314" s="369" t="s">
        <v>299</v>
      </c>
      <c r="E314" s="1738" t="s">
        <v>469</v>
      </c>
      <c r="F314" s="379" t="b">
        <v>0</v>
      </c>
      <c r="G314" s="1739" t="s">
        <v>388</v>
      </c>
      <c r="H314" s="1343"/>
    </row>
    <row r="315" spans="1:8" ht="13" thickBot="1">
      <c r="A315" s="1343"/>
      <c r="B315" s="1735"/>
      <c r="C315" s="1736"/>
      <c r="D315" s="1736"/>
      <c r="E315" s="1736"/>
      <c r="F315" s="1736"/>
      <c r="G315" s="1737"/>
      <c r="H315" s="1343"/>
    </row>
    <row r="316" spans="1:8" ht="13.5" thickBot="1">
      <c r="A316" s="1343"/>
      <c r="B316" s="5031" t="s">
        <v>499</v>
      </c>
      <c r="C316" s="5032"/>
      <c r="D316" s="5032"/>
      <c r="E316" s="5032"/>
      <c r="F316" s="5032"/>
      <c r="G316" s="5033"/>
      <c r="H316" s="1343"/>
    </row>
    <row r="317" spans="1:8" ht="13" thickTop="1">
      <c r="A317" s="1343"/>
      <c r="B317" s="1687" t="s">
        <v>466</v>
      </c>
      <c r="C317" s="376">
        <v>88.526003331999902</v>
      </c>
      <c r="D317" s="368" t="s">
        <v>299</v>
      </c>
      <c r="E317" s="1738" t="s">
        <v>467</v>
      </c>
      <c r="F317" s="375" t="s">
        <v>18</v>
      </c>
      <c r="G317" s="1739" t="s">
        <v>299</v>
      </c>
      <c r="H317" s="1343"/>
    </row>
    <row r="318" spans="1:8">
      <c r="A318" s="1343"/>
      <c r="B318" s="1687" t="s">
        <v>468</v>
      </c>
      <c r="C318" s="380" t="s">
        <v>18</v>
      </c>
      <c r="D318" s="369" t="s">
        <v>299</v>
      </c>
      <c r="E318" s="1738" t="s">
        <v>469</v>
      </c>
      <c r="F318" s="379" t="b">
        <v>0</v>
      </c>
      <c r="G318" s="1739" t="s">
        <v>388</v>
      </c>
      <c r="H318" s="1343"/>
    </row>
    <row r="319" spans="1:8" ht="13" thickBot="1">
      <c r="A319" s="1343"/>
      <c r="B319" s="1735"/>
      <c r="C319" s="1736"/>
      <c r="D319" s="1736"/>
      <c r="E319" s="1736"/>
      <c r="F319" s="1736"/>
      <c r="G319" s="1737"/>
      <c r="H319" s="1343"/>
    </row>
    <row r="320" spans="1:8" ht="13.5" thickBot="1">
      <c r="A320" s="1343"/>
      <c r="B320" s="5031" t="s">
        <v>500</v>
      </c>
      <c r="C320" s="5032"/>
      <c r="D320" s="5032"/>
      <c r="E320" s="5032"/>
      <c r="F320" s="5032"/>
      <c r="G320" s="5033"/>
      <c r="H320" s="1343"/>
    </row>
    <row r="321" spans="1:8" ht="13" thickTop="1">
      <c r="A321" s="1343"/>
      <c r="B321" s="1687" t="s">
        <v>466</v>
      </c>
      <c r="C321" s="1745">
        <v>525.73804005115903</v>
      </c>
      <c r="D321" s="368" t="s">
        <v>155</v>
      </c>
      <c r="E321" s="1738" t="s">
        <v>467</v>
      </c>
      <c r="F321" s="375" t="s">
        <v>18</v>
      </c>
      <c r="G321" s="1739" t="s">
        <v>155</v>
      </c>
      <c r="H321" s="1343"/>
    </row>
    <row r="322" spans="1:8">
      <c r="A322" s="1343"/>
      <c r="B322" s="1687" t="s">
        <v>468</v>
      </c>
      <c r="C322" s="380" t="s">
        <v>18</v>
      </c>
      <c r="D322" s="369" t="s">
        <v>155</v>
      </c>
      <c r="E322" s="1738" t="s">
        <v>469</v>
      </c>
      <c r="F322" s="379" t="b">
        <v>0</v>
      </c>
      <c r="G322" s="1739" t="s">
        <v>388</v>
      </c>
      <c r="H322" s="1343"/>
    </row>
    <row r="323" spans="1:8" ht="13" thickBot="1">
      <c r="A323" s="1343"/>
      <c r="B323" s="1735"/>
      <c r="C323" s="1736"/>
      <c r="D323" s="1736"/>
      <c r="E323" s="1736"/>
      <c r="F323" s="1736"/>
      <c r="G323" s="1737"/>
      <c r="H323" s="1343"/>
    </row>
    <row r="324" spans="1:8" ht="13.5" thickBot="1">
      <c r="A324" s="1343"/>
      <c r="B324" s="5031" t="s">
        <v>501</v>
      </c>
      <c r="C324" s="5032"/>
      <c r="D324" s="5032"/>
      <c r="E324" s="5032"/>
      <c r="F324" s="5032"/>
      <c r="G324" s="5033"/>
      <c r="H324" s="1343"/>
    </row>
    <row r="325" spans="1:8" ht="13" thickTop="1">
      <c r="A325" s="1343"/>
      <c r="B325" s="1687" t="s">
        <v>466</v>
      </c>
      <c r="C325" s="376">
        <v>70.642868449706299</v>
      </c>
      <c r="D325" s="368" t="s">
        <v>155</v>
      </c>
      <c r="E325" s="1738" t="s">
        <v>467</v>
      </c>
      <c r="F325" s="375" t="s">
        <v>18</v>
      </c>
      <c r="G325" s="1739" t="s">
        <v>155</v>
      </c>
      <c r="H325" s="1343"/>
    </row>
    <row r="326" spans="1:8">
      <c r="A326" s="1343"/>
      <c r="B326" s="1687" t="s">
        <v>468</v>
      </c>
      <c r="C326" s="380" t="s">
        <v>18</v>
      </c>
      <c r="D326" s="369" t="s">
        <v>155</v>
      </c>
      <c r="E326" s="1738" t="s">
        <v>469</v>
      </c>
      <c r="F326" s="379" t="b">
        <v>0</v>
      </c>
      <c r="G326" s="1739" t="s">
        <v>388</v>
      </c>
      <c r="H326" s="1343"/>
    </row>
    <row r="327" spans="1:8" ht="13" thickBot="1">
      <c r="A327" s="1343"/>
      <c r="B327" s="1735"/>
      <c r="C327" s="1736"/>
      <c r="D327" s="1736"/>
      <c r="E327" s="1736"/>
      <c r="F327" s="1736"/>
      <c r="G327" s="1737"/>
      <c r="H327" s="1343"/>
    </row>
    <row r="328" spans="1:8" ht="13.5" thickBot="1">
      <c r="A328" s="1343"/>
      <c r="B328" s="5031" t="s">
        <v>502</v>
      </c>
      <c r="C328" s="5032"/>
      <c r="D328" s="5032"/>
      <c r="E328" s="5032"/>
      <c r="F328" s="5032"/>
      <c r="G328" s="5033"/>
      <c r="H328" s="1343"/>
    </row>
    <row r="329" spans="1:8" ht="13" thickTop="1">
      <c r="A329" s="1343"/>
      <c r="B329" s="1687" t="s">
        <v>466</v>
      </c>
      <c r="C329" s="376">
        <v>16.980138225486801</v>
      </c>
      <c r="D329" s="368" t="s">
        <v>155</v>
      </c>
      <c r="E329" s="1738" t="s">
        <v>467</v>
      </c>
      <c r="F329" s="375" t="s">
        <v>18</v>
      </c>
      <c r="G329" s="1739" t="s">
        <v>155</v>
      </c>
      <c r="H329" s="1343"/>
    </row>
    <row r="330" spans="1:8">
      <c r="A330" s="1343"/>
      <c r="B330" s="1687" t="s">
        <v>468</v>
      </c>
      <c r="C330" s="380" t="s">
        <v>18</v>
      </c>
      <c r="D330" s="369" t="s">
        <v>155</v>
      </c>
      <c r="E330" s="1738" t="s">
        <v>469</v>
      </c>
      <c r="F330" s="379" t="b">
        <v>0</v>
      </c>
      <c r="G330" s="1739" t="s">
        <v>388</v>
      </c>
      <c r="H330" s="1343"/>
    </row>
    <row r="331" spans="1:8" ht="13" thickBot="1">
      <c r="A331" s="1343"/>
      <c r="B331" s="1735"/>
      <c r="C331" s="1736"/>
      <c r="D331" s="1736"/>
      <c r="E331" s="1736"/>
      <c r="F331" s="1736"/>
      <c r="G331" s="1737"/>
      <c r="H331" s="1343"/>
    </row>
    <row r="332" spans="1:8" ht="13.5" thickBot="1">
      <c r="A332" s="1343"/>
      <c r="B332" s="5031" t="s">
        <v>503</v>
      </c>
      <c r="C332" s="5032"/>
      <c r="D332" s="5032"/>
      <c r="E332" s="5032"/>
      <c r="F332" s="5032"/>
      <c r="G332" s="5033"/>
      <c r="H332" s="1343"/>
    </row>
    <row r="333" spans="1:8" ht="13" thickTop="1">
      <c r="A333" s="1343"/>
      <c r="B333" s="1687" t="s">
        <v>466</v>
      </c>
      <c r="C333" s="374">
        <v>0</v>
      </c>
      <c r="D333" s="368" t="s">
        <v>155</v>
      </c>
      <c r="E333" s="1738" t="s">
        <v>467</v>
      </c>
      <c r="F333" s="375" t="s">
        <v>18</v>
      </c>
      <c r="G333" s="1739" t="s">
        <v>155</v>
      </c>
      <c r="H333" s="1343"/>
    </row>
    <row r="334" spans="1:8">
      <c r="A334" s="1343"/>
      <c r="B334" s="1687" t="s">
        <v>468</v>
      </c>
      <c r="C334" s="380" t="s">
        <v>18</v>
      </c>
      <c r="D334" s="369" t="s">
        <v>155</v>
      </c>
      <c r="E334" s="1738" t="s">
        <v>469</v>
      </c>
      <c r="F334" s="379" t="b">
        <v>0</v>
      </c>
      <c r="G334" s="1739" t="s">
        <v>388</v>
      </c>
      <c r="H334" s="1343"/>
    </row>
    <row r="335" spans="1:8" ht="13" thickBot="1">
      <c r="A335" s="1343"/>
      <c r="B335" s="1735"/>
      <c r="C335" s="1736"/>
      <c r="D335" s="1736"/>
      <c r="E335" s="1736"/>
      <c r="F335" s="1736"/>
      <c r="G335" s="1737"/>
      <c r="H335" s="1343"/>
    </row>
    <row r="336" spans="1:8" ht="13.5" thickBot="1">
      <c r="A336" s="1343"/>
      <c r="B336" s="5031" t="s">
        <v>504</v>
      </c>
      <c r="C336" s="5032"/>
      <c r="D336" s="5032"/>
      <c r="E336" s="5032"/>
      <c r="F336" s="5032"/>
      <c r="G336" s="5033"/>
      <c r="H336" s="1343"/>
    </row>
    <row r="337" spans="1:8" ht="13" thickTop="1">
      <c r="A337" s="1343"/>
      <c r="B337" s="1687" t="s">
        <v>466</v>
      </c>
      <c r="C337" s="374">
        <v>0</v>
      </c>
      <c r="D337" s="368" t="s">
        <v>155</v>
      </c>
      <c r="E337" s="1738" t="s">
        <v>467</v>
      </c>
      <c r="F337" s="375" t="s">
        <v>18</v>
      </c>
      <c r="G337" s="1739" t="s">
        <v>155</v>
      </c>
      <c r="H337" s="1343"/>
    </row>
    <row r="338" spans="1:8">
      <c r="A338" s="1343"/>
      <c r="B338" s="1687" t="s">
        <v>468</v>
      </c>
      <c r="C338" s="380" t="s">
        <v>18</v>
      </c>
      <c r="D338" s="369" t="s">
        <v>155</v>
      </c>
      <c r="E338" s="1738" t="s">
        <v>469</v>
      </c>
      <c r="F338" s="379" t="b">
        <v>0</v>
      </c>
      <c r="G338" s="1739" t="s">
        <v>388</v>
      </c>
      <c r="H338" s="1343"/>
    </row>
    <row r="339" spans="1:8" ht="13" thickBot="1">
      <c r="A339" s="1343"/>
      <c r="B339" s="1735"/>
      <c r="C339" s="1736"/>
      <c r="D339" s="1736"/>
      <c r="E339" s="1736"/>
      <c r="F339" s="1736"/>
      <c r="G339" s="1737"/>
      <c r="H339" s="1343"/>
    </row>
    <row r="340" spans="1:8" ht="13.5" thickBot="1">
      <c r="A340" s="1343"/>
      <c r="B340" s="5031" t="s">
        <v>505</v>
      </c>
      <c r="C340" s="5032"/>
      <c r="D340" s="5032"/>
      <c r="E340" s="5032"/>
      <c r="F340" s="5032"/>
      <c r="G340" s="5033"/>
      <c r="H340" s="1343"/>
    </row>
    <row r="341" spans="1:8" ht="13" thickTop="1">
      <c r="A341" s="1343"/>
      <c r="B341" s="1687" t="s">
        <v>466</v>
      </c>
      <c r="C341" s="374">
        <v>0</v>
      </c>
      <c r="D341" s="368" t="s">
        <v>155</v>
      </c>
      <c r="E341" s="1738" t="s">
        <v>467</v>
      </c>
      <c r="F341" s="375" t="s">
        <v>18</v>
      </c>
      <c r="G341" s="1739" t="s">
        <v>155</v>
      </c>
      <c r="H341" s="1343"/>
    </row>
    <row r="342" spans="1:8">
      <c r="A342" s="1343"/>
      <c r="B342" s="1687" t="s">
        <v>468</v>
      </c>
      <c r="C342" s="380" t="s">
        <v>18</v>
      </c>
      <c r="D342" s="369" t="s">
        <v>155</v>
      </c>
      <c r="E342" s="1738" t="s">
        <v>469</v>
      </c>
      <c r="F342" s="379" t="b">
        <v>0</v>
      </c>
      <c r="G342" s="1739" t="s">
        <v>388</v>
      </c>
      <c r="H342" s="1343"/>
    </row>
    <row r="343" spans="1:8" ht="13" thickBot="1">
      <c r="A343" s="1343"/>
      <c r="B343" s="1735"/>
      <c r="C343" s="1736"/>
      <c r="D343" s="1736"/>
      <c r="E343" s="1736"/>
      <c r="F343" s="1736"/>
      <c r="G343" s="1737"/>
      <c r="H343" s="1343"/>
    </row>
    <row r="344" spans="1:8" ht="13.5" thickBot="1">
      <c r="A344" s="1343"/>
      <c r="B344" s="5031" t="s">
        <v>506</v>
      </c>
      <c r="C344" s="5032"/>
      <c r="D344" s="5032"/>
      <c r="E344" s="5032"/>
      <c r="F344" s="5032"/>
      <c r="G344" s="5033"/>
      <c r="H344" s="1343"/>
    </row>
    <row r="345" spans="1:8" ht="13" thickTop="1">
      <c r="A345" s="1343"/>
      <c r="B345" s="1687" t="s">
        <v>466</v>
      </c>
      <c r="C345" s="374">
        <v>0</v>
      </c>
      <c r="D345" s="368" t="s">
        <v>22</v>
      </c>
      <c r="E345" s="1738" t="s">
        <v>467</v>
      </c>
      <c r="F345" s="375" t="s">
        <v>18</v>
      </c>
      <c r="G345" s="1739" t="s">
        <v>22</v>
      </c>
      <c r="H345" s="1343"/>
    </row>
    <row r="346" spans="1:8">
      <c r="A346" s="1343"/>
      <c r="B346" s="1687" t="s">
        <v>468</v>
      </c>
      <c r="C346" s="380" t="s">
        <v>18</v>
      </c>
      <c r="D346" s="369" t="s">
        <v>22</v>
      </c>
      <c r="E346" s="1738" t="s">
        <v>469</v>
      </c>
      <c r="F346" s="379" t="b">
        <v>0</v>
      </c>
      <c r="G346" s="1739" t="s">
        <v>388</v>
      </c>
      <c r="H346" s="1343"/>
    </row>
    <row r="347" spans="1:8" ht="13" thickBot="1">
      <c r="A347" s="1343"/>
      <c r="B347" s="1735"/>
      <c r="C347" s="1736"/>
      <c r="D347" s="1736"/>
      <c r="E347" s="1736"/>
      <c r="F347" s="1736"/>
      <c r="G347" s="1737"/>
      <c r="H347" s="1343"/>
    </row>
    <row r="348" spans="1:8" ht="13.5" thickBot="1">
      <c r="A348" s="1343"/>
      <c r="B348" s="5031" t="s">
        <v>507</v>
      </c>
      <c r="C348" s="5032"/>
      <c r="D348" s="5032"/>
      <c r="E348" s="5032"/>
      <c r="F348" s="5032"/>
      <c r="G348" s="5033"/>
      <c r="H348" s="1343"/>
    </row>
    <row r="349" spans="1:8" ht="13" thickTop="1">
      <c r="A349" s="1343"/>
      <c r="B349" s="1687" t="s">
        <v>466</v>
      </c>
      <c r="C349" s="375" t="s">
        <v>18</v>
      </c>
      <c r="D349" s="368" t="s">
        <v>388</v>
      </c>
      <c r="E349" s="1738" t="s">
        <v>467</v>
      </c>
      <c r="F349" s="375" t="s">
        <v>18</v>
      </c>
      <c r="G349" s="1739" t="s">
        <v>388</v>
      </c>
      <c r="H349" s="1343"/>
    </row>
    <row r="350" spans="1:8">
      <c r="A350" s="1343"/>
      <c r="B350" s="1687" t="s">
        <v>468</v>
      </c>
      <c r="C350" s="375" t="s">
        <v>18</v>
      </c>
      <c r="D350" s="369" t="s">
        <v>388</v>
      </c>
      <c r="E350" s="1738" t="s">
        <v>469</v>
      </c>
      <c r="F350" s="379" t="b">
        <v>0</v>
      </c>
      <c r="G350" s="1739" t="s">
        <v>388</v>
      </c>
      <c r="H350" s="1343"/>
    </row>
    <row r="351" spans="1:8" ht="13" thickBot="1">
      <c r="A351" s="1343"/>
      <c r="B351" s="1735"/>
      <c r="C351" s="1736"/>
      <c r="D351" s="1736"/>
      <c r="E351" s="1736"/>
      <c r="F351" s="1736"/>
      <c r="G351" s="1737"/>
      <c r="H351" s="1343"/>
    </row>
    <row r="352" spans="1:8" ht="13.5" thickBot="1">
      <c r="A352" s="1343"/>
      <c r="B352" s="5031" t="s">
        <v>508</v>
      </c>
      <c r="C352" s="5032"/>
      <c r="D352" s="5032"/>
      <c r="E352" s="5032"/>
      <c r="F352" s="5032"/>
      <c r="G352" s="5033"/>
      <c r="H352" s="1343"/>
    </row>
    <row r="353" spans="1:8" ht="13" thickTop="1">
      <c r="A353" s="1343"/>
      <c r="B353" s="1687" t="s">
        <v>466</v>
      </c>
      <c r="C353" s="1745">
        <v>589.73135266673899</v>
      </c>
      <c r="D353" s="368" t="s">
        <v>155</v>
      </c>
      <c r="E353" s="1738" t="s">
        <v>467</v>
      </c>
      <c r="F353" s="375" t="s">
        <v>18</v>
      </c>
      <c r="G353" s="1739" t="s">
        <v>155</v>
      </c>
      <c r="H353" s="1343"/>
    </row>
    <row r="354" spans="1:8">
      <c r="A354" s="1343"/>
      <c r="B354" s="1687" t="s">
        <v>468</v>
      </c>
      <c r="C354" s="380" t="s">
        <v>18</v>
      </c>
      <c r="D354" s="369" t="s">
        <v>155</v>
      </c>
      <c r="E354" s="1738" t="s">
        <v>469</v>
      </c>
      <c r="F354" s="379" t="b">
        <v>0</v>
      </c>
      <c r="G354" s="1739" t="s">
        <v>388</v>
      </c>
      <c r="H354" s="1343"/>
    </row>
    <row r="355" spans="1:8" ht="13" thickBot="1">
      <c r="A355" s="1343"/>
      <c r="B355" s="1735"/>
      <c r="C355" s="1736"/>
      <c r="D355" s="1736"/>
      <c r="E355" s="1736"/>
      <c r="F355" s="1736"/>
      <c r="G355" s="1737"/>
      <c r="H355" s="1343"/>
    </row>
    <row r="356" spans="1:8" ht="13.5" thickBot="1">
      <c r="A356" s="1343"/>
      <c r="B356" s="5031" t="s">
        <v>509</v>
      </c>
      <c r="C356" s="5032"/>
      <c r="D356" s="5032"/>
      <c r="E356" s="5032"/>
      <c r="F356" s="5032"/>
      <c r="G356" s="5033"/>
      <c r="H356" s="1343"/>
    </row>
    <row r="357" spans="1:8" ht="13" thickTop="1">
      <c r="A357" s="1343"/>
      <c r="B357" s="1687" t="s">
        <v>466</v>
      </c>
      <c r="C357" s="374">
        <v>0</v>
      </c>
      <c r="D357" s="368" t="s">
        <v>155</v>
      </c>
      <c r="E357" s="1738" t="s">
        <v>467</v>
      </c>
      <c r="F357" s="375" t="s">
        <v>18</v>
      </c>
      <c r="G357" s="1739" t="s">
        <v>155</v>
      </c>
      <c r="H357" s="1343"/>
    </row>
    <row r="358" spans="1:8">
      <c r="A358" s="1343"/>
      <c r="B358" s="1687" t="s">
        <v>468</v>
      </c>
      <c r="C358" s="380" t="s">
        <v>18</v>
      </c>
      <c r="D358" s="369" t="s">
        <v>155</v>
      </c>
      <c r="E358" s="1738" t="s">
        <v>469</v>
      </c>
      <c r="F358" s="379" t="b">
        <v>0</v>
      </c>
      <c r="G358" s="1739" t="s">
        <v>388</v>
      </c>
      <c r="H358" s="1343"/>
    </row>
    <row r="359" spans="1:8" ht="13" thickBot="1">
      <c r="A359" s="1343"/>
      <c r="B359" s="1735"/>
      <c r="C359" s="1736"/>
      <c r="D359" s="1736"/>
      <c r="E359" s="1736"/>
      <c r="F359" s="1736"/>
      <c r="G359" s="1737"/>
      <c r="H359" s="1343"/>
    </row>
    <row r="360" spans="1:8" ht="13.5" thickBot="1">
      <c r="A360" s="1343"/>
      <c r="B360" s="5031" t="s">
        <v>510</v>
      </c>
      <c r="C360" s="5032"/>
      <c r="D360" s="5032"/>
      <c r="E360" s="5032"/>
      <c r="F360" s="5032"/>
      <c r="G360" s="5033"/>
      <c r="H360" s="1343"/>
    </row>
    <row r="361" spans="1:8" ht="13" thickTop="1">
      <c r="A361" s="1343"/>
      <c r="B361" s="1687" t="s">
        <v>466</v>
      </c>
      <c r="C361" s="374">
        <v>0</v>
      </c>
      <c r="D361" s="368" t="s">
        <v>22</v>
      </c>
      <c r="E361" s="1738" t="s">
        <v>467</v>
      </c>
      <c r="F361" s="375" t="s">
        <v>18</v>
      </c>
      <c r="G361" s="1739" t="s">
        <v>22</v>
      </c>
      <c r="H361" s="1343"/>
    </row>
    <row r="362" spans="1:8">
      <c r="A362" s="1343"/>
      <c r="B362" s="1687" t="s">
        <v>468</v>
      </c>
      <c r="C362" s="380" t="s">
        <v>18</v>
      </c>
      <c r="D362" s="369" t="s">
        <v>22</v>
      </c>
      <c r="E362" s="1738" t="s">
        <v>469</v>
      </c>
      <c r="F362" s="379" t="b">
        <v>0</v>
      </c>
      <c r="G362" s="1739" t="s">
        <v>388</v>
      </c>
      <c r="H362" s="1343"/>
    </row>
    <row r="363" spans="1:8" ht="13" thickBot="1">
      <c r="A363" s="1343"/>
      <c r="B363" s="1735"/>
      <c r="C363" s="1736"/>
      <c r="D363" s="1736"/>
      <c r="E363" s="1736"/>
      <c r="F363" s="1736"/>
      <c r="G363" s="1737"/>
      <c r="H363" s="1343"/>
    </row>
    <row r="364" spans="1:8" ht="13.5" thickBot="1">
      <c r="A364" s="1343"/>
      <c r="B364" s="5031" t="s">
        <v>511</v>
      </c>
      <c r="C364" s="5032"/>
      <c r="D364" s="5032"/>
      <c r="E364" s="5032"/>
      <c r="F364" s="5032"/>
      <c r="G364" s="5033"/>
      <c r="H364" s="1343"/>
    </row>
    <row r="365" spans="1:8" ht="13" thickTop="1">
      <c r="A365" s="1343"/>
      <c r="B365" s="1687" t="s">
        <v>466</v>
      </c>
      <c r="C365" s="1746">
        <v>4078.4161331781902</v>
      </c>
      <c r="D365" s="368" t="s">
        <v>155</v>
      </c>
      <c r="E365" s="1738" t="s">
        <v>467</v>
      </c>
      <c r="F365" s="375" t="s">
        <v>18</v>
      </c>
      <c r="G365" s="1739" t="s">
        <v>155</v>
      </c>
      <c r="H365" s="1343"/>
    </row>
    <row r="366" spans="1:8">
      <c r="A366" s="1343"/>
      <c r="B366" s="1687" t="s">
        <v>468</v>
      </c>
      <c r="C366" s="380" t="s">
        <v>18</v>
      </c>
      <c r="D366" s="369" t="s">
        <v>155</v>
      </c>
      <c r="E366" s="1738" t="s">
        <v>469</v>
      </c>
      <c r="F366" s="379" t="b">
        <v>0</v>
      </c>
      <c r="G366" s="1739" t="s">
        <v>388</v>
      </c>
      <c r="H366" s="1343"/>
    </row>
    <row r="367" spans="1:8" ht="13" thickBot="1">
      <c r="A367" s="1343"/>
      <c r="B367" s="1735"/>
      <c r="C367" s="1736"/>
      <c r="D367" s="1736"/>
      <c r="E367" s="1736"/>
      <c r="F367" s="1736"/>
      <c r="G367" s="1737"/>
      <c r="H367" s="1343"/>
    </row>
    <row r="368" spans="1:8" ht="13.5" thickBot="1">
      <c r="A368" s="1343"/>
      <c r="B368" s="5031" t="s">
        <v>512</v>
      </c>
      <c r="C368" s="5032"/>
      <c r="D368" s="5032"/>
      <c r="E368" s="5032"/>
      <c r="F368" s="5032"/>
      <c r="G368" s="5033"/>
      <c r="H368" s="1343"/>
    </row>
    <row r="369" spans="1:8" ht="13" thickTop="1">
      <c r="A369" s="1343"/>
      <c r="B369" s="1687" t="s">
        <v>466</v>
      </c>
      <c r="C369" s="374">
        <v>0</v>
      </c>
      <c r="D369" s="368" t="s">
        <v>155</v>
      </c>
      <c r="E369" s="1738" t="s">
        <v>467</v>
      </c>
      <c r="F369" s="375" t="s">
        <v>18</v>
      </c>
      <c r="G369" s="1739" t="s">
        <v>155</v>
      </c>
      <c r="H369" s="1343"/>
    </row>
    <row r="370" spans="1:8">
      <c r="A370" s="1343"/>
      <c r="B370" s="1687" t="s">
        <v>468</v>
      </c>
      <c r="C370" s="380" t="s">
        <v>18</v>
      </c>
      <c r="D370" s="369" t="s">
        <v>155</v>
      </c>
      <c r="E370" s="1738" t="s">
        <v>469</v>
      </c>
      <c r="F370" s="379" t="b">
        <v>0</v>
      </c>
      <c r="G370" s="1739" t="s">
        <v>388</v>
      </c>
      <c r="H370" s="1343"/>
    </row>
    <row r="371" spans="1:8" ht="13" thickBot="1">
      <c r="A371" s="1343"/>
      <c r="B371" s="1735"/>
      <c r="C371" s="1736"/>
      <c r="D371" s="1736"/>
      <c r="E371" s="1736"/>
      <c r="F371" s="1736"/>
      <c r="G371" s="1737"/>
      <c r="H371" s="1343"/>
    </row>
    <row r="372" spans="1:8" ht="13.5" thickBot="1">
      <c r="A372" s="1343"/>
      <c r="B372" s="5031" t="s">
        <v>513</v>
      </c>
      <c r="C372" s="5032"/>
      <c r="D372" s="5032"/>
      <c r="E372" s="5032"/>
      <c r="F372" s="5032"/>
      <c r="G372" s="5033"/>
      <c r="H372" s="1343"/>
    </row>
    <row r="373" spans="1:8" ht="13" thickTop="1">
      <c r="A373" s="1343"/>
      <c r="B373" s="1687" t="s">
        <v>466</v>
      </c>
      <c r="C373" s="374">
        <v>0</v>
      </c>
      <c r="D373" s="368" t="s">
        <v>155</v>
      </c>
      <c r="E373" s="1738" t="s">
        <v>467</v>
      </c>
      <c r="F373" s="375" t="s">
        <v>18</v>
      </c>
      <c r="G373" s="1739" t="s">
        <v>155</v>
      </c>
      <c r="H373" s="1343"/>
    </row>
    <row r="374" spans="1:8">
      <c r="A374" s="1343"/>
      <c r="B374" s="1687" t="s">
        <v>468</v>
      </c>
      <c r="C374" s="380" t="s">
        <v>18</v>
      </c>
      <c r="D374" s="369" t="s">
        <v>155</v>
      </c>
      <c r="E374" s="1738" t="s">
        <v>469</v>
      </c>
      <c r="F374" s="379" t="b">
        <v>0</v>
      </c>
      <c r="G374" s="1739" t="s">
        <v>388</v>
      </c>
      <c r="H374" s="1343"/>
    </row>
    <row r="375" spans="1:8" ht="13" thickBot="1">
      <c r="A375" s="1343"/>
      <c r="B375" s="1735"/>
      <c r="C375" s="1736"/>
      <c r="D375" s="1736"/>
      <c r="E375" s="1736"/>
      <c r="F375" s="1736"/>
      <c r="G375" s="1737"/>
      <c r="H375" s="1343"/>
    </row>
    <row r="376" spans="1:8" ht="13.5" thickBot="1">
      <c r="A376" s="1343"/>
      <c r="B376" s="5031" t="s">
        <v>514</v>
      </c>
      <c r="C376" s="5032"/>
      <c r="D376" s="5032"/>
      <c r="E376" s="5032"/>
      <c r="F376" s="5032"/>
      <c r="G376" s="5033"/>
      <c r="H376" s="1343"/>
    </row>
    <row r="377" spans="1:8" ht="13" thickTop="1">
      <c r="A377" s="1343"/>
      <c r="B377" s="1687" t="s">
        <v>466</v>
      </c>
      <c r="C377" s="1746">
        <v>3728.4078474401699</v>
      </c>
      <c r="D377" s="368" t="s">
        <v>155</v>
      </c>
      <c r="E377" s="1738" t="s">
        <v>467</v>
      </c>
      <c r="F377" s="375" t="s">
        <v>18</v>
      </c>
      <c r="G377" s="1739" t="s">
        <v>155</v>
      </c>
      <c r="H377" s="1343"/>
    </row>
    <row r="378" spans="1:8">
      <c r="A378" s="1343"/>
      <c r="B378" s="1687" t="s">
        <v>468</v>
      </c>
      <c r="C378" s="380" t="s">
        <v>18</v>
      </c>
      <c r="D378" s="369" t="s">
        <v>155</v>
      </c>
      <c r="E378" s="1738" t="s">
        <v>469</v>
      </c>
      <c r="F378" s="379" t="b">
        <v>0</v>
      </c>
      <c r="G378" s="1739" t="s">
        <v>388</v>
      </c>
      <c r="H378" s="1343"/>
    </row>
    <row r="379" spans="1:8" ht="13" thickBot="1">
      <c r="A379" s="1343"/>
      <c r="B379" s="1735"/>
      <c r="C379" s="1736"/>
      <c r="D379" s="1736"/>
      <c r="E379" s="1736"/>
      <c r="F379" s="1736"/>
      <c r="G379" s="1737"/>
      <c r="H379" s="1343"/>
    </row>
    <row r="380" spans="1:8" ht="13.5" thickBot="1">
      <c r="A380" s="1343"/>
      <c r="B380" s="5031" t="s">
        <v>515</v>
      </c>
      <c r="C380" s="5032"/>
      <c r="D380" s="5032"/>
      <c r="E380" s="5032"/>
      <c r="F380" s="5032"/>
      <c r="G380" s="5033"/>
      <c r="H380" s="1343"/>
    </row>
    <row r="381" spans="1:8" ht="13" thickTop="1">
      <c r="A381" s="1343"/>
      <c r="B381" s="1687" t="s">
        <v>466</v>
      </c>
      <c r="C381" s="1742">
        <v>1268452.66338651</v>
      </c>
      <c r="D381" s="368" t="s">
        <v>155</v>
      </c>
      <c r="E381" s="1738" t="s">
        <v>467</v>
      </c>
      <c r="F381" s="375" t="s">
        <v>18</v>
      </c>
      <c r="G381" s="1739" t="s">
        <v>155</v>
      </c>
      <c r="H381" s="1343"/>
    </row>
    <row r="382" spans="1:8">
      <c r="A382" s="1343"/>
      <c r="B382" s="1687" t="s">
        <v>468</v>
      </c>
      <c r="C382" s="380" t="s">
        <v>18</v>
      </c>
      <c r="D382" s="369" t="s">
        <v>155</v>
      </c>
      <c r="E382" s="1738" t="s">
        <v>469</v>
      </c>
      <c r="F382" s="379" t="b">
        <v>0</v>
      </c>
      <c r="G382" s="1739" t="s">
        <v>388</v>
      </c>
      <c r="H382" s="1343"/>
    </row>
    <row r="383" spans="1:8" ht="13" thickBot="1">
      <c r="A383" s="1343"/>
      <c r="B383" s="1735"/>
      <c r="C383" s="1736"/>
      <c r="D383" s="1736"/>
      <c r="E383" s="1736"/>
      <c r="F383" s="1736"/>
      <c r="G383" s="1737"/>
      <c r="H383" s="1343"/>
    </row>
    <row r="384" spans="1:8" ht="13.5" thickBot="1">
      <c r="A384" s="1343"/>
      <c r="B384" s="5031" t="s">
        <v>516</v>
      </c>
      <c r="C384" s="5032"/>
      <c r="D384" s="5032"/>
      <c r="E384" s="5032"/>
      <c r="F384" s="5032"/>
      <c r="G384" s="5033"/>
      <c r="H384" s="1343"/>
    </row>
    <row r="385" spans="1:8" ht="13" thickTop="1">
      <c r="A385" s="1343"/>
      <c r="B385" s="1687" t="s">
        <v>466</v>
      </c>
      <c r="C385" s="378">
        <v>4.93680828880039E-2</v>
      </c>
      <c r="D385" s="368" t="s">
        <v>517</v>
      </c>
      <c r="E385" s="1738" t="s">
        <v>467</v>
      </c>
      <c r="F385" s="375" t="s">
        <v>18</v>
      </c>
      <c r="G385" s="1739" t="s">
        <v>517</v>
      </c>
      <c r="H385" s="1343"/>
    </row>
    <row r="386" spans="1:8">
      <c r="A386" s="1343"/>
      <c r="B386" s="1687" t="s">
        <v>468</v>
      </c>
      <c r="C386" s="380" t="s">
        <v>18</v>
      </c>
      <c r="D386" s="369" t="s">
        <v>517</v>
      </c>
      <c r="E386" s="1738" t="s">
        <v>469</v>
      </c>
      <c r="F386" s="379" t="b">
        <v>0</v>
      </c>
      <c r="G386" s="1739" t="s">
        <v>388</v>
      </c>
      <c r="H386" s="1343"/>
    </row>
    <row r="387" spans="1:8" ht="13" thickBot="1">
      <c r="A387" s="1343"/>
      <c r="B387" s="1735"/>
      <c r="C387" s="1736"/>
      <c r="D387" s="1736"/>
      <c r="E387" s="1736"/>
      <c r="F387" s="1736"/>
      <c r="G387" s="1737"/>
      <c r="H387" s="1343"/>
    </row>
    <row r="388" spans="1:8" ht="13.5" thickBot="1">
      <c r="A388" s="1343"/>
      <c r="B388" s="5031" t="s">
        <v>518</v>
      </c>
      <c r="C388" s="5032"/>
      <c r="D388" s="5032"/>
      <c r="E388" s="5032"/>
      <c r="F388" s="5032"/>
      <c r="G388" s="5033"/>
      <c r="H388" s="1343"/>
    </row>
    <row r="389" spans="1:8" ht="13" thickTop="1">
      <c r="A389" s="1343"/>
      <c r="B389" s="1687" t="s">
        <v>466</v>
      </c>
      <c r="C389" s="376">
        <v>89.148734872886607</v>
      </c>
      <c r="D389" s="368" t="s">
        <v>296</v>
      </c>
      <c r="E389" s="1738" t="s">
        <v>467</v>
      </c>
      <c r="F389" s="375" t="s">
        <v>18</v>
      </c>
      <c r="G389" s="1739" t="s">
        <v>296</v>
      </c>
      <c r="H389" s="1343"/>
    </row>
    <row r="390" spans="1:8">
      <c r="A390" s="1343"/>
      <c r="B390" s="1687" t="s">
        <v>468</v>
      </c>
      <c r="C390" s="380" t="s">
        <v>18</v>
      </c>
      <c r="D390" s="369" t="s">
        <v>296</v>
      </c>
      <c r="E390" s="1738" t="s">
        <v>469</v>
      </c>
      <c r="F390" s="379" t="b">
        <v>0</v>
      </c>
      <c r="G390" s="1739" t="s">
        <v>388</v>
      </c>
      <c r="H390" s="1343"/>
    </row>
    <row r="391" spans="1:8" ht="13" thickBot="1">
      <c r="A391" s="1343"/>
      <c r="B391" s="1735"/>
      <c r="C391" s="1736"/>
      <c r="D391" s="1736"/>
      <c r="E391" s="1736"/>
      <c r="F391" s="1736"/>
      <c r="G391" s="1737"/>
      <c r="H391" s="1343"/>
    </row>
    <row r="392" spans="1:8" ht="13.5" thickBot="1">
      <c r="A392" s="1343"/>
      <c r="B392" s="5031" t="s">
        <v>519</v>
      </c>
      <c r="C392" s="5032"/>
      <c r="D392" s="5032"/>
      <c r="E392" s="5032"/>
      <c r="F392" s="5032"/>
      <c r="G392" s="5033"/>
      <c r="H392" s="1343"/>
    </row>
    <row r="393" spans="1:8" ht="13" thickTop="1">
      <c r="A393" s="1343"/>
      <c r="B393" s="1687" t="s">
        <v>466</v>
      </c>
      <c r="C393" s="376">
        <v>99.9419882437452</v>
      </c>
      <c r="D393" s="368" t="s">
        <v>296</v>
      </c>
      <c r="E393" s="1738" t="s">
        <v>467</v>
      </c>
      <c r="F393" s="375" t="s">
        <v>18</v>
      </c>
      <c r="G393" s="1739" t="s">
        <v>296</v>
      </c>
      <c r="H393" s="1343"/>
    </row>
    <row r="394" spans="1:8">
      <c r="A394" s="1343"/>
      <c r="B394" s="1687" t="s">
        <v>468</v>
      </c>
      <c r="C394" s="380" t="s">
        <v>18</v>
      </c>
      <c r="D394" s="369" t="s">
        <v>296</v>
      </c>
      <c r="E394" s="1738" t="s">
        <v>469</v>
      </c>
      <c r="F394" s="379" t="b">
        <v>0</v>
      </c>
      <c r="G394" s="1739" t="s">
        <v>388</v>
      </c>
      <c r="H394" s="1343"/>
    </row>
    <row r="395" spans="1:8" ht="13" thickBot="1">
      <c r="A395" s="1343"/>
      <c r="B395" s="1735"/>
      <c r="C395" s="1736"/>
      <c r="D395" s="1736"/>
      <c r="E395" s="1736"/>
      <c r="F395" s="1736"/>
      <c r="G395" s="1737"/>
      <c r="H395" s="1343"/>
    </row>
    <row r="396" spans="1:8" ht="13.5" thickBot="1">
      <c r="A396" s="1343"/>
      <c r="B396" s="5031" t="s">
        <v>520</v>
      </c>
      <c r="C396" s="5032"/>
      <c r="D396" s="5032"/>
      <c r="E396" s="5032"/>
      <c r="F396" s="5032"/>
      <c r="G396" s="5033"/>
      <c r="H396" s="1343"/>
    </row>
    <row r="397" spans="1:8" ht="13" thickTop="1">
      <c r="A397" s="1343"/>
      <c r="B397" s="1687" t="s">
        <v>466</v>
      </c>
      <c r="C397" s="376">
        <v>91.418034003674194</v>
      </c>
      <c r="D397" s="368" t="s">
        <v>296</v>
      </c>
      <c r="E397" s="1738" t="s">
        <v>467</v>
      </c>
      <c r="F397" s="375" t="s">
        <v>18</v>
      </c>
      <c r="G397" s="1739" t="s">
        <v>296</v>
      </c>
      <c r="H397" s="1343"/>
    </row>
    <row r="398" spans="1:8">
      <c r="A398" s="1343"/>
      <c r="B398" s="1687" t="s">
        <v>468</v>
      </c>
      <c r="C398" s="380" t="s">
        <v>18</v>
      </c>
      <c r="D398" s="369" t="s">
        <v>296</v>
      </c>
      <c r="E398" s="1738" t="s">
        <v>469</v>
      </c>
      <c r="F398" s="379" t="b">
        <v>0</v>
      </c>
      <c r="G398" s="1739" t="s">
        <v>388</v>
      </c>
      <c r="H398" s="1343"/>
    </row>
    <row r="399" spans="1:8">
      <c r="A399" s="1343"/>
      <c r="B399" s="1735"/>
      <c r="C399" s="1736"/>
      <c r="D399" s="1736"/>
      <c r="E399" s="1736"/>
      <c r="F399" s="1736"/>
      <c r="G399" s="1737"/>
      <c r="H399" s="1343"/>
    </row>
    <row r="400" spans="1:8">
      <c r="A400" s="1343"/>
      <c r="B400" s="5034" t="s">
        <v>521</v>
      </c>
      <c r="C400" s="5035"/>
      <c r="D400" s="5035"/>
      <c r="E400" s="5035"/>
      <c r="F400" s="5035"/>
      <c r="G400" s="5036"/>
      <c r="H400" s="1343"/>
    </row>
    <row r="401" spans="1:8">
      <c r="A401" s="1343"/>
      <c r="B401" s="5028" t="s">
        <v>1125</v>
      </c>
      <c r="C401" s="5029"/>
      <c r="D401" s="5029"/>
      <c r="E401" s="5029"/>
      <c r="F401" s="5029"/>
      <c r="G401" s="5030"/>
      <c r="H401" s="1343"/>
    </row>
    <row r="402" spans="1:8">
      <c r="A402" s="1343"/>
      <c r="B402" s="1743"/>
      <c r="C402" s="370"/>
      <c r="D402" s="370"/>
      <c r="E402" s="370"/>
      <c r="F402" s="370"/>
      <c r="G402" s="372"/>
      <c r="H402" s="1343"/>
    </row>
    <row r="403" spans="1:8" ht="13" thickBot="1">
      <c r="A403" s="1343"/>
      <c r="B403" s="1735"/>
      <c r="C403" s="1736"/>
      <c r="D403" s="1736"/>
      <c r="E403" s="1736"/>
      <c r="F403" s="1736"/>
      <c r="G403" s="1737"/>
      <c r="H403" s="1343"/>
    </row>
    <row r="404" spans="1:8" ht="13.5" thickBot="1">
      <c r="A404" s="1343"/>
      <c r="B404" s="5037" t="s">
        <v>1126</v>
      </c>
      <c r="C404" s="5038"/>
      <c r="D404" s="5038"/>
      <c r="E404" s="5038"/>
      <c r="F404" s="5038"/>
      <c r="G404" s="5039"/>
      <c r="H404" s="1343"/>
    </row>
    <row r="405" spans="1:8" ht="13.5" thickBot="1">
      <c r="A405" s="1343"/>
      <c r="B405" s="5031" t="s">
        <v>465</v>
      </c>
      <c r="C405" s="5032"/>
      <c r="D405" s="5032"/>
      <c r="E405" s="5032"/>
      <c r="F405" s="5032"/>
      <c r="G405" s="5033"/>
      <c r="H405" s="1343"/>
    </row>
    <row r="406" spans="1:8" ht="13" thickTop="1">
      <c r="A406" s="1343"/>
      <c r="B406" s="1687" t="s">
        <v>466</v>
      </c>
      <c r="C406" s="374">
        <v>1</v>
      </c>
      <c r="D406" s="368" t="s">
        <v>388</v>
      </c>
      <c r="E406" s="1738" t="s">
        <v>467</v>
      </c>
      <c r="F406" s="375" t="s">
        <v>18</v>
      </c>
      <c r="G406" s="1739" t="s">
        <v>388</v>
      </c>
      <c r="H406" s="1343"/>
    </row>
    <row r="407" spans="1:8">
      <c r="A407" s="1343"/>
      <c r="B407" s="1687" t="s">
        <v>468</v>
      </c>
      <c r="C407" s="380" t="s">
        <v>18</v>
      </c>
      <c r="D407" s="369" t="s">
        <v>388</v>
      </c>
      <c r="E407" s="1738" t="s">
        <v>469</v>
      </c>
      <c r="F407" s="379" t="b">
        <v>0</v>
      </c>
      <c r="G407" s="1739" t="s">
        <v>388</v>
      </c>
      <c r="H407" s="1343"/>
    </row>
    <row r="408" spans="1:8" ht="13" thickBot="1">
      <c r="A408" s="1343"/>
      <c r="B408" s="1735"/>
      <c r="C408" s="1736"/>
      <c r="D408" s="1736"/>
      <c r="E408" s="1736"/>
      <c r="F408" s="1736"/>
      <c r="G408" s="1737"/>
      <c r="H408" s="1343"/>
    </row>
    <row r="409" spans="1:8" ht="13.5" thickBot="1">
      <c r="A409" s="1343"/>
      <c r="B409" s="5031" t="s">
        <v>470</v>
      </c>
      <c r="C409" s="5032"/>
      <c r="D409" s="5032"/>
      <c r="E409" s="5032"/>
      <c r="F409" s="5032"/>
      <c r="G409" s="5033"/>
      <c r="H409" s="1343"/>
    </row>
    <row r="410" spans="1:8" ht="13" thickTop="1">
      <c r="A410" s="1343"/>
      <c r="B410" s="1687" t="s">
        <v>466</v>
      </c>
      <c r="C410" s="374">
        <v>24</v>
      </c>
      <c r="D410" s="368" t="s">
        <v>289</v>
      </c>
      <c r="E410" s="1738" t="s">
        <v>467</v>
      </c>
      <c r="F410" s="375" t="s">
        <v>18</v>
      </c>
      <c r="G410" s="1739" t="s">
        <v>289</v>
      </c>
      <c r="H410" s="1343"/>
    </row>
    <row r="411" spans="1:8">
      <c r="A411" s="1343"/>
      <c r="B411" s="1687" t="s">
        <v>468</v>
      </c>
      <c r="C411" s="380" t="s">
        <v>18</v>
      </c>
      <c r="D411" s="369" t="s">
        <v>289</v>
      </c>
      <c r="E411" s="1738" t="s">
        <v>469</v>
      </c>
      <c r="F411" s="379" t="b">
        <v>0</v>
      </c>
      <c r="G411" s="1739" t="s">
        <v>388</v>
      </c>
      <c r="H411" s="1343"/>
    </row>
    <row r="412" spans="1:8" ht="13" thickBot="1">
      <c r="A412" s="1343"/>
      <c r="B412" s="1735"/>
      <c r="C412" s="1736"/>
      <c r="D412" s="1736"/>
      <c r="E412" s="1736"/>
      <c r="F412" s="1736"/>
      <c r="G412" s="1737"/>
      <c r="H412" s="1343"/>
    </row>
    <row r="413" spans="1:8" ht="13.5" thickBot="1">
      <c r="A413" s="1343"/>
      <c r="B413" s="5031" t="s">
        <v>471</v>
      </c>
      <c r="C413" s="5032"/>
      <c r="D413" s="5032"/>
      <c r="E413" s="5032"/>
      <c r="F413" s="5032"/>
      <c r="G413" s="5033"/>
      <c r="H413" s="1343"/>
    </row>
    <row r="414" spans="1:8" ht="13" thickTop="1">
      <c r="A414" s="1343"/>
      <c r="B414" s="1687" t="s">
        <v>466</v>
      </c>
      <c r="C414" s="374">
        <v>15.5</v>
      </c>
      <c r="D414" s="368" t="s">
        <v>289</v>
      </c>
      <c r="E414" s="1738" t="s">
        <v>467</v>
      </c>
      <c r="F414" s="375" t="s">
        <v>18</v>
      </c>
      <c r="G414" s="1739" t="s">
        <v>289</v>
      </c>
      <c r="H414" s="1343"/>
    </row>
    <row r="415" spans="1:8">
      <c r="A415" s="1343"/>
      <c r="B415" s="1687" t="s">
        <v>468</v>
      </c>
      <c r="C415" s="380" t="s">
        <v>18</v>
      </c>
      <c r="D415" s="369" t="s">
        <v>289</v>
      </c>
      <c r="E415" s="1738" t="s">
        <v>469</v>
      </c>
      <c r="F415" s="379" t="b">
        <v>0</v>
      </c>
      <c r="G415" s="1739" t="s">
        <v>388</v>
      </c>
      <c r="H415" s="1343"/>
    </row>
    <row r="416" spans="1:8" ht="13" thickBot="1">
      <c r="A416" s="1343"/>
      <c r="B416" s="1735"/>
      <c r="C416" s="1736"/>
      <c r="D416" s="1736"/>
      <c r="E416" s="1736"/>
      <c r="F416" s="1736"/>
      <c r="G416" s="1737"/>
      <c r="H416" s="1343"/>
    </row>
    <row r="417" spans="1:8" ht="13.5" thickBot="1">
      <c r="A417" s="1343"/>
      <c r="B417" s="5031" t="s">
        <v>472</v>
      </c>
      <c r="C417" s="5032"/>
      <c r="D417" s="5032"/>
      <c r="E417" s="5032"/>
      <c r="F417" s="5032"/>
      <c r="G417" s="5033"/>
      <c r="H417" s="1343"/>
    </row>
    <row r="418" spans="1:8" ht="13" thickTop="1">
      <c r="A418" s="1343"/>
      <c r="B418" s="1687" t="s">
        <v>466</v>
      </c>
      <c r="C418" s="378">
        <v>2.9999999999999E-2</v>
      </c>
      <c r="D418" s="368" t="s">
        <v>297</v>
      </c>
      <c r="E418" s="1738" t="s">
        <v>467</v>
      </c>
      <c r="F418" s="375" t="s">
        <v>18</v>
      </c>
      <c r="G418" s="1739" t="s">
        <v>297</v>
      </c>
      <c r="H418" s="1343"/>
    </row>
    <row r="419" spans="1:8">
      <c r="A419" s="1343"/>
      <c r="B419" s="1687" t="s">
        <v>468</v>
      </c>
      <c r="C419" s="380" t="s">
        <v>18</v>
      </c>
      <c r="D419" s="369" t="s">
        <v>297</v>
      </c>
      <c r="E419" s="1738" t="s">
        <v>469</v>
      </c>
      <c r="F419" s="379" t="b">
        <v>0</v>
      </c>
      <c r="G419" s="1739" t="s">
        <v>388</v>
      </c>
      <c r="H419" s="1343"/>
    </row>
    <row r="420" spans="1:8" ht="13" thickBot="1">
      <c r="A420" s="1343"/>
      <c r="B420" s="1735"/>
      <c r="C420" s="1736"/>
      <c r="D420" s="1736"/>
      <c r="E420" s="1736"/>
      <c r="F420" s="1736"/>
      <c r="G420" s="1737"/>
      <c r="H420" s="1343"/>
    </row>
    <row r="421" spans="1:8" ht="13.5" thickBot="1">
      <c r="A421" s="1343"/>
      <c r="B421" s="5031" t="s">
        <v>473</v>
      </c>
      <c r="C421" s="5032"/>
      <c r="D421" s="5032"/>
      <c r="E421" s="5032"/>
      <c r="F421" s="5032"/>
      <c r="G421" s="5033"/>
      <c r="H421" s="1343"/>
    </row>
    <row r="422" spans="1:8" ht="13" thickTop="1">
      <c r="A422" s="1343"/>
      <c r="B422" s="1687" t="s">
        <v>466</v>
      </c>
      <c r="C422" s="378">
        <v>-2.9999999999999E-2</v>
      </c>
      <c r="D422" s="368" t="s">
        <v>297</v>
      </c>
      <c r="E422" s="1738" t="s">
        <v>467</v>
      </c>
      <c r="F422" s="375" t="s">
        <v>18</v>
      </c>
      <c r="G422" s="1739" t="s">
        <v>297</v>
      </c>
      <c r="H422" s="1343"/>
    </row>
    <row r="423" spans="1:8">
      <c r="A423" s="1343"/>
      <c r="B423" s="1687" t="s">
        <v>468</v>
      </c>
      <c r="C423" s="380" t="s">
        <v>18</v>
      </c>
      <c r="D423" s="369" t="s">
        <v>297</v>
      </c>
      <c r="E423" s="1738" t="s">
        <v>469</v>
      </c>
      <c r="F423" s="379" t="b">
        <v>0</v>
      </c>
      <c r="G423" s="1739" t="s">
        <v>388</v>
      </c>
      <c r="H423" s="1343"/>
    </row>
    <row r="424" spans="1:8" ht="13" thickBot="1">
      <c r="A424" s="1343"/>
      <c r="B424" s="1735"/>
      <c r="C424" s="1736"/>
      <c r="D424" s="1736"/>
      <c r="E424" s="1736"/>
      <c r="F424" s="1736"/>
      <c r="G424" s="1737"/>
      <c r="H424" s="1343"/>
    </row>
    <row r="425" spans="1:8" ht="13.5" thickBot="1">
      <c r="A425" s="1343"/>
      <c r="B425" s="5031" t="s">
        <v>474</v>
      </c>
      <c r="C425" s="5032"/>
      <c r="D425" s="5032"/>
      <c r="E425" s="5032"/>
      <c r="F425" s="5032"/>
      <c r="G425" s="5033"/>
      <c r="H425" s="1343"/>
    </row>
    <row r="426" spans="1:8" ht="13" thickTop="1">
      <c r="A426" s="1343"/>
      <c r="B426" s="1687" t="s">
        <v>466</v>
      </c>
      <c r="C426" s="375" t="s">
        <v>18</v>
      </c>
      <c r="D426" s="368" t="s">
        <v>289</v>
      </c>
      <c r="E426" s="1738" t="s">
        <v>467</v>
      </c>
      <c r="F426" s="375" t="s">
        <v>18</v>
      </c>
      <c r="G426" s="1739" t="s">
        <v>289</v>
      </c>
      <c r="H426" s="1343"/>
    </row>
    <row r="427" spans="1:8">
      <c r="A427" s="1343"/>
      <c r="B427" s="1687" t="s">
        <v>468</v>
      </c>
      <c r="C427" s="375" t="s">
        <v>18</v>
      </c>
      <c r="D427" s="369" t="s">
        <v>289</v>
      </c>
      <c r="E427" s="1738" t="s">
        <v>469</v>
      </c>
      <c r="F427" s="379" t="b">
        <v>0</v>
      </c>
      <c r="G427" s="1739" t="s">
        <v>388</v>
      </c>
      <c r="H427" s="1343"/>
    </row>
    <row r="428" spans="1:8" ht="13" thickBot="1">
      <c r="A428" s="1343"/>
      <c r="B428" s="1735"/>
      <c r="C428" s="1736"/>
      <c r="D428" s="1736"/>
      <c r="E428" s="1736"/>
      <c r="F428" s="1736"/>
      <c r="G428" s="1737"/>
      <c r="H428" s="1343"/>
    </row>
    <row r="429" spans="1:8" ht="13.5" thickBot="1">
      <c r="A429" s="1343"/>
      <c r="B429" s="5031" t="s">
        <v>475</v>
      </c>
      <c r="C429" s="5032"/>
      <c r="D429" s="5032"/>
      <c r="E429" s="5032"/>
      <c r="F429" s="5032"/>
      <c r="G429" s="5033"/>
      <c r="H429" s="1343"/>
    </row>
    <row r="430" spans="1:8" ht="13" thickTop="1">
      <c r="A430" s="1343"/>
      <c r="B430" s="1687" t="s">
        <v>466</v>
      </c>
      <c r="C430" s="374">
        <v>0</v>
      </c>
      <c r="D430" s="368" t="s">
        <v>297</v>
      </c>
      <c r="E430" s="1738" t="s">
        <v>467</v>
      </c>
      <c r="F430" s="375" t="s">
        <v>18</v>
      </c>
      <c r="G430" s="1739" t="s">
        <v>297</v>
      </c>
      <c r="H430" s="1343"/>
    </row>
    <row r="431" spans="1:8">
      <c r="A431" s="1343"/>
      <c r="B431" s="1687" t="s">
        <v>468</v>
      </c>
      <c r="C431" s="380" t="s">
        <v>18</v>
      </c>
      <c r="D431" s="369" t="s">
        <v>297</v>
      </c>
      <c r="E431" s="1738" t="s">
        <v>469</v>
      </c>
      <c r="F431" s="379" t="b">
        <v>0</v>
      </c>
      <c r="G431" s="1739" t="s">
        <v>388</v>
      </c>
      <c r="H431" s="1343"/>
    </row>
    <row r="432" spans="1:8" ht="13" thickBot="1">
      <c r="A432" s="1343"/>
      <c r="B432" s="1735"/>
      <c r="C432" s="1736"/>
      <c r="D432" s="1736"/>
      <c r="E432" s="1736"/>
      <c r="F432" s="1736"/>
      <c r="G432" s="1737"/>
      <c r="H432" s="1343"/>
    </row>
    <row r="433" spans="1:8" ht="13.5" thickBot="1">
      <c r="A433" s="1343"/>
      <c r="B433" s="5031" t="s">
        <v>476</v>
      </c>
      <c r="C433" s="5032"/>
      <c r="D433" s="5032"/>
      <c r="E433" s="5032"/>
      <c r="F433" s="5032"/>
      <c r="G433" s="5033"/>
      <c r="H433" s="1343"/>
    </row>
    <row r="434" spans="1:8" ht="13" thickTop="1">
      <c r="A434" s="1343"/>
      <c r="B434" s="1687" t="s">
        <v>466</v>
      </c>
      <c r="C434" s="374">
        <v>50</v>
      </c>
      <c r="D434" s="368" t="s">
        <v>296</v>
      </c>
      <c r="E434" s="1738" t="s">
        <v>467</v>
      </c>
      <c r="F434" s="375" t="s">
        <v>18</v>
      </c>
      <c r="G434" s="1739" t="s">
        <v>296</v>
      </c>
      <c r="H434" s="1343"/>
    </row>
    <row r="435" spans="1:8">
      <c r="A435" s="1343"/>
      <c r="B435" s="1687" t="s">
        <v>468</v>
      </c>
      <c r="C435" s="380" t="s">
        <v>18</v>
      </c>
      <c r="D435" s="369" t="s">
        <v>296</v>
      </c>
      <c r="E435" s="1738" t="s">
        <v>469</v>
      </c>
      <c r="F435" s="379" t="b">
        <v>0</v>
      </c>
      <c r="G435" s="1739" t="s">
        <v>388</v>
      </c>
      <c r="H435" s="1343"/>
    </row>
    <row r="436" spans="1:8" ht="13" thickBot="1">
      <c r="A436" s="1343"/>
      <c r="B436" s="1735"/>
      <c r="C436" s="1736"/>
      <c r="D436" s="1736"/>
      <c r="E436" s="1736"/>
      <c r="F436" s="1736"/>
      <c r="G436" s="1737"/>
      <c r="H436" s="1343"/>
    </row>
    <row r="437" spans="1:8" ht="13.5" thickBot="1">
      <c r="A437" s="1343"/>
      <c r="B437" s="5031" t="s">
        <v>477</v>
      </c>
      <c r="C437" s="5032"/>
      <c r="D437" s="5032"/>
      <c r="E437" s="5032"/>
      <c r="F437" s="5032"/>
      <c r="G437" s="5033"/>
      <c r="H437" s="1343"/>
    </row>
    <row r="438" spans="1:8" ht="13" thickTop="1">
      <c r="A438" s="1343"/>
      <c r="B438" s="1687" t="s">
        <v>466</v>
      </c>
      <c r="C438" s="374">
        <v>90</v>
      </c>
      <c r="D438" s="368" t="s">
        <v>296</v>
      </c>
      <c r="E438" s="1738" t="s">
        <v>467</v>
      </c>
      <c r="F438" s="375" t="s">
        <v>18</v>
      </c>
      <c r="G438" s="1739" t="s">
        <v>296</v>
      </c>
      <c r="H438" s="1343"/>
    </row>
    <row r="439" spans="1:8">
      <c r="A439" s="1343"/>
      <c r="B439" s="1687" t="s">
        <v>468</v>
      </c>
      <c r="C439" s="380" t="s">
        <v>18</v>
      </c>
      <c r="D439" s="369" t="s">
        <v>296</v>
      </c>
      <c r="E439" s="1738" t="s">
        <v>469</v>
      </c>
      <c r="F439" s="379" t="b">
        <v>0</v>
      </c>
      <c r="G439" s="1739" t="s">
        <v>388</v>
      </c>
      <c r="H439" s="1343"/>
    </row>
    <row r="440" spans="1:8" ht="13" thickBot="1">
      <c r="A440" s="1343"/>
      <c r="B440" s="1735"/>
      <c r="C440" s="1736"/>
      <c r="D440" s="1736"/>
      <c r="E440" s="1736"/>
      <c r="F440" s="1736"/>
      <c r="G440" s="1737"/>
      <c r="H440" s="1343"/>
    </row>
    <row r="441" spans="1:8" ht="13.5" thickBot="1">
      <c r="A441" s="1343"/>
      <c r="B441" s="5031" t="s">
        <v>478</v>
      </c>
      <c r="C441" s="5032"/>
      <c r="D441" s="5032"/>
      <c r="E441" s="5032"/>
      <c r="F441" s="5032"/>
      <c r="G441" s="5033"/>
      <c r="H441" s="1343"/>
    </row>
    <row r="442" spans="1:8" ht="13" thickTop="1">
      <c r="A442" s="1343"/>
      <c r="B442" s="1687" t="s">
        <v>466</v>
      </c>
      <c r="C442" s="1744">
        <v>10063.5772466858</v>
      </c>
      <c r="D442" s="368" t="s">
        <v>479</v>
      </c>
      <c r="E442" s="1738" t="s">
        <v>467</v>
      </c>
      <c r="F442" s="375" t="s">
        <v>18</v>
      </c>
      <c r="G442" s="1739" t="s">
        <v>479</v>
      </c>
      <c r="H442" s="1343"/>
    </row>
    <row r="443" spans="1:8">
      <c r="A443" s="1343"/>
      <c r="B443" s="1687" t="s">
        <v>468</v>
      </c>
      <c r="C443" s="380" t="s">
        <v>18</v>
      </c>
      <c r="D443" s="369" t="s">
        <v>479</v>
      </c>
      <c r="E443" s="1738" t="s">
        <v>469</v>
      </c>
      <c r="F443" s="379" t="b">
        <v>0</v>
      </c>
      <c r="G443" s="1739" t="s">
        <v>388</v>
      </c>
      <c r="H443" s="1343"/>
    </row>
    <row r="444" spans="1:8" ht="13" thickBot="1">
      <c r="A444" s="1343"/>
      <c r="B444" s="1735"/>
      <c r="C444" s="1736"/>
      <c r="D444" s="1736"/>
      <c r="E444" s="1736"/>
      <c r="F444" s="1736"/>
      <c r="G444" s="1737"/>
      <c r="H444" s="1343"/>
    </row>
    <row r="445" spans="1:8" ht="13.5" thickBot="1">
      <c r="A445" s="1343"/>
      <c r="B445" s="5031" t="s">
        <v>480</v>
      </c>
      <c r="C445" s="5032"/>
      <c r="D445" s="5032"/>
      <c r="E445" s="5032"/>
      <c r="F445" s="5032"/>
      <c r="G445" s="5033"/>
      <c r="H445" s="1343"/>
    </row>
    <row r="446" spans="1:8" ht="13" thickTop="1">
      <c r="A446" s="1343"/>
      <c r="B446" s="1687" t="s">
        <v>466</v>
      </c>
      <c r="C446" s="375" t="s">
        <v>18</v>
      </c>
      <c r="D446" s="368" t="s">
        <v>296</v>
      </c>
      <c r="E446" s="1738" t="s">
        <v>467</v>
      </c>
      <c r="F446" s="375" t="s">
        <v>18</v>
      </c>
      <c r="G446" s="1739" t="s">
        <v>296</v>
      </c>
      <c r="H446" s="1343"/>
    </row>
    <row r="447" spans="1:8">
      <c r="A447" s="1343"/>
      <c r="B447" s="1687" t="s">
        <v>468</v>
      </c>
      <c r="C447" s="375" t="s">
        <v>18</v>
      </c>
      <c r="D447" s="369" t="s">
        <v>296</v>
      </c>
      <c r="E447" s="1738" t="s">
        <v>469</v>
      </c>
      <c r="F447" s="379" t="b">
        <v>0</v>
      </c>
      <c r="G447" s="1739" t="s">
        <v>388</v>
      </c>
      <c r="H447" s="1343"/>
    </row>
    <row r="448" spans="1:8" ht="13" thickBot="1">
      <c r="A448" s="1343"/>
      <c r="B448" s="1735"/>
      <c r="C448" s="1736"/>
      <c r="D448" s="1736"/>
      <c r="E448" s="1736"/>
      <c r="F448" s="1736"/>
      <c r="G448" s="1737"/>
      <c r="H448" s="1343"/>
    </row>
    <row r="449" spans="1:8" ht="13.5" thickBot="1">
      <c r="A449" s="1343"/>
      <c r="B449" s="5031" t="s">
        <v>481</v>
      </c>
      <c r="C449" s="5032"/>
      <c r="D449" s="5032"/>
      <c r="E449" s="5032"/>
      <c r="F449" s="5032"/>
      <c r="G449" s="5033"/>
      <c r="H449" s="1343"/>
    </row>
    <row r="450" spans="1:8" ht="13" thickTop="1">
      <c r="A450" s="1343"/>
      <c r="B450" s="1687" t="s">
        <v>466</v>
      </c>
      <c r="C450" s="376">
        <v>75.733333329999994</v>
      </c>
      <c r="D450" s="368" t="s">
        <v>299</v>
      </c>
      <c r="E450" s="1738" t="s">
        <v>467</v>
      </c>
      <c r="F450" s="375" t="s">
        <v>18</v>
      </c>
      <c r="G450" s="1739" t="s">
        <v>299</v>
      </c>
      <c r="H450" s="1343"/>
    </row>
    <row r="451" spans="1:8">
      <c r="A451" s="1343"/>
      <c r="B451" s="1687" t="s">
        <v>468</v>
      </c>
      <c r="C451" s="380" t="s">
        <v>18</v>
      </c>
      <c r="D451" s="369" t="s">
        <v>299</v>
      </c>
      <c r="E451" s="1738" t="s">
        <v>469</v>
      </c>
      <c r="F451" s="379" t="b">
        <v>0</v>
      </c>
      <c r="G451" s="1739" t="s">
        <v>388</v>
      </c>
      <c r="H451" s="1343"/>
    </row>
    <row r="452" spans="1:8" ht="13" thickBot="1">
      <c r="A452" s="1343"/>
      <c r="B452" s="1735"/>
      <c r="C452" s="1736"/>
      <c r="D452" s="1736"/>
      <c r="E452" s="1736"/>
      <c r="F452" s="1736"/>
      <c r="G452" s="1737"/>
      <c r="H452" s="1343"/>
    </row>
    <row r="453" spans="1:8" ht="13.5" thickBot="1">
      <c r="A453" s="1343"/>
      <c r="B453" s="5031" t="s">
        <v>482</v>
      </c>
      <c r="C453" s="5032"/>
      <c r="D453" s="5032"/>
      <c r="E453" s="5032"/>
      <c r="F453" s="5032"/>
      <c r="G453" s="5033"/>
      <c r="H453" s="1343"/>
    </row>
    <row r="454" spans="1:8" ht="13" thickTop="1">
      <c r="A454" s="1343"/>
      <c r="B454" s="1687" t="s">
        <v>466</v>
      </c>
      <c r="C454" s="374">
        <v>45.9</v>
      </c>
      <c r="D454" s="368" t="s">
        <v>299</v>
      </c>
      <c r="E454" s="1738" t="s">
        <v>467</v>
      </c>
      <c r="F454" s="375" t="s">
        <v>18</v>
      </c>
      <c r="G454" s="1739" t="s">
        <v>299</v>
      </c>
      <c r="H454" s="1343"/>
    </row>
    <row r="455" spans="1:8">
      <c r="A455" s="1343"/>
      <c r="B455" s="1687" t="s">
        <v>468</v>
      </c>
      <c r="C455" s="380" t="s">
        <v>18</v>
      </c>
      <c r="D455" s="369" t="s">
        <v>299</v>
      </c>
      <c r="E455" s="1738" t="s">
        <v>469</v>
      </c>
      <c r="F455" s="379" t="b">
        <v>0</v>
      </c>
      <c r="G455" s="1739" t="s">
        <v>388</v>
      </c>
      <c r="H455" s="1343"/>
    </row>
    <row r="456" spans="1:8" ht="13" thickBot="1">
      <c r="A456" s="1343"/>
      <c r="B456" s="1735"/>
      <c r="C456" s="1736"/>
      <c r="D456" s="1736"/>
      <c r="E456" s="1736"/>
      <c r="F456" s="1736"/>
      <c r="G456" s="1737"/>
      <c r="H456" s="1343"/>
    </row>
    <row r="457" spans="1:8" ht="13.5" thickBot="1">
      <c r="A457" s="1343"/>
      <c r="B457" s="5031" t="s">
        <v>483</v>
      </c>
      <c r="C457" s="5032"/>
      <c r="D457" s="5032"/>
      <c r="E457" s="5032"/>
      <c r="F457" s="5032"/>
      <c r="G457" s="5033"/>
      <c r="H457" s="1343"/>
    </row>
    <row r="458" spans="1:8" ht="13" thickTop="1">
      <c r="A458" s="1343"/>
      <c r="B458" s="1687" t="s">
        <v>466</v>
      </c>
      <c r="C458" s="374">
        <v>90</v>
      </c>
      <c r="D458" s="368" t="s">
        <v>299</v>
      </c>
      <c r="E458" s="1738" t="s">
        <v>467</v>
      </c>
      <c r="F458" s="375" t="s">
        <v>18</v>
      </c>
      <c r="G458" s="1739" t="s">
        <v>299</v>
      </c>
      <c r="H458" s="1343"/>
    </row>
    <row r="459" spans="1:8">
      <c r="A459" s="1343"/>
      <c r="B459" s="1687" t="s">
        <v>468</v>
      </c>
      <c r="C459" s="380" t="s">
        <v>18</v>
      </c>
      <c r="D459" s="369" t="s">
        <v>299</v>
      </c>
      <c r="E459" s="1738" t="s">
        <v>469</v>
      </c>
      <c r="F459" s="379" t="b">
        <v>0</v>
      </c>
      <c r="G459" s="1739" t="s">
        <v>388</v>
      </c>
      <c r="H459" s="1343"/>
    </row>
    <row r="460" spans="1:8" ht="13" thickBot="1">
      <c r="A460" s="1343"/>
      <c r="B460" s="1735"/>
      <c r="C460" s="1736"/>
      <c r="D460" s="1736"/>
      <c r="E460" s="1736"/>
      <c r="F460" s="1736"/>
      <c r="G460" s="1737"/>
      <c r="H460" s="1343"/>
    </row>
    <row r="461" spans="1:8" ht="13.5" thickBot="1">
      <c r="A461" s="1343"/>
      <c r="B461" s="5031" t="s">
        <v>484</v>
      </c>
      <c r="C461" s="5032"/>
      <c r="D461" s="5032"/>
      <c r="E461" s="5032"/>
      <c r="F461" s="5032"/>
      <c r="G461" s="5033"/>
      <c r="H461" s="1343"/>
    </row>
    <row r="462" spans="1:8" ht="13" thickTop="1">
      <c r="A462" s="1343"/>
      <c r="B462" s="1687" t="s">
        <v>466</v>
      </c>
      <c r="C462" s="374">
        <v>12.731</v>
      </c>
      <c r="D462" s="368" t="s">
        <v>295</v>
      </c>
      <c r="E462" s="1738" t="s">
        <v>467</v>
      </c>
      <c r="F462" s="375" t="s">
        <v>18</v>
      </c>
      <c r="G462" s="1739" t="s">
        <v>295</v>
      </c>
      <c r="H462" s="1343"/>
    </row>
    <row r="463" spans="1:8">
      <c r="A463" s="1343"/>
      <c r="B463" s="1687" t="s">
        <v>468</v>
      </c>
      <c r="C463" s="380" t="s">
        <v>18</v>
      </c>
      <c r="D463" s="369" t="s">
        <v>295</v>
      </c>
      <c r="E463" s="1738" t="s">
        <v>469</v>
      </c>
      <c r="F463" s="379" t="b">
        <v>0</v>
      </c>
      <c r="G463" s="1739" t="s">
        <v>388</v>
      </c>
      <c r="H463" s="1343"/>
    </row>
    <row r="464" spans="1:8" ht="13" thickBot="1">
      <c r="A464" s="1343"/>
      <c r="B464" s="1735"/>
      <c r="C464" s="1736"/>
      <c r="D464" s="1736"/>
      <c r="E464" s="1736"/>
      <c r="F464" s="1736"/>
      <c r="G464" s="1737"/>
      <c r="H464" s="1343"/>
    </row>
    <row r="465" spans="1:8" ht="13.5" thickBot="1">
      <c r="A465" s="1343"/>
      <c r="B465" s="5031" t="s">
        <v>485</v>
      </c>
      <c r="C465" s="5032"/>
      <c r="D465" s="5032"/>
      <c r="E465" s="5032"/>
      <c r="F465" s="5032"/>
      <c r="G465" s="5033"/>
      <c r="H465" s="1343"/>
    </row>
    <row r="466" spans="1:8" ht="13" thickTop="1">
      <c r="A466" s="1343"/>
      <c r="B466" s="1687" t="s">
        <v>466</v>
      </c>
      <c r="C466" s="374">
        <v>1810</v>
      </c>
      <c r="D466" s="368" t="s">
        <v>486</v>
      </c>
      <c r="E466" s="1738" t="s">
        <v>467</v>
      </c>
      <c r="F466" s="375" t="s">
        <v>18</v>
      </c>
      <c r="G466" s="1739" t="s">
        <v>486</v>
      </c>
      <c r="H466" s="1343"/>
    </row>
    <row r="467" spans="1:8">
      <c r="A467" s="1343"/>
      <c r="B467" s="1687" t="s">
        <v>468</v>
      </c>
      <c r="C467" s="380" t="s">
        <v>18</v>
      </c>
      <c r="D467" s="369" t="s">
        <v>486</v>
      </c>
      <c r="E467" s="1738" t="s">
        <v>469</v>
      </c>
      <c r="F467" s="379" t="b">
        <v>0</v>
      </c>
      <c r="G467" s="1739" t="s">
        <v>388</v>
      </c>
      <c r="H467" s="1343"/>
    </row>
    <row r="468" spans="1:8" ht="13" thickBot="1">
      <c r="A468" s="1343"/>
      <c r="B468" s="1735"/>
      <c r="C468" s="1736"/>
      <c r="D468" s="1736"/>
      <c r="E468" s="1736"/>
      <c r="F468" s="1736"/>
      <c r="G468" s="1737"/>
      <c r="H468" s="1343"/>
    </row>
    <row r="469" spans="1:8" ht="13.5" thickBot="1">
      <c r="A469" s="1343"/>
      <c r="B469" s="5031" t="s">
        <v>487</v>
      </c>
      <c r="C469" s="5032"/>
      <c r="D469" s="5032"/>
      <c r="E469" s="5032"/>
      <c r="F469" s="5032"/>
      <c r="G469" s="5033"/>
      <c r="H469" s="1343"/>
    </row>
    <row r="470" spans="1:8" ht="13" thickTop="1">
      <c r="A470" s="1343"/>
      <c r="B470" s="1687" t="s">
        <v>466</v>
      </c>
      <c r="C470" s="377">
        <v>8.6833333330000002</v>
      </c>
      <c r="D470" s="368" t="s">
        <v>488</v>
      </c>
      <c r="E470" s="1738" t="s">
        <v>467</v>
      </c>
      <c r="F470" s="375" t="s">
        <v>18</v>
      </c>
      <c r="G470" s="1739" t="s">
        <v>488</v>
      </c>
      <c r="H470" s="1343"/>
    </row>
    <row r="471" spans="1:8">
      <c r="A471" s="1343"/>
      <c r="B471" s="1687" t="s">
        <v>468</v>
      </c>
      <c r="C471" s="380" t="s">
        <v>18</v>
      </c>
      <c r="D471" s="369" t="s">
        <v>488</v>
      </c>
      <c r="E471" s="1738" t="s">
        <v>469</v>
      </c>
      <c r="F471" s="379" t="b">
        <v>0</v>
      </c>
      <c r="G471" s="1739" t="s">
        <v>388</v>
      </c>
      <c r="H471" s="1343"/>
    </row>
    <row r="472" spans="1:8" ht="13" thickBot="1">
      <c r="A472" s="1343"/>
      <c r="B472" s="1735"/>
      <c r="C472" s="1736"/>
      <c r="D472" s="1736"/>
      <c r="E472" s="1736"/>
      <c r="F472" s="1736"/>
      <c r="G472" s="1737"/>
      <c r="H472" s="1343"/>
    </row>
    <row r="473" spans="1:8" ht="13.5" thickBot="1">
      <c r="A473" s="1343"/>
      <c r="B473" s="5031" t="s">
        <v>489</v>
      </c>
      <c r="C473" s="5032"/>
      <c r="D473" s="5032"/>
      <c r="E473" s="5032"/>
      <c r="F473" s="5032"/>
      <c r="G473" s="5033"/>
      <c r="H473" s="1343"/>
    </row>
    <row r="474" spans="1:8" ht="13" thickTop="1">
      <c r="A474" s="1343"/>
      <c r="B474" s="1687" t="s">
        <v>466</v>
      </c>
      <c r="C474" s="375" t="s">
        <v>18</v>
      </c>
      <c r="D474" s="368" t="s">
        <v>490</v>
      </c>
      <c r="E474" s="1738" t="s">
        <v>467</v>
      </c>
      <c r="F474" s="375" t="s">
        <v>18</v>
      </c>
      <c r="G474" s="1739" t="s">
        <v>490</v>
      </c>
      <c r="H474" s="1343"/>
    </row>
    <row r="475" spans="1:8">
      <c r="A475" s="1343"/>
      <c r="B475" s="1687" t="s">
        <v>468</v>
      </c>
      <c r="C475" s="375" t="s">
        <v>18</v>
      </c>
      <c r="D475" s="369" t="s">
        <v>490</v>
      </c>
      <c r="E475" s="1738" t="s">
        <v>469</v>
      </c>
      <c r="F475" s="379" t="b">
        <v>0</v>
      </c>
      <c r="G475" s="1739" t="s">
        <v>388</v>
      </c>
      <c r="H475" s="1343"/>
    </row>
    <row r="476" spans="1:8" ht="13" thickBot="1">
      <c r="A476" s="1343"/>
      <c r="B476" s="1735"/>
      <c r="C476" s="1736"/>
      <c r="D476" s="1736"/>
      <c r="E476" s="1736"/>
      <c r="F476" s="1736"/>
      <c r="G476" s="1737"/>
      <c r="H476" s="1343"/>
    </row>
    <row r="477" spans="1:8" ht="13.5" thickBot="1">
      <c r="A477" s="1343"/>
      <c r="B477" s="5031" t="s">
        <v>1122</v>
      </c>
      <c r="C477" s="5032"/>
      <c r="D477" s="5032"/>
      <c r="E477" s="5032"/>
      <c r="F477" s="5032"/>
      <c r="G477" s="5033"/>
      <c r="H477" s="1343"/>
    </row>
    <row r="478" spans="1:8" ht="13" thickTop="1">
      <c r="A478" s="1343"/>
      <c r="B478" s="1687" t="s">
        <v>466</v>
      </c>
      <c r="C478" s="376">
        <v>94.126003331999996</v>
      </c>
      <c r="D478" s="368" t="s">
        <v>299</v>
      </c>
      <c r="E478" s="1738" t="s">
        <v>467</v>
      </c>
      <c r="F478" s="375" t="s">
        <v>18</v>
      </c>
      <c r="G478" s="1739" t="s">
        <v>299</v>
      </c>
      <c r="H478" s="1343"/>
    </row>
    <row r="479" spans="1:8">
      <c r="A479" s="1343"/>
      <c r="B479" s="1687" t="s">
        <v>468</v>
      </c>
      <c r="C479" s="380" t="s">
        <v>18</v>
      </c>
      <c r="D479" s="369" t="s">
        <v>299</v>
      </c>
      <c r="E479" s="1738" t="s">
        <v>469</v>
      </c>
      <c r="F479" s="379" t="b">
        <v>0</v>
      </c>
      <c r="G479" s="1739" t="s">
        <v>388</v>
      </c>
      <c r="H479" s="1343"/>
    </row>
    <row r="480" spans="1:8" ht="13" thickBot="1">
      <c r="A480" s="1343"/>
      <c r="B480" s="1735"/>
      <c r="C480" s="1736"/>
      <c r="D480" s="1736"/>
      <c r="E480" s="1736"/>
      <c r="F480" s="1736"/>
      <c r="G480" s="1737"/>
      <c r="H480" s="1343"/>
    </row>
    <row r="481" spans="1:8" ht="13.5" thickBot="1">
      <c r="A481" s="1343"/>
      <c r="B481" s="5031" t="s">
        <v>491</v>
      </c>
      <c r="C481" s="5032"/>
      <c r="D481" s="5032"/>
      <c r="E481" s="5032"/>
      <c r="F481" s="5032"/>
      <c r="G481" s="5033"/>
      <c r="H481" s="1343"/>
    </row>
    <row r="482" spans="1:8" ht="13" thickTop="1">
      <c r="A482" s="1343"/>
      <c r="B482" s="1687" t="s">
        <v>466</v>
      </c>
      <c r="C482" s="374">
        <v>1</v>
      </c>
      <c r="D482" s="368" t="s">
        <v>296</v>
      </c>
      <c r="E482" s="1738" t="s">
        <v>467</v>
      </c>
      <c r="F482" s="375" t="s">
        <v>18</v>
      </c>
      <c r="G482" s="1739" t="s">
        <v>296</v>
      </c>
      <c r="H482" s="1343"/>
    </row>
    <row r="483" spans="1:8">
      <c r="A483" s="1343"/>
      <c r="B483" s="1687" t="s">
        <v>468</v>
      </c>
      <c r="C483" s="380" t="s">
        <v>18</v>
      </c>
      <c r="D483" s="369" t="s">
        <v>296</v>
      </c>
      <c r="E483" s="1738" t="s">
        <v>469</v>
      </c>
      <c r="F483" s="379" t="b">
        <v>0</v>
      </c>
      <c r="G483" s="1739" t="s">
        <v>388</v>
      </c>
      <c r="H483" s="1343"/>
    </row>
    <row r="484" spans="1:8" ht="13" thickBot="1">
      <c r="A484" s="1343"/>
      <c r="B484" s="1735"/>
      <c r="C484" s="1736"/>
      <c r="D484" s="1736"/>
      <c r="E484" s="1736"/>
      <c r="F484" s="1736"/>
      <c r="G484" s="1737"/>
      <c r="H484" s="1343"/>
    </row>
    <row r="485" spans="1:8" ht="13.5" thickBot="1">
      <c r="A485" s="1343"/>
      <c r="B485" s="5031" t="s">
        <v>492</v>
      </c>
      <c r="C485" s="5032"/>
      <c r="D485" s="5032"/>
      <c r="E485" s="5032"/>
      <c r="F485" s="5032"/>
      <c r="G485" s="5033"/>
      <c r="H485" s="1343"/>
    </row>
    <row r="486" spans="1:8" ht="13" thickTop="1">
      <c r="A486" s="1343"/>
      <c r="B486" s="1687" t="s">
        <v>466</v>
      </c>
      <c r="C486" s="1746">
        <v>2529.7676391237801</v>
      </c>
      <c r="D486" s="368" t="s">
        <v>388</v>
      </c>
      <c r="E486" s="1738" t="s">
        <v>467</v>
      </c>
      <c r="F486" s="375" t="s">
        <v>18</v>
      </c>
      <c r="G486" s="1739" t="s">
        <v>388</v>
      </c>
      <c r="H486" s="1343"/>
    </row>
    <row r="487" spans="1:8">
      <c r="A487" s="1343"/>
      <c r="B487" s="1687" t="s">
        <v>468</v>
      </c>
      <c r="C487" s="380" t="s">
        <v>18</v>
      </c>
      <c r="D487" s="369" t="s">
        <v>388</v>
      </c>
      <c r="E487" s="1738" t="s">
        <v>469</v>
      </c>
      <c r="F487" s="379" t="b">
        <v>0</v>
      </c>
      <c r="G487" s="1739" t="s">
        <v>388</v>
      </c>
      <c r="H487" s="1343"/>
    </row>
    <row r="488" spans="1:8" ht="13" thickBot="1">
      <c r="A488" s="1343"/>
      <c r="B488" s="1735"/>
      <c r="C488" s="1736"/>
      <c r="D488" s="1736"/>
      <c r="E488" s="1736"/>
      <c r="F488" s="1736"/>
      <c r="G488" s="1737"/>
      <c r="H488" s="1343"/>
    </row>
    <row r="489" spans="1:8" ht="13.5" thickBot="1">
      <c r="A489" s="1343"/>
      <c r="B489" s="5031" t="s">
        <v>493</v>
      </c>
      <c r="C489" s="5032"/>
      <c r="D489" s="5032"/>
      <c r="E489" s="5032"/>
      <c r="F489" s="5032"/>
      <c r="G489" s="5033"/>
      <c r="H489" s="1343"/>
    </row>
    <row r="490" spans="1:8" ht="13" thickTop="1">
      <c r="A490" s="1343"/>
      <c r="B490" s="1687" t="s">
        <v>466</v>
      </c>
      <c r="C490" s="375" t="s">
        <v>18</v>
      </c>
      <c r="D490" s="368" t="s">
        <v>388</v>
      </c>
      <c r="E490" s="1738" t="s">
        <v>467</v>
      </c>
      <c r="F490" s="375" t="s">
        <v>18</v>
      </c>
      <c r="G490" s="1739" t="s">
        <v>388</v>
      </c>
      <c r="H490" s="1343"/>
    </row>
    <row r="491" spans="1:8">
      <c r="A491" s="1343"/>
      <c r="B491" s="1687" t="s">
        <v>468</v>
      </c>
      <c r="C491" s="375" t="s">
        <v>18</v>
      </c>
      <c r="D491" s="369" t="s">
        <v>388</v>
      </c>
      <c r="E491" s="1738" t="s">
        <v>469</v>
      </c>
      <c r="F491" s="379" t="b">
        <v>0</v>
      </c>
      <c r="G491" s="1739" t="s">
        <v>388</v>
      </c>
      <c r="H491" s="1343"/>
    </row>
    <row r="492" spans="1:8" ht="13" thickBot="1">
      <c r="A492" s="1343"/>
      <c r="B492" s="1735"/>
      <c r="C492" s="1736"/>
      <c r="D492" s="1736"/>
      <c r="E492" s="1736"/>
      <c r="F492" s="1736"/>
      <c r="G492" s="1737"/>
      <c r="H492" s="1343"/>
    </row>
    <row r="493" spans="1:8" ht="13.5" thickBot="1">
      <c r="A493" s="1343"/>
      <c r="B493" s="5031" t="s">
        <v>494</v>
      </c>
      <c r="C493" s="5032"/>
      <c r="D493" s="5032"/>
      <c r="E493" s="5032"/>
      <c r="F493" s="5032"/>
      <c r="G493" s="5033"/>
      <c r="H493" s="1343"/>
    </row>
    <row r="494" spans="1:8" ht="13" thickTop="1">
      <c r="A494" s="1343"/>
      <c r="B494" s="1687" t="s">
        <v>466</v>
      </c>
      <c r="C494" s="374">
        <v>12.731</v>
      </c>
      <c r="D494" s="368" t="s">
        <v>295</v>
      </c>
      <c r="E494" s="1738" t="s">
        <v>467</v>
      </c>
      <c r="F494" s="375" t="s">
        <v>18</v>
      </c>
      <c r="G494" s="1739" t="s">
        <v>295</v>
      </c>
      <c r="H494" s="1343"/>
    </row>
    <row r="495" spans="1:8">
      <c r="A495" s="1343"/>
      <c r="B495" s="1687" t="s">
        <v>468</v>
      </c>
      <c r="C495" s="380" t="s">
        <v>18</v>
      </c>
      <c r="D495" s="369" t="s">
        <v>295</v>
      </c>
      <c r="E495" s="1738" t="s">
        <v>469</v>
      </c>
      <c r="F495" s="379" t="b">
        <v>0</v>
      </c>
      <c r="G495" s="1739" t="s">
        <v>388</v>
      </c>
      <c r="H495" s="1343"/>
    </row>
    <row r="496" spans="1:8" ht="13" thickBot="1">
      <c r="A496" s="1343"/>
      <c r="B496" s="1735"/>
      <c r="C496" s="1736"/>
      <c r="D496" s="1736"/>
      <c r="E496" s="1736"/>
      <c r="F496" s="1736"/>
      <c r="G496" s="1737"/>
      <c r="H496" s="1343"/>
    </row>
    <row r="497" spans="1:8" ht="13.5" thickBot="1">
      <c r="A497" s="1343"/>
      <c r="B497" s="5031" t="s">
        <v>495</v>
      </c>
      <c r="C497" s="5032"/>
      <c r="D497" s="5032"/>
      <c r="E497" s="5032"/>
      <c r="F497" s="5032"/>
      <c r="G497" s="5033"/>
      <c r="H497" s="1343"/>
    </row>
    <row r="498" spans="1:8" ht="13" thickTop="1">
      <c r="A498" s="1343"/>
      <c r="B498" s="1687" t="s">
        <v>466</v>
      </c>
      <c r="C498" s="1741">
        <v>0.56967293570996302</v>
      </c>
      <c r="D498" s="368" t="s">
        <v>295</v>
      </c>
      <c r="E498" s="1738" t="s">
        <v>467</v>
      </c>
      <c r="F498" s="375" t="s">
        <v>18</v>
      </c>
      <c r="G498" s="1739" t="s">
        <v>295</v>
      </c>
      <c r="H498" s="1343"/>
    </row>
    <row r="499" spans="1:8">
      <c r="A499" s="1343"/>
      <c r="B499" s="1687" t="s">
        <v>468</v>
      </c>
      <c r="C499" s="380" t="s">
        <v>18</v>
      </c>
      <c r="D499" s="369" t="s">
        <v>295</v>
      </c>
      <c r="E499" s="1738" t="s">
        <v>469</v>
      </c>
      <c r="F499" s="379" t="b">
        <v>0</v>
      </c>
      <c r="G499" s="1739" t="s">
        <v>388</v>
      </c>
      <c r="H499" s="1343"/>
    </row>
    <row r="500" spans="1:8" ht="13" thickBot="1">
      <c r="A500" s="1343"/>
      <c r="B500" s="1735"/>
      <c r="C500" s="1736"/>
      <c r="D500" s="1736"/>
      <c r="E500" s="1736"/>
      <c r="F500" s="1736"/>
      <c r="G500" s="1737"/>
      <c r="H500" s="1343"/>
    </row>
    <row r="501" spans="1:8" ht="13.5" thickBot="1">
      <c r="A501" s="1343"/>
      <c r="B501" s="5031" t="s">
        <v>496</v>
      </c>
      <c r="C501" s="5032"/>
      <c r="D501" s="5032"/>
      <c r="E501" s="5032"/>
      <c r="F501" s="5032"/>
      <c r="G501" s="5033"/>
      <c r="H501" s="1343"/>
    </row>
    <row r="502" spans="1:8" ht="13" thickTop="1">
      <c r="A502" s="1343"/>
      <c r="B502" s="1687" t="s">
        <v>466</v>
      </c>
      <c r="C502" s="1741">
        <v>0.79994541902070204</v>
      </c>
      <c r="D502" s="368" t="s">
        <v>295</v>
      </c>
      <c r="E502" s="1738" t="s">
        <v>467</v>
      </c>
      <c r="F502" s="375" t="s">
        <v>18</v>
      </c>
      <c r="G502" s="1739" t="s">
        <v>295</v>
      </c>
      <c r="H502" s="1343"/>
    </row>
    <row r="503" spans="1:8">
      <c r="A503" s="1343"/>
      <c r="B503" s="1687" t="s">
        <v>468</v>
      </c>
      <c r="C503" s="380" t="s">
        <v>18</v>
      </c>
      <c r="D503" s="369" t="s">
        <v>295</v>
      </c>
      <c r="E503" s="1738" t="s">
        <v>469</v>
      </c>
      <c r="F503" s="379" t="b">
        <v>0</v>
      </c>
      <c r="G503" s="1739" t="s">
        <v>388</v>
      </c>
      <c r="H503" s="1343"/>
    </row>
    <row r="504" spans="1:8" ht="13" thickBot="1">
      <c r="A504" s="1343"/>
      <c r="B504" s="1735"/>
      <c r="C504" s="1736"/>
      <c r="D504" s="1736"/>
      <c r="E504" s="1736"/>
      <c r="F504" s="1736"/>
      <c r="G504" s="1737"/>
      <c r="H504" s="1343"/>
    </row>
    <row r="505" spans="1:8" ht="13.5" thickBot="1">
      <c r="A505" s="1343"/>
      <c r="B505" s="5031" t="s">
        <v>497</v>
      </c>
      <c r="C505" s="5032"/>
      <c r="D505" s="5032"/>
      <c r="E505" s="5032"/>
      <c r="F505" s="5032"/>
      <c r="G505" s="5033"/>
      <c r="H505" s="1343"/>
    </row>
    <row r="506" spans="1:8" ht="13" thickTop="1">
      <c r="A506" s="1343"/>
      <c r="B506" s="1687" t="s">
        <v>466</v>
      </c>
      <c r="C506" s="1741">
        <v>0.39939343272139399</v>
      </c>
      <c r="D506" s="368" t="s">
        <v>295</v>
      </c>
      <c r="E506" s="1738" t="s">
        <v>467</v>
      </c>
      <c r="F506" s="375" t="s">
        <v>18</v>
      </c>
      <c r="G506" s="1739" t="s">
        <v>295</v>
      </c>
      <c r="H506" s="1343"/>
    </row>
    <row r="507" spans="1:8">
      <c r="A507" s="1343"/>
      <c r="B507" s="1687" t="s">
        <v>468</v>
      </c>
      <c r="C507" s="380" t="s">
        <v>18</v>
      </c>
      <c r="D507" s="369" t="s">
        <v>295</v>
      </c>
      <c r="E507" s="1738" t="s">
        <v>469</v>
      </c>
      <c r="F507" s="379" t="b">
        <v>0</v>
      </c>
      <c r="G507" s="1739" t="s">
        <v>388</v>
      </c>
      <c r="H507" s="1343"/>
    </row>
    <row r="508" spans="1:8" ht="13" thickBot="1">
      <c r="A508" s="1343"/>
      <c r="B508" s="1735"/>
      <c r="C508" s="1736"/>
      <c r="D508" s="1736"/>
      <c r="E508" s="1736"/>
      <c r="F508" s="1736"/>
      <c r="G508" s="1737"/>
      <c r="H508" s="1343"/>
    </row>
    <row r="509" spans="1:8" ht="13.5" thickBot="1">
      <c r="A509" s="1343"/>
      <c r="B509" s="5031" t="s">
        <v>498</v>
      </c>
      <c r="C509" s="5032"/>
      <c r="D509" s="5032"/>
      <c r="E509" s="5032"/>
      <c r="F509" s="5032"/>
      <c r="G509" s="5033"/>
      <c r="H509" s="1343"/>
    </row>
    <row r="510" spans="1:8" ht="13" thickTop="1">
      <c r="A510" s="1343"/>
      <c r="B510" s="1687" t="s">
        <v>466</v>
      </c>
      <c r="C510" s="376">
        <v>83.307903332600105</v>
      </c>
      <c r="D510" s="368" t="s">
        <v>299</v>
      </c>
      <c r="E510" s="1738" t="s">
        <v>467</v>
      </c>
      <c r="F510" s="375" t="s">
        <v>18</v>
      </c>
      <c r="G510" s="1739" t="s">
        <v>299</v>
      </c>
      <c r="H510" s="1343"/>
    </row>
    <row r="511" spans="1:8">
      <c r="A511" s="1343"/>
      <c r="B511" s="1687" t="s">
        <v>468</v>
      </c>
      <c r="C511" s="380" t="s">
        <v>18</v>
      </c>
      <c r="D511" s="369" t="s">
        <v>299</v>
      </c>
      <c r="E511" s="1738" t="s">
        <v>469</v>
      </c>
      <c r="F511" s="379" t="b">
        <v>0</v>
      </c>
      <c r="G511" s="1739" t="s">
        <v>388</v>
      </c>
      <c r="H511" s="1343"/>
    </row>
    <row r="512" spans="1:8" ht="13" thickBot="1">
      <c r="A512" s="1343"/>
      <c r="B512" s="1735"/>
      <c r="C512" s="1736"/>
      <c r="D512" s="1736"/>
      <c r="E512" s="1736"/>
      <c r="F512" s="1736"/>
      <c r="G512" s="1737"/>
      <c r="H512" s="1343"/>
    </row>
    <row r="513" spans="1:8" ht="13.5" thickBot="1">
      <c r="A513" s="1343"/>
      <c r="B513" s="5031" t="s">
        <v>499</v>
      </c>
      <c r="C513" s="5032"/>
      <c r="D513" s="5032"/>
      <c r="E513" s="5032"/>
      <c r="F513" s="5032"/>
      <c r="G513" s="5033"/>
      <c r="H513" s="1343"/>
    </row>
    <row r="514" spans="1:8" ht="13" thickTop="1">
      <c r="A514" s="1343"/>
      <c r="B514" s="1687" t="s">
        <v>466</v>
      </c>
      <c r="C514" s="376">
        <v>94.126003331999996</v>
      </c>
      <c r="D514" s="368" t="s">
        <v>299</v>
      </c>
      <c r="E514" s="1738" t="s">
        <v>467</v>
      </c>
      <c r="F514" s="375" t="s">
        <v>18</v>
      </c>
      <c r="G514" s="1739" t="s">
        <v>299</v>
      </c>
      <c r="H514" s="1343"/>
    </row>
    <row r="515" spans="1:8">
      <c r="A515" s="1343"/>
      <c r="B515" s="1687" t="s">
        <v>468</v>
      </c>
      <c r="C515" s="380" t="s">
        <v>18</v>
      </c>
      <c r="D515" s="369" t="s">
        <v>299</v>
      </c>
      <c r="E515" s="1738" t="s">
        <v>469</v>
      </c>
      <c r="F515" s="379" t="b">
        <v>0</v>
      </c>
      <c r="G515" s="1739" t="s">
        <v>388</v>
      </c>
      <c r="H515" s="1343"/>
    </row>
    <row r="516" spans="1:8" ht="13" thickBot="1">
      <c r="A516" s="1343"/>
      <c r="B516" s="1735"/>
      <c r="C516" s="1736"/>
      <c r="D516" s="1736"/>
      <c r="E516" s="1736"/>
      <c r="F516" s="1736"/>
      <c r="G516" s="1737"/>
      <c r="H516" s="1343"/>
    </row>
    <row r="517" spans="1:8" ht="13.5" thickBot="1">
      <c r="A517" s="1343"/>
      <c r="B517" s="5031" t="s">
        <v>500</v>
      </c>
      <c r="C517" s="5032"/>
      <c r="D517" s="5032"/>
      <c r="E517" s="5032"/>
      <c r="F517" s="5032"/>
      <c r="G517" s="5033"/>
      <c r="H517" s="1343"/>
    </row>
    <row r="518" spans="1:8" ht="13" thickTop="1">
      <c r="A518" s="1343"/>
      <c r="B518" s="1687" t="s">
        <v>466</v>
      </c>
      <c r="C518" s="378">
        <v>2.0675874835252201E-2</v>
      </c>
      <c r="D518" s="368" t="s">
        <v>155</v>
      </c>
      <c r="E518" s="1738" t="s">
        <v>467</v>
      </c>
      <c r="F518" s="375" t="s">
        <v>18</v>
      </c>
      <c r="G518" s="1739" t="s">
        <v>155</v>
      </c>
      <c r="H518" s="1343"/>
    </row>
    <row r="519" spans="1:8">
      <c r="A519" s="1343"/>
      <c r="B519" s="1687" t="s">
        <v>468</v>
      </c>
      <c r="C519" s="380" t="s">
        <v>18</v>
      </c>
      <c r="D519" s="369" t="s">
        <v>155</v>
      </c>
      <c r="E519" s="1738" t="s">
        <v>469</v>
      </c>
      <c r="F519" s="379" t="b">
        <v>0</v>
      </c>
      <c r="G519" s="1739" t="s">
        <v>388</v>
      </c>
      <c r="H519" s="1343"/>
    </row>
    <row r="520" spans="1:8" ht="13" thickBot="1">
      <c r="A520" s="1343"/>
      <c r="B520" s="1735"/>
      <c r="C520" s="1736"/>
      <c r="D520" s="1736"/>
      <c r="E520" s="1736"/>
      <c r="F520" s="1736"/>
      <c r="G520" s="1737"/>
      <c r="H520" s="1343"/>
    </row>
    <row r="521" spans="1:8" ht="13.5" thickBot="1">
      <c r="A521" s="1343"/>
      <c r="B521" s="5031" t="s">
        <v>501</v>
      </c>
      <c r="C521" s="5032"/>
      <c r="D521" s="5032"/>
      <c r="E521" s="5032"/>
      <c r="F521" s="5032"/>
      <c r="G521" s="5033"/>
      <c r="H521" s="1343"/>
    </row>
    <row r="522" spans="1:8" ht="13" thickTop="1">
      <c r="A522" s="1343"/>
      <c r="B522" s="1687" t="s">
        <v>466</v>
      </c>
      <c r="C522" s="1747">
        <v>9.9928433820323497E-3</v>
      </c>
      <c r="D522" s="368" t="s">
        <v>155</v>
      </c>
      <c r="E522" s="1738" t="s">
        <v>467</v>
      </c>
      <c r="F522" s="375" t="s">
        <v>18</v>
      </c>
      <c r="G522" s="1739" t="s">
        <v>155</v>
      </c>
      <c r="H522" s="1343"/>
    </row>
    <row r="523" spans="1:8">
      <c r="A523" s="1343"/>
      <c r="B523" s="1687" t="s">
        <v>468</v>
      </c>
      <c r="C523" s="380" t="s">
        <v>18</v>
      </c>
      <c r="D523" s="369" t="s">
        <v>155</v>
      </c>
      <c r="E523" s="1738" t="s">
        <v>469</v>
      </c>
      <c r="F523" s="379" t="b">
        <v>0</v>
      </c>
      <c r="G523" s="1739" t="s">
        <v>388</v>
      </c>
      <c r="H523" s="1343"/>
    </row>
    <row r="524" spans="1:8" ht="13" thickBot="1">
      <c r="A524" s="1343"/>
      <c r="B524" s="1735"/>
      <c r="C524" s="1736"/>
      <c r="D524" s="1736"/>
      <c r="E524" s="1736"/>
      <c r="F524" s="1736"/>
      <c r="G524" s="1737"/>
      <c r="H524" s="1343"/>
    </row>
    <row r="525" spans="1:8" ht="13.5" thickBot="1">
      <c r="A525" s="1343"/>
      <c r="B525" s="5031" t="s">
        <v>502</v>
      </c>
      <c r="C525" s="5032"/>
      <c r="D525" s="5032"/>
      <c r="E525" s="5032"/>
      <c r="F525" s="5032"/>
      <c r="G525" s="5033"/>
      <c r="H525" s="1343"/>
    </row>
    <row r="526" spans="1:8" ht="13" thickTop="1">
      <c r="A526" s="1343"/>
      <c r="B526" s="1687" t="s">
        <v>466</v>
      </c>
      <c r="C526" s="1748">
        <v>3.4509403559375299E-4</v>
      </c>
      <c r="D526" s="368" t="s">
        <v>155</v>
      </c>
      <c r="E526" s="1738" t="s">
        <v>467</v>
      </c>
      <c r="F526" s="375" t="s">
        <v>18</v>
      </c>
      <c r="G526" s="1739" t="s">
        <v>155</v>
      </c>
      <c r="H526" s="1343"/>
    </row>
    <row r="527" spans="1:8">
      <c r="A527" s="1343"/>
      <c r="B527" s="1687" t="s">
        <v>468</v>
      </c>
      <c r="C527" s="380" t="s">
        <v>18</v>
      </c>
      <c r="D527" s="369" t="s">
        <v>155</v>
      </c>
      <c r="E527" s="1738" t="s">
        <v>469</v>
      </c>
      <c r="F527" s="379" t="b">
        <v>0</v>
      </c>
      <c r="G527" s="1739" t="s">
        <v>388</v>
      </c>
      <c r="H527" s="1343"/>
    </row>
    <row r="528" spans="1:8" ht="13" thickBot="1">
      <c r="A528" s="1343"/>
      <c r="B528" s="1735"/>
      <c r="C528" s="1736"/>
      <c r="D528" s="1736"/>
      <c r="E528" s="1736"/>
      <c r="F528" s="1736"/>
      <c r="G528" s="1737"/>
      <c r="H528" s="1343"/>
    </row>
    <row r="529" spans="1:8" ht="13.5" thickBot="1">
      <c r="A529" s="1343"/>
      <c r="B529" s="5031" t="s">
        <v>503</v>
      </c>
      <c r="C529" s="5032"/>
      <c r="D529" s="5032"/>
      <c r="E529" s="5032"/>
      <c r="F529" s="5032"/>
      <c r="G529" s="5033"/>
      <c r="H529" s="1343"/>
    </row>
    <row r="530" spans="1:8" ht="13" thickTop="1">
      <c r="A530" s="1343"/>
      <c r="B530" s="1687" t="s">
        <v>466</v>
      </c>
      <c r="C530" s="374">
        <v>0</v>
      </c>
      <c r="D530" s="368" t="s">
        <v>155</v>
      </c>
      <c r="E530" s="1738" t="s">
        <v>467</v>
      </c>
      <c r="F530" s="375" t="s">
        <v>18</v>
      </c>
      <c r="G530" s="1739" t="s">
        <v>155</v>
      </c>
      <c r="H530" s="1343"/>
    </row>
    <row r="531" spans="1:8">
      <c r="A531" s="1343"/>
      <c r="B531" s="1687" t="s">
        <v>468</v>
      </c>
      <c r="C531" s="380" t="s">
        <v>18</v>
      </c>
      <c r="D531" s="369" t="s">
        <v>155</v>
      </c>
      <c r="E531" s="1738" t="s">
        <v>469</v>
      </c>
      <c r="F531" s="379" t="b">
        <v>0</v>
      </c>
      <c r="G531" s="1739" t="s">
        <v>388</v>
      </c>
      <c r="H531" s="1343"/>
    </row>
    <row r="532" spans="1:8" ht="13" thickBot="1">
      <c r="A532" s="1343"/>
      <c r="B532" s="1735"/>
      <c r="C532" s="1736"/>
      <c r="D532" s="1736"/>
      <c r="E532" s="1736"/>
      <c r="F532" s="1736"/>
      <c r="G532" s="1737"/>
      <c r="H532" s="1343"/>
    </row>
    <row r="533" spans="1:8" ht="13.5" thickBot="1">
      <c r="A533" s="1343"/>
      <c r="B533" s="5031" t="s">
        <v>504</v>
      </c>
      <c r="C533" s="5032"/>
      <c r="D533" s="5032"/>
      <c r="E533" s="5032"/>
      <c r="F533" s="5032"/>
      <c r="G533" s="5033"/>
      <c r="H533" s="1343"/>
    </row>
    <row r="534" spans="1:8" ht="13" thickTop="1">
      <c r="A534" s="1343"/>
      <c r="B534" s="1687" t="s">
        <v>466</v>
      </c>
      <c r="C534" s="374">
        <v>0</v>
      </c>
      <c r="D534" s="368" t="s">
        <v>155</v>
      </c>
      <c r="E534" s="1738" t="s">
        <v>467</v>
      </c>
      <c r="F534" s="375" t="s">
        <v>18</v>
      </c>
      <c r="G534" s="1739" t="s">
        <v>155</v>
      </c>
      <c r="H534" s="1343"/>
    </row>
    <row r="535" spans="1:8">
      <c r="A535" s="1343"/>
      <c r="B535" s="1687" t="s">
        <v>468</v>
      </c>
      <c r="C535" s="380" t="s">
        <v>18</v>
      </c>
      <c r="D535" s="369" t="s">
        <v>155</v>
      </c>
      <c r="E535" s="1738" t="s">
        <v>469</v>
      </c>
      <c r="F535" s="379" t="b">
        <v>0</v>
      </c>
      <c r="G535" s="1739" t="s">
        <v>388</v>
      </c>
      <c r="H535" s="1343"/>
    </row>
    <row r="536" spans="1:8" ht="13" thickBot="1">
      <c r="A536" s="1343"/>
      <c r="B536" s="1735"/>
      <c r="C536" s="1736"/>
      <c r="D536" s="1736"/>
      <c r="E536" s="1736"/>
      <c r="F536" s="1736"/>
      <c r="G536" s="1737"/>
      <c r="H536" s="1343"/>
    </row>
    <row r="537" spans="1:8" ht="13.5" thickBot="1">
      <c r="A537" s="1343"/>
      <c r="B537" s="5031" t="s">
        <v>505</v>
      </c>
      <c r="C537" s="5032"/>
      <c r="D537" s="5032"/>
      <c r="E537" s="5032"/>
      <c r="F537" s="5032"/>
      <c r="G537" s="5033"/>
      <c r="H537" s="1343"/>
    </row>
    <row r="538" spans="1:8" ht="13" thickTop="1">
      <c r="A538" s="1343"/>
      <c r="B538" s="1687" t="s">
        <v>466</v>
      </c>
      <c r="C538" s="374">
        <v>0</v>
      </c>
      <c r="D538" s="368" t="s">
        <v>155</v>
      </c>
      <c r="E538" s="1738" t="s">
        <v>467</v>
      </c>
      <c r="F538" s="375" t="s">
        <v>18</v>
      </c>
      <c r="G538" s="1739" t="s">
        <v>155</v>
      </c>
      <c r="H538" s="1343"/>
    </row>
    <row r="539" spans="1:8">
      <c r="A539" s="1343"/>
      <c r="B539" s="1687" t="s">
        <v>468</v>
      </c>
      <c r="C539" s="380" t="s">
        <v>18</v>
      </c>
      <c r="D539" s="369" t="s">
        <v>155</v>
      </c>
      <c r="E539" s="1738" t="s">
        <v>469</v>
      </c>
      <c r="F539" s="379" t="b">
        <v>0</v>
      </c>
      <c r="G539" s="1739" t="s">
        <v>388</v>
      </c>
      <c r="H539" s="1343"/>
    </row>
    <row r="540" spans="1:8" ht="13" thickBot="1">
      <c r="A540" s="1343"/>
      <c r="B540" s="1735"/>
      <c r="C540" s="1736"/>
      <c r="D540" s="1736"/>
      <c r="E540" s="1736"/>
      <c r="F540" s="1736"/>
      <c r="G540" s="1737"/>
      <c r="H540" s="1343"/>
    </row>
    <row r="541" spans="1:8" ht="13.5" thickBot="1">
      <c r="A541" s="1343"/>
      <c r="B541" s="5031" t="s">
        <v>506</v>
      </c>
      <c r="C541" s="5032"/>
      <c r="D541" s="5032"/>
      <c r="E541" s="5032"/>
      <c r="F541" s="5032"/>
      <c r="G541" s="5033"/>
      <c r="H541" s="1343"/>
    </row>
    <row r="542" spans="1:8" ht="13" thickTop="1">
      <c r="A542" s="1343"/>
      <c r="B542" s="1687" t="s">
        <v>466</v>
      </c>
      <c r="C542" s="374">
        <v>0</v>
      </c>
      <c r="D542" s="368" t="s">
        <v>22</v>
      </c>
      <c r="E542" s="1738" t="s">
        <v>467</v>
      </c>
      <c r="F542" s="375" t="s">
        <v>18</v>
      </c>
      <c r="G542" s="1739" t="s">
        <v>22</v>
      </c>
      <c r="H542" s="1343"/>
    </row>
    <row r="543" spans="1:8">
      <c r="A543" s="1343"/>
      <c r="B543" s="1687" t="s">
        <v>468</v>
      </c>
      <c r="C543" s="380" t="s">
        <v>18</v>
      </c>
      <c r="D543" s="369" t="s">
        <v>22</v>
      </c>
      <c r="E543" s="1738" t="s">
        <v>469</v>
      </c>
      <c r="F543" s="379" t="b">
        <v>0</v>
      </c>
      <c r="G543" s="1739" t="s">
        <v>388</v>
      </c>
      <c r="H543" s="1343"/>
    </row>
    <row r="544" spans="1:8" ht="13" thickBot="1">
      <c r="A544" s="1343"/>
      <c r="B544" s="1735"/>
      <c r="C544" s="1736"/>
      <c r="D544" s="1736"/>
      <c r="E544" s="1736"/>
      <c r="F544" s="1736"/>
      <c r="G544" s="1737"/>
      <c r="H544" s="1343"/>
    </row>
    <row r="545" spans="1:8" ht="13.5" thickBot="1">
      <c r="A545" s="1343"/>
      <c r="B545" s="5031" t="s">
        <v>507</v>
      </c>
      <c r="C545" s="5032"/>
      <c r="D545" s="5032"/>
      <c r="E545" s="5032"/>
      <c r="F545" s="5032"/>
      <c r="G545" s="5033"/>
      <c r="H545" s="1343"/>
    </row>
    <row r="546" spans="1:8" ht="13" thickTop="1">
      <c r="A546" s="1343"/>
      <c r="B546" s="1687" t="s">
        <v>466</v>
      </c>
      <c r="C546" s="375" t="s">
        <v>18</v>
      </c>
      <c r="D546" s="368" t="s">
        <v>388</v>
      </c>
      <c r="E546" s="1738" t="s">
        <v>467</v>
      </c>
      <c r="F546" s="375" t="s">
        <v>18</v>
      </c>
      <c r="G546" s="1739" t="s">
        <v>388</v>
      </c>
      <c r="H546" s="1343"/>
    </row>
    <row r="547" spans="1:8">
      <c r="A547" s="1343"/>
      <c r="B547" s="1687" t="s">
        <v>468</v>
      </c>
      <c r="C547" s="375" t="s">
        <v>18</v>
      </c>
      <c r="D547" s="369" t="s">
        <v>388</v>
      </c>
      <c r="E547" s="1738" t="s">
        <v>469</v>
      </c>
      <c r="F547" s="379" t="b">
        <v>0</v>
      </c>
      <c r="G547" s="1739" t="s">
        <v>388</v>
      </c>
      <c r="H547" s="1343"/>
    </row>
    <row r="548" spans="1:8" ht="13" thickBot="1">
      <c r="A548" s="1343"/>
      <c r="B548" s="1735"/>
      <c r="C548" s="1736"/>
      <c r="D548" s="1736"/>
      <c r="E548" s="1736"/>
      <c r="F548" s="1736"/>
      <c r="G548" s="1737"/>
      <c r="H548" s="1343"/>
    </row>
    <row r="549" spans="1:8" ht="13.5" thickBot="1">
      <c r="A549" s="1343"/>
      <c r="B549" s="5031" t="s">
        <v>508</v>
      </c>
      <c r="C549" s="5032"/>
      <c r="D549" s="5032"/>
      <c r="E549" s="5032"/>
      <c r="F549" s="5032"/>
      <c r="G549" s="5033"/>
      <c r="H549" s="1343"/>
    </row>
    <row r="550" spans="1:8" ht="13" thickTop="1">
      <c r="A550" s="1343"/>
      <c r="B550" s="1687" t="s">
        <v>466</v>
      </c>
      <c r="C550" s="377">
        <v>3.5072557294397999</v>
      </c>
      <c r="D550" s="368" t="s">
        <v>155</v>
      </c>
      <c r="E550" s="1738" t="s">
        <v>467</v>
      </c>
      <c r="F550" s="375" t="s">
        <v>18</v>
      </c>
      <c r="G550" s="1739" t="s">
        <v>155</v>
      </c>
      <c r="H550" s="1343"/>
    </row>
    <row r="551" spans="1:8">
      <c r="A551" s="1343"/>
      <c r="B551" s="1687" t="s">
        <v>468</v>
      </c>
      <c r="C551" s="380" t="s">
        <v>18</v>
      </c>
      <c r="D551" s="369" t="s">
        <v>155</v>
      </c>
      <c r="E551" s="1738" t="s">
        <v>469</v>
      </c>
      <c r="F551" s="379" t="b">
        <v>0</v>
      </c>
      <c r="G551" s="1739" t="s">
        <v>388</v>
      </c>
      <c r="H551" s="1343"/>
    </row>
    <row r="552" spans="1:8" ht="13" thickBot="1">
      <c r="A552" s="1343"/>
      <c r="B552" s="1735"/>
      <c r="C552" s="1736"/>
      <c r="D552" s="1736"/>
      <c r="E552" s="1736"/>
      <c r="F552" s="1736"/>
      <c r="G552" s="1737"/>
      <c r="H552" s="1343"/>
    </row>
    <row r="553" spans="1:8" ht="13.5" thickBot="1">
      <c r="A553" s="1343"/>
      <c r="B553" s="5031" t="s">
        <v>509</v>
      </c>
      <c r="C553" s="5032"/>
      <c r="D553" s="5032"/>
      <c r="E553" s="5032"/>
      <c r="F553" s="5032"/>
      <c r="G553" s="5033"/>
      <c r="H553" s="1343"/>
    </row>
    <row r="554" spans="1:8" ht="13" thickTop="1">
      <c r="A554" s="1343"/>
      <c r="B554" s="1687" t="s">
        <v>466</v>
      </c>
      <c r="C554" s="374">
        <v>0</v>
      </c>
      <c r="D554" s="368" t="s">
        <v>155</v>
      </c>
      <c r="E554" s="1738" t="s">
        <v>467</v>
      </c>
      <c r="F554" s="375" t="s">
        <v>18</v>
      </c>
      <c r="G554" s="1739" t="s">
        <v>155</v>
      </c>
      <c r="H554" s="1343"/>
    </row>
    <row r="555" spans="1:8">
      <c r="A555" s="1343"/>
      <c r="B555" s="1687" t="s">
        <v>468</v>
      </c>
      <c r="C555" s="380" t="s">
        <v>18</v>
      </c>
      <c r="D555" s="369" t="s">
        <v>155</v>
      </c>
      <c r="E555" s="1738" t="s">
        <v>469</v>
      </c>
      <c r="F555" s="379" t="b">
        <v>0</v>
      </c>
      <c r="G555" s="1739" t="s">
        <v>388</v>
      </c>
      <c r="H555" s="1343"/>
    </row>
    <row r="556" spans="1:8" ht="13" thickBot="1">
      <c r="A556" s="1343"/>
      <c r="B556" s="1735"/>
      <c r="C556" s="1736"/>
      <c r="D556" s="1736"/>
      <c r="E556" s="1736"/>
      <c r="F556" s="1736"/>
      <c r="G556" s="1737"/>
      <c r="H556" s="1343"/>
    </row>
    <row r="557" spans="1:8" ht="13.5" thickBot="1">
      <c r="A557" s="1343"/>
      <c r="B557" s="5031" t="s">
        <v>510</v>
      </c>
      <c r="C557" s="5032"/>
      <c r="D557" s="5032"/>
      <c r="E557" s="5032"/>
      <c r="F557" s="5032"/>
      <c r="G557" s="5033"/>
      <c r="H557" s="1343"/>
    </row>
    <row r="558" spans="1:8" ht="13" thickTop="1">
      <c r="A558" s="1343"/>
      <c r="B558" s="1687" t="s">
        <v>466</v>
      </c>
      <c r="C558" s="374">
        <v>0</v>
      </c>
      <c r="D558" s="368" t="s">
        <v>22</v>
      </c>
      <c r="E558" s="1738" t="s">
        <v>467</v>
      </c>
      <c r="F558" s="375" t="s">
        <v>18</v>
      </c>
      <c r="G558" s="1739" t="s">
        <v>22</v>
      </c>
      <c r="H558" s="1343"/>
    </row>
    <row r="559" spans="1:8">
      <c r="A559" s="1343"/>
      <c r="B559" s="1687" t="s">
        <v>468</v>
      </c>
      <c r="C559" s="380" t="s">
        <v>18</v>
      </c>
      <c r="D559" s="369" t="s">
        <v>22</v>
      </c>
      <c r="E559" s="1738" t="s">
        <v>469</v>
      </c>
      <c r="F559" s="379" t="b">
        <v>0</v>
      </c>
      <c r="G559" s="1739" t="s">
        <v>388</v>
      </c>
      <c r="H559" s="1343"/>
    </row>
    <row r="560" spans="1:8" ht="13" thickBot="1">
      <c r="A560" s="1343"/>
      <c r="B560" s="1735"/>
      <c r="C560" s="1736"/>
      <c r="D560" s="1736"/>
      <c r="E560" s="1736"/>
      <c r="F560" s="1736"/>
      <c r="G560" s="1737"/>
      <c r="H560" s="1343"/>
    </row>
    <row r="561" spans="1:8" ht="13.5" thickBot="1">
      <c r="A561" s="1343"/>
      <c r="B561" s="5031" t="s">
        <v>511</v>
      </c>
      <c r="C561" s="5032"/>
      <c r="D561" s="5032"/>
      <c r="E561" s="5032"/>
      <c r="F561" s="5032"/>
      <c r="G561" s="5033"/>
      <c r="H561" s="1343"/>
    </row>
    <row r="562" spans="1:8" ht="13" thickTop="1">
      <c r="A562" s="1343"/>
      <c r="B562" s="1687" t="s">
        <v>466</v>
      </c>
      <c r="C562" s="374">
        <v>0</v>
      </c>
      <c r="D562" s="368" t="s">
        <v>155</v>
      </c>
      <c r="E562" s="1738" t="s">
        <v>467</v>
      </c>
      <c r="F562" s="375" t="s">
        <v>18</v>
      </c>
      <c r="G562" s="1739" t="s">
        <v>155</v>
      </c>
      <c r="H562" s="1343"/>
    </row>
    <row r="563" spans="1:8">
      <c r="A563" s="1343"/>
      <c r="B563" s="1687" t="s">
        <v>468</v>
      </c>
      <c r="C563" s="380" t="s">
        <v>18</v>
      </c>
      <c r="D563" s="369" t="s">
        <v>155</v>
      </c>
      <c r="E563" s="1738" t="s">
        <v>469</v>
      </c>
      <c r="F563" s="379" t="b">
        <v>0</v>
      </c>
      <c r="G563" s="1739" t="s">
        <v>388</v>
      </c>
      <c r="H563" s="1343"/>
    </row>
    <row r="564" spans="1:8" ht="13" thickBot="1">
      <c r="A564" s="1343"/>
      <c r="B564" s="1735"/>
      <c r="C564" s="1736"/>
      <c r="D564" s="1736"/>
      <c r="E564" s="1736"/>
      <c r="F564" s="1736"/>
      <c r="G564" s="1737"/>
      <c r="H564" s="1343"/>
    </row>
    <row r="565" spans="1:8" ht="13.5" thickBot="1">
      <c r="A565" s="1343"/>
      <c r="B565" s="5031" t="s">
        <v>512</v>
      </c>
      <c r="C565" s="5032"/>
      <c r="D565" s="5032"/>
      <c r="E565" s="5032"/>
      <c r="F565" s="5032"/>
      <c r="G565" s="5033"/>
      <c r="H565" s="1343"/>
    </row>
    <row r="566" spans="1:8" ht="13" thickTop="1">
      <c r="A566" s="1343"/>
      <c r="B566" s="1687" t="s">
        <v>466</v>
      </c>
      <c r="C566" s="374">
        <v>0</v>
      </c>
      <c r="D566" s="368" t="s">
        <v>155</v>
      </c>
      <c r="E566" s="1738" t="s">
        <v>467</v>
      </c>
      <c r="F566" s="375" t="s">
        <v>18</v>
      </c>
      <c r="G566" s="1739" t="s">
        <v>155</v>
      </c>
      <c r="H566" s="1343"/>
    </row>
    <row r="567" spans="1:8">
      <c r="A567" s="1343"/>
      <c r="B567" s="1687" t="s">
        <v>468</v>
      </c>
      <c r="C567" s="380" t="s">
        <v>18</v>
      </c>
      <c r="D567" s="369" t="s">
        <v>155</v>
      </c>
      <c r="E567" s="1738" t="s">
        <v>469</v>
      </c>
      <c r="F567" s="379" t="b">
        <v>0</v>
      </c>
      <c r="G567" s="1739" t="s">
        <v>388</v>
      </c>
      <c r="H567" s="1343"/>
    </row>
    <row r="568" spans="1:8" ht="13" thickBot="1">
      <c r="A568" s="1343"/>
      <c r="B568" s="1735"/>
      <c r="C568" s="1736"/>
      <c r="D568" s="1736"/>
      <c r="E568" s="1736"/>
      <c r="F568" s="1736"/>
      <c r="G568" s="1737"/>
      <c r="H568" s="1343"/>
    </row>
    <row r="569" spans="1:8" ht="13.5" thickBot="1">
      <c r="A569" s="1343"/>
      <c r="B569" s="5031" t="s">
        <v>513</v>
      </c>
      <c r="C569" s="5032"/>
      <c r="D569" s="5032"/>
      <c r="E569" s="5032"/>
      <c r="F569" s="5032"/>
      <c r="G569" s="5033"/>
      <c r="H569" s="1343"/>
    </row>
    <row r="570" spans="1:8" ht="13" thickTop="1">
      <c r="A570" s="1343"/>
      <c r="B570" s="1687" t="s">
        <v>466</v>
      </c>
      <c r="C570" s="374">
        <v>0</v>
      </c>
      <c r="D570" s="368" t="s">
        <v>155</v>
      </c>
      <c r="E570" s="1738" t="s">
        <v>467</v>
      </c>
      <c r="F570" s="375" t="s">
        <v>18</v>
      </c>
      <c r="G570" s="1739" t="s">
        <v>155</v>
      </c>
      <c r="H570" s="1343"/>
    </row>
    <row r="571" spans="1:8">
      <c r="A571" s="1343"/>
      <c r="B571" s="1687" t="s">
        <v>468</v>
      </c>
      <c r="C571" s="380" t="s">
        <v>18</v>
      </c>
      <c r="D571" s="369" t="s">
        <v>155</v>
      </c>
      <c r="E571" s="1738" t="s">
        <v>469</v>
      </c>
      <c r="F571" s="379" t="b">
        <v>0</v>
      </c>
      <c r="G571" s="1739" t="s">
        <v>388</v>
      </c>
      <c r="H571" s="1343"/>
    </row>
    <row r="572" spans="1:8" ht="13" thickBot="1">
      <c r="A572" s="1343"/>
      <c r="B572" s="1735"/>
      <c r="C572" s="1736"/>
      <c r="D572" s="1736"/>
      <c r="E572" s="1736"/>
      <c r="F572" s="1736"/>
      <c r="G572" s="1737"/>
      <c r="H572" s="1343"/>
    </row>
    <row r="573" spans="1:8" ht="13.5" thickBot="1">
      <c r="A573" s="1343"/>
      <c r="B573" s="5031" t="s">
        <v>514</v>
      </c>
      <c r="C573" s="5032"/>
      <c r="D573" s="5032"/>
      <c r="E573" s="5032"/>
      <c r="F573" s="5032"/>
      <c r="G573" s="5033"/>
      <c r="H573" s="1343"/>
    </row>
    <row r="574" spans="1:8" ht="13" thickTop="1">
      <c r="A574" s="1343"/>
      <c r="B574" s="1687" t="s">
        <v>466</v>
      </c>
      <c r="C574" s="374">
        <v>0</v>
      </c>
      <c r="D574" s="368" t="s">
        <v>155</v>
      </c>
      <c r="E574" s="1738" t="s">
        <v>467</v>
      </c>
      <c r="F574" s="375" t="s">
        <v>18</v>
      </c>
      <c r="G574" s="1739" t="s">
        <v>155</v>
      </c>
      <c r="H574" s="1343"/>
    </row>
    <row r="575" spans="1:8">
      <c r="A575" s="1343"/>
      <c r="B575" s="1687" t="s">
        <v>468</v>
      </c>
      <c r="C575" s="380" t="s">
        <v>18</v>
      </c>
      <c r="D575" s="369" t="s">
        <v>155</v>
      </c>
      <c r="E575" s="1738" t="s">
        <v>469</v>
      </c>
      <c r="F575" s="379" t="b">
        <v>0</v>
      </c>
      <c r="G575" s="1739" t="s">
        <v>388</v>
      </c>
      <c r="H575" s="1343"/>
    </row>
    <row r="576" spans="1:8" ht="13" thickBot="1">
      <c r="A576" s="1343"/>
      <c r="B576" s="1735"/>
      <c r="C576" s="1736"/>
      <c r="D576" s="1736"/>
      <c r="E576" s="1736"/>
      <c r="F576" s="1736"/>
      <c r="G576" s="1737"/>
      <c r="H576" s="1343"/>
    </row>
    <row r="577" spans="1:8" ht="13.5" thickBot="1">
      <c r="A577" s="1343"/>
      <c r="B577" s="5031" t="s">
        <v>515</v>
      </c>
      <c r="C577" s="5032"/>
      <c r="D577" s="5032"/>
      <c r="E577" s="5032"/>
      <c r="F577" s="5032"/>
      <c r="G577" s="5033"/>
      <c r="H577" s="1343"/>
    </row>
    <row r="578" spans="1:8" ht="13" thickTop="1">
      <c r="A578" s="1343"/>
      <c r="B578" s="1687" t="s">
        <v>466</v>
      </c>
      <c r="C578" s="1740">
        <v>640835.43721696502</v>
      </c>
      <c r="D578" s="368" t="s">
        <v>155</v>
      </c>
      <c r="E578" s="1738" t="s">
        <v>467</v>
      </c>
      <c r="F578" s="375" t="s">
        <v>18</v>
      </c>
      <c r="G578" s="1739" t="s">
        <v>155</v>
      </c>
      <c r="H578" s="1343"/>
    </row>
    <row r="579" spans="1:8">
      <c r="A579" s="1343"/>
      <c r="B579" s="1687" t="s">
        <v>468</v>
      </c>
      <c r="C579" s="380" t="s">
        <v>18</v>
      </c>
      <c r="D579" s="369" t="s">
        <v>155</v>
      </c>
      <c r="E579" s="1738" t="s">
        <v>469</v>
      </c>
      <c r="F579" s="379" t="b">
        <v>0</v>
      </c>
      <c r="G579" s="1739" t="s">
        <v>388</v>
      </c>
      <c r="H579" s="1343"/>
    </row>
    <row r="580" spans="1:8" ht="13" thickBot="1">
      <c r="A580" s="1343"/>
      <c r="B580" s="1735"/>
      <c r="C580" s="1736"/>
      <c r="D580" s="1736"/>
      <c r="E580" s="1736"/>
      <c r="F580" s="1736"/>
      <c r="G580" s="1737"/>
      <c r="H580" s="1343"/>
    </row>
    <row r="581" spans="1:8" ht="13.5" thickBot="1">
      <c r="A581" s="1343"/>
      <c r="B581" s="5031" t="s">
        <v>516</v>
      </c>
      <c r="C581" s="5032"/>
      <c r="D581" s="5032"/>
      <c r="E581" s="5032"/>
      <c r="F581" s="5032"/>
      <c r="G581" s="5033"/>
      <c r="H581" s="1343"/>
    </row>
    <row r="582" spans="1:8" ht="13" thickTop="1">
      <c r="A582" s="1343"/>
      <c r="B582" s="1687" t="s">
        <v>466</v>
      </c>
      <c r="C582" s="378">
        <v>1.8150207979956E-2</v>
      </c>
      <c r="D582" s="368" t="s">
        <v>517</v>
      </c>
      <c r="E582" s="1738" t="s">
        <v>467</v>
      </c>
      <c r="F582" s="375" t="s">
        <v>18</v>
      </c>
      <c r="G582" s="1739" t="s">
        <v>517</v>
      </c>
      <c r="H582" s="1343"/>
    </row>
    <row r="583" spans="1:8">
      <c r="A583" s="1343"/>
      <c r="B583" s="1687" t="s">
        <v>468</v>
      </c>
      <c r="C583" s="380" t="s">
        <v>18</v>
      </c>
      <c r="D583" s="369" t="s">
        <v>517</v>
      </c>
      <c r="E583" s="1738" t="s">
        <v>469</v>
      </c>
      <c r="F583" s="379" t="b">
        <v>0</v>
      </c>
      <c r="G583" s="1739" t="s">
        <v>388</v>
      </c>
      <c r="H583" s="1343"/>
    </row>
    <row r="584" spans="1:8" ht="13" thickBot="1">
      <c r="A584" s="1343"/>
      <c r="B584" s="1735"/>
      <c r="C584" s="1736"/>
      <c r="D584" s="1736"/>
      <c r="E584" s="1736"/>
      <c r="F584" s="1736"/>
      <c r="G584" s="1737"/>
      <c r="H584" s="1343"/>
    </row>
    <row r="585" spans="1:8" ht="13.5" thickBot="1">
      <c r="A585" s="1343"/>
      <c r="B585" s="5031" t="s">
        <v>518</v>
      </c>
      <c r="C585" s="5032"/>
      <c r="D585" s="5032"/>
      <c r="E585" s="5032"/>
      <c r="F585" s="5032"/>
      <c r="G585" s="5033"/>
      <c r="H585" s="1343"/>
    </row>
    <row r="586" spans="1:8" ht="13" thickTop="1">
      <c r="A586" s="1343"/>
      <c r="B586" s="1687" t="s">
        <v>466</v>
      </c>
      <c r="C586" s="1741">
        <v>0.58951717326169195</v>
      </c>
      <c r="D586" s="368" t="s">
        <v>296</v>
      </c>
      <c r="E586" s="1738" t="s">
        <v>467</v>
      </c>
      <c r="F586" s="375" t="s">
        <v>18</v>
      </c>
      <c r="G586" s="1739" t="s">
        <v>296</v>
      </c>
      <c r="H586" s="1343"/>
    </row>
    <row r="587" spans="1:8">
      <c r="A587" s="1343"/>
      <c r="B587" s="1687" t="s">
        <v>468</v>
      </c>
      <c r="C587" s="380" t="s">
        <v>18</v>
      </c>
      <c r="D587" s="369" t="s">
        <v>296</v>
      </c>
      <c r="E587" s="1738" t="s">
        <v>469</v>
      </c>
      <c r="F587" s="379" t="b">
        <v>0</v>
      </c>
      <c r="G587" s="1739" t="s">
        <v>388</v>
      </c>
      <c r="H587" s="1343"/>
    </row>
    <row r="588" spans="1:8" ht="13" thickBot="1">
      <c r="A588" s="1343"/>
      <c r="B588" s="1735"/>
      <c r="C588" s="1736"/>
      <c r="D588" s="1736"/>
      <c r="E588" s="1736"/>
      <c r="F588" s="1736"/>
      <c r="G588" s="1737"/>
      <c r="H588" s="1343"/>
    </row>
    <row r="589" spans="1:8" ht="13.5" thickBot="1">
      <c r="A589" s="1343"/>
      <c r="B589" s="5031" t="s">
        <v>519</v>
      </c>
      <c r="C589" s="5032"/>
      <c r="D589" s="5032"/>
      <c r="E589" s="5032"/>
      <c r="F589" s="5032"/>
      <c r="G589" s="5033"/>
      <c r="H589" s="1343"/>
    </row>
    <row r="590" spans="1:8" ht="13" thickTop="1">
      <c r="A590" s="1343"/>
      <c r="B590" s="1687" t="s">
        <v>466</v>
      </c>
      <c r="C590" s="378">
        <v>1.1826277256235499E-2</v>
      </c>
      <c r="D590" s="368" t="s">
        <v>296</v>
      </c>
      <c r="E590" s="1738" t="s">
        <v>467</v>
      </c>
      <c r="F590" s="375" t="s">
        <v>18</v>
      </c>
      <c r="G590" s="1739" t="s">
        <v>296</v>
      </c>
      <c r="H590" s="1343"/>
    </row>
    <row r="591" spans="1:8">
      <c r="A591" s="1343"/>
      <c r="B591" s="1687" t="s">
        <v>468</v>
      </c>
      <c r="C591" s="380" t="s">
        <v>18</v>
      </c>
      <c r="D591" s="369" t="s">
        <v>296</v>
      </c>
      <c r="E591" s="1738" t="s">
        <v>469</v>
      </c>
      <c r="F591" s="379" t="b">
        <v>0</v>
      </c>
      <c r="G591" s="1739" t="s">
        <v>388</v>
      </c>
      <c r="H591" s="1343"/>
    </row>
    <row r="592" spans="1:8" ht="13" thickBot="1">
      <c r="A592" s="1343"/>
      <c r="B592" s="1735"/>
      <c r="C592" s="1736"/>
      <c r="D592" s="1736"/>
      <c r="E592" s="1736"/>
      <c r="F592" s="1736"/>
      <c r="G592" s="1737"/>
      <c r="H592" s="1343"/>
    </row>
    <row r="593" spans="1:8" ht="13.5" thickBot="1">
      <c r="A593" s="1343"/>
      <c r="B593" s="5031" t="s">
        <v>520</v>
      </c>
      <c r="C593" s="5032"/>
      <c r="D593" s="5032"/>
      <c r="E593" s="5032"/>
      <c r="F593" s="5032"/>
      <c r="G593" s="5033"/>
      <c r="H593" s="1343"/>
    </row>
    <row r="594" spans="1:8" ht="13" thickTop="1">
      <c r="A594" s="1343"/>
      <c r="B594" s="1687" t="s">
        <v>466</v>
      </c>
      <c r="C594" s="374">
        <v>0</v>
      </c>
      <c r="D594" s="368" t="s">
        <v>296</v>
      </c>
      <c r="E594" s="1738" t="s">
        <v>467</v>
      </c>
      <c r="F594" s="375" t="s">
        <v>18</v>
      </c>
      <c r="G594" s="1739" t="s">
        <v>296</v>
      </c>
      <c r="H594" s="1343"/>
    </row>
    <row r="595" spans="1:8">
      <c r="A595" s="1343"/>
      <c r="B595" s="1687" t="s">
        <v>468</v>
      </c>
      <c r="C595" s="380" t="s">
        <v>18</v>
      </c>
      <c r="D595" s="369" t="s">
        <v>296</v>
      </c>
      <c r="E595" s="1738" t="s">
        <v>469</v>
      </c>
      <c r="F595" s="379" t="b">
        <v>0</v>
      </c>
      <c r="G595" s="1739" t="s">
        <v>388</v>
      </c>
      <c r="H595" s="1343"/>
    </row>
    <row r="596" spans="1:8">
      <c r="A596" s="1343"/>
      <c r="B596" s="1735"/>
      <c r="C596" s="1736"/>
      <c r="D596" s="1736"/>
      <c r="E596" s="1736"/>
      <c r="F596" s="1736"/>
      <c r="G596" s="1737"/>
      <c r="H596" s="1343"/>
    </row>
    <row r="597" spans="1:8">
      <c r="A597" s="1343"/>
      <c r="B597" s="5034" t="s">
        <v>521</v>
      </c>
      <c r="C597" s="5035"/>
      <c r="D597" s="5035"/>
      <c r="E597" s="5035"/>
      <c r="F597" s="5035"/>
      <c r="G597" s="5036"/>
      <c r="H597" s="1343"/>
    </row>
    <row r="598" spans="1:8">
      <c r="A598" s="1343"/>
      <c r="B598" s="5028" t="s">
        <v>1127</v>
      </c>
      <c r="C598" s="5029"/>
      <c r="D598" s="5029"/>
      <c r="E598" s="5029"/>
      <c r="F598" s="5029"/>
      <c r="G598" s="5030"/>
      <c r="H598" s="1343"/>
    </row>
    <row r="599" spans="1:8">
      <c r="A599" s="1343"/>
      <c r="B599" s="1743"/>
      <c r="C599" s="370"/>
      <c r="D599" s="370"/>
      <c r="E599" s="370"/>
      <c r="F599" s="370"/>
      <c r="G599" s="372"/>
      <c r="H599" s="1343"/>
    </row>
    <row r="600" spans="1:8" ht="13" thickBot="1">
      <c r="A600" s="1343"/>
      <c r="B600" s="1735"/>
      <c r="C600" s="1736"/>
      <c r="D600" s="1736"/>
      <c r="E600" s="1736"/>
      <c r="F600" s="1736"/>
      <c r="G600" s="1737"/>
      <c r="H600" s="1343"/>
    </row>
    <row r="601" spans="1:8" ht="13.5" thickBot="1">
      <c r="A601" s="1343"/>
      <c r="B601" s="5037" t="s">
        <v>1128</v>
      </c>
      <c r="C601" s="5038"/>
      <c r="D601" s="5038"/>
      <c r="E601" s="5038"/>
      <c r="F601" s="5038"/>
      <c r="G601" s="5039"/>
      <c r="H601" s="1343"/>
    </row>
    <row r="602" spans="1:8" ht="13.5" thickBot="1">
      <c r="A602" s="1343"/>
      <c r="B602" s="5031" t="s">
        <v>465</v>
      </c>
      <c r="C602" s="5032"/>
      <c r="D602" s="5032"/>
      <c r="E602" s="5032"/>
      <c r="F602" s="5032"/>
      <c r="G602" s="5033"/>
      <c r="H602" s="1343"/>
    </row>
    <row r="603" spans="1:8" ht="13" thickTop="1">
      <c r="A603" s="1343"/>
      <c r="B603" s="1687" t="s">
        <v>466</v>
      </c>
      <c r="C603" s="374">
        <v>1</v>
      </c>
      <c r="D603" s="368" t="s">
        <v>388</v>
      </c>
      <c r="E603" s="1738" t="s">
        <v>467</v>
      </c>
      <c r="F603" s="375" t="s">
        <v>18</v>
      </c>
      <c r="G603" s="1739" t="s">
        <v>388</v>
      </c>
      <c r="H603" s="1343"/>
    </row>
    <row r="604" spans="1:8">
      <c r="A604" s="1343"/>
      <c r="B604" s="1687" t="s">
        <v>468</v>
      </c>
      <c r="C604" s="380" t="s">
        <v>18</v>
      </c>
      <c r="D604" s="369" t="s">
        <v>388</v>
      </c>
      <c r="E604" s="1738" t="s">
        <v>469</v>
      </c>
      <c r="F604" s="379" t="b">
        <v>0</v>
      </c>
      <c r="G604" s="1739" t="s">
        <v>388</v>
      </c>
      <c r="H604" s="1343"/>
    </row>
    <row r="605" spans="1:8" ht="13" thickBot="1">
      <c r="A605" s="1343"/>
      <c r="B605" s="1735"/>
      <c r="C605" s="1736"/>
      <c r="D605" s="1736"/>
      <c r="E605" s="1736"/>
      <c r="F605" s="1736"/>
      <c r="G605" s="1737"/>
      <c r="H605" s="1343"/>
    </row>
    <row r="606" spans="1:8" ht="13.5" thickBot="1">
      <c r="A606" s="1343"/>
      <c r="B606" s="5031" t="s">
        <v>470</v>
      </c>
      <c r="C606" s="5032"/>
      <c r="D606" s="5032"/>
      <c r="E606" s="5032"/>
      <c r="F606" s="5032"/>
      <c r="G606" s="5033"/>
      <c r="H606" s="1343"/>
    </row>
    <row r="607" spans="1:8" ht="13" thickTop="1">
      <c r="A607" s="1343"/>
      <c r="B607" s="1687" t="s">
        <v>466</v>
      </c>
      <c r="C607" s="374">
        <v>25</v>
      </c>
      <c r="D607" s="368" t="s">
        <v>289</v>
      </c>
      <c r="E607" s="1738" t="s">
        <v>467</v>
      </c>
      <c r="F607" s="375" t="s">
        <v>18</v>
      </c>
      <c r="G607" s="1739" t="s">
        <v>289</v>
      </c>
      <c r="H607" s="1343"/>
    </row>
    <row r="608" spans="1:8">
      <c r="A608" s="1343"/>
      <c r="B608" s="1687" t="s">
        <v>468</v>
      </c>
      <c r="C608" s="380" t="s">
        <v>18</v>
      </c>
      <c r="D608" s="369" t="s">
        <v>289</v>
      </c>
      <c r="E608" s="1738" t="s">
        <v>469</v>
      </c>
      <c r="F608" s="379" t="b">
        <v>0</v>
      </c>
      <c r="G608" s="1739" t="s">
        <v>388</v>
      </c>
      <c r="H608" s="1343"/>
    </row>
    <row r="609" spans="1:8" ht="13" thickBot="1">
      <c r="A609" s="1343"/>
      <c r="B609" s="1735"/>
      <c r="C609" s="1736"/>
      <c r="D609" s="1736"/>
      <c r="E609" s="1736"/>
      <c r="F609" s="1736"/>
      <c r="G609" s="1737"/>
      <c r="H609" s="1343"/>
    </row>
    <row r="610" spans="1:8" ht="13.5" thickBot="1">
      <c r="A610" s="1343"/>
      <c r="B610" s="5031" t="s">
        <v>471</v>
      </c>
      <c r="C610" s="5032"/>
      <c r="D610" s="5032"/>
      <c r="E610" s="5032"/>
      <c r="F610" s="5032"/>
      <c r="G610" s="5033"/>
      <c r="H610" s="1343"/>
    </row>
    <row r="611" spans="1:8" ht="13" thickTop="1">
      <c r="A611" s="1343"/>
      <c r="B611" s="1687" t="s">
        <v>466</v>
      </c>
      <c r="C611" s="374">
        <v>12</v>
      </c>
      <c r="D611" s="368" t="s">
        <v>289</v>
      </c>
      <c r="E611" s="1738" t="s">
        <v>467</v>
      </c>
      <c r="F611" s="375" t="s">
        <v>18</v>
      </c>
      <c r="G611" s="1739" t="s">
        <v>289</v>
      </c>
      <c r="H611" s="1343"/>
    </row>
    <row r="612" spans="1:8">
      <c r="A612" s="1343"/>
      <c r="B612" s="1687" t="s">
        <v>468</v>
      </c>
      <c r="C612" s="380" t="s">
        <v>18</v>
      </c>
      <c r="D612" s="369" t="s">
        <v>289</v>
      </c>
      <c r="E612" s="1738" t="s">
        <v>469</v>
      </c>
      <c r="F612" s="379" t="b">
        <v>0</v>
      </c>
      <c r="G612" s="1739" t="s">
        <v>388</v>
      </c>
      <c r="H612" s="1343"/>
    </row>
    <row r="613" spans="1:8" ht="13" thickBot="1">
      <c r="A613" s="1343"/>
      <c r="B613" s="1735"/>
      <c r="C613" s="1736"/>
      <c r="D613" s="1736"/>
      <c r="E613" s="1736"/>
      <c r="F613" s="1736"/>
      <c r="G613" s="1737"/>
      <c r="H613" s="1343"/>
    </row>
    <row r="614" spans="1:8" ht="13.5" thickBot="1">
      <c r="A614" s="1343"/>
      <c r="B614" s="5031" t="s">
        <v>472</v>
      </c>
      <c r="C614" s="5032"/>
      <c r="D614" s="5032"/>
      <c r="E614" s="5032"/>
      <c r="F614" s="5032"/>
      <c r="G614" s="5033"/>
      <c r="H614" s="1343"/>
    </row>
    <row r="615" spans="1:8" ht="13" thickTop="1">
      <c r="A615" s="1343"/>
      <c r="B615" s="1687" t="s">
        <v>466</v>
      </c>
      <c r="C615" s="378">
        <v>2.9999999999999E-2</v>
      </c>
      <c r="D615" s="368" t="s">
        <v>297</v>
      </c>
      <c r="E615" s="1738" t="s">
        <v>467</v>
      </c>
      <c r="F615" s="375" t="s">
        <v>18</v>
      </c>
      <c r="G615" s="1739" t="s">
        <v>297</v>
      </c>
      <c r="H615" s="1343"/>
    </row>
    <row r="616" spans="1:8">
      <c r="A616" s="1343"/>
      <c r="B616" s="1687" t="s">
        <v>468</v>
      </c>
      <c r="C616" s="380" t="s">
        <v>18</v>
      </c>
      <c r="D616" s="369" t="s">
        <v>297</v>
      </c>
      <c r="E616" s="1738" t="s">
        <v>469</v>
      </c>
      <c r="F616" s="379" t="b">
        <v>0</v>
      </c>
      <c r="G616" s="1739" t="s">
        <v>388</v>
      </c>
      <c r="H616" s="1343"/>
    </row>
    <row r="617" spans="1:8" ht="13" thickBot="1">
      <c r="A617" s="1343"/>
      <c r="B617" s="1735"/>
      <c r="C617" s="1736"/>
      <c r="D617" s="1736"/>
      <c r="E617" s="1736"/>
      <c r="F617" s="1736"/>
      <c r="G617" s="1737"/>
      <c r="H617" s="1343"/>
    </row>
    <row r="618" spans="1:8" ht="13.5" thickBot="1">
      <c r="A618" s="1343"/>
      <c r="B618" s="5031" t="s">
        <v>473</v>
      </c>
      <c r="C618" s="5032"/>
      <c r="D618" s="5032"/>
      <c r="E618" s="5032"/>
      <c r="F618" s="5032"/>
      <c r="G618" s="5033"/>
      <c r="H618" s="1343"/>
    </row>
    <row r="619" spans="1:8" ht="13" thickTop="1">
      <c r="A619" s="1343"/>
      <c r="B619" s="1687" t="s">
        <v>466</v>
      </c>
      <c r="C619" s="378">
        <v>-2.9999999999999E-2</v>
      </c>
      <c r="D619" s="368" t="s">
        <v>297</v>
      </c>
      <c r="E619" s="1738" t="s">
        <v>467</v>
      </c>
      <c r="F619" s="375" t="s">
        <v>18</v>
      </c>
      <c r="G619" s="1739" t="s">
        <v>297</v>
      </c>
      <c r="H619" s="1343"/>
    </row>
    <row r="620" spans="1:8">
      <c r="A620" s="1343"/>
      <c r="B620" s="1687" t="s">
        <v>468</v>
      </c>
      <c r="C620" s="380" t="s">
        <v>18</v>
      </c>
      <c r="D620" s="369" t="s">
        <v>297</v>
      </c>
      <c r="E620" s="1738" t="s">
        <v>469</v>
      </c>
      <c r="F620" s="379" t="b">
        <v>0</v>
      </c>
      <c r="G620" s="1739" t="s">
        <v>388</v>
      </c>
      <c r="H620" s="1343"/>
    </row>
    <row r="621" spans="1:8" ht="13" thickBot="1">
      <c r="A621" s="1343"/>
      <c r="B621" s="1735"/>
      <c r="C621" s="1736"/>
      <c r="D621" s="1736"/>
      <c r="E621" s="1736"/>
      <c r="F621" s="1736"/>
      <c r="G621" s="1737"/>
      <c r="H621" s="1343"/>
    </row>
    <row r="622" spans="1:8" ht="13.5" thickBot="1">
      <c r="A622" s="1343"/>
      <c r="B622" s="5031" t="s">
        <v>474</v>
      </c>
      <c r="C622" s="5032"/>
      <c r="D622" s="5032"/>
      <c r="E622" s="5032"/>
      <c r="F622" s="5032"/>
      <c r="G622" s="5033"/>
      <c r="H622" s="1343"/>
    </row>
    <row r="623" spans="1:8" ht="13" thickTop="1">
      <c r="A623" s="1343"/>
      <c r="B623" s="1687" t="s">
        <v>466</v>
      </c>
      <c r="C623" s="375" t="s">
        <v>18</v>
      </c>
      <c r="D623" s="368" t="s">
        <v>289</v>
      </c>
      <c r="E623" s="1738" t="s">
        <v>467</v>
      </c>
      <c r="F623" s="375" t="s">
        <v>18</v>
      </c>
      <c r="G623" s="1739" t="s">
        <v>289</v>
      </c>
      <c r="H623" s="1343"/>
    </row>
    <row r="624" spans="1:8">
      <c r="A624" s="1343"/>
      <c r="B624" s="1687" t="s">
        <v>468</v>
      </c>
      <c r="C624" s="375" t="s">
        <v>18</v>
      </c>
      <c r="D624" s="369" t="s">
        <v>289</v>
      </c>
      <c r="E624" s="1738" t="s">
        <v>469</v>
      </c>
      <c r="F624" s="379" t="b">
        <v>0</v>
      </c>
      <c r="G624" s="1739" t="s">
        <v>388</v>
      </c>
      <c r="H624" s="1343"/>
    </row>
    <row r="625" spans="1:8" ht="13" thickBot="1">
      <c r="A625" s="1343"/>
      <c r="B625" s="1735"/>
      <c r="C625" s="1736"/>
      <c r="D625" s="1736"/>
      <c r="E625" s="1736"/>
      <c r="F625" s="1736"/>
      <c r="G625" s="1737"/>
      <c r="H625" s="1343"/>
    </row>
    <row r="626" spans="1:8" ht="13.5" thickBot="1">
      <c r="A626" s="1343"/>
      <c r="B626" s="5031" t="s">
        <v>475</v>
      </c>
      <c r="C626" s="5032"/>
      <c r="D626" s="5032"/>
      <c r="E626" s="5032"/>
      <c r="F626" s="5032"/>
      <c r="G626" s="5033"/>
      <c r="H626" s="1343"/>
    </row>
    <row r="627" spans="1:8" ht="13" thickTop="1">
      <c r="A627" s="1343"/>
      <c r="B627" s="1687" t="s">
        <v>466</v>
      </c>
      <c r="C627" s="374">
        <v>0</v>
      </c>
      <c r="D627" s="368" t="s">
        <v>297</v>
      </c>
      <c r="E627" s="1738" t="s">
        <v>467</v>
      </c>
      <c r="F627" s="375" t="s">
        <v>18</v>
      </c>
      <c r="G627" s="1739" t="s">
        <v>297</v>
      </c>
      <c r="H627" s="1343"/>
    </row>
    <row r="628" spans="1:8">
      <c r="A628" s="1343"/>
      <c r="B628" s="1687" t="s">
        <v>468</v>
      </c>
      <c r="C628" s="380" t="s">
        <v>18</v>
      </c>
      <c r="D628" s="369" t="s">
        <v>297</v>
      </c>
      <c r="E628" s="1738" t="s">
        <v>469</v>
      </c>
      <c r="F628" s="379" t="b">
        <v>0</v>
      </c>
      <c r="G628" s="1739" t="s">
        <v>388</v>
      </c>
      <c r="H628" s="1343"/>
    </row>
    <row r="629" spans="1:8" ht="13" thickBot="1">
      <c r="A629" s="1343"/>
      <c r="B629" s="1735"/>
      <c r="C629" s="1736"/>
      <c r="D629" s="1736"/>
      <c r="E629" s="1736"/>
      <c r="F629" s="1736"/>
      <c r="G629" s="1737"/>
      <c r="H629" s="1343"/>
    </row>
    <row r="630" spans="1:8" ht="13.5" thickBot="1">
      <c r="A630" s="1343"/>
      <c r="B630" s="5031" t="s">
        <v>476</v>
      </c>
      <c r="C630" s="5032"/>
      <c r="D630" s="5032"/>
      <c r="E630" s="5032"/>
      <c r="F630" s="5032"/>
      <c r="G630" s="5033"/>
      <c r="H630" s="1343"/>
    </row>
    <row r="631" spans="1:8" ht="13" thickTop="1">
      <c r="A631" s="1343"/>
      <c r="B631" s="1687" t="s">
        <v>466</v>
      </c>
      <c r="C631" s="374">
        <v>50</v>
      </c>
      <c r="D631" s="368" t="s">
        <v>296</v>
      </c>
      <c r="E631" s="1738" t="s">
        <v>467</v>
      </c>
      <c r="F631" s="375" t="s">
        <v>18</v>
      </c>
      <c r="G631" s="1739" t="s">
        <v>296</v>
      </c>
      <c r="H631" s="1343"/>
    </row>
    <row r="632" spans="1:8">
      <c r="A632" s="1343"/>
      <c r="B632" s="1687" t="s">
        <v>468</v>
      </c>
      <c r="C632" s="380" t="s">
        <v>18</v>
      </c>
      <c r="D632" s="369" t="s">
        <v>296</v>
      </c>
      <c r="E632" s="1738" t="s">
        <v>469</v>
      </c>
      <c r="F632" s="379" t="b">
        <v>0</v>
      </c>
      <c r="G632" s="1739" t="s">
        <v>388</v>
      </c>
      <c r="H632" s="1343"/>
    </row>
    <row r="633" spans="1:8" ht="13" thickBot="1">
      <c r="A633" s="1343"/>
      <c r="B633" s="1735"/>
      <c r="C633" s="1736"/>
      <c r="D633" s="1736"/>
      <c r="E633" s="1736"/>
      <c r="F633" s="1736"/>
      <c r="G633" s="1737"/>
      <c r="H633" s="1343"/>
    </row>
    <row r="634" spans="1:8" ht="13.5" thickBot="1">
      <c r="A634" s="1343"/>
      <c r="B634" s="5031" t="s">
        <v>477</v>
      </c>
      <c r="C634" s="5032"/>
      <c r="D634" s="5032"/>
      <c r="E634" s="5032"/>
      <c r="F634" s="5032"/>
      <c r="G634" s="5033"/>
      <c r="H634" s="1343"/>
    </row>
    <row r="635" spans="1:8" ht="13" thickTop="1">
      <c r="A635" s="1343"/>
      <c r="B635" s="1687" t="s">
        <v>466</v>
      </c>
      <c r="C635" s="374">
        <v>90</v>
      </c>
      <c r="D635" s="368" t="s">
        <v>296</v>
      </c>
      <c r="E635" s="1738" t="s">
        <v>467</v>
      </c>
      <c r="F635" s="375" t="s">
        <v>18</v>
      </c>
      <c r="G635" s="1739" t="s">
        <v>296</v>
      </c>
      <c r="H635" s="1343"/>
    </row>
    <row r="636" spans="1:8">
      <c r="A636" s="1343"/>
      <c r="B636" s="1687" t="s">
        <v>468</v>
      </c>
      <c r="C636" s="380" t="s">
        <v>18</v>
      </c>
      <c r="D636" s="369" t="s">
        <v>296</v>
      </c>
      <c r="E636" s="1738" t="s">
        <v>469</v>
      </c>
      <c r="F636" s="379" t="b">
        <v>0</v>
      </c>
      <c r="G636" s="1739" t="s">
        <v>388</v>
      </c>
      <c r="H636" s="1343"/>
    </row>
    <row r="637" spans="1:8" ht="13" thickBot="1">
      <c r="A637" s="1343"/>
      <c r="B637" s="1735"/>
      <c r="C637" s="1736"/>
      <c r="D637" s="1736"/>
      <c r="E637" s="1736"/>
      <c r="F637" s="1736"/>
      <c r="G637" s="1737"/>
      <c r="H637" s="1343"/>
    </row>
    <row r="638" spans="1:8" ht="13.5" thickBot="1">
      <c r="A638" s="1343"/>
      <c r="B638" s="5031" t="s">
        <v>478</v>
      </c>
      <c r="C638" s="5032"/>
      <c r="D638" s="5032"/>
      <c r="E638" s="5032"/>
      <c r="F638" s="5032"/>
      <c r="G638" s="5033"/>
      <c r="H638" s="1343"/>
    </row>
    <row r="639" spans="1:8" ht="13" thickTop="1">
      <c r="A639" s="1343"/>
      <c r="B639" s="1687" t="s">
        <v>466</v>
      </c>
      <c r="C639" s="1746">
        <v>2088.0378879762002</v>
      </c>
      <c r="D639" s="368" t="s">
        <v>479</v>
      </c>
      <c r="E639" s="1738" t="s">
        <v>467</v>
      </c>
      <c r="F639" s="375" t="s">
        <v>18</v>
      </c>
      <c r="G639" s="1739" t="s">
        <v>479</v>
      </c>
      <c r="H639" s="1343"/>
    </row>
    <row r="640" spans="1:8">
      <c r="A640" s="1343"/>
      <c r="B640" s="1687" t="s">
        <v>468</v>
      </c>
      <c r="C640" s="380" t="s">
        <v>18</v>
      </c>
      <c r="D640" s="369" t="s">
        <v>479</v>
      </c>
      <c r="E640" s="1738" t="s">
        <v>469</v>
      </c>
      <c r="F640" s="379" t="b">
        <v>0</v>
      </c>
      <c r="G640" s="1739" t="s">
        <v>388</v>
      </c>
      <c r="H640" s="1343"/>
    </row>
    <row r="641" spans="1:8" ht="13" thickBot="1">
      <c r="A641" s="1343"/>
      <c r="B641" s="1735"/>
      <c r="C641" s="1736"/>
      <c r="D641" s="1736"/>
      <c r="E641" s="1736"/>
      <c r="F641" s="1736"/>
      <c r="G641" s="1737"/>
      <c r="H641" s="1343"/>
    </row>
    <row r="642" spans="1:8" ht="13.5" thickBot="1">
      <c r="A642" s="1343"/>
      <c r="B642" s="5031" t="s">
        <v>480</v>
      </c>
      <c r="C642" s="5032"/>
      <c r="D642" s="5032"/>
      <c r="E642" s="5032"/>
      <c r="F642" s="5032"/>
      <c r="G642" s="5033"/>
      <c r="H642" s="1343"/>
    </row>
    <row r="643" spans="1:8" ht="13" thickTop="1">
      <c r="A643" s="1343"/>
      <c r="B643" s="1687" t="s">
        <v>466</v>
      </c>
      <c r="C643" s="374">
        <v>0</v>
      </c>
      <c r="D643" s="368" t="s">
        <v>296</v>
      </c>
      <c r="E643" s="1738" t="s">
        <v>467</v>
      </c>
      <c r="F643" s="375" t="s">
        <v>18</v>
      </c>
      <c r="G643" s="1739" t="s">
        <v>296</v>
      </c>
      <c r="H643" s="1343"/>
    </row>
    <row r="644" spans="1:8">
      <c r="A644" s="1343"/>
      <c r="B644" s="1687" t="s">
        <v>468</v>
      </c>
      <c r="C644" s="380" t="s">
        <v>18</v>
      </c>
      <c r="D644" s="369" t="s">
        <v>296</v>
      </c>
      <c r="E644" s="1738" t="s">
        <v>469</v>
      </c>
      <c r="F644" s="379" t="b">
        <v>0</v>
      </c>
      <c r="G644" s="1739" t="s">
        <v>388</v>
      </c>
      <c r="H644" s="1343"/>
    </row>
    <row r="645" spans="1:8" ht="13" thickBot="1">
      <c r="A645" s="1343"/>
      <c r="B645" s="1735"/>
      <c r="C645" s="1736"/>
      <c r="D645" s="1736"/>
      <c r="E645" s="1736"/>
      <c r="F645" s="1736"/>
      <c r="G645" s="1737"/>
      <c r="H645" s="1343"/>
    </row>
    <row r="646" spans="1:8" ht="13.5" thickBot="1">
      <c r="A646" s="1343"/>
      <c r="B646" s="5031" t="s">
        <v>481</v>
      </c>
      <c r="C646" s="5032"/>
      <c r="D646" s="5032"/>
      <c r="E646" s="5032"/>
      <c r="F646" s="5032"/>
      <c r="G646" s="5033"/>
      <c r="H646" s="1343"/>
    </row>
    <row r="647" spans="1:8" ht="13" thickTop="1">
      <c r="A647" s="1343"/>
      <c r="B647" s="1687" t="s">
        <v>466</v>
      </c>
      <c r="C647" s="376">
        <v>75.733333329999994</v>
      </c>
      <c r="D647" s="368" t="s">
        <v>299</v>
      </c>
      <c r="E647" s="1738" t="s">
        <v>467</v>
      </c>
      <c r="F647" s="375" t="s">
        <v>18</v>
      </c>
      <c r="G647" s="1739" t="s">
        <v>299</v>
      </c>
      <c r="H647" s="1343"/>
    </row>
    <row r="648" spans="1:8">
      <c r="A648" s="1343"/>
      <c r="B648" s="1687" t="s">
        <v>468</v>
      </c>
      <c r="C648" s="380" t="s">
        <v>18</v>
      </c>
      <c r="D648" s="369" t="s">
        <v>299</v>
      </c>
      <c r="E648" s="1738" t="s">
        <v>469</v>
      </c>
      <c r="F648" s="379" t="b">
        <v>0</v>
      </c>
      <c r="G648" s="1739" t="s">
        <v>388</v>
      </c>
      <c r="H648" s="1343"/>
    </row>
    <row r="649" spans="1:8" ht="13" thickBot="1">
      <c r="A649" s="1343"/>
      <c r="B649" s="1735"/>
      <c r="C649" s="1736"/>
      <c r="D649" s="1736"/>
      <c r="E649" s="1736"/>
      <c r="F649" s="1736"/>
      <c r="G649" s="1737"/>
      <c r="H649" s="1343"/>
    </row>
    <row r="650" spans="1:8" ht="13.5" thickBot="1">
      <c r="A650" s="1343"/>
      <c r="B650" s="5031" t="s">
        <v>482</v>
      </c>
      <c r="C650" s="5032"/>
      <c r="D650" s="5032"/>
      <c r="E650" s="5032"/>
      <c r="F650" s="5032"/>
      <c r="G650" s="5033"/>
      <c r="H650" s="1343"/>
    </row>
    <row r="651" spans="1:8" ht="13" thickTop="1">
      <c r="A651" s="1343"/>
      <c r="B651" s="1687" t="s">
        <v>466</v>
      </c>
      <c r="C651" s="374">
        <v>45.9</v>
      </c>
      <c r="D651" s="368" t="s">
        <v>299</v>
      </c>
      <c r="E651" s="1738" t="s">
        <v>467</v>
      </c>
      <c r="F651" s="375" t="s">
        <v>18</v>
      </c>
      <c r="G651" s="1739" t="s">
        <v>299</v>
      </c>
      <c r="H651" s="1343"/>
    </row>
    <row r="652" spans="1:8">
      <c r="A652" s="1343"/>
      <c r="B652" s="1687" t="s">
        <v>468</v>
      </c>
      <c r="C652" s="380" t="s">
        <v>18</v>
      </c>
      <c r="D652" s="369" t="s">
        <v>299</v>
      </c>
      <c r="E652" s="1738" t="s">
        <v>469</v>
      </c>
      <c r="F652" s="379" t="b">
        <v>0</v>
      </c>
      <c r="G652" s="1739" t="s">
        <v>388</v>
      </c>
      <c r="H652" s="1343"/>
    </row>
    <row r="653" spans="1:8" ht="13" thickBot="1">
      <c r="A653" s="1343"/>
      <c r="B653" s="1735"/>
      <c r="C653" s="1736"/>
      <c r="D653" s="1736"/>
      <c r="E653" s="1736"/>
      <c r="F653" s="1736"/>
      <c r="G653" s="1737"/>
      <c r="H653" s="1343"/>
    </row>
    <row r="654" spans="1:8" ht="13.5" thickBot="1">
      <c r="A654" s="1343"/>
      <c r="B654" s="5031" t="s">
        <v>483</v>
      </c>
      <c r="C654" s="5032"/>
      <c r="D654" s="5032"/>
      <c r="E654" s="5032"/>
      <c r="F654" s="5032"/>
      <c r="G654" s="5033"/>
      <c r="H654" s="1343"/>
    </row>
    <row r="655" spans="1:8" ht="13" thickTop="1">
      <c r="A655" s="1343"/>
      <c r="B655" s="1687" t="s">
        <v>466</v>
      </c>
      <c r="C655" s="376">
        <v>89.981621200247304</v>
      </c>
      <c r="D655" s="368" t="s">
        <v>299</v>
      </c>
      <c r="E655" s="1738" t="s">
        <v>467</v>
      </c>
      <c r="F655" s="375" t="s">
        <v>18</v>
      </c>
      <c r="G655" s="1739" t="s">
        <v>299</v>
      </c>
      <c r="H655" s="1343"/>
    </row>
    <row r="656" spans="1:8">
      <c r="A656" s="1343"/>
      <c r="B656" s="1687" t="s">
        <v>468</v>
      </c>
      <c r="C656" s="380" t="s">
        <v>18</v>
      </c>
      <c r="D656" s="369" t="s">
        <v>299</v>
      </c>
      <c r="E656" s="1738" t="s">
        <v>469</v>
      </c>
      <c r="F656" s="379" t="b">
        <v>0</v>
      </c>
      <c r="G656" s="1739" t="s">
        <v>388</v>
      </c>
      <c r="H656" s="1343"/>
    </row>
    <row r="657" spans="1:8" ht="13" thickBot="1">
      <c r="A657" s="1343"/>
      <c r="B657" s="1735"/>
      <c r="C657" s="1736"/>
      <c r="D657" s="1736"/>
      <c r="E657" s="1736"/>
      <c r="F657" s="1736"/>
      <c r="G657" s="1737"/>
      <c r="H657" s="1343"/>
    </row>
    <row r="658" spans="1:8" ht="13.5" thickBot="1">
      <c r="A658" s="1343"/>
      <c r="B658" s="5031" t="s">
        <v>484</v>
      </c>
      <c r="C658" s="5032"/>
      <c r="D658" s="5032"/>
      <c r="E658" s="5032"/>
      <c r="F658" s="5032"/>
      <c r="G658" s="5033"/>
      <c r="H658" s="1343"/>
    </row>
    <row r="659" spans="1:8" ht="13" thickTop="1">
      <c r="A659" s="1343"/>
      <c r="B659" s="1687" t="s">
        <v>466</v>
      </c>
      <c r="C659" s="374">
        <v>12.731</v>
      </c>
      <c r="D659" s="368" t="s">
        <v>295</v>
      </c>
      <c r="E659" s="1738" t="s">
        <v>467</v>
      </c>
      <c r="F659" s="375" t="s">
        <v>18</v>
      </c>
      <c r="G659" s="1739" t="s">
        <v>295</v>
      </c>
      <c r="H659" s="1343"/>
    </row>
    <row r="660" spans="1:8">
      <c r="A660" s="1343"/>
      <c r="B660" s="1687" t="s">
        <v>468</v>
      </c>
      <c r="C660" s="380" t="s">
        <v>18</v>
      </c>
      <c r="D660" s="369" t="s">
        <v>295</v>
      </c>
      <c r="E660" s="1738" t="s">
        <v>469</v>
      </c>
      <c r="F660" s="379" t="b">
        <v>0</v>
      </c>
      <c r="G660" s="1739" t="s">
        <v>388</v>
      </c>
      <c r="H660" s="1343"/>
    </row>
    <row r="661" spans="1:8" ht="13" thickBot="1">
      <c r="A661" s="1343"/>
      <c r="B661" s="1735"/>
      <c r="C661" s="1736"/>
      <c r="D661" s="1736"/>
      <c r="E661" s="1736"/>
      <c r="F661" s="1736"/>
      <c r="G661" s="1737"/>
      <c r="H661" s="1343"/>
    </row>
    <row r="662" spans="1:8" ht="13.5" thickBot="1">
      <c r="A662" s="1343"/>
      <c r="B662" s="5031" t="s">
        <v>485</v>
      </c>
      <c r="C662" s="5032"/>
      <c r="D662" s="5032"/>
      <c r="E662" s="5032"/>
      <c r="F662" s="5032"/>
      <c r="G662" s="5033"/>
      <c r="H662" s="1343"/>
    </row>
    <row r="663" spans="1:8" ht="13" thickTop="1">
      <c r="A663" s="1343"/>
      <c r="B663" s="1687" t="s">
        <v>466</v>
      </c>
      <c r="C663" s="374">
        <v>1810</v>
      </c>
      <c r="D663" s="368" t="s">
        <v>486</v>
      </c>
      <c r="E663" s="1738" t="s">
        <v>467</v>
      </c>
      <c r="F663" s="375" t="s">
        <v>18</v>
      </c>
      <c r="G663" s="1739" t="s">
        <v>486</v>
      </c>
      <c r="H663" s="1343"/>
    </row>
    <row r="664" spans="1:8">
      <c r="A664" s="1343"/>
      <c r="B664" s="1687" t="s">
        <v>468</v>
      </c>
      <c r="C664" s="380" t="s">
        <v>18</v>
      </c>
      <c r="D664" s="369" t="s">
        <v>486</v>
      </c>
      <c r="E664" s="1738" t="s">
        <v>469</v>
      </c>
      <c r="F664" s="379" t="b">
        <v>0</v>
      </c>
      <c r="G664" s="1739" t="s">
        <v>388</v>
      </c>
      <c r="H664" s="1343"/>
    </row>
    <row r="665" spans="1:8" ht="13" thickBot="1">
      <c r="A665" s="1343"/>
      <c r="B665" s="1735"/>
      <c r="C665" s="1736"/>
      <c r="D665" s="1736"/>
      <c r="E665" s="1736"/>
      <c r="F665" s="1736"/>
      <c r="G665" s="1737"/>
      <c r="H665" s="1343"/>
    </row>
    <row r="666" spans="1:8" ht="13.5" thickBot="1">
      <c r="A666" s="1343"/>
      <c r="B666" s="5031" t="s">
        <v>487</v>
      </c>
      <c r="C666" s="5032"/>
      <c r="D666" s="5032"/>
      <c r="E666" s="5032"/>
      <c r="F666" s="5032"/>
      <c r="G666" s="5033"/>
      <c r="H666" s="1343"/>
    </row>
    <row r="667" spans="1:8" ht="13" thickTop="1">
      <c r="A667" s="1343"/>
      <c r="B667" s="1687" t="s">
        <v>466</v>
      </c>
      <c r="C667" s="377">
        <v>8.6833333330000002</v>
      </c>
      <c r="D667" s="368" t="s">
        <v>488</v>
      </c>
      <c r="E667" s="1738" t="s">
        <v>467</v>
      </c>
      <c r="F667" s="375" t="s">
        <v>18</v>
      </c>
      <c r="G667" s="1739" t="s">
        <v>488</v>
      </c>
      <c r="H667" s="1343"/>
    </row>
    <row r="668" spans="1:8">
      <c r="A668" s="1343"/>
      <c r="B668" s="1687" t="s">
        <v>468</v>
      </c>
      <c r="C668" s="380" t="s">
        <v>18</v>
      </c>
      <c r="D668" s="369" t="s">
        <v>488</v>
      </c>
      <c r="E668" s="1738" t="s">
        <v>469</v>
      </c>
      <c r="F668" s="379" t="b">
        <v>0</v>
      </c>
      <c r="G668" s="1739" t="s">
        <v>388</v>
      </c>
      <c r="H668" s="1343"/>
    </row>
    <row r="669" spans="1:8" ht="13" thickBot="1">
      <c r="A669" s="1343"/>
      <c r="B669" s="1735"/>
      <c r="C669" s="1736"/>
      <c r="D669" s="1736"/>
      <c r="E669" s="1736"/>
      <c r="F669" s="1736"/>
      <c r="G669" s="1737"/>
      <c r="H669" s="1343"/>
    </row>
    <row r="670" spans="1:8" ht="13.5" thickBot="1">
      <c r="A670" s="1343"/>
      <c r="B670" s="5031" t="s">
        <v>489</v>
      </c>
      <c r="C670" s="5032"/>
      <c r="D670" s="5032"/>
      <c r="E670" s="5032"/>
      <c r="F670" s="5032"/>
      <c r="G670" s="5033"/>
      <c r="H670" s="1343"/>
    </row>
    <row r="671" spans="1:8" ht="13" thickTop="1">
      <c r="A671" s="1343"/>
      <c r="B671" s="1687" t="s">
        <v>466</v>
      </c>
      <c r="C671" s="374">
        <v>210</v>
      </c>
      <c r="D671" s="368" t="s">
        <v>490</v>
      </c>
      <c r="E671" s="1738" t="s">
        <v>467</v>
      </c>
      <c r="F671" s="375" t="s">
        <v>18</v>
      </c>
      <c r="G671" s="1739" t="s">
        <v>490</v>
      </c>
      <c r="H671" s="1343"/>
    </row>
    <row r="672" spans="1:8">
      <c r="A672" s="1343"/>
      <c r="B672" s="1687" t="s">
        <v>468</v>
      </c>
      <c r="C672" s="380" t="s">
        <v>18</v>
      </c>
      <c r="D672" s="369" t="s">
        <v>490</v>
      </c>
      <c r="E672" s="1738" t="s">
        <v>469</v>
      </c>
      <c r="F672" s="379" t="b">
        <v>0</v>
      </c>
      <c r="G672" s="1739" t="s">
        <v>388</v>
      </c>
      <c r="H672" s="1343"/>
    </row>
    <row r="673" spans="1:8" ht="13" thickBot="1">
      <c r="A673" s="1343"/>
      <c r="B673" s="1735"/>
      <c r="C673" s="1736"/>
      <c r="D673" s="1736"/>
      <c r="E673" s="1736"/>
      <c r="F673" s="1736"/>
      <c r="G673" s="1737"/>
      <c r="H673" s="1343"/>
    </row>
    <row r="674" spans="1:8" ht="13.5" thickBot="1">
      <c r="A674" s="1343"/>
      <c r="B674" s="5031" t="s">
        <v>1122</v>
      </c>
      <c r="C674" s="5032"/>
      <c r="D674" s="5032"/>
      <c r="E674" s="5032"/>
      <c r="F674" s="5032"/>
      <c r="G674" s="5033"/>
      <c r="H674" s="1343"/>
    </row>
    <row r="675" spans="1:8" ht="13" thickTop="1">
      <c r="A675" s="1343"/>
      <c r="B675" s="1687" t="s">
        <v>466</v>
      </c>
      <c r="C675" s="376">
        <v>94.115711204138506</v>
      </c>
      <c r="D675" s="368" t="s">
        <v>299</v>
      </c>
      <c r="E675" s="1738" t="s">
        <v>467</v>
      </c>
      <c r="F675" s="375" t="s">
        <v>18</v>
      </c>
      <c r="G675" s="1739" t="s">
        <v>299</v>
      </c>
      <c r="H675" s="1343"/>
    </row>
    <row r="676" spans="1:8">
      <c r="A676" s="1343"/>
      <c r="B676" s="1687" t="s">
        <v>468</v>
      </c>
      <c r="C676" s="380" t="s">
        <v>18</v>
      </c>
      <c r="D676" s="369" t="s">
        <v>299</v>
      </c>
      <c r="E676" s="1738" t="s">
        <v>469</v>
      </c>
      <c r="F676" s="379" t="b">
        <v>0</v>
      </c>
      <c r="G676" s="1739" t="s">
        <v>388</v>
      </c>
      <c r="H676" s="1343"/>
    </row>
    <row r="677" spans="1:8" ht="13" thickBot="1">
      <c r="A677" s="1343"/>
      <c r="B677" s="1735"/>
      <c r="C677" s="1736"/>
      <c r="D677" s="1736"/>
      <c r="E677" s="1736"/>
      <c r="F677" s="1736"/>
      <c r="G677" s="1737"/>
      <c r="H677" s="1343"/>
    </row>
    <row r="678" spans="1:8" ht="13.5" thickBot="1">
      <c r="A678" s="1343"/>
      <c r="B678" s="5031" t="s">
        <v>491</v>
      </c>
      <c r="C678" s="5032"/>
      <c r="D678" s="5032"/>
      <c r="E678" s="5032"/>
      <c r="F678" s="5032"/>
      <c r="G678" s="5033"/>
      <c r="H678" s="1343"/>
    </row>
    <row r="679" spans="1:8" ht="13" thickTop="1">
      <c r="A679" s="1343"/>
      <c r="B679" s="1687" t="s">
        <v>466</v>
      </c>
      <c r="C679" s="374">
        <v>1</v>
      </c>
      <c r="D679" s="368" t="s">
        <v>296</v>
      </c>
      <c r="E679" s="1738" t="s">
        <v>467</v>
      </c>
      <c r="F679" s="375" t="s">
        <v>18</v>
      </c>
      <c r="G679" s="1739" t="s">
        <v>296</v>
      </c>
      <c r="H679" s="1343"/>
    </row>
    <row r="680" spans="1:8">
      <c r="A680" s="1343"/>
      <c r="B680" s="1687" t="s">
        <v>468</v>
      </c>
      <c r="C680" s="380" t="s">
        <v>18</v>
      </c>
      <c r="D680" s="369" t="s">
        <v>296</v>
      </c>
      <c r="E680" s="1738" t="s">
        <v>469</v>
      </c>
      <c r="F680" s="379" t="b">
        <v>0</v>
      </c>
      <c r="G680" s="1739" t="s">
        <v>388</v>
      </c>
      <c r="H680" s="1343"/>
    </row>
    <row r="681" spans="1:8" ht="13" thickBot="1">
      <c r="A681" s="1343"/>
      <c r="B681" s="1735"/>
      <c r="C681" s="1736"/>
      <c r="D681" s="1736"/>
      <c r="E681" s="1736"/>
      <c r="F681" s="1736"/>
      <c r="G681" s="1737"/>
      <c r="H681" s="1343"/>
    </row>
    <row r="682" spans="1:8" ht="13.5" thickBot="1">
      <c r="A682" s="1343"/>
      <c r="B682" s="5031" t="s">
        <v>492</v>
      </c>
      <c r="C682" s="5032"/>
      <c r="D682" s="5032"/>
      <c r="E682" s="5032"/>
      <c r="F682" s="5032"/>
      <c r="G682" s="5033"/>
      <c r="H682" s="1343"/>
    </row>
    <row r="683" spans="1:8" ht="13" thickTop="1">
      <c r="A683" s="1343"/>
      <c r="B683" s="1687" t="s">
        <v>466</v>
      </c>
      <c r="C683" s="1746">
        <v>1681.3911453093201</v>
      </c>
      <c r="D683" s="368" t="s">
        <v>388</v>
      </c>
      <c r="E683" s="1738" t="s">
        <v>467</v>
      </c>
      <c r="F683" s="375" t="s">
        <v>18</v>
      </c>
      <c r="G683" s="1739" t="s">
        <v>388</v>
      </c>
      <c r="H683" s="1343"/>
    </row>
    <row r="684" spans="1:8">
      <c r="A684" s="1343"/>
      <c r="B684" s="1687" t="s">
        <v>468</v>
      </c>
      <c r="C684" s="380" t="s">
        <v>18</v>
      </c>
      <c r="D684" s="369" t="s">
        <v>388</v>
      </c>
      <c r="E684" s="1738" t="s">
        <v>469</v>
      </c>
      <c r="F684" s="379" t="b">
        <v>0</v>
      </c>
      <c r="G684" s="1739" t="s">
        <v>388</v>
      </c>
      <c r="H684" s="1343"/>
    </row>
    <row r="685" spans="1:8" ht="13" thickBot="1">
      <c r="A685" s="1343"/>
      <c r="B685" s="1735"/>
      <c r="C685" s="1736"/>
      <c r="D685" s="1736"/>
      <c r="E685" s="1736"/>
      <c r="F685" s="1736"/>
      <c r="G685" s="1737"/>
      <c r="H685" s="1343"/>
    </row>
    <row r="686" spans="1:8" ht="13.5" thickBot="1">
      <c r="A686" s="1343"/>
      <c r="B686" s="5031" t="s">
        <v>493</v>
      </c>
      <c r="C686" s="5032"/>
      <c r="D686" s="5032"/>
      <c r="E686" s="5032"/>
      <c r="F686" s="5032"/>
      <c r="G686" s="5033"/>
      <c r="H686" s="1343"/>
    </row>
    <row r="687" spans="1:8" ht="13" thickTop="1">
      <c r="A687" s="1343"/>
      <c r="B687" s="1687" t="s">
        <v>466</v>
      </c>
      <c r="C687" s="374">
        <v>0.6</v>
      </c>
      <c r="D687" s="368" t="s">
        <v>388</v>
      </c>
      <c r="E687" s="1738" t="s">
        <v>467</v>
      </c>
      <c r="F687" s="375" t="s">
        <v>18</v>
      </c>
      <c r="G687" s="1739" t="s">
        <v>388</v>
      </c>
      <c r="H687" s="1343"/>
    </row>
    <row r="688" spans="1:8">
      <c r="A688" s="1343"/>
      <c r="B688" s="1687" t="s">
        <v>468</v>
      </c>
      <c r="C688" s="380" t="s">
        <v>18</v>
      </c>
      <c r="D688" s="369" t="s">
        <v>388</v>
      </c>
      <c r="E688" s="1738" t="s">
        <v>469</v>
      </c>
      <c r="F688" s="379" t="b">
        <v>0</v>
      </c>
      <c r="G688" s="1739" t="s">
        <v>388</v>
      </c>
      <c r="H688" s="1343"/>
    </row>
    <row r="689" spans="1:8" ht="13" thickBot="1">
      <c r="A689" s="1343"/>
      <c r="B689" s="1735"/>
      <c r="C689" s="1736"/>
      <c r="D689" s="1736"/>
      <c r="E689" s="1736"/>
      <c r="F689" s="1736"/>
      <c r="G689" s="1737"/>
      <c r="H689" s="1343"/>
    </row>
    <row r="690" spans="1:8" ht="13.5" thickBot="1">
      <c r="A690" s="1343"/>
      <c r="B690" s="5031" t="s">
        <v>494</v>
      </c>
      <c r="C690" s="5032"/>
      <c r="D690" s="5032"/>
      <c r="E690" s="5032"/>
      <c r="F690" s="5032"/>
      <c r="G690" s="5033"/>
      <c r="H690" s="1343"/>
    </row>
    <row r="691" spans="1:8" ht="13" thickTop="1">
      <c r="A691" s="1343"/>
      <c r="B691" s="1687" t="s">
        <v>466</v>
      </c>
      <c r="C691" s="374">
        <v>12.731</v>
      </c>
      <c r="D691" s="368" t="s">
        <v>295</v>
      </c>
      <c r="E691" s="1738" t="s">
        <v>467</v>
      </c>
      <c r="F691" s="375" t="s">
        <v>18</v>
      </c>
      <c r="G691" s="1739" t="s">
        <v>295</v>
      </c>
      <c r="H691" s="1343"/>
    </row>
    <row r="692" spans="1:8">
      <c r="A692" s="1343"/>
      <c r="B692" s="1687" t="s">
        <v>468</v>
      </c>
      <c r="C692" s="380" t="s">
        <v>18</v>
      </c>
      <c r="D692" s="369" t="s">
        <v>295</v>
      </c>
      <c r="E692" s="1738" t="s">
        <v>469</v>
      </c>
      <c r="F692" s="379" t="b">
        <v>0</v>
      </c>
      <c r="G692" s="1739" t="s">
        <v>388</v>
      </c>
      <c r="H692" s="1343"/>
    </row>
    <row r="693" spans="1:8" ht="13" thickBot="1">
      <c r="A693" s="1343"/>
      <c r="B693" s="1735"/>
      <c r="C693" s="1736"/>
      <c r="D693" s="1736"/>
      <c r="E693" s="1736"/>
      <c r="F693" s="1736"/>
      <c r="G693" s="1737"/>
      <c r="H693" s="1343"/>
    </row>
    <row r="694" spans="1:8" ht="13.5" thickBot="1">
      <c r="A694" s="1343"/>
      <c r="B694" s="5031" t="s">
        <v>495</v>
      </c>
      <c r="C694" s="5032"/>
      <c r="D694" s="5032"/>
      <c r="E694" s="5032"/>
      <c r="F694" s="5032"/>
      <c r="G694" s="5033"/>
      <c r="H694" s="1343"/>
    </row>
    <row r="695" spans="1:8" ht="13" thickTop="1">
      <c r="A695" s="1343"/>
      <c r="B695" s="1687" t="s">
        <v>466</v>
      </c>
      <c r="C695" s="376">
        <v>10.1954572839268</v>
      </c>
      <c r="D695" s="368" t="s">
        <v>295</v>
      </c>
      <c r="E695" s="1738" t="s">
        <v>467</v>
      </c>
      <c r="F695" s="375" t="s">
        <v>18</v>
      </c>
      <c r="G695" s="1739" t="s">
        <v>295</v>
      </c>
      <c r="H695" s="1343"/>
    </row>
    <row r="696" spans="1:8">
      <c r="A696" s="1343"/>
      <c r="B696" s="1687" t="s">
        <v>468</v>
      </c>
      <c r="C696" s="380" t="s">
        <v>18</v>
      </c>
      <c r="D696" s="369" t="s">
        <v>295</v>
      </c>
      <c r="E696" s="1738" t="s">
        <v>469</v>
      </c>
      <c r="F696" s="379" t="b">
        <v>0</v>
      </c>
      <c r="G696" s="1739" t="s">
        <v>388</v>
      </c>
      <c r="H696" s="1343"/>
    </row>
    <row r="697" spans="1:8" ht="13" thickBot="1">
      <c r="A697" s="1343"/>
      <c r="B697" s="1735"/>
      <c r="C697" s="1736"/>
      <c r="D697" s="1736"/>
      <c r="E697" s="1736"/>
      <c r="F697" s="1736"/>
      <c r="G697" s="1737"/>
      <c r="H697" s="1343"/>
    </row>
    <row r="698" spans="1:8" ht="13.5" thickBot="1">
      <c r="A698" s="1343"/>
      <c r="B698" s="5031" t="s">
        <v>496</v>
      </c>
      <c r="C698" s="5032"/>
      <c r="D698" s="5032"/>
      <c r="E698" s="5032"/>
      <c r="F698" s="5032"/>
      <c r="G698" s="5033"/>
      <c r="H698" s="1343"/>
    </row>
    <row r="699" spans="1:8" ht="13" thickTop="1">
      <c r="A699" s="1343"/>
      <c r="B699" s="1687" t="s">
        <v>466</v>
      </c>
      <c r="C699" s="376">
        <v>11.8970568105029</v>
      </c>
      <c r="D699" s="368" t="s">
        <v>295</v>
      </c>
      <c r="E699" s="1738" t="s">
        <v>467</v>
      </c>
      <c r="F699" s="375" t="s">
        <v>18</v>
      </c>
      <c r="G699" s="1739" t="s">
        <v>295</v>
      </c>
      <c r="H699" s="1343"/>
    </row>
    <row r="700" spans="1:8">
      <c r="A700" s="1343"/>
      <c r="B700" s="1687" t="s">
        <v>468</v>
      </c>
      <c r="C700" s="380" t="s">
        <v>18</v>
      </c>
      <c r="D700" s="369" t="s">
        <v>295</v>
      </c>
      <c r="E700" s="1738" t="s">
        <v>469</v>
      </c>
      <c r="F700" s="379" t="b">
        <v>0</v>
      </c>
      <c r="G700" s="1739" t="s">
        <v>388</v>
      </c>
      <c r="H700" s="1343"/>
    </row>
    <row r="701" spans="1:8" ht="13" thickBot="1">
      <c r="A701" s="1343"/>
      <c r="B701" s="1735"/>
      <c r="C701" s="1736"/>
      <c r="D701" s="1736"/>
      <c r="E701" s="1736"/>
      <c r="F701" s="1736"/>
      <c r="G701" s="1737"/>
      <c r="H701" s="1343"/>
    </row>
    <row r="702" spans="1:8" ht="13.5" thickBot="1">
      <c r="A702" s="1343"/>
      <c r="B702" s="5031" t="s">
        <v>497</v>
      </c>
      <c r="C702" s="5032"/>
      <c r="D702" s="5032"/>
      <c r="E702" s="5032"/>
      <c r="F702" s="5032"/>
      <c r="G702" s="5033"/>
      <c r="H702" s="1343"/>
    </row>
    <row r="703" spans="1:8" ht="13" thickTop="1">
      <c r="A703" s="1343"/>
      <c r="B703" s="1687" t="s">
        <v>466</v>
      </c>
      <c r="C703" s="377">
        <v>8.6240740957889894</v>
      </c>
      <c r="D703" s="368" t="s">
        <v>295</v>
      </c>
      <c r="E703" s="1738" t="s">
        <v>467</v>
      </c>
      <c r="F703" s="375" t="s">
        <v>18</v>
      </c>
      <c r="G703" s="1739" t="s">
        <v>295</v>
      </c>
      <c r="H703" s="1343"/>
    </row>
    <row r="704" spans="1:8">
      <c r="A704" s="1343"/>
      <c r="B704" s="1687" t="s">
        <v>468</v>
      </c>
      <c r="C704" s="380" t="s">
        <v>18</v>
      </c>
      <c r="D704" s="369" t="s">
        <v>295</v>
      </c>
      <c r="E704" s="1738" t="s">
        <v>469</v>
      </c>
      <c r="F704" s="379" t="b">
        <v>0</v>
      </c>
      <c r="G704" s="1739" t="s">
        <v>388</v>
      </c>
      <c r="H704" s="1343"/>
    </row>
    <row r="705" spans="1:8" ht="13" thickBot="1">
      <c r="A705" s="1343"/>
      <c r="B705" s="1735"/>
      <c r="C705" s="1736"/>
      <c r="D705" s="1736"/>
      <c r="E705" s="1736"/>
      <c r="F705" s="1736"/>
      <c r="G705" s="1737"/>
      <c r="H705" s="1343"/>
    </row>
    <row r="706" spans="1:8" ht="13.5" thickBot="1">
      <c r="A706" s="1343"/>
      <c r="B706" s="5031" t="s">
        <v>498</v>
      </c>
      <c r="C706" s="5032"/>
      <c r="D706" s="5032"/>
      <c r="E706" s="5032"/>
      <c r="F706" s="5032"/>
      <c r="G706" s="5033"/>
      <c r="H706" s="1343"/>
    </row>
    <row r="707" spans="1:8" ht="13" thickTop="1">
      <c r="A707" s="1343"/>
      <c r="B707" s="1687" t="s">
        <v>466</v>
      </c>
      <c r="C707" s="376">
        <v>83.297611204738502</v>
      </c>
      <c r="D707" s="368" t="s">
        <v>299</v>
      </c>
      <c r="E707" s="1738" t="s">
        <v>467</v>
      </c>
      <c r="F707" s="375" t="s">
        <v>18</v>
      </c>
      <c r="G707" s="1739" t="s">
        <v>299</v>
      </c>
      <c r="H707" s="1343"/>
    </row>
    <row r="708" spans="1:8">
      <c r="A708" s="1343"/>
      <c r="B708" s="1687" t="s">
        <v>468</v>
      </c>
      <c r="C708" s="380" t="s">
        <v>18</v>
      </c>
      <c r="D708" s="369" t="s">
        <v>299</v>
      </c>
      <c r="E708" s="1738" t="s">
        <v>469</v>
      </c>
      <c r="F708" s="379" t="b">
        <v>0</v>
      </c>
      <c r="G708" s="1739" t="s">
        <v>388</v>
      </c>
      <c r="H708" s="1343"/>
    </row>
    <row r="709" spans="1:8" ht="13" thickBot="1">
      <c r="A709" s="1343"/>
      <c r="B709" s="1735"/>
      <c r="C709" s="1736"/>
      <c r="D709" s="1736"/>
      <c r="E709" s="1736"/>
      <c r="F709" s="1736"/>
      <c r="G709" s="1737"/>
      <c r="H709" s="1343"/>
    </row>
    <row r="710" spans="1:8" ht="13.5" thickBot="1">
      <c r="A710" s="1343"/>
      <c r="B710" s="5031" t="s">
        <v>499</v>
      </c>
      <c r="C710" s="5032"/>
      <c r="D710" s="5032"/>
      <c r="E710" s="5032"/>
      <c r="F710" s="5032"/>
      <c r="G710" s="5033"/>
      <c r="H710" s="1343"/>
    </row>
    <row r="711" spans="1:8" ht="13" thickTop="1">
      <c r="A711" s="1343"/>
      <c r="B711" s="1687" t="s">
        <v>466</v>
      </c>
      <c r="C711" s="376">
        <v>94.115711204138506</v>
      </c>
      <c r="D711" s="368" t="s">
        <v>299</v>
      </c>
      <c r="E711" s="1738" t="s">
        <v>467</v>
      </c>
      <c r="F711" s="375" t="s">
        <v>18</v>
      </c>
      <c r="G711" s="1739" t="s">
        <v>299</v>
      </c>
      <c r="H711" s="1343"/>
    </row>
    <row r="712" spans="1:8">
      <c r="A712" s="1343"/>
      <c r="B712" s="1687" t="s">
        <v>468</v>
      </c>
      <c r="C712" s="380" t="s">
        <v>18</v>
      </c>
      <c r="D712" s="369" t="s">
        <v>299</v>
      </c>
      <c r="E712" s="1738" t="s">
        <v>469</v>
      </c>
      <c r="F712" s="379" t="b">
        <v>0</v>
      </c>
      <c r="G712" s="1739" t="s">
        <v>388</v>
      </c>
      <c r="H712" s="1343"/>
    </row>
    <row r="713" spans="1:8" ht="13" thickBot="1">
      <c r="A713" s="1343"/>
      <c r="B713" s="1735"/>
      <c r="C713" s="1736"/>
      <c r="D713" s="1736"/>
      <c r="E713" s="1736"/>
      <c r="F713" s="1736"/>
      <c r="G713" s="1737"/>
      <c r="H713" s="1343"/>
    </row>
    <row r="714" spans="1:8" ht="13.5" thickBot="1">
      <c r="A714" s="1343"/>
      <c r="B714" s="5031" t="s">
        <v>500</v>
      </c>
      <c r="C714" s="5032"/>
      <c r="D714" s="5032"/>
      <c r="E714" s="5032"/>
      <c r="F714" s="5032"/>
      <c r="G714" s="5033"/>
      <c r="H714" s="1343"/>
    </row>
    <row r="715" spans="1:8" ht="13" thickTop="1">
      <c r="A715" s="1343"/>
      <c r="B715" s="1687" t="s">
        <v>466</v>
      </c>
      <c r="C715" s="376">
        <v>35.462920705096899</v>
      </c>
      <c r="D715" s="368" t="s">
        <v>155</v>
      </c>
      <c r="E715" s="1738" t="s">
        <v>467</v>
      </c>
      <c r="F715" s="375" t="s">
        <v>18</v>
      </c>
      <c r="G715" s="1739" t="s">
        <v>155</v>
      </c>
      <c r="H715" s="1343"/>
    </row>
    <row r="716" spans="1:8">
      <c r="A716" s="1343"/>
      <c r="B716" s="1687" t="s">
        <v>468</v>
      </c>
      <c r="C716" s="380" t="s">
        <v>18</v>
      </c>
      <c r="D716" s="369" t="s">
        <v>155</v>
      </c>
      <c r="E716" s="1738" t="s">
        <v>469</v>
      </c>
      <c r="F716" s="379" t="b">
        <v>0</v>
      </c>
      <c r="G716" s="1739" t="s">
        <v>388</v>
      </c>
      <c r="H716" s="1343"/>
    </row>
    <row r="717" spans="1:8" ht="13" thickBot="1">
      <c r="A717" s="1343"/>
      <c r="B717" s="1735"/>
      <c r="C717" s="1736"/>
      <c r="D717" s="1736"/>
      <c r="E717" s="1736"/>
      <c r="F717" s="1736"/>
      <c r="G717" s="1737"/>
      <c r="H717" s="1343"/>
    </row>
    <row r="718" spans="1:8" ht="13.5" thickBot="1">
      <c r="A718" s="1343"/>
      <c r="B718" s="5031" t="s">
        <v>501</v>
      </c>
      <c r="C718" s="5032"/>
      <c r="D718" s="5032"/>
      <c r="E718" s="5032"/>
      <c r="F718" s="5032"/>
      <c r="G718" s="5033"/>
      <c r="H718" s="1343"/>
    </row>
    <row r="719" spans="1:8" ht="13" thickTop="1">
      <c r="A719" s="1343"/>
      <c r="B719" s="1687" t="s">
        <v>466</v>
      </c>
      <c r="C719" s="376">
        <v>31.962369323012801</v>
      </c>
      <c r="D719" s="368" t="s">
        <v>155</v>
      </c>
      <c r="E719" s="1738" t="s">
        <v>467</v>
      </c>
      <c r="F719" s="375" t="s">
        <v>18</v>
      </c>
      <c r="G719" s="1739" t="s">
        <v>155</v>
      </c>
      <c r="H719" s="1343"/>
    </row>
    <row r="720" spans="1:8">
      <c r="A720" s="1343"/>
      <c r="B720" s="1687" t="s">
        <v>468</v>
      </c>
      <c r="C720" s="380" t="s">
        <v>18</v>
      </c>
      <c r="D720" s="369" t="s">
        <v>155</v>
      </c>
      <c r="E720" s="1738" t="s">
        <v>469</v>
      </c>
      <c r="F720" s="379" t="b">
        <v>0</v>
      </c>
      <c r="G720" s="1739" t="s">
        <v>388</v>
      </c>
      <c r="H720" s="1343"/>
    </row>
    <row r="721" spans="1:8" ht="13" thickBot="1">
      <c r="A721" s="1343"/>
      <c r="B721" s="1735"/>
      <c r="C721" s="1736"/>
      <c r="D721" s="1736"/>
      <c r="E721" s="1736"/>
      <c r="F721" s="1736"/>
      <c r="G721" s="1737"/>
      <c r="H721" s="1343"/>
    </row>
    <row r="722" spans="1:8" ht="13.5" thickBot="1">
      <c r="A722" s="1343"/>
      <c r="B722" s="5031" t="s">
        <v>502</v>
      </c>
      <c r="C722" s="5032"/>
      <c r="D722" s="5032"/>
      <c r="E722" s="5032"/>
      <c r="F722" s="5032"/>
      <c r="G722" s="5033"/>
      <c r="H722" s="1343"/>
    </row>
    <row r="723" spans="1:8" ht="13" thickTop="1">
      <c r="A723" s="1343"/>
      <c r="B723" s="1687" t="s">
        <v>466</v>
      </c>
      <c r="C723" s="377">
        <v>3.5005513820841099</v>
      </c>
      <c r="D723" s="368" t="s">
        <v>155</v>
      </c>
      <c r="E723" s="1738" t="s">
        <v>467</v>
      </c>
      <c r="F723" s="375" t="s">
        <v>18</v>
      </c>
      <c r="G723" s="1739" t="s">
        <v>155</v>
      </c>
      <c r="H723" s="1343"/>
    </row>
    <row r="724" spans="1:8">
      <c r="A724" s="1343"/>
      <c r="B724" s="1687" t="s">
        <v>468</v>
      </c>
      <c r="C724" s="380" t="s">
        <v>18</v>
      </c>
      <c r="D724" s="369" t="s">
        <v>155</v>
      </c>
      <c r="E724" s="1738" t="s">
        <v>469</v>
      </c>
      <c r="F724" s="379" t="b">
        <v>0</v>
      </c>
      <c r="G724" s="1739" t="s">
        <v>388</v>
      </c>
      <c r="H724" s="1343"/>
    </row>
    <row r="725" spans="1:8" ht="13" thickBot="1">
      <c r="A725" s="1343"/>
      <c r="B725" s="1735"/>
      <c r="C725" s="1736"/>
      <c r="D725" s="1736"/>
      <c r="E725" s="1736"/>
      <c r="F725" s="1736"/>
      <c r="G725" s="1737"/>
      <c r="H725" s="1343"/>
    </row>
    <row r="726" spans="1:8" ht="13.5" thickBot="1">
      <c r="A726" s="1343"/>
      <c r="B726" s="5031" t="s">
        <v>503</v>
      </c>
      <c r="C726" s="5032"/>
      <c r="D726" s="5032"/>
      <c r="E726" s="5032"/>
      <c r="F726" s="5032"/>
      <c r="G726" s="5033"/>
      <c r="H726" s="1343"/>
    </row>
    <row r="727" spans="1:8" ht="13" thickTop="1">
      <c r="A727" s="1343"/>
      <c r="B727" s="1687" t="s">
        <v>466</v>
      </c>
      <c r="C727" s="374">
        <v>0</v>
      </c>
      <c r="D727" s="368" t="s">
        <v>155</v>
      </c>
      <c r="E727" s="1738" t="s">
        <v>467</v>
      </c>
      <c r="F727" s="375" t="s">
        <v>18</v>
      </c>
      <c r="G727" s="1739" t="s">
        <v>155</v>
      </c>
      <c r="H727" s="1343"/>
    </row>
    <row r="728" spans="1:8">
      <c r="A728" s="1343"/>
      <c r="B728" s="1687" t="s">
        <v>468</v>
      </c>
      <c r="C728" s="380" t="s">
        <v>18</v>
      </c>
      <c r="D728" s="369" t="s">
        <v>155</v>
      </c>
      <c r="E728" s="1738" t="s">
        <v>469</v>
      </c>
      <c r="F728" s="379" t="b">
        <v>0</v>
      </c>
      <c r="G728" s="1739" t="s">
        <v>388</v>
      </c>
      <c r="H728" s="1343"/>
    </row>
    <row r="729" spans="1:8" ht="13" thickBot="1">
      <c r="A729" s="1343"/>
      <c r="B729" s="1735"/>
      <c r="C729" s="1736"/>
      <c r="D729" s="1736"/>
      <c r="E729" s="1736"/>
      <c r="F729" s="1736"/>
      <c r="G729" s="1737"/>
      <c r="H729" s="1343"/>
    </row>
    <row r="730" spans="1:8" ht="13.5" thickBot="1">
      <c r="A730" s="1343"/>
      <c r="B730" s="5031" t="s">
        <v>504</v>
      </c>
      <c r="C730" s="5032"/>
      <c r="D730" s="5032"/>
      <c r="E730" s="5032"/>
      <c r="F730" s="5032"/>
      <c r="G730" s="5033"/>
      <c r="H730" s="1343"/>
    </row>
    <row r="731" spans="1:8" ht="13" thickTop="1">
      <c r="A731" s="1343"/>
      <c r="B731" s="1687" t="s">
        <v>466</v>
      </c>
      <c r="C731" s="374">
        <v>0</v>
      </c>
      <c r="D731" s="368" t="s">
        <v>155</v>
      </c>
      <c r="E731" s="1738" t="s">
        <v>467</v>
      </c>
      <c r="F731" s="375" t="s">
        <v>18</v>
      </c>
      <c r="G731" s="1739" t="s">
        <v>155</v>
      </c>
      <c r="H731" s="1343"/>
    </row>
    <row r="732" spans="1:8">
      <c r="A732" s="1343"/>
      <c r="B732" s="1687" t="s">
        <v>468</v>
      </c>
      <c r="C732" s="380" t="s">
        <v>18</v>
      </c>
      <c r="D732" s="369" t="s">
        <v>155</v>
      </c>
      <c r="E732" s="1738" t="s">
        <v>469</v>
      </c>
      <c r="F732" s="379" t="b">
        <v>0</v>
      </c>
      <c r="G732" s="1739" t="s">
        <v>388</v>
      </c>
      <c r="H732" s="1343"/>
    </row>
    <row r="733" spans="1:8" ht="13" thickBot="1">
      <c r="A733" s="1343"/>
      <c r="B733" s="1735"/>
      <c r="C733" s="1736"/>
      <c r="D733" s="1736"/>
      <c r="E733" s="1736"/>
      <c r="F733" s="1736"/>
      <c r="G733" s="1737"/>
      <c r="H733" s="1343"/>
    </row>
    <row r="734" spans="1:8" ht="13.5" thickBot="1">
      <c r="A734" s="1343"/>
      <c r="B734" s="5031" t="s">
        <v>505</v>
      </c>
      <c r="C734" s="5032"/>
      <c r="D734" s="5032"/>
      <c r="E734" s="5032"/>
      <c r="F734" s="5032"/>
      <c r="G734" s="5033"/>
      <c r="H734" s="1343"/>
    </row>
    <row r="735" spans="1:8" ht="13" thickTop="1">
      <c r="A735" s="1343"/>
      <c r="B735" s="1687" t="s">
        <v>466</v>
      </c>
      <c r="C735" s="1745">
        <v>100.176530701239</v>
      </c>
      <c r="D735" s="368" t="s">
        <v>155</v>
      </c>
      <c r="E735" s="1738" t="s">
        <v>467</v>
      </c>
      <c r="F735" s="375" t="s">
        <v>18</v>
      </c>
      <c r="G735" s="1739" t="s">
        <v>155</v>
      </c>
      <c r="H735" s="1343"/>
    </row>
    <row r="736" spans="1:8">
      <c r="A736" s="1343"/>
      <c r="B736" s="1687" t="s">
        <v>468</v>
      </c>
      <c r="C736" s="380" t="s">
        <v>18</v>
      </c>
      <c r="D736" s="369" t="s">
        <v>155</v>
      </c>
      <c r="E736" s="1738" t="s">
        <v>469</v>
      </c>
      <c r="F736" s="379" t="b">
        <v>0</v>
      </c>
      <c r="G736" s="1739" t="s">
        <v>388</v>
      </c>
      <c r="H736" s="1343"/>
    </row>
    <row r="737" spans="1:8" ht="13" thickBot="1">
      <c r="A737" s="1343"/>
      <c r="B737" s="1735"/>
      <c r="C737" s="1736"/>
      <c r="D737" s="1736"/>
      <c r="E737" s="1736"/>
      <c r="F737" s="1736"/>
      <c r="G737" s="1737"/>
      <c r="H737" s="1343"/>
    </row>
    <row r="738" spans="1:8" ht="13.5" thickBot="1">
      <c r="A738" s="1343"/>
      <c r="B738" s="5031" t="s">
        <v>506</v>
      </c>
      <c r="C738" s="5032"/>
      <c r="D738" s="5032"/>
      <c r="E738" s="5032"/>
      <c r="F738" s="5032"/>
      <c r="G738" s="5033"/>
      <c r="H738" s="1343"/>
    </row>
    <row r="739" spans="1:8" ht="13" thickTop="1">
      <c r="A739" s="1343"/>
      <c r="B739" s="1687" t="s">
        <v>466</v>
      </c>
      <c r="C739" s="376">
        <v>55.2057149117514</v>
      </c>
      <c r="D739" s="368" t="s">
        <v>22</v>
      </c>
      <c r="E739" s="1738" t="s">
        <v>467</v>
      </c>
      <c r="F739" s="375" t="s">
        <v>18</v>
      </c>
      <c r="G739" s="1739" t="s">
        <v>22</v>
      </c>
      <c r="H739" s="1343"/>
    </row>
    <row r="740" spans="1:8">
      <c r="A740" s="1343"/>
      <c r="B740" s="1687" t="s">
        <v>468</v>
      </c>
      <c r="C740" s="380" t="s">
        <v>18</v>
      </c>
      <c r="D740" s="369" t="s">
        <v>22</v>
      </c>
      <c r="E740" s="1738" t="s">
        <v>469</v>
      </c>
      <c r="F740" s="379" t="b">
        <v>0</v>
      </c>
      <c r="G740" s="1739" t="s">
        <v>388</v>
      </c>
      <c r="H740" s="1343"/>
    </row>
    <row r="741" spans="1:8" ht="13" thickBot="1">
      <c r="A741" s="1343"/>
      <c r="B741" s="1735"/>
      <c r="C741" s="1736"/>
      <c r="D741" s="1736"/>
      <c r="E741" s="1736"/>
      <c r="F741" s="1736"/>
      <c r="G741" s="1737"/>
      <c r="H741" s="1343"/>
    </row>
    <row r="742" spans="1:8" ht="13.5" thickBot="1">
      <c r="A742" s="1343"/>
      <c r="B742" s="5031" t="s">
        <v>507</v>
      </c>
      <c r="C742" s="5032"/>
      <c r="D742" s="5032"/>
      <c r="E742" s="5032"/>
      <c r="F742" s="5032"/>
      <c r="G742" s="5033"/>
      <c r="H742" s="1343"/>
    </row>
    <row r="743" spans="1:8" ht="13" thickTop="1">
      <c r="A743" s="1343"/>
      <c r="B743" s="1687" t="s">
        <v>466</v>
      </c>
      <c r="C743" s="375" t="s">
        <v>18</v>
      </c>
      <c r="D743" s="368" t="s">
        <v>388</v>
      </c>
      <c r="E743" s="1738" t="s">
        <v>467</v>
      </c>
      <c r="F743" s="375" t="s">
        <v>18</v>
      </c>
      <c r="G743" s="1739" t="s">
        <v>388</v>
      </c>
      <c r="H743" s="1343"/>
    </row>
    <row r="744" spans="1:8">
      <c r="A744" s="1343"/>
      <c r="B744" s="1687" t="s">
        <v>468</v>
      </c>
      <c r="C744" s="375" t="s">
        <v>18</v>
      </c>
      <c r="D744" s="369" t="s">
        <v>388</v>
      </c>
      <c r="E744" s="1738" t="s">
        <v>469</v>
      </c>
      <c r="F744" s="379" t="b">
        <v>0</v>
      </c>
      <c r="G744" s="1739" t="s">
        <v>388</v>
      </c>
      <c r="H744" s="1343"/>
    </row>
    <row r="745" spans="1:8" ht="13" thickBot="1">
      <c r="A745" s="1343"/>
      <c r="B745" s="1735"/>
      <c r="C745" s="1736"/>
      <c r="D745" s="1736"/>
      <c r="E745" s="1736"/>
      <c r="F745" s="1736"/>
      <c r="G745" s="1737"/>
      <c r="H745" s="1343"/>
    </row>
    <row r="746" spans="1:8" ht="13.5" thickBot="1">
      <c r="A746" s="1343"/>
      <c r="B746" s="5031" t="s">
        <v>508</v>
      </c>
      <c r="C746" s="5032"/>
      <c r="D746" s="5032"/>
      <c r="E746" s="5032"/>
      <c r="F746" s="5032"/>
      <c r="G746" s="5033"/>
      <c r="H746" s="1343"/>
    </row>
    <row r="747" spans="1:8" ht="13" thickTop="1">
      <c r="A747" s="1343"/>
      <c r="B747" s="1687" t="s">
        <v>466</v>
      </c>
      <c r="C747" s="376">
        <v>39.969780228094599</v>
      </c>
      <c r="D747" s="368" t="s">
        <v>155</v>
      </c>
      <c r="E747" s="1738" t="s">
        <v>467</v>
      </c>
      <c r="F747" s="375" t="s">
        <v>18</v>
      </c>
      <c r="G747" s="1739" t="s">
        <v>155</v>
      </c>
      <c r="H747" s="1343"/>
    </row>
    <row r="748" spans="1:8">
      <c r="A748" s="1343"/>
      <c r="B748" s="1687" t="s">
        <v>468</v>
      </c>
      <c r="C748" s="380" t="s">
        <v>18</v>
      </c>
      <c r="D748" s="369" t="s">
        <v>155</v>
      </c>
      <c r="E748" s="1738" t="s">
        <v>469</v>
      </c>
      <c r="F748" s="379" t="b">
        <v>0</v>
      </c>
      <c r="G748" s="1739" t="s">
        <v>388</v>
      </c>
      <c r="H748" s="1343"/>
    </row>
    <row r="749" spans="1:8" ht="13" thickBot="1">
      <c r="A749" s="1343"/>
      <c r="B749" s="1735"/>
      <c r="C749" s="1736"/>
      <c r="D749" s="1736"/>
      <c r="E749" s="1736"/>
      <c r="F749" s="1736"/>
      <c r="G749" s="1737"/>
      <c r="H749" s="1343"/>
    </row>
    <row r="750" spans="1:8" ht="13.5" thickBot="1">
      <c r="A750" s="1343"/>
      <c r="B750" s="5031" t="s">
        <v>509</v>
      </c>
      <c r="C750" s="5032"/>
      <c r="D750" s="5032"/>
      <c r="E750" s="5032"/>
      <c r="F750" s="5032"/>
      <c r="G750" s="5033"/>
      <c r="H750" s="1343"/>
    </row>
    <row r="751" spans="1:8" ht="13" thickTop="1">
      <c r="A751" s="1343"/>
      <c r="B751" s="1687" t="s">
        <v>466</v>
      </c>
      <c r="C751" s="1745">
        <v>112.907618338555</v>
      </c>
      <c r="D751" s="368" t="s">
        <v>155</v>
      </c>
      <c r="E751" s="1738" t="s">
        <v>467</v>
      </c>
      <c r="F751" s="375" t="s">
        <v>18</v>
      </c>
      <c r="G751" s="1739" t="s">
        <v>155</v>
      </c>
      <c r="H751" s="1343"/>
    </row>
    <row r="752" spans="1:8">
      <c r="A752" s="1343"/>
      <c r="B752" s="1687" t="s">
        <v>468</v>
      </c>
      <c r="C752" s="380" t="s">
        <v>18</v>
      </c>
      <c r="D752" s="369" t="s">
        <v>155</v>
      </c>
      <c r="E752" s="1738" t="s">
        <v>469</v>
      </c>
      <c r="F752" s="379" t="b">
        <v>0</v>
      </c>
      <c r="G752" s="1739" t="s">
        <v>388</v>
      </c>
      <c r="H752" s="1343"/>
    </row>
    <row r="753" spans="1:8" ht="13" thickBot="1">
      <c r="A753" s="1343"/>
      <c r="B753" s="1735"/>
      <c r="C753" s="1736"/>
      <c r="D753" s="1736"/>
      <c r="E753" s="1736"/>
      <c r="F753" s="1736"/>
      <c r="G753" s="1737"/>
      <c r="H753" s="1343"/>
    </row>
    <row r="754" spans="1:8" ht="13.5" thickBot="1">
      <c r="A754" s="1343"/>
      <c r="B754" s="5031" t="s">
        <v>510</v>
      </c>
      <c r="C754" s="5032"/>
      <c r="D754" s="5032"/>
      <c r="E754" s="5032"/>
      <c r="F754" s="5032"/>
      <c r="G754" s="5033"/>
      <c r="H754" s="1343"/>
    </row>
    <row r="755" spans="1:8" ht="13" thickTop="1">
      <c r="A755" s="1343"/>
      <c r="B755" s="1687" t="s">
        <v>466</v>
      </c>
      <c r="C755" s="376">
        <v>62.2216176356959</v>
      </c>
      <c r="D755" s="368" t="s">
        <v>22</v>
      </c>
      <c r="E755" s="1738" t="s">
        <v>467</v>
      </c>
      <c r="F755" s="375" t="s">
        <v>18</v>
      </c>
      <c r="G755" s="1739" t="s">
        <v>22</v>
      </c>
      <c r="H755" s="1343"/>
    </row>
    <row r="756" spans="1:8">
      <c r="A756" s="1343"/>
      <c r="B756" s="1687" t="s">
        <v>468</v>
      </c>
      <c r="C756" s="380" t="s">
        <v>18</v>
      </c>
      <c r="D756" s="369" t="s">
        <v>22</v>
      </c>
      <c r="E756" s="1738" t="s">
        <v>469</v>
      </c>
      <c r="F756" s="379" t="b">
        <v>0</v>
      </c>
      <c r="G756" s="1739" t="s">
        <v>388</v>
      </c>
      <c r="H756" s="1343"/>
    </row>
    <row r="757" spans="1:8" ht="13" thickBot="1">
      <c r="A757" s="1343"/>
      <c r="B757" s="1735"/>
      <c r="C757" s="1736"/>
      <c r="D757" s="1736"/>
      <c r="E757" s="1736"/>
      <c r="F757" s="1736"/>
      <c r="G757" s="1737"/>
      <c r="H757" s="1343"/>
    </row>
    <row r="758" spans="1:8" ht="13.5" thickBot="1">
      <c r="A758" s="1343"/>
      <c r="B758" s="5031" t="s">
        <v>511</v>
      </c>
      <c r="C758" s="5032"/>
      <c r="D758" s="5032"/>
      <c r="E758" s="5032"/>
      <c r="F758" s="5032"/>
      <c r="G758" s="5033"/>
      <c r="H758" s="1343"/>
    </row>
    <row r="759" spans="1:8" ht="13" thickTop="1">
      <c r="A759" s="1343"/>
      <c r="B759" s="1687" t="s">
        <v>466</v>
      </c>
      <c r="C759" s="1745">
        <v>258.64263212753502</v>
      </c>
      <c r="D759" s="368" t="s">
        <v>155</v>
      </c>
      <c r="E759" s="1738" t="s">
        <v>467</v>
      </c>
      <c r="F759" s="375" t="s">
        <v>18</v>
      </c>
      <c r="G759" s="1739" t="s">
        <v>155</v>
      </c>
      <c r="H759" s="1343"/>
    </row>
    <row r="760" spans="1:8">
      <c r="A760" s="1343"/>
      <c r="B760" s="1687" t="s">
        <v>468</v>
      </c>
      <c r="C760" s="380" t="s">
        <v>18</v>
      </c>
      <c r="D760" s="369" t="s">
        <v>155</v>
      </c>
      <c r="E760" s="1738" t="s">
        <v>469</v>
      </c>
      <c r="F760" s="379" t="b">
        <v>0</v>
      </c>
      <c r="G760" s="1739" t="s">
        <v>388</v>
      </c>
      <c r="H760" s="1343"/>
    </row>
    <row r="761" spans="1:8" ht="13" thickBot="1">
      <c r="A761" s="1343"/>
      <c r="B761" s="1735"/>
      <c r="C761" s="1736"/>
      <c r="D761" s="1736"/>
      <c r="E761" s="1736"/>
      <c r="F761" s="1736"/>
      <c r="G761" s="1737"/>
      <c r="H761" s="1343"/>
    </row>
    <row r="762" spans="1:8" ht="13.5" thickBot="1">
      <c r="A762" s="1343"/>
      <c r="B762" s="5031" t="s">
        <v>512</v>
      </c>
      <c r="C762" s="5032"/>
      <c r="D762" s="5032"/>
      <c r="E762" s="5032"/>
      <c r="F762" s="5032"/>
      <c r="G762" s="5033"/>
      <c r="H762" s="1343"/>
    </row>
    <row r="763" spans="1:8" ht="13" thickTop="1">
      <c r="A763" s="1343"/>
      <c r="B763" s="1687" t="s">
        <v>466</v>
      </c>
      <c r="C763" s="374">
        <v>0</v>
      </c>
      <c r="D763" s="368" t="s">
        <v>155</v>
      </c>
      <c r="E763" s="1738" t="s">
        <v>467</v>
      </c>
      <c r="F763" s="375" t="s">
        <v>18</v>
      </c>
      <c r="G763" s="1739" t="s">
        <v>155</v>
      </c>
      <c r="H763" s="1343"/>
    </row>
    <row r="764" spans="1:8">
      <c r="A764" s="1343"/>
      <c r="B764" s="1687" t="s">
        <v>468</v>
      </c>
      <c r="C764" s="380" t="s">
        <v>18</v>
      </c>
      <c r="D764" s="369" t="s">
        <v>155</v>
      </c>
      <c r="E764" s="1738" t="s">
        <v>469</v>
      </c>
      <c r="F764" s="379" t="b">
        <v>0</v>
      </c>
      <c r="G764" s="1739" t="s">
        <v>388</v>
      </c>
      <c r="H764" s="1343"/>
    </row>
    <row r="765" spans="1:8" ht="13" thickBot="1">
      <c r="A765" s="1343"/>
      <c r="B765" s="1735"/>
      <c r="C765" s="1736"/>
      <c r="D765" s="1736"/>
      <c r="E765" s="1736"/>
      <c r="F765" s="1736"/>
      <c r="G765" s="1737"/>
      <c r="H765" s="1343"/>
    </row>
    <row r="766" spans="1:8" ht="13.5" thickBot="1">
      <c r="A766" s="1343"/>
      <c r="B766" s="5031" t="s">
        <v>513</v>
      </c>
      <c r="C766" s="5032"/>
      <c r="D766" s="5032"/>
      <c r="E766" s="5032"/>
      <c r="F766" s="5032"/>
      <c r="G766" s="5033"/>
      <c r="H766" s="1343"/>
    </row>
    <row r="767" spans="1:8" ht="13" thickTop="1">
      <c r="A767" s="1343"/>
      <c r="B767" s="1687" t="s">
        <v>466</v>
      </c>
      <c r="C767" s="374">
        <v>0</v>
      </c>
      <c r="D767" s="368" t="s">
        <v>155</v>
      </c>
      <c r="E767" s="1738" t="s">
        <v>467</v>
      </c>
      <c r="F767" s="375" t="s">
        <v>18</v>
      </c>
      <c r="G767" s="1739" t="s">
        <v>155</v>
      </c>
      <c r="H767" s="1343"/>
    </row>
    <row r="768" spans="1:8">
      <c r="A768" s="1343"/>
      <c r="B768" s="1687" t="s">
        <v>468</v>
      </c>
      <c r="C768" s="380" t="s">
        <v>18</v>
      </c>
      <c r="D768" s="369" t="s">
        <v>155</v>
      </c>
      <c r="E768" s="1738" t="s">
        <v>469</v>
      </c>
      <c r="F768" s="379" t="b">
        <v>0</v>
      </c>
      <c r="G768" s="1739" t="s">
        <v>388</v>
      </c>
      <c r="H768" s="1343"/>
    </row>
    <row r="769" spans="1:8" ht="13" thickBot="1">
      <c r="A769" s="1343"/>
      <c r="B769" s="1735"/>
      <c r="C769" s="1736"/>
      <c r="D769" s="1736"/>
      <c r="E769" s="1736"/>
      <c r="F769" s="1736"/>
      <c r="G769" s="1737"/>
      <c r="H769" s="1343"/>
    </row>
    <row r="770" spans="1:8" ht="13.5" thickBot="1">
      <c r="A770" s="1343"/>
      <c r="B770" s="5031" t="s">
        <v>514</v>
      </c>
      <c r="C770" s="5032"/>
      <c r="D770" s="5032"/>
      <c r="E770" s="5032"/>
      <c r="F770" s="5032"/>
      <c r="G770" s="5033"/>
      <c r="H770" s="1343"/>
    </row>
    <row r="771" spans="1:8" ht="13" thickTop="1">
      <c r="A771" s="1343"/>
      <c r="B771" s="1687" t="s">
        <v>466</v>
      </c>
      <c r="C771" s="1745">
        <v>232.98479037468201</v>
      </c>
      <c r="D771" s="368" t="s">
        <v>155</v>
      </c>
      <c r="E771" s="1738" t="s">
        <v>467</v>
      </c>
      <c r="F771" s="375" t="s">
        <v>18</v>
      </c>
      <c r="G771" s="1739" t="s">
        <v>155</v>
      </c>
      <c r="H771" s="1343"/>
    </row>
    <row r="772" spans="1:8">
      <c r="A772" s="1343"/>
      <c r="B772" s="1687" t="s">
        <v>468</v>
      </c>
      <c r="C772" s="380" t="s">
        <v>18</v>
      </c>
      <c r="D772" s="369" t="s">
        <v>155</v>
      </c>
      <c r="E772" s="1738" t="s">
        <v>469</v>
      </c>
      <c r="F772" s="379" t="b">
        <v>0</v>
      </c>
      <c r="G772" s="1739" t="s">
        <v>388</v>
      </c>
      <c r="H772" s="1343"/>
    </row>
    <row r="773" spans="1:8" ht="13" thickBot="1">
      <c r="A773" s="1343"/>
      <c r="B773" s="1735"/>
      <c r="C773" s="1736"/>
      <c r="D773" s="1736"/>
      <c r="E773" s="1736"/>
      <c r="F773" s="1736"/>
      <c r="G773" s="1737"/>
      <c r="H773" s="1343"/>
    </row>
    <row r="774" spans="1:8" ht="13.5" thickBot="1">
      <c r="A774" s="1343"/>
      <c r="B774" s="5031" t="s">
        <v>515</v>
      </c>
      <c r="C774" s="5032"/>
      <c r="D774" s="5032"/>
      <c r="E774" s="5032"/>
      <c r="F774" s="5032"/>
      <c r="G774" s="5033"/>
      <c r="H774" s="1343"/>
    </row>
    <row r="775" spans="1:8" ht="13" thickTop="1">
      <c r="A775" s="1343"/>
      <c r="B775" s="1687" t="s">
        <v>466</v>
      </c>
      <c r="C775" s="1740">
        <v>105094.15921403401</v>
      </c>
      <c r="D775" s="368" t="s">
        <v>155</v>
      </c>
      <c r="E775" s="1738" t="s">
        <v>467</v>
      </c>
      <c r="F775" s="375" t="s">
        <v>18</v>
      </c>
      <c r="G775" s="1739" t="s">
        <v>155</v>
      </c>
      <c r="H775" s="1343"/>
    </row>
    <row r="776" spans="1:8">
      <c r="A776" s="1343"/>
      <c r="B776" s="1687" t="s">
        <v>468</v>
      </c>
      <c r="C776" s="380" t="s">
        <v>18</v>
      </c>
      <c r="D776" s="369" t="s">
        <v>155</v>
      </c>
      <c r="E776" s="1738" t="s">
        <v>469</v>
      </c>
      <c r="F776" s="379" t="b">
        <v>0</v>
      </c>
      <c r="G776" s="1739" t="s">
        <v>388</v>
      </c>
      <c r="H776" s="1343"/>
    </row>
    <row r="777" spans="1:8" ht="13" thickBot="1">
      <c r="A777" s="1343"/>
      <c r="B777" s="1735"/>
      <c r="C777" s="1736"/>
      <c r="D777" s="1736"/>
      <c r="E777" s="1736"/>
      <c r="F777" s="1736"/>
      <c r="G777" s="1737"/>
      <c r="H777" s="1343"/>
    </row>
    <row r="778" spans="1:8" ht="13.5" thickBot="1">
      <c r="A778" s="1343"/>
      <c r="B778" s="5031" t="s">
        <v>516</v>
      </c>
      <c r="C778" s="5032"/>
      <c r="D778" s="5032"/>
      <c r="E778" s="5032"/>
      <c r="F778" s="5032"/>
      <c r="G778" s="5033"/>
      <c r="H778" s="1343"/>
    </row>
    <row r="779" spans="1:8" ht="13" thickTop="1">
      <c r="A779" s="1343"/>
      <c r="B779" s="1687" t="s">
        <v>466</v>
      </c>
      <c r="C779" s="378">
        <v>5.0253999895459499E-2</v>
      </c>
      <c r="D779" s="368" t="s">
        <v>517</v>
      </c>
      <c r="E779" s="1738" t="s">
        <v>467</v>
      </c>
      <c r="F779" s="375" t="s">
        <v>18</v>
      </c>
      <c r="G779" s="1739" t="s">
        <v>517</v>
      </c>
      <c r="H779" s="1343"/>
    </row>
    <row r="780" spans="1:8">
      <c r="A780" s="1343"/>
      <c r="B780" s="1687" t="s">
        <v>468</v>
      </c>
      <c r="C780" s="380" t="s">
        <v>18</v>
      </c>
      <c r="D780" s="369" t="s">
        <v>517</v>
      </c>
      <c r="E780" s="1738" t="s">
        <v>469</v>
      </c>
      <c r="F780" s="379" t="b">
        <v>0</v>
      </c>
      <c r="G780" s="1739" t="s">
        <v>388</v>
      </c>
      <c r="H780" s="1343"/>
    </row>
    <row r="781" spans="1:8" ht="13" thickBot="1">
      <c r="A781" s="1343"/>
      <c r="B781" s="1735"/>
      <c r="C781" s="1736"/>
      <c r="D781" s="1736"/>
      <c r="E781" s="1736"/>
      <c r="F781" s="1736"/>
      <c r="G781" s="1737"/>
      <c r="H781" s="1343"/>
    </row>
    <row r="782" spans="1:8" ht="13.5" thickBot="1">
      <c r="A782" s="1343"/>
      <c r="B782" s="5031" t="s">
        <v>518</v>
      </c>
      <c r="C782" s="5032"/>
      <c r="D782" s="5032"/>
      <c r="E782" s="5032"/>
      <c r="F782" s="5032"/>
      <c r="G782" s="5033"/>
      <c r="H782" s="1343"/>
    </row>
    <row r="783" spans="1:8" ht="13" thickTop="1">
      <c r="A783" s="1343"/>
      <c r="B783" s="1687" t="s">
        <v>466</v>
      </c>
      <c r="C783" s="376">
        <v>88.724332489999995</v>
      </c>
      <c r="D783" s="368" t="s">
        <v>296</v>
      </c>
      <c r="E783" s="1738" t="s">
        <v>467</v>
      </c>
      <c r="F783" s="375" t="s">
        <v>18</v>
      </c>
      <c r="G783" s="1739" t="s">
        <v>296</v>
      </c>
      <c r="H783" s="1343"/>
    </row>
    <row r="784" spans="1:8">
      <c r="A784" s="1343"/>
      <c r="B784" s="1687" t="s">
        <v>468</v>
      </c>
      <c r="C784" s="380" t="s">
        <v>18</v>
      </c>
      <c r="D784" s="369" t="s">
        <v>296</v>
      </c>
      <c r="E784" s="1738" t="s">
        <v>469</v>
      </c>
      <c r="F784" s="379" t="b">
        <v>0</v>
      </c>
      <c r="G784" s="1739" t="s">
        <v>388</v>
      </c>
      <c r="H784" s="1343"/>
    </row>
    <row r="785" spans="1:8" ht="13" thickBot="1">
      <c r="A785" s="1343"/>
      <c r="B785" s="1735"/>
      <c r="C785" s="1736"/>
      <c r="D785" s="1736"/>
      <c r="E785" s="1736"/>
      <c r="F785" s="1736"/>
      <c r="G785" s="1737"/>
      <c r="H785" s="1343"/>
    </row>
    <row r="786" spans="1:8" ht="13.5" thickBot="1">
      <c r="A786" s="1343"/>
      <c r="B786" s="5031" t="s">
        <v>519</v>
      </c>
      <c r="C786" s="5032"/>
      <c r="D786" s="5032"/>
      <c r="E786" s="5032"/>
      <c r="F786" s="5032"/>
      <c r="G786" s="5033"/>
      <c r="H786" s="1343"/>
    </row>
    <row r="787" spans="1:8" ht="13" thickTop="1">
      <c r="A787" s="1343"/>
      <c r="B787" s="1687" t="s">
        <v>466</v>
      </c>
      <c r="C787" s="376">
        <v>99.933467802302005</v>
      </c>
      <c r="D787" s="368" t="s">
        <v>296</v>
      </c>
      <c r="E787" s="1738" t="s">
        <v>467</v>
      </c>
      <c r="F787" s="375" t="s">
        <v>18</v>
      </c>
      <c r="G787" s="1739" t="s">
        <v>296</v>
      </c>
      <c r="H787" s="1343"/>
    </row>
    <row r="788" spans="1:8">
      <c r="A788" s="1343"/>
      <c r="B788" s="1687" t="s">
        <v>468</v>
      </c>
      <c r="C788" s="380" t="s">
        <v>18</v>
      </c>
      <c r="D788" s="369" t="s">
        <v>296</v>
      </c>
      <c r="E788" s="1738" t="s">
        <v>469</v>
      </c>
      <c r="F788" s="379" t="b">
        <v>0</v>
      </c>
      <c r="G788" s="1739" t="s">
        <v>388</v>
      </c>
      <c r="H788" s="1343"/>
    </row>
    <row r="789" spans="1:8" ht="13" thickBot="1">
      <c r="A789" s="1343"/>
      <c r="B789" s="1735"/>
      <c r="C789" s="1736"/>
      <c r="D789" s="1736"/>
      <c r="E789" s="1736"/>
      <c r="F789" s="1736"/>
      <c r="G789" s="1737"/>
      <c r="H789" s="1343"/>
    </row>
    <row r="790" spans="1:8" ht="13.5" thickBot="1">
      <c r="A790" s="1343"/>
      <c r="B790" s="5031" t="s">
        <v>520</v>
      </c>
      <c r="C790" s="5032"/>
      <c r="D790" s="5032"/>
      <c r="E790" s="5032"/>
      <c r="F790" s="5032"/>
      <c r="G790" s="5033"/>
      <c r="H790" s="1343"/>
    </row>
    <row r="791" spans="1:8" ht="13" thickTop="1">
      <c r="A791" s="1343"/>
      <c r="B791" s="1687" t="s">
        <v>466</v>
      </c>
      <c r="C791" s="376">
        <v>90.079809526450404</v>
      </c>
      <c r="D791" s="368" t="s">
        <v>296</v>
      </c>
      <c r="E791" s="1738" t="s">
        <v>467</v>
      </c>
      <c r="F791" s="375" t="s">
        <v>18</v>
      </c>
      <c r="G791" s="1739" t="s">
        <v>296</v>
      </c>
      <c r="H791" s="1343"/>
    </row>
    <row r="792" spans="1:8">
      <c r="A792" s="1343"/>
      <c r="B792" s="1687" t="s">
        <v>468</v>
      </c>
      <c r="C792" s="380" t="s">
        <v>18</v>
      </c>
      <c r="D792" s="369" t="s">
        <v>296</v>
      </c>
      <c r="E792" s="1738" t="s">
        <v>469</v>
      </c>
      <c r="F792" s="379" t="b">
        <v>0</v>
      </c>
      <c r="G792" s="1739" t="s">
        <v>388</v>
      </c>
      <c r="H792" s="1343"/>
    </row>
    <row r="793" spans="1:8">
      <c r="A793" s="1343"/>
      <c r="B793" s="1735"/>
      <c r="C793" s="1736"/>
      <c r="D793" s="1736"/>
      <c r="E793" s="1736"/>
      <c r="F793" s="1736"/>
      <c r="G793" s="1737"/>
      <c r="H793" s="1343"/>
    </row>
    <row r="794" spans="1:8">
      <c r="A794" s="1343"/>
      <c r="B794" s="5034" t="s">
        <v>521</v>
      </c>
      <c r="C794" s="5035"/>
      <c r="D794" s="5035"/>
      <c r="E794" s="5035"/>
      <c r="F794" s="5035"/>
      <c r="G794" s="5036"/>
      <c r="H794" s="1343"/>
    </row>
    <row r="795" spans="1:8">
      <c r="A795" s="1343"/>
      <c r="B795" s="5028" t="s">
        <v>1129</v>
      </c>
      <c r="C795" s="5029"/>
      <c r="D795" s="5029"/>
      <c r="E795" s="5029"/>
      <c r="F795" s="5029"/>
      <c r="G795" s="5030"/>
      <c r="H795" s="1343"/>
    </row>
    <row r="796" spans="1:8">
      <c r="A796" s="1343"/>
      <c r="B796" s="1743"/>
      <c r="C796" s="370"/>
      <c r="D796" s="370"/>
      <c r="E796" s="370"/>
      <c r="F796" s="370"/>
      <c r="G796" s="372"/>
      <c r="H796" s="1343"/>
    </row>
    <row r="797" spans="1:8" ht="13" thickBot="1">
      <c r="A797" s="1343"/>
      <c r="B797" s="1735"/>
      <c r="C797" s="1736"/>
      <c r="D797" s="1736"/>
      <c r="E797" s="1736"/>
      <c r="F797" s="1736"/>
      <c r="G797" s="1737"/>
      <c r="H797" s="1343"/>
    </row>
    <row r="798" spans="1:8" ht="13.5" thickBot="1">
      <c r="A798" s="1343"/>
      <c r="B798" s="5037" t="s">
        <v>1130</v>
      </c>
      <c r="C798" s="5038"/>
      <c r="D798" s="5038"/>
      <c r="E798" s="5038"/>
      <c r="F798" s="5038"/>
      <c r="G798" s="5039"/>
      <c r="H798" s="1343"/>
    </row>
    <row r="799" spans="1:8" ht="13.5" thickBot="1">
      <c r="A799" s="1343"/>
      <c r="B799" s="5031" t="s">
        <v>465</v>
      </c>
      <c r="C799" s="5032"/>
      <c r="D799" s="5032"/>
      <c r="E799" s="5032"/>
      <c r="F799" s="5032"/>
      <c r="G799" s="5033"/>
      <c r="H799" s="1343"/>
    </row>
    <row r="800" spans="1:8" ht="13" thickTop="1">
      <c r="A800" s="1343"/>
      <c r="B800" s="1687" t="s">
        <v>466</v>
      </c>
      <c r="C800" s="374">
        <v>1</v>
      </c>
      <c r="D800" s="368" t="s">
        <v>388</v>
      </c>
      <c r="E800" s="1738" t="s">
        <v>467</v>
      </c>
      <c r="F800" s="375" t="s">
        <v>18</v>
      </c>
      <c r="G800" s="1739" t="s">
        <v>388</v>
      </c>
      <c r="H800" s="1343"/>
    </row>
    <row r="801" spans="1:8">
      <c r="A801" s="1343"/>
      <c r="B801" s="1687" t="s">
        <v>468</v>
      </c>
      <c r="C801" s="380" t="s">
        <v>18</v>
      </c>
      <c r="D801" s="369" t="s">
        <v>388</v>
      </c>
      <c r="E801" s="1738" t="s">
        <v>469</v>
      </c>
      <c r="F801" s="379" t="b">
        <v>0</v>
      </c>
      <c r="G801" s="1739" t="s">
        <v>388</v>
      </c>
      <c r="H801" s="1343"/>
    </row>
    <row r="802" spans="1:8" ht="13" thickBot="1">
      <c r="A802" s="1343"/>
      <c r="B802" s="1735"/>
      <c r="C802" s="1736"/>
      <c r="D802" s="1736"/>
      <c r="E802" s="1736"/>
      <c r="F802" s="1736"/>
      <c r="G802" s="1737"/>
      <c r="H802" s="1343"/>
    </row>
    <row r="803" spans="1:8" ht="13.5" thickBot="1">
      <c r="A803" s="1343"/>
      <c r="B803" s="5031" t="s">
        <v>470</v>
      </c>
      <c r="C803" s="5032"/>
      <c r="D803" s="5032"/>
      <c r="E803" s="5032"/>
      <c r="F803" s="5032"/>
      <c r="G803" s="5033"/>
      <c r="H803" s="1343"/>
    </row>
    <row r="804" spans="1:8" ht="13" thickTop="1">
      <c r="A804" s="1343"/>
      <c r="B804" s="1687" t="s">
        <v>466</v>
      </c>
      <c r="C804" s="374">
        <v>30</v>
      </c>
      <c r="D804" s="368" t="s">
        <v>289</v>
      </c>
      <c r="E804" s="1738" t="s">
        <v>467</v>
      </c>
      <c r="F804" s="375" t="s">
        <v>18</v>
      </c>
      <c r="G804" s="1739" t="s">
        <v>289</v>
      </c>
      <c r="H804" s="1343"/>
    </row>
    <row r="805" spans="1:8">
      <c r="A805" s="1343"/>
      <c r="B805" s="1687" t="s">
        <v>468</v>
      </c>
      <c r="C805" s="380" t="s">
        <v>18</v>
      </c>
      <c r="D805" s="369" t="s">
        <v>289</v>
      </c>
      <c r="E805" s="1738" t="s">
        <v>469</v>
      </c>
      <c r="F805" s="379" t="b">
        <v>0</v>
      </c>
      <c r="G805" s="1739" t="s">
        <v>388</v>
      </c>
      <c r="H805" s="1343"/>
    </row>
    <row r="806" spans="1:8" ht="13" thickBot="1">
      <c r="A806" s="1343"/>
      <c r="B806" s="1735"/>
      <c r="C806" s="1736"/>
      <c r="D806" s="1736"/>
      <c r="E806" s="1736"/>
      <c r="F806" s="1736"/>
      <c r="G806" s="1737"/>
      <c r="H806" s="1343"/>
    </row>
    <row r="807" spans="1:8" ht="13.5" thickBot="1">
      <c r="A807" s="1343"/>
      <c r="B807" s="5031" t="s">
        <v>471</v>
      </c>
      <c r="C807" s="5032"/>
      <c r="D807" s="5032"/>
      <c r="E807" s="5032"/>
      <c r="F807" s="5032"/>
      <c r="G807" s="5033"/>
      <c r="H807" s="1343"/>
    </row>
    <row r="808" spans="1:8" ht="13" thickTop="1">
      <c r="A808" s="1343"/>
      <c r="B808" s="1687" t="s">
        <v>466</v>
      </c>
      <c r="C808" s="374">
        <v>15.5</v>
      </c>
      <c r="D808" s="368" t="s">
        <v>289</v>
      </c>
      <c r="E808" s="1738" t="s">
        <v>467</v>
      </c>
      <c r="F808" s="375" t="s">
        <v>18</v>
      </c>
      <c r="G808" s="1739" t="s">
        <v>289</v>
      </c>
      <c r="H808" s="1343"/>
    </row>
    <row r="809" spans="1:8">
      <c r="A809" s="1343"/>
      <c r="B809" s="1687" t="s">
        <v>468</v>
      </c>
      <c r="C809" s="380" t="s">
        <v>18</v>
      </c>
      <c r="D809" s="369" t="s">
        <v>289</v>
      </c>
      <c r="E809" s="1738" t="s">
        <v>469</v>
      </c>
      <c r="F809" s="379" t="b">
        <v>0</v>
      </c>
      <c r="G809" s="1739" t="s">
        <v>388</v>
      </c>
      <c r="H809" s="1343"/>
    </row>
    <row r="810" spans="1:8" ht="13" thickBot="1">
      <c r="A810" s="1343"/>
      <c r="B810" s="1735"/>
      <c r="C810" s="1736"/>
      <c r="D810" s="1736"/>
      <c r="E810" s="1736"/>
      <c r="F810" s="1736"/>
      <c r="G810" s="1737"/>
      <c r="H810" s="1343"/>
    </row>
    <row r="811" spans="1:8" ht="13.5" thickBot="1">
      <c r="A811" s="1343"/>
      <c r="B811" s="5031" t="s">
        <v>472</v>
      </c>
      <c r="C811" s="5032"/>
      <c r="D811" s="5032"/>
      <c r="E811" s="5032"/>
      <c r="F811" s="5032"/>
      <c r="G811" s="5033"/>
      <c r="H811" s="1343"/>
    </row>
    <row r="812" spans="1:8" ht="13" thickTop="1">
      <c r="A812" s="1343"/>
      <c r="B812" s="1687" t="s">
        <v>466</v>
      </c>
      <c r="C812" s="378">
        <v>2.9999999999999E-2</v>
      </c>
      <c r="D812" s="368" t="s">
        <v>297</v>
      </c>
      <c r="E812" s="1738" t="s">
        <v>467</v>
      </c>
      <c r="F812" s="375" t="s">
        <v>18</v>
      </c>
      <c r="G812" s="1739" t="s">
        <v>297</v>
      </c>
      <c r="H812" s="1343"/>
    </row>
    <row r="813" spans="1:8">
      <c r="A813" s="1343"/>
      <c r="B813" s="1687" t="s">
        <v>468</v>
      </c>
      <c r="C813" s="380" t="s">
        <v>18</v>
      </c>
      <c r="D813" s="369" t="s">
        <v>297</v>
      </c>
      <c r="E813" s="1738" t="s">
        <v>469</v>
      </c>
      <c r="F813" s="379" t="b">
        <v>0</v>
      </c>
      <c r="G813" s="1739" t="s">
        <v>388</v>
      </c>
      <c r="H813" s="1343"/>
    </row>
    <row r="814" spans="1:8" ht="13" thickBot="1">
      <c r="A814" s="1343"/>
      <c r="B814" s="1735"/>
      <c r="C814" s="1736"/>
      <c r="D814" s="1736"/>
      <c r="E814" s="1736"/>
      <c r="F814" s="1736"/>
      <c r="G814" s="1737"/>
      <c r="H814" s="1343"/>
    </row>
    <row r="815" spans="1:8" ht="13.5" thickBot="1">
      <c r="A815" s="1343"/>
      <c r="B815" s="5031" t="s">
        <v>473</v>
      </c>
      <c r="C815" s="5032"/>
      <c r="D815" s="5032"/>
      <c r="E815" s="5032"/>
      <c r="F815" s="5032"/>
      <c r="G815" s="5033"/>
      <c r="H815" s="1343"/>
    </row>
    <row r="816" spans="1:8" ht="13" thickTop="1">
      <c r="A816" s="1343"/>
      <c r="B816" s="1687" t="s">
        <v>466</v>
      </c>
      <c r="C816" s="378">
        <v>-2.9999999999999E-2</v>
      </c>
      <c r="D816" s="368" t="s">
        <v>297</v>
      </c>
      <c r="E816" s="1738" t="s">
        <v>467</v>
      </c>
      <c r="F816" s="375" t="s">
        <v>18</v>
      </c>
      <c r="G816" s="1739" t="s">
        <v>297</v>
      </c>
      <c r="H816" s="1343"/>
    </row>
    <row r="817" spans="1:8">
      <c r="A817" s="1343"/>
      <c r="B817" s="1687" t="s">
        <v>468</v>
      </c>
      <c r="C817" s="380" t="s">
        <v>18</v>
      </c>
      <c r="D817" s="369" t="s">
        <v>297</v>
      </c>
      <c r="E817" s="1738" t="s">
        <v>469</v>
      </c>
      <c r="F817" s="379" t="b">
        <v>0</v>
      </c>
      <c r="G817" s="1739" t="s">
        <v>388</v>
      </c>
      <c r="H817" s="1343"/>
    </row>
    <row r="818" spans="1:8" ht="13" thickBot="1">
      <c r="A818" s="1343"/>
      <c r="B818" s="1735"/>
      <c r="C818" s="1736"/>
      <c r="D818" s="1736"/>
      <c r="E818" s="1736"/>
      <c r="F818" s="1736"/>
      <c r="G818" s="1737"/>
      <c r="H818" s="1343"/>
    </row>
    <row r="819" spans="1:8" ht="13.5" thickBot="1">
      <c r="A819" s="1343"/>
      <c r="B819" s="5031" t="s">
        <v>474</v>
      </c>
      <c r="C819" s="5032"/>
      <c r="D819" s="5032"/>
      <c r="E819" s="5032"/>
      <c r="F819" s="5032"/>
      <c r="G819" s="5033"/>
      <c r="H819" s="1343"/>
    </row>
    <row r="820" spans="1:8" ht="13" thickTop="1">
      <c r="A820" s="1343"/>
      <c r="B820" s="1687" t="s">
        <v>466</v>
      </c>
      <c r="C820" s="375" t="s">
        <v>18</v>
      </c>
      <c r="D820" s="368" t="s">
        <v>289</v>
      </c>
      <c r="E820" s="1738" t="s">
        <v>467</v>
      </c>
      <c r="F820" s="375" t="s">
        <v>18</v>
      </c>
      <c r="G820" s="1739" t="s">
        <v>289</v>
      </c>
      <c r="H820" s="1343"/>
    </row>
    <row r="821" spans="1:8">
      <c r="A821" s="1343"/>
      <c r="B821" s="1687" t="s">
        <v>468</v>
      </c>
      <c r="C821" s="375" t="s">
        <v>18</v>
      </c>
      <c r="D821" s="369" t="s">
        <v>289</v>
      </c>
      <c r="E821" s="1738" t="s">
        <v>469</v>
      </c>
      <c r="F821" s="379" t="b">
        <v>0</v>
      </c>
      <c r="G821" s="1739" t="s">
        <v>388</v>
      </c>
      <c r="H821" s="1343"/>
    </row>
    <row r="822" spans="1:8" ht="13" thickBot="1">
      <c r="A822" s="1343"/>
      <c r="B822" s="1735"/>
      <c r="C822" s="1736"/>
      <c r="D822" s="1736"/>
      <c r="E822" s="1736"/>
      <c r="F822" s="1736"/>
      <c r="G822" s="1737"/>
      <c r="H822" s="1343"/>
    </row>
    <row r="823" spans="1:8" ht="13.5" thickBot="1">
      <c r="A823" s="1343"/>
      <c r="B823" s="5031" t="s">
        <v>475</v>
      </c>
      <c r="C823" s="5032"/>
      <c r="D823" s="5032"/>
      <c r="E823" s="5032"/>
      <c r="F823" s="5032"/>
      <c r="G823" s="5033"/>
      <c r="H823" s="1343"/>
    </row>
    <row r="824" spans="1:8" ht="13" thickTop="1">
      <c r="A824" s="1343"/>
      <c r="B824" s="1687" t="s">
        <v>466</v>
      </c>
      <c r="C824" s="374">
        <v>0</v>
      </c>
      <c r="D824" s="368" t="s">
        <v>297</v>
      </c>
      <c r="E824" s="1738" t="s">
        <v>467</v>
      </c>
      <c r="F824" s="375" t="s">
        <v>18</v>
      </c>
      <c r="G824" s="1739" t="s">
        <v>297</v>
      </c>
      <c r="H824" s="1343"/>
    </row>
    <row r="825" spans="1:8">
      <c r="A825" s="1343"/>
      <c r="B825" s="1687" t="s">
        <v>468</v>
      </c>
      <c r="C825" s="380" t="s">
        <v>18</v>
      </c>
      <c r="D825" s="369" t="s">
        <v>297</v>
      </c>
      <c r="E825" s="1738" t="s">
        <v>469</v>
      </c>
      <c r="F825" s="379" t="b">
        <v>0</v>
      </c>
      <c r="G825" s="1739" t="s">
        <v>388</v>
      </c>
      <c r="H825" s="1343"/>
    </row>
    <row r="826" spans="1:8" ht="13" thickBot="1">
      <c r="A826" s="1343"/>
      <c r="B826" s="1735"/>
      <c r="C826" s="1736"/>
      <c r="D826" s="1736"/>
      <c r="E826" s="1736"/>
      <c r="F826" s="1736"/>
      <c r="G826" s="1737"/>
      <c r="H826" s="1343"/>
    </row>
    <row r="827" spans="1:8" ht="13.5" thickBot="1">
      <c r="A827" s="1343"/>
      <c r="B827" s="5031" t="s">
        <v>476</v>
      </c>
      <c r="C827" s="5032"/>
      <c r="D827" s="5032"/>
      <c r="E827" s="5032"/>
      <c r="F827" s="5032"/>
      <c r="G827" s="5033"/>
      <c r="H827" s="1343"/>
    </row>
    <row r="828" spans="1:8" ht="13" thickTop="1">
      <c r="A828" s="1343"/>
      <c r="B828" s="1687" t="s">
        <v>466</v>
      </c>
      <c r="C828" s="374">
        <v>50</v>
      </c>
      <c r="D828" s="368" t="s">
        <v>296</v>
      </c>
      <c r="E828" s="1738" t="s">
        <v>467</v>
      </c>
      <c r="F828" s="375" t="s">
        <v>18</v>
      </c>
      <c r="G828" s="1739" t="s">
        <v>296</v>
      </c>
      <c r="H828" s="1343"/>
    </row>
    <row r="829" spans="1:8">
      <c r="A829" s="1343"/>
      <c r="B829" s="1687" t="s">
        <v>468</v>
      </c>
      <c r="C829" s="380" t="s">
        <v>18</v>
      </c>
      <c r="D829" s="369" t="s">
        <v>296</v>
      </c>
      <c r="E829" s="1738" t="s">
        <v>469</v>
      </c>
      <c r="F829" s="379" t="b">
        <v>0</v>
      </c>
      <c r="G829" s="1739" t="s">
        <v>388</v>
      </c>
      <c r="H829" s="1343"/>
    </row>
    <row r="830" spans="1:8" ht="13" thickBot="1">
      <c r="A830" s="1343"/>
      <c r="B830" s="1735"/>
      <c r="C830" s="1736"/>
      <c r="D830" s="1736"/>
      <c r="E830" s="1736"/>
      <c r="F830" s="1736"/>
      <c r="G830" s="1737"/>
      <c r="H830" s="1343"/>
    </row>
    <row r="831" spans="1:8" ht="13.5" thickBot="1">
      <c r="A831" s="1343"/>
      <c r="B831" s="5031" t="s">
        <v>477</v>
      </c>
      <c r="C831" s="5032"/>
      <c r="D831" s="5032"/>
      <c r="E831" s="5032"/>
      <c r="F831" s="5032"/>
      <c r="G831" s="5033"/>
      <c r="H831" s="1343"/>
    </row>
    <row r="832" spans="1:8" ht="13" thickTop="1">
      <c r="A832" s="1343"/>
      <c r="B832" s="1687" t="s">
        <v>466</v>
      </c>
      <c r="C832" s="374">
        <v>90</v>
      </c>
      <c r="D832" s="368" t="s">
        <v>296</v>
      </c>
      <c r="E832" s="1738" t="s">
        <v>467</v>
      </c>
      <c r="F832" s="375" t="s">
        <v>18</v>
      </c>
      <c r="G832" s="1739" t="s">
        <v>296</v>
      </c>
      <c r="H832" s="1343"/>
    </row>
    <row r="833" spans="1:8">
      <c r="A833" s="1343"/>
      <c r="B833" s="1687" t="s">
        <v>468</v>
      </c>
      <c r="C833" s="380" t="s">
        <v>18</v>
      </c>
      <c r="D833" s="369" t="s">
        <v>296</v>
      </c>
      <c r="E833" s="1738" t="s">
        <v>469</v>
      </c>
      <c r="F833" s="379" t="b">
        <v>0</v>
      </c>
      <c r="G833" s="1739" t="s">
        <v>388</v>
      </c>
      <c r="H833" s="1343"/>
    </row>
    <row r="834" spans="1:8" ht="13" thickBot="1">
      <c r="A834" s="1343"/>
      <c r="B834" s="1735"/>
      <c r="C834" s="1736"/>
      <c r="D834" s="1736"/>
      <c r="E834" s="1736"/>
      <c r="F834" s="1736"/>
      <c r="G834" s="1737"/>
      <c r="H834" s="1343"/>
    </row>
    <row r="835" spans="1:8" ht="13.5" thickBot="1">
      <c r="A835" s="1343"/>
      <c r="B835" s="5031" t="s">
        <v>478</v>
      </c>
      <c r="C835" s="5032"/>
      <c r="D835" s="5032"/>
      <c r="E835" s="5032"/>
      <c r="F835" s="5032"/>
      <c r="G835" s="5033"/>
      <c r="H835" s="1343"/>
    </row>
    <row r="836" spans="1:8" ht="13" thickTop="1">
      <c r="A836" s="1343"/>
      <c r="B836" s="1687" t="s">
        <v>466</v>
      </c>
      <c r="C836" s="1744">
        <v>12110.376360980999</v>
      </c>
      <c r="D836" s="368" t="s">
        <v>479</v>
      </c>
      <c r="E836" s="1738" t="s">
        <v>467</v>
      </c>
      <c r="F836" s="375" t="s">
        <v>18</v>
      </c>
      <c r="G836" s="1739" t="s">
        <v>479</v>
      </c>
      <c r="H836" s="1343"/>
    </row>
    <row r="837" spans="1:8">
      <c r="A837" s="1343"/>
      <c r="B837" s="1687" t="s">
        <v>468</v>
      </c>
      <c r="C837" s="380" t="s">
        <v>18</v>
      </c>
      <c r="D837" s="369" t="s">
        <v>479</v>
      </c>
      <c r="E837" s="1738" t="s">
        <v>469</v>
      </c>
      <c r="F837" s="379" t="b">
        <v>0</v>
      </c>
      <c r="G837" s="1739" t="s">
        <v>388</v>
      </c>
      <c r="H837" s="1343"/>
    </row>
    <row r="838" spans="1:8" ht="13" thickBot="1">
      <c r="A838" s="1343"/>
      <c r="B838" s="1735"/>
      <c r="C838" s="1736"/>
      <c r="D838" s="1736"/>
      <c r="E838" s="1736"/>
      <c r="F838" s="1736"/>
      <c r="G838" s="1737"/>
      <c r="H838" s="1343"/>
    </row>
    <row r="839" spans="1:8" ht="13.5" thickBot="1">
      <c r="A839" s="1343"/>
      <c r="B839" s="5031" t="s">
        <v>480</v>
      </c>
      <c r="C839" s="5032"/>
      <c r="D839" s="5032"/>
      <c r="E839" s="5032"/>
      <c r="F839" s="5032"/>
      <c r="G839" s="5033"/>
      <c r="H839" s="1343"/>
    </row>
    <row r="840" spans="1:8" ht="13" thickTop="1">
      <c r="A840" s="1343"/>
      <c r="B840" s="1687" t="s">
        <v>466</v>
      </c>
      <c r="C840" s="375" t="s">
        <v>18</v>
      </c>
      <c r="D840" s="368" t="s">
        <v>296</v>
      </c>
      <c r="E840" s="1738" t="s">
        <v>467</v>
      </c>
      <c r="F840" s="375" t="s">
        <v>18</v>
      </c>
      <c r="G840" s="1739" t="s">
        <v>296</v>
      </c>
      <c r="H840" s="1343"/>
    </row>
    <row r="841" spans="1:8">
      <c r="A841" s="1343"/>
      <c r="B841" s="1687" t="s">
        <v>468</v>
      </c>
      <c r="C841" s="375" t="s">
        <v>18</v>
      </c>
      <c r="D841" s="369" t="s">
        <v>296</v>
      </c>
      <c r="E841" s="1738" t="s">
        <v>469</v>
      </c>
      <c r="F841" s="379" t="b">
        <v>0</v>
      </c>
      <c r="G841" s="1739" t="s">
        <v>388</v>
      </c>
      <c r="H841" s="1343"/>
    </row>
    <row r="842" spans="1:8" ht="13" thickBot="1">
      <c r="A842" s="1343"/>
      <c r="B842" s="1735"/>
      <c r="C842" s="1736"/>
      <c r="D842" s="1736"/>
      <c r="E842" s="1736"/>
      <c r="F842" s="1736"/>
      <c r="G842" s="1737"/>
      <c r="H842" s="1343"/>
    </row>
    <row r="843" spans="1:8" ht="13.5" thickBot="1">
      <c r="A843" s="1343"/>
      <c r="B843" s="5031" t="s">
        <v>481</v>
      </c>
      <c r="C843" s="5032"/>
      <c r="D843" s="5032"/>
      <c r="E843" s="5032"/>
      <c r="F843" s="5032"/>
      <c r="G843" s="5033"/>
      <c r="H843" s="1343"/>
    </row>
    <row r="844" spans="1:8" ht="13" thickTop="1">
      <c r="A844" s="1343"/>
      <c r="B844" s="1687" t="s">
        <v>466</v>
      </c>
      <c r="C844" s="376">
        <v>75.733333329999994</v>
      </c>
      <c r="D844" s="368" t="s">
        <v>299</v>
      </c>
      <c r="E844" s="1738" t="s">
        <v>467</v>
      </c>
      <c r="F844" s="375" t="s">
        <v>18</v>
      </c>
      <c r="G844" s="1739" t="s">
        <v>299</v>
      </c>
      <c r="H844" s="1343"/>
    </row>
    <row r="845" spans="1:8">
      <c r="A845" s="1343"/>
      <c r="B845" s="1687" t="s">
        <v>468</v>
      </c>
      <c r="C845" s="380" t="s">
        <v>18</v>
      </c>
      <c r="D845" s="369" t="s">
        <v>299</v>
      </c>
      <c r="E845" s="1738" t="s">
        <v>469</v>
      </c>
      <c r="F845" s="379" t="b">
        <v>0</v>
      </c>
      <c r="G845" s="1739" t="s">
        <v>388</v>
      </c>
      <c r="H845" s="1343"/>
    </row>
    <row r="846" spans="1:8" ht="13" thickBot="1">
      <c r="A846" s="1343"/>
      <c r="B846" s="1735"/>
      <c r="C846" s="1736"/>
      <c r="D846" s="1736"/>
      <c r="E846" s="1736"/>
      <c r="F846" s="1736"/>
      <c r="G846" s="1737"/>
      <c r="H846" s="1343"/>
    </row>
    <row r="847" spans="1:8" ht="13.5" thickBot="1">
      <c r="A847" s="1343"/>
      <c r="B847" s="5031" t="s">
        <v>482</v>
      </c>
      <c r="C847" s="5032"/>
      <c r="D847" s="5032"/>
      <c r="E847" s="5032"/>
      <c r="F847" s="5032"/>
      <c r="G847" s="5033"/>
      <c r="H847" s="1343"/>
    </row>
    <row r="848" spans="1:8" ht="13" thickTop="1">
      <c r="A848" s="1343"/>
      <c r="B848" s="1687" t="s">
        <v>466</v>
      </c>
      <c r="C848" s="374">
        <v>45.9</v>
      </c>
      <c r="D848" s="368" t="s">
        <v>299</v>
      </c>
      <c r="E848" s="1738" t="s">
        <v>467</v>
      </c>
      <c r="F848" s="375" t="s">
        <v>18</v>
      </c>
      <c r="G848" s="1739" t="s">
        <v>299</v>
      </c>
      <c r="H848" s="1343"/>
    </row>
    <row r="849" spans="1:8">
      <c r="A849" s="1343"/>
      <c r="B849" s="1687" t="s">
        <v>468</v>
      </c>
      <c r="C849" s="380" t="s">
        <v>18</v>
      </c>
      <c r="D849" s="369" t="s">
        <v>299</v>
      </c>
      <c r="E849" s="1738" t="s">
        <v>469</v>
      </c>
      <c r="F849" s="379" t="b">
        <v>0</v>
      </c>
      <c r="G849" s="1739" t="s">
        <v>388</v>
      </c>
      <c r="H849" s="1343"/>
    </row>
    <row r="850" spans="1:8" ht="13" thickBot="1">
      <c r="A850" s="1343"/>
      <c r="B850" s="1735"/>
      <c r="C850" s="1736"/>
      <c r="D850" s="1736"/>
      <c r="E850" s="1736"/>
      <c r="F850" s="1736"/>
      <c r="G850" s="1737"/>
      <c r="H850" s="1343"/>
    </row>
    <row r="851" spans="1:8" ht="13.5" thickBot="1">
      <c r="A851" s="1343"/>
      <c r="B851" s="5031" t="s">
        <v>483</v>
      </c>
      <c r="C851" s="5032"/>
      <c r="D851" s="5032"/>
      <c r="E851" s="5032"/>
      <c r="F851" s="5032"/>
      <c r="G851" s="5033"/>
      <c r="H851" s="1343"/>
    </row>
    <row r="852" spans="1:8" ht="13" thickTop="1">
      <c r="A852" s="1343"/>
      <c r="B852" s="1687" t="s">
        <v>466</v>
      </c>
      <c r="C852" s="376">
        <v>70.378349195815602</v>
      </c>
      <c r="D852" s="368" t="s">
        <v>299</v>
      </c>
      <c r="E852" s="1738" t="s">
        <v>467</v>
      </c>
      <c r="F852" s="375" t="s">
        <v>18</v>
      </c>
      <c r="G852" s="1739" t="s">
        <v>299</v>
      </c>
      <c r="H852" s="1343"/>
    </row>
    <row r="853" spans="1:8">
      <c r="A853" s="1343"/>
      <c r="B853" s="1687" t="s">
        <v>468</v>
      </c>
      <c r="C853" s="380" t="s">
        <v>18</v>
      </c>
      <c r="D853" s="369" t="s">
        <v>299</v>
      </c>
      <c r="E853" s="1738" t="s">
        <v>469</v>
      </c>
      <c r="F853" s="379" t="b">
        <v>0</v>
      </c>
      <c r="G853" s="1739" t="s">
        <v>388</v>
      </c>
      <c r="H853" s="1343"/>
    </row>
    <row r="854" spans="1:8" ht="13" thickBot="1">
      <c r="A854" s="1343"/>
      <c r="B854" s="1735"/>
      <c r="C854" s="1736"/>
      <c r="D854" s="1736"/>
      <c r="E854" s="1736"/>
      <c r="F854" s="1736"/>
      <c r="G854" s="1737"/>
      <c r="H854" s="1343"/>
    </row>
    <row r="855" spans="1:8" ht="13.5" thickBot="1">
      <c r="A855" s="1343"/>
      <c r="B855" s="5031" t="s">
        <v>484</v>
      </c>
      <c r="C855" s="5032"/>
      <c r="D855" s="5032"/>
      <c r="E855" s="5032"/>
      <c r="F855" s="5032"/>
      <c r="G855" s="5033"/>
      <c r="H855" s="1343"/>
    </row>
    <row r="856" spans="1:8" ht="13" thickTop="1">
      <c r="A856" s="1343"/>
      <c r="B856" s="1687" t="s">
        <v>466</v>
      </c>
      <c r="C856" s="374">
        <v>12.731</v>
      </c>
      <c r="D856" s="368" t="s">
        <v>295</v>
      </c>
      <c r="E856" s="1738" t="s">
        <v>467</v>
      </c>
      <c r="F856" s="375" t="s">
        <v>18</v>
      </c>
      <c r="G856" s="1739" t="s">
        <v>295</v>
      </c>
      <c r="H856" s="1343"/>
    </row>
    <row r="857" spans="1:8">
      <c r="A857" s="1343"/>
      <c r="B857" s="1687" t="s">
        <v>468</v>
      </c>
      <c r="C857" s="380" t="s">
        <v>18</v>
      </c>
      <c r="D857" s="369" t="s">
        <v>295</v>
      </c>
      <c r="E857" s="1738" t="s">
        <v>469</v>
      </c>
      <c r="F857" s="379" t="b">
        <v>0</v>
      </c>
      <c r="G857" s="1739" t="s">
        <v>388</v>
      </c>
      <c r="H857" s="1343"/>
    </row>
    <row r="858" spans="1:8" ht="13" thickBot="1">
      <c r="A858" s="1343"/>
      <c r="B858" s="1735"/>
      <c r="C858" s="1736"/>
      <c r="D858" s="1736"/>
      <c r="E858" s="1736"/>
      <c r="F858" s="1736"/>
      <c r="G858" s="1737"/>
      <c r="H858" s="1343"/>
    </row>
    <row r="859" spans="1:8" ht="13.5" thickBot="1">
      <c r="A859" s="1343"/>
      <c r="B859" s="5031" t="s">
        <v>485</v>
      </c>
      <c r="C859" s="5032"/>
      <c r="D859" s="5032"/>
      <c r="E859" s="5032"/>
      <c r="F859" s="5032"/>
      <c r="G859" s="5033"/>
      <c r="H859" s="1343"/>
    </row>
    <row r="860" spans="1:8" ht="13" thickTop="1">
      <c r="A860" s="1343"/>
      <c r="B860" s="1687" t="s">
        <v>466</v>
      </c>
      <c r="C860" s="374">
        <v>1810</v>
      </c>
      <c r="D860" s="368" t="s">
        <v>486</v>
      </c>
      <c r="E860" s="1738" t="s">
        <v>467</v>
      </c>
      <c r="F860" s="375" t="s">
        <v>18</v>
      </c>
      <c r="G860" s="1739" t="s">
        <v>486</v>
      </c>
      <c r="H860" s="1343"/>
    </row>
    <row r="861" spans="1:8">
      <c r="A861" s="1343"/>
      <c r="B861" s="1687" t="s">
        <v>468</v>
      </c>
      <c r="C861" s="380" t="s">
        <v>18</v>
      </c>
      <c r="D861" s="369" t="s">
        <v>486</v>
      </c>
      <c r="E861" s="1738" t="s">
        <v>469</v>
      </c>
      <c r="F861" s="379" t="b">
        <v>0</v>
      </c>
      <c r="G861" s="1739" t="s">
        <v>388</v>
      </c>
      <c r="H861" s="1343"/>
    </row>
    <row r="862" spans="1:8" ht="13" thickBot="1">
      <c r="A862" s="1343"/>
      <c r="B862" s="1735"/>
      <c r="C862" s="1736"/>
      <c r="D862" s="1736"/>
      <c r="E862" s="1736"/>
      <c r="F862" s="1736"/>
      <c r="G862" s="1737"/>
      <c r="H862" s="1343"/>
    </row>
    <row r="863" spans="1:8" ht="13.5" thickBot="1">
      <c r="A863" s="1343"/>
      <c r="B863" s="5031" t="s">
        <v>487</v>
      </c>
      <c r="C863" s="5032"/>
      <c r="D863" s="5032"/>
      <c r="E863" s="5032"/>
      <c r="F863" s="5032"/>
      <c r="G863" s="5033"/>
      <c r="H863" s="1343"/>
    </row>
    <row r="864" spans="1:8" ht="13" thickTop="1">
      <c r="A864" s="1343"/>
      <c r="B864" s="1687" t="s">
        <v>466</v>
      </c>
      <c r="C864" s="377">
        <v>8.6833333330000002</v>
      </c>
      <c r="D864" s="368" t="s">
        <v>488</v>
      </c>
      <c r="E864" s="1738" t="s">
        <v>467</v>
      </c>
      <c r="F864" s="375" t="s">
        <v>18</v>
      </c>
      <c r="G864" s="1739" t="s">
        <v>488</v>
      </c>
      <c r="H864" s="1343"/>
    </row>
    <row r="865" spans="1:8">
      <c r="A865" s="1343"/>
      <c r="B865" s="1687" t="s">
        <v>468</v>
      </c>
      <c r="C865" s="380" t="s">
        <v>18</v>
      </c>
      <c r="D865" s="369" t="s">
        <v>488</v>
      </c>
      <c r="E865" s="1738" t="s">
        <v>469</v>
      </c>
      <c r="F865" s="379" t="b">
        <v>0</v>
      </c>
      <c r="G865" s="1739" t="s">
        <v>388</v>
      </c>
      <c r="H865" s="1343"/>
    </row>
    <row r="866" spans="1:8" ht="13" thickBot="1">
      <c r="A866" s="1343"/>
      <c r="B866" s="1735"/>
      <c r="C866" s="1736"/>
      <c r="D866" s="1736"/>
      <c r="E866" s="1736"/>
      <c r="F866" s="1736"/>
      <c r="G866" s="1737"/>
      <c r="H866" s="1343"/>
    </row>
    <row r="867" spans="1:8" ht="13.5" thickBot="1">
      <c r="A867" s="1343"/>
      <c r="B867" s="5031" t="s">
        <v>489</v>
      </c>
      <c r="C867" s="5032"/>
      <c r="D867" s="5032"/>
      <c r="E867" s="5032"/>
      <c r="F867" s="5032"/>
      <c r="G867" s="5033"/>
      <c r="H867" s="1343"/>
    </row>
    <row r="868" spans="1:8" ht="13" thickTop="1">
      <c r="A868" s="1343"/>
      <c r="B868" s="1687" t="s">
        <v>466</v>
      </c>
      <c r="C868" s="375" t="s">
        <v>18</v>
      </c>
      <c r="D868" s="368" t="s">
        <v>490</v>
      </c>
      <c r="E868" s="1738" t="s">
        <v>467</v>
      </c>
      <c r="F868" s="375" t="s">
        <v>18</v>
      </c>
      <c r="G868" s="1739" t="s">
        <v>490</v>
      </c>
      <c r="H868" s="1343"/>
    </row>
    <row r="869" spans="1:8">
      <c r="A869" s="1343"/>
      <c r="B869" s="1687" t="s">
        <v>468</v>
      </c>
      <c r="C869" s="375" t="s">
        <v>18</v>
      </c>
      <c r="D869" s="369" t="s">
        <v>490</v>
      </c>
      <c r="E869" s="1738" t="s">
        <v>469</v>
      </c>
      <c r="F869" s="379" t="b">
        <v>0</v>
      </c>
      <c r="G869" s="1739" t="s">
        <v>388</v>
      </c>
      <c r="H869" s="1343"/>
    </row>
    <row r="870" spans="1:8" ht="13" thickBot="1">
      <c r="A870" s="1343"/>
      <c r="B870" s="1735"/>
      <c r="C870" s="1736"/>
      <c r="D870" s="1736"/>
      <c r="E870" s="1736"/>
      <c r="F870" s="1736"/>
      <c r="G870" s="1737"/>
      <c r="H870" s="1343"/>
    </row>
    <row r="871" spans="1:8" ht="13.5" thickBot="1">
      <c r="A871" s="1343"/>
      <c r="B871" s="5031" t="s">
        <v>1122</v>
      </c>
      <c r="C871" s="5032"/>
      <c r="D871" s="5032"/>
      <c r="E871" s="5032"/>
      <c r="F871" s="5032"/>
      <c r="G871" s="5033"/>
      <c r="H871" s="1343"/>
    </row>
    <row r="872" spans="1:8" ht="13" thickTop="1">
      <c r="A872" s="1343"/>
      <c r="B872" s="1687" t="s">
        <v>466</v>
      </c>
      <c r="C872" s="376">
        <v>83.137878881656704</v>
      </c>
      <c r="D872" s="368" t="s">
        <v>299</v>
      </c>
      <c r="E872" s="1738" t="s">
        <v>467</v>
      </c>
      <c r="F872" s="375" t="s">
        <v>18</v>
      </c>
      <c r="G872" s="1739" t="s">
        <v>299</v>
      </c>
      <c r="H872" s="1343"/>
    </row>
    <row r="873" spans="1:8">
      <c r="A873" s="1343"/>
      <c r="B873" s="1687" t="s">
        <v>468</v>
      </c>
      <c r="C873" s="380" t="s">
        <v>18</v>
      </c>
      <c r="D873" s="369" t="s">
        <v>299</v>
      </c>
      <c r="E873" s="1738" t="s">
        <v>469</v>
      </c>
      <c r="F873" s="379" t="b">
        <v>0</v>
      </c>
      <c r="G873" s="1739" t="s">
        <v>388</v>
      </c>
      <c r="H873" s="1343"/>
    </row>
    <row r="874" spans="1:8" ht="13" thickBot="1">
      <c r="A874" s="1343"/>
      <c r="B874" s="1735"/>
      <c r="C874" s="1736"/>
      <c r="D874" s="1736"/>
      <c r="E874" s="1736"/>
      <c r="F874" s="1736"/>
      <c r="G874" s="1737"/>
      <c r="H874" s="1343"/>
    </row>
    <row r="875" spans="1:8" ht="13.5" thickBot="1">
      <c r="A875" s="1343"/>
      <c r="B875" s="5031" t="s">
        <v>491</v>
      </c>
      <c r="C875" s="5032"/>
      <c r="D875" s="5032"/>
      <c r="E875" s="5032"/>
      <c r="F875" s="5032"/>
      <c r="G875" s="5033"/>
      <c r="H875" s="1343"/>
    </row>
    <row r="876" spans="1:8" ht="13" thickTop="1">
      <c r="A876" s="1343"/>
      <c r="B876" s="1687" t="s">
        <v>466</v>
      </c>
      <c r="C876" s="374">
        <v>1</v>
      </c>
      <c r="D876" s="368" t="s">
        <v>296</v>
      </c>
      <c r="E876" s="1738" t="s">
        <v>467</v>
      </c>
      <c r="F876" s="375" t="s">
        <v>18</v>
      </c>
      <c r="G876" s="1739" t="s">
        <v>296</v>
      </c>
      <c r="H876" s="1343"/>
    </row>
    <row r="877" spans="1:8">
      <c r="A877" s="1343"/>
      <c r="B877" s="1687" t="s">
        <v>468</v>
      </c>
      <c r="C877" s="380" t="s">
        <v>18</v>
      </c>
      <c r="D877" s="369" t="s">
        <v>296</v>
      </c>
      <c r="E877" s="1738" t="s">
        <v>469</v>
      </c>
      <c r="F877" s="379" t="b">
        <v>0</v>
      </c>
      <c r="G877" s="1739" t="s">
        <v>388</v>
      </c>
      <c r="H877" s="1343"/>
    </row>
    <row r="878" spans="1:8" ht="13" thickBot="1">
      <c r="A878" s="1343"/>
      <c r="B878" s="1735"/>
      <c r="C878" s="1736"/>
      <c r="D878" s="1736"/>
      <c r="E878" s="1736"/>
      <c r="F878" s="1736"/>
      <c r="G878" s="1737"/>
      <c r="H878" s="1343"/>
    </row>
    <row r="879" spans="1:8" ht="13.5" thickBot="1">
      <c r="A879" s="1343"/>
      <c r="B879" s="5031" t="s">
        <v>492</v>
      </c>
      <c r="C879" s="5032"/>
      <c r="D879" s="5032"/>
      <c r="E879" s="5032"/>
      <c r="F879" s="5032"/>
      <c r="G879" s="5033"/>
      <c r="H879" s="1343"/>
    </row>
    <row r="880" spans="1:8" ht="13" thickTop="1">
      <c r="A880" s="1343"/>
      <c r="B880" s="1687" t="s">
        <v>466</v>
      </c>
      <c r="C880" s="1746">
        <v>4870.86251175089</v>
      </c>
      <c r="D880" s="368" t="s">
        <v>388</v>
      </c>
      <c r="E880" s="1738" t="s">
        <v>467</v>
      </c>
      <c r="F880" s="375" t="s">
        <v>18</v>
      </c>
      <c r="G880" s="1739" t="s">
        <v>388</v>
      </c>
      <c r="H880" s="1343"/>
    </row>
    <row r="881" spans="1:8">
      <c r="A881" s="1343"/>
      <c r="B881" s="1687" t="s">
        <v>468</v>
      </c>
      <c r="C881" s="380" t="s">
        <v>18</v>
      </c>
      <c r="D881" s="369" t="s">
        <v>388</v>
      </c>
      <c r="E881" s="1738" t="s">
        <v>469</v>
      </c>
      <c r="F881" s="379" t="b">
        <v>0</v>
      </c>
      <c r="G881" s="1739" t="s">
        <v>388</v>
      </c>
      <c r="H881" s="1343"/>
    </row>
    <row r="882" spans="1:8" ht="13" thickBot="1">
      <c r="A882" s="1343"/>
      <c r="B882" s="1735"/>
      <c r="C882" s="1736"/>
      <c r="D882" s="1736"/>
      <c r="E882" s="1736"/>
      <c r="F882" s="1736"/>
      <c r="G882" s="1737"/>
      <c r="H882" s="1343"/>
    </row>
    <row r="883" spans="1:8" ht="13.5" thickBot="1">
      <c r="A883" s="1343"/>
      <c r="B883" s="5031" t="s">
        <v>493</v>
      </c>
      <c r="C883" s="5032"/>
      <c r="D883" s="5032"/>
      <c r="E883" s="5032"/>
      <c r="F883" s="5032"/>
      <c r="G883" s="5033"/>
      <c r="H883" s="1343"/>
    </row>
    <row r="884" spans="1:8" ht="13" thickTop="1">
      <c r="A884" s="1343"/>
      <c r="B884" s="1687" t="s">
        <v>466</v>
      </c>
      <c r="C884" s="375" t="s">
        <v>18</v>
      </c>
      <c r="D884" s="368" t="s">
        <v>388</v>
      </c>
      <c r="E884" s="1738" t="s">
        <v>467</v>
      </c>
      <c r="F884" s="375" t="s">
        <v>18</v>
      </c>
      <c r="G884" s="1739" t="s">
        <v>388</v>
      </c>
      <c r="H884" s="1343"/>
    </row>
    <row r="885" spans="1:8">
      <c r="A885" s="1343"/>
      <c r="B885" s="1687" t="s">
        <v>468</v>
      </c>
      <c r="C885" s="375" t="s">
        <v>18</v>
      </c>
      <c r="D885" s="369" t="s">
        <v>388</v>
      </c>
      <c r="E885" s="1738" t="s">
        <v>469</v>
      </c>
      <c r="F885" s="379" t="b">
        <v>0</v>
      </c>
      <c r="G885" s="1739" t="s">
        <v>388</v>
      </c>
      <c r="H885" s="1343"/>
    </row>
    <row r="886" spans="1:8" ht="13" thickBot="1">
      <c r="A886" s="1343"/>
      <c r="B886" s="1735"/>
      <c r="C886" s="1736"/>
      <c r="D886" s="1736"/>
      <c r="E886" s="1736"/>
      <c r="F886" s="1736"/>
      <c r="G886" s="1737"/>
      <c r="H886" s="1343"/>
    </row>
    <row r="887" spans="1:8" ht="13.5" thickBot="1">
      <c r="A887" s="1343"/>
      <c r="B887" s="5031" t="s">
        <v>494</v>
      </c>
      <c r="C887" s="5032"/>
      <c r="D887" s="5032"/>
      <c r="E887" s="5032"/>
      <c r="F887" s="5032"/>
      <c r="G887" s="5033"/>
      <c r="H887" s="1343"/>
    </row>
    <row r="888" spans="1:8" ht="13" thickTop="1">
      <c r="A888" s="1343"/>
      <c r="B888" s="1687" t="s">
        <v>466</v>
      </c>
      <c r="C888" s="374">
        <v>12.731</v>
      </c>
      <c r="D888" s="368" t="s">
        <v>295</v>
      </c>
      <c r="E888" s="1738" t="s">
        <v>467</v>
      </c>
      <c r="F888" s="375" t="s">
        <v>18</v>
      </c>
      <c r="G888" s="1739" t="s">
        <v>295</v>
      </c>
      <c r="H888" s="1343"/>
    </row>
    <row r="889" spans="1:8">
      <c r="A889" s="1343"/>
      <c r="B889" s="1687" t="s">
        <v>468</v>
      </c>
      <c r="C889" s="380" t="s">
        <v>18</v>
      </c>
      <c r="D889" s="369" t="s">
        <v>295</v>
      </c>
      <c r="E889" s="1738" t="s">
        <v>469</v>
      </c>
      <c r="F889" s="379" t="b">
        <v>0</v>
      </c>
      <c r="G889" s="1739" t="s">
        <v>388</v>
      </c>
      <c r="H889" s="1343"/>
    </row>
    <row r="890" spans="1:8" ht="13" thickBot="1">
      <c r="A890" s="1343"/>
      <c r="B890" s="1735"/>
      <c r="C890" s="1736"/>
      <c r="D890" s="1736"/>
      <c r="E890" s="1736"/>
      <c r="F890" s="1736"/>
      <c r="G890" s="1737"/>
      <c r="H890" s="1343"/>
    </row>
    <row r="891" spans="1:8" ht="13.5" thickBot="1">
      <c r="A891" s="1343"/>
      <c r="B891" s="5031" t="s">
        <v>495</v>
      </c>
      <c r="C891" s="5032"/>
      <c r="D891" s="5032"/>
      <c r="E891" s="5032"/>
      <c r="F891" s="5032"/>
      <c r="G891" s="5033"/>
      <c r="H891" s="1343"/>
    </row>
    <row r="892" spans="1:8" ht="13" thickTop="1">
      <c r="A892" s="1343"/>
      <c r="B892" s="1687" t="s">
        <v>466</v>
      </c>
      <c r="C892" s="1741">
        <v>0.584951190446653</v>
      </c>
      <c r="D892" s="368" t="s">
        <v>295</v>
      </c>
      <c r="E892" s="1738" t="s">
        <v>467</v>
      </c>
      <c r="F892" s="375" t="s">
        <v>18</v>
      </c>
      <c r="G892" s="1739" t="s">
        <v>295</v>
      </c>
      <c r="H892" s="1343"/>
    </row>
    <row r="893" spans="1:8">
      <c r="A893" s="1343"/>
      <c r="B893" s="1687" t="s">
        <v>468</v>
      </c>
      <c r="C893" s="380" t="s">
        <v>18</v>
      </c>
      <c r="D893" s="369" t="s">
        <v>295</v>
      </c>
      <c r="E893" s="1738" t="s">
        <v>469</v>
      </c>
      <c r="F893" s="379" t="b">
        <v>0</v>
      </c>
      <c r="G893" s="1739" t="s">
        <v>388</v>
      </c>
      <c r="H893" s="1343"/>
    </row>
    <row r="894" spans="1:8" ht="13" thickBot="1">
      <c r="A894" s="1343"/>
      <c r="B894" s="1735"/>
      <c r="C894" s="1736"/>
      <c r="D894" s="1736"/>
      <c r="E894" s="1736"/>
      <c r="F894" s="1736"/>
      <c r="G894" s="1737"/>
      <c r="H894" s="1343"/>
    </row>
    <row r="895" spans="1:8" ht="13.5" thickBot="1">
      <c r="A895" s="1343"/>
      <c r="B895" s="5031" t="s">
        <v>496</v>
      </c>
      <c r="C895" s="5032"/>
      <c r="D895" s="5032"/>
      <c r="E895" s="5032"/>
      <c r="F895" s="5032"/>
      <c r="G895" s="5033"/>
      <c r="H895" s="1343"/>
    </row>
    <row r="896" spans="1:8" ht="13" thickTop="1">
      <c r="A896" s="1343"/>
      <c r="B896" s="1687" t="s">
        <v>466</v>
      </c>
      <c r="C896" s="1741">
        <v>0.78564404256827802</v>
      </c>
      <c r="D896" s="368" t="s">
        <v>295</v>
      </c>
      <c r="E896" s="1738" t="s">
        <v>467</v>
      </c>
      <c r="F896" s="375" t="s">
        <v>18</v>
      </c>
      <c r="G896" s="1739" t="s">
        <v>295</v>
      </c>
      <c r="H896" s="1343"/>
    </row>
    <row r="897" spans="1:8">
      <c r="A897" s="1343"/>
      <c r="B897" s="1687" t="s">
        <v>468</v>
      </c>
      <c r="C897" s="380" t="s">
        <v>18</v>
      </c>
      <c r="D897" s="369" t="s">
        <v>295</v>
      </c>
      <c r="E897" s="1738" t="s">
        <v>469</v>
      </c>
      <c r="F897" s="379" t="b">
        <v>0</v>
      </c>
      <c r="G897" s="1739" t="s">
        <v>388</v>
      </c>
      <c r="H897" s="1343"/>
    </row>
    <row r="898" spans="1:8" ht="13" thickBot="1">
      <c r="A898" s="1343"/>
      <c r="B898" s="1735"/>
      <c r="C898" s="1736"/>
      <c r="D898" s="1736"/>
      <c r="E898" s="1736"/>
      <c r="F898" s="1736"/>
      <c r="G898" s="1737"/>
      <c r="H898" s="1343"/>
    </row>
    <row r="899" spans="1:8" ht="13.5" thickBot="1">
      <c r="A899" s="1343"/>
      <c r="B899" s="5031" t="s">
        <v>497</v>
      </c>
      <c r="C899" s="5032"/>
      <c r="D899" s="5032"/>
      <c r="E899" s="5032"/>
      <c r="F899" s="5032"/>
      <c r="G899" s="5033"/>
      <c r="H899" s="1343"/>
    </row>
    <row r="900" spans="1:8" ht="13" thickTop="1">
      <c r="A900" s="1343"/>
      <c r="B900" s="1687" t="s">
        <v>466</v>
      </c>
      <c r="C900" s="1741">
        <v>0.43380558909217698</v>
      </c>
      <c r="D900" s="368" t="s">
        <v>295</v>
      </c>
      <c r="E900" s="1738" t="s">
        <v>467</v>
      </c>
      <c r="F900" s="375" t="s">
        <v>18</v>
      </c>
      <c r="G900" s="1739" t="s">
        <v>295</v>
      </c>
      <c r="H900" s="1343"/>
    </row>
    <row r="901" spans="1:8">
      <c r="A901" s="1343"/>
      <c r="B901" s="1687" t="s">
        <v>468</v>
      </c>
      <c r="C901" s="380" t="s">
        <v>18</v>
      </c>
      <c r="D901" s="369" t="s">
        <v>295</v>
      </c>
      <c r="E901" s="1738" t="s">
        <v>469</v>
      </c>
      <c r="F901" s="379" t="b">
        <v>0</v>
      </c>
      <c r="G901" s="1739" t="s">
        <v>388</v>
      </c>
      <c r="H901" s="1343"/>
    </row>
    <row r="902" spans="1:8" ht="13" thickBot="1">
      <c r="A902" s="1343"/>
      <c r="B902" s="1735"/>
      <c r="C902" s="1736"/>
      <c r="D902" s="1736"/>
      <c r="E902" s="1736"/>
      <c r="F902" s="1736"/>
      <c r="G902" s="1737"/>
      <c r="H902" s="1343"/>
    </row>
    <row r="903" spans="1:8" ht="13.5" thickBot="1">
      <c r="A903" s="1343"/>
      <c r="B903" s="5031" t="s">
        <v>498</v>
      </c>
      <c r="C903" s="5032"/>
      <c r="D903" s="5032"/>
      <c r="E903" s="5032"/>
      <c r="F903" s="5032"/>
      <c r="G903" s="5033"/>
      <c r="H903" s="1343"/>
    </row>
    <row r="904" spans="1:8" ht="13" thickTop="1">
      <c r="A904" s="1343"/>
      <c r="B904" s="1687" t="s">
        <v>466</v>
      </c>
      <c r="C904" s="376">
        <v>72.319778882256699</v>
      </c>
      <c r="D904" s="368" t="s">
        <v>299</v>
      </c>
      <c r="E904" s="1738" t="s">
        <v>467</v>
      </c>
      <c r="F904" s="375" t="s">
        <v>18</v>
      </c>
      <c r="G904" s="1739" t="s">
        <v>299</v>
      </c>
      <c r="H904" s="1343"/>
    </row>
    <row r="905" spans="1:8">
      <c r="A905" s="1343"/>
      <c r="B905" s="1687" t="s">
        <v>468</v>
      </c>
      <c r="C905" s="380" t="s">
        <v>18</v>
      </c>
      <c r="D905" s="369" t="s">
        <v>299</v>
      </c>
      <c r="E905" s="1738" t="s">
        <v>469</v>
      </c>
      <c r="F905" s="379" t="b">
        <v>0</v>
      </c>
      <c r="G905" s="1739" t="s">
        <v>388</v>
      </c>
      <c r="H905" s="1343"/>
    </row>
    <row r="906" spans="1:8" ht="13" thickBot="1">
      <c r="A906" s="1343"/>
      <c r="B906" s="1735"/>
      <c r="C906" s="1736"/>
      <c r="D906" s="1736"/>
      <c r="E906" s="1736"/>
      <c r="F906" s="1736"/>
      <c r="G906" s="1737"/>
      <c r="H906" s="1343"/>
    </row>
    <row r="907" spans="1:8" ht="13.5" thickBot="1">
      <c r="A907" s="1343"/>
      <c r="B907" s="5031" t="s">
        <v>499</v>
      </c>
      <c r="C907" s="5032"/>
      <c r="D907" s="5032"/>
      <c r="E907" s="5032"/>
      <c r="F907" s="5032"/>
      <c r="G907" s="5033"/>
      <c r="H907" s="1343"/>
    </row>
    <row r="908" spans="1:8" ht="13" thickTop="1">
      <c r="A908" s="1343"/>
      <c r="B908" s="1687" t="s">
        <v>466</v>
      </c>
      <c r="C908" s="376">
        <v>83.137878881656704</v>
      </c>
      <c r="D908" s="368" t="s">
        <v>299</v>
      </c>
      <c r="E908" s="1738" t="s">
        <v>467</v>
      </c>
      <c r="F908" s="375" t="s">
        <v>18</v>
      </c>
      <c r="G908" s="1739" t="s">
        <v>299</v>
      </c>
      <c r="H908" s="1343"/>
    </row>
    <row r="909" spans="1:8">
      <c r="A909" s="1343"/>
      <c r="B909" s="1687" t="s">
        <v>468</v>
      </c>
      <c r="C909" s="380" t="s">
        <v>18</v>
      </c>
      <c r="D909" s="369" t="s">
        <v>299</v>
      </c>
      <c r="E909" s="1738" t="s">
        <v>469</v>
      </c>
      <c r="F909" s="379" t="b">
        <v>0</v>
      </c>
      <c r="G909" s="1739" t="s">
        <v>388</v>
      </c>
      <c r="H909" s="1343"/>
    </row>
    <row r="910" spans="1:8" ht="13" thickBot="1">
      <c r="A910" s="1343"/>
      <c r="B910" s="1735"/>
      <c r="C910" s="1736"/>
      <c r="D910" s="1736"/>
      <c r="E910" s="1736"/>
      <c r="F910" s="1736"/>
      <c r="G910" s="1737"/>
      <c r="H910" s="1343"/>
    </row>
    <row r="911" spans="1:8" ht="13.5" thickBot="1">
      <c r="A911" s="1343"/>
      <c r="B911" s="5031" t="s">
        <v>500</v>
      </c>
      <c r="C911" s="5032"/>
      <c r="D911" s="5032"/>
      <c r="E911" s="5032"/>
      <c r="F911" s="5032"/>
      <c r="G911" s="5033"/>
      <c r="H911" s="1343"/>
    </row>
    <row r="912" spans="1:8" ht="13" thickTop="1">
      <c r="A912" s="1343"/>
      <c r="B912" s="1687" t="s">
        <v>466</v>
      </c>
      <c r="C912" s="377">
        <v>3.0079826565642098</v>
      </c>
      <c r="D912" s="368" t="s">
        <v>155</v>
      </c>
      <c r="E912" s="1738" t="s">
        <v>467</v>
      </c>
      <c r="F912" s="375" t="s">
        <v>18</v>
      </c>
      <c r="G912" s="1739" t="s">
        <v>155</v>
      </c>
      <c r="H912" s="1343"/>
    </row>
    <row r="913" spans="1:8">
      <c r="A913" s="1343"/>
      <c r="B913" s="1687" t="s">
        <v>468</v>
      </c>
      <c r="C913" s="380" t="s">
        <v>18</v>
      </c>
      <c r="D913" s="369" t="s">
        <v>155</v>
      </c>
      <c r="E913" s="1738" t="s">
        <v>469</v>
      </c>
      <c r="F913" s="379" t="b">
        <v>0</v>
      </c>
      <c r="G913" s="1739" t="s">
        <v>388</v>
      </c>
      <c r="H913" s="1343"/>
    </row>
    <row r="914" spans="1:8" ht="13" thickBot="1">
      <c r="A914" s="1343"/>
      <c r="B914" s="1735"/>
      <c r="C914" s="1736"/>
      <c r="D914" s="1736"/>
      <c r="E914" s="1736"/>
      <c r="F914" s="1736"/>
      <c r="G914" s="1737"/>
      <c r="H914" s="1343"/>
    </row>
    <row r="915" spans="1:8" ht="13.5" thickBot="1">
      <c r="A915" s="1343"/>
      <c r="B915" s="5031" t="s">
        <v>501</v>
      </c>
      <c r="C915" s="5032"/>
      <c r="D915" s="5032"/>
      <c r="E915" s="5032"/>
      <c r="F915" s="5032"/>
      <c r="G915" s="5033"/>
      <c r="H915" s="1343"/>
    </row>
    <row r="916" spans="1:8" ht="13" thickTop="1">
      <c r="A916" s="1343"/>
      <c r="B916" s="1687" t="s">
        <v>466</v>
      </c>
      <c r="C916" s="377">
        <v>2.9572337580750401</v>
      </c>
      <c r="D916" s="368" t="s">
        <v>155</v>
      </c>
      <c r="E916" s="1738" t="s">
        <v>467</v>
      </c>
      <c r="F916" s="375" t="s">
        <v>18</v>
      </c>
      <c r="G916" s="1739" t="s">
        <v>155</v>
      </c>
      <c r="H916" s="1343"/>
    </row>
    <row r="917" spans="1:8">
      <c r="A917" s="1343"/>
      <c r="B917" s="1687" t="s">
        <v>468</v>
      </c>
      <c r="C917" s="380" t="s">
        <v>18</v>
      </c>
      <c r="D917" s="369" t="s">
        <v>155</v>
      </c>
      <c r="E917" s="1738" t="s">
        <v>469</v>
      </c>
      <c r="F917" s="379" t="b">
        <v>0</v>
      </c>
      <c r="G917" s="1739" t="s">
        <v>388</v>
      </c>
      <c r="H917" s="1343"/>
    </row>
    <row r="918" spans="1:8" ht="13" thickBot="1">
      <c r="A918" s="1343"/>
      <c r="B918" s="1735"/>
      <c r="C918" s="1736"/>
      <c r="D918" s="1736"/>
      <c r="E918" s="1736"/>
      <c r="F918" s="1736"/>
      <c r="G918" s="1737"/>
      <c r="H918" s="1343"/>
    </row>
    <row r="919" spans="1:8" ht="13.5" thickBot="1">
      <c r="A919" s="1343"/>
      <c r="B919" s="5031" t="s">
        <v>502</v>
      </c>
      <c r="C919" s="5032"/>
      <c r="D919" s="5032"/>
      <c r="E919" s="5032"/>
      <c r="F919" s="5032"/>
      <c r="G919" s="5033"/>
      <c r="H919" s="1343"/>
    </row>
    <row r="920" spans="1:8" ht="13" thickTop="1">
      <c r="A920" s="1343"/>
      <c r="B920" s="1687" t="s">
        <v>466</v>
      </c>
      <c r="C920" s="378">
        <v>5.07488984891699E-2</v>
      </c>
      <c r="D920" s="368" t="s">
        <v>155</v>
      </c>
      <c r="E920" s="1738" t="s">
        <v>467</v>
      </c>
      <c r="F920" s="375" t="s">
        <v>18</v>
      </c>
      <c r="G920" s="1739" t="s">
        <v>155</v>
      </c>
      <c r="H920" s="1343"/>
    </row>
    <row r="921" spans="1:8">
      <c r="A921" s="1343"/>
      <c r="B921" s="1687" t="s">
        <v>468</v>
      </c>
      <c r="C921" s="380" t="s">
        <v>18</v>
      </c>
      <c r="D921" s="369" t="s">
        <v>155</v>
      </c>
      <c r="E921" s="1738" t="s">
        <v>469</v>
      </c>
      <c r="F921" s="379" t="b">
        <v>0</v>
      </c>
      <c r="G921" s="1739" t="s">
        <v>388</v>
      </c>
      <c r="H921" s="1343"/>
    </row>
    <row r="922" spans="1:8" ht="13" thickBot="1">
      <c r="A922" s="1343"/>
      <c r="B922" s="1735"/>
      <c r="C922" s="1736"/>
      <c r="D922" s="1736"/>
      <c r="E922" s="1736"/>
      <c r="F922" s="1736"/>
      <c r="G922" s="1737"/>
      <c r="H922" s="1343"/>
    </row>
    <row r="923" spans="1:8" ht="13.5" thickBot="1">
      <c r="A923" s="1343"/>
      <c r="B923" s="5031" t="s">
        <v>503</v>
      </c>
      <c r="C923" s="5032"/>
      <c r="D923" s="5032"/>
      <c r="E923" s="5032"/>
      <c r="F923" s="5032"/>
      <c r="G923" s="5033"/>
      <c r="H923" s="1343"/>
    </row>
    <row r="924" spans="1:8" ht="13" thickTop="1">
      <c r="A924" s="1343"/>
      <c r="B924" s="1687" t="s">
        <v>466</v>
      </c>
      <c r="C924" s="374">
        <v>0</v>
      </c>
      <c r="D924" s="368" t="s">
        <v>155</v>
      </c>
      <c r="E924" s="1738" t="s">
        <v>467</v>
      </c>
      <c r="F924" s="375" t="s">
        <v>18</v>
      </c>
      <c r="G924" s="1739" t="s">
        <v>155</v>
      </c>
      <c r="H924" s="1343"/>
    </row>
    <row r="925" spans="1:8">
      <c r="A925" s="1343"/>
      <c r="B925" s="1687" t="s">
        <v>468</v>
      </c>
      <c r="C925" s="380" t="s">
        <v>18</v>
      </c>
      <c r="D925" s="369" t="s">
        <v>155</v>
      </c>
      <c r="E925" s="1738" t="s">
        <v>469</v>
      </c>
      <c r="F925" s="379" t="b">
        <v>0</v>
      </c>
      <c r="G925" s="1739" t="s">
        <v>388</v>
      </c>
      <c r="H925" s="1343"/>
    </row>
    <row r="926" spans="1:8" ht="13" thickBot="1">
      <c r="A926" s="1343"/>
      <c r="B926" s="1735"/>
      <c r="C926" s="1736"/>
      <c r="D926" s="1736"/>
      <c r="E926" s="1736"/>
      <c r="F926" s="1736"/>
      <c r="G926" s="1737"/>
      <c r="H926" s="1343"/>
    </row>
    <row r="927" spans="1:8" ht="13.5" thickBot="1">
      <c r="A927" s="1343"/>
      <c r="B927" s="5031" t="s">
        <v>504</v>
      </c>
      <c r="C927" s="5032"/>
      <c r="D927" s="5032"/>
      <c r="E927" s="5032"/>
      <c r="F927" s="5032"/>
      <c r="G927" s="5033"/>
      <c r="H927" s="1343"/>
    </row>
    <row r="928" spans="1:8" ht="13" thickTop="1">
      <c r="A928" s="1343"/>
      <c r="B928" s="1687" t="s">
        <v>466</v>
      </c>
      <c r="C928" s="374">
        <v>0</v>
      </c>
      <c r="D928" s="368" t="s">
        <v>155</v>
      </c>
      <c r="E928" s="1738" t="s">
        <v>467</v>
      </c>
      <c r="F928" s="375" t="s">
        <v>18</v>
      </c>
      <c r="G928" s="1739" t="s">
        <v>155</v>
      </c>
      <c r="H928" s="1343"/>
    </row>
    <row r="929" spans="1:8">
      <c r="A929" s="1343"/>
      <c r="B929" s="1687" t="s">
        <v>468</v>
      </c>
      <c r="C929" s="380" t="s">
        <v>18</v>
      </c>
      <c r="D929" s="369" t="s">
        <v>155</v>
      </c>
      <c r="E929" s="1738" t="s">
        <v>469</v>
      </c>
      <c r="F929" s="379" t="b">
        <v>0</v>
      </c>
      <c r="G929" s="1739" t="s">
        <v>388</v>
      </c>
      <c r="H929" s="1343"/>
    </row>
    <row r="930" spans="1:8" ht="13" thickBot="1">
      <c r="A930" s="1343"/>
      <c r="B930" s="1735"/>
      <c r="C930" s="1736"/>
      <c r="D930" s="1736"/>
      <c r="E930" s="1736"/>
      <c r="F930" s="1736"/>
      <c r="G930" s="1737"/>
      <c r="H930" s="1343"/>
    </row>
    <row r="931" spans="1:8" ht="13.5" thickBot="1">
      <c r="A931" s="1343"/>
      <c r="B931" s="5031" t="s">
        <v>505</v>
      </c>
      <c r="C931" s="5032"/>
      <c r="D931" s="5032"/>
      <c r="E931" s="5032"/>
      <c r="F931" s="5032"/>
      <c r="G931" s="5033"/>
      <c r="H931" s="1343"/>
    </row>
    <row r="932" spans="1:8" ht="13" thickTop="1">
      <c r="A932" s="1343"/>
      <c r="B932" s="1687" t="s">
        <v>466</v>
      </c>
      <c r="C932" s="374">
        <v>0</v>
      </c>
      <c r="D932" s="368" t="s">
        <v>155</v>
      </c>
      <c r="E932" s="1738" t="s">
        <v>467</v>
      </c>
      <c r="F932" s="375" t="s">
        <v>18</v>
      </c>
      <c r="G932" s="1739" t="s">
        <v>155</v>
      </c>
      <c r="H932" s="1343"/>
    </row>
    <row r="933" spans="1:8">
      <c r="A933" s="1343"/>
      <c r="B933" s="1687" t="s">
        <v>468</v>
      </c>
      <c r="C933" s="380" t="s">
        <v>18</v>
      </c>
      <c r="D933" s="369" t="s">
        <v>155</v>
      </c>
      <c r="E933" s="1738" t="s">
        <v>469</v>
      </c>
      <c r="F933" s="379" t="b">
        <v>0</v>
      </c>
      <c r="G933" s="1739" t="s">
        <v>388</v>
      </c>
      <c r="H933" s="1343"/>
    </row>
    <row r="934" spans="1:8" ht="13" thickBot="1">
      <c r="A934" s="1343"/>
      <c r="B934" s="1735"/>
      <c r="C934" s="1736"/>
      <c r="D934" s="1736"/>
      <c r="E934" s="1736"/>
      <c r="F934" s="1736"/>
      <c r="G934" s="1737"/>
      <c r="H934" s="1343"/>
    </row>
    <row r="935" spans="1:8" ht="13.5" thickBot="1">
      <c r="A935" s="1343"/>
      <c r="B935" s="5031" t="s">
        <v>506</v>
      </c>
      <c r="C935" s="5032"/>
      <c r="D935" s="5032"/>
      <c r="E935" s="5032"/>
      <c r="F935" s="5032"/>
      <c r="G935" s="5033"/>
      <c r="H935" s="1343"/>
    </row>
    <row r="936" spans="1:8" ht="13" thickTop="1">
      <c r="A936" s="1343"/>
      <c r="B936" s="1687" t="s">
        <v>466</v>
      </c>
      <c r="C936" s="374">
        <v>0</v>
      </c>
      <c r="D936" s="368" t="s">
        <v>22</v>
      </c>
      <c r="E936" s="1738" t="s">
        <v>467</v>
      </c>
      <c r="F936" s="375" t="s">
        <v>18</v>
      </c>
      <c r="G936" s="1739" t="s">
        <v>22</v>
      </c>
      <c r="H936" s="1343"/>
    </row>
    <row r="937" spans="1:8">
      <c r="A937" s="1343"/>
      <c r="B937" s="1687" t="s">
        <v>468</v>
      </c>
      <c r="C937" s="380" t="s">
        <v>18</v>
      </c>
      <c r="D937" s="369" t="s">
        <v>22</v>
      </c>
      <c r="E937" s="1738" t="s">
        <v>469</v>
      </c>
      <c r="F937" s="379" t="b">
        <v>0</v>
      </c>
      <c r="G937" s="1739" t="s">
        <v>388</v>
      </c>
      <c r="H937" s="1343"/>
    </row>
    <row r="938" spans="1:8" ht="13" thickBot="1">
      <c r="A938" s="1343"/>
      <c r="B938" s="1735"/>
      <c r="C938" s="1736"/>
      <c r="D938" s="1736"/>
      <c r="E938" s="1736"/>
      <c r="F938" s="1736"/>
      <c r="G938" s="1737"/>
      <c r="H938" s="1343"/>
    </row>
    <row r="939" spans="1:8" ht="13.5" thickBot="1">
      <c r="A939" s="1343"/>
      <c r="B939" s="5031" t="s">
        <v>507</v>
      </c>
      <c r="C939" s="5032"/>
      <c r="D939" s="5032"/>
      <c r="E939" s="5032"/>
      <c r="F939" s="5032"/>
      <c r="G939" s="5033"/>
      <c r="H939" s="1343"/>
    </row>
    <row r="940" spans="1:8" ht="13" thickTop="1">
      <c r="A940" s="1343"/>
      <c r="B940" s="1687" t="s">
        <v>466</v>
      </c>
      <c r="C940" s="375" t="s">
        <v>18</v>
      </c>
      <c r="D940" s="368" t="s">
        <v>388</v>
      </c>
      <c r="E940" s="1738" t="s">
        <v>467</v>
      </c>
      <c r="F940" s="375" t="s">
        <v>18</v>
      </c>
      <c r="G940" s="1739" t="s">
        <v>388</v>
      </c>
      <c r="H940" s="1343"/>
    </row>
    <row r="941" spans="1:8">
      <c r="A941" s="1343"/>
      <c r="B941" s="1687" t="s">
        <v>468</v>
      </c>
      <c r="C941" s="375" t="s">
        <v>18</v>
      </c>
      <c r="D941" s="369" t="s">
        <v>388</v>
      </c>
      <c r="E941" s="1738" t="s">
        <v>469</v>
      </c>
      <c r="F941" s="379" t="b">
        <v>0</v>
      </c>
      <c r="G941" s="1739" t="s">
        <v>388</v>
      </c>
      <c r="H941" s="1343"/>
    </row>
    <row r="942" spans="1:8" ht="13" thickBot="1">
      <c r="A942" s="1343"/>
      <c r="B942" s="1735"/>
      <c r="C942" s="1736"/>
      <c r="D942" s="1736"/>
      <c r="E942" s="1736"/>
      <c r="F942" s="1736"/>
      <c r="G942" s="1737"/>
      <c r="H942" s="1343"/>
    </row>
    <row r="943" spans="1:8" ht="13.5" thickBot="1">
      <c r="A943" s="1343"/>
      <c r="B943" s="5031" t="s">
        <v>508</v>
      </c>
      <c r="C943" s="5032"/>
      <c r="D943" s="5032"/>
      <c r="E943" s="5032"/>
      <c r="F943" s="5032"/>
      <c r="G943" s="5033"/>
      <c r="H943" s="1343"/>
    </row>
    <row r="944" spans="1:8" ht="13" thickTop="1">
      <c r="A944" s="1343"/>
      <c r="B944" s="1687" t="s">
        <v>466</v>
      </c>
      <c r="C944" s="377">
        <v>6.3525563134927996</v>
      </c>
      <c r="D944" s="368" t="s">
        <v>155</v>
      </c>
      <c r="E944" s="1738" t="s">
        <v>467</v>
      </c>
      <c r="F944" s="375" t="s">
        <v>18</v>
      </c>
      <c r="G944" s="1739" t="s">
        <v>155</v>
      </c>
      <c r="H944" s="1343"/>
    </row>
    <row r="945" spans="1:8">
      <c r="A945" s="1343"/>
      <c r="B945" s="1687" t="s">
        <v>468</v>
      </c>
      <c r="C945" s="380" t="s">
        <v>18</v>
      </c>
      <c r="D945" s="369" t="s">
        <v>155</v>
      </c>
      <c r="E945" s="1738" t="s">
        <v>469</v>
      </c>
      <c r="F945" s="379" t="b">
        <v>0</v>
      </c>
      <c r="G945" s="1739" t="s">
        <v>388</v>
      </c>
      <c r="H945" s="1343"/>
    </row>
    <row r="946" spans="1:8" ht="13" thickBot="1">
      <c r="A946" s="1343"/>
      <c r="B946" s="1735"/>
      <c r="C946" s="1736"/>
      <c r="D946" s="1736"/>
      <c r="E946" s="1736"/>
      <c r="F946" s="1736"/>
      <c r="G946" s="1737"/>
      <c r="H946" s="1343"/>
    </row>
    <row r="947" spans="1:8" ht="13.5" thickBot="1">
      <c r="A947" s="1343"/>
      <c r="B947" s="5031" t="s">
        <v>509</v>
      </c>
      <c r="C947" s="5032"/>
      <c r="D947" s="5032"/>
      <c r="E947" s="5032"/>
      <c r="F947" s="5032"/>
      <c r="G947" s="5033"/>
      <c r="H947" s="1343"/>
    </row>
    <row r="948" spans="1:8" ht="13" thickTop="1">
      <c r="A948" s="1343"/>
      <c r="B948" s="1687" t="s">
        <v>466</v>
      </c>
      <c r="C948" s="374">
        <v>0</v>
      </c>
      <c r="D948" s="368" t="s">
        <v>155</v>
      </c>
      <c r="E948" s="1738" t="s">
        <v>467</v>
      </c>
      <c r="F948" s="375" t="s">
        <v>18</v>
      </c>
      <c r="G948" s="1739" t="s">
        <v>155</v>
      </c>
      <c r="H948" s="1343"/>
    </row>
    <row r="949" spans="1:8">
      <c r="A949" s="1343"/>
      <c r="B949" s="1687" t="s">
        <v>468</v>
      </c>
      <c r="C949" s="380" t="s">
        <v>18</v>
      </c>
      <c r="D949" s="369" t="s">
        <v>155</v>
      </c>
      <c r="E949" s="1738" t="s">
        <v>469</v>
      </c>
      <c r="F949" s="379" t="b">
        <v>0</v>
      </c>
      <c r="G949" s="1739" t="s">
        <v>388</v>
      </c>
      <c r="H949" s="1343"/>
    </row>
    <row r="950" spans="1:8" ht="13" thickBot="1">
      <c r="A950" s="1343"/>
      <c r="B950" s="1735"/>
      <c r="C950" s="1736"/>
      <c r="D950" s="1736"/>
      <c r="E950" s="1736"/>
      <c r="F950" s="1736"/>
      <c r="G950" s="1737"/>
      <c r="H950" s="1343"/>
    </row>
    <row r="951" spans="1:8" ht="13.5" thickBot="1">
      <c r="A951" s="1343"/>
      <c r="B951" s="5031" t="s">
        <v>510</v>
      </c>
      <c r="C951" s="5032"/>
      <c r="D951" s="5032"/>
      <c r="E951" s="5032"/>
      <c r="F951" s="5032"/>
      <c r="G951" s="5033"/>
      <c r="H951" s="1343"/>
    </row>
    <row r="952" spans="1:8" ht="13" thickTop="1">
      <c r="A952" s="1343"/>
      <c r="B952" s="1687" t="s">
        <v>466</v>
      </c>
      <c r="C952" s="374">
        <v>0</v>
      </c>
      <c r="D952" s="368" t="s">
        <v>22</v>
      </c>
      <c r="E952" s="1738" t="s">
        <v>467</v>
      </c>
      <c r="F952" s="375" t="s">
        <v>18</v>
      </c>
      <c r="G952" s="1739" t="s">
        <v>22</v>
      </c>
      <c r="H952" s="1343"/>
    </row>
    <row r="953" spans="1:8">
      <c r="A953" s="1343"/>
      <c r="B953" s="1687" t="s">
        <v>468</v>
      </c>
      <c r="C953" s="380" t="s">
        <v>18</v>
      </c>
      <c r="D953" s="369" t="s">
        <v>22</v>
      </c>
      <c r="E953" s="1738" t="s">
        <v>469</v>
      </c>
      <c r="F953" s="379" t="b">
        <v>0</v>
      </c>
      <c r="G953" s="1739" t="s">
        <v>388</v>
      </c>
      <c r="H953" s="1343"/>
    </row>
    <row r="954" spans="1:8" ht="13" thickBot="1">
      <c r="A954" s="1343"/>
      <c r="B954" s="1735"/>
      <c r="C954" s="1736"/>
      <c r="D954" s="1736"/>
      <c r="E954" s="1736"/>
      <c r="F954" s="1736"/>
      <c r="G954" s="1737"/>
      <c r="H954" s="1343"/>
    </row>
    <row r="955" spans="1:8" ht="13.5" thickBot="1">
      <c r="A955" s="1343"/>
      <c r="B955" s="5031" t="s">
        <v>511</v>
      </c>
      <c r="C955" s="5032"/>
      <c r="D955" s="5032"/>
      <c r="E955" s="5032"/>
      <c r="F955" s="5032"/>
      <c r="G955" s="5033"/>
      <c r="H955" s="1343"/>
    </row>
    <row r="956" spans="1:8" ht="13" thickTop="1">
      <c r="A956" s="1343"/>
      <c r="B956" s="1687" t="s">
        <v>466</v>
      </c>
      <c r="C956" s="1745">
        <v>845.12992266865899</v>
      </c>
      <c r="D956" s="368" t="s">
        <v>155</v>
      </c>
      <c r="E956" s="1738" t="s">
        <v>467</v>
      </c>
      <c r="F956" s="375" t="s">
        <v>18</v>
      </c>
      <c r="G956" s="1739" t="s">
        <v>155</v>
      </c>
      <c r="H956" s="1343"/>
    </row>
    <row r="957" spans="1:8">
      <c r="A957" s="1343"/>
      <c r="B957" s="1687" t="s">
        <v>468</v>
      </c>
      <c r="C957" s="380" t="s">
        <v>18</v>
      </c>
      <c r="D957" s="369" t="s">
        <v>155</v>
      </c>
      <c r="E957" s="1738" t="s">
        <v>469</v>
      </c>
      <c r="F957" s="379" t="b">
        <v>0</v>
      </c>
      <c r="G957" s="1739" t="s">
        <v>388</v>
      </c>
      <c r="H957" s="1343"/>
    </row>
    <row r="958" spans="1:8" ht="13" thickBot="1">
      <c r="A958" s="1343"/>
      <c r="B958" s="1735"/>
      <c r="C958" s="1736"/>
      <c r="D958" s="1736"/>
      <c r="E958" s="1736"/>
      <c r="F958" s="1736"/>
      <c r="G958" s="1737"/>
      <c r="H958" s="1343"/>
    </row>
    <row r="959" spans="1:8" ht="13.5" thickBot="1">
      <c r="A959" s="1343"/>
      <c r="B959" s="5031" t="s">
        <v>512</v>
      </c>
      <c r="C959" s="5032"/>
      <c r="D959" s="5032"/>
      <c r="E959" s="5032"/>
      <c r="F959" s="5032"/>
      <c r="G959" s="5033"/>
      <c r="H959" s="1343"/>
    </row>
    <row r="960" spans="1:8" ht="13" thickTop="1">
      <c r="A960" s="1343"/>
      <c r="B960" s="1687" t="s">
        <v>466</v>
      </c>
      <c r="C960" s="374">
        <v>0</v>
      </c>
      <c r="D960" s="368" t="s">
        <v>155</v>
      </c>
      <c r="E960" s="1738" t="s">
        <v>467</v>
      </c>
      <c r="F960" s="375" t="s">
        <v>18</v>
      </c>
      <c r="G960" s="1739" t="s">
        <v>155</v>
      </c>
      <c r="H960" s="1343"/>
    </row>
    <row r="961" spans="1:8">
      <c r="A961" s="1343"/>
      <c r="B961" s="1687" t="s">
        <v>468</v>
      </c>
      <c r="C961" s="380" t="s">
        <v>18</v>
      </c>
      <c r="D961" s="369" t="s">
        <v>155</v>
      </c>
      <c r="E961" s="1738" t="s">
        <v>469</v>
      </c>
      <c r="F961" s="379" t="b">
        <v>0</v>
      </c>
      <c r="G961" s="1739" t="s">
        <v>388</v>
      </c>
      <c r="H961" s="1343"/>
    </row>
    <row r="962" spans="1:8" ht="13" thickBot="1">
      <c r="A962" s="1343"/>
      <c r="B962" s="1735"/>
      <c r="C962" s="1736"/>
      <c r="D962" s="1736"/>
      <c r="E962" s="1736"/>
      <c r="F962" s="1736"/>
      <c r="G962" s="1737"/>
      <c r="H962" s="1343"/>
    </row>
    <row r="963" spans="1:8" ht="13.5" thickBot="1">
      <c r="A963" s="1343"/>
      <c r="B963" s="5031" t="s">
        <v>513</v>
      </c>
      <c r="C963" s="5032"/>
      <c r="D963" s="5032"/>
      <c r="E963" s="5032"/>
      <c r="F963" s="5032"/>
      <c r="G963" s="5033"/>
      <c r="H963" s="1343"/>
    </row>
    <row r="964" spans="1:8" ht="13" thickTop="1">
      <c r="A964" s="1343"/>
      <c r="B964" s="1687" t="s">
        <v>466</v>
      </c>
      <c r="C964" s="374">
        <v>0</v>
      </c>
      <c r="D964" s="368" t="s">
        <v>155</v>
      </c>
      <c r="E964" s="1738" t="s">
        <v>467</v>
      </c>
      <c r="F964" s="375" t="s">
        <v>18</v>
      </c>
      <c r="G964" s="1739" t="s">
        <v>155</v>
      </c>
      <c r="H964" s="1343"/>
    </row>
    <row r="965" spans="1:8">
      <c r="A965" s="1343"/>
      <c r="B965" s="1687" t="s">
        <v>468</v>
      </c>
      <c r="C965" s="380" t="s">
        <v>18</v>
      </c>
      <c r="D965" s="369" t="s">
        <v>155</v>
      </c>
      <c r="E965" s="1738" t="s">
        <v>469</v>
      </c>
      <c r="F965" s="379" t="b">
        <v>0</v>
      </c>
      <c r="G965" s="1739" t="s">
        <v>388</v>
      </c>
      <c r="H965" s="1343"/>
    </row>
    <row r="966" spans="1:8" ht="13" thickBot="1">
      <c r="A966" s="1343"/>
      <c r="B966" s="1735"/>
      <c r="C966" s="1736"/>
      <c r="D966" s="1736"/>
      <c r="E966" s="1736"/>
      <c r="F966" s="1736"/>
      <c r="G966" s="1737"/>
      <c r="H966" s="1343"/>
    </row>
    <row r="967" spans="1:8" ht="13.5" thickBot="1">
      <c r="A967" s="1343"/>
      <c r="B967" s="5031" t="s">
        <v>514</v>
      </c>
      <c r="C967" s="5032"/>
      <c r="D967" s="5032"/>
      <c r="E967" s="5032"/>
      <c r="F967" s="5032"/>
      <c r="G967" s="5033"/>
      <c r="H967" s="1343"/>
    </row>
    <row r="968" spans="1:8" ht="13" thickTop="1">
      <c r="A968" s="1343"/>
      <c r="B968" s="1687" t="s">
        <v>466</v>
      </c>
      <c r="C968" s="1745">
        <v>719.839713412886</v>
      </c>
      <c r="D968" s="368" t="s">
        <v>155</v>
      </c>
      <c r="E968" s="1738" t="s">
        <v>467</v>
      </c>
      <c r="F968" s="375" t="s">
        <v>18</v>
      </c>
      <c r="G968" s="1739" t="s">
        <v>155</v>
      </c>
      <c r="H968" s="1343"/>
    </row>
    <row r="969" spans="1:8">
      <c r="A969" s="1343"/>
      <c r="B969" s="1687" t="s">
        <v>468</v>
      </c>
      <c r="C969" s="380" t="s">
        <v>18</v>
      </c>
      <c r="D969" s="369" t="s">
        <v>155</v>
      </c>
      <c r="E969" s="1738" t="s">
        <v>469</v>
      </c>
      <c r="F969" s="379" t="b">
        <v>0</v>
      </c>
      <c r="G969" s="1739" t="s">
        <v>388</v>
      </c>
      <c r="H969" s="1343"/>
    </row>
    <row r="970" spans="1:8" ht="13" thickBot="1">
      <c r="A970" s="1343"/>
      <c r="B970" s="1735"/>
      <c r="C970" s="1736"/>
      <c r="D970" s="1736"/>
      <c r="E970" s="1736"/>
      <c r="F970" s="1736"/>
      <c r="G970" s="1737"/>
      <c r="H970" s="1343"/>
    </row>
    <row r="971" spans="1:8" ht="13.5" thickBot="1">
      <c r="A971" s="1343"/>
      <c r="B971" s="5031" t="s">
        <v>515</v>
      </c>
      <c r="C971" s="5032"/>
      <c r="D971" s="5032"/>
      <c r="E971" s="5032"/>
      <c r="F971" s="5032"/>
      <c r="G971" s="5033"/>
      <c r="H971" s="1343"/>
    </row>
    <row r="972" spans="1:8" ht="13" thickTop="1">
      <c r="A972" s="1343"/>
      <c r="B972" s="1687" t="s">
        <v>466</v>
      </c>
      <c r="C972" s="1740">
        <v>745432.93881915102</v>
      </c>
      <c r="D972" s="368" t="s">
        <v>155</v>
      </c>
      <c r="E972" s="1738" t="s">
        <v>467</v>
      </c>
      <c r="F972" s="375" t="s">
        <v>18</v>
      </c>
      <c r="G972" s="1739" t="s">
        <v>155</v>
      </c>
      <c r="H972" s="1343"/>
    </row>
    <row r="973" spans="1:8">
      <c r="A973" s="1343"/>
      <c r="B973" s="1687" t="s">
        <v>468</v>
      </c>
      <c r="C973" s="380" t="s">
        <v>18</v>
      </c>
      <c r="D973" s="369" t="s">
        <v>155</v>
      </c>
      <c r="E973" s="1738" t="s">
        <v>469</v>
      </c>
      <c r="F973" s="379" t="b">
        <v>0</v>
      </c>
      <c r="G973" s="1739" t="s">
        <v>388</v>
      </c>
      <c r="H973" s="1343"/>
    </row>
    <row r="974" spans="1:8" ht="13" thickBot="1">
      <c r="A974" s="1343"/>
      <c r="B974" s="1735"/>
      <c r="C974" s="1736"/>
      <c r="D974" s="1736"/>
      <c r="E974" s="1736"/>
      <c r="F974" s="1736"/>
      <c r="G974" s="1737"/>
      <c r="H974" s="1343"/>
    </row>
    <row r="975" spans="1:8" ht="13.5" thickBot="1">
      <c r="A975" s="1343"/>
      <c r="B975" s="5031" t="s">
        <v>516</v>
      </c>
      <c r="C975" s="5032"/>
      <c r="D975" s="5032"/>
      <c r="E975" s="5032"/>
      <c r="F975" s="5032"/>
      <c r="G975" s="5033"/>
      <c r="H975" s="1343"/>
    </row>
    <row r="976" spans="1:8" ht="13" thickTop="1">
      <c r="A976" s="1343"/>
      <c r="B976" s="1687" t="s">
        <v>466</v>
      </c>
      <c r="C976" s="378">
        <v>2.7951832647037201E-2</v>
      </c>
      <c r="D976" s="368" t="s">
        <v>517</v>
      </c>
      <c r="E976" s="1738" t="s">
        <v>467</v>
      </c>
      <c r="F976" s="375" t="s">
        <v>18</v>
      </c>
      <c r="G976" s="1739" t="s">
        <v>517</v>
      </c>
      <c r="H976" s="1343"/>
    </row>
    <row r="977" spans="1:8">
      <c r="A977" s="1343"/>
      <c r="B977" s="1687" t="s">
        <v>468</v>
      </c>
      <c r="C977" s="380" t="s">
        <v>18</v>
      </c>
      <c r="D977" s="369" t="s">
        <v>517</v>
      </c>
      <c r="E977" s="1738" t="s">
        <v>469</v>
      </c>
      <c r="F977" s="379" t="b">
        <v>0</v>
      </c>
      <c r="G977" s="1739" t="s">
        <v>388</v>
      </c>
      <c r="H977" s="1343"/>
    </row>
    <row r="978" spans="1:8" ht="13" thickBot="1">
      <c r="A978" s="1343"/>
      <c r="B978" s="1735"/>
      <c r="C978" s="1736"/>
      <c r="D978" s="1736"/>
      <c r="E978" s="1736"/>
      <c r="F978" s="1736"/>
      <c r="G978" s="1737"/>
      <c r="H978" s="1343"/>
    </row>
    <row r="979" spans="1:8" ht="13.5" thickBot="1">
      <c r="A979" s="1343"/>
      <c r="B979" s="5031" t="s">
        <v>518</v>
      </c>
      <c r="C979" s="5032"/>
      <c r="D979" s="5032"/>
      <c r="E979" s="5032"/>
      <c r="F979" s="5032"/>
      <c r="G979" s="5033"/>
      <c r="H979" s="1343"/>
    </row>
    <row r="980" spans="1:8" ht="13" thickTop="1">
      <c r="A980" s="1343"/>
      <c r="B980" s="1687" t="s">
        <v>466</v>
      </c>
      <c r="C980" s="376">
        <v>47.350743671099302</v>
      </c>
      <c r="D980" s="368" t="s">
        <v>296</v>
      </c>
      <c r="E980" s="1738" t="s">
        <v>467</v>
      </c>
      <c r="F980" s="375" t="s">
        <v>18</v>
      </c>
      <c r="G980" s="1739" t="s">
        <v>296</v>
      </c>
      <c r="H980" s="1343"/>
    </row>
    <row r="981" spans="1:8">
      <c r="A981" s="1343"/>
      <c r="B981" s="1687" t="s">
        <v>468</v>
      </c>
      <c r="C981" s="380" t="s">
        <v>18</v>
      </c>
      <c r="D981" s="369" t="s">
        <v>296</v>
      </c>
      <c r="E981" s="1738" t="s">
        <v>469</v>
      </c>
      <c r="F981" s="379" t="b">
        <v>0</v>
      </c>
      <c r="G981" s="1739" t="s">
        <v>388</v>
      </c>
      <c r="H981" s="1343"/>
    </row>
    <row r="982" spans="1:8" ht="13" thickBot="1">
      <c r="A982" s="1343"/>
      <c r="B982" s="1735"/>
      <c r="C982" s="1736"/>
      <c r="D982" s="1736"/>
      <c r="E982" s="1736"/>
      <c r="F982" s="1736"/>
      <c r="G982" s="1737"/>
      <c r="H982" s="1343"/>
    </row>
    <row r="983" spans="1:8" ht="13.5" thickBot="1">
      <c r="A983" s="1343"/>
      <c r="B983" s="5031" t="s">
        <v>519</v>
      </c>
      <c r="C983" s="5032"/>
      <c r="D983" s="5032"/>
      <c r="E983" s="5032"/>
      <c r="F983" s="5032"/>
      <c r="G983" s="5033"/>
      <c r="H983" s="1343"/>
    </row>
    <row r="984" spans="1:8" ht="13" thickTop="1">
      <c r="A984" s="1343"/>
      <c r="B984" s="1687" t="s">
        <v>466</v>
      </c>
      <c r="C984" s="376">
        <v>14.026149188847601</v>
      </c>
      <c r="D984" s="368" t="s">
        <v>296</v>
      </c>
      <c r="E984" s="1738" t="s">
        <v>467</v>
      </c>
      <c r="F984" s="375" t="s">
        <v>18</v>
      </c>
      <c r="G984" s="1739" t="s">
        <v>296</v>
      </c>
      <c r="H984" s="1343"/>
    </row>
    <row r="985" spans="1:8">
      <c r="A985" s="1343"/>
      <c r="B985" s="1687" t="s">
        <v>468</v>
      </c>
      <c r="C985" s="380" t="s">
        <v>18</v>
      </c>
      <c r="D985" s="369" t="s">
        <v>296</v>
      </c>
      <c r="E985" s="1738" t="s">
        <v>469</v>
      </c>
      <c r="F985" s="379" t="b">
        <v>0</v>
      </c>
      <c r="G985" s="1739" t="s">
        <v>388</v>
      </c>
      <c r="H985" s="1343"/>
    </row>
    <row r="986" spans="1:8" ht="13" thickBot="1">
      <c r="A986" s="1343"/>
      <c r="B986" s="1735"/>
      <c r="C986" s="1736"/>
      <c r="D986" s="1736"/>
      <c r="E986" s="1736"/>
      <c r="F986" s="1736"/>
      <c r="G986" s="1737"/>
      <c r="H986" s="1343"/>
    </row>
    <row r="987" spans="1:8" ht="13.5" thickBot="1">
      <c r="A987" s="1343"/>
      <c r="B987" s="5031" t="s">
        <v>520</v>
      </c>
      <c r="C987" s="5032"/>
      <c r="D987" s="5032"/>
      <c r="E987" s="5032"/>
      <c r="F987" s="5032"/>
      <c r="G987" s="5033"/>
      <c r="H987" s="1343"/>
    </row>
    <row r="988" spans="1:8" ht="13" thickTop="1">
      <c r="A988" s="1343"/>
      <c r="B988" s="1687" t="s">
        <v>466</v>
      </c>
      <c r="C988" s="376">
        <v>85.1750357081022</v>
      </c>
      <c r="D988" s="368" t="s">
        <v>296</v>
      </c>
      <c r="E988" s="1738" t="s">
        <v>467</v>
      </c>
      <c r="F988" s="375" t="s">
        <v>18</v>
      </c>
      <c r="G988" s="1739" t="s">
        <v>296</v>
      </c>
      <c r="H988" s="1343"/>
    </row>
    <row r="989" spans="1:8">
      <c r="A989" s="1343"/>
      <c r="B989" s="1687" t="s">
        <v>468</v>
      </c>
      <c r="C989" s="380" t="s">
        <v>18</v>
      </c>
      <c r="D989" s="369" t="s">
        <v>296</v>
      </c>
      <c r="E989" s="1738" t="s">
        <v>469</v>
      </c>
      <c r="F989" s="379" t="b">
        <v>0</v>
      </c>
      <c r="G989" s="1739" t="s">
        <v>388</v>
      </c>
      <c r="H989" s="1343"/>
    </row>
    <row r="990" spans="1:8">
      <c r="A990" s="1343"/>
      <c r="B990" s="1735"/>
      <c r="C990" s="1736"/>
      <c r="D990" s="1736"/>
      <c r="E990" s="1736"/>
      <c r="F990" s="1736"/>
      <c r="G990" s="1737"/>
      <c r="H990" s="1343"/>
    </row>
    <row r="991" spans="1:8">
      <c r="A991" s="1343"/>
      <c r="B991" s="5034" t="s">
        <v>521</v>
      </c>
      <c r="C991" s="5035"/>
      <c r="D991" s="5035"/>
      <c r="E991" s="5035"/>
      <c r="F991" s="5035"/>
      <c r="G991" s="5036"/>
      <c r="H991" s="1343"/>
    </row>
    <row r="992" spans="1:8">
      <c r="A992" s="1343"/>
      <c r="B992" s="5028" t="s">
        <v>1131</v>
      </c>
      <c r="C992" s="5029"/>
      <c r="D992" s="5029"/>
      <c r="E992" s="5029"/>
      <c r="F992" s="5029"/>
      <c r="G992" s="5030"/>
      <c r="H992" s="1343"/>
    </row>
    <row r="993" spans="1:8">
      <c r="A993" s="1343"/>
      <c r="B993" s="1743"/>
      <c r="C993" s="370"/>
      <c r="D993" s="370"/>
      <c r="E993" s="370"/>
      <c r="F993" s="370"/>
      <c r="G993" s="372"/>
      <c r="H993" s="1343"/>
    </row>
    <row r="994" spans="1:8" ht="13" thickBot="1">
      <c r="A994" s="1343"/>
      <c r="B994" s="1735"/>
      <c r="C994" s="1736"/>
      <c r="D994" s="1736"/>
      <c r="E994" s="1736"/>
      <c r="F994" s="1736"/>
      <c r="G994" s="1737"/>
      <c r="H994" s="1343"/>
    </row>
    <row r="995" spans="1:8" ht="13.5" thickBot="1">
      <c r="A995" s="1343"/>
      <c r="B995" s="5037" t="s">
        <v>1525</v>
      </c>
      <c r="C995" s="5038"/>
      <c r="D995" s="5038"/>
      <c r="E995" s="5038"/>
      <c r="F995" s="5038"/>
      <c r="G995" s="5039"/>
      <c r="H995" s="1343"/>
    </row>
    <row r="996" spans="1:8" ht="13.5" thickBot="1">
      <c r="A996" s="1343"/>
      <c r="B996" s="5031" t="s">
        <v>1526</v>
      </c>
      <c r="C996" s="5032"/>
      <c r="D996" s="5032"/>
      <c r="E996" s="5032"/>
      <c r="F996" s="5032"/>
      <c r="G996" s="5033"/>
      <c r="H996" s="1343"/>
    </row>
    <row r="997" spans="1:8" ht="13" thickTop="1">
      <c r="A997" s="1343"/>
      <c r="B997" s="1687" t="s">
        <v>466</v>
      </c>
      <c r="C997" s="1745">
        <v>133.75069796134599</v>
      </c>
      <c r="D997" s="368" t="s">
        <v>155</v>
      </c>
      <c r="E997" s="1738" t="s">
        <v>467</v>
      </c>
      <c r="F997" s="375" t="s">
        <v>18</v>
      </c>
      <c r="G997" s="1739" t="s">
        <v>155</v>
      </c>
      <c r="H997" s="1343"/>
    </row>
    <row r="998" spans="1:8">
      <c r="A998" s="1343"/>
      <c r="B998" s="1687" t="s">
        <v>468</v>
      </c>
      <c r="C998" s="380" t="s">
        <v>18</v>
      </c>
      <c r="D998" s="369" t="s">
        <v>155</v>
      </c>
      <c r="E998" s="1738" t="s">
        <v>469</v>
      </c>
      <c r="F998" s="379" t="b">
        <v>0</v>
      </c>
      <c r="G998" s="1739" t="s">
        <v>388</v>
      </c>
      <c r="H998" s="1343"/>
    </row>
    <row r="999" spans="1:8">
      <c r="A999" s="1343"/>
      <c r="B999" s="1735"/>
      <c r="C999" s="1736"/>
      <c r="D999" s="1736"/>
      <c r="E999" s="1736"/>
      <c r="F999" s="1736"/>
      <c r="G999" s="1737"/>
      <c r="H999" s="1343"/>
    </row>
    <row r="1000" spans="1:8">
      <c r="A1000" s="1343"/>
      <c r="B1000" s="5034" t="s">
        <v>521</v>
      </c>
      <c r="C1000" s="5035"/>
      <c r="D1000" s="5035"/>
      <c r="E1000" s="5035"/>
      <c r="F1000" s="5035"/>
      <c r="G1000" s="5036"/>
      <c r="H1000" s="1343"/>
    </row>
    <row r="1001" spans="1:8">
      <c r="A1001" s="1343"/>
      <c r="B1001" s="5028" t="s">
        <v>1527</v>
      </c>
      <c r="C1001" s="5029"/>
      <c r="D1001" s="5029"/>
      <c r="E1001" s="5029"/>
      <c r="F1001" s="5029"/>
      <c r="G1001" s="5030"/>
      <c r="H1001" s="1343"/>
    </row>
    <row r="1002" spans="1:8" ht="13" thickBot="1">
      <c r="A1002" s="1343"/>
      <c r="B1002" s="1749"/>
      <c r="C1002" s="371"/>
      <c r="D1002" s="371"/>
      <c r="E1002" s="371"/>
      <c r="F1002" s="371"/>
      <c r="G1002" s="373"/>
      <c r="H1002" s="1343"/>
    </row>
    <row r="1003" spans="1:8" ht="13" thickTop="1">
      <c r="A1003" s="1343"/>
      <c r="B1003" s="1343"/>
      <c r="C1003" s="1343"/>
      <c r="D1003" s="1343"/>
      <c r="E1003" s="1343"/>
      <c r="F1003" s="1343"/>
      <c r="G1003" s="1343"/>
      <c r="H1003" s="1343"/>
    </row>
  </sheetData>
  <mergeCells count="262">
    <mergeCell ref="B995:G995"/>
    <mergeCell ref="B996:G996"/>
    <mergeCell ref="B1000:G1000"/>
    <mergeCell ref="B1001:G1001"/>
    <mergeCell ref="B4:G4"/>
    <mergeCell ref="C6:E6"/>
    <mergeCell ref="C7:G7"/>
    <mergeCell ref="B10:G10"/>
    <mergeCell ref="B11:G11"/>
    <mergeCell ref="B39:G39"/>
    <mergeCell ref="B43:G43"/>
    <mergeCell ref="B47:G47"/>
    <mergeCell ref="B51:G51"/>
    <mergeCell ref="B55:G55"/>
    <mergeCell ref="B59:G59"/>
    <mergeCell ref="B15:G15"/>
    <mergeCell ref="B19:G19"/>
    <mergeCell ref="B23:G23"/>
    <mergeCell ref="B27:G27"/>
    <mergeCell ref="B31:G31"/>
    <mergeCell ref="B35:G35"/>
    <mergeCell ref="B87:G87"/>
    <mergeCell ref="B91:G91"/>
    <mergeCell ref="B95:G95"/>
    <mergeCell ref="B99:G99"/>
    <mergeCell ref="B103:G103"/>
    <mergeCell ref="B107:G107"/>
    <mergeCell ref="B63:G63"/>
    <mergeCell ref="B67:G67"/>
    <mergeCell ref="B71:G71"/>
    <mergeCell ref="B75:G75"/>
    <mergeCell ref="B79:G79"/>
    <mergeCell ref="B83:G83"/>
    <mergeCell ref="B135:G135"/>
    <mergeCell ref="B139:G139"/>
    <mergeCell ref="B143:G143"/>
    <mergeCell ref="B147:G147"/>
    <mergeCell ref="B151:G151"/>
    <mergeCell ref="B155:G155"/>
    <mergeCell ref="B111:G111"/>
    <mergeCell ref="B115:G115"/>
    <mergeCell ref="B119:G119"/>
    <mergeCell ref="B123:G123"/>
    <mergeCell ref="B127:G127"/>
    <mergeCell ref="B131:G131"/>
    <mergeCell ref="B183:G183"/>
    <mergeCell ref="B187:G187"/>
    <mergeCell ref="B191:G191"/>
    <mergeCell ref="B195:G195"/>
    <mergeCell ref="B199:G199"/>
    <mergeCell ref="B203:G203"/>
    <mergeCell ref="B159:G159"/>
    <mergeCell ref="B163:G163"/>
    <mergeCell ref="B167:G167"/>
    <mergeCell ref="B171:G171"/>
    <mergeCell ref="B175:G175"/>
    <mergeCell ref="B179:G179"/>
    <mergeCell ref="B224:G224"/>
    <mergeCell ref="B228:G228"/>
    <mergeCell ref="B232:G232"/>
    <mergeCell ref="B236:G236"/>
    <mergeCell ref="B240:G240"/>
    <mergeCell ref="B244:G244"/>
    <mergeCell ref="B204:G204"/>
    <mergeCell ref="B207:G207"/>
    <mergeCell ref="B208:G208"/>
    <mergeCell ref="B212:G212"/>
    <mergeCell ref="B216:G216"/>
    <mergeCell ref="B220:G220"/>
    <mergeCell ref="B272:G272"/>
    <mergeCell ref="B276:G276"/>
    <mergeCell ref="B280:G280"/>
    <mergeCell ref="B284:G284"/>
    <mergeCell ref="B288:G288"/>
    <mergeCell ref="B292:G292"/>
    <mergeCell ref="B248:G248"/>
    <mergeCell ref="B252:G252"/>
    <mergeCell ref="B256:G256"/>
    <mergeCell ref="B260:G260"/>
    <mergeCell ref="B264:G264"/>
    <mergeCell ref="B268:G268"/>
    <mergeCell ref="B320:G320"/>
    <mergeCell ref="B324:G324"/>
    <mergeCell ref="B328:G328"/>
    <mergeCell ref="B332:G332"/>
    <mergeCell ref="B336:G336"/>
    <mergeCell ref="B340:G340"/>
    <mergeCell ref="B296:G296"/>
    <mergeCell ref="B300:G300"/>
    <mergeCell ref="B304:G304"/>
    <mergeCell ref="B308:G308"/>
    <mergeCell ref="B312:G312"/>
    <mergeCell ref="B316:G316"/>
    <mergeCell ref="B368:G368"/>
    <mergeCell ref="B372:G372"/>
    <mergeCell ref="B376:G376"/>
    <mergeCell ref="B380:G380"/>
    <mergeCell ref="B384:G384"/>
    <mergeCell ref="B388:G388"/>
    <mergeCell ref="B344:G344"/>
    <mergeCell ref="B348:G348"/>
    <mergeCell ref="B352:G352"/>
    <mergeCell ref="B356:G356"/>
    <mergeCell ref="B360:G360"/>
    <mergeCell ref="B364:G364"/>
    <mergeCell ref="B409:G409"/>
    <mergeCell ref="B413:G413"/>
    <mergeCell ref="B417:G417"/>
    <mergeCell ref="B421:G421"/>
    <mergeCell ref="B425:G425"/>
    <mergeCell ref="B429:G429"/>
    <mergeCell ref="B392:G392"/>
    <mergeCell ref="B396:G396"/>
    <mergeCell ref="B400:G400"/>
    <mergeCell ref="B401:G401"/>
    <mergeCell ref="B404:G404"/>
    <mergeCell ref="B405:G405"/>
    <mergeCell ref="B457:G457"/>
    <mergeCell ref="B461:G461"/>
    <mergeCell ref="B465:G465"/>
    <mergeCell ref="B469:G469"/>
    <mergeCell ref="B473:G473"/>
    <mergeCell ref="B477:G477"/>
    <mergeCell ref="B433:G433"/>
    <mergeCell ref="B437:G437"/>
    <mergeCell ref="B441:G441"/>
    <mergeCell ref="B445:G445"/>
    <mergeCell ref="B449:G449"/>
    <mergeCell ref="B453:G453"/>
    <mergeCell ref="B505:G505"/>
    <mergeCell ref="B509:G509"/>
    <mergeCell ref="B513:G513"/>
    <mergeCell ref="B517:G517"/>
    <mergeCell ref="B521:G521"/>
    <mergeCell ref="B525:G525"/>
    <mergeCell ref="B481:G481"/>
    <mergeCell ref="B485:G485"/>
    <mergeCell ref="B489:G489"/>
    <mergeCell ref="B493:G493"/>
    <mergeCell ref="B497:G497"/>
    <mergeCell ref="B501:G501"/>
    <mergeCell ref="B553:G553"/>
    <mergeCell ref="B557:G557"/>
    <mergeCell ref="B561:G561"/>
    <mergeCell ref="B565:G565"/>
    <mergeCell ref="B569:G569"/>
    <mergeCell ref="B573:G573"/>
    <mergeCell ref="B529:G529"/>
    <mergeCell ref="B533:G533"/>
    <mergeCell ref="B537:G537"/>
    <mergeCell ref="B541:G541"/>
    <mergeCell ref="B545:G545"/>
    <mergeCell ref="B549:G549"/>
    <mergeCell ref="B598:G598"/>
    <mergeCell ref="B601:G601"/>
    <mergeCell ref="B602:G602"/>
    <mergeCell ref="B606:G606"/>
    <mergeCell ref="B610:G610"/>
    <mergeCell ref="B614:G614"/>
    <mergeCell ref="B577:G577"/>
    <mergeCell ref="B581:G581"/>
    <mergeCell ref="B585:G585"/>
    <mergeCell ref="B589:G589"/>
    <mergeCell ref="B593:G593"/>
    <mergeCell ref="B597:G597"/>
    <mergeCell ref="B642:G642"/>
    <mergeCell ref="B646:G646"/>
    <mergeCell ref="B650:G650"/>
    <mergeCell ref="B654:G654"/>
    <mergeCell ref="B658:G658"/>
    <mergeCell ref="B662:G662"/>
    <mergeCell ref="B618:G618"/>
    <mergeCell ref="B622:G622"/>
    <mergeCell ref="B626:G626"/>
    <mergeCell ref="B630:G630"/>
    <mergeCell ref="B634:G634"/>
    <mergeCell ref="B638:G638"/>
    <mergeCell ref="B690:G690"/>
    <mergeCell ref="B694:G694"/>
    <mergeCell ref="B698:G698"/>
    <mergeCell ref="B702:G702"/>
    <mergeCell ref="B706:G706"/>
    <mergeCell ref="B710:G710"/>
    <mergeCell ref="B666:G666"/>
    <mergeCell ref="B670:G670"/>
    <mergeCell ref="B674:G674"/>
    <mergeCell ref="B678:G678"/>
    <mergeCell ref="B682:G682"/>
    <mergeCell ref="B686:G686"/>
    <mergeCell ref="B738:G738"/>
    <mergeCell ref="B742:G742"/>
    <mergeCell ref="B746:G746"/>
    <mergeCell ref="B750:G750"/>
    <mergeCell ref="B754:G754"/>
    <mergeCell ref="B758:G758"/>
    <mergeCell ref="B714:G714"/>
    <mergeCell ref="B718:G718"/>
    <mergeCell ref="B722:G722"/>
    <mergeCell ref="B726:G726"/>
    <mergeCell ref="B730:G730"/>
    <mergeCell ref="B734:G734"/>
    <mergeCell ref="B786:G786"/>
    <mergeCell ref="B790:G790"/>
    <mergeCell ref="B794:G794"/>
    <mergeCell ref="B795:G795"/>
    <mergeCell ref="B798:G798"/>
    <mergeCell ref="B799:G799"/>
    <mergeCell ref="B762:G762"/>
    <mergeCell ref="B766:G766"/>
    <mergeCell ref="B770:G770"/>
    <mergeCell ref="B774:G774"/>
    <mergeCell ref="B778:G778"/>
    <mergeCell ref="B782:G782"/>
    <mergeCell ref="B827:G827"/>
    <mergeCell ref="B831:G831"/>
    <mergeCell ref="B835:G835"/>
    <mergeCell ref="B839:G839"/>
    <mergeCell ref="B843:G843"/>
    <mergeCell ref="B847:G847"/>
    <mergeCell ref="B803:G803"/>
    <mergeCell ref="B807:G807"/>
    <mergeCell ref="B811:G811"/>
    <mergeCell ref="B815:G815"/>
    <mergeCell ref="B819:G819"/>
    <mergeCell ref="B823:G823"/>
    <mergeCell ref="B875:G875"/>
    <mergeCell ref="B879:G879"/>
    <mergeCell ref="B883:G883"/>
    <mergeCell ref="B887:G887"/>
    <mergeCell ref="B891:G891"/>
    <mergeCell ref="B895:G895"/>
    <mergeCell ref="B851:G851"/>
    <mergeCell ref="B855:G855"/>
    <mergeCell ref="B859:G859"/>
    <mergeCell ref="B863:G863"/>
    <mergeCell ref="B867:G867"/>
    <mergeCell ref="B871:G871"/>
    <mergeCell ref="B923:G923"/>
    <mergeCell ref="B927:G927"/>
    <mergeCell ref="B931:G931"/>
    <mergeCell ref="B935:G935"/>
    <mergeCell ref="B939:G939"/>
    <mergeCell ref="B943:G943"/>
    <mergeCell ref="B899:G899"/>
    <mergeCell ref="B903:G903"/>
    <mergeCell ref="B907:G907"/>
    <mergeCell ref="B911:G911"/>
    <mergeCell ref="B915:G915"/>
    <mergeCell ref="B919:G919"/>
    <mergeCell ref="B992:G992"/>
    <mergeCell ref="B971:G971"/>
    <mergeCell ref="B975:G975"/>
    <mergeCell ref="B979:G979"/>
    <mergeCell ref="B983:G983"/>
    <mergeCell ref="B987:G987"/>
    <mergeCell ref="B991:G991"/>
    <mergeCell ref="B947:G947"/>
    <mergeCell ref="B951:G951"/>
    <mergeCell ref="B955:G955"/>
    <mergeCell ref="B959:G959"/>
    <mergeCell ref="B963:G963"/>
    <mergeCell ref="B967:G967"/>
  </mergeCells>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tabColor rgb="FF00FFCC"/>
  </sheetPr>
  <dimension ref="A1:AO685"/>
  <sheetViews>
    <sheetView zoomScale="85" zoomScaleNormal="85" workbookViewId="0">
      <pane xSplit="1" topLeftCell="AG1" activePane="topRight" state="frozen"/>
      <selection activeCell="C15" sqref="C15:C16"/>
      <selection pane="topRight" activeCell="AN1" sqref="AN1:AN411"/>
    </sheetView>
  </sheetViews>
  <sheetFormatPr defaultColWidth="9.36328125" defaultRowHeight="12.5"/>
  <cols>
    <col min="1" max="1" width="22.6328125" style="2438" bestFit="1" customWidth="1"/>
    <col min="2" max="2" width="10.36328125" style="2438" bestFit="1" customWidth="1"/>
    <col min="3" max="3" width="15.6328125" style="2438" bestFit="1" customWidth="1"/>
    <col min="4" max="4" width="18.6328125" style="2438" bestFit="1" customWidth="1"/>
    <col min="5" max="5" width="21.36328125" style="2438" bestFit="1" customWidth="1"/>
    <col min="6" max="6" width="10.54296875" style="2438" bestFit="1" customWidth="1"/>
    <col min="7" max="7" width="10" style="2438" bestFit="1" customWidth="1"/>
    <col min="8" max="8" width="21" style="2438" bestFit="1" customWidth="1"/>
    <col min="9" max="9" width="9.6328125" style="2438" bestFit="1" customWidth="1"/>
    <col min="10" max="10" width="25.6328125" style="3410" bestFit="1" customWidth="1"/>
    <col min="11" max="11" width="12.36328125" style="2438" bestFit="1" customWidth="1"/>
    <col min="12" max="12" width="19.36328125" style="2438" bestFit="1" customWidth="1"/>
    <col min="13" max="13" width="8.6328125" style="2438" bestFit="1" customWidth="1"/>
    <col min="14" max="14" width="15.453125" style="2438" bestFit="1" customWidth="1"/>
    <col min="15" max="15" width="10" style="2438" bestFit="1" customWidth="1"/>
    <col min="16" max="16" width="8.36328125" style="2438" bestFit="1" customWidth="1"/>
    <col min="17" max="18" width="15.36328125" style="2438" bestFit="1" customWidth="1"/>
    <col min="19" max="19" width="10" style="2438" bestFit="1" customWidth="1"/>
    <col min="20" max="21" width="11.36328125" style="2438" bestFit="1" customWidth="1"/>
    <col min="22" max="23" width="19.36328125" style="2438" bestFit="1" customWidth="1"/>
    <col min="24" max="30" width="10" style="2438" bestFit="1" customWidth="1"/>
    <col min="31" max="31" width="11.6328125" style="2438" customWidth="1"/>
    <col min="32" max="32" width="19.36328125" style="2438" bestFit="1" customWidth="1"/>
    <col min="33" max="37" width="10" style="2438" bestFit="1" customWidth="1"/>
    <col min="38" max="38" width="11.36328125" style="2438" bestFit="1" customWidth="1"/>
    <col min="39" max="39" width="25" style="2438" customWidth="1"/>
    <col min="40" max="40" width="22.453125" style="2438" bestFit="1" customWidth="1"/>
    <col min="41" max="16384" width="9.36328125" style="2438"/>
  </cols>
  <sheetData>
    <row r="1" spans="1:41" ht="13" thickBot="1">
      <c r="A1" s="3426"/>
      <c r="B1" s="3426"/>
      <c r="C1" s="3426"/>
      <c r="D1" s="3426"/>
      <c r="E1" s="3426"/>
      <c r="F1" s="3727"/>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760"/>
      <c r="AO1" s="3426"/>
    </row>
    <row r="2" spans="1:41" ht="14" thickTop="1" thickBot="1">
      <c r="A2" s="3434" t="s">
        <v>389</v>
      </c>
      <c r="B2" s="3435"/>
      <c r="C2" s="3436" t="s">
        <v>821</v>
      </c>
      <c r="D2" s="3436" t="s">
        <v>822</v>
      </c>
      <c r="E2" s="3436" t="s">
        <v>741</v>
      </c>
      <c r="F2" s="3734" t="s">
        <v>823</v>
      </c>
      <c r="G2" s="3436" t="s">
        <v>1304</v>
      </c>
      <c r="H2" s="3436" t="s">
        <v>737</v>
      </c>
      <c r="I2" s="3436" t="s">
        <v>742</v>
      </c>
      <c r="J2" s="3437" t="s">
        <v>1305</v>
      </c>
      <c r="K2" s="3436" t="s">
        <v>824</v>
      </c>
      <c r="L2" s="3436" t="s">
        <v>825</v>
      </c>
      <c r="M2" s="3436" t="s">
        <v>743</v>
      </c>
      <c r="N2" s="3436" t="s">
        <v>827</v>
      </c>
      <c r="O2" s="3436" t="s">
        <v>390</v>
      </c>
      <c r="P2" s="3436" t="s">
        <v>391</v>
      </c>
      <c r="Q2" s="3436" t="s">
        <v>392</v>
      </c>
      <c r="R2" s="3436" t="s">
        <v>393</v>
      </c>
      <c r="S2" s="3436" t="s">
        <v>394</v>
      </c>
      <c r="T2" s="3436" t="s">
        <v>395</v>
      </c>
      <c r="U2" s="3436" t="s">
        <v>396</v>
      </c>
      <c r="V2" s="3436" t="s">
        <v>397</v>
      </c>
      <c r="W2" s="3436" t="s">
        <v>398</v>
      </c>
      <c r="X2" s="3436" t="s">
        <v>399</v>
      </c>
      <c r="Y2" s="3436" t="s">
        <v>400</v>
      </c>
      <c r="Z2" s="3436" t="s">
        <v>401</v>
      </c>
      <c r="AA2" s="3436" t="s">
        <v>402</v>
      </c>
      <c r="AB2" s="3436" t="s">
        <v>403</v>
      </c>
      <c r="AC2" s="3436" t="s">
        <v>404</v>
      </c>
      <c r="AD2" s="3436" t="s">
        <v>405</v>
      </c>
      <c r="AE2" s="3436" t="s">
        <v>406</v>
      </c>
      <c r="AF2" s="3436" t="s">
        <v>407</v>
      </c>
      <c r="AG2" s="3436" t="s">
        <v>408</v>
      </c>
      <c r="AH2" s="3436" t="s">
        <v>409</v>
      </c>
      <c r="AI2" s="3436" t="s">
        <v>410</v>
      </c>
      <c r="AJ2" s="3436" t="s">
        <v>411</v>
      </c>
      <c r="AK2" s="3436" t="s">
        <v>412</v>
      </c>
      <c r="AL2" s="3436" t="s">
        <v>439</v>
      </c>
      <c r="AM2" s="3436" t="s">
        <v>440</v>
      </c>
      <c r="AN2" s="3761" t="s">
        <v>828</v>
      </c>
      <c r="AO2" s="3426"/>
    </row>
    <row r="3" spans="1:41" ht="13">
      <c r="A3" s="3438" t="s">
        <v>96</v>
      </c>
      <c r="B3" s="3427" t="s">
        <v>413</v>
      </c>
      <c r="C3" s="3428" t="s">
        <v>414</v>
      </c>
      <c r="D3" s="3428" t="s">
        <v>414</v>
      </c>
      <c r="E3" s="3428" t="s">
        <v>414</v>
      </c>
      <c r="F3" s="3728" t="s">
        <v>414</v>
      </c>
      <c r="G3" s="3428" t="s">
        <v>414</v>
      </c>
      <c r="H3" s="3428" t="s">
        <v>414</v>
      </c>
      <c r="I3" s="3428" t="s">
        <v>414</v>
      </c>
      <c r="J3" s="3439" t="s">
        <v>414</v>
      </c>
      <c r="K3" s="3428" t="s">
        <v>414</v>
      </c>
      <c r="L3" s="3428" t="s">
        <v>414</v>
      </c>
      <c r="M3" s="3428" t="s">
        <v>414</v>
      </c>
      <c r="N3" s="3428" t="s">
        <v>414</v>
      </c>
      <c r="O3" s="3428" t="s">
        <v>414</v>
      </c>
      <c r="P3" s="3428" t="s">
        <v>414</v>
      </c>
      <c r="Q3" s="3428" t="s">
        <v>414</v>
      </c>
      <c r="R3" s="3428" t="s">
        <v>414</v>
      </c>
      <c r="S3" s="3428" t="s">
        <v>414</v>
      </c>
      <c r="T3" s="3428" t="s">
        <v>414</v>
      </c>
      <c r="U3" s="3428" t="s">
        <v>414</v>
      </c>
      <c r="V3" s="3428" t="s">
        <v>414</v>
      </c>
      <c r="W3" s="3428" t="s">
        <v>414</v>
      </c>
      <c r="X3" s="3428" t="s">
        <v>414</v>
      </c>
      <c r="Y3" s="3428" t="s">
        <v>414</v>
      </c>
      <c r="Z3" s="3428" t="s">
        <v>414</v>
      </c>
      <c r="AA3" s="3428" t="s">
        <v>414</v>
      </c>
      <c r="AB3" s="3428" t="s">
        <v>414</v>
      </c>
      <c r="AC3" s="3428" t="s">
        <v>414</v>
      </c>
      <c r="AD3" s="3428" t="s">
        <v>414</v>
      </c>
      <c r="AE3" s="3428" t="s">
        <v>414</v>
      </c>
      <c r="AF3" s="3428" t="s">
        <v>414</v>
      </c>
      <c r="AG3" s="3428" t="s">
        <v>414</v>
      </c>
      <c r="AH3" s="3428" t="s">
        <v>414</v>
      </c>
      <c r="AI3" s="3428" t="s">
        <v>414</v>
      </c>
      <c r="AJ3" s="3428" t="s">
        <v>414</v>
      </c>
      <c r="AK3" s="3428" t="s">
        <v>414</v>
      </c>
      <c r="AL3" s="3428" t="s">
        <v>414</v>
      </c>
      <c r="AM3" s="3428" t="s">
        <v>414</v>
      </c>
      <c r="AN3" s="3762" t="s">
        <v>414</v>
      </c>
      <c r="AO3" s="3426"/>
    </row>
    <row r="4" spans="1:41" ht="13">
      <c r="A4" s="3440" t="s">
        <v>415</v>
      </c>
      <c r="B4" s="3429" t="s">
        <v>416</v>
      </c>
      <c r="C4" s="3429" t="s">
        <v>445</v>
      </c>
      <c r="D4" s="3429" t="s">
        <v>445</v>
      </c>
      <c r="E4" s="3429" t="s">
        <v>445</v>
      </c>
      <c r="F4" s="3729" t="s">
        <v>445</v>
      </c>
      <c r="G4" s="3429" t="s">
        <v>445</v>
      </c>
      <c r="H4" s="3429" t="s">
        <v>445</v>
      </c>
      <c r="I4" s="3429" t="s">
        <v>445</v>
      </c>
      <c r="J4" s="3441" t="s">
        <v>445</v>
      </c>
      <c r="K4" s="3429" t="s">
        <v>829</v>
      </c>
      <c r="L4" s="3429" t="s">
        <v>445</v>
      </c>
      <c r="M4" s="3429" t="s">
        <v>445</v>
      </c>
      <c r="N4" s="3429" t="s">
        <v>445</v>
      </c>
      <c r="O4" s="3429" t="s">
        <v>445</v>
      </c>
      <c r="P4" s="3429" t="s">
        <v>829</v>
      </c>
      <c r="Q4" s="3429" t="s">
        <v>830</v>
      </c>
      <c r="R4" s="3429" t="s">
        <v>830</v>
      </c>
      <c r="S4" s="3429" t="s">
        <v>445</v>
      </c>
      <c r="T4" s="3429" t="s">
        <v>631</v>
      </c>
      <c r="U4" s="3429" t="s">
        <v>631</v>
      </c>
      <c r="V4" s="3429" t="s">
        <v>831</v>
      </c>
      <c r="W4" s="3429" t="s">
        <v>831</v>
      </c>
      <c r="X4" s="3429" t="s">
        <v>418</v>
      </c>
      <c r="Y4" s="3429" t="s">
        <v>419</v>
      </c>
      <c r="Z4" s="3429" t="s">
        <v>445</v>
      </c>
      <c r="AA4" s="3429" t="s">
        <v>445</v>
      </c>
      <c r="AB4" s="3429" t="s">
        <v>447</v>
      </c>
      <c r="AC4" s="3429" t="s">
        <v>445</v>
      </c>
      <c r="AD4" s="3429" t="s">
        <v>445</v>
      </c>
      <c r="AE4" s="3429" t="s">
        <v>448</v>
      </c>
      <c r="AF4" s="3429" t="s">
        <v>896</v>
      </c>
      <c r="AG4" s="3429" t="s">
        <v>896</v>
      </c>
      <c r="AH4" s="3429" t="s">
        <v>445</v>
      </c>
      <c r="AI4" s="3429" t="s">
        <v>445</v>
      </c>
      <c r="AJ4" s="3429" t="s">
        <v>449</v>
      </c>
      <c r="AK4" s="3429" t="s">
        <v>896</v>
      </c>
      <c r="AL4" s="3429" t="s">
        <v>450</v>
      </c>
      <c r="AM4" s="3429" t="s">
        <v>826</v>
      </c>
      <c r="AN4" s="3763" t="s">
        <v>445</v>
      </c>
      <c r="AO4" s="3426"/>
    </row>
    <row r="5" spans="1:41">
      <c r="A5" s="3442"/>
      <c r="B5" s="3429" t="s">
        <v>421</v>
      </c>
      <c r="C5" s="3430" t="s">
        <v>450</v>
      </c>
      <c r="D5" s="3430" t="s">
        <v>418</v>
      </c>
      <c r="E5" s="3430" t="s">
        <v>445</v>
      </c>
      <c r="F5" s="3730" t="s">
        <v>829</v>
      </c>
      <c r="G5" s="3430" t="s">
        <v>445</v>
      </c>
      <c r="H5" s="3430" t="s">
        <v>445</v>
      </c>
      <c r="I5" s="3430" t="s">
        <v>445</v>
      </c>
      <c r="J5" s="3443" t="s">
        <v>445</v>
      </c>
      <c r="K5" s="3430" t="s">
        <v>445</v>
      </c>
      <c r="L5" s="3430" t="s">
        <v>418</v>
      </c>
      <c r="M5" s="3430" t="s">
        <v>445</v>
      </c>
      <c r="N5" s="3430" t="s">
        <v>445</v>
      </c>
      <c r="O5" s="3430" t="s">
        <v>419</v>
      </c>
      <c r="P5" s="3430" t="s">
        <v>445</v>
      </c>
      <c r="Q5" s="3430" t="s">
        <v>445</v>
      </c>
      <c r="R5" s="3430" t="s">
        <v>445</v>
      </c>
      <c r="S5" s="3430" t="s">
        <v>419</v>
      </c>
      <c r="T5" s="3430" t="s">
        <v>445</v>
      </c>
      <c r="U5" s="3430" t="s">
        <v>445</v>
      </c>
      <c r="V5" s="3430" t="s">
        <v>445</v>
      </c>
      <c r="W5" s="3430" t="s">
        <v>445</v>
      </c>
      <c r="X5" s="3430" t="s">
        <v>896</v>
      </c>
      <c r="Y5" s="3430" t="s">
        <v>445</v>
      </c>
      <c r="Z5" s="3430" t="s">
        <v>447</v>
      </c>
      <c r="AA5" s="3430" t="s">
        <v>447</v>
      </c>
      <c r="AB5" s="3430" t="s">
        <v>445</v>
      </c>
      <c r="AC5" s="3430" t="s">
        <v>448</v>
      </c>
      <c r="AD5" s="3430" t="s">
        <v>448</v>
      </c>
      <c r="AE5" s="3430" t="s">
        <v>445</v>
      </c>
      <c r="AF5" s="3430" t="s">
        <v>831</v>
      </c>
      <c r="AG5" s="3430" t="s">
        <v>445</v>
      </c>
      <c r="AH5" s="3430" t="s">
        <v>449</v>
      </c>
      <c r="AI5" s="3430" t="s">
        <v>449</v>
      </c>
      <c r="AJ5" s="3430" t="s">
        <v>445</v>
      </c>
      <c r="AK5" s="3430" t="s">
        <v>450</v>
      </c>
      <c r="AL5" s="3430" t="s">
        <v>631</v>
      </c>
      <c r="AM5" s="3430" t="s">
        <v>830</v>
      </c>
      <c r="AN5" s="3764" t="s">
        <v>445</v>
      </c>
      <c r="AO5" s="3426"/>
    </row>
    <row r="6" spans="1:41" ht="13" thickBot="1">
      <c r="A6" s="5055" t="s">
        <v>49</v>
      </c>
      <c r="B6" s="5056"/>
      <c r="C6" s="3431" t="s">
        <v>296</v>
      </c>
      <c r="D6" s="3433" t="s">
        <v>296</v>
      </c>
      <c r="E6" s="3433" t="s">
        <v>296</v>
      </c>
      <c r="F6" s="3731" t="s">
        <v>296</v>
      </c>
      <c r="G6" s="3433" t="s">
        <v>296</v>
      </c>
      <c r="H6" s="3433" t="s">
        <v>296</v>
      </c>
      <c r="I6" s="3433" t="s">
        <v>296</v>
      </c>
      <c r="J6" s="3418" t="s">
        <v>296</v>
      </c>
      <c r="K6" s="3433" t="s">
        <v>296</v>
      </c>
      <c r="L6" s="3433" t="s">
        <v>296</v>
      </c>
      <c r="M6" s="3433" t="s">
        <v>296</v>
      </c>
      <c r="N6" s="3433" t="s">
        <v>296</v>
      </c>
      <c r="O6" s="3433" t="s">
        <v>296</v>
      </c>
      <c r="P6" s="3433" t="s">
        <v>296</v>
      </c>
      <c r="Q6" s="3433" t="s">
        <v>296</v>
      </c>
      <c r="R6" s="3433" t="s">
        <v>296</v>
      </c>
      <c r="S6" s="3433" t="s">
        <v>296</v>
      </c>
      <c r="T6" s="3433" t="s">
        <v>296</v>
      </c>
      <c r="U6" s="3433" t="s">
        <v>296</v>
      </c>
      <c r="V6" s="3433" t="s">
        <v>296</v>
      </c>
      <c r="W6" s="3433" t="s">
        <v>296</v>
      </c>
      <c r="X6" s="3433" t="s">
        <v>296</v>
      </c>
      <c r="Y6" s="3433" t="s">
        <v>296</v>
      </c>
      <c r="Z6" s="3433" t="s">
        <v>296</v>
      </c>
      <c r="AA6" s="3433" t="s">
        <v>296</v>
      </c>
      <c r="AB6" s="3433" t="s">
        <v>296</v>
      </c>
      <c r="AC6" s="3433" t="s">
        <v>296</v>
      </c>
      <c r="AD6" s="3433" t="s">
        <v>296</v>
      </c>
      <c r="AE6" s="3433" t="s">
        <v>296</v>
      </c>
      <c r="AF6" s="3433" t="s">
        <v>296</v>
      </c>
      <c r="AG6" s="3433" t="s">
        <v>296</v>
      </c>
      <c r="AH6" s="3433" t="s">
        <v>296</v>
      </c>
      <c r="AI6" s="3433" t="s">
        <v>296</v>
      </c>
      <c r="AJ6" s="3433" t="s">
        <v>296</v>
      </c>
      <c r="AK6" s="3433" t="s">
        <v>296</v>
      </c>
      <c r="AL6" s="3433" t="s">
        <v>296</v>
      </c>
      <c r="AM6" s="3433" t="s">
        <v>296</v>
      </c>
      <c r="AN6" s="3765" t="s">
        <v>296</v>
      </c>
      <c r="AO6" s="3426"/>
    </row>
    <row r="7" spans="1:41" ht="13" thickTop="1">
      <c r="A7" s="5051" t="s">
        <v>298</v>
      </c>
      <c r="B7" s="5052"/>
      <c r="C7" s="3446">
        <v>0.104</v>
      </c>
      <c r="D7" s="3446">
        <v>99.5</v>
      </c>
      <c r="E7" s="3446">
        <v>0</v>
      </c>
      <c r="F7" s="3735">
        <v>0</v>
      </c>
      <c r="G7" s="3446">
        <v>0</v>
      </c>
      <c r="H7" s="3446">
        <v>0</v>
      </c>
      <c r="I7" s="3446">
        <v>0</v>
      </c>
      <c r="J7" s="3499">
        <v>0.53</v>
      </c>
      <c r="K7" s="3447">
        <v>0</v>
      </c>
      <c r="L7" s="3448">
        <v>98.009800980098007</v>
      </c>
      <c r="M7" s="3446">
        <v>0</v>
      </c>
      <c r="N7" s="3447">
        <v>0</v>
      </c>
      <c r="O7" s="3449">
        <v>6.3787799107625195E-5</v>
      </c>
      <c r="P7" s="3450" t="s">
        <v>18</v>
      </c>
      <c r="Q7" s="3451">
        <v>0.118382399465047</v>
      </c>
      <c r="R7" s="3452">
        <v>2.1629993467730301E-3</v>
      </c>
      <c r="S7" s="3449">
        <v>6.3787799107625195E-5</v>
      </c>
      <c r="T7" s="3453">
        <v>4.7854188187503901</v>
      </c>
      <c r="U7" s="3454">
        <v>8.0673945893317694E-2</v>
      </c>
      <c r="V7" s="3450" t="s">
        <v>18</v>
      </c>
      <c r="W7" s="3455">
        <v>99.996470341110594</v>
      </c>
      <c r="X7" s="3455">
        <v>98.026791584076506</v>
      </c>
      <c r="Y7" s="3449">
        <v>6.3787799107625101E-5</v>
      </c>
      <c r="Z7" s="3455">
        <v>99.200287263712099</v>
      </c>
      <c r="AA7" s="3455">
        <v>99.200287263712099</v>
      </c>
      <c r="AB7" s="3455">
        <v>99.200287263712099</v>
      </c>
      <c r="AC7" s="3452">
        <v>3.4885478095235001E-3</v>
      </c>
      <c r="AD7" s="3452">
        <v>3.4885478095235001E-3</v>
      </c>
      <c r="AE7" s="3452">
        <v>3.4885478095235001E-3</v>
      </c>
      <c r="AF7" s="3455">
        <v>99.996470341110594</v>
      </c>
      <c r="AG7" s="3453">
        <v>5.3667069151067501</v>
      </c>
      <c r="AH7" s="3455">
        <v>65.917209911798693</v>
      </c>
      <c r="AI7" s="3455">
        <v>65.917209911798693</v>
      </c>
      <c r="AJ7" s="3455">
        <v>65.917209911798693</v>
      </c>
      <c r="AK7" s="3454">
        <v>9.0594456806451104E-2</v>
      </c>
      <c r="AL7" s="3454">
        <v>9.08432336361545E-2</v>
      </c>
      <c r="AM7" s="3452">
        <v>2.2075293497011801E-3</v>
      </c>
      <c r="AN7" s="3766">
        <v>0</v>
      </c>
      <c r="AO7" s="3426"/>
    </row>
    <row r="8" spans="1:41">
      <c r="A8" s="5047" t="s">
        <v>5</v>
      </c>
      <c r="B8" s="5048"/>
      <c r="C8" s="3446">
        <v>0</v>
      </c>
      <c r="D8" s="3446">
        <v>0</v>
      </c>
      <c r="E8" s="3457">
        <v>1.00000010039997E-5</v>
      </c>
      <c r="F8" s="3735">
        <v>0</v>
      </c>
      <c r="G8" s="3457">
        <v>4.9999985000002502E-5</v>
      </c>
      <c r="H8" s="3457">
        <v>1.00000009999997E-5</v>
      </c>
      <c r="I8" s="3457">
        <v>1.00000009999997E-5</v>
      </c>
      <c r="J8" s="3499">
        <v>0</v>
      </c>
      <c r="K8" s="3447">
        <v>0</v>
      </c>
      <c r="L8" s="3446">
        <v>0</v>
      </c>
      <c r="M8" s="3457">
        <v>1.00000009999997E-5</v>
      </c>
      <c r="N8" s="3447">
        <v>0</v>
      </c>
      <c r="O8" s="3447">
        <v>0</v>
      </c>
      <c r="P8" s="3450" t="s">
        <v>18</v>
      </c>
      <c r="Q8" s="3447">
        <v>0</v>
      </c>
      <c r="R8" s="3447">
        <v>0</v>
      </c>
      <c r="S8" s="3447">
        <v>0</v>
      </c>
      <c r="T8" s="3447">
        <v>0</v>
      </c>
      <c r="U8" s="3447">
        <v>0</v>
      </c>
      <c r="V8" s="3450" t="s">
        <v>18</v>
      </c>
      <c r="W8" s="3447">
        <v>0</v>
      </c>
      <c r="X8" s="3447">
        <v>0</v>
      </c>
      <c r="Y8" s="3447">
        <v>0</v>
      </c>
      <c r="Z8" s="3447">
        <v>0</v>
      </c>
      <c r="AA8" s="3447">
        <v>0</v>
      </c>
      <c r="AB8" s="3447">
        <v>0</v>
      </c>
      <c r="AC8" s="3447">
        <v>0</v>
      </c>
      <c r="AD8" s="3447">
        <v>0</v>
      </c>
      <c r="AE8" s="3447">
        <v>0</v>
      </c>
      <c r="AF8" s="3447">
        <v>0</v>
      </c>
      <c r="AG8" s="3447">
        <v>0</v>
      </c>
      <c r="AH8" s="3447">
        <v>0</v>
      </c>
      <c r="AI8" s="3447">
        <v>0</v>
      </c>
      <c r="AJ8" s="3447">
        <v>0</v>
      </c>
      <c r="AK8" s="3447">
        <v>0</v>
      </c>
      <c r="AL8" s="3447">
        <v>0</v>
      </c>
      <c r="AM8" s="3447">
        <v>0</v>
      </c>
      <c r="AN8" s="3766">
        <v>0</v>
      </c>
      <c r="AO8" s="3426"/>
    </row>
    <row r="9" spans="1:41">
      <c r="A9" s="5047" t="s">
        <v>832</v>
      </c>
      <c r="B9" s="5048"/>
      <c r="C9" s="3446">
        <v>0</v>
      </c>
      <c r="D9" s="3446">
        <v>0</v>
      </c>
      <c r="E9" s="3458">
        <v>1.8199998179999799</v>
      </c>
      <c r="F9" s="3735">
        <v>0</v>
      </c>
      <c r="G9" s="3458">
        <v>1.6003192638530099</v>
      </c>
      <c r="H9" s="3458">
        <v>1.8199998179999799</v>
      </c>
      <c r="I9" s="3458">
        <v>1.8199998179999799</v>
      </c>
      <c r="J9" s="3499">
        <v>0</v>
      </c>
      <c r="K9" s="3447">
        <v>0</v>
      </c>
      <c r="L9" s="3446">
        <v>0</v>
      </c>
      <c r="M9" s="3458">
        <v>1.8199998179999799</v>
      </c>
      <c r="N9" s="3447">
        <v>0</v>
      </c>
      <c r="O9" s="3449">
        <v>4.6404917776944901E-5</v>
      </c>
      <c r="P9" s="3450" t="s">
        <v>18</v>
      </c>
      <c r="Q9" s="3452">
        <v>3.16747005626774E-3</v>
      </c>
      <c r="R9" s="3449">
        <v>5.4680834841856002E-6</v>
      </c>
      <c r="S9" s="3449">
        <v>4.6404917776944901E-5</v>
      </c>
      <c r="T9" s="3447">
        <v>0</v>
      </c>
      <c r="U9" s="3447">
        <v>0</v>
      </c>
      <c r="V9" s="3450" t="s">
        <v>18</v>
      </c>
      <c r="W9" s="3447">
        <v>0</v>
      </c>
      <c r="X9" s="3447">
        <v>0</v>
      </c>
      <c r="Y9" s="3449">
        <v>4.6404917776944901E-5</v>
      </c>
      <c r="Z9" s="3447">
        <v>0</v>
      </c>
      <c r="AA9" s="3447">
        <v>0</v>
      </c>
      <c r="AB9" s="3447">
        <v>0</v>
      </c>
      <c r="AC9" s="3447">
        <v>0</v>
      </c>
      <c r="AD9" s="3447">
        <v>0</v>
      </c>
      <c r="AE9" s="3447">
        <v>0</v>
      </c>
      <c r="AF9" s="3447">
        <v>0</v>
      </c>
      <c r="AG9" s="3447">
        <v>0</v>
      </c>
      <c r="AH9" s="3447">
        <v>0</v>
      </c>
      <c r="AI9" s="3447">
        <v>0</v>
      </c>
      <c r="AJ9" s="3447">
        <v>0</v>
      </c>
      <c r="AK9" s="3447">
        <v>0</v>
      </c>
      <c r="AL9" s="3447">
        <v>0</v>
      </c>
      <c r="AM9" s="3449">
        <v>6.6796192257536401E-6</v>
      </c>
      <c r="AN9" s="3766">
        <v>0</v>
      </c>
      <c r="AO9" s="3426"/>
    </row>
    <row r="10" spans="1:41">
      <c r="A10" s="5047" t="s">
        <v>3</v>
      </c>
      <c r="B10" s="5048"/>
      <c r="C10" s="3446">
        <v>2E-3</v>
      </c>
      <c r="D10" s="3446">
        <v>0</v>
      </c>
      <c r="E10" s="3446">
        <v>0</v>
      </c>
      <c r="F10" s="3735">
        <v>0</v>
      </c>
      <c r="G10" s="3459">
        <v>0.17003392178438201</v>
      </c>
      <c r="H10" s="3446">
        <v>0</v>
      </c>
      <c r="I10" s="3446">
        <v>0</v>
      </c>
      <c r="J10" s="3499">
        <v>0.05</v>
      </c>
      <c r="K10" s="3447">
        <v>0</v>
      </c>
      <c r="L10" s="3446">
        <v>0</v>
      </c>
      <c r="M10" s="3446">
        <v>0</v>
      </c>
      <c r="N10" s="3447">
        <v>0</v>
      </c>
      <c r="O10" s="3454">
        <v>2.02586962328976E-2</v>
      </c>
      <c r="P10" s="3450" t="s">
        <v>18</v>
      </c>
      <c r="Q10" s="3454">
        <v>4.2562038312713997E-2</v>
      </c>
      <c r="R10" s="3460">
        <v>4.34947773607092E-4</v>
      </c>
      <c r="S10" s="3454">
        <v>2.02586962328976E-2</v>
      </c>
      <c r="T10" s="3452">
        <v>3.1296211334414202E-3</v>
      </c>
      <c r="U10" s="3449">
        <v>3.04165979375663E-5</v>
      </c>
      <c r="V10" s="3450" t="s">
        <v>18</v>
      </c>
      <c r="W10" s="3447">
        <v>0</v>
      </c>
      <c r="X10" s="3447">
        <v>0</v>
      </c>
      <c r="Y10" s="3454">
        <v>2.02586962328976E-2</v>
      </c>
      <c r="Z10" s="3447">
        <v>0</v>
      </c>
      <c r="AA10" s="3447">
        <v>0</v>
      </c>
      <c r="AB10" s="3447">
        <v>0</v>
      </c>
      <c r="AC10" s="3452">
        <v>2.07758573866297E-3</v>
      </c>
      <c r="AD10" s="3452">
        <v>2.07758573866297E-3</v>
      </c>
      <c r="AE10" s="3452">
        <v>2.07758573866297E-3</v>
      </c>
      <c r="AF10" s="3447">
        <v>0</v>
      </c>
      <c r="AG10" s="3447">
        <v>0</v>
      </c>
      <c r="AH10" s="3447">
        <v>0</v>
      </c>
      <c r="AI10" s="3447">
        <v>0</v>
      </c>
      <c r="AJ10" s="3447">
        <v>0</v>
      </c>
      <c r="AK10" s="3447">
        <v>0</v>
      </c>
      <c r="AL10" s="3449">
        <v>3.71155164862153E-5</v>
      </c>
      <c r="AM10" s="3460">
        <v>4.5108896400346298E-4</v>
      </c>
      <c r="AN10" s="3766">
        <v>0</v>
      </c>
      <c r="AO10" s="3426"/>
    </row>
    <row r="11" spans="1:41">
      <c r="A11" s="5047" t="s">
        <v>6</v>
      </c>
      <c r="B11" s="5048"/>
      <c r="C11" s="3446">
        <v>3.6999999999999998E-2</v>
      </c>
      <c r="D11" s="3446">
        <v>0</v>
      </c>
      <c r="E11" s="3448">
        <v>79.369992062999202</v>
      </c>
      <c r="F11" s="3735">
        <v>0</v>
      </c>
      <c r="G11" s="3448">
        <v>69.533872014413305</v>
      </c>
      <c r="H11" s="3448">
        <v>79.369992062999202</v>
      </c>
      <c r="I11" s="3448">
        <v>79.369992062999202</v>
      </c>
      <c r="J11" s="3499">
        <v>0.02</v>
      </c>
      <c r="K11" s="3447">
        <v>0</v>
      </c>
      <c r="L11" s="3446">
        <v>0</v>
      </c>
      <c r="M11" s="3448">
        <v>79.369992062999202</v>
      </c>
      <c r="N11" s="3447">
        <v>0</v>
      </c>
      <c r="O11" s="3451">
        <v>0.118939143227539</v>
      </c>
      <c r="P11" s="3450" t="s">
        <v>18</v>
      </c>
      <c r="Q11" s="3453">
        <v>1.53865825953363</v>
      </c>
      <c r="R11" s="3452">
        <v>6.0712594073164799E-3</v>
      </c>
      <c r="S11" s="3451">
        <v>0.118939143227539</v>
      </c>
      <c r="T11" s="3451">
        <v>0.11482084994417401</v>
      </c>
      <c r="U11" s="3460">
        <v>4.3940200016861299E-4</v>
      </c>
      <c r="V11" s="3450" t="s">
        <v>18</v>
      </c>
      <c r="W11" s="3447">
        <v>0</v>
      </c>
      <c r="X11" s="3447">
        <v>0</v>
      </c>
      <c r="Y11" s="3451">
        <v>0.118939143227539</v>
      </c>
      <c r="Z11" s="3447">
        <v>0</v>
      </c>
      <c r="AA11" s="3447">
        <v>0</v>
      </c>
      <c r="AB11" s="3447">
        <v>0</v>
      </c>
      <c r="AC11" s="3454">
        <v>1.5245569825502301E-2</v>
      </c>
      <c r="AD11" s="3454">
        <v>1.5245569825502301E-2</v>
      </c>
      <c r="AE11" s="3454">
        <v>1.52455698255022E-2</v>
      </c>
      <c r="AF11" s="3447">
        <v>0</v>
      </c>
      <c r="AG11" s="3447">
        <v>0</v>
      </c>
      <c r="AH11" s="3447">
        <v>0</v>
      </c>
      <c r="AI11" s="3447">
        <v>0</v>
      </c>
      <c r="AJ11" s="3447">
        <v>0</v>
      </c>
      <c r="AK11" s="3447">
        <v>0</v>
      </c>
      <c r="AL11" s="3460">
        <v>6.8663705499498299E-4</v>
      </c>
      <c r="AM11" s="3452">
        <v>6.6584772344075302E-3</v>
      </c>
      <c r="AN11" s="3766">
        <v>0</v>
      </c>
      <c r="AO11" s="3426"/>
    </row>
    <row r="12" spans="1:41">
      <c r="A12" s="5047" t="s">
        <v>7</v>
      </c>
      <c r="B12" s="5048"/>
      <c r="C12" s="3446">
        <v>0.61399999999999999</v>
      </c>
      <c r="D12" s="3446">
        <v>3.0000000000000001E-3</v>
      </c>
      <c r="E12" s="3448">
        <v>16.939998305999801</v>
      </c>
      <c r="F12" s="3735">
        <v>0.2</v>
      </c>
      <c r="G12" s="3448">
        <v>15.433078900782499</v>
      </c>
      <c r="H12" s="3448">
        <v>16.939998305999801</v>
      </c>
      <c r="I12" s="3448">
        <v>16.939998305999801</v>
      </c>
      <c r="J12" s="3499">
        <v>15</v>
      </c>
      <c r="K12" s="3451">
        <v>0.1998001998002</v>
      </c>
      <c r="L12" s="3461">
        <v>2.000200020002E-2</v>
      </c>
      <c r="M12" s="3448">
        <v>16.939998305999801</v>
      </c>
      <c r="N12" s="3455">
        <v>12.9315263384788</v>
      </c>
      <c r="O12" s="3455">
        <v>17.722704335113299</v>
      </c>
      <c r="P12" s="3450" t="s">
        <v>18</v>
      </c>
      <c r="Q12" s="3455">
        <v>18.578159179491099</v>
      </c>
      <c r="R12" s="3451">
        <v>0.42901290953879501</v>
      </c>
      <c r="S12" s="3455">
        <v>17.722704335113299</v>
      </c>
      <c r="T12" s="3455">
        <v>16.673482292423099</v>
      </c>
      <c r="U12" s="3451">
        <v>0.36022536344578199</v>
      </c>
      <c r="V12" s="3450" t="s">
        <v>18</v>
      </c>
      <c r="W12" s="3460">
        <v>4.9893172736266498E-4</v>
      </c>
      <c r="X12" s="3454">
        <v>1.98081507554939E-2</v>
      </c>
      <c r="Y12" s="3455">
        <v>17.722704335113299</v>
      </c>
      <c r="Z12" s="3451">
        <v>0.57201651788473096</v>
      </c>
      <c r="AA12" s="3451">
        <v>0.57201651788473096</v>
      </c>
      <c r="AB12" s="3451">
        <v>0.57201651788473096</v>
      </c>
      <c r="AC12" s="3455">
        <v>18.831613405334</v>
      </c>
      <c r="AD12" s="3455">
        <v>18.831613405334</v>
      </c>
      <c r="AE12" s="3455">
        <v>18.831613405334</v>
      </c>
      <c r="AF12" s="3460">
        <v>4.9893172736266498E-4</v>
      </c>
      <c r="AG12" s="3455">
        <v>18.1431771095302</v>
      </c>
      <c r="AH12" s="3453">
        <v>9.4491280239265194</v>
      </c>
      <c r="AI12" s="3453">
        <v>9.4491280239265194</v>
      </c>
      <c r="AJ12" s="3453">
        <v>9.4491280239265194</v>
      </c>
      <c r="AK12" s="3451">
        <v>0.39135460543858103</v>
      </c>
      <c r="AL12" s="3451">
        <v>0.39548640484479303</v>
      </c>
      <c r="AM12" s="3451">
        <v>0.43596683922456297</v>
      </c>
      <c r="AN12" s="3767">
        <v>12.754902354551399</v>
      </c>
      <c r="AO12" s="3426"/>
    </row>
    <row r="13" spans="1:41">
      <c r="A13" s="5047" t="s">
        <v>8</v>
      </c>
      <c r="B13" s="5048"/>
      <c r="C13" s="3446">
        <v>11.752000000000001</v>
      </c>
      <c r="D13" s="3446">
        <v>5.8999999999999997E-2</v>
      </c>
      <c r="E13" s="3458">
        <v>1.86999981299998</v>
      </c>
      <c r="F13" s="3735">
        <v>1</v>
      </c>
      <c r="G13" s="3458">
        <v>8.7817519603933896</v>
      </c>
      <c r="H13" s="3458">
        <v>1.86999981299998</v>
      </c>
      <c r="I13" s="3458">
        <v>1.86999981299998</v>
      </c>
      <c r="J13" s="3499">
        <v>64.91</v>
      </c>
      <c r="K13" s="3453">
        <v>1.0989010989011001</v>
      </c>
      <c r="L13" s="3461">
        <v>8.0008000800079998E-2</v>
      </c>
      <c r="M13" s="3458">
        <v>1.86999981299998</v>
      </c>
      <c r="N13" s="3455">
        <v>16.5542468014105</v>
      </c>
      <c r="O13" s="3455">
        <v>43.874873138439703</v>
      </c>
      <c r="P13" s="3450" t="s">
        <v>18</v>
      </c>
      <c r="Q13" s="3455">
        <v>43.252738637533298</v>
      </c>
      <c r="R13" s="3453">
        <v>3.6365561562089699</v>
      </c>
      <c r="S13" s="3455">
        <v>43.874873138439703</v>
      </c>
      <c r="T13" s="3455">
        <v>38.820279295079999</v>
      </c>
      <c r="U13" s="3453">
        <v>2.9385077049568</v>
      </c>
      <c r="V13" s="3450" t="s">
        <v>18</v>
      </c>
      <c r="W13" s="3460">
        <v>7.2177285393967502E-4</v>
      </c>
      <c r="X13" s="3454">
        <v>7.9768476671284005E-2</v>
      </c>
      <c r="Y13" s="3455">
        <v>43.874873138439703</v>
      </c>
      <c r="Z13" s="3451">
        <v>0.19131408725848101</v>
      </c>
      <c r="AA13" s="3451">
        <v>0.19131408725848101</v>
      </c>
      <c r="AB13" s="3451">
        <v>0.19131408725848101</v>
      </c>
      <c r="AC13" s="3455">
        <v>40.794093503042099</v>
      </c>
      <c r="AD13" s="3455">
        <v>40.794093503042099</v>
      </c>
      <c r="AE13" s="3455">
        <v>40.794093503042099</v>
      </c>
      <c r="AF13" s="3460">
        <v>7.2177285393967502E-4</v>
      </c>
      <c r="AG13" s="3455">
        <v>37.706295854345697</v>
      </c>
      <c r="AH13" s="3455">
        <v>13.4615179321548</v>
      </c>
      <c r="AI13" s="3455">
        <v>13.4615179321548</v>
      </c>
      <c r="AJ13" s="3455">
        <v>13.4615179321548</v>
      </c>
      <c r="AK13" s="3453">
        <v>2.8508812039711802</v>
      </c>
      <c r="AL13" s="3453">
        <v>3.0160660146810701</v>
      </c>
      <c r="AM13" s="3453">
        <v>3.65173528052126</v>
      </c>
      <c r="AN13" s="3767">
        <v>14.851448928728299</v>
      </c>
      <c r="AO13" s="3426"/>
    </row>
    <row r="14" spans="1:41">
      <c r="A14" s="5047" t="s">
        <v>66</v>
      </c>
      <c r="B14" s="5048"/>
      <c r="C14" s="3446">
        <v>4.5309999999999997</v>
      </c>
      <c r="D14" s="3446">
        <v>2.3E-2</v>
      </c>
      <c r="E14" s="3446">
        <v>0</v>
      </c>
      <c r="F14" s="3735">
        <v>1.2</v>
      </c>
      <c r="G14" s="3458">
        <v>1.0602115123026199</v>
      </c>
      <c r="H14" s="3446">
        <v>0</v>
      </c>
      <c r="I14" s="3446">
        <v>0</v>
      </c>
      <c r="J14" s="3499">
        <v>5.88</v>
      </c>
      <c r="K14" s="3453">
        <v>1.2987012987013</v>
      </c>
      <c r="L14" s="3461">
        <v>3.0003000300029999E-2</v>
      </c>
      <c r="M14" s="3446">
        <v>0</v>
      </c>
      <c r="N14" s="3453">
        <v>7.4955748193408196</v>
      </c>
      <c r="O14" s="3453">
        <v>7.5878633595673701</v>
      </c>
      <c r="P14" s="3450" t="s">
        <v>18</v>
      </c>
      <c r="Q14" s="3453">
        <v>7.3367523144615898</v>
      </c>
      <c r="R14" s="3453">
        <v>1.5888454040773099</v>
      </c>
      <c r="S14" s="3453">
        <v>7.5878633595673701</v>
      </c>
      <c r="T14" s="3453">
        <v>7.2325293139562996</v>
      </c>
      <c r="U14" s="3453">
        <v>1.3703449754950101</v>
      </c>
      <c r="V14" s="3450" t="s">
        <v>18</v>
      </c>
      <c r="W14" s="3449">
        <v>8.5624925819894604E-5</v>
      </c>
      <c r="X14" s="3454">
        <v>2.9923155122862199E-2</v>
      </c>
      <c r="Y14" s="3453">
        <v>7.5878633595673701</v>
      </c>
      <c r="Z14" s="3452">
        <v>8.4673869998443101E-3</v>
      </c>
      <c r="AA14" s="3452">
        <v>8.4673869998443101E-3</v>
      </c>
      <c r="AB14" s="3452">
        <v>8.4673869998443101E-3</v>
      </c>
      <c r="AC14" s="3453">
        <v>7.3893043069291897</v>
      </c>
      <c r="AD14" s="3453">
        <v>7.3893043069291897</v>
      </c>
      <c r="AE14" s="3453">
        <v>7.3893043069291897</v>
      </c>
      <c r="AF14" s="3449">
        <v>8.5624925819894604E-5</v>
      </c>
      <c r="AG14" s="3453">
        <v>6.9914006623582203</v>
      </c>
      <c r="AH14" s="3453">
        <v>2.15135004765563</v>
      </c>
      <c r="AI14" s="3453">
        <v>2.15135004765563</v>
      </c>
      <c r="AJ14" s="3453">
        <v>2.15135004765563</v>
      </c>
      <c r="AK14" s="3453">
        <v>1.32349190433862</v>
      </c>
      <c r="AL14" s="3453">
        <v>1.3830160641407101</v>
      </c>
      <c r="AM14" s="3453">
        <v>1.59104774130577</v>
      </c>
      <c r="AN14" s="3768">
        <v>6.83543503975537</v>
      </c>
      <c r="AO14" s="3426"/>
    </row>
    <row r="15" spans="1:41">
      <c r="A15" s="5047" t="s">
        <v>359</v>
      </c>
      <c r="B15" s="5048"/>
      <c r="C15" s="3446">
        <v>12.212</v>
      </c>
      <c r="D15" s="3446">
        <v>6.0999999999999999E-2</v>
      </c>
      <c r="E15" s="3446">
        <v>0</v>
      </c>
      <c r="F15" s="3735">
        <v>4.7</v>
      </c>
      <c r="G15" s="3458">
        <v>2.4304848819767599</v>
      </c>
      <c r="H15" s="3446">
        <v>0</v>
      </c>
      <c r="I15" s="3446">
        <v>0</v>
      </c>
      <c r="J15" s="3499">
        <v>9.19</v>
      </c>
      <c r="K15" s="3453">
        <v>4.9950049950049999</v>
      </c>
      <c r="L15" s="3459">
        <v>0.1000100010001</v>
      </c>
      <c r="M15" s="3446">
        <v>0</v>
      </c>
      <c r="N15" s="3455">
        <v>20.522199122855401</v>
      </c>
      <c r="O15" s="3455">
        <v>18.7532583673005</v>
      </c>
      <c r="P15" s="3450" t="s">
        <v>18</v>
      </c>
      <c r="Q15" s="3455">
        <v>17.684478731847499</v>
      </c>
      <c r="R15" s="3453">
        <v>5.5720653709108996</v>
      </c>
      <c r="S15" s="3455">
        <v>18.7532583673005</v>
      </c>
      <c r="T15" s="3455">
        <v>17.314905611910302</v>
      </c>
      <c r="U15" s="3453">
        <v>4.7337444250150504</v>
      </c>
      <c r="V15" s="3450" t="s">
        <v>18</v>
      </c>
      <c r="W15" s="3460">
        <v>2.9705152131218401E-4</v>
      </c>
      <c r="X15" s="3454">
        <v>9.9565225859771206E-2</v>
      </c>
      <c r="Y15" s="3455">
        <v>18.7532583673005</v>
      </c>
      <c r="Z15" s="3454">
        <v>2.0521621923451399E-2</v>
      </c>
      <c r="AA15" s="3454">
        <v>2.0521621923451399E-2</v>
      </c>
      <c r="AB15" s="3454">
        <v>2.0521621923451399E-2</v>
      </c>
      <c r="AC15" s="3455">
        <v>17.988420070576499</v>
      </c>
      <c r="AD15" s="3455">
        <v>17.988420070576499</v>
      </c>
      <c r="AE15" s="3455">
        <v>17.988420070576499</v>
      </c>
      <c r="AF15" s="3460">
        <v>2.9705152131218401E-4</v>
      </c>
      <c r="AG15" s="3455">
        <v>16.917612932482701</v>
      </c>
      <c r="AH15" s="3453">
        <v>5.1143192561487503</v>
      </c>
      <c r="AI15" s="3453">
        <v>5.1143192561487503</v>
      </c>
      <c r="AJ15" s="3453">
        <v>5.1143192561487503</v>
      </c>
      <c r="AK15" s="3453">
        <v>4.6200489640657398</v>
      </c>
      <c r="AL15" s="3453">
        <v>4.7609385559841204</v>
      </c>
      <c r="AM15" s="3453">
        <v>5.5767062983453997</v>
      </c>
      <c r="AN15" s="3767">
        <v>19.071463119344301</v>
      </c>
      <c r="AO15" s="3426"/>
    </row>
    <row r="16" spans="1:41">
      <c r="A16" s="5047" t="s">
        <v>68</v>
      </c>
      <c r="B16" s="5048"/>
      <c r="C16" s="3446">
        <v>5.3630000000000004</v>
      </c>
      <c r="D16" s="3446">
        <v>2.7E-2</v>
      </c>
      <c r="E16" s="3446">
        <v>0</v>
      </c>
      <c r="F16" s="3735">
        <v>3.8</v>
      </c>
      <c r="G16" s="3459">
        <v>0.41008181136233401</v>
      </c>
      <c r="H16" s="3446">
        <v>0</v>
      </c>
      <c r="I16" s="3446">
        <v>0</v>
      </c>
      <c r="J16" s="3499">
        <v>1.25</v>
      </c>
      <c r="K16" s="3453">
        <v>2.8971028971028998</v>
      </c>
      <c r="L16" s="3461">
        <v>6.0006000600059999E-2</v>
      </c>
      <c r="M16" s="3446">
        <v>0</v>
      </c>
      <c r="N16" s="3453">
        <v>5.0562268612652597</v>
      </c>
      <c r="O16" s="3453">
        <v>3.78477442078621</v>
      </c>
      <c r="P16" s="3450" t="s">
        <v>18</v>
      </c>
      <c r="Q16" s="3453">
        <v>3.48032182956138</v>
      </c>
      <c r="R16" s="3453">
        <v>2.9206744997163101</v>
      </c>
      <c r="S16" s="3453">
        <v>3.78477442078621</v>
      </c>
      <c r="T16" s="3453">
        <v>4.2659018525710799</v>
      </c>
      <c r="U16" s="3453">
        <v>3.0176422787919401</v>
      </c>
      <c r="V16" s="3450" t="s">
        <v>18</v>
      </c>
      <c r="W16" s="3449">
        <v>4.9134524024172099E-5</v>
      </c>
      <c r="X16" s="3454">
        <v>5.96296804725997E-2</v>
      </c>
      <c r="Y16" s="3453">
        <v>3.78477442078621</v>
      </c>
      <c r="Z16" s="3452">
        <v>1.29621928677506E-3</v>
      </c>
      <c r="AA16" s="3452">
        <v>1.29621928677506E-3</v>
      </c>
      <c r="AB16" s="3452">
        <v>1.29621928677506E-3</v>
      </c>
      <c r="AC16" s="3453">
        <v>4.4335994394253504</v>
      </c>
      <c r="AD16" s="3453">
        <v>4.4335994394253504</v>
      </c>
      <c r="AE16" s="3453">
        <v>4.4335994394253504</v>
      </c>
      <c r="AF16" s="3449">
        <v>4.9134524024172099E-5</v>
      </c>
      <c r="AG16" s="3453">
        <v>4.2093018630052796</v>
      </c>
      <c r="AH16" s="3453">
        <v>1.19801041880227</v>
      </c>
      <c r="AI16" s="3453">
        <v>1.19801041880227</v>
      </c>
      <c r="AJ16" s="3453">
        <v>1.19801041880227</v>
      </c>
      <c r="AK16" s="3453">
        <v>2.9760438314933202</v>
      </c>
      <c r="AL16" s="3453">
        <v>3.0203403870053598</v>
      </c>
      <c r="AM16" s="3453">
        <v>2.9208889311899799</v>
      </c>
      <c r="AN16" s="3768">
        <v>6.5719356386424499</v>
      </c>
      <c r="AO16" s="3426"/>
    </row>
    <row r="17" spans="1:41">
      <c r="A17" s="5047" t="s">
        <v>669</v>
      </c>
      <c r="B17" s="5048"/>
      <c r="C17" s="3446">
        <v>6.9539999999999997</v>
      </c>
      <c r="D17" s="3446">
        <v>3.5000000000000003E-2</v>
      </c>
      <c r="E17" s="3446">
        <v>0</v>
      </c>
      <c r="F17" s="3735">
        <v>5.4</v>
      </c>
      <c r="G17" s="3459">
        <v>0.370073829766009</v>
      </c>
      <c r="H17" s="3446">
        <v>0</v>
      </c>
      <c r="I17" s="3446">
        <v>0</v>
      </c>
      <c r="J17" s="3499">
        <v>1.2</v>
      </c>
      <c r="K17" s="3453">
        <v>3.8961038961039001</v>
      </c>
      <c r="L17" s="3461">
        <v>8.0008000800079998E-2</v>
      </c>
      <c r="M17" s="3446">
        <v>0</v>
      </c>
      <c r="N17" s="3453">
        <v>5.3843712362426102</v>
      </c>
      <c r="O17" s="3453">
        <v>3.7587306989744</v>
      </c>
      <c r="P17" s="3450" t="s">
        <v>18</v>
      </c>
      <c r="Q17" s="3453">
        <v>3.4827659338616401</v>
      </c>
      <c r="R17" s="3453">
        <v>3.8740355410694098</v>
      </c>
      <c r="S17" s="3453">
        <v>3.7587306989744</v>
      </c>
      <c r="T17" s="3453">
        <v>4.3763997851890402</v>
      </c>
      <c r="U17" s="3453">
        <v>4.06771411130633</v>
      </c>
      <c r="V17" s="3450" t="s">
        <v>18</v>
      </c>
      <c r="W17" s="3449">
        <v>2.2728503978288701E-5</v>
      </c>
      <c r="X17" s="3454">
        <v>7.9494839063126405E-2</v>
      </c>
      <c r="Y17" s="3453">
        <v>3.7587306989744</v>
      </c>
      <c r="Z17" s="3460">
        <v>4.4998088249405401E-4</v>
      </c>
      <c r="AA17" s="3460">
        <v>4.4998088249405401E-4</v>
      </c>
      <c r="AB17" s="3460">
        <v>4.4998088249405401E-4</v>
      </c>
      <c r="AC17" s="3453">
        <v>4.4936056545427299</v>
      </c>
      <c r="AD17" s="3453">
        <v>4.4936056545427299</v>
      </c>
      <c r="AE17" s="3453">
        <v>4.4936056545427299</v>
      </c>
      <c r="AF17" s="3449">
        <v>2.2728503978288701E-5</v>
      </c>
      <c r="AG17" s="3453">
        <v>4.3206995371009604</v>
      </c>
      <c r="AH17" s="3453">
        <v>1.1945305133361599</v>
      </c>
      <c r="AI17" s="3453">
        <v>1.1945305133361599</v>
      </c>
      <c r="AJ17" s="3453">
        <v>1.1945305133361599</v>
      </c>
      <c r="AK17" s="3453">
        <v>4.0138181502309598</v>
      </c>
      <c r="AL17" s="3453">
        <v>4.0683813341897404</v>
      </c>
      <c r="AM17" s="3453">
        <v>3.8738856243021802</v>
      </c>
      <c r="AN17" s="3768">
        <v>7.4063772752627397</v>
      </c>
      <c r="AO17" s="3426"/>
    </row>
    <row r="18" spans="1:41">
      <c r="A18" s="5047" t="s">
        <v>99</v>
      </c>
      <c r="B18" s="5048"/>
      <c r="C18" s="3446">
        <v>0</v>
      </c>
      <c r="D18" s="3446">
        <v>0</v>
      </c>
      <c r="E18" s="3446">
        <v>0</v>
      </c>
      <c r="F18" s="3735">
        <v>0</v>
      </c>
      <c r="G18" s="3446">
        <v>0</v>
      </c>
      <c r="H18" s="3446">
        <v>0</v>
      </c>
      <c r="I18" s="3446">
        <v>0</v>
      </c>
      <c r="J18" s="3499">
        <v>0</v>
      </c>
      <c r="K18" s="3447">
        <v>0</v>
      </c>
      <c r="L18" s="3446">
        <v>0</v>
      </c>
      <c r="M18" s="3446">
        <v>0</v>
      </c>
      <c r="N18" s="3447">
        <v>0</v>
      </c>
      <c r="O18" s="3447">
        <v>0</v>
      </c>
      <c r="P18" s="3450" t="s">
        <v>18</v>
      </c>
      <c r="Q18" s="3447">
        <v>0</v>
      </c>
      <c r="R18" s="3447">
        <v>0</v>
      </c>
      <c r="S18" s="3447">
        <v>0</v>
      </c>
      <c r="T18" s="3447">
        <v>0</v>
      </c>
      <c r="U18" s="3447">
        <v>0</v>
      </c>
      <c r="V18" s="3450" t="s">
        <v>18</v>
      </c>
      <c r="W18" s="3447">
        <v>0</v>
      </c>
      <c r="X18" s="3447">
        <v>0</v>
      </c>
      <c r="Y18" s="3447">
        <v>0</v>
      </c>
      <c r="Z18" s="3447">
        <v>0</v>
      </c>
      <c r="AA18" s="3447">
        <v>0</v>
      </c>
      <c r="AB18" s="3447">
        <v>0</v>
      </c>
      <c r="AC18" s="3447">
        <v>0</v>
      </c>
      <c r="AD18" s="3447">
        <v>0</v>
      </c>
      <c r="AE18" s="3447">
        <v>0</v>
      </c>
      <c r="AF18" s="3447">
        <v>0</v>
      </c>
      <c r="AG18" s="3447">
        <v>0</v>
      </c>
      <c r="AH18" s="3447">
        <v>0</v>
      </c>
      <c r="AI18" s="3447">
        <v>0</v>
      </c>
      <c r="AJ18" s="3447">
        <v>0</v>
      </c>
      <c r="AK18" s="3447">
        <v>0</v>
      </c>
      <c r="AL18" s="3447">
        <v>0</v>
      </c>
      <c r="AM18" s="3447">
        <v>0</v>
      </c>
      <c r="AN18" s="3766">
        <v>0</v>
      </c>
      <c r="AO18" s="3426"/>
    </row>
    <row r="19" spans="1:41">
      <c r="A19" s="5047" t="s">
        <v>422</v>
      </c>
      <c r="B19" s="5048"/>
      <c r="C19" s="3446">
        <v>5.1120000000000001</v>
      </c>
      <c r="D19" s="3446">
        <v>2.5999999999999999E-2</v>
      </c>
      <c r="E19" s="3446">
        <v>0</v>
      </c>
      <c r="F19" s="3735">
        <v>4</v>
      </c>
      <c r="G19" s="3461">
        <v>9.0017958591731798E-2</v>
      </c>
      <c r="H19" s="3446">
        <v>0</v>
      </c>
      <c r="I19" s="3446">
        <v>0</v>
      </c>
      <c r="J19" s="3499">
        <v>0.45</v>
      </c>
      <c r="K19" s="3453">
        <v>3.2967032967033001</v>
      </c>
      <c r="L19" s="3461">
        <v>6.0006000600059999E-2</v>
      </c>
      <c r="M19" s="3446">
        <v>0</v>
      </c>
      <c r="N19" s="3453">
        <v>2.4760494900252201</v>
      </c>
      <c r="O19" s="3453">
        <v>1.10090690203187</v>
      </c>
      <c r="P19" s="3450" t="s">
        <v>18</v>
      </c>
      <c r="Q19" s="3453">
        <v>1.0101696441061301</v>
      </c>
      <c r="R19" s="3453">
        <v>2.7362479077107702</v>
      </c>
      <c r="S19" s="3453">
        <v>1.10090690203187</v>
      </c>
      <c r="T19" s="3453">
        <v>1.40933669032888</v>
      </c>
      <c r="U19" s="3453">
        <v>3.11534182837141</v>
      </c>
      <c r="V19" s="3450" t="s">
        <v>18</v>
      </c>
      <c r="W19" s="3449">
        <v>9.3924074128054007E-6</v>
      </c>
      <c r="X19" s="3454">
        <v>5.9618278905593097E-2</v>
      </c>
      <c r="Y19" s="3453">
        <v>1.10090690203187</v>
      </c>
      <c r="Z19" s="3449">
        <v>7.7675126199904494E-5</v>
      </c>
      <c r="AA19" s="3449">
        <v>7.7675126199904494E-5</v>
      </c>
      <c r="AB19" s="3449">
        <v>7.7675126199904494E-5</v>
      </c>
      <c r="AC19" s="3453">
        <v>1.44271298793334</v>
      </c>
      <c r="AD19" s="3453">
        <v>1.44271298793334</v>
      </c>
      <c r="AE19" s="3453">
        <v>1.44271298793334</v>
      </c>
      <c r="AF19" s="3449">
        <v>9.3924074128054007E-6</v>
      </c>
      <c r="AG19" s="3453">
        <v>1.3912388658761601</v>
      </c>
      <c r="AH19" s="3451">
        <v>0.36966795787950002</v>
      </c>
      <c r="AI19" s="3451">
        <v>0.36966795787950002</v>
      </c>
      <c r="AJ19" s="3451">
        <v>0.36966795787950002</v>
      </c>
      <c r="AK19" s="3453">
        <v>3.07383044707974</v>
      </c>
      <c r="AL19" s="3453">
        <v>3.1116543049012999</v>
      </c>
      <c r="AM19" s="3453">
        <v>2.7355865528074199</v>
      </c>
      <c r="AN19" s="3768">
        <v>2.9998709495186899</v>
      </c>
      <c r="AO19" s="3426"/>
    </row>
    <row r="20" spans="1:41">
      <c r="A20" s="5047" t="s">
        <v>10</v>
      </c>
      <c r="B20" s="5048"/>
      <c r="C20" s="3446">
        <v>3.8580000000000001</v>
      </c>
      <c r="D20" s="3446">
        <v>1.9E-2</v>
      </c>
      <c r="E20" s="3446">
        <v>0</v>
      </c>
      <c r="F20" s="3735">
        <v>3</v>
      </c>
      <c r="G20" s="3461">
        <v>3.00059861972439E-2</v>
      </c>
      <c r="H20" s="3446">
        <v>0</v>
      </c>
      <c r="I20" s="3446">
        <v>0</v>
      </c>
      <c r="J20" s="3499">
        <v>0.23</v>
      </c>
      <c r="K20" s="3453">
        <v>2.5974025974026</v>
      </c>
      <c r="L20" s="3461">
        <v>5.0005000500050002E-2</v>
      </c>
      <c r="M20" s="3446">
        <v>0</v>
      </c>
      <c r="N20" s="3453">
        <v>1.62566865134586</v>
      </c>
      <c r="O20" s="3451">
        <v>0.62354900295849203</v>
      </c>
      <c r="P20" s="3450" t="s">
        <v>18</v>
      </c>
      <c r="Q20" s="3451">
        <v>0.55250872974562804</v>
      </c>
      <c r="R20" s="3453">
        <v>2.1563235031208499</v>
      </c>
      <c r="S20" s="3451">
        <v>0.62354900295849203</v>
      </c>
      <c r="T20" s="3451">
        <v>0.83031984578170004</v>
      </c>
      <c r="U20" s="3453">
        <v>2.5994241592792302</v>
      </c>
      <c r="V20" s="3450" t="s">
        <v>18</v>
      </c>
      <c r="W20" s="3449">
        <v>2.8376759234751901E-6</v>
      </c>
      <c r="X20" s="3454">
        <v>4.9651494909310097E-2</v>
      </c>
      <c r="Y20" s="3451">
        <v>0.62354900295849203</v>
      </c>
      <c r="Z20" s="3449">
        <v>1.6944310115195299E-5</v>
      </c>
      <c r="AA20" s="3449">
        <v>1.6944310115195299E-5</v>
      </c>
      <c r="AB20" s="3449">
        <v>1.6944310115195299E-5</v>
      </c>
      <c r="AC20" s="3451">
        <v>0.86983485992413501</v>
      </c>
      <c r="AD20" s="3451">
        <v>0.86983485992413501</v>
      </c>
      <c r="AE20" s="3451">
        <v>0.86983485992413501</v>
      </c>
      <c r="AF20" s="3449">
        <v>2.8376759234751901E-6</v>
      </c>
      <c r="AG20" s="3451">
        <v>0.82180252673419496</v>
      </c>
      <c r="AH20" s="3451">
        <v>0.220361267975867</v>
      </c>
      <c r="AI20" s="3451">
        <v>0.220361267975867</v>
      </c>
      <c r="AJ20" s="3451">
        <v>0.220361267975867</v>
      </c>
      <c r="AK20" s="3453">
        <v>2.5717299587254798</v>
      </c>
      <c r="AL20" s="3453">
        <v>2.5956002471868098</v>
      </c>
      <c r="AM20" s="3453">
        <v>2.1557089940416199</v>
      </c>
      <c r="AN20" s="3768">
        <v>1.87990315291924</v>
      </c>
      <c r="AO20" s="3426"/>
    </row>
    <row r="21" spans="1:41">
      <c r="A21" s="5047" t="s">
        <v>9</v>
      </c>
      <c r="B21" s="5048"/>
      <c r="C21" s="3446">
        <v>3.2730000000000001</v>
      </c>
      <c r="D21" s="3446">
        <v>1.6E-2</v>
      </c>
      <c r="E21" s="3446">
        <v>0</v>
      </c>
      <c r="F21" s="3735">
        <v>2.4</v>
      </c>
      <c r="G21" s="3461">
        <v>2.0003990798162601E-2</v>
      </c>
      <c r="H21" s="3446">
        <v>0</v>
      </c>
      <c r="I21" s="3446">
        <v>0</v>
      </c>
      <c r="J21" s="3499">
        <v>0.18</v>
      </c>
      <c r="K21" s="3453">
        <v>2.0979020979021001</v>
      </c>
      <c r="L21" s="3461">
        <v>4.0004000400039999E-2</v>
      </c>
      <c r="M21" s="3446">
        <v>0</v>
      </c>
      <c r="N21" s="3453">
        <v>1.2508722125910501</v>
      </c>
      <c r="O21" s="3451">
        <v>0.456227027931707</v>
      </c>
      <c r="P21" s="3450" t="s">
        <v>18</v>
      </c>
      <c r="Q21" s="3451">
        <v>0.42805793600413899</v>
      </c>
      <c r="R21" s="3453">
        <v>1.7375481258789101</v>
      </c>
      <c r="S21" s="3451">
        <v>0.456227027931707</v>
      </c>
      <c r="T21" s="3451">
        <v>0.63553464248652902</v>
      </c>
      <c r="U21" s="3453">
        <v>2.0838176635785799</v>
      </c>
      <c r="V21" s="3450" t="s">
        <v>18</v>
      </c>
      <c r="W21" s="3449">
        <v>1.6627476885337201E-5</v>
      </c>
      <c r="X21" s="3454">
        <v>3.9730317181053403E-2</v>
      </c>
      <c r="Y21" s="3451">
        <v>0.456227027931706</v>
      </c>
      <c r="Z21" s="3449">
        <v>9.0062958407723497E-5</v>
      </c>
      <c r="AA21" s="3449">
        <v>9.0062958407723497E-5</v>
      </c>
      <c r="AB21" s="3449">
        <v>9.0062958407723402E-5</v>
      </c>
      <c r="AC21" s="3451">
        <v>0.63258646140411501</v>
      </c>
      <c r="AD21" s="3451">
        <v>0.63258646140411501</v>
      </c>
      <c r="AE21" s="3451">
        <v>0.63258646140411501</v>
      </c>
      <c r="AF21" s="3449">
        <v>1.6627476885337201E-5</v>
      </c>
      <c r="AG21" s="3451">
        <v>0.62767896284310298</v>
      </c>
      <c r="AH21" s="3451">
        <v>0.16029277008339601</v>
      </c>
      <c r="AI21" s="3451">
        <v>0.16029277008339601</v>
      </c>
      <c r="AJ21" s="3451">
        <v>0.16029277008339601</v>
      </c>
      <c r="AK21" s="3453">
        <v>2.0581421675066598</v>
      </c>
      <c r="AL21" s="3453">
        <v>2.0806872054618202</v>
      </c>
      <c r="AM21" s="3453">
        <v>1.7370463886308201</v>
      </c>
      <c r="AN21" s="3768">
        <v>1.4338549680499799</v>
      </c>
      <c r="AO21" s="3426"/>
    </row>
    <row r="22" spans="1:41">
      <c r="A22" s="5047" t="s">
        <v>11</v>
      </c>
      <c r="B22" s="5048"/>
      <c r="C22" s="3446">
        <v>3.4079999999999999</v>
      </c>
      <c r="D22" s="3446">
        <v>1.7000000000000001E-2</v>
      </c>
      <c r="E22" s="3446">
        <v>0</v>
      </c>
      <c r="F22" s="3735">
        <v>2.4</v>
      </c>
      <c r="G22" s="3461">
        <v>2.0003990798162601E-2</v>
      </c>
      <c r="H22" s="3446">
        <v>0</v>
      </c>
      <c r="I22" s="3446">
        <v>0</v>
      </c>
      <c r="J22" s="3499">
        <v>0.19</v>
      </c>
      <c r="K22" s="3453">
        <v>2.0979020979021001</v>
      </c>
      <c r="L22" s="3461">
        <v>4.0004000400039999E-2</v>
      </c>
      <c r="M22" s="3446">
        <v>0</v>
      </c>
      <c r="N22" s="3453">
        <v>1.06416012850192</v>
      </c>
      <c r="O22" s="3451">
        <v>0.29718676038723502</v>
      </c>
      <c r="P22" s="3450" t="s">
        <v>18</v>
      </c>
      <c r="Q22" s="3451">
        <v>0.37498724324767602</v>
      </c>
      <c r="R22" s="3453">
        <v>1.63528438920853</v>
      </c>
      <c r="S22" s="3451">
        <v>0.29718676038723502</v>
      </c>
      <c r="T22" s="3451">
        <v>0.57641114530383197</v>
      </c>
      <c r="U22" s="3453">
        <v>2.02828706368879</v>
      </c>
      <c r="V22" s="3450" t="s">
        <v>18</v>
      </c>
      <c r="W22" s="3452">
        <v>1.2202738127563E-3</v>
      </c>
      <c r="X22" s="3454">
        <v>3.9741718748059901E-2</v>
      </c>
      <c r="Y22" s="3451">
        <v>0.29718676038723502</v>
      </c>
      <c r="Z22" s="3452">
        <v>4.6171372579417204E-3</v>
      </c>
      <c r="AA22" s="3452">
        <v>4.6171372579417204E-3</v>
      </c>
      <c r="AB22" s="3452">
        <v>4.61713725794171E-3</v>
      </c>
      <c r="AC22" s="3451">
        <v>0.43016013145904097</v>
      </c>
      <c r="AD22" s="3451">
        <v>0.43016013145904097</v>
      </c>
      <c r="AE22" s="3451">
        <v>0.43016013145904097</v>
      </c>
      <c r="AF22" s="3452">
        <v>1.2202738127563E-3</v>
      </c>
      <c r="AG22" s="3451">
        <v>0.56785639838945501</v>
      </c>
      <c r="AH22" s="3451">
        <v>0.109977271161803</v>
      </c>
      <c r="AI22" s="3451">
        <v>0.109977271161803</v>
      </c>
      <c r="AJ22" s="3451">
        <v>0.109977271161803</v>
      </c>
      <c r="AK22" s="3453">
        <v>1.99900097629174</v>
      </c>
      <c r="AL22" s="3453">
        <v>2.0251488395384998</v>
      </c>
      <c r="AM22" s="3453">
        <v>1.6348015005037</v>
      </c>
      <c r="AN22" s="3768">
        <v>1.22341727918476</v>
      </c>
      <c r="AO22" s="3426"/>
    </row>
    <row r="23" spans="1:41">
      <c r="A23" s="5047" t="s">
        <v>12</v>
      </c>
      <c r="B23" s="5048"/>
      <c r="C23" s="3446">
        <v>7.391</v>
      </c>
      <c r="D23" s="3446">
        <v>3.6999999999999998E-2</v>
      </c>
      <c r="E23" s="3446">
        <v>0</v>
      </c>
      <c r="F23" s="3735">
        <v>5.3</v>
      </c>
      <c r="G23" s="3461">
        <v>3.00059861972439E-2</v>
      </c>
      <c r="H23" s="3446">
        <v>0</v>
      </c>
      <c r="I23" s="3446">
        <v>0</v>
      </c>
      <c r="J23" s="3499">
        <v>0.34</v>
      </c>
      <c r="K23" s="3453">
        <v>4.7952047952047998</v>
      </c>
      <c r="L23" s="3461">
        <v>9.0009000900089994E-2</v>
      </c>
      <c r="M23" s="3446">
        <v>0</v>
      </c>
      <c r="N23" s="3453">
        <v>2.4566009395861399</v>
      </c>
      <c r="O23" s="3451">
        <v>0.74992181821206105</v>
      </c>
      <c r="P23" s="3450" t="s">
        <v>18</v>
      </c>
      <c r="Q23" s="3451">
        <v>0.71885756533309697</v>
      </c>
      <c r="R23" s="3453">
        <v>4.0190913078266401</v>
      </c>
      <c r="S23" s="3451">
        <v>0.74992181821206105</v>
      </c>
      <c r="T23" s="3453">
        <v>1.0506114104475801</v>
      </c>
      <c r="U23" s="3453">
        <v>4.7018830004805503</v>
      </c>
      <c r="V23" s="3450" t="s">
        <v>18</v>
      </c>
      <c r="W23" s="3449">
        <v>6.1804902823455095E-5</v>
      </c>
      <c r="X23" s="3454">
        <v>8.9404615224376593E-2</v>
      </c>
      <c r="Y23" s="3451">
        <v>0.74992181821206005</v>
      </c>
      <c r="Z23" s="3460">
        <v>2.3919491070513801E-4</v>
      </c>
      <c r="AA23" s="3460">
        <v>2.3919491070513801E-4</v>
      </c>
      <c r="AB23" s="3460">
        <v>2.3919491070513801E-4</v>
      </c>
      <c r="AC23" s="3453">
        <v>1.0203370623439501</v>
      </c>
      <c r="AD23" s="3453">
        <v>1.0203370623439501</v>
      </c>
      <c r="AE23" s="3453">
        <v>1.0203370623439501</v>
      </c>
      <c r="AF23" s="3449">
        <v>6.1804902823455095E-5</v>
      </c>
      <c r="AG23" s="3453">
        <v>1.0370236973415601</v>
      </c>
      <c r="AH23" s="3451">
        <v>0.25497816140361801</v>
      </c>
      <c r="AI23" s="3451">
        <v>0.25497816140361801</v>
      </c>
      <c r="AJ23" s="3451">
        <v>0.25497816140361801</v>
      </c>
      <c r="AK23" s="3453">
        <v>4.6429939593886198</v>
      </c>
      <c r="AL23" s="3453">
        <v>4.69399079114089</v>
      </c>
      <c r="AM23" s="3453">
        <v>4.0178268079404997</v>
      </c>
      <c r="AN23" s="3768">
        <v>2.7281029266812902</v>
      </c>
      <c r="AO23" s="3426"/>
    </row>
    <row r="24" spans="1:41">
      <c r="A24" s="5047" t="s">
        <v>48</v>
      </c>
      <c r="B24" s="5048"/>
      <c r="C24" s="3446">
        <v>0</v>
      </c>
      <c r="D24" s="3446">
        <v>0</v>
      </c>
      <c r="E24" s="3446">
        <v>0</v>
      </c>
      <c r="F24" s="3735">
        <v>0</v>
      </c>
      <c r="G24" s="3446">
        <v>0</v>
      </c>
      <c r="H24" s="3446">
        <v>0</v>
      </c>
      <c r="I24" s="3446">
        <v>0</v>
      </c>
      <c r="J24" s="3499">
        <v>0</v>
      </c>
      <c r="K24" s="3447">
        <v>0</v>
      </c>
      <c r="L24" s="3446">
        <v>0</v>
      </c>
      <c r="M24" s="3446">
        <v>0</v>
      </c>
      <c r="N24" s="3447">
        <v>0</v>
      </c>
      <c r="O24" s="3447">
        <v>0</v>
      </c>
      <c r="P24" s="3450" t="s">
        <v>18</v>
      </c>
      <c r="Q24" s="3447">
        <v>0</v>
      </c>
      <c r="R24" s="3447">
        <v>0</v>
      </c>
      <c r="S24" s="3447">
        <v>0</v>
      </c>
      <c r="T24" s="3447">
        <v>0</v>
      </c>
      <c r="U24" s="3447">
        <v>0</v>
      </c>
      <c r="V24" s="3450" t="s">
        <v>18</v>
      </c>
      <c r="W24" s="3447">
        <v>0</v>
      </c>
      <c r="X24" s="3447">
        <v>0</v>
      </c>
      <c r="Y24" s="3447">
        <v>0</v>
      </c>
      <c r="Z24" s="3447">
        <v>0</v>
      </c>
      <c r="AA24" s="3447">
        <v>0</v>
      </c>
      <c r="AB24" s="3447">
        <v>0</v>
      </c>
      <c r="AC24" s="3447">
        <v>0</v>
      </c>
      <c r="AD24" s="3447">
        <v>0</v>
      </c>
      <c r="AE24" s="3447">
        <v>0</v>
      </c>
      <c r="AF24" s="3447">
        <v>0</v>
      </c>
      <c r="AG24" s="3447">
        <v>0</v>
      </c>
      <c r="AH24" s="3447">
        <v>0</v>
      </c>
      <c r="AI24" s="3447">
        <v>0</v>
      </c>
      <c r="AJ24" s="3447">
        <v>0</v>
      </c>
      <c r="AK24" s="3447">
        <v>0</v>
      </c>
      <c r="AL24" s="3447">
        <v>0</v>
      </c>
      <c r="AM24" s="3447">
        <v>0</v>
      </c>
      <c r="AN24" s="3766">
        <v>0</v>
      </c>
      <c r="AO24" s="3426"/>
    </row>
    <row r="25" spans="1:41">
      <c r="A25" s="5047" t="s">
        <v>751</v>
      </c>
      <c r="B25" s="5048"/>
      <c r="C25" s="3446">
        <v>2.3959999999999999</v>
      </c>
      <c r="D25" s="3446">
        <v>1.2E-2</v>
      </c>
      <c r="E25" s="3446">
        <v>0</v>
      </c>
      <c r="F25" s="3735">
        <v>2</v>
      </c>
      <c r="G25" s="3461">
        <v>1.0001995399081301E-2</v>
      </c>
      <c r="H25" s="3446">
        <v>0</v>
      </c>
      <c r="I25" s="3446">
        <v>0</v>
      </c>
      <c r="J25" s="3499">
        <v>7.0000000000000007E-2</v>
      </c>
      <c r="K25" s="3453">
        <v>1.6983016983017001</v>
      </c>
      <c r="L25" s="3461">
        <v>3.0003000300029999E-2</v>
      </c>
      <c r="M25" s="3446">
        <v>0</v>
      </c>
      <c r="N25" s="3451">
        <v>0.589666387459858</v>
      </c>
      <c r="O25" s="3451">
        <v>0.123572908447729</v>
      </c>
      <c r="P25" s="3450" t="s">
        <v>18</v>
      </c>
      <c r="Q25" s="3451">
        <v>0.40514256274009303</v>
      </c>
      <c r="R25" s="3453">
        <v>3.2931913658566998</v>
      </c>
      <c r="S25" s="3451">
        <v>0.123572908447729</v>
      </c>
      <c r="T25" s="3451">
        <v>0.244167992134533</v>
      </c>
      <c r="U25" s="3453">
        <v>1.57056808368948</v>
      </c>
      <c r="V25" s="3450" t="s">
        <v>18</v>
      </c>
      <c r="W25" s="3449">
        <v>9.7218346357066603E-7</v>
      </c>
      <c r="X25" s="3454">
        <v>2.9797737885790002E-2</v>
      </c>
      <c r="Y25" s="3451">
        <v>0.123572908447729</v>
      </c>
      <c r="Z25" s="3449">
        <v>7.7789791775797205E-7</v>
      </c>
      <c r="AA25" s="3449">
        <v>7.7789791775797205E-7</v>
      </c>
      <c r="AB25" s="3449">
        <v>7.7789791775797205E-7</v>
      </c>
      <c r="AC25" s="3454">
        <v>7.0489444856137506E-2</v>
      </c>
      <c r="AD25" s="3454">
        <v>7.0489444856137506E-2</v>
      </c>
      <c r="AE25" s="3454">
        <v>7.0489444856137506E-2</v>
      </c>
      <c r="AF25" s="3449">
        <v>9.7218346357066603E-7</v>
      </c>
      <c r="AG25" s="3451">
        <v>0.24137375198966499</v>
      </c>
      <c r="AH25" s="3454">
        <v>1.66311043715354E-2</v>
      </c>
      <c r="AI25" s="3454">
        <v>1.66311043715354E-2</v>
      </c>
      <c r="AJ25" s="3454">
        <v>1.66311043715354E-2</v>
      </c>
      <c r="AK25" s="3453">
        <v>1.5520390518076499</v>
      </c>
      <c r="AL25" s="3453">
        <v>1.56770107505083</v>
      </c>
      <c r="AM25" s="3453">
        <v>3.29208479654445</v>
      </c>
      <c r="AN25" s="3769">
        <v>0.70417066816590401</v>
      </c>
      <c r="AO25" s="3426"/>
    </row>
    <row r="26" spans="1:41">
      <c r="A26" s="5047" t="s">
        <v>65</v>
      </c>
      <c r="B26" s="5048"/>
      <c r="C26" s="3446">
        <v>7.6</v>
      </c>
      <c r="D26" s="3446">
        <v>3.7999999999999999E-2</v>
      </c>
      <c r="E26" s="3446">
        <v>0</v>
      </c>
      <c r="F26" s="3735">
        <v>5.9</v>
      </c>
      <c r="G26" s="3461">
        <v>1.0001995399081301E-2</v>
      </c>
      <c r="H26" s="3446">
        <v>0</v>
      </c>
      <c r="I26" s="3446">
        <v>0</v>
      </c>
      <c r="J26" s="3499">
        <v>0.19</v>
      </c>
      <c r="K26" s="3453">
        <v>5.7942057942057899</v>
      </c>
      <c r="L26" s="3459">
        <v>0.11001100110011</v>
      </c>
      <c r="M26" s="3446">
        <v>0</v>
      </c>
      <c r="N26" s="3453">
        <v>2.3375413168308099</v>
      </c>
      <c r="O26" s="3451">
        <v>0.43938445176025798</v>
      </c>
      <c r="P26" s="3450" t="s">
        <v>18</v>
      </c>
      <c r="Q26" s="3451">
        <v>0.40827788593081299</v>
      </c>
      <c r="R26" s="3453">
        <v>4.9769915508588101</v>
      </c>
      <c r="S26" s="3451">
        <v>0.43938445176025798</v>
      </c>
      <c r="T26" s="3451">
        <v>0.59902895671920797</v>
      </c>
      <c r="U26" s="3453">
        <v>5.7430144630842701</v>
      </c>
      <c r="V26" s="3450" t="s">
        <v>18</v>
      </c>
      <c r="W26" s="3449">
        <v>1.50705244370771E-5</v>
      </c>
      <c r="X26" s="3451">
        <v>0.109189962845857</v>
      </c>
      <c r="Y26" s="3451">
        <v>0.43938445176025798</v>
      </c>
      <c r="Z26" s="3449">
        <v>2.78635412557066E-5</v>
      </c>
      <c r="AA26" s="3449">
        <v>2.78635412557066E-5</v>
      </c>
      <c r="AB26" s="3449">
        <v>2.78635412557066E-5</v>
      </c>
      <c r="AC26" s="3451">
        <v>0.59578188293888501</v>
      </c>
      <c r="AD26" s="3451">
        <v>0.59578188293888501</v>
      </c>
      <c r="AE26" s="3451">
        <v>0.59578188293888501</v>
      </c>
      <c r="AF26" s="3449">
        <v>1.50705244370771E-5</v>
      </c>
      <c r="AG26" s="3451">
        <v>0.59442648635233797</v>
      </c>
      <c r="AH26" s="3451">
        <v>0.14599782905816</v>
      </c>
      <c r="AI26" s="3451">
        <v>0.14599782905816</v>
      </c>
      <c r="AJ26" s="3451">
        <v>0.14599782905816</v>
      </c>
      <c r="AK26" s="3453">
        <v>5.6965724093602503</v>
      </c>
      <c r="AL26" s="3453">
        <v>5.7318957584206096</v>
      </c>
      <c r="AM26" s="3453">
        <v>4.9752410269990301</v>
      </c>
      <c r="AN26" s="3768">
        <v>2.4040809044378402</v>
      </c>
      <c r="AO26" s="3426"/>
    </row>
    <row r="27" spans="1:41">
      <c r="A27" s="5047" t="s">
        <v>13</v>
      </c>
      <c r="B27" s="5048"/>
      <c r="C27" s="3446">
        <v>4.5709999999999997</v>
      </c>
      <c r="D27" s="3446">
        <v>2.3E-2</v>
      </c>
      <c r="E27" s="3446">
        <v>0</v>
      </c>
      <c r="F27" s="3735">
        <v>3.7</v>
      </c>
      <c r="G27" s="3446">
        <v>0</v>
      </c>
      <c r="H27" s="3446">
        <v>0</v>
      </c>
      <c r="I27" s="3446">
        <v>0</v>
      </c>
      <c r="J27" s="3499">
        <v>0.11</v>
      </c>
      <c r="K27" s="3453">
        <v>3.8961038961039001</v>
      </c>
      <c r="L27" s="3461">
        <v>7.0007000700070002E-2</v>
      </c>
      <c r="M27" s="3446">
        <v>0</v>
      </c>
      <c r="N27" s="3453">
        <v>1.5679368631270401</v>
      </c>
      <c r="O27" s="3451">
        <v>0.14299933145433699</v>
      </c>
      <c r="P27" s="3450" t="s">
        <v>18</v>
      </c>
      <c r="Q27" s="3451">
        <v>0.137527886157158</v>
      </c>
      <c r="R27" s="3453">
        <v>1.6384188295884301</v>
      </c>
      <c r="S27" s="3451">
        <v>0.14299933145433699</v>
      </c>
      <c r="T27" s="3451">
        <v>0.39216746786953699</v>
      </c>
      <c r="U27" s="3453">
        <v>3.6490475557802999</v>
      </c>
      <c r="V27" s="3450" t="s">
        <v>18</v>
      </c>
      <c r="W27" s="3449">
        <v>9.3706777339905997E-7</v>
      </c>
      <c r="X27" s="3454">
        <v>6.9471047231810495E-2</v>
      </c>
      <c r="Y27" s="3451">
        <v>0.14299933145433699</v>
      </c>
      <c r="Z27" s="3449">
        <v>1.71938472689966E-6</v>
      </c>
      <c r="AA27" s="3449">
        <v>1.71938472689966E-6</v>
      </c>
      <c r="AB27" s="3449">
        <v>1.71938472689966E-6</v>
      </c>
      <c r="AC27" s="3451">
        <v>0.37567201501046199</v>
      </c>
      <c r="AD27" s="3451">
        <v>0.37567201501046199</v>
      </c>
      <c r="AE27" s="3451">
        <v>0.37567201501046199</v>
      </c>
      <c r="AF27" s="3449">
        <v>9.3706777339905997E-7</v>
      </c>
      <c r="AG27" s="3451">
        <v>0.38962905750877402</v>
      </c>
      <c r="AH27" s="3454">
        <v>9.1491011827456795E-2</v>
      </c>
      <c r="AI27" s="3454">
        <v>9.1491011827456795E-2</v>
      </c>
      <c r="AJ27" s="3454">
        <v>9.1491011827456795E-2</v>
      </c>
      <c r="AK27" s="3453">
        <v>3.62444182435171</v>
      </c>
      <c r="AL27" s="3453">
        <v>3.6420078221384302</v>
      </c>
      <c r="AM27" s="3453">
        <v>1.63784375625267</v>
      </c>
      <c r="AN27" s="3768">
        <v>1.5040342119642101</v>
      </c>
      <c r="AO27" s="3426"/>
    </row>
    <row r="28" spans="1:41">
      <c r="A28" s="5047" t="s">
        <v>14</v>
      </c>
      <c r="B28" s="5048"/>
      <c r="C28" s="3446">
        <v>4.4729999999999999</v>
      </c>
      <c r="D28" s="3446">
        <v>2.1999999999999999E-2</v>
      </c>
      <c r="E28" s="3446">
        <v>0</v>
      </c>
      <c r="F28" s="3735">
        <v>3.5</v>
      </c>
      <c r="G28" s="3446">
        <v>0</v>
      </c>
      <c r="H28" s="3446">
        <v>0</v>
      </c>
      <c r="I28" s="3446">
        <v>0</v>
      </c>
      <c r="J28" s="3499">
        <v>0.09</v>
      </c>
      <c r="K28" s="3453">
        <v>3.5964035964035999</v>
      </c>
      <c r="L28" s="3461">
        <v>7.0007000700070002E-2</v>
      </c>
      <c r="M28" s="3446">
        <v>0</v>
      </c>
      <c r="N28" s="3453">
        <v>1.3164932682486701</v>
      </c>
      <c r="O28" s="3451">
        <v>0.16124296535961199</v>
      </c>
      <c r="P28" s="3450" t="s">
        <v>18</v>
      </c>
      <c r="Q28" s="3451">
        <v>0.18833595558055199</v>
      </c>
      <c r="R28" s="3453">
        <v>2.9566355576443102</v>
      </c>
      <c r="S28" s="3451">
        <v>0.16124296535961199</v>
      </c>
      <c r="T28" s="3451">
        <v>0.297332718223764</v>
      </c>
      <c r="U28" s="3453">
        <v>3.6258663826800799</v>
      </c>
      <c r="V28" s="3450" t="s">
        <v>18</v>
      </c>
      <c r="W28" s="3460">
        <v>4.7936399649361501E-4</v>
      </c>
      <c r="X28" s="3454">
        <v>6.9459645664804004E-2</v>
      </c>
      <c r="Y28" s="3451">
        <v>0.16124296535961199</v>
      </c>
      <c r="Z28" s="3460">
        <v>5.5271582026245796E-4</v>
      </c>
      <c r="AA28" s="3460">
        <v>5.5271582026245796E-4</v>
      </c>
      <c r="AB28" s="3460">
        <v>5.5271582026245796E-4</v>
      </c>
      <c r="AC28" s="3451">
        <v>0.234605493189039</v>
      </c>
      <c r="AD28" s="3451">
        <v>0.234605493189039</v>
      </c>
      <c r="AE28" s="3451">
        <v>0.234605493189039</v>
      </c>
      <c r="AF28" s="3460">
        <v>4.7936399649361501E-4</v>
      </c>
      <c r="AG28" s="3451">
        <v>0.29513538760336899</v>
      </c>
      <c r="AH28" s="3454">
        <v>5.6841180085499599E-2</v>
      </c>
      <c r="AI28" s="3454">
        <v>5.6841180085499599E-2</v>
      </c>
      <c r="AJ28" s="3454">
        <v>5.6841180085499599E-2</v>
      </c>
      <c r="AK28" s="3453">
        <v>3.6025175675754002</v>
      </c>
      <c r="AL28" s="3453">
        <v>3.6186717701112099</v>
      </c>
      <c r="AM28" s="3453">
        <v>2.9555748707946101</v>
      </c>
      <c r="AN28" s="3768">
        <v>1.2972932831580199</v>
      </c>
      <c r="AO28" s="3426"/>
    </row>
    <row r="29" spans="1:41">
      <c r="A29" s="5047" t="s">
        <v>424</v>
      </c>
      <c r="B29" s="5048"/>
      <c r="C29" s="3446">
        <v>6.444</v>
      </c>
      <c r="D29" s="3446">
        <v>3.2000000000000001E-2</v>
      </c>
      <c r="E29" s="3446">
        <v>0</v>
      </c>
      <c r="F29" s="3735">
        <v>6.8</v>
      </c>
      <c r="G29" s="3446">
        <v>0</v>
      </c>
      <c r="H29" s="3446">
        <v>0</v>
      </c>
      <c r="I29" s="3446">
        <v>0</v>
      </c>
      <c r="J29" s="3499">
        <v>7.0000000000000007E-2</v>
      </c>
      <c r="K29" s="3453">
        <v>7.0929070929070903</v>
      </c>
      <c r="L29" s="3459">
        <v>0.14001400140014</v>
      </c>
      <c r="M29" s="3446">
        <v>0</v>
      </c>
      <c r="N29" s="3453">
        <v>2.3793325579642799</v>
      </c>
      <c r="O29" s="3451">
        <v>0.173897867453493</v>
      </c>
      <c r="P29" s="3450" t="s">
        <v>18</v>
      </c>
      <c r="Q29" s="3451">
        <v>0.16086237017364699</v>
      </c>
      <c r="R29" s="3453">
        <v>6.4392392627725901</v>
      </c>
      <c r="S29" s="3451">
        <v>0.173897867453493</v>
      </c>
      <c r="T29" s="3451">
        <v>0.239710895950693</v>
      </c>
      <c r="U29" s="3453">
        <v>7.25909890991068</v>
      </c>
      <c r="V29" s="3450" t="s">
        <v>18</v>
      </c>
      <c r="W29" s="3449">
        <v>2.57412084757076E-7</v>
      </c>
      <c r="X29" s="3451">
        <v>0.138782472525529</v>
      </c>
      <c r="Y29" s="3451">
        <v>0.173897867453493</v>
      </c>
      <c r="Z29" s="3449">
        <v>1.4892101296813299E-7</v>
      </c>
      <c r="AA29" s="3449">
        <v>1.4892101296813299E-7</v>
      </c>
      <c r="AB29" s="3449">
        <v>1.4892101296813299E-7</v>
      </c>
      <c r="AC29" s="3451">
        <v>0.23573086596647999</v>
      </c>
      <c r="AD29" s="3451">
        <v>0.23573086596647999</v>
      </c>
      <c r="AE29" s="3451">
        <v>0.23573086596647999</v>
      </c>
      <c r="AF29" s="3449">
        <v>2.57412084757076E-7</v>
      </c>
      <c r="AG29" s="3451">
        <v>0.239770809363722</v>
      </c>
      <c r="AH29" s="3454">
        <v>5.5523495951750698E-2</v>
      </c>
      <c r="AI29" s="3454">
        <v>5.5523495951750698E-2</v>
      </c>
      <c r="AJ29" s="3454">
        <v>5.5523495951750698E-2</v>
      </c>
      <c r="AK29" s="3453">
        <v>7.2590520692787397</v>
      </c>
      <c r="AL29" s="3453">
        <v>7.2439265300215201</v>
      </c>
      <c r="AM29" s="3453">
        <v>6.43683367350671</v>
      </c>
      <c r="AN29" s="3768">
        <v>2.3154153427989801</v>
      </c>
      <c r="AO29" s="3426"/>
    </row>
    <row r="30" spans="1:41">
      <c r="A30" s="5047" t="s">
        <v>16</v>
      </c>
      <c r="B30" s="5048"/>
      <c r="C30" s="3446">
        <v>0.19</v>
      </c>
      <c r="D30" s="3446">
        <v>1E-3</v>
      </c>
      <c r="E30" s="3446">
        <v>0</v>
      </c>
      <c r="F30" s="3735">
        <v>0.2</v>
      </c>
      <c r="G30" s="3446">
        <v>0</v>
      </c>
      <c r="H30" s="3446">
        <v>0</v>
      </c>
      <c r="I30" s="3446">
        <v>0</v>
      </c>
      <c r="J30" s="3499">
        <v>0</v>
      </c>
      <c r="K30" s="3451">
        <v>0.1998001998002</v>
      </c>
      <c r="L30" s="3446">
        <v>0</v>
      </c>
      <c r="M30" s="3446">
        <v>0</v>
      </c>
      <c r="N30" s="3454">
        <v>6.5255026546596595E-2</v>
      </c>
      <c r="O30" s="3452">
        <v>3.39528357116813E-3</v>
      </c>
      <c r="P30" s="3450" t="s">
        <v>18</v>
      </c>
      <c r="Q30" s="3452">
        <v>3.52266965252627E-3</v>
      </c>
      <c r="R30" s="3451">
        <v>0.17794242967054399</v>
      </c>
      <c r="S30" s="3452">
        <v>3.39528357116813E-3</v>
      </c>
      <c r="T30" s="3460">
        <v>1.0832077295163899E-4</v>
      </c>
      <c r="U30" s="3452">
        <v>4.1189921463411503E-3</v>
      </c>
      <c r="V30" s="3450" t="s">
        <v>18</v>
      </c>
      <c r="W30" s="3449">
        <v>2.14945522294912E-8</v>
      </c>
      <c r="X30" s="3449">
        <v>1.1401567006564499E-5</v>
      </c>
      <c r="Y30" s="3452">
        <v>3.39528357116813E-3</v>
      </c>
      <c r="Z30" s="3449">
        <v>8.8263570727915204E-9</v>
      </c>
      <c r="AA30" s="3449">
        <v>8.8263570727915204E-9</v>
      </c>
      <c r="AB30" s="3449">
        <v>8.8263570727915204E-9</v>
      </c>
      <c r="AC30" s="3449">
        <v>9.49435076863644E-5</v>
      </c>
      <c r="AD30" s="3449">
        <v>9.49435076863644E-5</v>
      </c>
      <c r="AE30" s="3449">
        <v>9.49435076863644E-5</v>
      </c>
      <c r="AF30" s="3449">
        <v>2.14945522294912E-8</v>
      </c>
      <c r="AG30" s="3449">
        <v>1.5641287487164301E-5</v>
      </c>
      <c r="AH30" s="3449">
        <v>3.2079642287560699E-6</v>
      </c>
      <c r="AI30" s="3449">
        <v>3.2079642287560699E-6</v>
      </c>
      <c r="AJ30" s="3449">
        <v>3.2079642287560699E-6</v>
      </c>
      <c r="AK30" s="3460">
        <v>5.9539828704662E-4</v>
      </c>
      <c r="AL30" s="3452">
        <v>4.1103230957677001E-3</v>
      </c>
      <c r="AM30" s="3451">
        <v>0.17787559992941299</v>
      </c>
      <c r="AN30" s="3770">
        <v>6.63564532293036E-2</v>
      </c>
      <c r="AO30" s="3426"/>
    </row>
    <row r="31" spans="1:41">
      <c r="A31" s="5047" t="s">
        <v>770</v>
      </c>
      <c r="B31" s="5048"/>
      <c r="C31" s="3446">
        <v>2.0049999999999999</v>
      </c>
      <c r="D31" s="3446">
        <v>0.01</v>
      </c>
      <c r="E31" s="3446">
        <v>0</v>
      </c>
      <c r="F31" s="3735">
        <v>2.1</v>
      </c>
      <c r="G31" s="3446">
        <v>0</v>
      </c>
      <c r="H31" s="3446">
        <v>0</v>
      </c>
      <c r="I31" s="3446">
        <v>0</v>
      </c>
      <c r="J31" s="3499">
        <v>0.02</v>
      </c>
      <c r="K31" s="3453">
        <v>2.2977022977022998</v>
      </c>
      <c r="L31" s="3461">
        <v>4.0004000400039999E-2</v>
      </c>
      <c r="M31" s="3446">
        <v>0</v>
      </c>
      <c r="N31" s="3451">
        <v>0.75936451442735198</v>
      </c>
      <c r="O31" s="3454">
        <v>4.2429574297989998E-2</v>
      </c>
      <c r="P31" s="3450" t="s">
        <v>18</v>
      </c>
      <c r="Q31" s="3454">
        <v>3.3793625020855603E-2</v>
      </c>
      <c r="R31" s="3453">
        <v>1.88047356414316</v>
      </c>
      <c r="S31" s="3454">
        <v>4.2429574297989998E-2</v>
      </c>
      <c r="T31" s="3454">
        <v>4.9747380763640499E-2</v>
      </c>
      <c r="U31" s="3453">
        <v>2.0758965264630498</v>
      </c>
      <c r="V31" s="3450" t="s">
        <v>18</v>
      </c>
      <c r="W31" s="3449">
        <v>4.6788352349957499E-5</v>
      </c>
      <c r="X31" s="3454">
        <v>3.9661907779014002E-2</v>
      </c>
      <c r="Y31" s="3454">
        <v>4.2429574297989998E-2</v>
      </c>
      <c r="Z31" s="3449">
        <v>2.26616394360086E-5</v>
      </c>
      <c r="AA31" s="3449">
        <v>2.26616394360086E-5</v>
      </c>
      <c r="AB31" s="3449">
        <v>2.26616394360086E-5</v>
      </c>
      <c r="AC31" s="3454">
        <v>5.6440220331433602E-2</v>
      </c>
      <c r="AD31" s="3454">
        <v>5.6440220331433602E-2</v>
      </c>
      <c r="AE31" s="3454">
        <v>5.6440220331433602E-2</v>
      </c>
      <c r="AF31" s="3449">
        <v>4.6788352349957499E-5</v>
      </c>
      <c r="AG31" s="3454">
        <v>4.9609801011235299E-2</v>
      </c>
      <c r="AH31" s="3454">
        <v>1.3229719487334099E-2</v>
      </c>
      <c r="AI31" s="3454">
        <v>1.3229719487334099E-2</v>
      </c>
      <c r="AJ31" s="3454">
        <v>1.3229719487334099E-2</v>
      </c>
      <c r="AK31" s="3453">
        <v>2.0727747605876101</v>
      </c>
      <c r="AL31" s="3453">
        <v>2.0715170129656402</v>
      </c>
      <c r="AM31" s="3453">
        <v>1.8797660001477099</v>
      </c>
      <c r="AN31" s="3769">
        <v>0.704785149853415</v>
      </c>
      <c r="AO31" s="3426"/>
    </row>
    <row r="32" spans="1:41">
      <c r="A32" s="5047" t="s">
        <v>833</v>
      </c>
      <c r="B32" s="5048"/>
      <c r="C32" s="3446">
        <v>3.85</v>
      </c>
      <c r="D32" s="3446">
        <v>1.9E-2</v>
      </c>
      <c r="E32" s="3446">
        <v>0</v>
      </c>
      <c r="F32" s="3735">
        <v>6.2</v>
      </c>
      <c r="G32" s="3446">
        <v>0</v>
      </c>
      <c r="H32" s="3446">
        <v>0</v>
      </c>
      <c r="I32" s="3446">
        <v>0</v>
      </c>
      <c r="J32" s="3499">
        <v>0.02</v>
      </c>
      <c r="K32" s="3453">
        <v>6.69330669330669</v>
      </c>
      <c r="L32" s="3459">
        <v>0.12001200120012</v>
      </c>
      <c r="M32" s="3446">
        <v>0</v>
      </c>
      <c r="N32" s="3453">
        <v>2.10613263219925</v>
      </c>
      <c r="O32" s="3454">
        <v>4.9004348224336303E-2</v>
      </c>
      <c r="P32" s="3450" t="s">
        <v>18</v>
      </c>
      <c r="Q32" s="3454">
        <v>4.5567599186968698E-2</v>
      </c>
      <c r="R32" s="3453">
        <v>5.8329731511641301</v>
      </c>
      <c r="S32" s="3454">
        <v>4.9004348224336303E-2</v>
      </c>
      <c r="T32" s="3454">
        <v>6.6342265047416402E-2</v>
      </c>
      <c r="U32" s="3453">
        <v>6.1909902387092401</v>
      </c>
      <c r="V32" s="3450" t="s">
        <v>18</v>
      </c>
      <c r="W32" s="3449">
        <v>6.0367611725565994E-8</v>
      </c>
      <c r="X32" s="3451">
        <v>0.11886030609997</v>
      </c>
      <c r="Y32" s="3454">
        <v>4.9004348224336303E-2</v>
      </c>
      <c r="Z32" s="3449">
        <v>1.1090922842487001E-8</v>
      </c>
      <c r="AA32" s="3449">
        <v>1.1090922842487001E-8</v>
      </c>
      <c r="AB32" s="3449">
        <v>1.1090922842487001E-8</v>
      </c>
      <c r="AC32" s="3454">
        <v>6.3851861800931595E-2</v>
      </c>
      <c r="AD32" s="3454">
        <v>6.3851861800931595E-2</v>
      </c>
      <c r="AE32" s="3454">
        <v>6.3851861800931595E-2</v>
      </c>
      <c r="AF32" s="3449">
        <v>6.0367611725565994E-8</v>
      </c>
      <c r="AG32" s="3454">
        <v>6.6702346108806196E-2</v>
      </c>
      <c r="AH32" s="3454">
        <v>1.44953576956882E-2</v>
      </c>
      <c r="AI32" s="3454">
        <v>1.44953576956882E-2</v>
      </c>
      <c r="AJ32" s="3454">
        <v>1.44953576956882E-2</v>
      </c>
      <c r="AK32" s="3453">
        <v>6.2217665053523801</v>
      </c>
      <c r="AL32" s="3453">
        <v>6.1777518359369497</v>
      </c>
      <c r="AM32" s="3453">
        <v>5.8307556798476901</v>
      </c>
      <c r="AN32" s="3768">
        <v>1.98412423666231</v>
      </c>
      <c r="AO32" s="3426"/>
    </row>
    <row r="33" spans="1:41">
      <c r="A33" s="5047" t="s">
        <v>834</v>
      </c>
      <c r="B33" s="5048"/>
      <c r="C33" s="3446">
        <v>2.1040000000000001</v>
      </c>
      <c r="D33" s="3446">
        <v>1.0999999999999999E-2</v>
      </c>
      <c r="E33" s="3446">
        <v>0</v>
      </c>
      <c r="F33" s="3735">
        <v>5.6</v>
      </c>
      <c r="G33" s="3446">
        <v>0</v>
      </c>
      <c r="H33" s="3446">
        <v>0</v>
      </c>
      <c r="I33" s="3446">
        <v>0</v>
      </c>
      <c r="J33" s="3499">
        <v>0.01</v>
      </c>
      <c r="K33" s="3453">
        <v>6.0939060939060896</v>
      </c>
      <c r="L33" s="3459">
        <v>0.12001200120012</v>
      </c>
      <c r="M33" s="3446">
        <v>0</v>
      </c>
      <c r="N33" s="3453">
        <v>1.8779292090626301</v>
      </c>
      <c r="O33" s="3454">
        <v>1.47630349321451E-2</v>
      </c>
      <c r="P33" s="3450" t="s">
        <v>18</v>
      </c>
      <c r="Q33" s="3454">
        <v>1.43929647807643E-2</v>
      </c>
      <c r="R33" s="3453">
        <v>5.6197207365542701</v>
      </c>
      <c r="S33" s="3454">
        <v>1.47630349321451E-2</v>
      </c>
      <c r="T33" s="3454">
        <v>2.2298900955489399E-2</v>
      </c>
      <c r="U33" s="3453">
        <v>6.1554039712303101</v>
      </c>
      <c r="V33" s="3450" t="s">
        <v>18</v>
      </c>
      <c r="W33" s="3449">
        <v>6.26148064649321E-9</v>
      </c>
      <c r="X33" s="3451">
        <v>0.118769093563917</v>
      </c>
      <c r="Y33" s="3454">
        <v>1.47630349321451E-2</v>
      </c>
      <c r="Z33" s="3449">
        <v>3.6685440013823402E-10</v>
      </c>
      <c r="AA33" s="3449">
        <v>3.6685440013823402E-10</v>
      </c>
      <c r="AB33" s="3449">
        <v>3.6685440013823402E-10</v>
      </c>
      <c r="AC33" s="3454">
        <v>2.0245419158186201E-2</v>
      </c>
      <c r="AD33" s="3454">
        <v>2.0245419158186201E-2</v>
      </c>
      <c r="AE33" s="3454">
        <v>2.0245419158186201E-2</v>
      </c>
      <c r="AF33" s="3449">
        <v>6.26148064649321E-9</v>
      </c>
      <c r="AG33" s="3454">
        <v>2.2527279017126301E-2</v>
      </c>
      <c r="AH33" s="3452">
        <v>4.4422288332117404E-3</v>
      </c>
      <c r="AI33" s="3452">
        <v>4.4422288332117404E-3</v>
      </c>
      <c r="AJ33" s="3452">
        <v>4.4422288332117404E-3</v>
      </c>
      <c r="AK33" s="3453">
        <v>6.2185032449875397</v>
      </c>
      <c r="AL33" s="3453">
        <v>6.14214728847658</v>
      </c>
      <c r="AM33" s="3453">
        <v>5.6175730291849701</v>
      </c>
      <c r="AN33" s="3768">
        <v>1.756265236385</v>
      </c>
      <c r="AO33" s="3426"/>
    </row>
    <row r="34" spans="1:41">
      <c r="A34" s="5047" t="s">
        <v>752</v>
      </c>
      <c r="B34" s="5048"/>
      <c r="C34" s="3446">
        <v>1.756</v>
      </c>
      <c r="D34" s="3446">
        <v>8.9999999999999993E-3</v>
      </c>
      <c r="E34" s="3446">
        <v>0</v>
      </c>
      <c r="F34" s="3735">
        <v>30.6</v>
      </c>
      <c r="G34" s="3446">
        <v>0</v>
      </c>
      <c r="H34" s="3446">
        <v>0</v>
      </c>
      <c r="I34" s="3446">
        <v>0</v>
      </c>
      <c r="J34" s="3499">
        <v>0</v>
      </c>
      <c r="K34" s="3455">
        <v>33.366633366633401</v>
      </c>
      <c r="L34" s="3459">
        <v>0.64006400640063998</v>
      </c>
      <c r="M34" s="3446">
        <v>0</v>
      </c>
      <c r="N34" s="3455">
        <v>10.18285162249</v>
      </c>
      <c r="O34" s="3449">
        <v>6.3706188016771202E-6</v>
      </c>
      <c r="P34" s="3450" t="s">
        <v>18</v>
      </c>
      <c r="Q34" s="3449">
        <v>8.5682158261793499E-6</v>
      </c>
      <c r="R34" s="3455">
        <v>36.870053761868498</v>
      </c>
      <c r="S34" s="3449">
        <v>6.3706188016771202E-6</v>
      </c>
      <c r="T34" s="3449">
        <v>1.39262563957986E-5</v>
      </c>
      <c r="U34" s="3455">
        <v>32.627918537405399</v>
      </c>
      <c r="V34" s="3450" t="s">
        <v>18</v>
      </c>
      <c r="W34" s="3449">
        <v>8.9685404515041099E-10</v>
      </c>
      <c r="X34" s="3451">
        <v>0.63286888784623196</v>
      </c>
      <c r="Y34" s="3449">
        <v>6.3706188016771202E-6</v>
      </c>
      <c r="Z34" s="3449">
        <v>4.0489200042985799E-15</v>
      </c>
      <c r="AA34" s="3449">
        <v>4.0489200042985799E-15</v>
      </c>
      <c r="AB34" s="3449">
        <v>4.0489200042985799E-15</v>
      </c>
      <c r="AC34" s="3449">
        <v>8.2669526281847492E-6</v>
      </c>
      <c r="AD34" s="3449">
        <v>8.2669526281847492E-6</v>
      </c>
      <c r="AE34" s="3449">
        <v>8.2669526281847492E-6</v>
      </c>
      <c r="AF34" s="3449">
        <v>8.9685404515041099E-10</v>
      </c>
      <c r="AG34" s="3449">
        <v>1.41146431329018E-5</v>
      </c>
      <c r="AH34" s="3449">
        <v>1.33239815389618E-6</v>
      </c>
      <c r="AI34" s="3449">
        <v>1.33239815389618E-6</v>
      </c>
      <c r="AJ34" s="3449">
        <v>1.33239815389618E-6</v>
      </c>
      <c r="AK34" s="3455">
        <v>33.139806543074499</v>
      </c>
      <c r="AL34" s="3455">
        <v>32.557393448499703</v>
      </c>
      <c r="AM34" s="3455">
        <v>36.855926832812202</v>
      </c>
      <c r="AN34" s="3768">
        <v>9.5067628807064697</v>
      </c>
      <c r="AO34" s="3426"/>
    </row>
    <row r="35" spans="1:41" ht="13" thickBot="1">
      <c r="A35" s="5049" t="s">
        <v>58</v>
      </c>
      <c r="B35" s="5050"/>
      <c r="C35" s="3431" t="s">
        <v>296</v>
      </c>
      <c r="D35" s="3433" t="s">
        <v>296</v>
      </c>
      <c r="E35" s="3433" t="s">
        <v>296</v>
      </c>
      <c r="F35" s="3731" t="s">
        <v>296</v>
      </c>
      <c r="G35" s="3433" t="s">
        <v>296</v>
      </c>
      <c r="H35" s="3433" t="s">
        <v>296</v>
      </c>
      <c r="I35" s="3433" t="s">
        <v>296</v>
      </c>
      <c r="J35" s="3418" t="s">
        <v>296</v>
      </c>
      <c r="K35" s="3433" t="s">
        <v>296</v>
      </c>
      <c r="L35" s="3433" t="s">
        <v>296</v>
      </c>
      <c r="M35" s="3433" t="s">
        <v>296</v>
      </c>
      <c r="N35" s="3433" t="s">
        <v>296</v>
      </c>
      <c r="O35" s="3433" t="s">
        <v>296</v>
      </c>
      <c r="P35" s="3433" t="s">
        <v>296</v>
      </c>
      <c r="Q35" s="3433" t="s">
        <v>296</v>
      </c>
      <c r="R35" s="3433" t="s">
        <v>296</v>
      </c>
      <c r="S35" s="3433" t="s">
        <v>296</v>
      </c>
      <c r="T35" s="3433" t="s">
        <v>296</v>
      </c>
      <c r="U35" s="3433" t="s">
        <v>296</v>
      </c>
      <c r="V35" s="3433" t="s">
        <v>296</v>
      </c>
      <c r="W35" s="3433" t="s">
        <v>296</v>
      </c>
      <c r="X35" s="3433" t="s">
        <v>296</v>
      </c>
      <c r="Y35" s="3433" t="s">
        <v>296</v>
      </c>
      <c r="Z35" s="3433" t="s">
        <v>296</v>
      </c>
      <c r="AA35" s="3433" t="s">
        <v>296</v>
      </c>
      <c r="AB35" s="3433" t="s">
        <v>296</v>
      </c>
      <c r="AC35" s="3433" t="s">
        <v>296</v>
      </c>
      <c r="AD35" s="3433" t="s">
        <v>296</v>
      </c>
      <c r="AE35" s="3433" t="s">
        <v>296</v>
      </c>
      <c r="AF35" s="3433" t="s">
        <v>296</v>
      </c>
      <c r="AG35" s="3433" t="s">
        <v>296</v>
      </c>
      <c r="AH35" s="3433" t="s">
        <v>296</v>
      </c>
      <c r="AI35" s="3433" t="s">
        <v>296</v>
      </c>
      <c r="AJ35" s="3433" t="s">
        <v>296</v>
      </c>
      <c r="AK35" s="3433" t="s">
        <v>296</v>
      </c>
      <c r="AL35" s="3433" t="s">
        <v>296</v>
      </c>
      <c r="AM35" s="3433" t="s">
        <v>296</v>
      </c>
      <c r="AN35" s="3765" t="s">
        <v>296</v>
      </c>
      <c r="AO35" s="3426"/>
    </row>
    <row r="36" spans="1:41" ht="13" thickTop="1">
      <c r="A36" s="5051" t="s">
        <v>298</v>
      </c>
      <c r="B36" s="5052"/>
      <c r="C36" s="3461">
        <v>2.22566909845416E-2</v>
      </c>
      <c r="D36" s="3448">
        <v>97.701516994145194</v>
      </c>
      <c r="E36" s="3446">
        <v>0</v>
      </c>
      <c r="F36" s="3735">
        <v>0</v>
      </c>
      <c r="G36" s="3446">
        <v>0</v>
      </c>
      <c r="H36" s="3446">
        <v>0</v>
      </c>
      <c r="I36" s="3446">
        <v>0</v>
      </c>
      <c r="J36" s="3500">
        <v>0.20964960646723799</v>
      </c>
      <c r="K36" s="3447">
        <v>0</v>
      </c>
      <c r="L36" s="3448">
        <v>85.742688168530407</v>
      </c>
      <c r="M36" s="3446">
        <v>0</v>
      </c>
      <c r="N36" s="3447">
        <v>0</v>
      </c>
      <c r="O36" s="3449">
        <v>2.3277287556711099E-5</v>
      </c>
      <c r="P36" s="3450" t="s">
        <v>18</v>
      </c>
      <c r="Q36" s="3454">
        <v>4.3938496337415103E-2</v>
      </c>
      <c r="R36" s="3460">
        <v>2.5036204874259499E-4</v>
      </c>
      <c r="S36" s="3449">
        <v>2.3277287556711099E-5</v>
      </c>
      <c r="T36" s="3453">
        <v>1.75015055901154</v>
      </c>
      <c r="U36" s="3452">
        <v>9.7221866768604399E-3</v>
      </c>
      <c r="V36" s="3450" t="s">
        <v>18</v>
      </c>
      <c r="W36" s="3455">
        <v>99.987341039132701</v>
      </c>
      <c r="X36" s="3455">
        <v>85.864318784914602</v>
      </c>
      <c r="Y36" s="3449">
        <v>2.3277287556711099E-5</v>
      </c>
      <c r="Z36" s="3455">
        <v>98.462835969141395</v>
      </c>
      <c r="AA36" s="3455">
        <v>98.462835969141395</v>
      </c>
      <c r="AB36" s="3455">
        <v>98.462835969141395</v>
      </c>
      <c r="AC36" s="3452">
        <v>1.2505903154513001E-3</v>
      </c>
      <c r="AD36" s="3452">
        <v>1.2505903154513001E-3</v>
      </c>
      <c r="AE36" s="3452">
        <v>1.2505903154513001E-3</v>
      </c>
      <c r="AF36" s="3455">
        <v>99.987341039132701</v>
      </c>
      <c r="AG36" s="3453">
        <v>1.9818696115654599</v>
      </c>
      <c r="AH36" s="3455">
        <v>42.484405526293799</v>
      </c>
      <c r="AI36" s="3455">
        <v>42.484405526293799</v>
      </c>
      <c r="AJ36" s="3455">
        <v>42.484405526293799</v>
      </c>
      <c r="AK36" s="3454">
        <v>1.0844160399922699E-2</v>
      </c>
      <c r="AL36" s="3454">
        <v>1.0963597905531801E-2</v>
      </c>
      <c r="AM36" s="3460">
        <v>2.555836796789E-4</v>
      </c>
      <c r="AN36" s="3766">
        <v>0</v>
      </c>
      <c r="AO36" s="3426"/>
    </row>
    <row r="37" spans="1:41">
      <c r="A37" s="5047" t="s">
        <v>5</v>
      </c>
      <c r="B37" s="5048"/>
      <c r="C37" s="3446">
        <v>0</v>
      </c>
      <c r="D37" s="3446">
        <v>0</v>
      </c>
      <c r="E37" s="3457">
        <v>1.8026388323903201E-5</v>
      </c>
      <c r="F37" s="3735">
        <v>0</v>
      </c>
      <c r="G37" s="3457">
        <v>7.4937201467169707E-5</v>
      </c>
      <c r="H37" s="3457">
        <v>1.80263883166926E-5</v>
      </c>
      <c r="I37" s="3457">
        <v>1.80263883166926E-5</v>
      </c>
      <c r="J37" s="3499">
        <v>0</v>
      </c>
      <c r="K37" s="3447">
        <v>0</v>
      </c>
      <c r="L37" s="3446">
        <v>0</v>
      </c>
      <c r="M37" s="3457">
        <v>1.80263883166926E-5</v>
      </c>
      <c r="N37" s="3447">
        <v>0</v>
      </c>
      <c r="O37" s="3447">
        <v>0</v>
      </c>
      <c r="P37" s="3450" t="s">
        <v>18</v>
      </c>
      <c r="Q37" s="3447">
        <v>0</v>
      </c>
      <c r="R37" s="3447">
        <v>0</v>
      </c>
      <c r="S37" s="3447">
        <v>0</v>
      </c>
      <c r="T37" s="3447">
        <v>0</v>
      </c>
      <c r="U37" s="3447">
        <v>0</v>
      </c>
      <c r="V37" s="3450" t="s">
        <v>18</v>
      </c>
      <c r="W37" s="3447">
        <v>0</v>
      </c>
      <c r="X37" s="3447">
        <v>0</v>
      </c>
      <c r="Y37" s="3447">
        <v>0</v>
      </c>
      <c r="Z37" s="3447">
        <v>0</v>
      </c>
      <c r="AA37" s="3447">
        <v>0</v>
      </c>
      <c r="AB37" s="3447">
        <v>0</v>
      </c>
      <c r="AC37" s="3447">
        <v>0</v>
      </c>
      <c r="AD37" s="3447">
        <v>0</v>
      </c>
      <c r="AE37" s="3447">
        <v>0</v>
      </c>
      <c r="AF37" s="3447">
        <v>0</v>
      </c>
      <c r="AG37" s="3447">
        <v>0</v>
      </c>
      <c r="AH37" s="3447">
        <v>0</v>
      </c>
      <c r="AI37" s="3447">
        <v>0</v>
      </c>
      <c r="AJ37" s="3447">
        <v>0</v>
      </c>
      <c r="AK37" s="3447">
        <v>0</v>
      </c>
      <c r="AL37" s="3447">
        <v>0</v>
      </c>
      <c r="AM37" s="3447">
        <v>0</v>
      </c>
      <c r="AN37" s="3766">
        <v>0</v>
      </c>
      <c r="AO37" s="3426"/>
    </row>
    <row r="38" spans="1:41">
      <c r="A38" s="5047" t="s">
        <v>832</v>
      </c>
      <c r="B38" s="5048"/>
      <c r="C38" s="3446">
        <v>0</v>
      </c>
      <c r="D38" s="3446">
        <v>0</v>
      </c>
      <c r="E38" s="3458">
        <v>1.3483574842610899</v>
      </c>
      <c r="F38" s="3735">
        <v>0</v>
      </c>
      <c r="G38" s="3459">
        <v>0.98573290961683901</v>
      </c>
      <c r="H38" s="3458">
        <v>1.3483574842610899</v>
      </c>
      <c r="I38" s="3458">
        <v>1.3483574842610899</v>
      </c>
      <c r="J38" s="3499">
        <v>0</v>
      </c>
      <c r="K38" s="3447">
        <v>0</v>
      </c>
      <c r="L38" s="3446">
        <v>0</v>
      </c>
      <c r="M38" s="3458">
        <v>1.3483574842610899</v>
      </c>
      <c r="N38" s="3447">
        <v>0</v>
      </c>
      <c r="O38" s="3449">
        <v>1.3165991543582401E-5</v>
      </c>
      <c r="P38" s="3450" t="s">
        <v>18</v>
      </c>
      <c r="Q38" s="3460">
        <v>9.1404037636154596E-4</v>
      </c>
      <c r="R38" s="3449">
        <v>4.9208718527674198E-7</v>
      </c>
      <c r="S38" s="3449">
        <v>1.3165991543582401E-5</v>
      </c>
      <c r="T38" s="3447">
        <v>0</v>
      </c>
      <c r="U38" s="3447">
        <v>0</v>
      </c>
      <c r="V38" s="3450" t="s">
        <v>18</v>
      </c>
      <c r="W38" s="3447">
        <v>0</v>
      </c>
      <c r="X38" s="3447">
        <v>0</v>
      </c>
      <c r="Y38" s="3449">
        <v>1.3165991543582401E-5</v>
      </c>
      <c r="Z38" s="3447">
        <v>0</v>
      </c>
      <c r="AA38" s="3447">
        <v>0</v>
      </c>
      <c r="AB38" s="3447">
        <v>0</v>
      </c>
      <c r="AC38" s="3447">
        <v>0</v>
      </c>
      <c r="AD38" s="3447">
        <v>0</v>
      </c>
      <c r="AE38" s="3447">
        <v>0</v>
      </c>
      <c r="AF38" s="3447">
        <v>0</v>
      </c>
      <c r="AG38" s="3447">
        <v>0</v>
      </c>
      <c r="AH38" s="3447">
        <v>0</v>
      </c>
      <c r="AI38" s="3447">
        <v>0</v>
      </c>
      <c r="AJ38" s="3447">
        <v>0</v>
      </c>
      <c r="AK38" s="3447">
        <v>0</v>
      </c>
      <c r="AL38" s="3447">
        <v>0</v>
      </c>
      <c r="AM38" s="3449">
        <v>6.0127500220323796E-7</v>
      </c>
      <c r="AN38" s="3766">
        <v>0</v>
      </c>
      <c r="AO38" s="3426"/>
    </row>
    <row r="39" spans="1:41">
      <c r="A39" s="5047" t="s">
        <v>3</v>
      </c>
      <c r="B39" s="5048"/>
      <c r="C39" s="3463">
        <v>1.0455930080168099E-3</v>
      </c>
      <c r="D39" s="3446">
        <v>0</v>
      </c>
      <c r="E39" s="3446">
        <v>0</v>
      </c>
      <c r="F39" s="3735">
        <v>0</v>
      </c>
      <c r="G39" s="3459">
        <v>0.32907796458940097</v>
      </c>
      <c r="H39" s="3446">
        <v>0</v>
      </c>
      <c r="I39" s="3446">
        <v>0</v>
      </c>
      <c r="J39" s="3501">
        <v>4.83162927804551E-2</v>
      </c>
      <c r="K39" s="3447">
        <v>0</v>
      </c>
      <c r="L39" s="3446">
        <v>0</v>
      </c>
      <c r="M39" s="3446">
        <v>0</v>
      </c>
      <c r="N39" s="3447">
        <v>0</v>
      </c>
      <c r="O39" s="3454">
        <v>1.8059747101874E-2</v>
      </c>
      <c r="P39" s="3450" t="s">
        <v>18</v>
      </c>
      <c r="Q39" s="3454">
        <v>3.8590987197614599E-2</v>
      </c>
      <c r="R39" s="3460">
        <v>1.2298570603059601E-4</v>
      </c>
      <c r="S39" s="3454">
        <v>1.8059747101874E-2</v>
      </c>
      <c r="T39" s="3452">
        <v>2.7960996280029398E-3</v>
      </c>
      <c r="U39" s="3449">
        <v>8.9546107334999795E-6</v>
      </c>
      <c r="V39" s="3450" t="s">
        <v>18</v>
      </c>
      <c r="W39" s="3447">
        <v>0</v>
      </c>
      <c r="X39" s="3447">
        <v>0</v>
      </c>
      <c r="Y39" s="3454">
        <v>1.8059747101874E-2</v>
      </c>
      <c r="Z39" s="3447">
        <v>0</v>
      </c>
      <c r="AA39" s="3447">
        <v>0</v>
      </c>
      <c r="AB39" s="3447">
        <v>0</v>
      </c>
      <c r="AC39" s="3452">
        <v>1.8194275034005599E-3</v>
      </c>
      <c r="AD39" s="3452">
        <v>1.8194275034005599E-3</v>
      </c>
      <c r="AE39" s="3452">
        <v>1.8194275034005599E-3</v>
      </c>
      <c r="AF39" s="3447">
        <v>0</v>
      </c>
      <c r="AG39" s="3447">
        <v>0</v>
      </c>
      <c r="AH39" s="3447">
        <v>0</v>
      </c>
      <c r="AI39" s="3447">
        <v>0</v>
      </c>
      <c r="AJ39" s="3447">
        <v>0</v>
      </c>
      <c r="AK39" s="3447">
        <v>0</v>
      </c>
      <c r="AL39" s="3449">
        <v>1.09426230960728E-5</v>
      </c>
      <c r="AM39" s="3460">
        <v>1.27583423692767E-4</v>
      </c>
      <c r="AN39" s="3766">
        <v>0</v>
      </c>
      <c r="AO39" s="3426"/>
    </row>
    <row r="40" spans="1:41">
      <c r="A40" s="5047" t="s">
        <v>6</v>
      </c>
      <c r="B40" s="5048"/>
      <c r="C40" s="3463">
        <v>7.0511333720379302E-3</v>
      </c>
      <c r="D40" s="3446">
        <v>0</v>
      </c>
      <c r="E40" s="3448">
        <v>67.348074034834099</v>
      </c>
      <c r="F40" s="3735">
        <v>0</v>
      </c>
      <c r="G40" s="3448">
        <v>49.055101101333697</v>
      </c>
      <c r="H40" s="3448">
        <v>67.348074034834099</v>
      </c>
      <c r="I40" s="3448">
        <v>67.348074034834099</v>
      </c>
      <c r="J40" s="3502">
        <v>7.0449534239538196E-3</v>
      </c>
      <c r="K40" s="3447">
        <v>0</v>
      </c>
      <c r="L40" s="3446">
        <v>0</v>
      </c>
      <c r="M40" s="3448">
        <v>67.348074034834099</v>
      </c>
      <c r="N40" s="3447">
        <v>0</v>
      </c>
      <c r="O40" s="3454">
        <v>3.8650000892088698E-2</v>
      </c>
      <c r="P40" s="3450" t="s">
        <v>18</v>
      </c>
      <c r="Q40" s="3451">
        <v>0.50854591861202403</v>
      </c>
      <c r="R40" s="3460">
        <v>6.2577880059979795E-4</v>
      </c>
      <c r="S40" s="3454">
        <v>3.8650000892088698E-2</v>
      </c>
      <c r="T40" s="3454">
        <v>3.73943650945689E-2</v>
      </c>
      <c r="U40" s="3449">
        <v>4.71544446461623E-5</v>
      </c>
      <c r="V40" s="3450" t="s">
        <v>18</v>
      </c>
      <c r="W40" s="3447">
        <v>0</v>
      </c>
      <c r="X40" s="3447">
        <v>0</v>
      </c>
      <c r="Y40" s="3454">
        <v>3.8650000892088698E-2</v>
      </c>
      <c r="Z40" s="3447">
        <v>0</v>
      </c>
      <c r="AA40" s="3447">
        <v>0</v>
      </c>
      <c r="AB40" s="3447">
        <v>0</v>
      </c>
      <c r="AC40" s="3452">
        <v>4.8668055201895304E-3</v>
      </c>
      <c r="AD40" s="3452">
        <v>4.8668055201895304E-3</v>
      </c>
      <c r="AE40" s="3452">
        <v>4.8668055201895304E-3</v>
      </c>
      <c r="AF40" s="3447">
        <v>0</v>
      </c>
      <c r="AG40" s="3447">
        <v>0</v>
      </c>
      <c r="AH40" s="3447">
        <v>0</v>
      </c>
      <c r="AI40" s="3447">
        <v>0</v>
      </c>
      <c r="AJ40" s="3447">
        <v>0</v>
      </c>
      <c r="AK40" s="3447">
        <v>0</v>
      </c>
      <c r="AL40" s="3449">
        <v>7.3793430425379397E-5</v>
      </c>
      <c r="AM40" s="3460">
        <v>6.8648570782745705E-4</v>
      </c>
      <c r="AN40" s="3766">
        <v>0</v>
      </c>
      <c r="AO40" s="3426"/>
    </row>
    <row r="41" spans="1:41">
      <c r="A41" s="5047" t="s">
        <v>7</v>
      </c>
      <c r="B41" s="5048"/>
      <c r="C41" s="3459">
        <v>0.21931794817950201</v>
      </c>
      <c r="D41" s="3463">
        <v>4.9167488773588603E-3</v>
      </c>
      <c r="E41" s="3448">
        <v>26.942060313740502</v>
      </c>
      <c r="F41" s="3736">
        <v>4.1115961204191302E-2</v>
      </c>
      <c r="G41" s="3448">
        <v>20.407459131740001</v>
      </c>
      <c r="H41" s="3448">
        <v>26.942060313740502</v>
      </c>
      <c r="I41" s="3448">
        <v>26.942060313740502</v>
      </c>
      <c r="J41" s="3503">
        <v>9.9034836133144992</v>
      </c>
      <c r="K41" s="3454">
        <v>3.9534090299324101E-2</v>
      </c>
      <c r="L41" s="3461">
        <v>2.9206503071984798E-2</v>
      </c>
      <c r="M41" s="3448">
        <v>26.942060313740502</v>
      </c>
      <c r="N41" s="3453">
        <v>4.6345463900309696</v>
      </c>
      <c r="O41" s="3455">
        <v>10.7945189358403</v>
      </c>
      <c r="P41" s="3450" t="s">
        <v>18</v>
      </c>
      <c r="Q41" s="3455">
        <v>11.5090447325573</v>
      </c>
      <c r="R41" s="3454">
        <v>8.2882151401033902E-2</v>
      </c>
      <c r="S41" s="3455">
        <v>10.7945189358403</v>
      </c>
      <c r="T41" s="3455">
        <v>10.1779500902542</v>
      </c>
      <c r="U41" s="3454">
        <v>7.2457524240293905E-2</v>
      </c>
      <c r="V41" s="3450" t="s">
        <v>18</v>
      </c>
      <c r="W41" s="3460">
        <v>8.3268361106622602E-4</v>
      </c>
      <c r="X41" s="3454">
        <v>2.89594573271553E-2</v>
      </c>
      <c r="Y41" s="3455">
        <v>10.7945189358403</v>
      </c>
      <c r="Z41" s="3451">
        <v>0.94764685759696599</v>
      </c>
      <c r="AA41" s="3451">
        <v>0.94764685759696599</v>
      </c>
      <c r="AB41" s="3451">
        <v>0.94764685759696599</v>
      </c>
      <c r="AC41" s="3455">
        <v>11.267730686660901</v>
      </c>
      <c r="AD41" s="3455">
        <v>11.267730686660901</v>
      </c>
      <c r="AE41" s="3455">
        <v>11.267730686660901</v>
      </c>
      <c r="AF41" s="3460">
        <v>8.3268361106622602E-4</v>
      </c>
      <c r="AG41" s="3455">
        <v>11.1830196139639</v>
      </c>
      <c r="AH41" s="3455">
        <v>10.1648508026068</v>
      </c>
      <c r="AI41" s="3455">
        <v>10.1648508026068</v>
      </c>
      <c r="AJ41" s="3455">
        <v>10.1648508026068</v>
      </c>
      <c r="AK41" s="3454">
        <v>7.8188575822129402E-2</v>
      </c>
      <c r="AL41" s="3454">
        <v>7.9665561147826205E-2</v>
      </c>
      <c r="AM41" s="3454">
        <v>8.4247812924201596E-2</v>
      </c>
      <c r="AN41" s="3768">
        <v>4.5953234744534699</v>
      </c>
      <c r="AO41" s="3426"/>
    </row>
    <row r="42" spans="1:41">
      <c r="A42" s="5047" t="s">
        <v>8</v>
      </c>
      <c r="B42" s="5048"/>
      <c r="C42" s="3458">
        <v>6.1559272160427403</v>
      </c>
      <c r="D42" s="3459">
        <v>0.14180275700803999</v>
      </c>
      <c r="E42" s="3458">
        <v>4.3614901407759996</v>
      </c>
      <c r="F42" s="3737">
        <v>0.30147849768312501</v>
      </c>
      <c r="G42" s="3448">
        <v>17.029167443025301</v>
      </c>
      <c r="H42" s="3458">
        <v>4.3614901407759996</v>
      </c>
      <c r="I42" s="3458">
        <v>4.3614901407759996</v>
      </c>
      <c r="J42" s="3504">
        <v>62.846953174590404</v>
      </c>
      <c r="K42" s="3451">
        <v>0.31886755366535602</v>
      </c>
      <c r="L42" s="3459">
        <v>0.171322910341145</v>
      </c>
      <c r="M42" s="3458">
        <v>4.3614901407759996</v>
      </c>
      <c r="N42" s="3453">
        <v>8.7004709460606104</v>
      </c>
      <c r="O42" s="3455">
        <v>39.189079670155799</v>
      </c>
      <c r="P42" s="3450" t="s">
        <v>18</v>
      </c>
      <c r="Q42" s="3455">
        <v>39.293987246796299</v>
      </c>
      <c r="R42" s="3453">
        <v>1.0302837350599301</v>
      </c>
      <c r="S42" s="3455">
        <v>39.189079670155799</v>
      </c>
      <c r="T42" s="3455">
        <v>34.751099538099901</v>
      </c>
      <c r="U42" s="3451">
        <v>0.86678607733638502</v>
      </c>
      <c r="V42" s="3450" t="s">
        <v>18</v>
      </c>
      <c r="W42" s="3452">
        <v>1.7665068656260599E-3</v>
      </c>
      <c r="X42" s="3451">
        <v>0.17102266735765401</v>
      </c>
      <c r="Y42" s="3455">
        <v>39.189079670155799</v>
      </c>
      <c r="Z42" s="3451">
        <v>0.46479430438004699</v>
      </c>
      <c r="AA42" s="3451">
        <v>0.46479430438004699</v>
      </c>
      <c r="AB42" s="3451">
        <v>0.46479430438004599</v>
      </c>
      <c r="AC42" s="3455">
        <v>35.794978491197398</v>
      </c>
      <c r="AD42" s="3455">
        <v>35.794978491197398</v>
      </c>
      <c r="AE42" s="3455">
        <v>35.794978491197398</v>
      </c>
      <c r="AF42" s="3452">
        <v>1.7665068656260599E-3</v>
      </c>
      <c r="AG42" s="3455">
        <v>34.082818972048997</v>
      </c>
      <c r="AH42" s="3455">
        <v>21.236317019177701</v>
      </c>
      <c r="AI42" s="3455">
        <v>21.236317019177701</v>
      </c>
      <c r="AJ42" s="3455">
        <v>21.236317019177701</v>
      </c>
      <c r="AK42" s="3451">
        <v>0.83527188785013695</v>
      </c>
      <c r="AL42" s="3451">
        <v>0.89095505083432103</v>
      </c>
      <c r="AM42" s="3453">
        <v>1.0348570349100601</v>
      </c>
      <c r="AN42" s="3768">
        <v>7.8466388846002504</v>
      </c>
      <c r="AO42" s="3426"/>
    </row>
    <row r="43" spans="1:41">
      <c r="A43" s="5047" t="s">
        <v>66</v>
      </c>
      <c r="B43" s="5048"/>
      <c r="C43" s="3458">
        <v>3.1284005025204</v>
      </c>
      <c r="D43" s="3461">
        <v>7.2863007008664299E-2</v>
      </c>
      <c r="E43" s="3446">
        <v>0</v>
      </c>
      <c r="F43" s="3737">
        <v>0.47685262721435301</v>
      </c>
      <c r="G43" s="3458">
        <v>2.7098880909891201</v>
      </c>
      <c r="H43" s="3446">
        <v>0</v>
      </c>
      <c r="I43" s="3446">
        <v>0</v>
      </c>
      <c r="J43" s="3503">
        <v>7.5040641159729997</v>
      </c>
      <c r="K43" s="3451">
        <v>0.4967153580816</v>
      </c>
      <c r="L43" s="3461">
        <v>8.4682428147881503E-2</v>
      </c>
      <c r="M43" s="3446">
        <v>0</v>
      </c>
      <c r="N43" s="3453">
        <v>5.1926000145950697</v>
      </c>
      <c r="O43" s="3453">
        <v>8.9333692126135205</v>
      </c>
      <c r="P43" s="3450" t="s">
        <v>18</v>
      </c>
      <c r="Q43" s="3453">
        <v>8.7854282831114698</v>
      </c>
      <c r="R43" s="3451">
        <v>0.59332791096463899</v>
      </c>
      <c r="S43" s="3453">
        <v>8.9333692126135205</v>
      </c>
      <c r="T43" s="3453">
        <v>8.5338830820546008</v>
      </c>
      <c r="U43" s="3451">
        <v>0.53279678563380295</v>
      </c>
      <c r="V43" s="3450" t="s">
        <v>18</v>
      </c>
      <c r="W43" s="3460">
        <v>2.7622411134619799E-4</v>
      </c>
      <c r="X43" s="3454">
        <v>8.4562215416398301E-2</v>
      </c>
      <c r="Y43" s="3453">
        <v>8.9333692126135205</v>
      </c>
      <c r="Z43" s="3454">
        <v>2.7115014947809098E-2</v>
      </c>
      <c r="AA43" s="3454">
        <v>2.7115014947809098E-2</v>
      </c>
      <c r="AB43" s="3454">
        <v>2.7115014947809098E-2</v>
      </c>
      <c r="AC43" s="3453">
        <v>8.5462375866921505</v>
      </c>
      <c r="AD43" s="3453">
        <v>8.5462375866921505</v>
      </c>
      <c r="AE43" s="3453">
        <v>8.5462375866921505</v>
      </c>
      <c r="AF43" s="3460">
        <v>2.7622411134619799E-4</v>
      </c>
      <c r="AG43" s="3453">
        <v>8.3297586779169794</v>
      </c>
      <c r="AH43" s="3453">
        <v>4.4734525753216996</v>
      </c>
      <c r="AI43" s="3453">
        <v>4.4734525753216996</v>
      </c>
      <c r="AJ43" s="3453">
        <v>4.4734525753216996</v>
      </c>
      <c r="AK43" s="3451">
        <v>0.51111264381064303</v>
      </c>
      <c r="AL43" s="3451">
        <v>0.53850379347614297</v>
      </c>
      <c r="AM43" s="3451">
        <v>0.594307035512597</v>
      </c>
      <c r="AN43" s="3768">
        <v>4.7602262136160602</v>
      </c>
      <c r="AO43" s="3426"/>
    </row>
    <row r="44" spans="1:41">
      <c r="A44" s="5047" t="s">
        <v>359</v>
      </c>
      <c r="B44" s="5048"/>
      <c r="C44" s="3458">
        <v>8.4316987280466105</v>
      </c>
      <c r="D44" s="3459">
        <v>0.193245366414284</v>
      </c>
      <c r="E44" s="3446">
        <v>0</v>
      </c>
      <c r="F44" s="3738">
        <v>1.86767278992288</v>
      </c>
      <c r="G44" s="3458">
        <v>6.2122906236826099</v>
      </c>
      <c r="H44" s="3446">
        <v>0</v>
      </c>
      <c r="I44" s="3446">
        <v>0</v>
      </c>
      <c r="J44" s="3504">
        <v>11.7282906846585</v>
      </c>
      <c r="K44" s="3453">
        <v>1.9104436849292299</v>
      </c>
      <c r="L44" s="3459">
        <v>0.28227476049293898</v>
      </c>
      <c r="M44" s="3446">
        <v>0</v>
      </c>
      <c r="N44" s="3455">
        <v>14.216864487817</v>
      </c>
      <c r="O44" s="3455">
        <v>22.0786502070303</v>
      </c>
      <c r="P44" s="3450" t="s">
        <v>18</v>
      </c>
      <c r="Q44" s="3455">
        <v>21.176361551229199</v>
      </c>
      <c r="R44" s="3453">
        <v>2.0807952100292</v>
      </c>
      <c r="S44" s="3455">
        <v>22.0786502070303</v>
      </c>
      <c r="T44" s="3455">
        <v>20.430387994933</v>
      </c>
      <c r="U44" s="3453">
        <v>1.84050283597302</v>
      </c>
      <c r="V44" s="3450" t="s">
        <v>18</v>
      </c>
      <c r="W44" s="3460">
        <v>9.5828161849840197E-4</v>
      </c>
      <c r="X44" s="3451">
        <v>0.28136926211713498</v>
      </c>
      <c r="Y44" s="3455">
        <v>22.0786502070303</v>
      </c>
      <c r="Z44" s="3454">
        <v>6.5716151301210404E-2</v>
      </c>
      <c r="AA44" s="3454">
        <v>6.5716151301210404E-2</v>
      </c>
      <c r="AB44" s="3454">
        <v>6.5716151301210404E-2</v>
      </c>
      <c r="AC44" s="3455">
        <v>20.8048424245037</v>
      </c>
      <c r="AD44" s="3455">
        <v>20.8048424245037</v>
      </c>
      <c r="AE44" s="3455">
        <v>20.8048424245037</v>
      </c>
      <c r="AF44" s="3460">
        <v>9.5828161849840197E-4</v>
      </c>
      <c r="AG44" s="3455">
        <v>20.1561375094266</v>
      </c>
      <c r="AH44" s="3455">
        <v>10.6345616197454</v>
      </c>
      <c r="AI44" s="3455">
        <v>10.6345616197454</v>
      </c>
      <c r="AJ44" s="3455">
        <v>10.6345616197454</v>
      </c>
      <c r="AK44" s="3453">
        <v>1.7841933394661</v>
      </c>
      <c r="AL44" s="3453">
        <v>1.85376261301578</v>
      </c>
      <c r="AM44" s="3453">
        <v>2.08307752310064</v>
      </c>
      <c r="AN44" s="3767">
        <v>13.2814485317622</v>
      </c>
      <c r="AO44" s="3426"/>
    </row>
    <row r="45" spans="1:41">
      <c r="A45" s="5047" t="s">
        <v>68</v>
      </c>
      <c r="B45" s="5048"/>
      <c r="C45" s="3458">
        <v>4.5964551729764098</v>
      </c>
      <c r="D45" s="3459">
        <v>0.106176881523664</v>
      </c>
      <c r="E45" s="3446">
        <v>0</v>
      </c>
      <c r="F45" s="3738">
        <v>1.87444834782836</v>
      </c>
      <c r="G45" s="3458">
        <v>1.3011168316872099</v>
      </c>
      <c r="H45" s="3446">
        <v>0</v>
      </c>
      <c r="I45" s="3446">
        <v>0</v>
      </c>
      <c r="J45" s="3503">
        <v>1.9802324374468201</v>
      </c>
      <c r="K45" s="3453">
        <v>1.3754638512183299</v>
      </c>
      <c r="L45" s="3459">
        <v>0.21023752983566699</v>
      </c>
      <c r="M45" s="3446">
        <v>0</v>
      </c>
      <c r="N45" s="3453">
        <v>4.3480389454922097</v>
      </c>
      <c r="O45" s="3453">
        <v>5.5312428812439203</v>
      </c>
      <c r="P45" s="3450" t="s">
        <v>18</v>
      </c>
      <c r="Q45" s="3453">
        <v>5.1732734248414101</v>
      </c>
      <c r="R45" s="3453">
        <v>1.35388957037225</v>
      </c>
      <c r="S45" s="3453">
        <v>5.5312428812439203</v>
      </c>
      <c r="T45" s="3453">
        <v>6.2481909354083696</v>
      </c>
      <c r="U45" s="3453">
        <v>1.45641917234103</v>
      </c>
      <c r="V45" s="3450" t="s">
        <v>18</v>
      </c>
      <c r="W45" s="3460">
        <v>1.9675921325755001E-4</v>
      </c>
      <c r="X45" s="3451">
        <v>0.209179151880761</v>
      </c>
      <c r="Y45" s="3453">
        <v>5.5312428812439203</v>
      </c>
      <c r="Z45" s="3452">
        <v>5.15259330673065E-3</v>
      </c>
      <c r="AA45" s="3452">
        <v>5.15259330673065E-3</v>
      </c>
      <c r="AB45" s="3452">
        <v>5.15259330673065E-3</v>
      </c>
      <c r="AC45" s="3453">
        <v>6.3652404033240702</v>
      </c>
      <c r="AD45" s="3453">
        <v>6.3652404033240702</v>
      </c>
      <c r="AE45" s="3453">
        <v>6.3652404033240702</v>
      </c>
      <c r="AF45" s="3460">
        <v>1.9675921325755001E-4</v>
      </c>
      <c r="AG45" s="3453">
        <v>6.2253711265851503</v>
      </c>
      <c r="AH45" s="3453">
        <v>3.0922834733354998</v>
      </c>
      <c r="AI45" s="3453">
        <v>3.0922834733354998</v>
      </c>
      <c r="AJ45" s="3453">
        <v>3.0922834733354998</v>
      </c>
      <c r="AK45" s="3453">
        <v>1.42666368282899</v>
      </c>
      <c r="AL45" s="3453">
        <v>1.45983704311725</v>
      </c>
      <c r="AM45" s="3453">
        <v>1.35434606532716</v>
      </c>
      <c r="AN45" s="3768">
        <v>5.6812209522603601</v>
      </c>
      <c r="AO45" s="3426"/>
    </row>
    <row r="46" spans="1:41">
      <c r="A46" s="5047" t="s">
        <v>669</v>
      </c>
      <c r="B46" s="5048"/>
      <c r="C46" s="3458">
        <v>5.9600502093749599</v>
      </c>
      <c r="D46" s="3459">
        <v>0.137636698271416</v>
      </c>
      <c r="E46" s="3446">
        <v>0</v>
      </c>
      <c r="F46" s="3738">
        <v>2.6636897574403</v>
      </c>
      <c r="G46" s="3458">
        <v>1.17417860420553</v>
      </c>
      <c r="H46" s="3446">
        <v>0</v>
      </c>
      <c r="I46" s="3446">
        <v>0</v>
      </c>
      <c r="J46" s="3503">
        <v>1.9010231399489499</v>
      </c>
      <c r="K46" s="3453">
        <v>1.8497617309487899</v>
      </c>
      <c r="L46" s="3459">
        <v>0.28031670644755702</v>
      </c>
      <c r="M46" s="3446">
        <v>0</v>
      </c>
      <c r="N46" s="3453">
        <v>4.6302225897974196</v>
      </c>
      <c r="O46" s="3453">
        <v>5.4931813920091797</v>
      </c>
      <c r="P46" s="3450" t="s">
        <v>18</v>
      </c>
      <c r="Q46" s="3453">
        <v>5.17690642789207</v>
      </c>
      <c r="R46" s="3453">
        <v>1.7958236410167401</v>
      </c>
      <c r="S46" s="3453">
        <v>5.4931813920091797</v>
      </c>
      <c r="T46" s="3453">
        <v>6.4100353014593203</v>
      </c>
      <c r="U46" s="3453">
        <v>1.9632203793487299</v>
      </c>
      <c r="V46" s="3450" t="s">
        <v>18</v>
      </c>
      <c r="W46" s="3449">
        <v>9.1016299640739898E-5</v>
      </c>
      <c r="X46" s="3451">
        <v>0.27886553948185799</v>
      </c>
      <c r="Y46" s="3453">
        <v>5.4931813920091797</v>
      </c>
      <c r="Z46" s="3452">
        <v>1.7887162357104901E-3</v>
      </c>
      <c r="AA46" s="3452">
        <v>1.7887162357104901E-3</v>
      </c>
      <c r="AB46" s="3452">
        <v>1.7887162357104901E-3</v>
      </c>
      <c r="AC46" s="3453">
        <v>6.45139026646219</v>
      </c>
      <c r="AD46" s="3453">
        <v>6.45139026646219</v>
      </c>
      <c r="AE46" s="3453">
        <v>6.45139026646219</v>
      </c>
      <c r="AF46" s="3449">
        <v>9.1016299640739898E-5</v>
      </c>
      <c r="AG46" s="3453">
        <v>6.39012335544738</v>
      </c>
      <c r="AH46" s="3453">
        <v>3.0833012024030202</v>
      </c>
      <c r="AI46" s="3453">
        <v>3.0833012024030202</v>
      </c>
      <c r="AJ46" s="3453">
        <v>3.0833012024030202</v>
      </c>
      <c r="AK46" s="3453">
        <v>1.9241546525008599</v>
      </c>
      <c r="AL46" s="3453">
        <v>1.96639219961085</v>
      </c>
      <c r="AM46" s="3453">
        <v>1.79622774997597</v>
      </c>
      <c r="AN46" s="3768">
        <v>6.4025681428096703</v>
      </c>
      <c r="AO46" s="3426"/>
    </row>
    <row r="47" spans="1:41">
      <c r="A47" s="5047" t="s">
        <v>99</v>
      </c>
      <c r="B47" s="5048"/>
      <c r="C47" s="3446">
        <v>0</v>
      </c>
      <c r="D47" s="3446">
        <v>0</v>
      </c>
      <c r="E47" s="3446">
        <v>0</v>
      </c>
      <c r="F47" s="3735">
        <v>0</v>
      </c>
      <c r="G47" s="3446">
        <v>0</v>
      </c>
      <c r="H47" s="3446">
        <v>0</v>
      </c>
      <c r="I47" s="3446">
        <v>0</v>
      </c>
      <c r="J47" s="3499">
        <v>0</v>
      </c>
      <c r="K47" s="3447">
        <v>0</v>
      </c>
      <c r="L47" s="3446">
        <v>0</v>
      </c>
      <c r="M47" s="3446">
        <v>0</v>
      </c>
      <c r="N47" s="3447">
        <v>0</v>
      </c>
      <c r="O47" s="3447">
        <v>0</v>
      </c>
      <c r="P47" s="3450" t="s">
        <v>18</v>
      </c>
      <c r="Q47" s="3447">
        <v>0</v>
      </c>
      <c r="R47" s="3447">
        <v>0</v>
      </c>
      <c r="S47" s="3447">
        <v>0</v>
      </c>
      <c r="T47" s="3447">
        <v>0</v>
      </c>
      <c r="U47" s="3447">
        <v>0</v>
      </c>
      <c r="V47" s="3450" t="s">
        <v>18</v>
      </c>
      <c r="W47" s="3447">
        <v>0</v>
      </c>
      <c r="X47" s="3447">
        <v>0</v>
      </c>
      <c r="Y47" s="3447">
        <v>0</v>
      </c>
      <c r="Z47" s="3447">
        <v>0</v>
      </c>
      <c r="AA47" s="3447">
        <v>0</v>
      </c>
      <c r="AB47" s="3447">
        <v>0</v>
      </c>
      <c r="AC47" s="3447">
        <v>0</v>
      </c>
      <c r="AD47" s="3447">
        <v>0</v>
      </c>
      <c r="AE47" s="3447">
        <v>0</v>
      </c>
      <c r="AF47" s="3447">
        <v>0</v>
      </c>
      <c r="AG47" s="3447">
        <v>0</v>
      </c>
      <c r="AH47" s="3447">
        <v>0</v>
      </c>
      <c r="AI47" s="3447">
        <v>0</v>
      </c>
      <c r="AJ47" s="3447">
        <v>0</v>
      </c>
      <c r="AK47" s="3447">
        <v>0</v>
      </c>
      <c r="AL47" s="3447">
        <v>0</v>
      </c>
      <c r="AM47" s="3447">
        <v>0</v>
      </c>
      <c r="AN47" s="3766">
        <v>0</v>
      </c>
      <c r="AO47" s="3426"/>
    </row>
    <row r="48" spans="1:41">
      <c r="A48" s="5047" t="s">
        <v>422</v>
      </c>
      <c r="B48" s="5048"/>
      <c r="C48" s="3458">
        <v>5.2331139530231301</v>
      </c>
      <c r="D48" s="3459">
        <v>0.122121931372334</v>
      </c>
      <c r="E48" s="3446">
        <v>0</v>
      </c>
      <c r="F48" s="3738">
        <v>2.3566982906785299</v>
      </c>
      <c r="G48" s="3459">
        <v>0.34113718575338398</v>
      </c>
      <c r="H48" s="3446">
        <v>0</v>
      </c>
      <c r="I48" s="3446">
        <v>0</v>
      </c>
      <c r="J48" s="3500">
        <v>0.85147673384133105</v>
      </c>
      <c r="K48" s="3453">
        <v>1.86947317416773</v>
      </c>
      <c r="L48" s="3459">
        <v>0.25111020337557199</v>
      </c>
      <c r="M48" s="3446">
        <v>0</v>
      </c>
      <c r="N48" s="3453">
        <v>2.5431987964447398</v>
      </c>
      <c r="O48" s="3453">
        <v>1.92170817781814</v>
      </c>
      <c r="P48" s="3450" t="s">
        <v>18</v>
      </c>
      <c r="Q48" s="3453">
        <v>1.79347140071956</v>
      </c>
      <c r="R48" s="3453">
        <v>1.5149895628250301</v>
      </c>
      <c r="S48" s="3453">
        <v>1.92170817781814</v>
      </c>
      <c r="T48" s="3453">
        <v>2.4655414388396402</v>
      </c>
      <c r="U48" s="3453">
        <v>1.7958847076719799</v>
      </c>
      <c r="V48" s="3450" t="s">
        <v>18</v>
      </c>
      <c r="W48" s="3449">
        <v>4.4924097512015998E-5</v>
      </c>
      <c r="X48" s="3451">
        <v>0.24979829204555201</v>
      </c>
      <c r="Y48" s="3453">
        <v>1.92170817781814</v>
      </c>
      <c r="Z48" s="3460">
        <v>3.6879367832667799E-4</v>
      </c>
      <c r="AA48" s="3460">
        <v>3.6879367832667799E-4</v>
      </c>
      <c r="AB48" s="3460">
        <v>3.6879367832667799E-4</v>
      </c>
      <c r="AC48" s="3453">
        <v>2.47395851813706</v>
      </c>
      <c r="AD48" s="3453">
        <v>2.47395851813706</v>
      </c>
      <c r="AE48" s="3453">
        <v>2.47395851813706</v>
      </c>
      <c r="AF48" s="3449">
        <v>4.4924097512015998E-5</v>
      </c>
      <c r="AG48" s="3453">
        <v>2.4575988310276999</v>
      </c>
      <c r="AH48" s="3453">
        <v>1.13968446194555</v>
      </c>
      <c r="AI48" s="3453">
        <v>1.13968446194555</v>
      </c>
      <c r="AJ48" s="3453">
        <v>1.13968446194555</v>
      </c>
      <c r="AK48" s="3453">
        <v>1.76001474144922</v>
      </c>
      <c r="AL48" s="3453">
        <v>1.79636235984006</v>
      </c>
      <c r="AM48" s="3453">
        <v>1.51502284713446</v>
      </c>
      <c r="AN48" s="3768">
        <v>3.0974554261575902</v>
      </c>
      <c r="AO48" s="3426"/>
    </row>
    <row r="49" spans="1:41">
      <c r="A49" s="5047" t="s">
        <v>10</v>
      </c>
      <c r="B49" s="5048"/>
      <c r="C49" s="3458">
        <v>3.94940407487544</v>
      </c>
      <c r="D49" s="3461">
        <v>8.9242949849013195E-2</v>
      </c>
      <c r="E49" s="3446">
        <v>0</v>
      </c>
      <c r="F49" s="3738">
        <v>1.7675237180089001</v>
      </c>
      <c r="G49" s="3459">
        <v>0.113712395251128</v>
      </c>
      <c r="H49" s="3446">
        <v>0</v>
      </c>
      <c r="I49" s="3446">
        <v>0</v>
      </c>
      <c r="J49" s="3500">
        <v>0.435199219518903</v>
      </c>
      <c r="K49" s="3453">
        <v>1.4729182584351801</v>
      </c>
      <c r="L49" s="3459">
        <v>0.209258502812976</v>
      </c>
      <c r="M49" s="3446">
        <v>0</v>
      </c>
      <c r="N49" s="3453">
        <v>1.66975602635416</v>
      </c>
      <c r="O49" s="3453">
        <v>1.08844736647949</v>
      </c>
      <c r="P49" s="3450" t="s">
        <v>18</v>
      </c>
      <c r="Q49" s="3451">
        <v>0.98093286729428897</v>
      </c>
      <c r="R49" s="3453">
        <v>1.1939004474326</v>
      </c>
      <c r="S49" s="3453">
        <v>1.08844736647949</v>
      </c>
      <c r="T49" s="3453">
        <v>1.45258971920187</v>
      </c>
      <c r="U49" s="3453">
        <v>1.49847636425922</v>
      </c>
      <c r="V49" s="3450" t="s">
        <v>18</v>
      </c>
      <c r="W49" s="3449">
        <v>1.35726682511553E-5</v>
      </c>
      <c r="X49" s="3451">
        <v>0.208037851033813</v>
      </c>
      <c r="Y49" s="3453">
        <v>1.08844736647949</v>
      </c>
      <c r="Z49" s="3449">
        <v>8.0449878356277294E-5</v>
      </c>
      <c r="AA49" s="3449">
        <v>8.0449878356277294E-5</v>
      </c>
      <c r="AB49" s="3449">
        <v>8.0449878356277294E-5</v>
      </c>
      <c r="AC49" s="3453">
        <v>1.4915893729940599</v>
      </c>
      <c r="AD49" s="3453">
        <v>1.4915893729940599</v>
      </c>
      <c r="AE49" s="3453">
        <v>1.4915893729940599</v>
      </c>
      <c r="AF49" s="3449">
        <v>1.35726682511553E-5</v>
      </c>
      <c r="AG49" s="3453">
        <v>1.45169961720818</v>
      </c>
      <c r="AH49" s="3451">
        <v>0.67937268506398596</v>
      </c>
      <c r="AI49" s="3451">
        <v>0.67937268506398596</v>
      </c>
      <c r="AJ49" s="3451">
        <v>0.67937268506398496</v>
      </c>
      <c r="AK49" s="3453">
        <v>1.4725218961519499</v>
      </c>
      <c r="AL49" s="3453">
        <v>1.49844363427313</v>
      </c>
      <c r="AM49" s="3453">
        <v>1.19387499342493</v>
      </c>
      <c r="AN49" s="3768">
        <v>1.9410555719387601</v>
      </c>
      <c r="AO49" s="3426"/>
    </row>
    <row r="50" spans="1:41">
      <c r="A50" s="5047" t="s">
        <v>9</v>
      </c>
      <c r="B50" s="5048"/>
      <c r="C50" s="3458">
        <v>3.2721657081884601</v>
      </c>
      <c r="D50" s="3461">
        <v>7.3393945632514196E-2</v>
      </c>
      <c r="E50" s="3446">
        <v>0</v>
      </c>
      <c r="F50" s="3738">
        <v>1.3809411599352299</v>
      </c>
      <c r="G50" s="3461">
        <v>7.4034898559475204E-2</v>
      </c>
      <c r="H50" s="3446">
        <v>0</v>
      </c>
      <c r="I50" s="3446">
        <v>0</v>
      </c>
      <c r="J50" s="3500">
        <v>0.33262333526513799</v>
      </c>
      <c r="K50" s="3453">
        <v>1.16183519858212</v>
      </c>
      <c r="L50" s="3459">
        <v>0.16349069415961701</v>
      </c>
      <c r="M50" s="3446">
        <v>0</v>
      </c>
      <c r="N50" s="3453">
        <v>1.25474036817749</v>
      </c>
      <c r="O50" s="3451">
        <v>0.77774600888963796</v>
      </c>
      <c r="P50" s="3450" t="s">
        <v>18</v>
      </c>
      <c r="Q50" s="3451">
        <v>0.74220287469004598</v>
      </c>
      <c r="R50" s="3451">
        <v>0.93953070466470801</v>
      </c>
      <c r="S50" s="3451">
        <v>0.77774600888963796</v>
      </c>
      <c r="T50" s="3453">
        <v>1.0858171914752801</v>
      </c>
      <c r="U50" s="3453">
        <v>1.1731469024046</v>
      </c>
      <c r="V50" s="3450" t="s">
        <v>18</v>
      </c>
      <c r="W50" s="3449">
        <v>7.7669181499814301E-5</v>
      </c>
      <c r="X50" s="3451">
        <v>0.16257433995659601</v>
      </c>
      <c r="Y50" s="3451">
        <v>0.77774600888963796</v>
      </c>
      <c r="Z50" s="3460">
        <v>4.1760688115674203E-4</v>
      </c>
      <c r="AA50" s="3460">
        <v>4.1760688115674203E-4</v>
      </c>
      <c r="AB50" s="3460">
        <v>4.1760688115674203E-4</v>
      </c>
      <c r="AC50" s="3453">
        <v>1.05938129815654</v>
      </c>
      <c r="AD50" s="3453">
        <v>1.05938129815654</v>
      </c>
      <c r="AE50" s="3453">
        <v>1.05938129815654</v>
      </c>
      <c r="AF50" s="3449">
        <v>7.7669181499814301E-5</v>
      </c>
      <c r="AG50" s="3453">
        <v>1.08284625861644</v>
      </c>
      <c r="AH50" s="3451">
        <v>0.48262152783774798</v>
      </c>
      <c r="AI50" s="3451">
        <v>0.48262152783774798</v>
      </c>
      <c r="AJ50" s="3451">
        <v>0.48262152783774798</v>
      </c>
      <c r="AK50" s="3453">
        <v>1.1508844043972499</v>
      </c>
      <c r="AL50" s="3453">
        <v>1.17308461194469</v>
      </c>
      <c r="AM50" s="3451">
        <v>0.93950711992898095</v>
      </c>
      <c r="AN50" s="3768">
        <v>1.44586470244249</v>
      </c>
      <c r="AO50" s="3426"/>
    </row>
    <row r="51" spans="1:41">
      <c r="A51" s="5047" t="s">
        <v>11</v>
      </c>
      <c r="B51" s="5048"/>
      <c r="C51" s="3458">
        <v>3.1622972800292399</v>
      </c>
      <c r="D51" s="3461">
        <v>7.2377403553992095E-2</v>
      </c>
      <c r="E51" s="3446">
        <v>0</v>
      </c>
      <c r="F51" s="3738">
        <v>1.28170771651958</v>
      </c>
      <c r="G51" s="3461">
        <v>6.8714803735645202E-2</v>
      </c>
      <c r="H51" s="3446">
        <v>0</v>
      </c>
      <c r="I51" s="3446">
        <v>0</v>
      </c>
      <c r="J51" s="3500">
        <v>0.32587244158711698</v>
      </c>
      <c r="K51" s="3453">
        <v>1.07834655273553</v>
      </c>
      <c r="L51" s="3459">
        <v>0.15174236988732501</v>
      </c>
      <c r="M51" s="3446">
        <v>0</v>
      </c>
      <c r="N51" s="3451">
        <v>0.99074464402101003</v>
      </c>
      <c r="O51" s="3451">
        <v>0.47021888069157403</v>
      </c>
      <c r="P51" s="3450" t="s">
        <v>18</v>
      </c>
      <c r="Q51" s="3451">
        <v>0.60346265256623699</v>
      </c>
      <c r="R51" s="3451">
        <v>0.82069398623281398</v>
      </c>
      <c r="S51" s="3451">
        <v>0.47021888069157403</v>
      </c>
      <c r="T51" s="3451">
        <v>0.91403679580195696</v>
      </c>
      <c r="U51" s="3453">
        <v>1.0598293167250701</v>
      </c>
      <c r="V51" s="3450" t="s">
        <v>18</v>
      </c>
      <c r="W51" s="3452">
        <v>5.2904606899397098E-3</v>
      </c>
      <c r="X51" s="3451">
        <v>0.150935166279413</v>
      </c>
      <c r="Y51" s="3451">
        <v>0.47021888069157403</v>
      </c>
      <c r="Z51" s="3454">
        <v>1.98704657901808E-2</v>
      </c>
      <c r="AA51" s="3454">
        <v>1.98704657901808E-2</v>
      </c>
      <c r="AB51" s="3454">
        <v>1.98704657901808E-2</v>
      </c>
      <c r="AC51" s="3451">
        <v>0.66861542231075999</v>
      </c>
      <c r="AD51" s="3451">
        <v>0.66861542231075999</v>
      </c>
      <c r="AE51" s="3451">
        <v>0.66861542231075999</v>
      </c>
      <c r="AF51" s="3452">
        <v>5.2904606899397098E-3</v>
      </c>
      <c r="AG51" s="3451">
        <v>0.90924636917576596</v>
      </c>
      <c r="AH51" s="3451">
        <v>0.30733322988530098</v>
      </c>
      <c r="AI51" s="3451">
        <v>0.30733322988530098</v>
      </c>
      <c r="AJ51" s="3451">
        <v>0.30733322988530098</v>
      </c>
      <c r="AK51" s="3453">
        <v>1.0374881985614199</v>
      </c>
      <c r="AL51" s="3453">
        <v>1.0597253259631401</v>
      </c>
      <c r="AM51" s="3451">
        <v>0.82066802261887895</v>
      </c>
      <c r="AN51" s="3768">
        <v>1.14501417952799</v>
      </c>
      <c r="AO51" s="3426"/>
    </row>
    <row r="52" spans="1:41">
      <c r="A52" s="5047" t="s">
        <v>12</v>
      </c>
      <c r="B52" s="5048"/>
      <c r="C52" s="3458">
        <v>7.3891160248154399</v>
      </c>
      <c r="D52" s="3459">
        <v>0.16972349927518901</v>
      </c>
      <c r="E52" s="3446">
        <v>0</v>
      </c>
      <c r="F52" s="3738">
        <v>3.0495783948569701</v>
      </c>
      <c r="G52" s="3459">
        <v>0.111052347839213</v>
      </c>
      <c r="H52" s="3446">
        <v>0</v>
      </c>
      <c r="I52" s="3446">
        <v>0</v>
      </c>
      <c r="J52" s="3500">
        <v>0.62828852216748199</v>
      </c>
      <c r="K52" s="3453">
        <v>2.65562331104484</v>
      </c>
      <c r="L52" s="3459">
        <v>0.36785406185913899</v>
      </c>
      <c r="M52" s="3446">
        <v>0</v>
      </c>
      <c r="N52" s="3453">
        <v>2.4641976505470802</v>
      </c>
      <c r="O52" s="3453">
        <v>1.2784176854620699</v>
      </c>
      <c r="P52" s="3450" t="s">
        <v>18</v>
      </c>
      <c r="Q52" s="3453">
        <v>1.24641574564279</v>
      </c>
      <c r="R52" s="3453">
        <v>2.1732115688272602</v>
      </c>
      <c r="S52" s="3453">
        <v>1.2784176854620699</v>
      </c>
      <c r="T52" s="3453">
        <v>1.7949799346276401</v>
      </c>
      <c r="U52" s="3453">
        <v>2.6470643635920901</v>
      </c>
      <c r="V52" s="3450" t="s">
        <v>18</v>
      </c>
      <c r="W52" s="3460">
        <v>2.8869901597676799E-4</v>
      </c>
      <c r="X52" s="3451">
        <v>0.36583891950673503</v>
      </c>
      <c r="Y52" s="3453">
        <v>1.2784176854620699</v>
      </c>
      <c r="Z52" s="3452">
        <v>1.10910681165868E-3</v>
      </c>
      <c r="AA52" s="3452">
        <v>1.10910681165868E-3</v>
      </c>
      <c r="AB52" s="3452">
        <v>1.10910681165868E-3</v>
      </c>
      <c r="AC52" s="3453">
        <v>1.7087403345052501</v>
      </c>
      <c r="AD52" s="3453">
        <v>1.7087403345052501</v>
      </c>
      <c r="AE52" s="3453">
        <v>1.7087403345052501</v>
      </c>
      <c r="AF52" s="3460">
        <v>2.8869901597676799E-4</v>
      </c>
      <c r="AG52" s="3453">
        <v>1.78903117236317</v>
      </c>
      <c r="AH52" s="3451">
        <v>0.76770742534332903</v>
      </c>
      <c r="AI52" s="3451">
        <v>0.76770742534332903</v>
      </c>
      <c r="AJ52" s="3451">
        <v>0.76770742534332903</v>
      </c>
      <c r="AK52" s="3453">
        <v>2.5962974870897502</v>
      </c>
      <c r="AL52" s="3453">
        <v>2.6464565895551302</v>
      </c>
      <c r="AM52" s="3453">
        <v>2.1731007976574501</v>
      </c>
      <c r="AN52" s="3768">
        <v>2.75095307001861</v>
      </c>
      <c r="AO52" s="3426"/>
    </row>
    <row r="53" spans="1:41">
      <c r="A53" s="5047" t="s">
        <v>48</v>
      </c>
      <c r="B53" s="5048"/>
      <c r="C53" s="3446">
        <v>0</v>
      </c>
      <c r="D53" s="3446">
        <v>0</v>
      </c>
      <c r="E53" s="3446">
        <v>0</v>
      </c>
      <c r="F53" s="3735">
        <v>0</v>
      </c>
      <c r="G53" s="3446">
        <v>0</v>
      </c>
      <c r="H53" s="3446">
        <v>0</v>
      </c>
      <c r="I53" s="3446">
        <v>0</v>
      </c>
      <c r="J53" s="3499">
        <v>0</v>
      </c>
      <c r="K53" s="3447">
        <v>0</v>
      </c>
      <c r="L53" s="3446">
        <v>0</v>
      </c>
      <c r="M53" s="3446">
        <v>0</v>
      </c>
      <c r="N53" s="3447">
        <v>0</v>
      </c>
      <c r="O53" s="3447">
        <v>0</v>
      </c>
      <c r="P53" s="3450" t="s">
        <v>18</v>
      </c>
      <c r="Q53" s="3447">
        <v>0</v>
      </c>
      <c r="R53" s="3447">
        <v>0</v>
      </c>
      <c r="S53" s="3447">
        <v>0</v>
      </c>
      <c r="T53" s="3447">
        <v>0</v>
      </c>
      <c r="U53" s="3447">
        <v>0</v>
      </c>
      <c r="V53" s="3450" t="s">
        <v>18</v>
      </c>
      <c r="W53" s="3447">
        <v>0</v>
      </c>
      <c r="X53" s="3447">
        <v>0</v>
      </c>
      <c r="Y53" s="3447">
        <v>0</v>
      </c>
      <c r="Z53" s="3447">
        <v>0</v>
      </c>
      <c r="AA53" s="3447">
        <v>0</v>
      </c>
      <c r="AB53" s="3447">
        <v>0</v>
      </c>
      <c r="AC53" s="3447">
        <v>0</v>
      </c>
      <c r="AD53" s="3447">
        <v>0</v>
      </c>
      <c r="AE53" s="3447">
        <v>0</v>
      </c>
      <c r="AF53" s="3447">
        <v>0</v>
      </c>
      <c r="AG53" s="3447">
        <v>0</v>
      </c>
      <c r="AH53" s="3447">
        <v>0</v>
      </c>
      <c r="AI53" s="3447">
        <v>0</v>
      </c>
      <c r="AJ53" s="3447">
        <v>0</v>
      </c>
      <c r="AK53" s="3447">
        <v>0</v>
      </c>
      <c r="AL53" s="3447">
        <v>0</v>
      </c>
      <c r="AM53" s="3447">
        <v>0</v>
      </c>
      <c r="AN53" s="3766">
        <v>0</v>
      </c>
      <c r="AO53" s="3426"/>
    </row>
    <row r="54" spans="1:41">
      <c r="A54" s="5047" t="s">
        <v>751</v>
      </c>
      <c r="B54" s="5048"/>
      <c r="C54" s="3458">
        <v>2.8519977852226601</v>
      </c>
      <c r="D54" s="3461">
        <v>6.5538211529756807E-2</v>
      </c>
      <c r="E54" s="3446">
        <v>0</v>
      </c>
      <c r="F54" s="3738">
        <v>1.3701465286636001</v>
      </c>
      <c r="G54" s="3461">
        <v>4.40737066303322E-2</v>
      </c>
      <c r="H54" s="3446">
        <v>0</v>
      </c>
      <c r="I54" s="3446">
        <v>0</v>
      </c>
      <c r="J54" s="3500">
        <v>0.15401085625361399</v>
      </c>
      <c r="K54" s="3453">
        <v>1.11981748087346</v>
      </c>
      <c r="L54" s="3459">
        <v>0.14599143845773799</v>
      </c>
      <c r="M54" s="3446">
        <v>0</v>
      </c>
      <c r="N54" s="3451">
        <v>0.70423950667572199</v>
      </c>
      <c r="O54" s="3451">
        <v>0.25081478626575598</v>
      </c>
      <c r="P54" s="3450" t="s">
        <v>18</v>
      </c>
      <c r="Q54" s="3451">
        <v>0.836374987630783</v>
      </c>
      <c r="R54" s="3453">
        <v>2.1201382926623702</v>
      </c>
      <c r="S54" s="3451">
        <v>0.25081478626575598</v>
      </c>
      <c r="T54" s="3451">
        <v>0.49668300875085197</v>
      </c>
      <c r="U54" s="3453">
        <v>1.0527434243527101</v>
      </c>
      <c r="V54" s="3450" t="s">
        <v>18</v>
      </c>
      <c r="W54" s="3449">
        <v>5.4068421635675301E-6</v>
      </c>
      <c r="X54" s="3451">
        <v>0.145173166390795</v>
      </c>
      <c r="Y54" s="3451">
        <v>0.25081478626575598</v>
      </c>
      <c r="Z54" s="3449">
        <v>4.2945447549355501E-6</v>
      </c>
      <c r="AA54" s="3449">
        <v>4.2945447549355501E-6</v>
      </c>
      <c r="AB54" s="3449">
        <v>4.2945447549355399E-6</v>
      </c>
      <c r="AC54" s="3451">
        <v>0.14054959085448199</v>
      </c>
      <c r="AD54" s="3451">
        <v>0.14054959085448199</v>
      </c>
      <c r="AE54" s="3451">
        <v>0.14054959085448199</v>
      </c>
      <c r="AF54" s="3449">
        <v>5.4068421635675301E-6</v>
      </c>
      <c r="AG54" s="3451">
        <v>0.49578382638421198</v>
      </c>
      <c r="AH54" s="3454">
        <v>5.96193080938099E-2</v>
      </c>
      <c r="AI54" s="3454">
        <v>5.96193080938099E-2</v>
      </c>
      <c r="AJ54" s="3454">
        <v>5.96193080938099E-2</v>
      </c>
      <c r="AK54" s="3453">
        <v>1.0333134098368699</v>
      </c>
      <c r="AL54" s="3453">
        <v>1.05234679806535</v>
      </c>
      <c r="AM54" s="3453">
        <v>2.1199848565338302</v>
      </c>
      <c r="AN54" s="3769">
        <v>0.84542180995762295</v>
      </c>
      <c r="AO54" s="3426"/>
    </row>
    <row r="55" spans="1:41">
      <c r="A55" s="5047" t="s">
        <v>65</v>
      </c>
      <c r="B55" s="5048"/>
      <c r="C55" s="3458">
        <v>8.8644065421950398</v>
      </c>
      <c r="D55" s="3459">
        <v>0.20336239102342499</v>
      </c>
      <c r="E55" s="3446">
        <v>0</v>
      </c>
      <c r="F55" s="3738">
        <v>3.9606159656475799</v>
      </c>
      <c r="G55" s="3461">
        <v>4.3187024159693901E-2</v>
      </c>
      <c r="H55" s="3446">
        <v>0</v>
      </c>
      <c r="I55" s="3446">
        <v>0</v>
      </c>
      <c r="J55" s="3500">
        <v>0.40961947768762302</v>
      </c>
      <c r="K55" s="3453">
        <v>3.7436911954312699</v>
      </c>
      <c r="L55" s="3459">
        <v>0.52453264376210496</v>
      </c>
      <c r="M55" s="3446">
        <v>0</v>
      </c>
      <c r="N55" s="3453">
        <v>2.7355648270743802</v>
      </c>
      <c r="O55" s="3451">
        <v>0.873872867242386</v>
      </c>
      <c r="P55" s="3450" t="s">
        <v>18</v>
      </c>
      <c r="Q55" s="3451">
        <v>0.82589098572047104</v>
      </c>
      <c r="R55" s="3453">
        <v>3.1396976544811599</v>
      </c>
      <c r="S55" s="3451">
        <v>0.873872867242386</v>
      </c>
      <c r="T55" s="3453">
        <v>1.19402134607137</v>
      </c>
      <c r="U55" s="3453">
        <v>3.7720668670719899</v>
      </c>
      <c r="V55" s="3450" t="s">
        <v>18</v>
      </c>
      <c r="W55" s="3449">
        <v>8.2129188341964297E-5</v>
      </c>
      <c r="X55" s="3451">
        <v>0.52126609179664696</v>
      </c>
      <c r="Y55" s="3451">
        <v>0.873872867242386</v>
      </c>
      <c r="Z55" s="3460">
        <v>1.50731679580011E-4</v>
      </c>
      <c r="AA55" s="3460">
        <v>1.50731679580011E-4</v>
      </c>
      <c r="AB55" s="3460">
        <v>1.50731679580011E-4</v>
      </c>
      <c r="AC55" s="3453">
        <v>1.1640362125768899</v>
      </c>
      <c r="AD55" s="3453">
        <v>1.1640362125768899</v>
      </c>
      <c r="AE55" s="3453">
        <v>1.1640362125768899</v>
      </c>
      <c r="AF55" s="3449">
        <v>8.2129188341964297E-5</v>
      </c>
      <c r="AG55" s="3453">
        <v>1.1963938425292999</v>
      </c>
      <c r="AH55" s="3451">
        <v>0.512844784983847</v>
      </c>
      <c r="AI55" s="3451">
        <v>0.512844784983847</v>
      </c>
      <c r="AJ55" s="3451">
        <v>0.512844784983847</v>
      </c>
      <c r="AK55" s="3453">
        <v>3.71635117791396</v>
      </c>
      <c r="AL55" s="3453">
        <v>3.7702280010154099</v>
      </c>
      <c r="AM55" s="3453">
        <v>3.1394211069773799</v>
      </c>
      <c r="AN55" s="3768">
        <v>2.8282532744449198</v>
      </c>
      <c r="AO55" s="3426"/>
    </row>
    <row r="56" spans="1:41">
      <c r="A56" s="5047" t="s">
        <v>13</v>
      </c>
      <c r="B56" s="5048"/>
      <c r="C56" s="3458">
        <v>5.4409356745629296</v>
      </c>
      <c r="D56" s="3459">
        <v>0.12561490543203399</v>
      </c>
      <c r="E56" s="3446">
        <v>0</v>
      </c>
      <c r="F56" s="3738">
        <v>2.53477107802766</v>
      </c>
      <c r="G56" s="3446">
        <v>0</v>
      </c>
      <c r="H56" s="3446">
        <v>0</v>
      </c>
      <c r="I56" s="3446">
        <v>0</v>
      </c>
      <c r="J56" s="3500">
        <v>0.242017059827108</v>
      </c>
      <c r="K56" s="3453">
        <v>2.5689930443567701</v>
      </c>
      <c r="L56" s="3459">
        <v>0.34064668973472201</v>
      </c>
      <c r="M56" s="3446">
        <v>0</v>
      </c>
      <c r="N56" s="3453">
        <v>1.87258949546694</v>
      </c>
      <c r="O56" s="3451">
        <v>0.29024441688233599</v>
      </c>
      <c r="P56" s="3450" t="s">
        <v>18</v>
      </c>
      <c r="Q56" s="3451">
        <v>0.283912120478369</v>
      </c>
      <c r="R56" s="3453">
        <v>1.0548049336106</v>
      </c>
      <c r="S56" s="3451">
        <v>0.29024441688233599</v>
      </c>
      <c r="T56" s="3451">
        <v>0.79774140817082195</v>
      </c>
      <c r="U56" s="3453">
        <v>2.44593714808836</v>
      </c>
      <c r="V56" s="3450" t="s">
        <v>18</v>
      </c>
      <c r="W56" s="3449">
        <v>5.2115446694862504E-6</v>
      </c>
      <c r="X56" s="3451">
        <v>0.33845964877541701</v>
      </c>
      <c r="Y56" s="3451">
        <v>0.29024441688233599</v>
      </c>
      <c r="Z56" s="3449">
        <v>9.49221548491222E-6</v>
      </c>
      <c r="AA56" s="3449">
        <v>9.49221548491222E-6</v>
      </c>
      <c r="AB56" s="3449">
        <v>9.49221548491222E-6</v>
      </c>
      <c r="AC56" s="3451">
        <v>0.74905609078011803</v>
      </c>
      <c r="AD56" s="3451">
        <v>0.74905609078011803</v>
      </c>
      <c r="AE56" s="3451">
        <v>0.74905609078011803</v>
      </c>
      <c r="AF56" s="3449">
        <v>5.2115446694862504E-6</v>
      </c>
      <c r="AG56" s="3451">
        <v>0.80030153821549399</v>
      </c>
      <c r="AH56" s="3451">
        <v>0.32797766763410602</v>
      </c>
      <c r="AI56" s="3451">
        <v>0.32797766763410602</v>
      </c>
      <c r="AJ56" s="3451">
        <v>0.32797766763410602</v>
      </c>
      <c r="AK56" s="3453">
        <v>2.41307352151625</v>
      </c>
      <c r="AL56" s="3453">
        <v>2.4447615244711498</v>
      </c>
      <c r="AM56" s="3453">
        <v>1.0547127960582201</v>
      </c>
      <c r="AN56" s="3768">
        <v>1.8057317397625401</v>
      </c>
      <c r="AO56" s="3426"/>
    </row>
    <row r="57" spans="1:41">
      <c r="A57" s="5047" t="s">
        <v>14</v>
      </c>
      <c r="B57" s="5048"/>
      <c r="C57" s="3458">
        <v>4.8958251511518798</v>
      </c>
      <c r="D57" s="3459">
        <v>0.110484321061637</v>
      </c>
      <c r="E57" s="3446">
        <v>0</v>
      </c>
      <c r="F57" s="3738">
        <v>2.2048025074086501</v>
      </c>
      <c r="G57" s="3446">
        <v>0</v>
      </c>
      <c r="H57" s="3446">
        <v>0</v>
      </c>
      <c r="I57" s="3446">
        <v>0</v>
      </c>
      <c r="J57" s="3500">
        <v>0.18207924149757099</v>
      </c>
      <c r="K57" s="3453">
        <v>2.18054700428437</v>
      </c>
      <c r="L57" s="3459">
        <v>0.31323393309937397</v>
      </c>
      <c r="M57" s="3446">
        <v>0</v>
      </c>
      <c r="N57" s="3453">
        <v>1.44576359730066</v>
      </c>
      <c r="O57" s="3451">
        <v>0.300936783347515</v>
      </c>
      <c r="P57" s="3450" t="s">
        <v>18</v>
      </c>
      <c r="Q57" s="3451">
        <v>0.357512339635362</v>
      </c>
      <c r="R57" s="3453">
        <v>1.7502885360038301</v>
      </c>
      <c r="S57" s="3451">
        <v>0.300936783347515</v>
      </c>
      <c r="T57" s="3451">
        <v>0.55615763456179801</v>
      </c>
      <c r="U57" s="3453">
        <v>2.2348181830494398</v>
      </c>
      <c r="V57" s="3450" t="s">
        <v>18</v>
      </c>
      <c r="W57" s="3452">
        <v>2.4514639175119502E-3</v>
      </c>
      <c r="X57" s="3451">
        <v>0.31117181141142197</v>
      </c>
      <c r="Y57" s="3451">
        <v>0.300936783347515</v>
      </c>
      <c r="Z57" s="3452">
        <v>2.8058280348206999E-3</v>
      </c>
      <c r="AA57" s="3452">
        <v>2.8058280348206999E-3</v>
      </c>
      <c r="AB57" s="3452">
        <v>2.8058280348206999E-3</v>
      </c>
      <c r="AC57" s="3451">
        <v>0.430138486702067</v>
      </c>
      <c r="AD57" s="3451">
        <v>0.430138486702067</v>
      </c>
      <c r="AE57" s="3451">
        <v>0.430138486702067</v>
      </c>
      <c r="AF57" s="3452">
        <v>2.4514639175119502E-3</v>
      </c>
      <c r="AG57" s="3451">
        <v>0.557427294508966</v>
      </c>
      <c r="AH57" s="3451">
        <v>0.18736719663955601</v>
      </c>
      <c r="AI57" s="3451">
        <v>0.18736719663955601</v>
      </c>
      <c r="AJ57" s="3451">
        <v>0.18736719663955601</v>
      </c>
      <c r="AK57" s="3453">
        <v>2.2054649433185101</v>
      </c>
      <c r="AL57" s="3453">
        <v>2.23362082952019</v>
      </c>
      <c r="AM57" s="3453">
        <v>1.7501220705918199</v>
      </c>
      <c r="AN57" s="3768">
        <v>1.43218234863921</v>
      </c>
      <c r="AO57" s="3426"/>
    </row>
    <row r="58" spans="1:41">
      <c r="A58" s="5047" t="s">
        <v>424</v>
      </c>
      <c r="B58" s="5048"/>
      <c r="C58" s="3458">
        <v>8.7441242861237995</v>
      </c>
      <c r="D58" s="3459">
        <v>0.199233212623523</v>
      </c>
      <c r="E58" s="3446">
        <v>0</v>
      </c>
      <c r="F58" s="3738">
        <v>5.3106093007590003</v>
      </c>
      <c r="G58" s="3446">
        <v>0</v>
      </c>
      <c r="H58" s="3446">
        <v>0</v>
      </c>
      <c r="I58" s="3446">
        <v>0</v>
      </c>
      <c r="J58" s="3500">
        <v>0.17556977613190999</v>
      </c>
      <c r="K58" s="3453">
        <v>5.3315696865465103</v>
      </c>
      <c r="L58" s="3459">
        <v>0.77666295106255401</v>
      </c>
      <c r="M58" s="3446">
        <v>0</v>
      </c>
      <c r="N58" s="3453">
        <v>3.23942238858247</v>
      </c>
      <c r="O58" s="3451">
        <v>0.40236717466692401</v>
      </c>
      <c r="P58" s="3450" t="s">
        <v>18</v>
      </c>
      <c r="Q58" s="3451">
        <v>0.37856987257672198</v>
      </c>
      <c r="R58" s="3453">
        <v>4.7258529546665597</v>
      </c>
      <c r="S58" s="3451">
        <v>0.40236717466692401</v>
      </c>
      <c r="T58" s="3451">
        <v>0.55587451878266303</v>
      </c>
      <c r="U58" s="3453">
        <v>5.5468561559149201</v>
      </c>
      <c r="V58" s="3450" t="s">
        <v>18</v>
      </c>
      <c r="W58" s="3449">
        <v>1.6320099945898101E-6</v>
      </c>
      <c r="X58" s="3451">
        <v>0.77079004025924103</v>
      </c>
      <c r="Y58" s="3451">
        <v>0.40236717466692401</v>
      </c>
      <c r="Z58" s="3449">
        <v>9.3723592187134001E-7</v>
      </c>
      <c r="AA58" s="3449">
        <v>9.3723592187134001E-7</v>
      </c>
      <c r="AB58" s="3449">
        <v>9.3723592187134001E-7</v>
      </c>
      <c r="AC58" s="3451">
        <v>0.53582178520484902</v>
      </c>
      <c r="AD58" s="3451">
        <v>0.53582178520484902</v>
      </c>
      <c r="AE58" s="3451">
        <v>0.53582178520484902</v>
      </c>
      <c r="AF58" s="3449">
        <v>1.6320099945898101E-6</v>
      </c>
      <c r="AG58" s="3451">
        <v>0.56143184534885804</v>
      </c>
      <c r="AH58" s="3451">
        <v>0.22690343233958701</v>
      </c>
      <c r="AI58" s="3451">
        <v>0.22690343233958701</v>
      </c>
      <c r="AJ58" s="3451">
        <v>0.22690343233958701</v>
      </c>
      <c r="AK58" s="3453">
        <v>5.50944373806459</v>
      </c>
      <c r="AL58" s="3453">
        <v>5.5432961928937896</v>
      </c>
      <c r="AM58" s="3453">
        <v>4.7253333648923599</v>
      </c>
      <c r="AN58" s="3768">
        <v>3.1690044084514</v>
      </c>
      <c r="AO58" s="3426"/>
    </row>
    <row r="59" spans="1:41">
      <c r="A59" s="5047" t="s">
        <v>16</v>
      </c>
      <c r="B59" s="5048"/>
      <c r="C59" s="3459">
        <v>0.23961897456526299</v>
      </c>
      <c r="D59" s="3463">
        <v>5.7865348607161297E-3</v>
      </c>
      <c r="E59" s="3446">
        <v>0</v>
      </c>
      <c r="F59" s="3737">
        <v>0.145168453041499</v>
      </c>
      <c r="G59" s="3446">
        <v>0</v>
      </c>
      <c r="H59" s="3446">
        <v>0</v>
      </c>
      <c r="I59" s="3446">
        <v>0</v>
      </c>
      <c r="J59" s="3499">
        <v>0</v>
      </c>
      <c r="K59" s="3451">
        <v>0.13958332878694299</v>
      </c>
      <c r="L59" s="3446">
        <v>0</v>
      </c>
      <c r="M59" s="3446">
        <v>0</v>
      </c>
      <c r="N59" s="3454">
        <v>8.2572078523663495E-2</v>
      </c>
      <c r="O59" s="3452">
        <v>7.30148426364463E-3</v>
      </c>
      <c r="P59" s="3450" t="s">
        <v>18</v>
      </c>
      <c r="Q59" s="3452">
        <v>7.7049587449780198E-3</v>
      </c>
      <c r="R59" s="3451">
        <v>0.121375762814801</v>
      </c>
      <c r="S59" s="3452">
        <v>7.30148426364463E-3</v>
      </c>
      <c r="T59" s="3460">
        <v>2.3345735237620299E-4</v>
      </c>
      <c r="U59" s="3452">
        <v>2.9252431278869902E-3</v>
      </c>
      <c r="V59" s="3450" t="s">
        <v>18</v>
      </c>
      <c r="W59" s="3449">
        <v>1.26656971317504E-7</v>
      </c>
      <c r="X59" s="3449">
        <v>5.88535727119157E-5</v>
      </c>
      <c r="Y59" s="3452">
        <v>7.30148426364463E-3</v>
      </c>
      <c r="Z59" s="3449">
        <v>5.1627518520324097E-8</v>
      </c>
      <c r="AA59" s="3449">
        <v>5.1627518520324097E-8</v>
      </c>
      <c r="AB59" s="3449">
        <v>5.1627518520324097E-8</v>
      </c>
      <c r="AC59" s="3460">
        <v>2.0057463116350999E-4</v>
      </c>
      <c r="AD59" s="3460">
        <v>2.0057463116350999E-4</v>
      </c>
      <c r="AE59" s="3460">
        <v>2.0057463116350999E-4</v>
      </c>
      <c r="AF59" s="3449">
        <v>1.26656971317504E-7</v>
      </c>
      <c r="AG59" s="3449">
        <v>3.4039254994160597E-5</v>
      </c>
      <c r="AH59" s="3449">
        <v>1.21843002799313E-5</v>
      </c>
      <c r="AI59" s="3449">
        <v>1.21843002799313E-5</v>
      </c>
      <c r="AJ59" s="3449">
        <v>1.21843002799313E-5</v>
      </c>
      <c r="AK59" s="3460">
        <v>4.1999317772508998E-4</v>
      </c>
      <c r="AL59" s="3452">
        <v>2.92332313328106E-3</v>
      </c>
      <c r="AM59" s="3451">
        <v>0.12136217681492401</v>
      </c>
      <c r="AN59" s="3770">
        <v>8.4408059386733805E-2</v>
      </c>
      <c r="AO59" s="3426"/>
    </row>
    <row r="60" spans="1:41">
      <c r="A60" s="5047" t="s">
        <v>770</v>
      </c>
      <c r="B60" s="5048"/>
      <c r="C60" s="3458">
        <v>2.52861075791238</v>
      </c>
      <c r="D60" s="3461">
        <v>5.7865348607161297E-2</v>
      </c>
      <c r="E60" s="3446">
        <v>0</v>
      </c>
      <c r="F60" s="3738">
        <v>1.52426875693574</v>
      </c>
      <c r="G60" s="3446">
        <v>0</v>
      </c>
      <c r="H60" s="3446">
        <v>0</v>
      </c>
      <c r="I60" s="3446">
        <v>0</v>
      </c>
      <c r="J60" s="3501">
        <v>4.66217450599258E-2</v>
      </c>
      <c r="K60" s="3453">
        <v>1.60520828104985</v>
      </c>
      <c r="L60" s="3459">
        <v>0.20623926794053099</v>
      </c>
      <c r="M60" s="3446">
        <v>0</v>
      </c>
      <c r="N60" s="3451">
        <v>0.96088086438222597</v>
      </c>
      <c r="O60" s="3454">
        <v>9.1243886572728902E-2</v>
      </c>
      <c r="P60" s="3450" t="s">
        <v>18</v>
      </c>
      <c r="Q60" s="3454">
        <v>7.3915101985853299E-2</v>
      </c>
      <c r="R60" s="3453">
        <v>1.28268403282754</v>
      </c>
      <c r="S60" s="3454">
        <v>9.1243886572728902E-2</v>
      </c>
      <c r="T60" s="3451">
        <v>0.10721758610341101</v>
      </c>
      <c r="U60" s="3453">
        <v>1.4742689066874399</v>
      </c>
      <c r="V60" s="3450" t="s">
        <v>18</v>
      </c>
      <c r="W60" s="3460">
        <v>2.7570106780131501E-4</v>
      </c>
      <c r="X60" s="3451">
        <v>0.20473018945742699</v>
      </c>
      <c r="Y60" s="3454">
        <v>9.1243886572728902E-2</v>
      </c>
      <c r="Z60" s="3460">
        <v>1.3255346458733401E-4</v>
      </c>
      <c r="AA60" s="3460">
        <v>1.3255346458733401E-4</v>
      </c>
      <c r="AB60" s="3460">
        <v>1.3255346458733401E-4</v>
      </c>
      <c r="AC60" s="3451">
        <v>0.11923381231248099</v>
      </c>
      <c r="AD60" s="3451">
        <v>0.11923381231248099</v>
      </c>
      <c r="AE60" s="3451">
        <v>0.11923381231248099</v>
      </c>
      <c r="AF60" s="3460">
        <v>2.7570106780131501E-4</v>
      </c>
      <c r="AG60" s="3451">
        <v>0.10796302211162501</v>
      </c>
      <c r="AH60" s="3454">
        <v>5.0248339245180101E-2</v>
      </c>
      <c r="AI60" s="3454">
        <v>5.0248339245180101E-2</v>
      </c>
      <c r="AJ60" s="3454">
        <v>5.0248339245180101E-2</v>
      </c>
      <c r="AK60" s="3453">
        <v>1.4621326217208099</v>
      </c>
      <c r="AL60" s="3453">
        <v>1.47329381751599</v>
      </c>
      <c r="AM60" s="3453">
        <v>1.28253956006973</v>
      </c>
      <c r="AN60" s="3769">
        <v>0.89651486612976505</v>
      </c>
      <c r="AO60" s="3426"/>
    </row>
    <row r="61" spans="1:41">
      <c r="A61" s="5047" t="s">
        <v>833</v>
      </c>
      <c r="B61" s="5048"/>
      <c r="C61" s="3458">
        <v>5.8657238532545604</v>
      </c>
      <c r="D61" s="3459">
        <v>0.132820605068318</v>
      </c>
      <c r="E61" s="3446">
        <v>0</v>
      </c>
      <c r="F61" s="3738">
        <v>5.4365980154680598</v>
      </c>
      <c r="G61" s="3446">
        <v>0</v>
      </c>
      <c r="H61" s="3446">
        <v>0</v>
      </c>
      <c r="I61" s="3446">
        <v>0</v>
      </c>
      <c r="J61" s="3501">
        <v>5.6322484574344599E-2</v>
      </c>
      <c r="K61" s="3453">
        <v>5.6490008197496904</v>
      </c>
      <c r="L61" s="3459">
        <v>0.74745644799056898</v>
      </c>
      <c r="M61" s="3446">
        <v>0</v>
      </c>
      <c r="N61" s="3453">
        <v>3.2195727494183499</v>
      </c>
      <c r="O61" s="3451">
        <v>0.12731014076858699</v>
      </c>
      <c r="P61" s="3450" t="s">
        <v>18</v>
      </c>
      <c r="Q61" s="3451">
        <v>0.12040591623135399</v>
      </c>
      <c r="R61" s="3453">
        <v>4.8065748869735803</v>
      </c>
      <c r="S61" s="3451">
        <v>0.12731014076858699</v>
      </c>
      <c r="T61" s="3451">
        <v>0.17273461650477501</v>
      </c>
      <c r="U61" s="3453">
        <v>5.3115882642071801</v>
      </c>
      <c r="V61" s="3450" t="s">
        <v>18</v>
      </c>
      <c r="W61" s="3449">
        <v>4.29732272918359E-7</v>
      </c>
      <c r="X61" s="3451">
        <v>0.74120512208595002</v>
      </c>
      <c r="Y61" s="3451">
        <v>0.12731014076858699</v>
      </c>
      <c r="Z61" s="3449">
        <v>7.8371962449484905E-8</v>
      </c>
      <c r="AA61" s="3449">
        <v>7.8371962449484905E-8</v>
      </c>
      <c r="AB61" s="3449">
        <v>7.8371962449484905E-8</v>
      </c>
      <c r="AC61" s="3451">
        <v>0.16295870851077399</v>
      </c>
      <c r="AD61" s="3451">
        <v>0.16295870851077399</v>
      </c>
      <c r="AE61" s="3451">
        <v>0.16295870851077399</v>
      </c>
      <c r="AF61" s="3449">
        <v>4.29732272918359E-7</v>
      </c>
      <c r="AG61" s="3451">
        <v>0.17536460320679101</v>
      </c>
      <c r="AH61" s="3454">
        <v>6.6510971723112294E-2</v>
      </c>
      <c r="AI61" s="3454">
        <v>6.6510971723112294E-2</v>
      </c>
      <c r="AJ61" s="3454">
        <v>6.6510971723112405E-2</v>
      </c>
      <c r="AK61" s="3453">
        <v>5.3020234369193897</v>
      </c>
      <c r="AL61" s="3453">
        <v>5.3079228271675598</v>
      </c>
      <c r="AM61" s="3453">
        <v>4.8060147933630697</v>
      </c>
      <c r="AN61" s="3768">
        <v>3.0490383896569502</v>
      </c>
      <c r="AO61" s="3426"/>
    </row>
    <row r="62" spans="1:41">
      <c r="A62" s="5047" t="s">
        <v>834</v>
      </c>
      <c r="B62" s="5048"/>
      <c r="C62" s="3458">
        <v>3.55615727798051</v>
      </c>
      <c r="D62" s="3461">
        <v>8.5305862713453806E-2</v>
      </c>
      <c r="E62" s="3446">
        <v>0</v>
      </c>
      <c r="F62" s="3738">
        <v>5.4475083001825304</v>
      </c>
      <c r="G62" s="3446">
        <v>0</v>
      </c>
      <c r="H62" s="3446">
        <v>0</v>
      </c>
      <c r="I62" s="3446">
        <v>0</v>
      </c>
      <c r="J62" s="3501">
        <v>3.12410879840717E-2</v>
      </c>
      <c r="K62" s="3453">
        <v>5.7055959200664796</v>
      </c>
      <c r="L62" s="3459">
        <v>0.82920179507037794</v>
      </c>
      <c r="M62" s="3446">
        <v>0</v>
      </c>
      <c r="N62" s="3453">
        <v>3.1846820758675198</v>
      </c>
      <c r="O62" s="3454">
        <v>4.2547923459160697E-2</v>
      </c>
      <c r="P62" s="3450" t="s">
        <v>18</v>
      </c>
      <c r="Q62" s="3454">
        <v>4.2190656461507499E-2</v>
      </c>
      <c r="R62" s="3453">
        <v>5.1372986197630404</v>
      </c>
      <c r="S62" s="3454">
        <v>4.2547923459160697E-2</v>
      </c>
      <c r="T62" s="3454">
        <v>6.4409048649942305E-2</v>
      </c>
      <c r="U62" s="3453">
        <v>5.8586180415770901</v>
      </c>
      <c r="V62" s="3450" t="s">
        <v>18</v>
      </c>
      <c r="W62" s="3449">
        <v>4.9447616156808401E-8</v>
      </c>
      <c r="X62" s="3451">
        <v>0.82163579324045899</v>
      </c>
      <c r="Y62" s="3454">
        <v>4.2547923459160697E-2</v>
      </c>
      <c r="Z62" s="3449">
        <v>2.8758161022013101E-9</v>
      </c>
      <c r="AA62" s="3449">
        <v>2.8758161022013101E-9</v>
      </c>
      <c r="AB62" s="3449">
        <v>2.8758161022013101E-9</v>
      </c>
      <c r="AC62" s="3454">
        <v>5.73198602324822E-2</v>
      </c>
      <c r="AD62" s="3454">
        <v>5.73198602324822E-2</v>
      </c>
      <c r="AE62" s="3454">
        <v>5.73198602324822E-2</v>
      </c>
      <c r="AF62" s="3449">
        <v>4.9447616156808401E-8</v>
      </c>
      <c r="AG62" s="3454">
        <v>6.5702804306275203E-2</v>
      </c>
      <c r="AH62" s="3454">
        <v>2.26120336836232E-2</v>
      </c>
      <c r="AI62" s="3454">
        <v>2.26120336836232E-2</v>
      </c>
      <c r="AJ62" s="3454">
        <v>2.26120336836233E-2</v>
      </c>
      <c r="AK62" s="3453">
        <v>5.8787926256641097</v>
      </c>
      <c r="AL62" s="3453">
        <v>5.8544851532494597</v>
      </c>
      <c r="AM62" s="3453">
        <v>5.1366896495289396</v>
      </c>
      <c r="AN62" s="3768">
        <v>2.9940460528594901</v>
      </c>
      <c r="AO62" s="3426"/>
    </row>
    <row r="63" spans="1:41">
      <c r="A63" s="5047" t="s">
        <v>752</v>
      </c>
      <c r="B63" s="5048"/>
      <c r="C63" s="3458">
        <v>5.4842994615940297</v>
      </c>
      <c r="D63" s="3459">
        <v>0.128970424148311</v>
      </c>
      <c r="E63" s="3446">
        <v>0</v>
      </c>
      <c r="F63" s="3739">
        <v>55.003803832573297</v>
      </c>
      <c r="G63" s="3446">
        <v>0</v>
      </c>
      <c r="H63" s="3446">
        <v>0</v>
      </c>
      <c r="I63" s="3446">
        <v>0</v>
      </c>
      <c r="J63" s="3499">
        <v>0</v>
      </c>
      <c r="K63" s="3455">
        <v>57.727010474746599</v>
      </c>
      <c r="L63" s="3458">
        <v>8.1718499939197802</v>
      </c>
      <c r="M63" s="3446">
        <v>0</v>
      </c>
      <c r="N63" s="3455">
        <v>31.909331557370301</v>
      </c>
      <c r="O63" s="3449">
        <v>3.3927023947562001E-5</v>
      </c>
      <c r="P63" s="3450" t="s">
        <v>18</v>
      </c>
      <c r="Q63" s="3449">
        <v>4.6410670417652103E-5</v>
      </c>
      <c r="R63" s="3455">
        <v>62.280956218727702</v>
      </c>
      <c r="S63" s="3449">
        <v>3.3927023947562001E-5</v>
      </c>
      <c r="T63" s="3449">
        <v>7.4329162090879401E-5</v>
      </c>
      <c r="U63" s="3455">
        <v>57.383815040664501</v>
      </c>
      <c r="V63" s="3450" t="s">
        <v>18</v>
      </c>
      <c r="W63" s="3449">
        <v>1.3087343834827001E-8</v>
      </c>
      <c r="X63" s="3453">
        <v>8.0900476356921907</v>
      </c>
      <c r="Y63" s="3449">
        <v>3.3927023947562001E-5</v>
      </c>
      <c r="Z63" s="3449">
        <v>5.8649997694005899E-14</v>
      </c>
      <c r="AA63" s="3449">
        <v>5.8649997694005899E-14</v>
      </c>
      <c r="AB63" s="3449">
        <v>5.8649997694005899E-14</v>
      </c>
      <c r="AC63" s="3449">
        <v>4.3249911527493797E-5</v>
      </c>
      <c r="AD63" s="3449">
        <v>4.3249911527493797E-5</v>
      </c>
      <c r="AE63" s="3449">
        <v>4.3249911527493797E-5</v>
      </c>
      <c r="AF63" s="3449">
        <v>1.3087343834827001E-8</v>
      </c>
      <c r="AG63" s="3449">
        <v>7.6068787662265995E-5</v>
      </c>
      <c r="AH63" s="3449">
        <v>1.2532396993808E-5</v>
      </c>
      <c r="AI63" s="3449">
        <v>1.2532396993808E-5</v>
      </c>
      <c r="AJ63" s="3449">
        <v>1.2532396993808E-5</v>
      </c>
      <c r="AK63" s="3455">
        <v>57.891348861539399</v>
      </c>
      <c r="AL63" s="3455">
        <v>57.342884416230397</v>
      </c>
      <c r="AM63" s="3455">
        <v>62.273512368568198</v>
      </c>
      <c r="AN63" s="3767">
        <v>29.9476299011239</v>
      </c>
      <c r="AO63" s="3426"/>
    </row>
    <row r="64" spans="1:41" ht="13" thickBot="1">
      <c r="A64" s="5049" t="s">
        <v>425</v>
      </c>
      <c r="B64" s="5050"/>
      <c r="C64" s="3431" t="s">
        <v>426</v>
      </c>
      <c r="D64" s="3433" t="s">
        <v>426</v>
      </c>
      <c r="E64" s="3433" t="s">
        <v>426</v>
      </c>
      <c r="F64" s="3731" t="s">
        <v>426</v>
      </c>
      <c r="G64" s="3433" t="s">
        <v>426</v>
      </c>
      <c r="H64" s="3433" t="s">
        <v>426</v>
      </c>
      <c r="I64" s="3433" t="s">
        <v>426</v>
      </c>
      <c r="J64" s="3418" t="s">
        <v>426</v>
      </c>
      <c r="K64" s="3433" t="s">
        <v>426</v>
      </c>
      <c r="L64" s="3433" t="s">
        <v>426</v>
      </c>
      <c r="M64" s="3433" t="s">
        <v>426</v>
      </c>
      <c r="N64" s="3433" t="s">
        <v>426</v>
      </c>
      <c r="O64" s="3433" t="s">
        <v>426</v>
      </c>
      <c r="P64" s="3433" t="s">
        <v>426</v>
      </c>
      <c r="Q64" s="3433" t="s">
        <v>426</v>
      </c>
      <c r="R64" s="3433" t="s">
        <v>426</v>
      </c>
      <c r="S64" s="3433" t="s">
        <v>426</v>
      </c>
      <c r="T64" s="3433" t="s">
        <v>426</v>
      </c>
      <c r="U64" s="3433" t="s">
        <v>426</v>
      </c>
      <c r="V64" s="3433" t="s">
        <v>426</v>
      </c>
      <c r="W64" s="3433" t="s">
        <v>426</v>
      </c>
      <c r="X64" s="3433" t="s">
        <v>426</v>
      </c>
      <c r="Y64" s="3433" t="s">
        <v>426</v>
      </c>
      <c r="Z64" s="3433" t="s">
        <v>426</v>
      </c>
      <c r="AA64" s="3433" t="s">
        <v>426</v>
      </c>
      <c r="AB64" s="3433" t="s">
        <v>426</v>
      </c>
      <c r="AC64" s="3433" t="s">
        <v>426</v>
      </c>
      <c r="AD64" s="3433" t="s">
        <v>426</v>
      </c>
      <c r="AE64" s="3433" t="s">
        <v>426</v>
      </c>
      <c r="AF64" s="3433" t="s">
        <v>426</v>
      </c>
      <c r="AG64" s="3433" t="s">
        <v>426</v>
      </c>
      <c r="AH64" s="3433" t="s">
        <v>426</v>
      </c>
      <c r="AI64" s="3433" t="s">
        <v>426</v>
      </c>
      <c r="AJ64" s="3433" t="s">
        <v>426</v>
      </c>
      <c r="AK64" s="3433" t="s">
        <v>426</v>
      </c>
      <c r="AL64" s="3433" t="s">
        <v>426</v>
      </c>
      <c r="AM64" s="3433" t="s">
        <v>426</v>
      </c>
      <c r="AN64" s="3765" t="s">
        <v>426</v>
      </c>
      <c r="AO64" s="3426"/>
    </row>
    <row r="65" spans="1:41" ht="13" thickTop="1">
      <c r="A65" s="5051" t="s">
        <v>298</v>
      </c>
      <c r="B65" s="5052"/>
      <c r="C65" s="3461">
        <v>5.6047478838090803E-2</v>
      </c>
      <c r="D65" s="3464">
        <v>1693.1125555440201</v>
      </c>
      <c r="E65" s="3446">
        <v>0</v>
      </c>
      <c r="F65" s="3735">
        <v>0</v>
      </c>
      <c r="G65" s="3446">
        <v>0</v>
      </c>
      <c r="H65" s="3446">
        <v>0</v>
      </c>
      <c r="I65" s="3446">
        <v>0</v>
      </c>
      <c r="J65" s="3504">
        <v>47.176393695448297</v>
      </c>
      <c r="K65" s="3447">
        <v>0</v>
      </c>
      <c r="L65" s="3465">
        <v>144606.438710571</v>
      </c>
      <c r="M65" s="3446">
        <v>0</v>
      </c>
      <c r="N65" s="3466">
        <v>0</v>
      </c>
      <c r="O65" s="3449">
        <v>2.2525676201845601E-5</v>
      </c>
      <c r="P65" s="3450" t="s">
        <v>18</v>
      </c>
      <c r="Q65" s="3454">
        <v>1.52645277064321E-2</v>
      </c>
      <c r="R65" s="3451">
        <v>0.72763250772402799</v>
      </c>
      <c r="S65" s="3449">
        <v>8.8152970338436303E-6</v>
      </c>
      <c r="T65" s="3451">
        <v>0.300380434453623</v>
      </c>
      <c r="U65" s="3453">
        <v>2.3377108218506701</v>
      </c>
      <c r="V65" s="3450" t="s">
        <v>18</v>
      </c>
      <c r="W65" s="3467">
        <v>146291.739936414</v>
      </c>
      <c r="X65" s="3467">
        <v>146299.55126611501</v>
      </c>
      <c r="Y65" s="3449">
        <v>3.1340973235689198E-5</v>
      </c>
      <c r="Z65" s="3452">
        <v>4.4928022775815998E-3</v>
      </c>
      <c r="AA65" s="3451">
        <v>0.78394177669424903</v>
      </c>
      <c r="AB65" s="3451">
        <v>0.788434578971831</v>
      </c>
      <c r="AC65" s="3449">
        <v>9.1259884781364495E-5</v>
      </c>
      <c r="AD65" s="3449">
        <v>2.2862992077019201E-5</v>
      </c>
      <c r="AE65" s="3460">
        <v>1.14122876858384E-4</v>
      </c>
      <c r="AF65" s="3467">
        <v>146291.739936414</v>
      </c>
      <c r="AG65" s="3453">
        <v>5.2292859240276002</v>
      </c>
      <c r="AH65" s="3451">
        <v>0.28684090916462601</v>
      </c>
      <c r="AI65" s="3451">
        <v>0.32933392770990899</v>
      </c>
      <c r="AJ65" s="3451">
        <v>0.616174836874535</v>
      </c>
      <c r="AK65" s="3453">
        <v>2.5820437774661902</v>
      </c>
      <c r="AL65" s="3453">
        <v>2.6380912563042802</v>
      </c>
      <c r="AM65" s="3451">
        <v>0.74289703543046004</v>
      </c>
      <c r="AN65" s="3766">
        <v>0</v>
      </c>
      <c r="AO65" s="3426"/>
    </row>
    <row r="66" spans="1:41">
      <c r="A66" s="5047" t="s">
        <v>5</v>
      </c>
      <c r="B66" s="5048"/>
      <c r="C66" s="3446">
        <v>0</v>
      </c>
      <c r="D66" s="3446">
        <v>0</v>
      </c>
      <c r="E66" s="3457">
        <v>4.4904248125238003E-5</v>
      </c>
      <c r="F66" s="3735">
        <v>0</v>
      </c>
      <c r="G66" s="3461">
        <v>2.6942538087350001E-2</v>
      </c>
      <c r="H66" s="3457">
        <v>3.5923398485821097E-5</v>
      </c>
      <c r="I66" s="3457">
        <v>2.2452124053638198E-6</v>
      </c>
      <c r="J66" s="3499">
        <v>0</v>
      </c>
      <c r="K66" s="3447">
        <v>0</v>
      </c>
      <c r="L66" s="3446">
        <v>0</v>
      </c>
      <c r="M66" s="3468">
        <v>2.1104996610419899E-4</v>
      </c>
      <c r="N66" s="3466">
        <v>0</v>
      </c>
      <c r="O66" s="3447">
        <v>0</v>
      </c>
      <c r="P66" s="3450" t="s">
        <v>18</v>
      </c>
      <c r="Q66" s="3447">
        <v>0</v>
      </c>
      <c r="R66" s="3447">
        <v>0</v>
      </c>
      <c r="S66" s="3447">
        <v>0</v>
      </c>
      <c r="T66" s="3447">
        <v>0</v>
      </c>
      <c r="U66" s="3447">
        <v>0</v>
      </c>
      <c r="V66" s="3450" t="s">
        <v>18</v>
      </c>
      <c r="W66" s="3447">
        <v>0</v>
      </c>
      <c r="X66" s="3447">
        <v>0</v>
      </c>
      <c r="Y66" s="3447">
        <v>0</v>
      </c>
      <c r="Z66" s="3447">
        <v>0</v>
      </c>
      <c r="AA66" s="3447">
        <v>0</v>
      </c>
      <c r="AB66" s="3447">
        <v>0</v>
      </c>
      <c r="AC66" s="3447">
        <v>0</v>
      </c>
      <c r="AD66" s="3447">
        <v>0</v>
      </c>
      <c r="AE66" s="3447">
        <v>0</v>
      </c>
      <c r="AF66" s="3447">
        <v>0</v>
      </c>
      <c r="AG66" s="3447">
        <v>0</v>
      </c>
      <c r="AH66" s="3447">
        <v>0</v>
      </c>
      <c r="AI66" s="3447">
        <v>0</v>
      </c>
      <c r="AJ66" s="3447">
        <v>0</v>
      </c>
      <c r="AK66" s="3447">
        <v>0</v>
      </c>
      <c r="AL66" s="3447">
        <v>0</v>
      </c>
      <c r="AM66" s="3447">
        <v>0</v>
      </c>
      <c r="AN66" s="3766">
        <v>0</v>
      </c>
      <c r="AO66" s="3426"/>
    </row>
    <row r="67" spans="1:41">
      <c r="A67" s="5047" t="s">
        <v>832</v>
      </c>
      <c r="B67" s="5048"/>
      <c r="C67" s="3446">
        <v>0</v>
      </c>
      <c r="D67" s="3446">
        <v>0</v>
      </c>
      <c r="E67" s="3458">
        <v>3.3587970006446599</v>
      </c>
      <c r="F67" s="3735">
        <v>0</v>
      </c>
      <c r="G67" s="3469">
        <v>354.40536797919998</v>
      </c>
      <c r="H67" s="3458">
        <v>2.6870376005157302</v>
      </c>
      <c r="I67" s="3459">
        <v>0.167939850032233</v>
      </c>
      <c r="J67" s="3499">
        <v>0</v>
      </c>
      <c r="K67" s="3447">
        <v>0</v>
      </c>
      <c r="L67" s="3446">
        <v>0</v>
      </c>
      <c r="M67" s="3448">
        <v>15.7863459030299</v>
      </c>
      <c r="N67" s="3466">
        <v>0</v>
      </c>
      <c r="O67" s="3449">
        <v>1.2740868611277199E-5</v>
      </c>
      <c r="P67" s="3450" t="s">
        <v>18</v>
      </c>
      <c r="Q67" s="3460">
        <v>3.1754374438816498E-4</v>
      </c>
      <c r="R67" s="3452">
        <v>1.4301633751603699E-3</v>
      </c>
      <c r="S67" s="3449">
        <v>4.9860674667951199E-6</v>
      </c>
      <c r="T67" s="3447">
        <v>0</v>
      </c>
      <c r="U67" s="3447">
        <v>0</v>
      </c>
      <c r="V67" s="3450" t="s">
        <v>18</v>
      </c>
      <c r="W67" s="3447">
        <v>0</v>
      </c>
      <c r="X67" s="3447">
        <v>0</v>
      </c>
      <c r="Y67" s="3449">
        <v>1.77269360780723E-5</v>
      </c>
      <c r="Z67" s="3447">
        <v>0</v>
      </c>
      <c r="AA67" s="3447">
        <v>0</v>
      </c>
      <c r="AB67" s="3447">
        <v>0</v>
      </c>
      <c r="AC67" s="3447">
        <v>0</v>
      </c>
      <c r="AD67" s="3447">
        <v>0</v>
      </c>
      <c r="AE67" s="3447">
        <v>0</v>
      </c>
      <c r="AF67" s="3447">
        <v>0</v>
      </c>
      <c r="AG67" s="3447">
        <v>0</v>
      </c>
      <c r="AH67" s="3447">
        <v>0</v>
      </c>
      <c r="AI67" s="3447">
        <v>0</v>
      </c>
      <c r="AJ67" s="3447">
        <v>0</v>
      </c>
      <c r="AK67" s="3447">
        <v>0</v>
      </c>
      <c r="AL67" s="3447">
        <v>0</v>
      </c>
      <c r="AM67" s="3452">
        <v>1.7477071195485499E-3</v>
      </c>
      <c r="AN67" s="3766">
        <v>0</v>
      </c>
      <c r="AO67" s="3426"/>
    </row>
    <row r="68" spans="1:41">
      <c r="A68" s="5047" t="s">
        <v>3</v>
      </c>
      <c r="B68" s="5048"/>
      <c r="C68" s="3463">
        <v>2.6330442396302499E-3</v>
      </c>
      <c r="D68" s="3446">
        <v>0</v>
      </c>
      <c r="E68" s="3446">
        <v>0</v>
      </c>
      <c r="F68" s="3735">
        <v>0</v>
      </c>
      <c r="G68" s="3469">
        <v>118.3150080477</v>
      </c>
      <c r="H68" s="3446">
        <v>0</v>
      </c>
      <c r="I68" s="3446">
        <v>0</v>
      </c>
      <c r="J68" s="3504">
        <v>10.872371708799299</v>
      </c>
      <c r="K68" s="3447">
        <v>0</v>
      </c>
      <c r="L68" s="3446">
        <v>0</v>
      </c>
      <c r="M68" s="3446">
        <v>0</v>
      </c>
      <c r="N68" s="3466">
        <v>0</v>
      </c>
      <c r="O68" s="3454">
        <v>1.7476607380173301E-2</v>
      </c>
      <c r="P68" s="3450" t="s">
        <v>18</v>
      </c>
      <c r="Q68" s="3454">
        <v>1.3406767240574401E-2</v>
      </c>
      <c r="R68" s="3451">
        <v>0.35743595382245302</v>
      </c>
      <c r="S68" s="3452">
        <v>6.8393722709850996E-3</v>
      </c>
      <c r="T68" s="3460">
        <v>4.7989792461598102E-4</v>
      </c>
      <c r="U68" s="3452">
        <v>2.1531463150142901E-3</v>
      </c>
      <c r="V68" s="3450" t="s">
        <v>18</v>
      </c>
      <c r="W68" s="3447">
        <v>0</v>
      </c>
      <c r="X68" s="3447">
        <v>0</v>
      </c>
      <c r="Y68" s="3454">
        <v>2.4315979651158399E-2</v>
      </c>
      <c r="Z68" s="3447">
        <v>0</v>
      </c>
      <c r="AA68" s="3447">
        <v>0</v>
      </c>
      <c r="AB68" s="3447">
        <v>0</v>
      </c>
      <c r="AC68" s="3460">
        <v>1.3276989456652001E-4</v>
      </c>
      <c r="AD68" s="3449">
        <v>3.3262337058756402E-5</v>
      </c>
      <c r="AE68" s="3460">
        <v>1.6603223162527699E-4</v>
      </c>
      <c r="AF68" s="3447">
        <v>0</v>
      </c>
      <c r="AG68" s="3447">
        <v>0</v>
      </c>
      <c r="AH68" s="3447">
        <v>0</v>
      </c>
      <c r="AI68" s="3447">
        <v>0</v>
      </c>
      <c r="AJ68" s="3447">
        <v>0</v>
      </c>
      <c r="AK68" s="3447">
        <v>0</v>
      </c>
      <c r="AL68" s="3452">
        <v>2.6330442396302499E-3</v>
      </c>
      <c r="AM68" s="3451">
        <v>0.37084272106302801</v>
      </c>
      <c r="AN68" s="3766">
        <v>0</v>
      </c>
      <c r="AO68" s="3426"/>
    </row>
    <row r="69" spans="1:41">
      <c r="A69" s="5047" t="s">
        <v>6</v>
      </c>
      <c r="B69" s="5048"/>
      <c r="C69" s="3461">
        <v>1.7756379361529399E-2</v>
      </c>
      <c r="D69" s="3446">
        <v>0</v>
      </c>
      <c r="E69" s="3469">
        <v>167.76597579488299</v>
      </c>
      <c r="F69" s="3735">
        <v>0</v>
      </c>
      <c r="G69" s="3470">
        <v>17637.02011718</v>
      </c>
      <c r="H69" s="3469">
        <v>134.212780635906</v>
      </c>
      <c r="I69" s="3458">
        <v>8.3882987897441303</v>
      </c>
      <c r="J69" s="3503">
        <v>1.58529034179933</v>
      </c>
      <c r="K69" s="3447">
        <v>0</v>
      </c>
      <c r="L69" s="3446">
        <v>0</v>
      </c>
      <c r="M69" s="3469">
        <v>788.50008623594795</v>
      </c>
      <c r="N69" s="3466">
        <v>0</v>
      </c>
      <c r="O69" s="3454">
        <v>3.7402012720559603E-2</v>
      </c>
      <c r="P69" s="3450" t="s">
        <v>18</v>
      </c>
      <c r="Q69" s="3451">
        <v>0.17667225580580501</v>
      </c>
      <c r="R69" s="3453">
        <v>1.81871413917495</v>
      </c>
      <c r="S69" s="3454">
        <v>1.4637067888258E-2</v>
      </c>
      <c r="T69" s="3452">
        <v>6.4180396225842302E-3</v>
      </c>
      <c r="U69" s="3454">
        <v>1.1338339738945401E-2</v>
      </c>
      <c r="V69" s="3450" t="s">
        <v>18</v>
      </c>
      <c r="W69" s="3447">
        <v>0</v>
      </c>
      <c r="X69" s="3447">
        <v>0</v>
      </c>
      <c r="Y69" s="3454">
        <v>5.2039080608817602E-2</v>
      </c>
      <c r="Z69" s="3447">
        <v>0</v>
      </c>
      <c r="AA69" s="3447">
        <v>0</v>
      </c>
      <c r="AB69" s="3447">
        <v>0</v>
      </c>
      <c r="AC69" s="3460">
        <v>3.5514756954241003E-4</v>
      </c>
      <c r="AD69" s="3449">
        <v>8.8973770765474506E-5</v>
      </c>
      <c r="AE69" s="3460">
        <v>4.4412134030788399E-4</v>
      </c>
      <c r="AF69" s="3447">
        <v>0</v>
      </c>
      <c r="AG69" s="3447">
        <v>0</v>
      </c>
      <c r="AH69" s="3447">
        <v>0</v>
      </c>
      <c r="AI69" s="3447">
        <v>0</v>
      </c>
      <c r="AJ69" s="3447">
        <v>0</v>
      </c>
      <c r="AK69" s="3447">
        <v>0</v>
      </c>
      <c r="AL69" s="3454">
        <v>1.7756379361529399E-2</v>
      </c>
      <c r="AM69" s="3453">
        <v>1.99538639498076</v>
      </c>
      <c r="AN69" s="3766">
        <v>0</v>
      </c>
      <c r="AO69" s="3426"/>
    </row>
    <row r="70" spans="1:41">
      <c r="A70" s="5047" t="s">
        <v>7</v>
      </c>
      <c r="B70" s="5048"/>
      <c r="C70" s="3459">
        <v>0.55229315390781497</v>
      </c>
      <c r="D70" s="3461">
        <v>8.5204503602662796E-2</v>
      </c>
      <c r="E70" s="3448">
        <v>67.113441672012996</v>
      </c>
      <c r="F70" s="3740">
        <v>947.59522423688395</v>
      </c>
      <c r="G70" s="3464">
        <v>7337.1934654349998</v>
      </c>
      <c r="H70" s="3448">
        <v>53.690753337610403</v>
      </c>
      <c r="I70" s="3458">
        <v>3.3556720836006502</v>
      </c>
      <c r="J70" s="3505">
        <v>2228.5309749491798</v>
      </c>
      <c r="K70" s="3471">
        <v>917.49125898466104</v>
      </c>
      <c r="L70" s="3448">
        <v>49.257242648233003</v>
      </c>
      <c r="M70" s="3469">
        <v>315.43317585846103</v>
      </c>
      <c r="N70" s="3466">
        <v>0</v>
      </c>
      <c r="O70" s="3455">
        <v>10.4459696049648</v>
      </c>
      <c r="P70" s="3450" t="s">
        <v>18</v>
      </c>
      <c r="Q70" s="3453">
        <v>3.9983191697229401</v>
      </c>
      <c r="R70" s="3471">
        <v>240.88214636516699</v>
      </c>
      <c r="S70" s="3453">
        <v>4.0879716128887003</v>
      </c>
      <c r="T70" s="3453">
        <v>1.74685375164783</v>
      </c>
      <c r="U70" s="3455">
        <v>17.4224939482175</v>
      </c>
      <c r="V70" s="3450" t="s">
        <v>18</v>
      </c>
      <c r="W70" s="3453">
        <v>1.2183015671127699</v>
      </c>
      <c r="X70" s="3455">
        <v>49.3424471518357</v>
      </c>
      <c r="Y70" s="3455">
        <v>14.533941217853499</v>
      </c>
      <c r="Z70" s="3449">
        <v>4.3240578216628297E-5</v>
      </c>
      <c r="AA70" s="3452">
        <v>7.5449783048714501E-3</v>
      </c>
      <c r="AB70" s="3452">
        <v>7.58821888308808E-3</v>
      </c>
      <c r="AC70" s="3451">
        <v>0.82224513616279005</v>
      </c>
      <c r="AD70" s="3451">
        <v>0.20599394880340899</v>
      </c>
      <c r="AE70" s="3453">
        <v>1.0282390849662</v>
      </c>
      <c r="AF70" s="3453">
        <v>1.2183015671127699</v>
      </c>
      <c r="AG70" s="3455">
        <v>29.507091038766202</v>
      </c>
      <c r="AH70" s="3454">
        <v>6.8629771550833399E-2</v>
      </c>
      <c r="AI70" s="3454">
        <v>7.8796683110838303E-2</v>
      </c>
      <c r="AJ70" s="3451">
        <v>0.14742645466167201</v>
      </c>
      <c r="AK70" s="3455">
        <v>18.617054545957501</v>
      </c>
      <c r="AL70" s="3455">
        <v>19.169347699865298</v>
      </c>
      <c r="AM70" s="3471">
        <v>244.88046553488999</v>
      </c>
      <c r="AN70" s="3770">
        <v>5.6605542885672003E-2</v>
      </c>
      <c r="AO70" s="3426"/>
    </row>
    <row r="71" spans="1:41">
      <c r="A71" s="5047" t="s">
        <v>8</v>
      </c>
      <c r="B71" s="5048"/>
      <c r="C71" s="3448">
        <v>15.502043884673601</v>
      </c>
      <c r="D71" s="3458">
        <v>2.4573623387593702</v>
      </c>
      <c r="E71" s="3448">
        <v>10.864596499204801</v>
      </c>
      <c r="F71" s="3741">
        <v>6948.1431601681397</v>
      </c>
      <c r="G71" s="3464">
        <v>6122.579752736</v>
      </c>
      <c r="H71" s="3458">
        <v>8.6916771993638502</v>
      </c>
      <c r="I71" s="3459">
        <v>0.54322982496024097</v>
      </c>
      <c r="J71" s="3506">
        <v>14142.1329402171</v>
      </c>
      <c r="K71" s="3472">
        <v>7400.1498718383</v>
      </c>
      <c r="L71" s="3469">
        <v>288.93887587555503</v>
      </c>
      <c r="M71" s="3448">
        <v>51.063603546262598</v>
      </c>
      <c r="N71" s="3466">
        <v>0</v>
      </c>
      <c r="O71" s="3455">
        <v>37.9236849288203</v>
      </c>
      <c r="P71" s="3450" t="s">
        <v>18</v>
      </c>
      <c r="Q71" s="3455">
        <v>13.650994162814801</v>
      </c>
      <c r="R71" s="3472">
        <v>2994.3353698135602</v>
      </c>
      <c r="S71" s="3455">
        <v>14.8412213808729</v>
      </c>
      <c r="T71" s="3453">
        <v>5.9643727925276897</v>
      </c>
      <c r="U71" s="3471">
        <v>208.41969616171801</v>
      </c>
      <c r="V71" s="3450" t="s">
        <v>18</v>
      </c>
      <c r="W71" s="3453">
        <v>2.5845808108939998</v>
      </c>
      <c r="X71" s="3471">
        <v>291.39623821431502</v>
      </c>
      <c r="Y71" s="3455">
        <v>52.764906309693103</v>
      </c>
      <c r="Z71" s="3449">
        <v>2.1208295381417701E-5</v>
      </c>
      <c r="AA71" s="3452">
        <v>3.7006010357781799E-3</v>
      </c>
      <c r="AB71" s="3452">
        <v>3.7218093311595902E-3</v>
      </c>
      <c r="AC71" s="3453">
        <v>2.6120829279565099</v>
      </c>
      <c r="AD71" s="3451">
        <v>0.65439520803100903</v>
      </c>
      <c r="AE71" s="3453">
        <v>3.2664781359875201</v>
      </c>
      <c r="AF71" s="3453">
        <v>2.5845808108939998</v>
      </c>
      <c r="AG71" s="3455">
        <v>89.929632333852496</v>
      </c>
      <c r="AH71" s="3451">
        <v>0.14338071595044699</v>
      </c>
      <c r="AI71" s="3451">
        <v>0.16462133828588099</v>
      </c>
      <c r="AJ71" s="3451">
        <v>0.30800205423632898</v>
      </c>
      <c r="AK71" s="3471">
        <v>198.88202506957199</v>
      </c>
      <c r="AL71" s="3471">
        <v>214.384068954246</v>
      </c>
      <c r="AM71" s="3472">
        <v>3007.9863639763798</v>
      </c>
      <c r="AN71" s="3770">
        <v>9.6655492558866199E-2</v>
      </c>
      <c r="AO71" s="3426"/>
    </row>
    <row r="72" spans="1:41">
      <c r="A72" s="5047" t="s">
        <v>66</v>
      </c>
      <c r="B72" s="5048"/>
      <c r="C72" s="3458">
        <v>7.8780336701384099</v>
      </c>
      <c r="D72" s="3458">
        <v>1.26267509242927</v>
      </c>
      <c r="E72" s="3446">
        <v>0</v>
      </c>
      <c r="F72" s="3742">
        <v>10989.9722389822</v>
      </c>
      <c r="G72" s="3464">
        <v>974.29930227529997</v>
      </c>
      <c r="H72" s="3446">
        <v>0</v>
      </c>
      <c r="I72" s="3446">
        <v>0</v>
      </c>
      <c r="J72" s="3505">
        <v>1688.6017055622301</v>
      </c>
      <c r="K72" s="3473">
        <v>11527.570150035701</v>
      </c>
      <c r="L72" s="3469">
        <v>142.81829293431699</v>
      </c>
      <c r="M72" s="3446">
        <v>0</v>
      </c>
      <c r="N72" s="3466">
        <v>0</v>
      </c>
      <c r="O72" s="3453">
        <v>8.6449154260179899</v>
      </c>
      <c r="P72" s="3450" t="s">
        <v>18</v>
      </c>
      <c r="Q72" s="3453">
        <v>3.0521165861161301</v>
      </c>
      <c r="R72" s="3472">
        <v>1724.4014335484601</v>
      </c>
      <c r="S72" s="3453">
        <v>3.38313916216915</v>
      </c>
      <c r="T72" s="3453">
        <v>1.4646805639463201</v>
      </c>
      <c r="U72" s="3471">
        <v>128.11159186933099</v>
      </c>
      <c r="V72" s="3450" t="s">
        <v>18</v>
      </c>
      <c r="W72" s="3451">
        <v>0.40414421907078901</v>
      </c>
      <c r="X72" s="3471">
        <v>144.08096802674601</v>
      </c>
      <c r="Y72" s="3455">
        <v>12.0280545881871</v>
      </c>
      <c r="Z72" s="3449">
        <v>1.23724245513663E-6</v>
      </c>
      <c r="AA72" s="3460">
        <v>2.1588442770365199E-4</v>
      </c>
      <c r="AB72" s="3460">
        <v>2.17121670158788E-4</v>
      </c>
      <c r="AC72" s="3451">
        <v>0.62364840654810105</v>
      </c>
      <c r="AD72" s="3451">
        <v>0.156240264952279</v>
      </c>
      <c r="AE72" s="3451">
        <v>0.77988867150038099</v>
      </c>
      <c r="AF72" s="3451">
        <v>0.40414421907078901</v>
      </c>
      <c r="AG72" s="3455">
        <v>21.978585044538502</v>
      </c>
      <c r="AH72" s="3454">
        <v>3.0203299020294699E-2</v>
      </c>
      <c r="AI72" s="3454">
        <v>3.4677658515026098E-2</v>
      </c>
      <c r="AJ72" s="3454">
        <v>6.4880957535320694E-2</v>
      </c>
      <c r="AK72" s="3471">
        <v>121.698238763139</v>
      </c>
      <c r="AL72" s="3471">
        <v>129.57627243327701</v>
      </c>
      <c r="AM72" s="3472">
        <v>1727.4535501345699</v>
      </c>
      <c r="AN72" s="3770">
        <v>5.8636827326370301E-2</v>
      </c>
      <c r="AO72" s="3426"/>
    </row>
    <row r="73" spans="1:41">
      <c r="A73" s="5047" t="s">
        <v>359</v>
      </c>
      <c r="B73" s="5048"/>
      <c r="C73" s="3448">
        <v>21.232961196144402</v>
      </c>
      <c r="D73" s="3458">
        <v>3.34883394079066</v>
      </c>
      <c r="E73" s="3446">
        <v>0</v>
      </c>
      <c r="F73" s="3742">
        <v>43044.057936013698</v>
      </c>
      <c r="G73" s="3464">
        <v>2233.5351929520002</v>
      </c>
      <c r="H73" s="3446">
        <v>0</v>
      </c>
      <c r="I73" s="3446">
        <v>0</v>
      </c>
      <c r="J73" s="3505">
        <v>2639.1581078430099</v>
      </c>
      <c r="K73" s="3473">
        <v>44336.808269367997</v>
      </c>
      <c r="L73" s="3469">
        <v>476.06097644772302</v>
      </c>
      <c r="M73" s="3446">
        <v>0</v>
      </c>
      <c r="N73" s="3466">
        <v>0</v>
      </c>
      <c r="O73" s="3455">
        <v>21.365742220853701</v>
      </c>
      <c r="P73" s="3450" t="s">
        <v>18</v>
      </c>
      <c r="Q73" s="3453">
        <v>7.3568097355417796</v>
      </c>
      <c r="R73" s="3472">
        <v>6047.45904715911</v>
      </c>
      <c r="S73" s="3453">
        <v>8.3613633765155306</v>
      </c>
      <c r="T73" s="3453">
        <v>3.5064919360081199</v>
      </c>
      <c r="U73" s="3471">
        <v>442.550996016299</v>
      </c>
      <c r="V73" s="3450" t="s">
        <v>18</v>
      </c>
      <c r="W73" s="3453">
        <v>1.40206433996827</v>
      </c>
      <c r="X73" s="3471">
        <v>479.40981038851402</v>
      </c>
      <c r="Y73" s="3455">
        <v>29.727105597369199</v>
      </c>
      <c r="Z73" s="3449">
        <v>2.9985899891458298E-6</v>
      </c>
      <c r="AA73" s="3460">
        <v>5.2321909989191105E-4</v>
      </c>
      <c r="AB73" s="3460">
        <v>5.2621768988105598E-4</v>
      </c>
      <c r="AC73" s="3453">
        <v>1.51820104401615</v>
      </c>
      <c r="AD73" s="3451">
        <v>0.38034913723396901</v>
      </c>
      <c r="AE73" s="3453">
        <v>1.89855018125012</v>
      </c>
      <c r="AF73" s="3453">
        <v>1.40206433996827</v>
      </c>
      <c r="AG73" s="3455">
        <v>53.183219292389801</v>
      </c>
      <c r="AH73" s="3454">
        <v>7.1801106448037305E-2</v>
      </c>
      <c r="AI73" s="3454">
        <v>8.2437824051373398E-2</v>
      </c>
      <c r="AJ73" s="3451">
        <v>0.15423893049941101</v>
      </c>
      <c r="AK73" s="3471">
        <v>424.82452675616202</v>
      </c>
      <c r="AL73" s="3471">
        <v>446.05748795230699</v>
      </c>
      <c r="AM73" s="3472">
        <v>6054.8158568946501</v>
      </c>
      <c r="AN73" s="3769">
        <v>0.163601889753348</v>
      </c>
      <c r="AO73" s="3426"/>
    </row>
    <row r="74" spans="1:41">
      <c r="A74" s="5047" t="s">
        <v>68</v>
      </c>
      <c r="B74" s="5048"/>
      <c r="C74" s="3448">
        <v>11.5749337678524</v>
      </c>
      <c r="D74" s="3458">
        <v>1.8399858748047699</v>
      </c>
      <c r="E74" s="3446">
        <v>0</v>
      </c>
      <c r="F74" s="3742">
        <v>43200.213504915198</v>
      </c>
      <c r="G74" s="3469">
        <v>467.79689002909998</v>
      </c>
      <c r="H74" s="3446">
        <v>0</v>
      </c>
      <c r="I74" s="3446">
        <v>0</v>
      </c>
      <c r="J74" s="3507">
        <v>445.60171922901998</v>
      </c>
      <c r="K74" s="3473">
        <v>31921.211566711401</v>
      </c>
      <c r="L74" s="3469">
        <v>354.56901483060102</v>
      </c>
      <c r="M74" s="3446">
        <v>0</v>
      </c>
      <c r="N74" s="3466">
        <v>0</v>
      </c>
      <c r="O74" s="3453">
        <v>5.3526419619601198</v>
      </c>
      <c r="P74" s="3450" t="s">
        <v>18</v>
      </c>
      <c r="Q74" s="3453">
        <v>1.7972298123274</v>
      </c>
      <c r="R74" s="3472">
        <v>3934.8378407153</v>
      </c>
      <c r="S74" s="3453">
        <v>2.0947264085518502</v>
      </c>
      <c r="T74" s="3453">
        <v>1.0723844860451099</v>
      </c>
      <c r="U74" s="3471">
        <v>350.19764313267501</v>
      </c>
      <c r="V74" s="3450" t="s">
        <v>18</v>
      </c>
      <c r="W74" s="3451">
        <v>0.28787891903937401</v>
      </c>
      <c r="X74" s="3471">
        <v>356.40900070540602</v>
      </c>
      <c r="Y74" s="3453">
        <v>7.4473683705119704</v>
      </c>
      <c r="Z74" s="3449">
        <v>2.35109853540948E-7</v>
      </c>
      <c r="AA74" s="3449">
        <v>4.1023936713820202E-5</v>
      </c>
      <c r="AB74" s="3449">
        <v>4.1259046567361199E-5</v>
      </c>
      <c r="AC74" s="3451">
        <v>0.46449352648586101</v>
      </c>
      <c r="AD74" s="3451">
        <v>0.11636779776037499</v>
      </c>
      <c r="AE74" s="3451">
        <v>0.58086132424623604</v>
      </c>
      <c r="AF74" s="3451">
        <v>0.28787891903937401</v>
      </c>
      <c r="AG74" s="3455">
        <v>16.426027935503399</v>
      </c>
      <c r="AH74" s="3454">
        <v>2.08780937828431E-2</v>
      </c>
      <c r="AI74" s="3454">
        <v>2.3971004166122301E-2</v>
      </c>
      <c r="AJ74" s="3454">
        <v>4.4849097948965501E-2</v>
      </c>
      <c r="AK74" s="3471">
        <v>339.69509385086798</v>
      </c>
      <c r="AL74" s="3471">
        <v>351.27002761872097</v>
      </c>
      <c r="AM74" s="3472">
        <v>3936.63507052763</v>
      </c>
      <c r="AN74" s="3770">
        <v>6.9981710328759605E-2</v>
      </c>
      <c r="AO74" s="3426"/>
    </row>
    <row r="75" spans="1:41">
      <c r="A75" s="5047" t="s">
        <v>669</v>
      </c>
      <c r="B75" s="5048"/>
      <c r="C75" s="3448">
        <v>15.008780425442099</v>
      </c>
      <c r="D75" s="3458">
        <v>2.3851668747469201</v>
      </c>
      <c r="E75" s="3446">
        <v>0</v>
      </c>
      <c r="F75" s="3742">
        <v>61389.777085932103</v>
      </c>
      <c r="G75" s="3469">
        <v>422.15816905060001</v>
      </c>
      <c r="H75" s="3446">
        <v>0</v>
      </c>
      <c r="I75" s="3446">
        <v>0</v>
      </c>
      <c r="J75" s="3507">
        <v>427.77765045985899</v>
      </c>
      <c r="K75" s="3473">
        <v>42928.5259000601</v>
      </c>
      <c r="L75" s="3469">
        <v>472.75868644080202</v>
      </c>
      <c r="M75" s="3446">
        <v>0</v>
      </c>
      <c r="N75" s="3466">
        <v>0</v>
      </c>
      <c r="O75" s="3453">
        <v>5.3158094581654698</v>
      </c>
      <c r="P75" s="3450" t="s">
        <v>18</v>
      </c>
      <c r="Q75" s="3453">
        <v>1.7984919419027601</v>
      </c>
      <c r="R75" s="3472">
        <v>5219.2401600234898</v>
      </c>
      <c r="S75" s="3453">
        <v>2.0803122147873401</v>
      </c>
      <c r="T75" s="3453">
        <v>1.10016202823309</v>
      </c>
      <c r="U75" s="3471">
        <v>472.05856861446</v>
      </c>
      <c r="V75" s="3450" t="s">
        <v>18</v>
      </c>
      <c r="W75" s="3451">
        <v>0.13316618582553</v>
      </c>
      <c r="X75" s="3471">
        <v>475.14385331554899</v>
      </c>
      <c r="Y75" s="3453">
        <v>7.3961216729528099</v>
      </c>
      <c r="Z75" s="3449">
        <v>8.1618087663713995E-8</v>
      </c>
      <c r="AA75" s="3449">
        <v>1.4241407633883299E-5</v>
      </c>
      <c r="AB75" s="3449">
        <v>1.4323025721547E-5</v>
      </c>
      <c r="AC75" s="3451">
        <v>0.47078017886656298</v>
      </c>
      <c r="AD75" s="3451">
        <v>0.117942768887232</v>
      </c>
      <c r="AE75" s="3451">
        <v>0.58872294775379597</v>
      </c>
      <c r="AF75" s="3451">
        <v>0.13316618582553</v>
      </c>
      <c r="AG75" s="3455">
        <v>16.860736912478401</v>
      </c>
      <c r="AH75" s="3454">
        <v>2.0817448406528698E-2</v>
      </c>
      <c r="AI75" s="3454">
        <v>2.3901374697866799E-2</v>
      </c>
      <c r="AJ75" s="3454">
        <v>4.4718823104395497E-2</v>
      </c>
      <c r="AK75" s="3471">
        <v>458.14995021725099</v>
      </c>
      <c r="AL75" s="3471">
        <v>473.158730642693</v>
      </c>
      <c r="AM75" s="3472">
        <v>5221.0386519653903</v>
      </c>
      <c r="AN75" s="3770">
        <v>7.8867319700351102E-2</v>
      </c>
      <c r="AO75" s="3426"/>
    </row>
    <row r="76" spans="1:41">
      <c r="A76" s="5047" t="s">
        <v>99</v>
      </c>
      <c r="B76" s="5048"/>
      <c r="C76" s="3446">
        <v>0</v>
      </c>
      <c r="D76" s="3446">
        <v>0</v>
      </c>
      <c r="E76" s="3446">
        <v>0</v>
      </c>
      <c r="F76" s="3735">
        <v>0</v>
      </c>
      <c r="G76" s="3446">
        <v>0</v>
      </c>
      <c r="H76" s="3446">
        <v>0</v>
      </c>
      <c r="I76" s="3446">
        <v>0</v>
      </c>
      <c r="J76" s="3499">
        <v>0</v>
      </c>
      <c r="K76" s="3447">
        <v>0</v>
      </c>
      <c r="L76" s="3446">
        <v>0</v>
      </c>
      <c r="M76" s="3446">
        <v>0</v>
      </c>
      <c r="N76" s="3466">
        <v>0</v>
      </c>
      <c r="O76" s="3447">
        <v>0</v>
      </c>
      <c r="P76" s="3450" t="s">
        <v>18</v>
      </c>
      <c r="Q76" s="3447">
        <v>0</v>
      </c>
      <c r="R76" s="3447">
        <v>0</v>
      </c>
      <c r="S76" s="3447">
        <v>0</v>
      </c>
      <c r="T76" s="3447">
        <v>0</v>
      </c>
      <c r="U76" s="3447">
        <v>0</v>
      </c>
      <c r="V76" s="3450" t="s">
        <v>18</v>
      </c>
      <c r="W76" s="3447">
        <v>0</v>
      </c>
      <c r="X76" s="3447">
        <v>0</v>
      </c>
      <c r="Y76" s="3447">
        <v>0</v>
      </c>
      <c r="Z76" s="3447">
        <v>0</v>
      </c>
      <c r="AA76" s="3447">
        <v>0</v>
      </c>
      <c r="AB76" s="3447">
        <v>0</v>
      </c>
      <c r="AC76" s="3447">
        <v>0</v>
      </c>
      <c r="AD76" s="3447">
        <v>0</v>
      </c>
      <c r="AE76" s="3447">
        <v>0</v>
      </c>
      <c r="AF76" s="3447">
        <v>0</v>
      </c>
      <c r="AG76" s="3447">
        <v>0</v>
      </c>
      <c r="AH76" s="3447">
        <v>0</v>
      </c>
      <c r="AI76" s="3447">
        <v>0</v>
      </c>
      <c r="AJ76" s="3447">
        <v>0</v>
      </c>
      <c r="AK76" s="3447">
        <v>0</v>
      </c>
      <c r="AL76" s="3447">
        <v>0</v>
      </c>
      <c r="AM76" s="3447">
        <v>0</v>
      </c>
      <c r="AN76" s="3766">
        <v>0</v>
      </c>
      <c r="AO76" s="3426"/>
    </row>
    <row r="77" spans="1:41">
      <c r="A77" s="5047" t="s">
        <v>422</v>
      </c>
      <c r="B77" s="5048"/>
      <c r="C77" s="3448">
        <v>13.1781873479348</v>
      </c>
      <c r="D77" s="3458">
        <v>2.1163046560083099</v>
      </c>
      <c r="E77" s="3446">
        <v>0</v>
      </c>
      <c r="F77" s="3742">
        <v>54314.577108477097</v>
      </c>
      <c r="G77" s="3469">
        <v>122.6507187381</v>
      </c>
      <c r="H77" s="3446">
        <v>0</v>
      </c>
      <c r="I77" s="3446">
        <v>0</v>
      </c>
      <c r="J77" s="3507">
        <v>191.60351548043801</v>
      </c>
      <c r="K77" s="3473">
        <v>43385.981142318902</v>
      </c>
      <c r="L77" s="3469">
        <v>423.50144379256801</v>
      </c>
      <c r="M77" s="3446">
        <v>0</v>
      </c>
      <c r="N77" s="3466">
        <v>0</v>
      </c>
      <c r="O77" s="3453">
        <v>1.8596572329360499</v>
      </c>
      <c r="P77" s="3450" t="s">
        <v>18</v>
      </c>
      <c r="Q77" s="3451">
        <v>0.62306396825112398</v>
      </c>
      <c r="R77" s="3472">
        <v>4403.0461498079303</v>
      </c>
      <c r="S77" s="3451">
        <v>0.72776642719048901</v>
      </c>
      <c r="T77" s="3451">
        <v>0.42316382710544798</v>
      </c>
      <c r="U77" s="3471">
        <v>431.82251642144502</v>
      </c>
      <c r="V77" s="3450" t="s">
        <v>18</v>
      </c>
      <c r="W77" s="3454">
        <v>6.5728564454312202E-2</v>
      </c>
      <c r="X77" s="3471">
        <v>425.617748448577</v>
      </c>
      <c r="Y77" s="3453">
        <v>2.5874236601265399</v>
      </c>
      <c r="Z77" s="3449">
        <v>1.6827842318731099E-8</v>
      </c>
      <c r="AA77" s="3449">
        <v>2.9362628912256101E-6</v>
      </c>
      <c r="AB77" s="3449">
        <v>2.9530907335443401E-6</v>
      </c>
      <c r="AC77" s="3451">
        <v>0.18053327818838</v>
      </c>
      <c r="AD77" s="3454">
        <v>4.5228316020207E-2</v>
      </c>
      <c r="AE77" s="3451">
        <v>0.22576159420858699</v>
      </c>
      <c r="AF77" s="3454">
        <v>6.5728564454312202E-2</v>
      </c>
      <c r="AG77" s="3453">
        <v>6.4845269835126</v>
      </c>
      <c r="AH77" s="3452">
        <v>7.6947793708196004E-3</v>
      </c>
      <c r="AI77" s="3452">
        <v>8.8346948851664008E-3</v>
      </c>
      <c r="AJ77" s="3454">
        <v>1.6529474255985999E-2</v>
      </c>
      <c r="AK77" s="3471">
        <v>419.067492900616</v>
      </c>
      <c r="AL77" s="3471">
        <v>432.24568024855103</v>
      </c>
      <c r="AM77" s="3472">
        <v>4403.6692137761802</v>
      </c>
      <c r="AN77" s="3770">
        <v>3.8154690727767303E-2</v>
      </c>
      <c r="AO77" s="3426"/>
    </row>
    <row r="78" spans="1:41">
      <c r="A78" s="5047" t="s">
        <v>10</v>
      </c>
      <c r="B78" s="5048"/>
      <c r="C78" s="3458">
        <v>9.9455099351198299</v>
      </c>
      <c r="D78" s="3458">
        <v>1.54653032554453</v>
      </c>
      <c r="E78" s="3446">
        <v>0</v>
      </c>
      <c r="F78" s="3742">
        <v>40735.932831357903</v>
      </c>
      <c r="G78" s="3448">
        <v>40.883572912710001</v>
      </c>
      <c r="H78" s="3446">
        <v>0</v>
      </c>
      <c r="I78" s="3446">
        <v>0</v>
      </c>
      <c r="J78" s="3504">
        <v>97.930685690001496</v>
      </c>
      <c r="K78" s="3473">
        <v>34182.8942333421</v>
      </c>
      <c r="L78" s="3469">
        <v>352.91786982714001</v>
      </c>
      <c r="M78" s="3446">
        <v>0</v>
      </c>
      <c r="N78" s="3466">
        <v>0</v>
      </c>
      <c r="O78" s="3453">
        <v>1.0533019743101399</v>
      </c>
      <c r="P78" s="3450" t="s">
        <v>18</v>
      </c>
      <c r="Q78" s="3451">
        <v>0.34078264344729398</v>
      </c>
      <c r="R78" s="3472">
        <v>3469.8580751405302</v>
      </c>
      <c r="S78" s="3451">
        <v>0.412203819617944</v>
      </c>
      <c r="T78" s="3451">
        <v>0.24930971149313999</v>
      </c>
      <c r="U78" s="3471">
        <v>360.31034266742199</v>
      </c>
      <c r="V78" s="3450" t="s">
        <v>18</v>
      </c>
      <c r="W78" s="3454">
        <v>1.9858206382987201E-2</v>
      </c>
      <c r="X78" s="3471">
        <v>354.46440015268502</v>
      </c>
      <c r="Y78" s="3453">
        <v>1.46550579392808</v>
      </c>
      <c r="Z78" s="3449">
        <v>3.6708814361544901E-9</v>
      </c>
      <c r="AA78" s="3449">
        <v>6.4052614321633001E-7</v>
      </c>
      <c r="AB78" s="3449">
        <v>6.4419702465248495E-7</v>
      </c>
      <c r="AC78" s="3451">
        <v>0.10884641647926301</v>
      </c>
      <c r="AD78" s="3454">
        <v>2.7268879021042702E-2</v>
      </c>
      <c r="AE78" s="3451">
        <v>0.13611529550030599</v>
      </c>
      <c r="AF78" s="3454">
        <v>1.9858206382987201E-2</v>
      </c>
      <c r="AG78" s="3453">
        <v>3.8303995025114999</v>
      </c>
      <c r="AH78" s="3452">
        <v>4.5869037410623302E-3</v>
      </c>
      <c r="AI78" s="3452">
        <v>5.2664141578366904E-3</v>
      </c>
      <c r="AJ78" s="3452">
        <v>9.8533178988990302E-3</v>
      </c>
      <c r="AK78" s="3471">
        <v>350.61414244379603</v>
      </c>
      <c r="AL78" s="3471">
        <v>360.55965237891598</v>
      </c>
      <c r="AM78" s="3472">
        <v>3470.1988577839702</v>
      </c>
      <c r="AN78" s="3770">
        <v>2.3910069667928999E-2</v>
      </c>
      <c r="AO78" s="3426"/>
    </row>
    <row r="79" spans="1:41">
      <c r="A79" s="5047" t="s">
        <v>9</v>
      </c>
      <c r="B79" s="5048"/>
      <c r="C79" s="3458">
        <v>8.2400676008754896</v>
      </c>
      <c r="D79" s="3458">
        <v>1.27187596134021</v>
      </c>
      <c r="E79" s="3446">
        <v>0</v>
      </c>
      <c r="F79" s="3742">
        <v>31826.405361365501</v>
      </c>
      <c r="G79" s="3448">
        <v>26.618128715489998</v>
      </c>
      <c r="H79" s="3446">
        <v>0</v>
      </c>
      <c r="I79" s="3446">
        <v>0</v>
      </c>
      <c r="J79" s="3504">
        <v>74.848551739177395</v>
      </c>
      <c r="K79" s="3473">
        <v>26963.4037613869</v>
      </c>
      <c r="L79" s="3469">
        <v>275.72971584787001</v>
      </c>
      <c r="M79" s="3446">
        <v>0</v>
      </c>
      <c r="N79" s="3466">
        <v>0</v>
      </c>
      <c r="O79" s="3451">
        <v>0.75263299990787402</v>
      </c>
      <c r="P79" s="3450" t="s">
        <v>18</v>
      </c>
      <c r="Q79" s="3451">
        <v>0.25784624620511698</v>
      </c>
      <c r="R79" s="3472">
        <v>2730.57792166324</v>
      </c>
      <c r="S79" s="3451">
        <v>0.29453870295432499</v>
      </c>
      <c r="T79" s="3451">
        <v>0.186360103725457</v>
      </c>
      <c r="U79" s="3471">
        <v>282.08450429152299</v>
      </c>
      <c r="V79" s="3450" t="s">
        <v>18</v>
      </c>
      <c r="W79" s="3451">
        <v>0.11363798239817099</v>
      </c>
      <c r="X79" s="3471">
        <v>277.00159180921003</v>
      </c>
      <c r="Y79" s="3453">
        <v>1.0471717028622001</v>
      </c>
      <c r="Z79" s="3449">
        <v>1.9055160541818802E-8</v>
      </c>
      <c r="AA79" s="3449">
        <v>3.3249040325871001E-6</v>
      </c>
      <c r="AB79" s="3449">
        <v>3.3439591931289199E-6</v>
      </c>
      <c r="AC79" s="3454">
        <v>7.7306703893999906E-2</v>
      </c>
      <c r="AD79" s="3454">
        <v>1.9367354702051E-2</v>
      </c>
      <c r="AE79" s="3454">
        <v>9.6674058596050896E-2</v>
      </c>
      <c r="AF79" s="3451">
        <v>0.11363798239817099</v>
      </c>
      <c r="AG79" s="3453">
        <v>2.8571570324427702</v>
      </c>
      <c r="AH79" s="3452">
        <v>3.2585038230491799E-3</v>
      </c>
      <c r="AI79" s="3452">
        <v>3.7412231945152599E-3</v>
      </c>
      <c r="AJ79" s="3452">
        <v>6.9997270175644402E-3</v>
      </c>
      <c r="AK79" s="3471">
        <v>274.03079679437298</v>
      </c>
      <c r="AL79" s="3471">
        <v>282.270864395248</v>
      </c>
      <c r="AM79" s="3472">
        <v>2730.8357679094402</v>
      </c>
      <c r="AN79" s="3770">
        <v>1.7810271001808299E-2</v>
      </c>
      <c r="AO79" s="3426"/>
    </row>
    <row r="80" spans="1:41">
      <c r="A80" s="5047" t="s">
        <v>11</v>
      </c>
      <c r="B80" s="5048"/>
      <c r="C80" s="3458">
        <v>7.9633935702882201</v>
      </c>
      <c r="D80" s="3458">
        <v>1.2542598566026799</v>
      </c>
      <c r="E80" s="3446">
        <v>0</v>
      </c>
      <c r="F80" s="3742">
        <v>29539.382650203199</v>
      </c>
      <c r="G80" s="3448">
        <v>24.70536903655</v>
      </c>
      <c r="H80" s="3446">
        <v>0</v>
      </c>
      <c r="I80" s="3446">
        <v>0</v>
      </c>
      <c r="J80" s="3504">
        <v>73.329432179083298</v>
      </c>
      <c r="K80" s="3473">
        <v>25025.8328647569</v>
      </c>
      <c r="L80" s="3469">
        <v>255.91597580634101</v>
      </c>
      <c r="M80" s="3446">
        <v>0</v>
      </c>
      <c r="N80" s="3466">
        <v>0</v>
      </c>
      <c r="O80" s="3451">
        <v>0.45503576070223301</v>
      </c>
      <c r="P80" s="3450" t="s">
        <v>18</v>
      </c>
      <c r="Q80" s="3451">
        <v>0.209646964455868</v>
      </c>
      <c r="R80" s="3472">
        <v>2385.20025808933</v>
      </c>
      <c r="S80" s="3451">
        <v>0.17807569263037301</v>
      </c>
      <c r="T80" s="3451">
        <v>0.15687722888518599</v>
      </c>
      <c r="U80" s="3471">
        <v>254.837162191055</v>
      </c>
      <c r="V80" s="3450" t="s">
        <v>18</v>
      </c>
      <c r="W80" s="3453">
        <v>7.7404868591672296</v>
      </c>
      <c r="X80" s="3471">
        <v>257.17023566294398</v>
      </c>
      <c r="Y80" s="3451">
        <v>0.63311145333260599</v>
      </c>
      <c r="Z80" s="3449">
        <v>9.0667786561328002E-7</v>
      </c>
      <c r="AA80" s="3460">
        <v>1.5820474905048001E-4</v>
      </c>
      <c r="AB80" s="3460">
        <v>1.59111426916094E-4</v>
      </c>
      <c r="AC80" s="3454">
        <v>4.8791171376618002E-2</v>
      </c>
      <c r="AD80" s="3454">
        <v>1.22234667212718E-2</v>
      </c>
      <c r="AE80" s="3454">
        <v>6.1014638097889803E-2</v>
      </c>
      <c r="AF80" s="3453">
        <v>7.7404868591672296</v>
      </c>
      <c r="AG80" s="3453">
        <v>2.3991029541284199</v>
      </c>
      <c r="AH80" s="3452">
        <v>2.0750141607192899E-3</v>
      </c>
      <c r="AI80" s="3452">
        <v>2.38240969739487E-3</v>
      </c>
      <c r="AJ80" s="3452">
        <v>4.4574238581141599E-3</v>
      </c>
      <c r="AK80" s="3471">
        <v>247.03064584965199</v>
      </c>
      <c r="AL80" s="3471">
        <v>254.99403941994001</v>
      </c>
      <c r="AM80" s="3472">
        <v>2385.4099050537902</v>
      </c>
      <c r="AN80" s="3770">
        <v>1.41043714559578E-2</v>
      </c>
      <c r="AO80" s="3426"/>
    </row>
    <row r="81" spans="1:41">
      <c r="A81" s="5047" t="s">
        <v>12</v>
      </c>
      <c r="B81" s="5048"/>
      <c r="C81" s="3448">
        <v>18.607497597944</v>
      </c>
      <c r="D81" s="3458">
        <v>2.94121316059924</v>
      </c>
      <c r="E81" s="3446">
        <v>0</v>
      </c>
      <c r="F81" s="3742">
        <v>70283.311839682196</v>
      </c>
      <c r="G81" s="3448">
        <v>39.927193073230001</v>
      </c>
      <c r="H81" s="3446">
        <v>0</v>
      </c>
      <c r="I81" s="3446">
        <v>0</v>
      </c>
      <c r="J81" s="3507">
        <v>141.380597729557</v>
      </c>
      <c r="K81" s="3473">
        <v>61630.637168884197</v>
      </c>
      <c r="L81" s="3469">
        <v>620.39186065770605</v>
      </c>
      <c r="M81" s="3446">
        <v>0</v>
      </c>
      <c r="N81" s="3466">
        <v>0</v>
      </c>
      <c r="O81" s="3453">
        <v>1.23713825175171</v>
      </c>
      <c r="P81" s="3450" t="s">
        <v>18</v>
      </c>
      <c r="Q81" s="3451">
        <v>0.433013172253152</v>
      </c>
      <c r="R81" s="3472">
        <v>6316.0506617615702</v>
      </c>
      <c r="S81" s="3451">
        <v>0.48414711564697899</v>
      </c>
      <c r="T81" s="3451">
        <v>0.30807455382781801</v>
      </c>
      <c r="U81" s="3471">
        <v>636.48963083917897</v>
      </c>
      <c r="V81" s="3450" t="s">
        <v>18</v>
      </c>
      <c r="W81" s="3451">
        <v>0.422396284632095</v>
      </c>
      <c r="X81" s="3471">
        <v>623.33307381830605</v>
      </c>
      <c r="Y81" s="3453">
        <v>1.7212853673986901</v>
      </c>
      <c r="Z81" s="3449">
        <v>5.0607902570093203E-8</v>
      </c>
      <c r="AA81" s="3449">
        <v>8.8304907726595892E-6</v>
      </c>
      <c r="AB81" s="3449">
        <v>8.8810986752296797E-6</v>
      </c>
      <c r="AC81" s="3451">
        <v>0.12469267043056</v>
      </c>
      <c r="AD81" s="3454">
        <v>3.1238780795594601E-2</v>
      </c>
      <c r="AE81" s="3451">
        <v>0.15593145122615501</v>
      </c>
      <c r="AF81" s="3451">
        <v>0.422396284632095</v>
      </c>
      <c r="AG81" s="3453">
        <v>4.7204697386200101</v>
      </c>
      <c r="AH81" s="3452">
        <v>5.1833112204341704E-3</v>
      </c>
      <c r="AI81" s="3452">
        <v>5.9511742859129999E-3</v>
      </c>
      <c r="AJ81" s="3454">
        <v>1.11344855063472E-2</v>
      </c>
      <c r="AK81" s="3471">
        <v>618.19020779506297</v>
      </c>
      <c r="AL81" s="3471">
        <v>636.79770539300705</v>
      </c>
      <c r="AM81" s="3472">
        <v>6316.4836749338301</v>
      </c>
      <c r="AN81" s="3770">
        <v>3.3886448439830401E-2</v>
      </c>
      <c r="AO81" s="3426"/>
    </row>
    <row r="82" spans="1:41">
      <c r="A82" s="5047" t="s">
        <v>48</v>
      </c>
      <c r="B82" s="5048"/>
      <c r="C82" s="3446">
        <v>0</v>
      </c>
      <c r="D82" s="3446">
        <v>0</v>
      </c>
      <c r="E82" s="3446">
        <v>0</v>
      </c>
      <c r="F82" s="3735">
        <v>0</v>
      </c>
      <c r="G82" s="3446">
        <v>0</v>
      </c>
      <c r="H82" s="3446">
        <v>0</v>
      </c>
      <c r="I82" s="3446">
        <v>0</v>
      </c>
      <c r="J82" s="3499">
        <v>0</v>
      </c>
      <c r="K82" s="3447">
        <v>0</v>
      </c>
      <c r="L82" s="3446">
        <v>0</v>
      </c>
      <c r="M82" s="3446">
        <v>0</v>
      </c>
      <c r="N82" s="3466">
        <v>0</v>
      </c>
      <c r="O82" s="3447">
        <v>0</v>
      </c>
      <c r="P82" s="3450" t="s">
        <v>18</v>
      </c>
      <c r="Q82" s="3447">
        <v>0</v>
      </c>
      <c r="R82" s="3447">
        <v>0</v>
      </c>
      <c r="S82" s="3447">
        <v>0</v>
      </c>
      <c r="T82" s="3447">
        <v>0</v>
      </c>
      <c r="U82" s="3447">
        <v>0</v>
      </c>
      <c r="V82" s="3450" t="s">
        <v>18</v>
      </c>
      <c r="W82" s="3447">
        <v>0</v>
      </c>
      <c r="X82" s="3447">
        <v>0</v>
      </c>
      <c r="Y82" s="3447">
        <v>0</v>
      </c>
      <c r="Z82" s="3447">
        <v>0</v>
      </c>
      <c r="AA82" s="3447">
        <v>0</v>
      </c>
      <c r="AB82" s="3447">
        <v>0</v>
      </c>
      <c r="AC82" s="3447">
        <v>0</v>
      </c>
      <c r="AD82" s="3447">
        <v>0</v>
      </c>
      <c r="AE82" s="3447">
        <v>0</v>
      </c>
      <c r="AF82" s="3447">
        <v>0</v>
      </c>
      <c r="AG82" s="3447">
        <v>0</v>
      </c>
      <c r="AH82" s="3447">
        <v>0</v>
      </c>
      <c r="AI82" s="3447">
        <v>0</v>
      </c>
      <c r="AJ82" s="3447">
        <v>0</v>
      </c>
      <c r="AK82" s="3447">
        <v>0</v>
      </c>
      <c r="AL82" s="3447">
        <v>0</v>
      </c>
      <c r="AM82" s="3447">
        <v>0</v>
      </c>
      <c r="AN82" s="3766">
        <v>0</v>
      </c>
      <c r="AO82" s="3426"/>
    </row>
    <row r="83" spans="1:41">
      <c r="A83" s="5047" t="s">
        <v>751</v>
      </c>
      <c r="B83" s="5048"/>
      <c r="C83" s="3458">
        <v>7.1819879075721804</v>
      </c>
      <c r="D83" s="3458">
        <v>1.1357404902482799</v>
      </c>
      <c r="E83" s="3446">
        <v>0</v>
      </c>
      <c r="F83" s="3742">
        <v>31577.622632205999</v>
      </c>
      <c r="G83" s="3448">
        <v>15.84603503053</v>
      </c>
      <c r="H83" s="3446">
        <v>0</v>
      </c>
      <c r="I83" s="3446">
        <v>0</v>
      </c>
      <c r="J83" s="3504">
        <v>34.656286317088799</v>
      </c>
      <c r="K83" s="3473">
        <v>25988.273476908402</v>
      </c>
      <c r="L83" s="3469">
        <v>246.21693637726801</v>
      </c>
      <c r="M83" s="3446">
        <v>0</v>
      </c>
      <c r="N83" s="3466">
        <v>0</v>
      </c>
      <c r="O83" s="3451">
        <v>0.24271610892346601</v>
      </c>
      <c r="P83" s="3450" t="s">
        <v>18</v>
      </c>
      <c r="Q83" s="3451">
        <v>0.29056226853137601</v>
      </c>
      <c r="R83" s="3472">
        <v>6161.8026787987301</v>
      </c>
      <c r="S83" s="3454">
        <v>9.4985587819281195E-2</v>
      </c>
      <c r="T83" s="3454">
        <v>8.5246299060451294E-2</v>
      </c>
      <c r="U83" s="3471">
        <v>253.133351327111</v>
      </c>
      <c r="V83" s="3450" t="s">
        <v>18</v>
      </c>
      <c r="W83" s="3452">
        <v>7.9107648973312308E-3</v>
      </c>
      <c r="X83" s="3471">
        <v>247.35267686751601</v>
      </c>
      <c r="Y83" s="3451">
        <v>0.33770169674274703</v>
      </c>
      <c r="Z83" s="3449">
        <v>1.9595759421552199E-10</v>
      </c>
      <c r="AA83" s="3449">
        <v>3.4192322536111699E-8</v>
      </c>
      <c r="AB83" s="3449">
        <v>3.4388280130327202E-8</v>
      </c>
      <c r="AC83" s="3454">
        <v>1.0256387970523501E-2</v>
      </c>
      <c r="AD83" s="3452">
        <v>2.5694938961483E-3</v>
      </c>
      <c r="AE83" s="3454">
        <v>1.2825881866671799E-2</v>
      </c>
      <c r="AF83" s="3452">
        <v>7.9107648973312308E-3</v>
      </c>
      <c r="AG83" s="3453">
        <v>1.30815638402349</v>
      </c>
      <c r="AH83" s="3460">
        <v>4.0253020668513999E-4</v>
      </c>
      <c r="AI83" s="3460">
        <v>4.6216160161943601E-4</v>
      </c>
      <c r="AJ83" s="3460">
        <v>8.6469180830457595E-4</v>
      </c>
      <c r="AK83" s="3471">
        <v>246.03660971859901</v>
      </c>
      <c r="AL83" s="3471">
        <v>253.218597626171</v>
      </c>
      <c r="AM83" s="3472">
        <v>6162.0932410672604</v>
      </c>
      <c r="AN83" s="3770">
        <v>1.0413969938368701E-2</v>
      </c>
      <c r="AO83" s="3426"/>
    </row>
    <row r="84" spans="1:41">
      <c r="A84" s="5047" t="s">
        <v>65</v>
      </c>
      <c r="B84" s="5048"/>
      <c r="C84" s="3448">
        <v>22.322619226325301</v>
      </c>
      <c r="D84" s="3458">
        <v>3.52415630954683</v>
      </c>
      <c r="E84" s="3446">
        <v>0</v>
      </c>
      <c r="F84" s="3742">
        <v>91279.898710027497</v>
      </c>
      <c r="G84" s="3448">
        <v>15.5272417507</v>
      </c>
      <c r="H84" s="3446">
        <v>0</v>
      </c>
      <c r="I84" s="3446">
        <v>0</v>
      </c>
      <c r="J84" s="3504">
        <v>92.174605382505504</v>
      </c>
      <c r="K84" s="3473">
        <v>86882.078786690894</v>
      </c>
      <c r="L84" s="3469">
        <v>884.63283834524805</v>
      </c>
      <c r="M84" s="3446">
        <v>0</v>
      </c>
      <c r="N84" s="3466">
        <v>0</v>
      </c>
      <c r="O84" s="3451">
        <v>0.84565597263522696</v>
      </c>
      <c r="P84" s="3450" t="s">
        <v>18</v>
      </c>
      <c r="Q84" s="3451">
        <v>0.28692005609867699</v>
      </c>
      <c r="R84" s="3472">
        <v>9124.9695762562897</v>
      </c>
      <c r="S84" s="3451">
        <v>0.33094272156023802</v>
      </c>
      <c r="T84" s="3451">
        <v>0.204931312242293</v>
      </c>
      <c r="U84" s="3471">
        <v>906.99775976181195</v>
      </c>
      <c r="V84" s="3450" t="s">
        <v>18</v>
      </c>
      <c r="W84" s="3451">
        <v>0.120163430062702</v>
      </c>
      <c r="X84" s="3471">
        <v>888.15699465479497</v>
      </c>
      <c r="Y84" s="3453">
        <v>1.17659869419546</v>
      </c>
      <c r="Z84" s="3449">
        <v>6.8777993915695598E-9</v>
      </c>
      <c r="AA84" s="3449">
        <v>1.20009605178441E-6</v>
      </c>
      <c r="AB84" s="3449">
        <v>1.20697385117597E-6</v>
      </c>
      <c r="AC84" s="3454">
        <v>8.4943733634118099E-2</v>
      </c>
      <c r="AD84" s="3454">
        <v>2.12806307362975E-2</v>
      </c>
      <c r="AE84" s="3451">
        <v>0.10622436437041601</v>
      </c>
      <c r="AF84" s="3451">
        <v>0.120163430062702</v>
      </c>
      <c r="AG84" s="3453">
        <v>3.1567593770157201</v>
      </c>
      <c r="AH84" s="3452">
        <v>3.4625614401985602E-3</v>
      </c>
      <c r="AI84" s="3452">
        <v>3.9755101960822397E-3</v>
      </c>
      <c r="AJ84" s="3452">
        <v>7.4380716362807998E-3</v>
      </c>
      <c r="AK84" s="3471">
        <v>884.88007184772903</v>
      </c>
      <c r="AL84" s="3471">
        <v>907.202691074055</v>
      </c>
      <c r="AM84" s="3472">
        <v>9125.2564963123896</v>
      </c>
      <c r="AN84" s="3770">
        <v>3.4838638217339998E-2</v>
      </c>
      <c r="AO84" s="3426"/>
    </row>
    <row r="85" spans="1:41">
      <c r="A85" s="5047" t="s">
        <v>13</v>
      </c>
      <c r="B85" s="5048"/>
      <c r="C85" s="3448">
        <v>13.701530352884999</v>
      </c>
      <c r="D85" s="3458">
        <v>2.1768359396425399</v>
      </c>
      <c r="E85" s="3446">
        <v>0</v>
      </c>
      <c r="F85" s="3742">
        <v>58418.6018695811</v>
      </c>
      <c r="G85" s="3446">
        <v>0</v>
      </c>
      <c r="H85" s="3446">
        <v>0</v>
      </c>
      <c r="I85" s="3446">
        <v>0</v>
      </c>
      <c r="J85" s="3504">
        <v>54.459878498282499</v>
      </c>
      <c r="K85" s="3473">
        <v>59620.156799966302</v>
      </c>
      <c r="L85" s="3469">
        <v>574.50618488029204</v>
      </c>
      <c r="M85" s="3446">
        <v>0</v>
      </c>
      <c r="N85" s="3466">
        <v>0</v>
      </c>
      <c r="O85" s="3451">
        <v>0.280872577535351</v>
      </c>
      <c r="P85" s="3450" t="s">
        <v>18</v>
      </c>
      <c r="Q85" s="3454">
        <v>9.8632970868044997E-2</v>
      </c>
      <c r="R85" s="3472">
        <v>3065.60184683527</v>
      </c>
      <c r="S85" s="3451">
        <v>0.109917907788825</v>
      </c>
      <c r="T85" s="3451">
        <v>0.13691731236159099</v>
      </c>
      <c r="U85" s="3471">
        <v>588.12836357706999</v>
      </c>
      <c r="V85" s="3450" t="s">
        <v>18</v>
      </c>
      <c r="W85" s="3452">
        <v>7.6250246234380497E-3</v>
      </c>
      <c r="X85" s="3471">
        <v>576.683020819935</v>
      </c>
      <c r="Y85" s="3451">
        <v>0.39079048532417598</v>
      </c>
      <c r="Z85" s="3449">
        <v>4.3312430451703302E-10</v>
      </c>
      <c r="AA85" s="3449">
        <v>7.5575156847390604E-8</v>
      </c>
      <c r="AB85" s="3449">
        <v>7.6008281151907605E-8</v>
      </c>
      <c r="AC85" s="3454">
        <v>5.4661204148781603E-2</v>
      </c>
      <c r="AD85" s="3454">
        <v>1.36940637210745E-2</v>
      </c>
      <c r="AE85" s="3454">
        <v>6.8355267869856198E-2</v>
      </c>
      <c r="AF85" s="3452">
        <v>7.6250246234380497E-3</v>
      </c>
      <c r="AG85" s="3453">
        <v>2.1116452587727101</v>
      </c>
      <c r="AH85" s="3452">
        <v>2.2143987000508999E-3</v>
      </c>
      <c r="AI85" s="3452">
        <v>2.5424428597976899E-3</v>
      </c>
      <c r="AJ85" s="3452">
        <v>4.7568415598485802E-3</v>
      </c>
      <c r="AK85" s="3471">
        <v>574.56375053654597</v>
      </c>
      <c r="AL85" s="3471">
        <v>588.26528088943098</v>
      </c>
      <c r="AM85" s="3472">
        <v>3065.7004798061398</v>
      </c>
      <c r="AN85" s="3770">
        <v>2.2243140445581799E-2</v>
      </c>
      <c r="AO85" s="3426"/>
    </row>
    <row r="86" spans="1:41">
      <c r="A86" s="5047" t="s">
        <v>14</v>
      </c>
      <c r="B86" s="5048"/>
      <c r="C86" s="3448">
        <v>12.328816388058801</v>
      </c>
      <c r="D86" s="3458">
        <v>1.91463138890079</v>
      </c>
      <c r="E86" s="3446">
        <v>0</v>
      </c>
      <c r="F86" s="3742">
        <v>50813.851001322699</v>
      </c>
      <c r="G86" s="3446">
        <v>0</v>
      </c>
      <c r="H86" s="3446">
        <v>0</v>
      </c>
      <c r="I86" s="3446">
        <v>0</v>
      </c>
      <c r="J86" s="3504">
        <v>40.9723735016902</v>
      </c>
      <c r="K86" s="3473">
        <v>50605.257414265099</v>
      </c>
      <c r="L86" s="3469">
        <v>528.27412478339204</v>
      </c>
      <c r="M86" s="3446">
        <v>0</v>
      </c>
      <c r="N86" s="3466">
        <v>0</v>
      </c>
      <c r="O86" s="3451">
        <v>0.29121969311912699</v>
      </c>
      <c r="P86" s="3450" t="s">
        <v>18</v>
      </c>
      <c r="Q86" s="3451">
        <v>0.124202179606868</v>
      </c>
      <c r="R86" s="3472">
        <v>5086.9005230200901</v>
      </c>
      <c r="S86" s="3451">
        <v>0.113967193434999</v>
      </c>
      <c r="T86" s="3454">
        <v>9.5454000248255802E-2</v>
      </c>
      <c r="U86" s="3471">
        <v>537.36456879785203</v>
      </c>
      <c r="V86" s="3450" t="s">
        <v>18</v>
      </c>
      <c r="W86" s="3453">
        <v>3.5867432632676999</v>
      </c>
      <c r="X86" s="3471">
        <v>530.18875617229298</v>
      </c>
      <c r="Y86" s="3451">
        <v>0.40518688655412599</v>
      </c>
      <c r="Z86" s="3449">
        <v>1.28028310999447E-7</v>
      </c>
      <c r="AA86" s="3449">
        <v>2.2339452170616299E-5</v>
      </c>
      <c r="AB86" s="3449">
        <v>2.24674804816157E-5</v>
      </c>
      <c r="AC86" s="3454">
        <v>3.1388687607336298E-2</v>
      </c>
      <c r="AD86" s="3452">
        <v>7.8636886052819693E-3</v>
      </c>
      <c r="AE86" s="3454">
        <v>3.9252376212618303E-2</v>
      </c>
      <c r="AF86" s="3453">
        <v>3.5867432632676999</v>
      </c>
      <c r="AG86" s="3453">
        <v>1.4708064989916401</v>
      </c>
      <c r="AH86" s="3452">
        <v>1.26504246360361E-3</v>
      </c>
      <c r="AI86" s="3452">
        <v>1.4524476458805499E-3</v>
      </c>
      <c r="AJ86" s="3452">
        <v>2.7174901094841599E-3</v>
      </c>
      <c r="AK86" s="3471">
        <v>525.13120641004105</v>
      </c>
      <c r="AL86" s="3471">
        <v>537.4600227981</v>
      </c>
      <c r="AM86" s="3472">
        <v>5087.0247251996998</v>
      </c>
      <c r="AN86" s="3770">
        <v>1.7641730730531598E-2</v>
      </c>
      <c r="AO86" s="3426"/>
    </row>
    <row r="87" spans="1:41">
      <c r="A87" s="5047" t="s">
        <v>424</v>
      </c>
      <c r="B87" s="5048"/>
      <c r="C87" s="3448">
        <v>22.019720776307199</v>
      </c>
      <c r="D87" s="3458">
        <v>3.4525999611088198</v>
      </c>
      <c r="E87" s="3446">
        <v>0</v>
      </c>
      <c r="F87" s="3743">
        <v>122393.05281459</v>
      </c>
      <c r="G87" s="3446">
        <v>0</v>
      </c>
      <c r="H87" s="3446">
        <v>0</v>
      </c>
      <c r="I87" s="3446">
        <v>0</v>
      </c>
      <c r="J87" s="3504">
        <v>39.507581337220699</v>
      </c>
      <c r="K87" s="3467">
        <v>123732.923839597</v>
      </c>
      <c r="L87" s="3464">
        <v>1309.8547040051701</v>
      </c>
      <c r="M87" s="3446">
        <v>0</v>
      </c>
      <c r="N87" s="3466">
        <v>0</v>
      </c>
      <c r="O87" s="3451">
        <v>0.389374950527062</v>
      </c>
      <c r="P87" s="3450" t="s">
        <v>18</v>
      </c>
      <c r="Q87" s="3451">
        <v>0.13151770748802599</v>
      </c>
      <c r="R87" s="3473">
        <v>13734.8462109545</v>
      </c>
      <c r="S87" s="3451">
        <v>0.152379702863392</v>
      </c>
      <c r="T87" s="3454">
        <v>9.5405408748341997E-2</v>
      </c>
      <c r="U87" s="3472">
        <v>1333.7478587809501</v>
      </c>
      <c r="V87" s="3450" t="s">
        <v>18</v>
      </c>
      <c r="W87" s="3452">
        <v>2.38779808744707E-3</v>
      </c>
      <c r="X87" s="3472">
        <v>1313.30730396628</v>
      </c>
      <c r="Y87" s="3451">
        <v>0.54175465339045403</v>
      </c>
      <c r="Z87" s="3449">
        <v>4.2765533238698699E-11</v>
      </c>
      <c r="AA87" s="3449">
        <v>7.46208847776598E-9</v>
      </c>
      <c r="AB87" s="3449">
        <v>7.5048540110046701E-9</v>
      </c>
      <c r="AC87" s="3454">
        <v>3.9100762077701898E-2</v>
      </c>
      <c r="AD87" s="3452">
        <v>9.7957653105700607E-3</v>
      </c>
      <c r="AE87" s="3454">
        <v>4.8896527388272E-2</v>
      </c>
      <c r="AF87" s="3452">
        <v>2.38779808744707E-3</v>
      </c>
      <c r="AG87" s="3453">
        <v>1.48137275482245</v>
      </c>
      <c r="AH87" s="3452">
        <v>1.5319782875290501E-3</v>
      </c>
      <c r="AI87" s="3452">
        <v>1.7589277208317499E-3</v>
      </c>
      <c r="AJ87" s="3452">
        <v>3.2909060083608E-3</v>
      </c>
      <c r="AK87" s="3472">
        <v>1311.8235434133901</v>
      </c>
      <c r="AL87" s="3472">
        <v>1333.8432641897</v>
      </c>
      <c r="AM87" s="3473">
        <v>13734.977728661999</v>
      </c>
      <c r="AN87" s="3770">
        <v>3.90360365151039E-2</v>
      </c>
      <c r="AO87" s="3426"/>
    </row>
    <row r="88" spans="1:41">
      <c r="A88" s="5047" t="s">
        <v>16</v>
      </c>
      <c r="B88" s="5048"/>
      <c r="C88" s="3459">
        <v>0.603415818437675</v>
      </c>
      <c r="D88" s="3459">
        <v>0.100277407426118</v>
      </c>
      <c r="E88" s="3446">
        <v>0</v>
      </c>
      <c r="F88" s="3741">
        <v>3345.6820364437599</v>
      </c>
      <c r="G88" s="3446">
        <v>0</v>
      </c>
      <c r="H88" s="3446">
        <v>0</v>
      </c>
      <c r="I88" s="3446">
        <v>0</v>
      </c>
      <c r="J88" s="3499">
        <v>0</v>
      </c>
      <c r="K88" s="3472">
        <v>3239.3937255764299</v>
      </c>
      <c r="L88" s="3446">
        <v>0</v>
      </c>
      <c r="M88" s="3446">
        <v>0</v>
      </c>
      <c r="N88" s="3466">
        <v>0</v>
      </c>
      <c r="O88" s="3452">
        <v>7.0657231825239503E-3</v>
      </c>
      <c r="P88" s="3450" t="s">
        <v>18</v>
      </c>
      <c r="Q88" s="3452">
        <v>2.6767542370238601E-3</v>
      </c>
      <c r="R88" s="3471">
        <v>352.756941866425</v>
      </c>
      <c r="S88" s="3452">
        <v>2.76513113545334E-3</v>
      </c>
      <c r="T88" s="3449">
        <v>4.0068564714090997E-5</v>
      </c>
      <c r="U88" s="3451">
        <v>0.70337803046732095</v>
      </c>
      <c r="V88" s="3450" t="s">
        <v>18</v>
      </c>
      <c r="W88" s="3460">
        <v>1.85312145683146E-4</v>
      </c>
      <c r="X88" s="3451">
        <v>0.100277407426118</v>
      </c>
      <c r="Y88" s="3452">
        <v>9.8308543179772903E-3</v>
      </c>
      <c r="Z88" s="3449">
        <v>2.35573382089759E-12</v>
      </c>
      <c r="AA88" s="3449">
        <v>4.1104817057902401E-10</v>
      </c>
      <c r="AB88" s="3449">
        <v>4.1340390439992199E-10</v>
      </c>
      <c r="AC88" s="3449">
        <v>1.4636622004737901E-5</v>
      </c>
      <c r="AD88" s="3449">
        <v>3.66685728050558E-6</v>
      </c>
      <c r="AE88" s="3449">
        <v>1.8303479285243499E-5</v>
      </c>
      <c r="AF88" s="3460">
        <v>1.85312145683146E-4</v>
      </c>
      <c r="AG88" s="3449">
        <v>8.9814686075512704E-5</v>
      </c>
      <c r="AH88" s="3449">
        <v>8.2264438598940599E-8</v>
      </c>
      <c r="AI88" s="3449">
        <v>9.4451209046651895E-8</v>
      </c>
      <c r="AJ88" s="3449">
        <v>1.76715647645593E-7</v>
      </c>
      <c r="AK88" s="3451">
        <v>0.100002280594361</v>
      </c>
      <c r="AL88" s="3451">
        <v>0.703418099032035</v>
      </c>
      <c r="AM88" s="3471">
        <v>352.75961862066202</v>
      </c>
      <c r="AN88" s="3771">
        <v>1.03974487369039E-3</v>
      </c>
      <c r="AO88" s="3426"/>
    </row>
    <row r="89" spans="1:41">
      <c r="A89" s="5047" t="s">
        <v>770</v>
      </c>
      <c r="B89" s="5048"/>
      <c r="C89" s="3458">
        <v>6.3676248208817796</v>
      </c>
      <c r="D89" s="3458">
        <v>1.0027740742611799</v>
      </c>
      <c r="E89" s="3446">
        <v>0</v>
      </c>
      <c r="F89" s="3742">
        <v>35129.661382659397</v>
      </c>
      <c r="G89" s="3446">
        <v>0</v>
      </c>
      <c r="H89" s="3446">
        <v>0</v>
      </c>
      <c r="I89" s="3446">
        <v>0</v>
      </c>
      <c r="J89" s="3504">
        <v>10.4910561807307</v>
      </c>
      <c r="K89" s="3473">
        <v>37253.027844128897</v>
      </c>
      <c r="L89" s="3469">
        <v>347.82588108896402</v>
      </c>
      <c r="M89" s="3446">
        <v>0</v>
      </c>
      <c r="N89" s="3466">
        <v>0</v>
      </c>
      <c r="O89" s="3454">
        <v>8.8297669534208395E-2</v>
      </c>
      <c r="P89" s="3450" t="s">
        <v>18</v>
      </c>
      <c r="Q89" s="3454">
        <v>2.56786011410692E-2</v>
      </c>
      <c r="R89" s="3472">
        <v>3727.8916837090101</v>
      </c>
      <c r="S89" s="3454">
        <v>3.4554797705759401E-2</v>
      </c>
      <c r="T89" s="3454">
        <v>1.8401882586033501E-2</v>
      </c>
      <c r="U89" s="3471">
        <v>354.48963201703498</v>
      </c>
      <c r="V89" s="3450" t="s">
        <v>18</v>
      </c>
      <c r="W89" s="3451">
        <v>0.40337895269358298</v>
      </c>
      <c r="X89" s="3471">
        <v>348.82865516322602</v>
      </c>
      <c r="Y89" s="3451">
        <v>0.122852467239968</v>
      </c>
      <c r="Z89" s="3449">
        <v>6.0483379514475098E-9</v>
      </c>
      <c r="AA89" s="3449">
        <v>1.0553646714801101E-6</v>
      </c>
      <c r="AB89" s="3449">
        <v>1.0614130094315601E-6</v>
      </c>
      <c r="AC89" s="3452">
        <v>8.7009021573568601E-3</v>
      </c>
      <c r="AD89" s="3452">
        <v>2.17980394740966E-3</v>
      </c>
      <c r="AE89" s="3454">
        <v>1.08807061047665E-2</v>
      </c>
      <c r="AF89" s="3451">
        <v>0.40337895269358298</v>
      </c>
      <c r="AG89" s="3451">
        <v>0.28486713179776302</v>
      </c>
      <c r="AH89" s="3460">
        <v>3.3926046827181198E-4</v>
      </c>
      <c r="AI89" s="3460">
        <v>3.8951899454667401E-4</v>
      </c>
      <c r="AJ89" s="3460">
        <v>7.2877946281848605E-4</v>
      </c>
      <c r="AK89" s="3471">
        <v>348.14040907873903</v>
      </c>
      <c r="AL89" s="3471">
        <v>354.50803389962101</v>
      </c>
      <c r="AM89" s="3472">
        <v>3727.9173623101601</v>
      </c>
      <c r="AN89" s="3770">
        <v>1.10433380771713E-2</v>
      </c>
      <c r="AO89" s="3426"/>
    </row>
    <row r="90" spans="1:41">
      <c r="A90" s="5047" t="s">
        <v>833</v>
      </c>
      <c r="B90" s="5048"/>
      <c r="C90" s="3448">
        <v>14.7712449152351</v>
      </c>
      <c r="D90" s="3458">
        <v>2.3017066775902801</v>
      </c>
      <c r="E90" s="3446">
        <v>0</v>
      </c>
      <c r="F90" s="3743">
        <v>125296.70144323701</v>
      </c>
      <c r="G90" s="3446">
        <v>0</v>
      </c>
      <c r="H90" s="3446">
        <v>0</v>
      </c>
      <c r="I90" s="3446">
        <v>0</v>
      </c>
      <c r="J90" s="3504">
        <v>12.6739646735293</v>
      </c>
      <c r="K90" s="3467">
        <v>131099.737843371</v>
      </c>
      <c r="L90" s="3464">
        <v>1260.5974613569399</v>
      </c>
      <c r="M90" s="3446">
        <v>0</v>
      </c>
      <c r="N90" s="3466">
        <v>0</v>
      </c>
      <c r="O90" s="3451">
        <v>0.12319936337847801</v>
      </c>
      <c r="P90" s="3450" t="s">
        <v>18</v>
      </c>
      <c r="Q90" s="3454">
        <v>4.1829821171344303E-2</v>
      </c>
      <c r="R90" s="3473">
        <v>13969.450066961799</v>
      </c>
      <c r="S90" s="3454">
        <v>4.82133798262065E-2</v>
      </c>
      <c r="T90" s="3454">
        <v>2.96466489032742E-2</v>
      </c>
      <c r="U90" s="3472">
        <v>1277.1774271734</v>
      </c>
      <c r="V90" s="3450" t="s">
        <v>18</v>
      </c>
      <c r="W90" s="3460">
        <v>6.2874241137637703E-4</v>
      </c>
      <c r="X90" s="3472">
        <v>1262.89916803453</v>
      </c>
      <c r="Y90" s="3451">
        <v>0.171412743204685</v>
      </c>
      <c r="Z90" s="3449">
        <v>3.5760673347042198E-12</v>
      </c>
      <c r="AA90" s="3449">
        <v>6.2398218455661203E-10</v>
      </c>
      <c r="AB90" s="3449">
        <v>6.2755825189131602E-10</v>
      </c>
      <c r="AC90" s="3454">
        <v>1.18916585064442E-2</v>
      </c>
      <c r="AD90" s="3452">
        <v>2.97917200823565E-3</v>
      </c>
      <c r="AE90" s="3454">
        <v>1.48708305146798E-2</v>
      </c>
      <c r="AF90" s="3460">
        <v>6.2874241137637703E-4</v>
      </c>
      <c r="AG90" s="3451">
        <v>0.46271038506796702</v>
      </c>
      <c r="AH90" s="3460">
        <v>4.4906048142000601E-4</v>
      </c>
      <c r="AI90" s="3460">
        <v>5.1558493715578996E-4</v>
      </c>
      <c r="AJ90" s="3460">
        <v>9.6464541857579499E-4</v>
      </c>
      <c r="AK90" s="3472">
        <v>1262.4358289070699</v>
      </c>
      <c r="AL90" s="3472">
        <v>1277.2070738223099</v>
      </c>
      <c r="AM90" s="3473">
        <v>13969.4918967829</v>
      </c>
      <c r="AN90" s="3770">
        <v>3.7558286002121702E-2</v>
      </c>
      <c r="AO90" s="3426"/>
    </row>
    <row r="91" spans="1:41">
      <c r="A91" s="5047" t="s">
        <v>834</v>
      </c>
      <c r="B91" s="5048"/>
      <c r="C91" s="3458">
        <v>8.9552238435160199</v>
      </c>
      <c r="D91" s="3458">
        <v>1.4783028111049601</v>
      </c>
      <c r="E91" s="3446">
        <v>0</v>
      </c>
      <c r="F91" s="3743">
        <v>125548.149625103</v>
      </c>
      <c r="G91" s="3446">
        <v>0</v>
      </c>
      <c r="H91" s="3446">
        <v>0</v>
      </c>
      <c r="I91" s="3446">
        <v>0</v>
      </c>
      <c r="J91" s="3503">
        <v>7.0300244824977796</v>
      </c>
      <c r="K91" s="3467">
        <v>132413.17415741901</v>
      </c>
      <c r="L91" s="3464">
        <v>1398.4623192808799</v>
      </c>
      <c r="M91" s="3446">
        <v>0</v>
      </c>
      <c r="N91" s="3466">
        <v>0</v>
      </c>
      <c r="O91" s="3454">
        <v>4.1174073421009101E-2</v>
      </c>
      <c r="P91" s="3450" t="s">
        <v>18</v>
      </c>
      <c r="Q91" s="3454">
        <v>1.46573164353109E-2</v>
      </c>
      <c r="R91" s="3473">
        <v>14930.6394335692</v>
      </c>
      <c r="S91" s="3454">
        <v>1.6113242685684301E-2</v>
      </c>
      <c r="T91" s="3454">
        <v>1.10546020835723E-2</v>
      </c>
      <c r="U91" s="3472">
        <v>1408.7113580611799</v>
      </c>
      <c r="V91" s="3450" t="s">
        <v>18</v>
      </c>
      <c r="W91" s="3449">
        <v>7.2346936403242098E-5</v>
      </c>
      <c r="X91" s="3472">
        <v>1399.94062209198</v>
      </c>
      <c r="Y91" s="3454">
        <v>5.7287316106693298E-2</v>
      </c>
      <c r="Z91" s="3449">
        <v>1.31221826049427E-13</v>
      </c>
      <c r="AA91" s="3449">
        <v>2.28966834279706E-11</v>
      </c>
      <c r="AB91" s="3449">
        <v>2.3027905254019999E-11</v>
      </c>
      <c r="AC91" s="3452">
        <v>4.1828277221325804E-3</v>
      </c>
      <c r="AD91" s="3452">
        <v>1.04790793128617E-3</v>
      </c>
      <c r="AE91" s="3452">
        <v>5.2307356534187499E-3</v>
      </c>
      <c r="AF91" s="3449">
        <v>7.2346936403242098E-5</v>
      </c>
      <c r="AG91" s="3451">
        <v>0.173360925321699</v>
      </c>
      <c r="AH91" s="3460">
        <v>1.5266910810032101E-4</v>
      </c>
      <c r="AI91" s="3460">
        <v>1.7528572600427399E-4</v>
      </c>
      <c r="AJ91" s="3460">
        <v>3.27954834104595E-4</v>
      </c>
      <c r="AK91" s="3472">
        <v>1399.7671888197401</v>
      </c>
      <c r="AL91" s="3472">
        <v>1408.72241266326</v>
      </c>
      <c r="AM91" s="3473">
        <v>14930.6540908857</v>
      </c>
      <c r="AN91" s="3770">
        <v>3.6880886229009403E-2</v>
      </c>
      <c r="AO91" s="3426"/>
    </row>
    <row r="92" spans="1:41">
      <c r="A92" s="5047" t="s">
        <v>752</v>
      </c>
      <c r="B92" s="5048"/>
      <c r="C92" s="3448">
        <v>13.810730365485799</v>
      </c>
      <c r="D92" s="3458">
        <v>2.2349851991799499</v>
      </c>
      <c r="E92" s="3446">
        <v>0</v>
      </c>
      <c r="F92" s="3744">
        <v>1267666.86950993</v>
      </c>
      <c r="G92" s="3446">
        <v>0</v>
      </c>
      <c r="H92" s="3446">
        <v>0</v>
      </c>
      <c r="I92" s="3446">
        <v>0</v>
      </c>
      <c r="J92" s="3499">
        <v>0</v>
      </c>
      <c r="K92" s="3449">
        <v>1339705.2295092701</v>
      </c>
      <c r="L92" s="3470">
        <v>13781.9579784466</v>
      </c>
      <c r="M92" s="3446">
        <v>0</v>
      </c>
      <c r="N92" s="3466">
        <v>0</v>
      </c>
      <c r="O92" s="3449">
        <v>3.2831538213940502E-5</v>
      </c>
      <c r="P92" s="3450" t="s">
        <v>18</v>
      </c>
      <c r="Q92" s="3449">
        <v>1.61233775280808E-5</v>
      </c>
      <c r="R92" s="3467">
        <v>181008.45788922199</v>
      </c>
      <c r="S92" s="3449">
        <v>1.28484383261338E-5</v>
      </c>
      <c r="T92" s="3449">
        <v>1.27572030226029E-5</v>
      </c>
      <c r="U92" s="3473">
        <v>13798.003461394001</v>
      </c>
      <c r="V92" s="3450" t="s">
        <v>18</v>
      </c>
      <c r="W92" s="3449">
        <v>1.91481269613282E-5</v>
      </c>
      <c r="X92" s="3473">
        <v>13784.192963645801</v>
      </c>
      <c r="Y92" s="3449">
        <v>4.5679976540074303E-5</v>
      </c>
      <c r="Z92" s="3449">
        <v>2.6761654854463899E-18</v>
      </c>
      <c r="AA92" s="3449">
        <v>4.6695977160115901E-16</v>
      </c>
      <c r="AB92" s="3449">
        <v>4.6963593708660495E-16</v>
      </c>
      <c r="AC92" s="3449">
        <v>3.1560950808890099E-6</v>
      </c>
      <c r="AD92" s="3449">
        <v>7.9068450504355202E-7</v>
      </c>
      <c r="AE92" s="3449">
        <v>3.9467795859325697E-6</v>
      </c>
      <c r="AF92" s="3449">
        <v>1.91481269613282E-5</v>
      </c>
      <c r="AG92" s="3460">
        <v>2.0071221550540101E-4</v>
      </c>
      <c r="AH92" s="3449">
        <v>8.46146745654959E-8</v>
      </c>
      <c r="AI92" s="3449">
        <v>9.7149612298004496E-8</v>
      </c>
      <c r="AJ92" s="3449">
        <v>1.817642868635E-7</v>
      </c>
      <c r="AK92" s="3473">
        <v>13784.192743785699</v>
      </c>
      <c r="AL92" s="3473">
        <v>13798.003474151201</v>
      </c>
      <c r="AM92" s="3467">
        <v>181008.45790534501</v>
      </c>
      <c r="AN92" s="3769">
        <v>0.368897175164348</v>
      </c>
      <c r="AO92" s="3426"/>
    </row>
    <row r="93" spans="1:41" ht="13" thickBot="1">
      <c r="A93" s="5049" t="s">
        <v>430</v>
      </c>
      <c r="B93" s="5050"/>
      <c r="C93" s="3431" t="s">
        <v>57</v>
      </c>
      <c r="D93" s="3433" t="s">
        <v>57</v>
      </c>
      <c r="E93" s="3433" t="s">
        <v>57</v>
      </c>
      <c r="F93" s="3731" t="s">
        <v>57</v>
      </c>
      <c r="G93" s="3433" t="s">
        <v>57</v>
      </c>
      <c r="H93" s="3433" t="s">
        <v>57</v>
      </c>
      <c r="I93" s="3433" t="s">
        <v>57</v>
      </c>
      <c r="J93" s="3418" t="s">
        <v>57</v>
      </c>
      <c r="K93" s="3433" t="s">
        <v>57</v>
      </c>
      <c r="L93" s="3433" t="s">
        <v>57</v>
      </c>
      <c r="M93" s="3433" t="s">
        <v>57</v>
      </c>
      <c r="N93" s="3433" t="s">
        <v>57</v>
      </c>
      <c r="O93" s="3433" t="s">
        <v>57</v>
      </c>
      <c r="P93" s="3433" t="s">
        <v>57</v>
      </c>
      <c r="Q93" s="3433" t="s">
        <v>57</v>
      </c>
      <c r="R93" s="3433" t="s">
        <v>57</v>
      </c>
      <c r="S93" s="3433" t="s">
        <v>57</v>
      </c>
      <c r="T93" s="3433" t="s">
        <v>57</v>
      </c>
      <c r="U93" s="3433" t="s">
        <v>57</v>
      </c>
      <c r="V93" s="3433" t="s">
        <v>57</v>
      </c>
      <c r="W93" s="3433" t="s">
        <v>57</v>
      </c>
      <c r="X93" s="3433" t="s">
        <v>57</v>
      </c>
      <c r="Y93" s="3433" t="s">
        <v>57</v>
      </c>
      <c r="Z93" s="3433" t="s">
        <v>57</v>
      </c>
      <c r="AA93" s="3433" t="s">
        <v>57</v>
      </c>
      <c r="AB93" s="3433" t="s">
        <v>57</v>
      </c>
      <c r="AC93" s="3433" t="s">
        <v>57</v>
      </c>
      <c r="AD93" s="3433" t="s">
        <v>57</v>
      </c>
      <c r="AE93" s="3433" t="s">
        <v>57</v>
      </c>
      <c r="AF93" s="3433" t="s">
        <v>57</v>
      </c>
      <c r="AG93" s="3433" t="s">
        <v>57</v>
      </c>
      <c r="AH93" s="3433" t="s">
        <v>57</v>
      </c>
      <c r="AI93" s="3433" t="s">
        <v>57</v>
      </c>
      <c r="AJ93" s="3433" t="s">
        <v>57</v>
      </c>
      <c r="AK93" s="3433" t="s">
        <v>57</v>
      </c>
      <c r="AL93" s="3433" t="s">
        <v>57</v>
      </c>
      <c r="AM93" s="3433" t="s">
        <v>57</v>
      </c>
      <c r="AN93" s="3765" t="s">
        <v>57</v>
      </c>
      <c r="AO93" s="3426"/>
    </row>
    <row r="94" spans="1:41" ht="13" thickTop="1">
      <c r="A94" s="5051" t="s">
        <v>298</v>
      </c>
      <c r="B94" s="5052"/>
      <c r="C94" s="3457">
        <v>2.8334772236255899E-5</v>
      </c>
      <c r="D94" s="3459">
        <v>0.85595212534486398</v>
      </c>
      <c r="E94" s="3446">
        <v>0</v>
      </c>
      <c r="F94" s="3735">
        <v>0</v>
      </c>
      <c r="G94" s="3446"/>
      <c r="H94" s="3446">
        <v>0</v>
      </c>
      <c r="I94" s="3446">
        <v>0</v>
      </c>
      <c r="J94" s="3499">
        <v>2.385E-2</v>
      </c>
      <c r="K94" s="3447">
        <v>0</v>
      </c>
      <c r="L94" s="3448">
        <v>73.105705906890407</v>
      </c>
      <c r="M94" s="3446">
        <v>0</v>
      </c>
      <c r="N94" s="3466">
        <v>0</v>
      </c>
      <c r="O94" s="3449">
        <v>1.1387843269288601E-8</v>
      </c>
      <c r="P94" s="3450" t="s">
        <v>18</v>
      </c>
      <c r="Q94" s="3449">
        <v>7.7169736234741408E-6</v>
      </c>
      <c r="R94" s="3460">
        <v>3.6785421584465999E-4</v>
      </c>
      <c r="S94" s="3449">
        <v>4.4565685884009397E-9</v>
      </c>
      <c r="T94" s="3460">
        <v>1.5185716415644799E-4</v>
      </c>
      <c r="U94" s="3452">
        <v>1.1818284259086499E-3</v>
      </c>
      <c r="V94" s="3450" t="s">
        <v>18</v>
      </c>
      <c r="W94" s="3455">
        <v>73.957709018781998</v>
      </c>
      <c r="X94" s="3455">
        <v>73.961658032235306</v>
      </c>
      <c r="Y94" s="3449">
        <v>1.58444118576895E-8</v>
      </c>
      <c r="Z94" s="3449">
        <v>2.2713337312737401E-6</v>
      </c>
      <c r="AA94" s="3460">
        <v>3.9632133593886401E-4</v>
      </c>
      <c r="AB94" s="3460">
        <v>3.9859266967013702E-4</v>
      </c>
      <c r="AC94" s="3449">
        <v>4.6136384779355101E-8</v>
      </c>
      <c r="AD94" s="3449">
        <v>1.1558373125276001E-8</v>
      </c>
      <c r="AE94" s="3449">
        <v>5.7694757904631102E-8</v>
      </c>
      <c r="AF94" s="3455">
        <v>73.957709018781998</v>
      </c>
      <c r="AG94" s="3452">
        <v>2.6436626354526E-3</v>
      </c>
      <c r="AH94" s="3460">
        <v>1.4501226456053499E-4</v>
      </c>
      <c r="AI94" s="3460">
        <v>1.6649458681788101E-4</v>
      </c>
      <c r="AJ94" s="3460">
        <v>3.1150685137841598E-4</v>
      </c>
      <c r="AK94" s="3452">
        <v>1.3053508178288401E-3</v>
      </c>
      <c r="AL94" s="3452">
        <v>1.3336855900650999E-3</v>
      </c>
      <c r="AM94" s="3460">
        <v>3.75571189468134E-4</v>
      </c>
      <c r="AN94" s="3766">
        <v>0</v>
      </c>
      <c r="AO94" s="3426"/>
    </row>
    <row r="95" spans="1:41">
      <c r="A95" s="5047" t="s">
        <v>5</v>
      </c>
      <c r="B95" s="5048"/>
      <c r="C95" s="3446">
        <v>0</v>
      </c>
      <c r="D95" s="3446">
        <v>0</v>
      </c>
      <c r="E95" s="3457">
        <v>1.20000012047996E-8</v>
      </c>
      <c r="F95" s="3735">
        <v>0</v>
      </c>
      <c r="G95" s="3457"/>
      <c r="H95" s="3457">
        <v>9.6000009599997097E-9</v>
      </c>
      <c r="I95" s="3457">
        <v>6.0000005999998196E-10</v>
      </c>
      <c r="J95" s="3499">
        <v>0</v>
      </c>
      <c r="K95" s="3447">
        <v>0</v>
      </c>
      <c r="L95" s="3446">
        <v>0</v>
      </c>
      <c r="M95" s="3457">
        <v>5.6400005639998303E-8</v>
      </c>
      <c r="N95" s="3466">
        <v>0</v>
      </c>
      <c r="O95" s="3447">
        <v>0</v>
      </c>
      <c r="P95" s="3450" t="s">
        <v>18</v>
      </c>
      <c r="Q95" s="3447">
        <v>0</v>
      </c>
      <c r="R95" s="3447">
        <v>0</v>
      </c>
      <c r="S95" s="3447">
        <v>0</v>
      </c>
      <c r="T95" s="3447">
        <v>0</v>
      </c>
      <c r="U95" s="3447">
        <v>0</v>
      </c>
      <c r="V95" s="3450" t="s">
        <v>18</v>
      </c>
      <c r="W95" s="3447">
        <v>0</v>
      </c>
      <c r="X95" s="3447">
        <v>0</v>
      </c>
      <c r="Y95" s="3447">
        <v>0</v>
      </c>
      <c r="Z95" s="3447">
        <v>0</v>
      </c>
      <c r="AA95" s="3447">
        <v>0</v>
      </c>
      <c r="AB95" s="3447">
        <v>0</v>
      </c>
      <c r="AC95" s="3447">
        <v>0</v>
      </c>
      <c r="AD95" s="3447">
        <v>0</v>
      </c>
      <c r="AE95" s="3447">
        <v>0</v>
      </c>
      <c r="AF95" s="3447">
        <v>0</v>
      </c>
      <c r="AG95" s="3447">
        <v>0</v>
      </c>
      <c r="AH95" s="3447">
        <v>0</v>
      </c>
      <c r="AI95" s="3447">
        <v>0</v>
      </c>
      <c r="AJ95" s="3447">
        <v>0</v>
      </c>
      <c r="AK95" s="3447">
        <v>0</v>
      </c>
      <c r="AL95" s="3447">
        <v>0</v>
      </c>
      <c r="AM95" s="3447">
        <v>0</v>
      </c>
      <c r="AN95" s="3766">
        <v>0</v>
      </c>
      <c r="AO95" s="3426"/>
    </row>
    <row r="96" spans="1:41">
      <c r="A96" s="5047" t="s">
        <v>832</v>
      </c>
      <c r="B96" s="5048"/>
      <c r="C96" s="3446">
        <v>0</v>
      </c>
      <c r="D96" s="3446">
        <v>0</v>
      </c>
      <c r="E96" s="3463">
        <v>2.1839997815999799E-3</v>
      </c>
      <c r="F96" s="3735">
        <v>0</v>
      </c>
      <c r="G96" s="3459"/>
      <c r="H96" s="3463">
        <v>1.74719982527998E-3</v>
      </c>
      <c r="I96" s="3468">
        <v>1.09199989079999E-4</v>
      </c>
      <c r="J96" s="3499">
        <v>0</v>
      </c>
      <c r="K96" s="3447">
        <v>0</v>
      </c>
      <c r="L96" s="3446">
        <v>0</v>
      </c>
      <c r="M96" s="3461">
        <v>1.02647989735199E-2</v>
      </c>
      <c r="N96" s="3466">
        <v>0</v>
      </c>
      <c r="O96" s="3449">
        <v>8.2845299251734206E-9</v>
      </c>
      <c r="P96" s="3450" t="s">
        <v>18</v>
      </c>
      <c r="Q96" s="3449">
        <v>2.06477339434054E-7</v>
      </c>
      <c r="R96" s="3449">
        <v>9.2993905210795295E-7</v>
      </c>
      <c r="S96" s="3449">
        <v>3.2421043178355901E-9</v>
      </c>
      <c r="T96" s="3447">
        <v>0</v>
      </c>
      <c r="U96" s="3447">
        <v>0</v>
      </c>
      <c r="V96" s="3450" t="s">
        <v>18</v>
      </c>
      <c r="W96" s="3447">
        <v>0</v>
      </c>
      <c r="X96" s="3447">
        <v>0</v>
      </c>
      <c r="Y96" s="3449">
        <v>1.1526634243009E-8</v>
      </c>
      <c r="Z96" s="3447">
        <v>0</v>
      </c>
      <c r="AA96" s="3447">
        <v>0</v>
      </c>
      <c r="AB96" s="3447">
        <v>0</v>
      </c>
      <c r="AC96" s="3447">
        <v>0</v>
      </c>
      <c r="AD96" s="3447">
        <v>0</v>
      </c>
      <c r="AE96" s="3447">
        <v>0</v>
      </c>
      <c r="AF96" s="3447">
        <v>0</v>
      </c>
      <c r="AG96" s="3447">
        <v>0</v>
      </c>
      <c r="AH96" s="3447">
        <v>0</v>
      </c>
      <c r="AI96" s="3447">
        <v>0</v>
      </c>
      <c r="AJ96" s="3447">
        <v>0</v>
      </c>
      <c r="AK96" s="3447">
        <v>0</v>
      </c>
      <c r="AL96" s="3447">
        <v>0</v>
      </c>
      <c r="AM96" s="3449">
        <v>1.1364163915420201E-6</v>
      </c>
      <c r="AN96" s="3766">
        <v>0</v>
      </c>
      <c r="AO96" s="3426"/>
    </row>
    <row r="97" spans="1:41">
      <c r="A97" s="5047" t="s">
        <v>3</v>
      </c>
      <c r="B97" s="5048"/>
      <c r="C97" s="3457">
        <v>5.4489946608184396E-7</v>
      </c>
      <c r="D97" s="3446">
        <v>0</v>
      </c>
      <c r="E97" s="3446">
        <v>0</v>
      </c>
      <c r="F97" s="3735">
        <v>0</v>
      </c>
      <c r="G97" s="3461"/>
      <c r="H97" s="3446">
        <v>0</v>
      </c>
      <c r="I97" s="3446">
        <v>0</v>
      </c>
      <c r="J97" s="3499">
        <v>2.2499999999999998E-3</v>
      </c>
      <c r="K97" s="3447">
        <v>0</v>
      </c>
      <c r="L97" s="3446">
        <v>0</v>
      </c>
      <c r="M97" s="3446">
        <v>0</v>
      </c>
      <c r="N97" s="3466">
        <v>0</v>
      </c>
      <c r="O97" s="3449">
        <v>3.6167238996773401E-6</v>
      </c>
      <c r="P97" s="3450" t="s">
        <v>18</v>
      </c>
      <c r="Q97" s="3449">
        <v>2.77448445465482E-6</v>
      </c>
      <c r="R97" s="3449">
        <v>7.39701435565928E-5</v>
      </c>
      <c r="S97" s="3449">
        <v>1.4153846117367499E-6</v>
      </c>
      <c r="T97" s="3449">
        <v>9.9313227997169604E-8</v>
      </c>
      <c r="U97" s="3449">
        <v>4.4558623808467902E-7</v>
      </c>
      <c r="V97" s="3450" t="s">
        <v>18</v>
      </c>
      <c r="W97" s="3447">
        <v>0</v>
      </c>
      <c r="X97" s="3447">
        <v>0</v>
      </c>
      <c r="Y97" s="3449">
        <v>5.0321085114140904E-6</v>
      </c>
      <c r="Z97" s="3447">
        <v>0</v>
      </c>
      <c r="AA97" s="3447">
        <v>0</v>
      </c>
      <c r="AB97" s="3447">
        <v>0</v>
      </c>
      <c r="AC97" s="3449">
        <v>2.7476273878026E-8</v>
      </c>
      <c r="AD97" s="3449">
        <v>6.8835264638378799E-9</v>
      </c>
      <c r="AE97" s="3449">
        <v>3.4359800341863901E-8</v>
      </c>
      <c r="AF97" s="3447">
        <v>0</v>
      </c>
      <c r="AG97" s="3447">
        <v>0</v>
      </c>
      <c r="AH97" s="3447">
        <v>0</v>
      </c>
      <c r="AI97" s="3447">
        <v>0</v>
      </c>
      <c r="AJ97" s="3447">
        <v>0</v>
      </c>
      <c r="AK97" s="3447">
        <v>0</v>
      </c>
      <c r="AL97" s="3449">
        <v>5.4489946608184396E-7</v>
      </c>
      <c r="AM97" s="3449">
        <v>7.6744628011247697E-5</v>
      </c>
      <c r="AN97" s="3766">
        <v>0</v>
      </c>
      <c r="AO97" s="3426"/>
    </row>
    <row r="98" spans="1:41">
      <c r="A98" s="5047" t="s">
        <v>6</v>
      </c>
      <c r="B98" s="5048"/>
      <c r="C98" s="3457">
        <v>1.0080640122514099E-5</v>
      </c>
      <c r="D98" s="3446">
        <v>0</v>
      </c>
      <c r="E98" s="3461">
        <v>9.5243990475599005E-2</v>
      </c>
      <c r="F98" s="3735">
        <v>0</v>
      </c>
      <c r="G98" s="3448"/>
      <c r="H98" s="3461">
        <v>7.6195192380479199E-2</v>
      </c>
      <c r="I98" s="3463">
        <v>4.7621995237799499E-3</v>
      </c>
      <c r="J98" s="3499">
        <v>8.9999999999999998E-4</v>
      </c>
      <c r="K98" s="3447">
        <v>0</v>
      </c>
      <c r="L98" s="3446">
        <v>0</v>
      </c>
      <c r="M98" s="3459">
        <v>0.447646755235316</v>
      </c>
      <c r="N98" s="3466">
        <v>0</v>
      </c>
      <c r="O98" s="3449">
        <v>2.1233846293605098E-5</v>
      </c>
      <c r="P98" s="3450" t="s">
        <v>18</v>
      </c>
      <c r="Q98" s="3460">
        <v>1.0030025796079199E-4</v>
      </c>
      <c r="R98" s="3452">
        <v>1.03251920616612E-3</v>
      </c>
      <c r="S98" s="3449">
        <v>8.3097466451982607E-6</v>
      </c>
      <c r="T98" s="3449">
        <v>3.6436452730606399E-6</v>
      </c>
      <c r="U98" s="3449">
        <v>6.4369948494536198E-6</v>
      </c>
      <c r="V98" s="3450" t="s">
        <v>18</v>
      </c>
      <c r="W98" s="3447">
        <v>0</v>
      </c>
      <c r="X98" s="3447">
        <v>0</v>
      </c>
      <c r="Y98" s="3449">
        <v>2.9543592938803401E-5</v>
      </c>
      <c r="Z98" s="3447">
        <v>0</v>
      </c>
      <c r="AA98" s="3447">
        <v>0</v>
      </c>
      <c r="AB98" s="3447">
        <v>0</v>
      </c>
      <c r="AC98" s="3449">
        <v>2.0162414679533099E-7</v>
      </c>
      <c r="AD98" s="3449">
        <v>5.0512131170899003E-8</v>
      </c>
      <c r="AE98" s="3449">
        <v>2.5213627796622999E-7</v>
      </c>
      <c r="AF98" s="3447">
        <v>0</v>
      </c>
      <c r="AG98" s="3447">
        <v>0</v>
      </c>
      <c r="AH98" s="3447">
        <v>0</v>
      </c>
      <c r="AI98" s="3447">
        <v>0</v>
      </c>
      <c r="AJ98" s="3447">
        <v>0</v>
      </c>
      <c r="AK98" s="3447">
        <v>0</v>
      </c>
      <c r="AL98" s="3449">
        <v>1.0080640122514099E-5</v>
      </c>
      <c r="AM98" s="3452">
        <v>1.1328194641269101E-3</v>
      </c>
      <c r="AN98" s="3766">
        <v>0</v>
      </c>
      <c r="AO98" s="3426"/>
    </row>
    <row r="99" spans="1:41">
      <c r="A99" s="5047" t="s">
        <v>7</v>
      </c>
      <c r="B99" s="5048"/>
      <c r="C99" s="3468">
        <v>1.6728413608712599E-4</v>
      </c>
      <c r="D99" s="3457">
        <v>2.58076017691919E-5</v>
      </c>
      <c r="E99" s="3461">
        <v>2.03279979671998E-2</v>
      </c>
      <c r="F99" s="3737">
        <v>0.28701722504641503</v>
      </c>
      <c r="G99" s="3458"/>
      <c r="H99" s="3461">
        <v>1.6262398373759802E-2</v>
      </c>
      <c r="I99" s="3463">
        <v>1.01639989835999E-3</v>
      </c>
      <c r="J99" s="3499">
        <v>0.67500000000000004</v>
      </c>
      <c r="K99" s="3451">
        <v>0.27789903159356699</v>
      </c>
      <c r="L99" s="3461">
        <v>1.4919531817732701E-2</v>
      </c>
      <c r="M99" s="3461">
        <v>9.5541590445839097E-2</v>
      </c>
      <c r="N99" s="3466">
        <v>0</v>
      </c>
      <c r="O99" s="3452">
        <v>3.1639809195436702E-3</v>
      </c>
      <c r="P99" s="3450" t="s">
        <v>18</v>
      </c>
      <c r="Q99" s="3452">
        <v>1.2110513472331399E-3</v>
      </c>
      <c r="R99" s="3454">
        <v>7.2960820659087197E-2</v>
      </c>
      <c r="S99" s="3452">
        <v>1.23820618592155E-3</v>
      </c>
      <c r="T99" s="3460">
        <v>5.2910473115105503E-4</v>
      </c>
      <c r="U99" s="3452">
        <v>5.2771011698928803E-3</v>
      </c>
      <c r="V99" s="3450" t="s">
        <v>18</v>
      </c>
      <c r="W99" s="3460">
        <v>3.6901149997247399E-4</v>
      </c>
      <c r="X99" s="3454">
        <v>1.49453394195019E-2</v>
      </c>
      <c r="Y99" s="3452">
        <v>4.4021871054652304E-3</v>
      </c>
      <c r="Z99" s="3449">
        <v>1.30971436449923E-8</v>
      </c>
      <c r="AA99" s="3449">
        <v>2.2852993353185799E-6</v>
      </c>
      <c r="AB99" s="3449">
        <v>2.2983964789635699E-6</v>
      </c>
      <c r="AC99" s="3460">
        <v>2.4904992263907798E-4</v>
      </c>
      <c r="AD99" s="3449">
        <v>6.2393530538866295E-5</v>
      </c>
      <c r="AE99" s="3460">
        <v>3.1144345317794499E-4</v>
      </c>
      <c r="AF99" s="3460">
        <v>3.6901149997247399E-4</v>
      </c>
      <c r="AG99" s="3452">
        <v>8.9374061545728998E-3</v>
      </c>
      <c r="AH99" s="3449">
        <v>2.0787279296339599E-5</v>
      </c>
      <c r="AI99" s="3449">
        <v>2.3866736292964802E-5</v>
      </c>
      <c r="AJ99" s="3449">
        <v>4.46540155893044E-5</v>
      </c>
      <c r="AK99" s="3452">
        <v>5.6389217649567801E-3</v>
      </c>
      <c r="AL99" s="3452">
        <v>5.8062059010439097E-3</v>
      </c>
      <c r="AM99" s="3454">
        <v>7.4171872006320402E-2</v>
      </c>
      <c r="AN99" s="3772">
        <v>1.7145259310878501E-5</v>
      </c>
      <c r="AO99" s="3426"/>
    </row>
    <row r="100" spans="1:41">
      <c r="A100" s="5047" t="s">
        <v>8</v>
      </c>
      <c r="B100" s="5048"/>
      <c r="C100" s="3463">
        <v>3.20182926269692E-3</v>
      </c>
      <c r="D100" s="3468">
        <v>5.0754950146077399E-4</v>
      </c>
      <c r="E100" s="3463">
        <v>2.2439997755999801E-3</v>
      </c>
      <c r="F100" s="3738">
        <v>1.4350861252320799</v>
      </c>
      <c r="G100" s="3458"/>
      <c r="H100" s="3463">
        <v>1.7951998204799801E-3</v>
      </c>
      <c r="I100" s="3468">
        <v>1.12199988779999E-4</v>
      </c>
      <c r="J100" s="3499">
        <v>2.9209499999999999</v>
      </c>
      <c r="K100" s="3453">
        <v>1.52844467376462</v>
      </c>
      <c r="L100" s="3461">
        <v>5.96781272709309E-2</v>
      </c>
      <c r="M100" s="3461">
        <v>1.05467989453199E-2</v>
      </c>
      <c r="N100" s="3466">
        <v>0</v>
      </c>
      <c r="O100" s="3452">
        <v>7.8328486912905993E-3</v>
      </c>
      <c r="P100" s="3450" t="s">
        <v>18</v>
      </c>
      <c r="Q100" s="3452">
        <v>2.81950902091164E-3</v>
      </c>
      <c r="R100" s="3451">
        <v>0.61845719704588198</v>
      </c>
      <c r="S100" s="3452">
        <v>3.0653414004602701E-3</v>
      </c>
      <c r="T100" s="3452">
        <v>1.2318958379178E-3</v>
      </c>
      <c r="U100" s="3454">
        <v>4.3047503094269801E-2</v>
      </c>
      <c r="V100" s="3450" t="s">
        <v>18</v>
      </c>
      <c r="W100" s="3460">
        <v>5.3382550931280605E-4</v>
      </c>
      <c r="X100" s="3454">
        <v>6.01856767723917E-2</v>
      </c>
      <c r="Y100" s="3454">
        <v>1.0898190091750901E-2</v>
      </c>
      <c r="Z100" s="3449">
        <v>4.3804121101269299E-9</v>
      </c>
      <c r="AA100" s="3449">
        <v>7.6433099880690999E-7</v>
      </c>
      <c r="AB100" s="3449">
        <v>7.6871141091703698E-7</v>
      </c>
      <c r="AC100" s="3460">
        <v>5.3950586242314301E-4</v>
      </c>
      <c r="AD100" s="3460">
        <v>1.3516035317858E-4</v>
      </c>
      <c r="AE100" s="3460">
        <v>6.7466621560172298E-4</v>
      </c>
      <c r="AF100" s="3460">
        <v>5.3382550931280605E-4</v>
      </c>
      <c r="AG100" s="3454">
        <v>1.85742815935892E-2</v>
      </c>
      <c r="AH100" s="3449">
        <v>2.9614196389319799E-5</v>
      </c>
      <c r="AI100" s="3449">
        <v>3.4001285385934301E-5</v>
      </c>
      <c r="AJ100" s="3449">
        <v>6.3615481775254205E-5</v>
      </c>
      <c r="AK100" s="3454">
        <v>4.1077569669490603E-2</v>
      </c>
      <c r="AL100" s="3454">
        <v>4.4279398932187498E-2</v>
      </c>
      <c r="AM100" s="3451">
        <v>0.62127670606679297</v>
      </c>
      <c r="AN100" s="3772">
        <v>1.9963456869150701E-5</v>
      </c>
      <c r="AO100" s="3426"/>
    </row>
    <row r="101" spans="1:41">
      <c r="A101" s="5047" t="s">
        <v>66</v>
      </c>
      <c r="B101" s="5048"/>
      <c r="C101" s="3463">
        <v>1.2344697404084201E-3</v>
      </c>
      <c r="D101" s="3468">
        <v>1.9785828023047099E-4</v>
      </c>
      <c r="E101" s="3446">
        <v>0</v>
      </c>
      <c r="F101" s="3738">
        <v>1.7221033502784899</v>
      </c>
      <c r="G101" s="3459"/>
      <c r="H101" s="3446">
        <v>0</v>
      </c>
      <c r="I101" s="3446">
        <v>0</v>
      </c>
      <c r="J101" s="3499">
        <v>0.2646</v>
      </c>
      <c r="K101" s="3453">
        <v>1.8063437053581901</v>
      </c>
      <c r="L101" s="3461">
        <v>2.23792977265991E-2</v>
      </c>
      <c r="M101" s="3446">
        <v>0</v>
      </c>
      <c r="N101" s="3466">
        <v>0</v>
      </c>
      <c r="O101" s="3452">
        <v>1.35463834614732E-3</v>
      </c>
      <c r="P101" s="3450" t="s">
        <v>18</v>
      </c>
      <c r="Q101" s="3460">
        <v>4.7825964289040799E-4</v>
      </c>
      <c r="R101" s="3451">
        <v>0.27020973496233702</v>
      </c>
      <c r="S101" s="3460">
        <v>5.3013011852424995E-4</v>
      </c>
      <c r="T101" s="3460">
        <v>2.2951207258857799E-4</v>
      </c>
      <c r="U101" s="3454">
        <v>2.0074791525416798E-2</v>
      </c>
      <c r="V101" s="3450" t="s">
        <v>18</v>
      </c>
      <c r="W101" s="3449">
        <v>6.3328468764352802E-5</v>
      </c>
      <c r="X101" s="3454">
        <v>2.25771560068296E-2</v>
      </c>
      <c r="Y101" s="3452">
        <v>1.8847684646715701E-3</v>
      </c>
      <c r="Z101" s="3449">
        <v>1.9387304451416001E-10</v>
      </c>
      <c r="AA101" s="3449">
        <v>3.3828592842364003E-8</v>
      </c>
      <c r="AB101" s="3449">
        <v>3.4022465886878202E-8</v>
      </c>
      <c r="AC101" s="3449">
        <v>9.7724269630347104E-5</v>
      </c>
      <c r="AD101" s="3449">
        <v>2.4482489843635601E-5</v>
      </c>
      <c r="AE101" s="3460">
        <v>1.22206759473983E-4</v>
      </c>
      <c r="AF101" s="3449">
        <v>6.3328468764352802E-5</v>
      </c>
      <c r="AG101" s="3452">
        <v>3.44399368046864E-3</v>
      </c>
      <c r="AH101" s="3449">
        <v>4.7327874266886697E-6</v>
      </c>
      <c r="AI101" s="3449">
        <v>5.4339092592712797E-6</v>
      </c>
      <c r="AJ101" s="3449">
        <v>1.0166696685959899E-5</v>
      </c>
      <c r="AK101" s="3454">
        <v>1.9069833857596901E-2</v>
      </c>
      <c r="AL101" s="3454">
        <v>2.0304303598005301E-2</v>
      </c>
      <c r="AM101" s="3451">
        <v>0.27068799460522802</v>
      </c>
      <c r="AN101" s="3772">
        <v>9.1882558565766996E-6</v>
      </c>
      <c r="AO101" s="3426"/>
    </row>
    <row r="102" spans="1:41">
      <c r="A102" s="5047" t="s">
        <v>359</v>
      </c>
      <c r="B102" s="5048"/>
      <c r="C102" s="3463">
        <v>3.3271561398957399E-3</v>
      </c>
      <c r="D102" s="3468">
        <v>5.2475456930690099E-4</v>
      </c>
      <c r="E102" s="3446">
        <v>0</v>
      </c>
      <c r="F102" s="3738">
        <v>6.7449047885907598</v>
      </c>
      <c r="G102" s="3459"/>
      <c r="H102" s="3446">
        <v>0</v>
      </c>
      <c r="I102" s="3446">
        <v>0</v>
      </c>
      <c r="J102" s="3499">
        <v>0.41354999999999997</v>
      </c>
      <c r="K102" s="3453">
        <v>6.9474757898391903</v>
      </c>
      <c r="L102" s="3461">
        <v>7.4597659088663698E-2</v>
      </c>
      <c r="M102" s="3446">
        <v>0</v>
      </c>
      <c r="N102" s="3466">
        <v>0</v>
      </c>
      <c r="O102" s="3452">
        <v>3.34796262079787E-3</v>
      </c>
      <c r="P102" s="3450" t="s">
        <v>18</v>
      </c>
      <c r="Q102" s="3452">
        <v>1.15279514974564E-3</v>
      </c>
      <c r="R102" s="3451">
        <v>0.94762291107926899</v>
      </c>
      <c r="S102" s="3452">
        <v>1.3102063927439699E-3</v>
      </c>
      <c r="T102" s="3460">
        <v>5.49459214219391E-4</v>
      </c>
      <c r="U102" s="3454">
        <v>6.9346722297028401E-2</v>
      </c>
      <c r="V102" s="3450" t="s">
        <v>18</v>
      </c>
      <c r="W102" s="3460">
        <v>2.1970025443749099E-4</v>
      </c>
      <c r="X102" s="3454">
        <v>7.5122413657970594E-2</v>
      </c>
      <c r="Y102" s="3452">
        <v>4.6581690135418397E-3</v>
      </c>
      <c r="Z102" s="3449">
        <v>4.6987214836657401E-10</v>
      </c>
      <c r="AA102" s="3449">
        <v>8.1987228471561703E-8</v>
      </c>
      <c r="AB102" s="3449">
        <v>8.24571006199283E-8</v>
      </c>
      <c r="AC102" s="3460">
        <v>2.3789860860819E-4</v>
      </c>
      <c r="AD102" s="3449">
        <v>5.9599834218217403E-5</v>
      </c>
      <c r="AE102" s="3460">
        <v>2.9749844282640802E-4</v>
      </c>
      <c r="AF102" s="3460">
        <v>2.1970025443749099E-4</v>
      </c>
      <c r="AG102" s="3452">
        <v>8.3336880321821395E-3</v>
      </c>
      <c r="AH102" s="3449">
        <v>1.12510680899881E-5</v>
      </c>
      <c r="AI102" s="3449">
        <v>1.2917817252074E-5</v>
      </c>
      <c r="AJ102" s="3449">
        <v>2.41688853420621E-5</v>
      </c>
      <c r="AK102" s="3454">
        <v>6.6569025371351995E-2</v>
      </c>
      <c r="AL102" s="3454">
        <v>6.9896181511247796E-2</v>
      </c>
      <c r="AM102" s="3451">
        <v>0.94877570622901397</v>
      </c>
      <c r="AN102" s="3772">
        <v>2.56360395030648E-5</v>
      </c>
      <c r="AO102" s="3426"/>
    </row>
    <row r="103" spans="1:41">
      <c r="A103" s="5047" t="s">
        <v>68</v>
      </c>
      <c r="B103" s="5048"/>
      <c r="C103" s="3463">
        <v>1.4611479182984699E-3</v>
      </c>
      <c r="D103" s="3468">
        <v>2.32268415922727E-4</v>
      </c>
      <c r="E103" s="3446">
        <v>0</v>
      </c>
      <c r="F103" s="3738">
        <v>5.4533272758818896</v>
      </c>
      <c r="G103" s="3461"/>
      <c r="H103" s="3446">
        <v>0</v>
      </c>
      <c r="I103" s="3446">
        <v>0</v>
      </c>
      <c r="J103" s="3499">
        <v>5.6250000000000001E-2</v>
      </c>
      <c r="K103" s="3453">
        <v>4.02953595810673</v>
      </c>
      <c r="L103" s="3461">
        <v>4.4758595453198199E-2</v>
      </c>
      <c r="M103" s="3446">
        <v>0</v>
      </c>
      <c r="N103" s="3466">
        <v>0</v>
      </c>
      <c r="O103" s="3460">
        <v>6.7568435526055802E-4</v>
      </c>
      <c r="P103" s="3450" t="s">
        <v>18</v>
      </c>
      <c r="Q103" s="3460">
        <v>2.26871155520516E-4</v>
      </c>
      <c r="R103" s="3451">
        <v>0.49670954798646</v>
      </c>
      <c r="S103" s="3460">
        <v>2.6442528248075102E-4</v>
      </c>
      <c r="T103" s="3460">
        <v>1.3537117281415799E-4</v>
      </c>
      <c r="U103" s="3454">
        <v>4.4206780575926703E-2</v>
      </c>
      <c r="V103" s="3450" t="s">
        <v>18</v>
      </c>
      <c r="W103" s="3449">
        <v>3.6340050985400703E-5</v>
      </c>
      <c r="X103" s="3454">
        <v>4.4990863869120899E-2</v>
      </c>
      <c r="Y103" s="3460">
        <v>9.4010963774130904E-4</v>
      </c>
      <c r="Z103" s="3449">
        <v>2.9678811124337802E-11</v>
      </c>
      <c r="AA103" s="3449">
        <v>5.1786075784110404E-9</v>
      </c>
      <c r="AB103" s="3449">
        <v>5.20828638953537E-9</v>
      </c>
      <c r="AC103" s="3449">
        <v>5.86347846907681E-5</v>
      </c>
      <c r="AD103" s="3449">
        <v>1.4689549751617701E-5</v>
      </c>
      <c r="AE103" s="3449">
        <v>7.3324334442385899E-5</v>
      </c>
      <c r="AF103" s="3449">
        <v>3.6340050985400703E-5</v>
      </c>
      <c r="AG103" s="3452">
        <v>2.07351998769374E-3</v>
      </c>
      <c r="AH103" s="3449">
        <v>2.6355211943905E-6</v>
      </c>
      <c r="AI103" s="3449">
        <v>3.02595103689754E-6</v>
      </c>
      <c r="AJ103" s="3449">
        <v>5.66147223128804E-6</v>
      </c>
      <c r="AK103" s="3454">
        <v>4.2881003830442403E-2</v>
      </c>
      <c r="AL103" s="3454">
        <v>4.4342151748740899E-2</v>
      </c>
      <c r="AM103" s="3451">
        <v>0.49693641914198</v>
      </c>
      <c r="AN103" s="3772">
        <v>8.8340574915276608E-6</v>
      </c>
      <c r="AO103" s="3426"/>
    </row>
    <row r="104" spans="1:41">
      <c r="A104" s="5047" t="s">
        <v>669</v>
      </c>
      <c r="B104" s="5048"/>
      <c r="C104" s="3463">
        <v>1.8946154435665701E-3</v>
      </c>
      <c r="D104" s="3468">
        <v>3.0108868730723898E-4</v>
      </c>
      <c r="E104" s="3446">
        <v>0</v>
      </c>
      <c r="F104" s="3738">
        <v>7.7494650762532098</v>
      </c>
      <c r="G104" s="3461"/>
      <c r="H104" s="3446">
        <v>0</v>
      </c>
      <c r="I104" s="3446">
        <v>0</v>
      </c>
      <c r="J104" s="3499">
        <v>5.3999999999999999E-2</v>
      </c>
      <c r="K104" s="3453">
        <v>5.4190311160745699</v>
      </c>
      <c r="L104" s="3461">
        <v>5.96781272709309E-2</v>
      </c>
      <c r="M104" s="3446">
        <v>0</v>
      </c>
      <c r="N104" s="3466">
        <v>0</v>
      </c>
      <c r="O104" s="3460">
        <v>6.7103484820292395E-4</v>
      </c>
      <c r="P104" s="3450" t="s">
        <v>18</v>
      </c>
      <c r="Q104" s="3460">
        <v>2.2703047893770701E-4</v>
      </c>
      <c r="R104" s="3451">
        <v>0.65884453836775403</v>
      </c>
      <c r="S104" s="3460">
        <v>2.62605723973085E-4</v>
      </c>
      <c r="T104" s="3460">
        <v>1.3887763762488001E-4</v>
      </c>
      <c r="U104" s="3454">
        <v>5.9589748734600698E-2</v>
      </c>
      <c r="V104" s="3450" t="s">
        <v>18</v>
      </c>
      <c r="W104" s="3449">
        <v>1.6810074174862501E-5</v>
      </c>
      <c r="X104" s="3454">
        <v>5.99792159582382E-2</v>
      </c>
      <c r="Y104" s="3460">
        <v>9.3364057217600895E-4</v>
      </c>
      <c r="Z104" s="3449">
        <v>1.03029616650207E-11</v>
      </c>
      <c r="AA104" s="3449">
        <v>1.7977470571522099E-9</v>
      </c>
      <c r="AB104" s="3449">
        <v>1.80805001881723E-9</v>
      </c>
      <c r="AC104" s="3449">
        <v>5.9428372733979302E-5</v>
      </c>
      <c r="AD104" s="3449">
        <v>1.48883643478428E-5</v>
      </c>
      <c r="AE104" s="3449">
        <v>7.4316737081822198E-5</v>
      </c>
      <c r="AF104" s="3449">
        <v>1.6810074174862501E-5</v>
      </c>
      <c r="AG104" s="3452">
        <v>2.12839495540515E-3</v>
      </c>
      <c r="AH104" s="3449">
        <v>2.6278656978551901E-6</v>
      </c>
      <c r="AI104" s="3449">
        <v>3.0171614442627801E-6</v>
      </c>
      <c r="AJ104" s="3449">
        <v>5.6450271421179601E-6</v>
      </c>
      <c r="AK104" s="3454">
        <v>5.7834010928659002E-2</v>
      </c>
      <c r="AL104" s="3454">
        <v>5.9728626372225598E-2</v>
      </c>
      <c r="AM104" s="3451">
        <v>0.65907156884669105</v>
      </c>
      <c r="AN104" s="3772">
        <v>9.9557217616224895E-6</v>
      </c>
      <c r="AO104" s="3426"/>
    </row>
    <row r="105" spans="1:41">
      <c r="A105" s="5047" t="s">
        <v>99</v>
      </c>
      <c r="B105" s="5048"/>
      <c r="C105" s="3446">
        <v>0</v>
      </c>
      <c r="D105" s="3446">
        <v>0</v>
      </c>
      <c r="E105" s="3446">
        <v>0</v>
      </c>
      <c r="F105" s="3735">
        <v>0</v>
      </c>
      <c r="G105" s="3446"/>
      <c r="H105" s="3446">
        <v>0</v>
      </c>
      <c r="I105" s="3446">
        <v>0</v>
      </c>
      <c r="J105" s="3499">
        <v>0</v>
      </c>
      <c r="K105" s="3447">
        <v>0</v>
      </c>
      <c r="L105" s="3446">
        <v>0</v>
      </c>
      <c r="M105" s="3446">
        <v>0</v>
      </c>
      <c r="N105" s="3466">
        <v>0</v>
      </c>
      <c r="O105" s="3447">
        <v>0</v>
      </c>
      <c r="P105" s="3450" t="s">
        <v>18</v>
      </c>
      <c r="Q105" s="3447">
        <v>0</v>
      </c>
      <c r="R105" s="3447">
        <v>0</v>
      </c>
      <c r="S105" s="3447">
        <v>0</v>
      </c>
      <c r="T105" s="3447">
        <v>0</v>
      </c>
      <c r="U105" s="3447">
        <v>0</v>
      </c>
      <c r="V105" s="3450" t="s">
        <v>18</v>
      </c>
      <c r="W105" s="3447">
        <v>0</v>
      </c>
      <c r="X105" s="3447">
        <v>0</v>
      </c>
      <c r="Y105" s="3447">
        <v>0</v>
      </c>
      <c r="Z105" s="3447">
        <v>0</v>
      </c>
      <c r="AA105" s="3447">
        <v>0</v>
      </c>
      <c r="AB105" s="3447">
        <v>0</v>
      </c>
      <c r="AC105" s="3447">
        <v>0</v>
      </c>
      <c r="AD105" s="3447">
        <v>0</v>
      </c>
      <c r="AE105" s="3447">
        <v>0</v>
      </c>
      <c r="AF105" s="3447">
        <v>0</v>
      </c>
      <c r="AG105" s="3447">
        <v>0</v>
      </c>
      <c r="AH105" s="3447">
        <v>0</v>
      </c>
      <c r="AI105" s="3447">
        <v>0</v>
      </c>
      <c r="AJ105" s="3447">
        <v>0</v>
      </c>
      <c r="AK105" s="3447">
        <v>0</v>
      </c>
      <c r="AL105" s="3447">
        <v>0</v>
      </c>
      <c r="AM105" s="3447">
        <v>0</v>
      </c>
      <c r="AN105" s="3766">
        <v>0</v>
      </c>
      <c r="AO105" s="3426"/>
    </row>
    <row r="106" spans="1:41">
      <c r="A106" s="5047" t="s">
        <v>422</v>
      </c>
      <c r="B106" s="5048"/>
      <c r="C106" s="3463">
        <v>1.39276303530519E-3</v>
      </c>
      <c r="D106" s="3468">
        <v>2.2366588199966301E-4</v>
      </c>
      <c r="E106" s="3446">
        <v>0</v>
      </c>
      <c r="F106" s="3738">
        <v>5.7403445009283098</v>
      </c>
      <c r="G106" s="3461"/>
      <c r="H106" s="3446">
        <v>0</v>
      </c>
      <c r="I106" s="3446">
        <v>0</v>
      </c>
      <c r="J106" s="3499">
        <v>2.0250000000000001E-2</v>
      </c>
      <c r="K106" s="3453">
        <v>4.5853340212938596</v>
      </c>
      <c r="L106" s="3461">
        <v>4.4758595453198199E-2</v>
      </c>
      <c r="M106" s="3446">
        <v>0</v>
      </c>
      <c r="N106" s="3466">
        <v>0</v>
      </c>
      <c r="O106" s="3460">
        <v>1.9654158678941201E-4</v>
      </c>
      <c r="P106" s="3450" t="s">
        <v>18</v>
      </c>
      <c r="Q106" s="3449">
        <v>6.5849759204305596E-5</v>
      </c>
      <c r="R106" s="3451">
        <v>0.46534472141620897</v>
      </c>
      <c r="S106" s="3449">
        <v>7.6915447577536995E-5</v>
      </c>
      <c r="T106" s="3449">
        <v>4.4722913759691498E-5</v>
      </c>
      <c r="U106" s="3454">
        <v>4.5638024623963901E-2</v>
      </c>
      <c r="V106" s="3450" t="s">
        <v>18</v>
      </c>
      <c r="W106" s="3449">
        <v>6.9466545374305202E-6</v>
      </c>
      <c r="X106" s="3454">
        <v>4.49822613351979E-2</v>
      </c>
      <c r="Y106" s="3460">
        <v>2.7345703436694902E-4</v>
      </c>
      <c r="Z106" s="3449">
        <v>1.77848410609719E-12</v>
      </c>
      <c r="AA106" s="3449">
        <v>3.10324804835792E-10</v>
      </c>
      <c r="AB106" s="3449">
        <v>3.1210328894188898E-10</v>
      </c>
      <c r="AC106" s="3449">
        <v>1.90800198741027E-5</v>
      </c>
      <c r="AD106" s="3449">
        <v>4.7800448604122802E-6</v>
      </c>
      <c r="AE106" s="3449">
        <v>2.3860064734514998E-5</v>
      </c>
      <c r="AF106" s="3449">
        <v>6.9466545374305202E-6</v>
      </c>
      <c r="AG106" s="3460">
        <v>6.8533017824266699E-4</v>
      </c>
      <c r="AH106" s="3449">
        <v>8.1323811762214495E-7</v>
      </c>
      <c r="AI106" s="3449">
        <v>9.3371236418094404E-7</v>
      </c>
      <c r="AJ106" s="3449">
        <v>1.7469504818030899E-6</v>
      </c>
      <c r="AK106" s="3454">
        <v>4.4289984502418403E-2</v>
      </c>
      <c r="AL106" s="3454">
        <v>4.5682747537723598E-2</v>
      </c>
      <c r="AM106" s="3451">
        <v>0.46541057117541301</v>
      </c>
      <c r="AN106" s="3772">
        <v>4.0324546514710002E-6</v>
      </c>
      <c r="AO106" s="3426"/>
    </row>
    <row r="107" spans="1:41">
      <c r="A107" s="5047" t="s">
        <v>10</v>
      </c>
      <c r="B107" s="5048"/>
      <c r="C107" s="3463">
        <v>1.0511110700718799E-3</v>
      </c>
      <c r="D107" s="3468">
        <v>1.6344814453821501E-4</v>
      </c>
      <c r="E107" s="3446">
        <v>0</v>
      </c>
      <c r="F107" s="3738">
        <v>4.3052583756962299</v>
      </c>
      <c r="G107" s="3463"/>
      <c r="H107" s="3446">
        <v>0</v>
      </c>
      <c r="I107" s="3446">
        <v>0</v>
      </c>
      <c r="J107" s="3499">
        <v>1.035E-2</v>
      </c>
      <c r="K107" s="3453">
        <v>3.6126874107163802</v>
      </c>
      <c r="L107" s="3461">
        <v>3.72988295443318E-2</v>
      </c>
      <c r="M107" s="3446">
        <v>0</v>
      </c>
      <c r="N107" s="3466">
        <v>0</v>
      </c>
      <c r="O107" s="3460">
        <v>1.11320321687719E-4</v>
      </c>
      <c r="P107" s="3450" t="s">
        <v>18</v>
      </c>
      <c r="Q107" s="3449">
        <v>3.6016293920829802E-5</v>
      </c>
      <c r="R107" s="3451">
        <v>0.36671887697576999</v>
      </c>
      <c r="S107" s="3449">
        <v>4.3564583490721999E-5</v>
      </c>
      <c r="T107" s="3449">
        <v>2.63487945149499E-5</v>
      </c>
      <c r="U107" s="3454">
        <v>3.80801177928295E-2</v>
      </c>
      <c r="V107" s="3450" t="s">
        <v>18</v>
      </c>
      <c r="W107" s="3449">
        <v>2.0987541812433401E-6</v>
      </c>
      <c r="X107" s="3454">
        <v>3.7462277688870102E-2</v>
      </c>
      <c r="Y107" s="3460">
        <v>1.5488490517844101E-4</v>
      </c>
      <c r="Z107" s="3449">
        <v>3.8796443215426202E-13</v>
      </c>
      <c r="AA107" s="3449">
        <v>6.7695284022359003E-11</v>
      </c>
      <c r="AB107" s="3449">
        <v>6.8083248454513206E-11</v>
      </c>
      <c r="AC107" s="3449">
        <v>1.15036507977335E-5</v>
      </c>
      <c r="AD107" s="3449">
        <v>2.88196591169796E-6</v>
      </c>
      <c r="AE107" s="3449">
        <v>1.43856167094314E-5</v>
      </c>
      <c r="AF107" s="3449">
        <v>2.0987541812433401E-6</v>
      </c>
      <c r="AG107" s="3460">
        <v>4.0482341741677103E-4</v>
      </c>
      <c r="AH107" s="3449">
        <v>4.8477607795247197E-7</v>
      </c>
      <c r="AI107" s="3449">
        <v>5.5659149274367698E-7</v>
      </c>
      <c r="AJ107" s="3449">
        <v>1.0413675706961499E-6</v>
      </c>
      <c r="AK107" s="3454">
        <v>3.7055355517272598E-2</v>
      </c>
      <c r="AL107" s="3454">
        <v>3.8106466587344498E-2</v>
      </c>
      <c r="AM107" s="3451">
        <v>0.36675489326969102</v>
      </c>
      <c r="AN107" s="3772">
        <v>2.5269834405778198E-6</v>
      </c>
      <c r="AO107" s="3426"/>
    </row>
    <row r="108" spans="1:41">
      <c r="A108" s="5047" t="s">
        <v>9</v>
      </c>
      <c r="B108" s="5048"/>
      <c r="C108" s="3468">
        <v>8.9172797624293798E-4</v>
      </c>
      <c r="D108" s="3468">
        <v>1.3764054276902299E-4</v>
      </c>
      <c r="E108" s="3446">
        <v>0</v>
      </c>
      <c r="F108" s="3738">
        <v>3.4442067005569799</v>
      </c>
      <c r="G108" s="3463"/>
      <c r="H108" s="3446">
        <v>0</v>
      </c>
      <c r="I108" s="3446">
        <v>0</v>
      </c>
      <c r="J108" s="3499">
        <v>8.0999999999999996E-3</v>
      </c>
      <c r="K108" s="3453">
        <v>2.9179398317324599</v>
      </c>
      <c r="L108" s="3461">
        <v>2.9839063635465499E-2</v>
      </c>
      <c r="M108" s="3446">
        <v>0</v>
      </c>
      <c r="N108" s="3466">
        <v>0</v>
      </c>
      <c r="O108" s="3449">
        <v>8.1448834447692202E-5</v>
      </c>
      <c r="P108" s="3450" t="s">
        <v>18</v>
      </c>
      <c r="Q108" s="3449">
        <v>2.7903740897210401E-5</v>
      </c>
      <c r="R108" s="3451">
        <v>0.29549911991009598</v>
      </c>
      <c r="S108" s="3449">
        <v>3.1874544510141498E-5</v>
      </c>
      <c r="T108" s="3449">
        <v>2.01676158736694E-5</v>
      </c>
      <c r="U108" s="3454">
        <v>3.0526769478765699E-2</v>
      </c>
      <c r="V108" s="3450" t="s">
        <v>18</v>
      </c>
      <c r="W108" s="3449">
        <v>1.2297735040121E-5</v>
      </c>
      <c r="X108" s="3454">
        <v>2.99767041782345E-2</v>
      </c>
      <c r="Y108" s="3460">
        <v>1.13323378957834E-4</v>
      </c>
      <c r="Z108" s="3449">
        <v>2.0621214011806199E-12</v>
      </c>
      <c r="AA108" s="3449">
        <v>3.5981621605456998E-10</v>
      </c>
      <c r="AB108" s="3449">
        <v>3.6187833745575099E-10</v>
      </c>
      <c r="AC108" s="3449">
        <v>8.3660176047687094E-6</v>
      </c>
      <c r="AD108" s="3449">
        <v>2.0959065932667999E-6</v>
      </c>
      <c r="AE108" s="3449">
        <v>1.04619241980355E-5</v>
      </c>
      <c r="AF108" s="3449">
        <v>1.2297735040121E-5</v>
      </c>
      <c r="AG108" s="3460">
        <v>3.0919732479837601E-4</v>
      </c>
      <c r="AH108" s="3449">
        <v>3.5263048320122999E-7</v>
      </c>
      <c r="AI108" s="3449">
        <v>4.0486966242410102E-7</v>
      </c>
      <c r="AJ108" s="3449">
        <v>7.5750014562533102E-7</v>
      </c>
      <c r="AK108" s="3454">
        <v>2.9655209118396399E-2</v>
      </c>
      <c r="AL108" s="3454">
        <v>3.05469370946394E-2</v>
      </c>
      <c r="AM108" s="3451">
        <v>0.29552702365099398</v>
      </c>
      <c r="AN108" s="3772">
        <v>1.9274012891706601E-6</v>
      </c>
      <c r="AO108" s="3426"/>
    </row>
    <row r="109" spans="1:41">
      <c r="A109" s="5047" t="s">
        <v>11</v>
      </c>
      <c r="B109" s="5048"/>
      <c r="C109" s="3468">
        <v>9.2850869020346305E-4</v>
      </c>
      <c r="D109" s="3468">
        <v>1.4624307669208701E-4</v>
      </c>
      <c r="E109" s="3446">
        <v>0</v>
      </c>
      <c r="F109" s="3738">
        <v>3.4442067005569799</v>
      </c>
      <c r="G109" s="3463"/>
      <c r="H109" s="3446">
        <v>0</v>
      </c>
      <c r="I109" s="3446">
        <v>0</v>
      </c>
      <c r="J109" s="3499">
        <v>8.5500000000000003E-3</v>
      </c>
      <c r="K109" s="3453">
        <v>2.9179398317324599</v>
      </c>
      <c r="L109" s="3461">
        <v>2.9839063635465499E-2</v>
      </c>
      <c r="M109" s="3446">
        <v>0</v>
      </c>
      <c r="N109" s="3466">
        <v>0</v>
      </c>
      <c r="O109" s="3449">
        <v>5.3055855451091901E-5</v>
      </c>
      <c r="P109" s="3450" t="s">
        <v>18</v>
      </c>
      <c r="Q109" s="3449">
        <v>2.44442305474303E-5</v>
      </c>
      <c r="R109" s="3451">
        <v>0.27810746109228501</v>
      </c>
      <c r="S109" s="3449">
        <v>2.0763111437592601E-5</v>
      </c>
      <c r="T109" s="3449">
        <v>1.8291431790889198E-5</v>
      </c>
      <c r="U109" s="3454">
        <v>2.97132770837822E-2</v>
      </c>
      <c r="V109" s="3450" t="s">
        <v>18</v>
      </c>
      <c r="W109" s="3460">
        <v>9.0251841149204296E-4</v>
      </c>
      <c r="X109" s="3454">
        <v>2.99853067121576E-2</v>
      </c>
      <c r="Y109" s="3449">
        <v>7.3818966888684396E-5</v>
      </c>
      <c r="Z109" s="3449">
        <v>1.05716020438581E-10</v>
      </c>
      <c r="AA109" s="3449">
        <v>1.8446216807982301E-8</v>
      </c>
      <c r="AB109" s="3449">
        <v>1.8551932828420902E-8</v>
      </c>
      <c r="AC109" s="3449">
        <v>5.6889096625117099E-6</v>
      </c>
      <c r="AD109" s="3449">
        <v>1.4252209155478E-6</v>
      </c>
      <c r="AE109" s="3449">
        <v>7.11413057805951E-6</v>
      </c>
      <c r="AF109" s="3460">
        <v>9.0251841149204296E-4</v>
      </c>
      <c r="AG109" s="3460">
        <v>2.79728475296294E-4</v>
      </c>
      <c r="AH109" s="3449">
        <v>2.41940658026949E-7</v>
      </c>
      <c r="AI109" s="3449">
        <v>2.7778208977508501E-7</v>
      </c>
      <c r="AJ109" s="3449">
        <v>5.1972274780203296E-7</v>
      </c>
      <c r="AK109" s="3454">
        <v>2.8803059825369699E-2</v>
      </c>
      <c r="AL109" s="3454">
        <v>2.9731568515573101E-2</v>
      </c>
      <c r="AM109" s="3451">
        <v>0.278131905322833</v>
      </c>
      <c r="AN109" s="3772">
        <v>1.64452897513145E-6</v>
      </c>
      <c r="AO109" s="3426"/>
    </row>
    <row r="110" spans="1:41">
      <c r="A110" s="5047" t="s">
        <v>12</v>
      </c>
      <c r="B110" s="5048"/>
      <c r="C110" s="3463">
        <v>2.0136759769054601E-3</v>
      </c>
      <c r="D110" s="3468">
        <v>3.1829375515336598E-4</v>
      </c>
      <c r="E110" s="3446">
        <v>0</v>
      </c>
      <c r="F110" s="3738">
        <v>7.6059564637300001</v>
      </c>
      <c r="G110" s="3463"/>
      <c r="H110" s="3446">
        <v>0</v>
      </c>
      <c r="I110" s="3446">
        <v>0</v>
      </c>
      <c r="J110" s="3499">
        <v>1.5299999999999999E-2</v>
      </c>
      <c r="K110" s="3453">
        <v>6.6695767582456202</v>
      </c>
      <c r="L110" s="3461">
        <v>6.7137893179797306E-2</v>
      </c>
      <c r="M110" s="3446">
        <v>0</v>
      </c>
      <c r="N110" s="3466">
        <v>0</v>
      </c>
      <c r="O110" s="3460">
        <v>1.3388127901403001E-4</v>
      </c>
      <c r="P110" s="3450" t="s">
        <v>18</v>
      </c>
      <c r="Q110" s="3449">
        <v>4.6860047572766502E-5</v>
      </c>
      <c r="R110" s="3451">
        <v>0.68351369761361003</v>
      </c>
      <c r="S110" s="3449">
        <v>5.2393687594731198E-5</v>
      </c>
      <c r="T110" s="3449">
        <v>3.3339374350234399E-5</v>
      </c>
      <c r="U110" s="3454">
        <v>6.8879970153100697E-2</v>
      </c>
      <c r="V110" s="3450" t="s">
        <v>18</v>
      </c>
      <c r="W110" s="3449">
        <v>4.5711103635544797E-5</v>
      </c>
      <c r="X110" s="3454">
        <v>6.7456186934950702E-2</v>
      </c>
      <c r="Y110" s="3460">
        <v>1.86274966608761E-4</v>
      </c>
      <c r="Z110" s="3449">
        <v>5.4767126589998098E-12</v>
      </c>
      <c r="AA110" s="3449">
        <v>9.5562270206363808E-10</v>
      </c>
      <c r="AB110" s="3449">
        <v>9.6109941472263693E-10</v>
      </c>
      <c r="AC110" s="3449">
        <v>1.34940570928759E-5</v>
      </c>
      <c r="AD110" s="3449">
        <v>3.38061483575604E-6</v>
      </c>
      <c r="AE110" s="3449">
        <v>1.6874671928631999E-5</v>
      </c>
      <c r="AF110" s="3449">
        <v>4.5711103635544797E-5</v>
      </c>
      <c r="AG110" s="3460">
        <v>5.1084228077065896E-4</v>
      </c>
      <c r="AH110" s="3449">
        <v>5.6093030406012496E-7</v>
      </c>
      <c r="AI110" s="3449">
        <v>6.4402731376649999E-7</v>
      </c>
      <c r="AJ110" s="3449">
        <v>1.20495761782663E-6</v>
      </c>
      <c r="AK110" s="3454">
        <v>6.6899633550545498E-2</v>
      </c>
      <c r="AL110" s="3454">
        <v>6.8913309527450894E-2</v>
      </c>
      <c r="AM110" s="3451">
        <v>0.68356055766118295</v>
      </c>
      <c r="AN110" s="3772">
        <v>3.6671415275889301E-6</v>
      </c>
      <c r="AO110" s="3426"/>
    </row>
    <row r="111" spans="1:41">
      <c r="A111" s="5047" t="s">
        <v>48</v>
      </c>
      <c r="B111" s="5048"/>
      <c r="C111" s="3446">
        <v>0</v>
      </c>
      <c r="D111" s="3446">
        <v>0</v>
      </c>
      <c r="E111" s="3446">
        <v>0</v>
      </c>
      <c r="F111" s="3735">
        <v>0</v>
      </c>
      <c r="G111" s="3446"/>
      <c r="H111" s="3446">
        <v>0</v>
      </c>
      <c r="I111" s="3446">
        <v>0</v>
      </c>
      <c r="J111" s="3499">
        <v>0</v>
      </c>
      <c r="K111" s="3447">
        <v>0</v>
      </c>
      <c r="L111" s="3446">
        <v>0</v>
      </c>
      <c r="M111" s="3446">
        <v>0</v>
      </c>
      <c r="N111" s="3466">
        <v>0</v>
      </c>
      <c r="O111" s="3447">
        <v>0</v>
      </c>
      <c r="P111" s="3450" t="s">
        <v>18</v>
      </c>
      <c r="Q111" s="3447">
        <v>0</v>
      </c>
      <c r="R111" s="3447">
        <v>0</v>
      </c>
      <c r="S111" s="3447">
        <v>0</v>
      </c>
      <c r="T111" s="3447">
        <v>0</v>
      </c>
      <c r="U111" s="3447">
        <v>0</v>
      </c>
      <c r="V111" s="3450" t="s">
        <v>18</v>
      </c>
      <c r="W111" s="3447">
        <v>0</v>
      </c>
      <c r="X111" s="3447">
        <v>0</v>
      </c>
      <c r="Y111" s="3447">
        <v>0</v>
      </c>
      <c r="Z111" s="3447">
        <v>0</v>
      </c>
      <c r="AA111" s="3447">
        <v>0</v>
      </c>
      <c r="AB111" s="3447">
        <v>0</v>
      </c>
      <c r="AC111" s="3447">
        <v>0</v>
      </c>
      <c r="AD111" s="3447">
        <v>0</v>
      </c>
      <c r="AE111" s="3447">
        <v>0</v>
      </c>
      <c r="AF111" s="3447">
        <v>0</v>
      </c>
      <c r="AG111" s="3447">
        <v>0</v>
      </c>
      <c r="AH111" s="3447">
        <v>0</v>
      </c>
      <c r="AI111" s="3447">
        <v>0</v>
      </c>
      <c r="AJ111" s="3447">
        <v>0</v>
      </c>
      <c r="AK111" s="3447">
        <v>0</v>
      </c>
      <c r="AL111" s="3447">
        <v>0</v>
      </c>
      <c r="AM111" s="3447">
        <v>0</v>
      </c>
      <c r="AN111" s="3766">
        <v>0</v>
      </c>
      <c r="AO111" s="3426"/>
    </row>
    <row r="112" spans="1:41">
      <c r="A112" s="5047" t="s">
        <v>751</v>
      </c>
      <c r="B112" s="5048"/>
      <c r="C112" s="3468">
        <v>6.52789560366049E-4</v>
      </c>
      <c r="D112" s="3468">
        <v>1.03230407076768E-4</v>
      </c>
      <c r="E112" s="3446">
        <v>0</v>
      </c>
      <c r="F112" s="3738">
        <v>2.87017225046415</v>
      </c>
      <c r="G112" s="3463"/>
      <c r="H112" s="3446">
        <v>0</v>
      </c>
      <c r="I112" s="3446">
        <v>0</v>
      </c>
      <c r="J112" s="3499">
        <v>3.15E-3</v>
      </c>
      <c r="K112" s="3453">
        <v>2.3621417685453201</v>
      </c>
      <c r="L112" s="3461">
        <v>2.23792977265991E-2</v>
      </c>
      <c r="M112" s="3446">
        <v>0</v>
      </c>
      <c r="N112" s="3466">
        <v>0</v>
      </c>
      <c r="O112" s="3449">
        <v>2.20610984141113E-5</v>
      </c>
      <c r="P112" s="3450" t="s">
        <v>18</v>
      </c>
      <c r="Q112" s="3449">
        <v>2.64099603027148E-5</v>
      </c>
      <c r="R112" s="3451">
        <v>0.56006227154942301</v>
      </c>
      <c r="S112" s="3449">
        <v>8.6334871224560299E-6</v>
      </c>
      <c r="T112" s="3449">
        <v>7.7482578365014502E-6</v>
      </c>
      <c r="U112" s="3454">
        <v>2.30079486701153E-2</v>
      </c>
      <c r="V112" s="3450" t="s">
        <v>18</v>
      </c>
      <c r="W112" s="3449">
        <v>7.1902999642249504E-7</v>
      </c>
      <c r="X112" s="3454">
        <v>2.2482528133675898E-2</v>
      </c>
      <c r="Y112" s="3449">
        <v>3.0694585536567401E-5</v>
      </c>
      <c r="Z112" s="3449">
        <v>1.7811095399293399E-14</v>
      </c>
      <c r="AA112" s="3449">
        <v>3.10782912523557E-12</v>
      </c>
      <c r="AB112" s="3449">
        <v>3.1256402206348699E-12</v>
      </c>
      <c r="AC112" s="3449">
        <v>9.32229778215396E-7</v>
      </c>
      <c r="AD112" s="3449">
        <v>2.3354798315121501E-7</v>
      </c>
      <c r="AE112" s="3449">
        <v>1.1657777613666101E-6</v>
      </c>
      <c r="AF112" s="3449">
        <v>7.1902999642249504E-7</v>
      </c>
      <c r="AG112" s="3460">
        <v>1.1890173609404E-4</v>
      </c>
      <c r="AH112" s="3449">
        <v>3.6587017416028197E-8</v>
      </c>
      <c r="AI112" s="3449">
        <v>4.2007069995361002E-8</v>
      </c>
      <c r="AJ112" s="3449">
        <v>7.8594087411389298E-8</v>
      </c>
      <c r="AK112" s="3454">
        <v>2.2362907367585699E-2</v>
      </c>
      <c r="AL112" s="3454">
        <v>2.3015696927951801E-2</v>
      </c>
      <c r="AM112" s="3451">
        <v>0.56008868150972602</v>
      </c>
      <c r="AN112" s="3772">
        <v>9.4655281312371996E-7</v>
      </c>
      <c r="AO112" s="3426"/>
    </row>
    <row r="113" spans="1:41">
      <c r="A113" s="5047" t="s">
        <v>65</v>
      </c>
      <c r="B113" s="5048"/>
      <c r="C113" s="3463">
        <v>2.07061797111101E-3</v>
      </c>
      <c r="D113" s="3468">
        <v>3.2689628907643003E-4</v>
      </c>
      <c r="E113" s="3446">
        <v>0</v>
      </c>
      <c r="F113" s="3738">
        <v>8.4670081388692502</v>
      </c>
      <c r="G113" s="3463"/>
      <c r="H113" s="3446">
        <v>0</v>
      </c>
      <c r="I113" s="3446">
        <v>0</v>
      </c>
      <c r="J113" s="3499">
        <v>8.5500000000000003E-3</v>
      </c>
      <c r="K113" s="3453">
        <v>8.0590719162134601</v>
      </c>
      <c r="L113" s="3461">
        <v>8.2057424997530007E-2</v>
      </c>
      <c r="M113" s="3446">
        <v>0</v>
      </c>
      <c r="N113" s="3466">
        <v>0</v>
      </c>
      <c r="O113" s="3449">
        <v>7.8441980153066095E-5</v>
      </c>
      <c r="P113" s="3450" t="s">
        <v>18</v>
      </c>
      <c r="Q113" s="3449">
        <v>2.6614342089814802E-5</v>
      </c>
      <c r="R113" s="3451">
        <v>0.84642065516017895</v>
      </c>
      <c r="S113" s="3449">
        <v>3.0697828947549601E-5</v>
      </c>
      <c r="T113" s="3449">
        <v>1.9009169742582498E-5</v>
      </c>
      <c r="U113" s="3454">
        <v>8.4131966866389699E-2</v>
      </c>
      <c r="V113" s="3450" t="s">
        <v>18</v>
      </c>
      <c r="W113" s="3449">
        <v>1.11462080339006E-5</v>
      </c>
      <c r="X113" s="3454">
        <v>8.2384321286606499E-2</v>
      </c>
      <c r="Y113" s="3460">
        <v>1.09139809100616E-4</v>
      </c>
      <c r="Z113" s="3449">
        <v>6.3797598648663002E-13</v>
      </c>
      <c r="AA113" s="3449">
        <v>1.11319394318819E-10</v>
      </c>
      <c r="AB113" s="3449">
        <v>1.1195737030530601E-10</v>
      </c>
      <c r="AC113" s="3449">
        <v>7.8792734675439608E-6</v>
      </c>
      <c r="AD113" s="3449">
        <v>1.9739644345673198E-6</v>
      </c>
      <c r="AE113" s="3449">
        <v>9.8532379021112802E-6</v>
      </c>
      <c r="AF113" s="3449">
        <v>1.11462080339006E-5</v>
      </c>
      <c r="AG113" s="3460">
        <v>2.92817013552489E-4</v>
      </c>
      <c r="AH113" s="3449">
        <v>3.2118282677580801E-7</v>
      </c>
      <c r="AI113" s="3449">
        <v>3.6876330563552998E-7</v>
      </c>
      <c r="AJ113" s="3449">
        <v>6.8994613241133699E-7</v>
      </c>
      <c r="AK113" s="3454">
        <v>8.20803580650213E-2</v>
      </c>
      <c r="AL113" s="3454">
        <v>8.4150976036132294E-2</v>
      </c>
      <c r="AM113" s="3451">
        <v>0.84644726950226901</v>
      </c>
      <c r="AN113" s="3772">
        <v>3.2315880878703702E-6</v>
      </c>
      <c r="AO113" s="3426"/>
    </row>
    <row r="114" spans="1:41">
      <c r="A114" s="5047" t="s">
        <v>13</v>
      </c>
      <c r="B114" s="5048"/>
      <c r="C114" s="3463">
        <v>1.2453677297300601E-3</v>
      </c>
      <c r="D114" s="3468">
        <v>1.9785828023047099E-4</v>
      </c>
      <c r="E114" s="3446">
        <v>0</v>
      </c>
      <c r="F114" s="3738">
        <v>5.3098186633586799</v>
      </c>
      <c r="G114" s="3446"/>
      <c r="H114" s="3446">
        <v>0</v>
      </c>
      <c r="I114" s="3446">
        <v>0</v>
      </c>
      <c r="J114" s="3499">
        <v>4.9500000000000004E-3</v>
      </c>
      <c r="K114" s="3453">
        <v>5.4190311160745699</v>
      </c>
      <c r="L114" s="3461">
        <v>5.2218361362064598E-2</v>
      </c>
      <c r="M114" s="3446">
        <v>0</v>
      </c>
      <c r="N114" s="3466">
        <v>0</v>
      </c>
      <c r="O114" s="3449">
        <v>2.5529239086419098E-5</v>
      </c>
      <c r="P114" s="3450" t="s">
        <v>18</v>
      </c>
      <c r="Q114" s="3449">
        <v>8.9650072541425192E-6</v>
      </c>
      <c r="R114" s="3451">
        <v>0.27864052510350701</v>
      </c>
      <c r="S114" s="3449">
        <v>9.9907245215731205E-6</v>
      </c>
      <c r="T114" s="3449">
        <v>1.2444770625245699E-5</v>
      </c>
      <c r="U114" s="3454">
        <v>5.3456516613387399E-2</v>
      </c>
      <c r="V114" s="3450" t="s">
        <v>18</v>
      </c>
      <c r="W114" s="3449">
        <v>6.9305831975384797E-7</v>
      </c>
      <c r="X114" s="3454">
        <v>5.2416219642295002E-2</v>
      </c>
      <c r="Y114" s="3449">
        <v>3.5519963607992197E-5</v>
      </c>
      <c r="Z114" s="3449">
        <v>3.9367794539367703E-14</v>
      </c>
      <c r="AA114" s="3449">
        <v>6.8692225673324202E-12</v>
      </c>
      <c r="AB114" s="3449">
        <v>6.9085903618717801E-12</v>
      </c>
      <c r="AC114" s="3449">
        <v>4.9682990119965498E-6</v>
      </c>
      <c r="AD114" s="3449">
        <v>1.2446890681450299E-6</v>
      </c>
      <c r="AE114" s="3449">
        <v>6.2129880801415803E-6</v>
      </c>
      <c r="AF114" s="3449">
        <v>6.9305831975384797E-7</v>
      </c>
      <c r="AG114" s="3460">
        <v>1.9193292969345399E-4</v>
      </c>
      <c r="AH114" s="3449">
        <v>2.0127245721999999E-7</v>
      </c>
      <c r="AI114" s="3449">
        <v>2.3108924410096601E-7</v>
      </c>
      <c r="AJ114" s="3449">
        <v>4.32361701320966E-7</v>
      </c>
      <c r="AK114" s="3454">
        <v>5.2223593654282599E-2</v>
      </c>
      <c r="AL114" s="3454">
        <v>5.3468961384012602E-2</v>
      </c>
      <c r="AM114" s="3451">
        <v>0.27864949011076101</v>
      </c>
      <c r="AN114" s="3772">
        <v>2.0217368867083002E-6</v>
      </c>
      <c r="AO114" s="3426"/>
    </row>
    <row r="115" spans="1:41">
      <c r="A115" s="5047" t="s">
        <v>14</v>
      </c>
      <c r="B115" s="5048"/>
      <c r="C115" s="3463">
        <v>1.21866765589204E-3</v>
      </c>
      <c r="D115" s="3468">
        <v>1.89255746307407E-4</v>
      </c>
      <c r="E115" s="3446">
        <v>0</v>
      </c>
      <c r="F115" s="3738">
        <v>5.0228014383122703</v>
      </c>
      <c r="G115" s="3446"/>
      <c r="H115" s="3446">
        <v>0</v>
      </c>
      <c r="I115" s="3446">
        <v>0</v>
      </c>
      <c r="J115" s="3499">
        <v>4.0499999999999998E-3</v>
      </c>
      <c r="K115" s="3453">
        <v>5.0021825686842103</v>
      </c>
      <c r="L115" s="3461">
        <v>5.2218361362064598E-2</v>
      </c>
      <c r="M115" s="3446">
        <v>0</v>
      </c>
      <c r="N115" s="3466">
        <v>0</v>
      </c>
      <c r="O115" s="3449">
        <v>2.8786219990008901E-5</v>
      </c>
      <c r="P115" s="3450" t="s">
        <v>18</v>
      </c>
      <c r="Q115" s="3449">
        <v>1.2277024356108299E-5</v>
      </c>
      <c r="R115" s="3451">
        <v>0.50282532734847496</v>
      </c>
      <c r="S115" s="3449">
        <v>1.1265325729609101E-5</v>
      </c>
      <c r="T115" s="3449">
        <v>9.4353504072564406E-6</v>
      </c>
      <c r="U115" s="3454">
        <v>5.3116925323877601E-2</v>
      </c>
      <c r="V115" s="3450" t="s">
        <v>18</v>
      </c>
      <c r="W115" s="3460">
        <v>3.5453914368995302E-4</v>
      </c>
      <c r="X115" s="3454">
        <v>5.2407617108372002E-2</v>
      </c>
      <c r="Y115" s="3449">
        <v>4.0051545719618E-5</v>
      </c>
      <c r="Z115" s="3449">
        <v>1.2655226320397799E-11</v>
      </c>
      <c r="AA115" s="3449">
        <v>2.20818989867071E-9</v>
      </c>
      <c r="AB115" s="3449">
        <v>2.2208451249911098E-9</v>
      </c>
      <c r="AC115" s="3449">
        <v>3.1026805123815401E-6</v>
      </c>
      <c r="AD115" s="3449">
        <v>7.7730275621152805E-7</v>
      </c>
      <c r="AE115" s="3449">
        <v>3.8799832685930696E-6</v>
      </c>
      <c r="AF115" s="3460">
        <v>3.5453914368995302E-4</v>
      </c>
      <c r="AG115" s="3460">
        <v>1.4538494628997799E-4</v>
      </c>
      <c r="AH115" s="3449">
        <v>1.2504576961799101E-7</v>
      </c>
      <c r="AI115" s="3449">
        <v>1.4357022703538399E-7</v>
      </c>
      <c r="AJ115" s="3449">
        <v>2.6861599665337502E-7</v>
      </c>
      <c r="AK115" s="3454">
        <v>5.1907693018392799E-2</v>
      </c>
      <c r="AL115" s="3454">
        <v>5.3126360674284799E-2</v>
      </c>
      <c r="AM115" s="3451">
        <v>0.50283760437283098</v>
      </c>
      <c r="AN115" s="3772">
        <v>1.74383379219428E-6</v>
      </c>
      <c r="AO115" s="3426"/>
    </row>
    <row r="116" spans="1:41">
      <c r="A116" s="5047" t="s">
        <v>424</v>
      </c>
      <c r="B116" s="5048"/>
      <c r="C116" s="3463">
        <v>1.7556660797157001E-3</v>
      </c>
      <c r="D116" s="3468">
        <v>2.7528108553804702E-4</v>
      </c>
      <c r="E116" s="3446">
        <v>0</v>
      </c>
      <c r="F116" s="3738">
        <v>9.7585856515781195</v>
      </c>
      <c r="G116" s="3446"/>
      <c r="H116" s="3446">
        <v>0</v>
      </c>
      <c r="I116" s="3446">
        <v>0</v>
      </c>
      <c r="J116" s="3499">
        <v>3.15E-3</v>
      </c>
      <c r="K116" s="3453">
        <v>9.8654156215716498</v>
      </c>
      <c r="L116" s="3459">
        <v>0.104436722724129</v>
      </c>
      <c r="M116" s="3446">
        <v>0</v>
      </c>
      <c r="N116" s="3466">
        <v>0</v>
      </c>
      <c r="O116" s="3449">
        <v>3.1045461469561299E-5</v>
      </c>
      <c r="P116" s="3450" t="s">
        <v>18</v>
      </c>
      <c r="Q116" s="3449">
        <v>1.04861083509807E-5</v>
      </c>
      <c r="R116" s="3453">
        <v>1.09510033517912</v>
      </c>
      <c r="S116" s="3449">
        <v>1.21494672104231E-5</v>
      </c>
      <c r="T116" s="3449">
        <v>7.6068194352901597E-6</v>
      </c>
      <c r="U116" s="3451">
        <v>0.10634176056740501</v>
      </c>
      <c r="V116" s="3450" t="s">
        <v>18</v>
      </c>
      <c r="W116" s="3449">
        <v>1.9038280048726E-7</v>
      </c>
      <c r="X116" s="3451">
        <v>0.104712003809667</v>
      </c>
      <c r="Y116" s="3449">
        <v>4.3194928679984401E-5</v>
      </c>
      <c r="Z116" s="3449">
        <v>3.4097614974720599E-15</v>
      </c>
      <c r="AA116" s="3449">
        <v>5.9496374896576702E-13</v>
      </c>
      <c r="AB116" s="3449">
        <v>5.9837351046323901E-13</v>
      </c>
      <c r="AC116" s="3449">
        <v>3.1175636770435001E-6</v>
      </c>
      <c r="AD116" s="3449">
        <v>7.8103137888689603E-7</v>
      </c>
      <c r="AE116" s="3449">
        <v>3.8985950559304003E-6</v>
      </c>
      <c r="AF116" s="3449">
        <v>1.9038280048726E-7</v>
      </c>
      <c r="AG116" s="3460">
        <v>1.18112119743825E-4</v>
      </c>
      <c r="AH116" s="3449">
        <v>1.2214697641260299E-7</v>
      </c>
      <c r="AI116" s="3449">
        <v>1.402420024989E-7</v>
      </c>
      <c r="AJ116" s="3449">
        <v>2.6238897891150301E-7</v>
      </c>
      <c r="AK116" s="3451">
        <v>0.104593701307124</v>
      </c>
      <c r="AL116" s="3451">
        <v>0.10634936738684</v>
      </c>
      <c r="AM116" s="3453">
        <v>1.0951108212874701</v>
      </c>
      <c r="AN116" s="3772">
        <v>3.1124030087544598E-6</v>
      </c>
      <c r="AO116" s="3426"/>
    </row>
    <row r="117" spans="1:41">
      <c r="A117" s="5047" t="s">
        <v>16</v>
      </c>
      <c r="B117" s="5048"/>
      <c r="C117" s="3457">
        <v>5.1765449277775197E-5</v>
      </c>
      <c r="D117" s="3457">
        <v>8.6025339230639592E-6</v>
      </c>
      <c r="E117" s="3446">
        <v>0</v>
      </c>
      <c r="F117" s="3737">
        <v>0.28701722504641503</v>
      </c>
      <c r="G117" s="3446"/>
      <c r="H117" s="3446">
        <v>0</v>
      </c>
      <c r="I117" s="3446">
        <v>0</v>
      </c>
      <c r="J117" s="3499">
        <v>0</v>
      </c>
      <c r="K117" s="3451">
        <v>0.27789903159356699</v>
      </c>
      <c r="L117" s="3446">
        <v>0</v>
      </c>
      <c r="M117" s="3446">
        <v>0</v>
      </c>
      <c r="N117" s="3466">
        <v>0</v>
      </c>
      <c r="O117" s="3449">
        <v>6.0614972932387997E-7</v>
      </c>
      <c r="P117" s="3450" t="s">
        <v>18</v>
      </c>
      <c r="Q117" s="3449">
        <v>2.2963167595521101E-7</v>
      </c>
      <c r="R117" s="3454">
        <v>3.0262086315285399E-2</v>
      </c>
      <c r="S117" s="3449">
        <v>2.3721329664394799E-7</v>
      </c>
      <c r="T117" s="3449">
        <v>3.4373763347981699E-9</v>
      </c>
      <c r="U117" s="3449">
        <v>6.0340943420292999E-5</v>
      </c>
      <c r="V117" s="3450" t="s">
        <v>18</v>
      </c>
      <c r="W117" s="3449">
        <v>1.58974395181643E-8</v>
      </c>
      <c r="X117" s="3449">
        <v>8.6025339230639592E-6</v>
      </c>
      <c r="Y117" s="3449">
        <v>8.4336302596782796E-7</v>
      </c>
      <c r="Z117" s="3449">
        <v>2.0209218235834099E-16</v>
      </c>
      <c r="AA117" s="3449">
        <v>3.5262736863482703E-14</v>
      </c>
      <c r="AB117" s="3449">
        <v>3.5464829045841E-14</v>
      </c>
      <c r="AC117" s="3449">
        <v>1.2556371424699201E-9</v>
      </c>
      <c r="AD117" s="3449">
        <v>3.1457000092293399E-10</v>
      </c>
      <c r="AE117" s="3449">
        <v>1.57020714339285E-9</v>
      </c>
      <c r="AF117" s="3449">
        <v>1.58974395181643E-8</v>
      </c>
      <c r="AG117" s="3449">
        <v>7.7049646933004099E-9</v>
      </c>
      <c r="AH117" s="3449">
        <v>7.0572489045511504E-12</v>
      </c>
      <c r="AI117" s="3449">
        <v>8.1027197526708704E-12</v>
      </c>
      <c r="AJ117" s="3449">
        <v>1.5159968657222E-11</v>
      </c>
      <c r="AK117" s="3449">
        <v>8.5789315188526203E-6</v>
      </c>
      <c r="AL117" s="3449">
        <v>6.0344380796627802E-5</v>
      </c>
      <c r="AM117" s="3454">
        <v>3.02623159469614E-2</v>
      </c>
      <c r="AN117" s="3772">
        <v>8.9196966463692196E-8</v>
      </c>
      <c r="AO117" s="3426"/>
    </row>
    <row r="118" spans="1:41">
      <c r="A118" s="5047" t="s">
        <v>770</v>
      </c>
      <c r="B118" s="5048"/>
      <c r="C118" s="3468">
        <v>5.4626171474704902E-4</v>
      </c>
      <c r="D118" s="3457">
        <v>8.6025339230639595E-5</v>
      </c>
      <c r="E118" s="3446">
        <v>0</v>
      </c>
      <c r="F118" s="3738">
        <v>3.0136808629873602</v>
      </c>
      <c r="G118" s="3446"/>
      <c r="H118" s="3446">
        <v>0</v>
      </c>
      <c r="I118" s="3446">
        <v>0</v>
      </c>
      <c r="J118" s="3499">
        <v>8.9999999999999998E-4</v>
      </c>
      <c r="K118" s="3453">
        <v>3.19583886332603</v>
      </c>
      <c r="L118" s="3461">
        <v>2.9839063635465499E-2</v>
      </c>
      <c r="M118" s="3446">
        <v>0</v>
      </c>
      <c r="N118" s="3466">
        <v>0</v>
      </c>
      <c r="O118" s="3449">
        <v>7.5748238510769598E-6</v>
      </c>
      <c r="P118" s="3450" t="s">
        <v>18</v>
      </c>
      <c r="Q118" s="3449">
        <v>2.2028993676928899E-6</v>
      </c>
      <c r="R118" s="3451">
        <v>0.31980598116522702</v>
      </c>
      <c r="S118" s="3449">
        <v>2.9643648265180899E-6</v>
      </c>
      <c r="T118" s="3449">
        <v>1.5786489026576399E-6</v>
      </c>
      <c r="U118" s="3454">
        <v>3.04107292267983E-2</v>
      </c>
      <c r="V118" s="3450" t="s">
        <v>18</v>
      </c>
      <c r="W118" s="3449">
        <v>3.46048149175899E-5</v>
      </c>
      <c r="X118" s="3454">
        <v>2.9925088974696101E-2</v>
      </c>
      <c r="Y118" s="3449">
        <v>1.0539188677595E-5</v>
      </c>
      <c r="Z118" s="3449">
        <v>5.1887093754211505E-13</v>
      </c>
      <c r="AA118" s="3449">
        <v>9.0536947659920305E-11</v>
      </c>
      <c r="AB118" s="3449">
        <v>9.1055818597462304E-11</v>
      </c>
      <c r="AC118" s="3449">
        <v>7.46427414620491E-7</v>
      </c>
      <c r="AD118" s="3449">
        <v>1.8699962319066E-7</v>
      </c>
      <c r="AE118" s="3449">
        <v>9.33427037811151E-7</v>
      </c>
      <c r="AF118" s="3449">
        <v>3.46048149175899E-5</v>
      </c>
      <c r="AG118" s="3449">
        <v>2.4437998825026699E-5</v>
      </c>
      <c r="AH118" s="3449">
        <v>2.91042594934768E-8</v>
      </c>
      <c r="AI118" s="3449">
        <v>3.3415805716101698E-8</v>
      </c>
      <c r="AJ118" s="3449">
        <v>6.2520065209578494E-8</v>
      </c>
      <c r="AK118" s="3454">
        <v>2.98660461609539E-2</v>
      </c>
      <c r="AL118" s="3454">
        <v>3.0412307875701001E-2</v>
      </c>
      <c r="AM118" s="3451">
        <v>0.31980818406459499</v>
      </c>
      <c r="AN118" s="3772">
        <v>9.4737880516829296E-7</v>
      </c>
      <c r="AO118" s="3426"/>
    </row>
    <row r="119" spans="1:41">
      <c r="A119" s="5047" t="s">
        <v>833</v>
      </c>
      <c r="B119" s="5048"/>
      <c r="C119" s="3463">
        <v>1.0489314722075501E-3</v>
      </c>
      <c r="D119" s="3468">
        <v>1.6344814453821501E-4</v>
      </c>
      <c r="E119" s="3446">
        <v>0</v>
      </c>
      <c r="F119" s="3738">
        <v>8.8975339764388703</v>
      </c>
      <c r="G119" s="3446"/>
      <c r="H119" s="3446">
        <v>0</v>
      </c>
      <c r="I119" s="3446">
        <v>0</v>
      </c>
      <c r="J119" s="3499">
        <v>8.9999999999999998E-4</v>
      </c>
      <c r="K119" s="3453">
        <v>9.3096175583845096</v>
      </c>
      <c r="L119" s="3461">
        <v>8.9517190906396399E-2</v>
      </c>
      <c r="M119" s="3446">
        <v>0</v>
      </c>
      <c r="N119" s="3466">
        <v>0</v>
      </c>
      <c r="O119" s="3449">
        <v>8.7485983981170395E-6</v>
      </c>
      <c r="P119" s="3450" t="s">
        <v>18</v>
      </c>
      <c r="Q119" s="3449">
        <v>2.9704074473900502E-6</v>
      </c>
      <c r="R119" s="3451">
        <v>0.99199464288584904</v>
      </c>
      <c r="S119" s="3449">
        <v>3.4237149117366501E-6</v>
      </c>
      <c r="T119" s="3449">
        <v>2.1052594590763299E-6</v>
      </c>
      <c r="U119" s="3454">
        <v>9.0694562756420599E-2</v>
      </c>
      <c r="V119" s="3450" t="s">
        <v>18</v>
      </c>
      <c r="W119" s="3449">
        <v>4.46480785464555E-8</v>
      </c>
      <c r="X119" s="3454">
        <v>8.9680639050934596E-2</v>
      </c>
      <c r="Y119" s="3449">
        <v>1.2172313309853699E-5</v>
      </c>
      <c r="Z119" s="3449">
        <v>2.5394268361468901E-16</v>
      </c>
      <c r="AA119" s="3449">
        <v>4.43100466639195E-14</v>
      </c>
      <c r="AB119" s="3449">
        <v>4.4563989347534202E-14</v>
      </c>
      <c r="AC119" s="3449">
        <v>8.4444709540282004E-7</v>
      </c>
      <c r="AD119" s="3449">
        <v>2.11556121267414E-7</v>
      </c>
      <c r="AE119" s="3449">
        <v>1.05600321667023E-6</v>
      </c>
      <c r="AF119" s="3449">
        <v>4.46480785464555E-8</v>
      </c>
      <c r="AG119" s="3449">
        <v>3.2857859185211401E-5</v>
      </c>
      <c r="AH119" s="3449">
        <v>3.1888556082384998E-8</v>
      </c>
      <c r="AI119" s="3449">
        <v>3.6612571945175999E-8</v>
      </c>
      <c r="AJ119" s="3449">
        <v>6.8501128027560904E-8</v>
      </c>
      <c r="AK119" s="3454">
        <v>8.9647736543672196E-2</v>
      </c>
      <c r="AL119" s="3454">
        <v>9.0696668015879695E-2</v>
      </c>
      <c r="AM119" s="3451">
        <v>0.99199761329329705</v>
      </c>
      <c r="AN119" s="3772">
        <v>2.6670783983254199E-6</v>
      </c>
      <c r="AO119" s="3426"/>
    </row>
    <row r="120" spans="1:41">
      <c r="A120" s="5047" t="s">
        <v>834</v>
      </c>
      <c r="B120" s="5048"/>
      <c r="C120" s="3468">
        <v>5.732342383181E-4</v>
      </c>
      <c r="D120" s="3457">
        <v>9.4627873153703502E-5</v>
      </c>
      <c r="E120" s="3446">
        <v>0</v>
      </c>
      <c r="F120" s="3738">
        <v>8.03648230129963</v>
      </c>
      <c r="G120" s="3446"/>
      <c r="H120" s="3446">
        <v>0</v>
      </c>
      <c r="I120" s="3446">
        <v>0</v>
      </c>
      <c r="J120" s="3499">
        <v>4.4999999999999999E-4</v>
      </c>
      <c r="K120" s="3453">
        <v>8.4759204636038099</v>
      </c>
      <c r="L120" s="3461">
        <v>8.9517190906396399E-2</v>
      </c>
      <c r="M120" s="3446">
        <v>0</v>
      </c>
      <c r="N120" s="3466">
        <v>0</v>
      </c>
      <c r="O120" s="3449">
        <v>2.6356000730271901E-6</v>
      </c>
      <c r="P120" s="3450" t="s">
        <v>18</v>
      </c>
      <c r="Q120" s="3449">
        <v>9.3823178174002596E-7</v>
      </c>
      <c r="R120" s="3451">
        <v>0.955727503059699</v>
      </c>
      <c r="S120" s="3449">
        <v>1.03142730535437E-6</v>
      </c>
      <c r="T120" s="3449">
        <v>7.0761786818700595E-7</v>
      </c>
      <c r="U120" s="3454">
        <v>9.0173243735603106E-2</v>
      </c>
      <c r="V120" s="3450" t="s">
        <v>18</v>
      </c>
      <c r="W120" s="3449">
        <v>4.6310110956955999E-9</v>
      </c>
      <c r="X120" s="3454">
        <v>8.9611818779550101E-2</v>
      </c>
      <c r="Y120" s="3449">
        <v>3.6670273783815602E-6</v>
      </c>
      <c r="Z120" s="3449">
        <v>8.3996608929676997E-18</v>
      </c>
      <c r="AA120" s="3449">
        <v>1.4656431948763199E-15</v>
      </c>
      <c r="AB120" s="3449">
        <v>1.4740428557692801E-15</v>
      </c>
      <c r="AC120" s="3449">
        <v>2.6774764151189501E-7</v>
      </c>
      <c r="AD120" s="3449">
        <v>6.7077798982462301E-8</v>
      </c>
      <c r="AE120" s="3449">
        <v>3.3482544049435798E-7</v>
      </c>
      <c r="AF120" s="3449">
        <v>4.6310110956955999E-9</v>
      </c>
      <c r="AG120" s="3449">
        <v>1.1097033387150701E-5</v>
      </c>
      <c r="AH120" s="3449">
        <v>9.7725262289179004E-9</v>
      </c>
      <c r="AI120" s="3449">
        <v>1.12202421056004E-8</v>
      </c>
      <c r="AJ120" s="3449">
        <v>2.0992768334518299E-8</v>
      </c>
      <c r="AK120" s="3454">
        <v>8.9600717115153106E-2</v>
      </c>
      <c r="AL120" s="3454">
        <v>9.0173951353471199E-2</v>
      </c>
      <c r="AM120" s="3451">
        <v>0.95572844129148005</v>
      </c>
      <c r="AN120" s="3772">
        <v>2.3607881941767398E-6</v>
      </c>
      <c r="AO120" s="3426"/>
    </row>
    <row r="121" spans="1:41" ht="13" thickBot="1">
      <c r="A121" s="5053" t="s">
        <v>752</v>
      </c>
      <c r="B121" s="5054"/>
      <c r="C121" s="3475">
        <v>4.78421731219859E-4</v>
      </c>
      <c r="D121" s="3476">
        <v>7.7422805307575594E-5</v>
      </c>
      <c r="E121" s="3477">
        <v>0</v>
      </c>
      <c r="F121" s="3745">
        <v>43.913635432101501</v>
      </c>
      <c r="G121" s="3477"/>
      <c r="H121" s="3477">
        <v>0</v>
      </c>
      <c r="I121" s="3477">
        <v>0</v>
      </c>
      <c r="J121" s="3508">
        <v>0</v>
      </c>
      <c r="K121" s="3478">
        <v>46.409138276125802</v>
      </c>
      <c r="L121" s="3479">
        <v>0.47742501816744698</v>
      </c>
      <c r="M121" s="3477">
        <v>0</v>
      </c>
      <c r="N121" s="3480">
        <v>0</v>
      </c>
      <c r="O121" s="3481">
        <v>1.13732734875328E-9</v>
      </c>
      <c r="P121" s="3482" t="s">
        <v>18</v>
      </c>
      <c r="Q121" s="3481">
        <v>5.5853484833598302E-10</v>
      </c>
      <c r="R121" s="3483">
        <v>6.2703693068409301</v>
      </c>
      <c r="S121" s="3481">
        <v>4.4508667860335099E-10</v>
      </c>
      <c r="T121" s="3481">
        <v>4.4192616857176601E-10</v>
      </c>
      <c r="U121" s="3484">
        <v>0.47798085464580597</v>
      </c>
      <c r="V121" s="3482" t="s">
        <v>18</v>
      </c>
      <c r="W121" s="3481">
        <v>6.6331611783183401E-10</v>
      </c>
      <c r="X121" s="3484">
        <v>0.47750244097275502</v>
      </c>
      <c r="Y121" s="3481">
        <v>1.5824140273566301E-9</v>
      </c>
      <c r="Z121" s="3481">
        <v>9.2705866431058804E-23</v>
      </c>
      <c r="AA121" s="3481">
        <v>1.6176096153304199E-20</v>
      </c>
      <c r="AB121" s="3481">
        <v>1.6268802019735201E-20</v>
      </c>
      <c r="AC121" s="3481">
        <v>1.09331254215699E-10</v>
      </c>
      <c r="AD121" s="3481">
        <v>2.7390343576398301E-11</v>
      </c>
      <c r="AE121" s="3481">
        <v>1.3672159779209699E-10</v>
      </c>
      <c r="AF121" s="3481">
        <v>6.6331611783183401E-10</v>
      </c>
      <c r="AG121" s="3481">
        <v>6.9529331959910002E-9</v>
      </c>
      <c r="AH121" s="3481">
        <v>2.9311628002959301E-12</v>
      </c>
      <c r="AI121" s="3481">
        <v>3.3653894090281401E-12</v>
      </c>
      <c r="AJ121" s="3481">
        <v>6.2965522093240804E-12</v>
      </c>
      <c r="AK121" s="3484">
        <v>0.47750243335651299</v>
      </c>
      <c r="AL121" s="3484">
        <v>0.47798085508773303</v>
      </c>
      <c r="AM121" s="3483">
        <v>6.27036930739947</v>
      </c>
      <c r="AN121" s="3773">
        <v>1.27790797817111E-5</v>
      </c>
      <c r="AO121" s="3426"/>
    </row>
    <row r="122" spans="1:41" ht="13" thickTop="1">
      <c r="A122" s="3426"/>
      <c r="B122" s="3426"/>
      <c r="C122" s="3426"/>
      <c r="D122" s="3426"/>
      <c r="E122" s="3426"/>
      <c r="F122" s="3727"/>
      <c r="G122" s="3426"/>
      <c r="H122" s="3426"/>
      <c r="I122" s="3426"/>
      <c r="J122" s="3426"/>
      <c r="K122" s="3426"/>
      <c r="L122" s="3426"/>
      <c r="M122" s="3426"/>
      <c r="N122" s="3426"/>
      <c r="O122" s="3426"/>
      <c r="P122" s="3426"/>
      <c r="Q122" s="3426"/>
      <c r="R122" s="3426"/>
      <c r="S122" s="3426"/>
      <c r="T122" s="3426"/>
      <c r="U122" s="3426"/>
      <c r="V122" s="3426"/>
      <c r="W122" s="3426"/>
      <c r="X122" s="3426"/>
      <c r="Y122" s="3426"/>
      <c r="Z122" s="3426"/>
      <c r="AA122" s="3426"/>
      <c r="AB122" s="3426"/>
      <c r="AC122" s="3426"/>
      <c r="AD122" s="3426"/>
      <c r="AE122" s="3426"/>
      <c r="AF122" s="3426"/>
      <c r="AG122" s="3426"/>
      <c r="AH122" s="3426"/>
      <c r="AI122" s="3426"/>
      <c r="AJ122" s="3426"/>
      <c r="AK122" s="3426"/>
      <c r="AL122" s="3426"/>
      <c r="AM122" s="3426"/>
      <c r="AN122" s="3760"/>
      <c r="AO122" s="3426"/>
    </row>
    <row r="123" spans="1:41" ht="13" thickBot="1">
      <c r="A123" s="3426"/>
      <c r="B123" s="3426"/>
      <c r="C123" s="3426"/>
      <c r="D123" s="3426"/>
      <c r="E123" s="3426"/>
      <c r="F123" s="3727"/>
      <c r="G123" s="3426"/>
      <c r="H123" s="3426"/>
      <c r="I123" s="3426"/>
      <c r="J123" s="3426"/>
      <c r="K123" s="3426"/>
      <c r="L123" s="3426"/>
      <c r="M123" s="3426"/>
      <c r="N123" s="3426"/>
      <c r="O123" s="3426"/>
      <c r="P123" s="3426"/>
      <c r="Q123" s="3426"/>
      <c r="R123" s="3426"/>
      <c r="S123" s="3426"/>
      <c r="T123" s="3426"/>
      <c r="U123" s="3426"/>
      <c r="V123" s="3426"/>
      <c r="W123" s="3426"/>
      <c r="X123" s="3426"/>
      <c r="Y123" s="3426"/>
      <c r="Z123" s="3426"/>
      <c r="AA123" s="3426"/>
      <c r="AB123" s="3426"/>
      <c r="AC123" s="3426"/>
      <c r="AD123" s="3426"/>
      <c r="AE123" s="3426"/>
      <c r="AF123" s="3426"/>
      <c r="AG123" s="3426"/>
      <c r="AH123" s="3426"/>
      <c r="AI123" s="3426"/>
      <c r="AJ123" s="3426"/>
      <c r="AK123" s="3426"/>
      <c r="AL123" s="3426"/>
      <c r="AM123" s="3426"/>
      <c r="AN123" s="3760"/>
      <c r="AO123" s="3426"/>
    </row>
    <row r="124" spans="1:41" ht="14" thickTop="1" thickBot="1">
      <c r="A124" s="3434" t="s">
        <v>389</v>
      </c>
      <c r="B124" s="3435"/>
      <c r="C124" s="3436" t="s">
        <v>821</v>
      </c>
      <c r="D124" s="3436" t="s">
        <v>822</v>
      </c>
      <c r="E124" s="3436" t="s">
        <v>741</v>
      </c>
      <c r="F124" s="3734" t="s">
        <v>823</v>
      </c>
      <c r="G124" s="3436" t="s">
        <v>1304</v>
      </c>
      <c r="H124" s="3436" t="s">
        <v>737</v>
      </c>
      <c r="I124" s="3436" t="s">
        <v>742</v>
      </c>
      <c r="J124" s="3437" t="s">
        <v>1305</v>
      </c>
      <c r="K124" s="3436" t="s">
        <v>824</v>
      </c>
      <c r="L124" s="3436" t="s">
        <v>825</v>
      </c>
      <c r="M124" s="3436" t="s">
        <v>743</v>
      </c>
      <c r="N124" s="3436" t="s">
        <v>827</v>
      </c>
      <c r="O124" s="3436" t="s">
        <v>390</v>
      </c>
      <c r="P124" s="3436" t="s">
        <v>391</v>
      </c>
      <c r="Q124" s="3436" t="s">
        <v>392</v>
      </c>
      <c r="R124" s="3436" t="s">
        <v>393</v>
      </c>
      <c r="S124" s="3436" t="s">
        <v>394</v>
      </c>
      <c r="T124" s="3436" t="s">
        <v>395</v>
      </c>
      <c r="U124" s="3436" t="s">
        <v>396</v>
      </c>
      <c r="V124" s="3436" t="s">
        <v>397</v>
      </c>
      <c r="W124" s="3436" t="s">
        <v>398</v>
      </c>
      <c r="X124" s="3436" t="s">
        <v>399</v>
      </c>
      <c r="Y124" s="3436" t="s">
        <v>400</v>
      </c>
      <c r="Z124" s="3436" t="s">
        <v>401</v>
      </c>
      <c r="AA124" s="3436" t="s">
        <v>402</v>
      </c>
      <c r="AB124" s="3436" t="s">
        <v>403</v>
      </c>
      <c r="AC124" s="3436" t="s">
        <v>404</v>
      </c>
      <c r="AD124" s="3436" t="s">
        <v>405</v>
      </c>
      <c r="AE124" s="3436" t="s">
        <v>406</v>
      </c>
      <c r="AF124" s="3436" t="s">
        <v>407</v>
      </c>
      <c r="AG124" s="3436" t="s">
        <v>408</v>
      </c>
      <c r="AH124" s="3436" t="s">
        <v>409</v>
      </c>
      <c r="AI124" s="3436" t="s">
        <v>410</v>
      </c>
      <c r="AJ124" s="3436" t="s">
        <v>411</v>
      </c>
      <c r="AK124" s="3436" t="s">
        <v>412</v>
      </c>
      <c r="AL124" s="3436" t="s">
        <v>439</v>
      </c>
      <c r="AM124" s="3436" t="s">
        <v>440</v>
      </c>
      <c r="AN124" s="3761" t="s">
        <v>828</v>
      </c>
      <c r="AO124" s="3426"/>
    </row>
    <row r="125" spans="1:41" ht="13">
      <c r="A125" s="3438" t="s">
        <v>427</v>
      </c>
      <c r="B125" s="3427" t="s">
        <v>413</v>
      </c>
      <c r="C125" s="3428" t="s">
        <v>414</v>
      </c>
      <c r="D125" s="3428" t="s">
        <v>414</v>
      </c>
      <c r="E125" s="3428" t="s">
        <v>414</v>
      </c>
      <c r="F125" s="3728" t="s">
        <v>414</v>
      </c>
      <c r="G125" s="3428" t="s">
        <v>414</v>
      </c>
      <c r="H125" s="3428" t="s">
        <v>414</v>
      </c>
      <c r="I125" s="3428" t="s">
        <v>414</v>
      </c>
      <c r="J125" s="3439" t="s">
        <v>414</v>
      </c>
      <c r="K125" s="3428" t="s">
        <v>414</v>
      </c>
      <c r="L125" s="3428" t="s">
        <v>414</v>
      </c>
      <c r="M125" s="3428" t="s">
        <v>414</v>
      </c>
      <c r="N125" s="3428" t="s">
        <v>414</v>
      </c>
      <c r="O125" s="3428" t="s">
        <v>414</v>
      </c>
      <c r="P125" s="3428" t="s">
        <v>414</v>
      </c>
      <c r="Q125" s="3428" t="s">
        <v>414</v>
      </c>
      <c r="R125" s="3428" t="s">
        <v>414</v>
      </c>
      <c r="S125" s="3428" t="s">
        <v>414</v>
      </c>
      <c r="T125" s="3428" t="s">
        <v>414</v>
      </c>
      <c r="U125" s="3428" t="s">
        <v>414</v>
      </c>
      <c r="V125" s="3428" t="s">
        <v>414</v>
      </c>
      <c r="W125" s="3428" t="s">
        <v>414</v>
      </c>
      <c r="X125" s="3428" t="s">
        <v>414</v>
      </c>
      <c r="Y125" s="3428" t="s">
        <v>414</v>
      </c>
      <c r="Z125" s="3428" t="s">
        <v>414</v>
      </c>
      <c r="AA125" s="3428" t="s">
        <v>414</v>
      </c>
      <c r="AB125" s="3428" t="s">
        <v>414</v>
      </c>
      <c r="AC125" s="3428" t="s">
        <v>414</v>
      </c>
      <c r="AD125" s="3428" t="s">
        <v>414</v>
      </c>
      <c r="AE125" s="3428" t="s">
        <v>414</v>
      </c>
      <c r="AF125" s="3428" t="s">
        <v>414</v>
      </c>
      <c r="AG125" s="3428" t="s">
        <v>414</v>
      </c>
      <c r="AH125" s="3428" t="s">
        <v>414</v>
      </c>
      <c r="AI125" s="3428" t="s">
        <v>414</v>
      </c>
      <c r="AJ125" s="3428" t="s">
        <v>414</v>
      </c>
      <c r="AK125" s="3428" t="s">
        <v>414</v>
      </c>
      <c r="AL125" s="3428" t="s">
        <v>414</v>
      </c>
      <c r="AM125" s="3428" t="s">
        <v>414</v>
      </c>
      <c r="AN125" s="3762" t="s">
        <v>414</v>
      </c>
      <c r="AO125" s="3426"/>
    </row>
    <row r="126" spans="1:41" ht="13">
      <c r="A126" s="3440" t="s">
        <v>415</v>
      </c>
      <c r="B126" s="3429" t="s">
        <v>416</v>
      </c>
      <c r="C126" s="3429" t="s">
        <v>445</v>
      </c>
      <c r="D126" s="3429" t="s">
        <v>445</v>
      </c>
      <c r="E126" s="3429" t="s">
        <v>445</v>
      </c>
      <c r="F126" s="3729" t="s">
        <v>445</v>
      </c>
      <c r="G126" s="3429" t="s">
        <v>445</v>
      </c>
      <c r="H126" s="3429" t="s">
        <v>445</v>
      </c>
      <c r="I126" s="3429" t="s">
        <v>445</v>
      </c>
      <c r="J126" s="3441" t="s">
        <v>445</v>
      </c>
      <c r="K126" s="3429" t="s">
        <v>829</v>
      </c>
      <c r="L126" s="3429" t="s">
        <v>445</v>
      </c>
      <c r="M126" s="3429" t="s">
        <v>445</v>
      </c>
      <c r="N126" s="3429" t="s">
        <v>445</v>
      </c>
      <c r="O126" s="3429" t="s">
        <v>445</v>
      </c>
      <c r="P126" s="3429" t="s">
        <v>829</v>
      </c>
      <c r="Q126" s="3429" t="s">
        <v>830</v>
      </c>
      <c r="R126" s="3429" t="s">
        <v>830</v>
      </c>
      <c r="S126" s="3429" t="s">
        <v>445</v>
      </c>
      <c r="T126" s="3429" t="s">
        <v>631</v>
      </c>
      <c r="U126" s="3429" t="s">
        <v>631</v>
      </c>
      <c r="V126" s="3429" t="s">
        <v>831</v>
      </c>
      <c r="W126" s="3429" t="s">
        <v>831</v>
      </c>
      <c r="X126" s="3429" t="s">
        <v>418</v>
      </c>
      <c r="Y126" s="3429" t="s">
        <v>419</v>
      </c>
      <c r="Z126" s="3429" t="s">
        <v>445</v>
      </c>
      <c r="AA126" s="3429" t="s">
        <v>445</v>
      </c>
      <c r="AB126" s="3429" t="s">
        <v>447</v>
      </c>
      <c r="AC126" s="3429" t="s">
        <v>445</v>
      </c>
      <c r="AD126" s="3429" t="s">
        <v>445</v>
      </c>
      <c r="AE126" s="3429" t="s">
        <v>448</v>
      </c>
      <c r="AF126" s="3429" t="s">
        <v>896</v>
      </c>
      <c r="AG126" s="3429" t="s">
        <v>896</v>
      </c>
      <c r="AH126" s="3429" t="s">
        <v>445</v>
      </c>
      <c r="AI126" s="3429" t="s">
        <v>445</v>
      </c>
      <c r="AJ126" s="3429" t="s">
        <v>449</v>
      </c>
      <c r="AK126" s="3429" t="s">
        <v>896</v>
      </c>
      <c r="AL126" s="3429" t="s">
        <v>450</v>
      </c>
      <c r="AM126" s="3429" t="s">
        <v>826</v>
      </c>
      <c r="AN126" s="3763" t="s">
        <v>445</v>
      </c>
      <c r="AO126" s="3426"/>
    </row>
    <row r="127" spans="1:41">
      <c r="A127" s="3488"/>
      <c r="B127" s="3430" t="s">
        <v>421</v>
      </c>
      <c r="C127" s="3430" t="s">
        <v>450</v>
      </c>
      <c r="D127" s="3430" t="s">
        <v>418</v>
      </c>
      <c r="E127" s="3430" t="s">
        <v>445</v>
      </c>
      <c r="F127" s="3730" t="s">
        <v>829</v>
      </c>
      <c r="G127" s="3430" t="s">
        <v>445</v>
      </c>
      <c r="H127" s="3430" t="s">
        <v>445</v>
      </c>
      <c r="I127" s="3430" t="s">
        <v>445</v>
      </c>
      <c r="J127" s="3443" t="s">
        <v>445</v>
      </c>
      <c r="K127" s="3430" t="s">
        <v>445</v>
      </c>
      <c r="L127" s="3430" t="s">
        <v>418</v>
      </c>
      <c r="M127" s="3430" t="s">
        <v>445</v>
      </c>
      <c r="N127" s="3430" t="s">
        <v>445</v>
      </c>
      <c r="O127" s="3430" t="s">
        <v>419</v>
      </c>
      <c r="P127" s="3430" t="s">
        <v>445</v>
      </c>
      <c r="Q127" s="3430" t="s">
        <v>445</v>
      </c>
      <c r="R127" s="3430" t="s">
        <v>445</v>
      </c>
      <c r="S127" s="3430" t="s">
        <v>419</v>
      </c>
      <c r="T127" s="3430" t="s">
        <v>445</v>
      </c>
      <c r="U127" s="3430" t="s">
        <v>445</v>
      </c>
      <c r="V127" s="3430" t="s">
        <v>445</v>
      </c>
      <c r="W127" s="3430" t="s">
        <v>445</v>
      </c>
      <c r="X127" s="3430" t="s">
        <v>896</v>
      </c>
      <c r="Y127" s="3430" t="s">
        <v>445</v>
      </c>
      <c r="Z127" s="3430" t="s">
        <v>447</v>
      </c>
      <c r="AA127" s="3430" t="s">
        <v>447</v>
      </c>
      <c r="AB127" s="3430" t="s">
        <v>445</v>
      </c>
      <c r="AC127" s="3430" t="s">
        <v>448</v>
      </c>
      <c r="AD127" s="3430" t="s">
        <v>448</v>
      </c>
      <c r="AE127" s="3430" t="s">
        <v>445</v>
      </c>
      <c r="AF127" s="3430" t="s">
        <v>831</v>
      </c>
      <c r="AG127" s="3430" t="s">
        <v>445</v>
      </c>
      <c r="AH127" s="3430" t="s">
        <v>449</v>
      </c>
      <c r="AI127" s="3430" t="s">
        <v>449</v>
      </c>
      <c r="AJ127" s="3430" t="s">
        <v>445</v>
      </c>
      <c r="AK127" s="3430" t="s">
        <v>450</v>
      </c>
      <c r="AL127" s="3430" t="s">
        <v>631</v>
      </c>
      <c r="AM127" s="3430" t="s">
        <v>830</v>
      </c>
      <c r="AN127" s="3764" t="s">
        <v>445</v>
      </c>
      <c r="AO127" s="3426"/>
    </row>
    <row r="128" spans="1:41" ht="13" thickBot="1">
      <c r="A128" s="3462" t="s">
        <v>71</v>
      </c>
      <c r="B128" s="3485" t="s">
        <v>72</v>
      </c>
      <c r="C128" s="3433"/>
      <c r="D128" s="3433"/>
      <c r="E128" s="3433"/>
      <c r="F128" s="3733"/>
      <c r="G128" s="3433"/>
      <c r="H128" s="3433"/>
      <c r="I128" s="3433"/>
      <c r="J128" s="3444"/>
      <c r="K128" s="3433"/>
      <c r="L128" s="3433"/>
      <c r="M128" s="3433"/>
      <c r="N128" s="3433"/>
      <c r="O128" s="3433"/>
      <c r="P128" s="3433"/>
      <c r="Q128" s="3433"/>
      <c r="R128" s="3433"/>
      <c r="S128" s="3433"/>
      <c r="T128" s="3433"/>
      <c r="U128" s="3433"/>
      <c r="V128" s="3433"/>
      <c r="W128" s="3433"/>
      <c r="X128" s="3433"/>
      <c r="Y128" s="3433"/>
      <c r="Z128" s="3433"/>
      <c r="AA128" s="3433"/>
      <c r="AB128" s="3433"/>
      <c r="AC128" s="3433"/>
      <c r="AD128" s="3433"/>
      <c r="AE128" s="3433"/>
      <c r="AF128" s="3433"/>
      <c r="AG128" s="3433"/>
      <c r="AH128" s="3433"/>
      <c r="AI128" s="3433"/>
      <c r="AJ128" s="3433"/>
      <c r="AK128" s="3433"/>
      <c r="AL128" s="3433"/>
      <c r="AM128" s="3433"/>
      <c r="AN128" s="3765"/>
      <c r="AO128" s="3426"/>
    </row>
    <row r="129" spans="1:41" ht="13" thickTop="1">
      <c r="A129" s="3445" t="s">
        <v>428</v>
      </c>
      <c r="B129" s="3486" t="s">
        <v>299</v>
      </c>
      <c r="C129" s="3446">
        <v>108</v>
      </c>
      <c r="D129" s="3446">
        <v>105</v>
      </c>
      <c r="E129" s="3446">
        <v>65</v>
      </c>
      <c r="F129" s="3735">
        <v>75</v>
      </c>
      <c r="G129" s="3446">
        <v>65</v>
      </c>
      <c r="H129" s="3446">
        <v>65</v>
      </c>
      <c r="I129" s="3446">
        <v>65</v>
      </c>
      <c r="J129" s="3499">
        <v>65</v>
      </c>
      <c r="K129" s="3447">
        <v>90</v>
      </c>
      <c r="L129" s="3446">
        <v>70</v>
      </c>
      <c r="M129" s="3446">
        <v>65</v>
      </c>
      <c r="N129" s="3455">
        <v>87.1140633320002</v>
      </c>
      <c r="O129" s="3455">
        <v>88.526003331999902</v>
      </c>
      <c r="P129" s="3446">
        <v>90</v>
      </c>
      <c r="Q129" s="3446">
        <v>80.5</v>
      </c>
      <c r="R129" s="3447">
        <v>80.5</v>
      </c>
      <c r="S129" s="3455">
        <v>88.526003331999902</v>
      </c>
      <c r="T129" s="3446">
        <v>90</v>
      </c>
      <c r="U129" s="3447">
        <v>90</v>
      </c>
      <c r="V129" s="3446">
        <v>90</v>
      </c>
      <c r="W129" s="3447">
        <v>90</v>
      </c>
      <c r="X129" s="3455">
        <v>70.378349195815602</v>
      </c>
      <c r="Y129" s="3455">
        <v>88.526003331999902</v>
      </c>
      <c r="Z129" s="3455">
        <v>94.126003331999996</v>
      </c>
      <c r="AA129" s="3455">
        <v>94.126003331999996</v>
      </c>
      <c r="AB129" s="3455">
        <v>94.126003331999996</v>
      </c>
      <c r="AC129" s="3455">
        <v>94.115711204138506</v>
      </c>
      <c r="AD129" s="3455">
        <v>94.115711204138506</v>
      </c>
      <c r="AE129" s="3455">
        <v>94.115711204138293</v>
      </c>
      <c r="AF129" s="3447">
        <v>90</v>
      </c>
      <c r="AG129" s="3446">
        <v>90</v>
      </c>
      <c r="AH129" s="3455">
        <v>83.137878881656704</v>
      </c>
      <c r="AI129" s="3455">
        <v>83.137878881656704</v>
      </c>
      <c r="AJ129" s="3455">
        <v>83.137878881656704</v>
      </c>
      <c r="AK129" s="3447">
        <v>90</v>
      </c>
      <c r="AL129" s="3455">
        <v>89.981621200247304</v>
      </c>
      <c r="AM129" s="3447">
        <v>80</v>
      </c>
      <c r="AN129" s="3767">
        <v>87.1140633320002</v>
      </c>
      <c r="AO129" s="3426"/>
    </row>
    <row r="130" spans="1:41">
      <c r="A130" s="3456" t="s">
        <v>730</v>
      </c>
      <c r="B130" s="3487" t="s">
        <v>297</v>
      </c>
      <c r="C130" s="3446">
        <v>30</v>
      </c>
      <c r="D130" s="3446">
        <v>30</v>
      </c>
      <c r="E130" s="3446">
        <v>50</v>
      </c>
      <c r="F130" s="3735">
        <v>0</v>
      </c>
      <c r="G130" s="3446">
        <v>1150</v>
      </c>
      <c r="H130" s="3446">
        <v>50</v>
      </c>
      <c r="I130" s="3446">
        <v>50</v>
      </c>
      <c r="J130" s="3499">
        <v>1150</v>
      </c>
      <c r="K130" s="3447">
        <v>0</v>
      </c>
      <c r="L130" s="3446">
        <v>5</v>
      </c>
      <c r="M130" s="3446">
        <v>50</v>
      </c>
      <c r="N130" s="3489" t="s">
        <v>18</v>
      </c>
      <c r="O130" s="3453">
        <v>6.7332446360466696</v>
      </c>
      <c r="P130" s="3446">
        <v>0</v>
      </c>
      <c r="Q130" s="3446">
        <v>0.249999999999999</v>
      </c>
      <c r="R130" s="3447">
        <v>0.249999999999999</v>
      </c>
      <c r="S130" s="3453">
        <v>6.7332446360466696</v>
      </c>
      <c r="T130" s="3446">
        <v>0.249999999999999</v>
      </c>
      <c r="U130" s="3447">
        <v>0.249999999999999</v>
      </c>
      <c r="V130" s="3446">
        <v>0.249999999999999</v>
      </c>
      <c r="W130" s="3447">
        <v>0.249999999999999</v>
      </c>
      <c r="X130" s="3447">
        <v>5</v>
      </c>
      <c r="Y130" s="3453">
        <v>6.7332446360466696</v>
      </c>
      <c r="Z130" s="3455">
        <v>-11.9290180535052</v>
      </c>
      <c r="AA130" s="3455">
        <v>-11.9290180535052</v>
      </c>
      <c r="AB130" s="3455">
        <v>-11.9290180535052</v>
      </c>
      <c r="AC130" s="3453">
        <v>5.3173698303310202</v>
      </c>
      <c r="AD130" s="3453">
        <v>5.3173698303310202</v>
      </c>
      <c r="AE130" s="3453">
        <v>5.3173698303310202</v>
      </c>
      <c r="AF130" s="3447">
        <v>0.249999999999999</v>
      </c>
      <c r="AG130" s="3446">
        <v>0.249999999999999</v>
      </c>
      <c r="AH130" s="3455">
        <v>-11.8773754829579</v>
      </c>
      <c r="AI130" s="3455">
        <v>-11.8773754829579</v>
      </c>
      <c r="AJ130" s="3455">
        <v>-11.8773754829579</v>
      </c>
      <c r="AK130" s="3447">
        <v>0.249999999999999</v>
      </c>
      <c r="AL130" s="3447">
        <v>0.249999999999999</v>
      </c>
      <c r="AM130" s="3447">
        <v>0.249999999999999</v>
      </c>
      <c r="AN130" s="3767">
        <v>-12.6652923804366</v>
      </c>
      <c r="AO130" s="3426"/>
    </row>
    <row r="131" spans="1:41">
      <c r="A131" s="3456" t="s">
        <v>20</v>
      </c>
      <c r="B131" s="3487" t="s">
        <v>429</v>
      </c>
      <c r="C131" s="3455">
        <v>84.180937826800005</v>
      </c>
      <c r="D131" s="3455">
        <v>18.346904072200001</v>
      </c>
      <c r="E131" s="3455">
        <v>18.906107429477601</v>
      </c>
      <c r="F131" s="3746">
        <v>146.26456062</v>
      </c>
      <c r="G131" s="3455">
        <v>22.739620047506499</v>
      </c>
      <c r="H131" s="3455">
        <v>18.906107429477601</v>
      </c>
      <c r="I131" s="3455">
        <v>18.906107429477601</v>
      </c>
      <c r="J131" s="3412">
        <v>45.543125793999998</v>
      </c>
      <c r="K131" s="3471">
        <v>151.965054825175</v>
      </c>
      <c r="L131" s="3455">
        <v>20.592706446644701</v>
      </c>
      <c r="M131" s="3455">
        <v>18.906107429477601</v>
      </c>
      <c r="N131" s="3455">
        <v>83.900030339360598</v>
      </c>
      <c r="O131" s="3455">
        <v>49.368082888003997</v>
      </c>
      <c r="P131" s="3489" t="s">
        <v>18</v>
      </c>
      <c r="Q131" s="3455">
        <v>48.538121492760602</v>
      </c>
      <c r="R131" s="3471">
        <v>155.64275443358599</v>
      </c>
      <c r="S131" s="3455">
        <v>49.368082888003997</v>
      </c>
      <c r="T131" s="3455">
        <v>49.258996315007302</v>
      </c>
      <c r="U131" s="3471">
        <v>149.48938672738001</v>
      </c>
      <c r="V131" s="3489" t="s">
        <v>18</v>
      </c>
      <c r="W131" s="3455">
        <v>18.0169248775378</v>
      </c>
      <c r="X131" s="3455">
        <v>20.567100780388898</v>
      </c>
      <c r="Y131" s="3455">
        <v>49.368082888003897</v>
      </c>
      <c r="Z131" s="3455">
        <v>18.150207979956001</v>
      </c>
      <c r="AA131" s="3455">
        <v>18.150207979956001</v>
      </c>
      <c r="AB131" s="3455">
        <v>18.150207979956001</v>
      </c>
      <c r="AC131" s="3455">
        <v>50.2539998954596</v>
      </c>
      <c r="AD131" s="3455">
        <v>50.2539998954596</v>
      </c>
      <c r="AE131" s="3455">
        <v>50.253999895459501</v>
      </c>
      <c r="AF131" s="3455">
        <v>18.0169248775378</v>
      </c>
      <c r="AG131" s="3455">
        <v>48.7835966550875</v>
      </c>
      <c r="AH131" s="3455">
        <v>27.9518326470372</v>
      </c>
      <c r="AI131" s="3455">
        <v>27.9518326470372</v>
      </c>
      <c r="AJ131" s="3455">
        <v>27.9518326470372</v>
      </c>
      <c r="AK131" s="3471">
        <v>150.50353790670201</v>
      </c>
      <c r="AL131" s="3471">
        <v>149.272739128365</v>
      </c>
      <c r="AM131" s="3471">
        <v>155.60171679603499</v>
      </c>
      <c r="AN131" s="3767">
        <v>83.460429113907793</v>
      </c>
      <c r="AO131" s="3426"/>
    </row>
    <row r="132" spans="1:41">
      <c r="A132" s="3456" t="s">
        <v>425</v>
      </c>
      <c r="B132" s="3487" t="s">
        <v>426</v>
      </c>
      <c r="C132" s="3471">
        <v>251.823053467465</v>
      </c>
      <c r="D132" s="3472">
        <v>1732.9439783882599</v>
      </c>
      <c r="E132" s="3471">
        <v>249.10285587099301</v>
      </c>
      <c r="F132" s="3747">
        <v>2304689.45996643</v>
      </c>
      <c r="G132" s="3473">
        <v>37451.550486956097</v>
      </c>
      <c r="H132" s="3471">
        <v>199.28228469679499</v>
      </c>
      <c r="I132" s="3455">
        <v>12.455142793549699</v>
      </c>
      <c r="J132" s="3415">
        <v>22502.495707198301</v>
      </c>
      <c r="K132" s="3449">
        <v>2320759.7595848702</v>
      </c>
      <c r="L132" s="3467">
        <v>168651.62709424499</v>
      </c>
      <c r="M132" s="3472">
        <v>1170.7834225936699</v>
      </c>
      <c r="N132" s="3447">
        <v>0</v>
      </c>
      <c r="O132" s="3455">
        <v>96.771052670830599</v>
      </c>
      <c r="P132" s="3447">
        <v>0</v>
      </c>
      <c r="Q132" s="3455">
        <v>34.7406692964908</v>
      </c>
      <c r="R132" s="3467">
        <v>290632.11112804501</v>
      </c>
      <c r="S132" s="3455">
        <v>37.870808668607403</v>
      </c>
      <c r="T132" s="3455">
        <v>17.163119647447601</v>
      </c>
      <c r="U132" s="3473">
        <v>24045.113507382099</v>
      </c>
      <c r="V132" s="3447">
        <v>0</v>
      </c>
      <c r="W132" s="3467">
        <v>146310.26129513601</v>
      </c>
      <c r="X132" s="3467">
        <v>170384.571072633</v>
      </c>
      <c r="Y132" s="3471">
        <v>134.64186133943801</v>
      </c>
      <c r="Z132" s="3452">
        <v>4.5629421835764201E-3</v>
      </c>
      <c r="AA132" s="3451">
        <v>0.79618037504012096</v>
      </c>
      <c r="AB132" s="3451">
        <v>0.80074331722369796</v>
      </c>
      <c r="AC132" s="3453">
        <v>7.2973445942951702</v>
      </c>
      <c r="AD132" s="3453">
        <v>1.82817600572643</v>
      </c>
      <c r="AE132" s="3453">
        <v>9.1255206000216003</v>
      </c>
      <c r="AF132" s="3467">
        <v>146310.26129513601</v>
      </c>
      <c r="AG132" s="3471">
        <v>263.85620393548697</v>
      </c>
      <c r="AH132" s="3451">
        <v>0.67516752467466701</v>
      </c>
      <c r="AI132" s="3451">
        <v>0.77518779804058302</v>
      </c>
      <c r="AJ132" s="3453">
        <v>1.4503553227152499</v>
      </c>
      <c r="AK132" s="3473">
        <v>23810.453573562099</v>
      </c>
      <c r="AL132" s="3473">
        <v>24062.2766270295</v>
      </c>
      <c r="AM132" s="3467">
        <v>290666.85179734102</v>
      </c>
      <c r="AN132" s="3768">
        <v>1.23180758003993</v>
      </c>
      <c r="AO132" s="3426"/>
    </row>
    <row r="133" spans="1:41">
      <c r="A133" s="3456" t="s">
        <v>430</v>
      </c>
      <c r="B133" s="3487" t="s">
        <v>57</v>
      </c>
      <c r="C133" s="3454">
        <v>2.7244973304092202E-2</v>
      </c>
      <c r="D133" s="3451">
        <v>0.86025339230639597</v>
      </c>
      <c r="E133" s="3446">
        <v>0.12</v>
      </c>
      <c r="F133" s="3746">
        <v>143.508612523208</v>
      </c>
      <c r="G133" s="3446">
        <v>14.4</v>
      </c>
      <c r="H133" s="3446">
        <v>9.6000000000000002E-2</v>
      </c>
      <c r="I133" s="3446">
        <v>6.0000000000000001E-3</v>
      </c>
      <c r="J133" s="3499">
        <v>4.5</v>
      </c>
      <c r="K133" s="3471">
        <v>139.08846531258101</v>
      </c>
      <c r="L133" s="3455">
        <v>74.590199322754799</v>
      </c>
      <c r="M133" s="3446">
        <v>0.56399999999999995</v>
      </c>
      <c r="N133" s="3447">
        <v>0</v>
      </c>
      <c r="O133" s="3454">
        <v>1.78526982096914E-2</v>
      </c>
      <c r="P133" s="3447">
        <v>0</v>
      </c>
      <c r="Q133" s="3452">
        <v>6.5186832319213397E-3</v>
      </c>
      <c r="R133" s="3455">
        <v>17.006672535221099</v>
      </c>
      <c r="S133" s="3452">
        <v>6.9865533076029903E-3</v>
      </c>
      <c r="T133" s="3452">
        <v>3.1733306928421099E-3</v>
      </c>
      <c r="U133" s="3453">
        <v>1.4649443668858</v>
      </c>
      <c r="V133" s="3447">
        <v>0</v>
      </c>
      <c r="W133" s="3455">
        <v>73.960319565776103</v>
      </c>
      <c r="X133" s="3455">
        <v>75.450452715061203</v>
      </c>
      <c r="Y133" s="3454">
        <v>2.4839251517294401E-2</v>
      </c>
      <c r="Z133" s="3449">
        <v>2.2896443084238899E-6</v>
      </c>
      <c r="AA133" s="3460">
        <v>3.9951631882404799E-4</v>
      </c>
      <c r="AB133" s="3460">
        <v>4.0180596313247198E-4</v>
      </c>
      <c r="AC133" s="3452">
        <v>1.32250974613006E-3</v>
      </c>
      <c r="AD133" s="3460">
        <v>3.31323340150948E-4</v>
      </c>
      <c r="AE133" s="3452">
        <v>1.6538330862810101E-3</v>
      </c>
      <c r="AF133" s="3455">
        <v>73.960319565776103</v>
      </c>
      <c r="AG133" s="3454">
        <v>4.9260425010558197E-2</v>
      </c>
      <c r="AH133" s="3460">
        <v>2.1999150867363899E-4</v>
      </c>
      <c r="AI133" s="3460">
        <v>2.5258136234931802E-4</v>
      </c>
      <c r="AJ133" s="3460">
        <v>4.7257287102295698E-4</v>
      </c>
      <c r="AK133" s="3453">
        <v>1.44087272427455</v>
      </c>
      <c r="AL133" s="3453">
        <v>1.4681176975786401</v>
      </c>
      <c r="AM133" s="3455">
        <v>17.013191218452999</v>
      </c>
      <c r="AN133" s="3774">
        <v>1.3442093741125699E-4</v>
      </c>
      <c r="AO133" s="3426"/>
    </row>
    <row r="134" spans="1:41">
      <c r="A134" s="3456" t="s">
        <v>431</v>
      </c>
      <c r="B134" s="3487" t="s">
        <v>432</v>
      </c>
      <c r="C134" s="3459">
        <v>0.72916666666666696</v>
      </c>
      <c r="D134" s="3446">
        <v>3.5</v>
      </c>
      <c r="E134" s="3453">
        <v>1.5461524504505899</v>
      </c>
      <c r="F134" s="3741">
        <v>5833.3333333333303</v>
      </c>
      <c r="G134" s="3471">
        <v>207.079343195131</v>
      </c>
      <c r="H134" s="3453">
        <v>1.23692196036047</v>
      </c>
      <c r="I134" s="3454">
        <v>7.7307622522529401E-2</v>
      </c>
      <c r="J134" s="3412">
        <v>88.569819728985607</v>
      </c>
      <c r="K134" s="3472">
        <v>5833.3333333333303</v>
      </c>
      <c r="L134" s="3446">
        <v>350</v>
      </c>
      <c r="M134" s="3453">
        <v>7.2669165171177603</v>
      </c>
      <c r="N134" s="3447">
        <v>0</v>
      </c>
      <c r="O134" s="3451">
        <v>0.36731577011984901</v>
      </c>
      <c r="P134" s="3447">
        <v>0</v>
      </c>
      <c r="Q134" s="3451">
        <v>0.13288080914540801</v>
      </c>
      <c r="R134" s="3471">
        <v>729.16672695462603</v>
      </c>
      <c r="S134" s="3451">
        <v>0.14374696634217801</v>
      </c>
      <c r="T134" s="3454">
        <v>6.3562762883099894E-2</v>
      </c>
      <c r="U134" s="3455">
        <v>60.683714389398901</v>
      </c>
      <c r="V134" s="3447">
        <v>0</v>
      </c>
      <c r="W134" s="3471">
        <v>292.50103350148902</v>
      </c>
      <c r="X134" s="3447">
        <v>353.5</v>
      </c>
      <c r="Y134" s="3451">
        <v>0.51106273646202705</v>
      </c>
      <c r="Z134" s="3449">
        <v>9.3259332256790202E-6</v>
      </c>
      <c r="AA134" s="3452">
        <v>1.62726695068498E-3</v>
      </c>
      <c r="AB134" s="3452">
        <v>1.63659288391066E-3</v>
      </c>
      <c r="AC134" s="3454">
        <v>2.74644434593019E-2</v>
      </c>
      <c r="AD134" s="3452">
        <v>6.8805626339995402E-3</v>
      </c>
      <c r="AE134" s="3454">
        <v>3.4345006093301399E-2</v>
      </c>
      <c r="AF134" s="3471">
        <v>292.50103350148902</v>
      </c>
      <c r="AG134" s="3451">
        <v>0.98085601289652502</v>
      </c>
      <c r="AH134" s="3452">
        <v>2.0993167894069699E-3</v>
      </c>
      <c r="AI134" s="3452">
        <v>2.4103125519169101E-3</v>
      </c>
      <c r="AJ134" s="3452">
        <v>4.50962934132388E-3</v>
      </c>
      <c r="AK134" s="3455">
        <v>60.018110485615303</v>
      </c>
      <c r="AL134" s="3455">
        <v>60.747277152282003</v>
      </c>
      <c r="AM134" s="3471">
        <v>729.29960776377095</v>
      </c>
      <c r="AN134" s="3771">
        <v>3.7134124500348498E-3</v>
      </c>
      <c r="AO134" s="3426"/>
    </row>
    <row r="135" spans="1:41">
      <c r="A135" s="3456" t="s">
        <v>731</v>
      </c>
      <c r="B135" s="3487" t="s">
        <v>434</v>
      </c>
      <c r="C135" s="3472">
        <v>4226.76401490014</v>
      </c>
      <c r="D135" s="3455">
        <v>21.1798079169142</v>
      </c>
      <c r="E135" s="3472">
        <v>1049.08489049902</v>
      </c>
      <c r="F135" s="3748">
        <v>7201.1279175081399</v>
      </c>
      <c r="G135" s="3472">
        <v>1237.0266431135101</v>
      </c>
      <c r="H135" s="3472">
        <v>1049.08489049902</v>
      </c>
      <c r="I135" s="3472">
        <v>1049.08489049902</v>
      </c>
      <c r="J135" s="3424">
        <v>2377.3161799999998</v>
      </c>
      <c r="K135" s="3472">
        <v>7473.5420607096203</v>
      </c>
      <c r="L135" s="3471">
        <v>144.527037906575</v>
      </c>
      <c r="M135" s="3472">
        <v>1049.08489049902</v>
      </c>
      <c r="N135" s="3472">
        <v>4224.0447504055001</v>
      </c>
      <c r="O135" s="3472">
        <v>2570.7312471507098</v>
      </c>
      <c r="P135" s="3489" t="s">
        <v>18</v>
      </c>
      <c r="Q135" s="3472">
        <v>2527.2563520612998</v>
      </c>
      <c r="R135" s="3472">
        <v>7649.5503067684103</v>
      </c>
      <c r="S135" s="3472">
        <v>2570.7312471507098</v>
      </c>
      <c r="T135" s="3472">
        <v>2514.2579061452702</v>
      </c>
      <c r="U135" s="3472">
        <v>7355.3228361166402</v>
      </c>
      <c r="V135" s="3489" t="s">
        <v>18</v>
      </c>
      <c r="W135" s="3451">
        <v>0.11022758447021</v>
      </c>
      <c r="X135" s="3471">
        <v>143.120686198774</v>
      </c>
      <c r="Y135" s="3472">
        <v>2570.7312471507098</v>
      </c>
      <c r="Z135" s="3455">
        <v>14.8363859363169</v>
      </c>
      <c r="AA135" s="3455">
        <v>14.8363859363169</v>
      </c>
      <c r="AB135" s="3455">
        <v>14.8363859363169</v>
      </c>
      <c r="AC135" s="3472">
        <v>2613.4213563512899</v>
      </c>
      <c r="AD135" s="3472">
        <v>2613.4213563512899</v>
      </c>
      <c r="AE135" s="3472">
        <v>2613.4213563512799</v>
      </c>
      <c r="AF135" s="3451">
        <v>0.11022758447021</v>
      </c>
      <c r="AG135" s="3472">
        <v>2484.93277837298</v>
      </c>
      <c r="AH135" s="3471">
        <v>839.19577986324998</v>
      </c>
      <c r="AI135" s="3471">
        <v>839.19577986324998</v>
      </c>
      <c r="AJ135" s="3471">
        <v>839.19577986324998</v>
      </c>
      <c r="AK135" s="3472">
        <v>7403.8178908559003</v>
      </c>
      <c r="AL135" s="3472">
        <v>7344.8588931005897</v>
      </c>
      <c r="AM135" s="3472">
        <v>7647.5876760495303</v>
      </c>
      <c r="AN135" s="3775">
        <v>4204.0074703693399</v>
      </c>
      <c r="AO135" s="3426"/>
    </row>
    <row r="136" spans="1:41" ht="13" thickBot="1">
      <c r="A136" s="3474" t="s">
        <v>433</v>
      </c>
      <c r="B136" s="3490" t="s">
        <v>434</v>
      </c>
      <c r="C136" s="3491">
        <v>4543.4594832523198</v>
      </c>
      <c r="D136" s="3478">
        <v>72.8253216165552</v>
      </c>
      <c r="E136" s="3491">
        <v>1158.2202546164799</v>
      </c>
      <c r="F136" s="3749">
        <v>7696.6641962875101</v>
      </c>
      <c r="G136" s="3491">
        <v>1359.70793319312</v>
      </c>
      <c r="H136" s="3491">
        <v>1158.2202546164799</v>
      </c>
      <c r="I136" s="3491">
        <v>1158.2202546164799</v>
      </c>
      <c r="J136" s="3425">
        <v>2582.3917329999999</v>
      </c>
      <c r="K136" s="3491">
        <v>7985.2188248353796</v>
      </c>
      <c r="L136" s="3492">
        <v>203.770526452122</v>
      </c>
      <c r="M136" s="3491">
        <v>1158.2202546164799</v>
      </c>
      <c r="N136" s="3491">
        <v>4542.4880007308302</v>
      </c>
      <c r="O136" s="3491">
        <v>2789.1374857526898</v>
      </c>
      <c r="P136" s="3493" t="s">
        <v>18</v>
      </c>
      <c r="Q136" s="3491">
        <v>2742.4431291707601</v>
      </c>
      <c r="R136" s="3491">
        <v>8171.9315524895101</v>
      </c>
      <c r="S136" s="3491">
        <v>2789.1374857526898</v>
      </c>
      <c r="T136" s="3491">
        <v>2728.5744655956901</v>
      </c>
      <c r="U136" s="3491">
        <v>7860.1866252846903</v>
      </c>
      <c r="V136" s="3493" t="s">
        <v>18</v>
      </c>
      <c r="W136" s="3478">
        <v>50.425101222781201</v>
      </c>
      <c r="X136" s="3492">
        <v>202.27754592500099</v>
      </c>
      <c r="Y136" s="3491">
        <v>2789.1374857526898</v>
      </c>
      <c r="Z136" s="3478">
        <v>66.078553671346995</v>
      </c>
      <c r="AA136" s="3478">
        <v>66.078553671346995</v>
      </c>
      <c r="AB136" s="3478">
        <v>66.078553671346995</v>
      </c>
      <c r="AC136" s="3491">
        <v>2834.40861176934</v>
      </c>
      <c r="AD136" s="3491">
        <v>2834.40861176934</v>
      </c>
      <c r="AE136" s="3491">
        <v>2834.40861176934</v>
      </c>
      <c r="AF136" s="3478">
        <v>50.425101222781201</v>
      </c>
      <c r="AG136" s="3491">
        <v>2697.2454537142899</v>
      </c>
      <c r="AH136" s="3492">
        <v>944.10563258587297</v>
      </c>
      <c r="AI136" s="3492">
        <v>944.10563258587297</v>
      </c>
      <c r="AJ136" s="3492">
        <v>944.10563258587297</v>
      </c>
      <c r="AK136" s="3491">
        <v>7911.5997992753601</v>
      </c>
      <c r="AL136" s="3491">
        <v>7849.0946655617399</v>
      </c>
      <c r="AM136" s="3491">
        <v>8169.8512187832403</v>
      </c>
      <c r="AN136" s="3776">
        <v>4521.6542305737203</v>
      </c>
      <c r="AO136" s="3426"/>
    </row>
    <row r="137" spans="1:41" ht="13" thickTop="1">
      <c r="A137" s="3426"/>
      <c r="B137" s="3426"/>
      <c r="C137" s="3426"/>
      <c r="D137" s="3426"/>
      <c r="E137" s="3426"/>
      <c r="F137" s="3727"/>
      <c r="G137" s="3426"/>
      <c r="H137" s="3426"/>
      <c r="I137" s="3426"/>
      <c r="J137" s="3426"/>
      <c r="K137" s="3426"/>
      <c r="L137" s="3426"/>
      <c r="M137" s="3426"/>
      <c r="N137" s="3426"/>
      <c r="O137" s="3426"/>
      <c r="P137" s="3426"/>
      <c r="Q137" s="3426"/>
      <c r="R137" s="3426"/>
      <c r="S137" s="3426"/>
      <c r="T137" s="3426"/>
      <c r="U137" s="3426"/>
      <c r="V137" s="3426"/>
      <c r="W137" s="3426"/>
      <c r="X137" s="3426"/>
      <c r="Y137" s="3426"/>
      <c r="Z137" s="3426"/>
      <c r="AA137" s="3426"/>
      <c r="AB137" s="3426"/>
      <c r="AC137" s="3426"/>
      <c r="AD137" s="3426"/>
      <c r="AE137" s="3426"/>
      <c r="AF137" s="3426"/>
      <c r="AG137" s="3426"/>
      <c r="AH137" s="3426"/>
      <c r="AI137" s="3426"/>
      <c r="AJ137" s="3426"/>
      <c r="AK137" s="3426"/>
      <c r="AL137" s="3426"/>
      <c r="AM137" s="3426"/>
      <c r="AN137" s="3760"/>
      <c r="AO137" s="3426"/>
    </row>
    <row r="138" spans="1:41" ht="13" thickBot="1">
      <c r="A138" s="3426"/>
      <c r="B138" s="3426"/>
      <c r="C138" s="3426"/>
      <c r="D138" s="3426"/>
      <c r="E138" s="3426"/>
      <c r="F138" s="3727"/>
      <c r="G138" s="3426"/>
      <c r="H138" s="3426"/>
      <c r="I138" s="3426"/>
      <c r="J138" s="3426"/>
      <c r="K138" s="3426"/>
      <c r="L138" s="3426"/>
      <c r="M138" s="3426"/>
      <c r="N138" s="3426"/>
      <c r="O138" s="3426"/>
      <c r="P138" s="3426"/>
      <c r="Q138" s="3426"/>
      <c r="R138" s="3426"/>
      <c r="S138" s="3426"/>
      <c r="T138" s="3426"/>
      <c r="U138" s="3426"/>
      <c r="V138" s="3426"/>
      <c r="W138" s="3426"/>
      <c r="X138" s="3426"/>
      <c r="Y138" s="3426"/>
      <c r="Z138" s="3426"/>
      <c r="AA138" s="3426"/>
      <c r="AB138" s="3426"/>
      <c r="AC138" s="3426"/>
      <c r="AD138" s="3426"/>
      <c r="AE138" s="3426"/>
      <c r="AF138" s="3426"/>
      <c r="AG138" s="3426"/>
      <c r="AH138" s="3426"/>
      <c r="AI138" s="3426"/>
      <c r="AJ138" s="3426"/>
      <c r="AK138" s="3426"/>
      <c r="AL138" s="3426"/>
      <c r="AM138" s="3426"/>
      <c r="AN138" s="3760"/>
      <c r="AO138" s="3426"/>
    </row>
    <row r="139" spans="1:41" ht="14" thickTop="1" thickBot="1">
      <c r="A139" s="3434" t="s">
        <v>389</v>
      </c>
      <c r="B139" s="3435"/>
      <c r="C139" s="3436" t="s">
        <v>821</v>
      </c>
      <c r="D139" s="3436" t="s">
        <v>822</v>
      </c>
      <c r="E139" s="3436" t="s">
        <v>741</v>
      </c>
      <c r="F139" s="3734" t="s">
        <v>823</v>
      </c>
      <c r="G139" s="3436" t="s">
        <v>1304</v>
      </c>
      <c r="H139" s="3436" t="s">
        <v>737</v>
      </c>
      <c r="I139" s="3436" t="s">
        <v>742</v>
      </c>
      <c r="J139" s="3437" t="s">
        <v>1305</v>
      </c>
      <c r="K139" s="3436" t="s">
        <v>824</v>
      </c>
      <c r="L139" s="3436" t="s">
        <v>825</v>
      </c>
      <c r="M139" s="3436" t="s">
        <v>743</v>
      </c>
      <c r="N139" s="3436" t="s">
        <v>827</v>
      </c>
      <c r="O139" s="3436" t="s">
        <v>390</v>
      </c>
      <c r="P139" s="3436" t="s">
        <v>391</v>
      </c>
      <c r="Q139" s="3436" t="s">
        <v>392</v>
      </c>
      <c r="R139" s="3436" t="s">
        <v>393</v>
      </c>
      <c r="S139" s="3436" t="s">
        <v>394</v>
      </c>
      <c r="T139" s="3436" t="s">
        <v>395</v>
      </c>
      <c r="U139" s="3436" t="s">
        <v>396</v>
      </c>
      <c r="V139" s="3436" t="s">
        <v>397</v>
      </c>
      <c r="W139" s="3436" t="s">
        <v>398</v>
      </c>
      <c r="X139" s="3436" t="s">
        <v>399</v>
      </c>
      <c r="Y139" s="3436" t="s">
        <v>400</v>
      </c>
      <c r="Z139" s="3436" t="s">
        <v>401</v>
      </c>
      <c r="AA139" s="3436" t="s">
        <v>402</v>
      </c>
      <c r="AB139" s="3436" t="s">
        <v>403</v>
      </c>
      <c r="AC139" s="3436" t="s">
        <v>404</v>
      </c>
      <c r="AD139" s="3436" t="s">
        <v>405</v>
      </c>
      <c r="AE139" s="3436" t="s">
        <v>406</v>
      </c>
      <c r="AF139" s="3436" t="s">
        <v>407</v>
      </c>
      <c r="AG139" s="3436" t="s">
        <v>408</v>
      </c>
      <c r="AH139" s="3436" t="s">
        <v>409</v>
      </c>
      <c r="AI139" s="3436" t="s">
        <v>410</v>
      </c>
      <c r="AJ139" s="3436" t="s">
        <v>411</v>
      </c>
      <c r="AK139" s="3436" t="s">
        <v>412</v>
      </c>
      <c r="AL139" s="3436" t="s">
        <v>439</v>
      </c>
      <c r="AM139" s="3436" t="s">
        <v>440</v>
      </c>
      <c r="AN139" s="3761" t="s">
        <v>828</v>
      </c>
      <c r="AO139" s="3426"/>
    </row>
    <row r="140" spans="1:41" ht="13">
      <c r="A140" s="3438" t="s">
        <v>96</v>
      </c>
      <c r="B140" s="3427" t="s">
        <v>413</v>
      </c>
      <c r="C140" s="3428" t="s">
        <v>414</v>
      </c>
      <c r="D140" s="3428" t="s">
        <v>414</v>
      </c>
      <c r="E140" s="3428" t="s">
        <v>414</v>
      </c>
      <c r="F140" s="3728" t="s">
        <v>414</v>
      </c>
      <c r="G140" s="3428" t="s">
        <v>414</v>
      </c>
      <c r="H140" s="3428" t="s">
        <v>414</v>
      </c>
      <c r="I140" s="3428" t="s">
        <v>414</v>
      </c>
      <c r="J140" s="3439" t="s">
        <v>414</v>
      </c>
      <c r="K140" s="3428" t="s">
        <v>414</v>
      </c>
      <c r="L140" s="3428" t="s">
        <v>414</v>
      </c>
      <c r="M140" s="3428" t="s">
        <v>414</v>
      </c>
      <c r="N140" s="3428" t="s">
        <v>414</v>
      </c>
      <c r="O140" s="3428" t="s">
        <v>414</v>
      </c>
      <c r="P140" s="3428" t="s">
        <v>414</v>
      </c>
      <c r="Q140" s="3428" t="s">
        <v>414</v>
      </c>
      <c r="R140" s="3428" t="s">
        <v>414</v>
      </c>
      <c r="S140" s="3428" t="s">
        <v>414</v>
      </c>
      <c r="T140" s="3428" t="s">
        <v>414</v>
      </c>
      <c r="U140" s="3428" t="s">
        <v>414</v>
      </c>
      <c r="V140" s="3428" t="s">
        <v>414</v>
      </c>
      <c r="W140" s="3428" t="s">
        <v>414</v>
      </c>
      <c r="X140" s="3428" t="s">
        <v>414</v>
      </c>
      <c r="Y140" s="3428" t="s">
        <v>414</v>
      </c>
      <c r="Z140" s="3428" t="s">
        <v>414</v>
      </c>
      <c r="AA140" s="3428" t="s">
        <v>414</v>
      </c>
      <c r="AB140" s="3428" t="s">
        <v>414</v>
      </c>
      <c r="AC140" s="3428" t="s">
        <v>414</v>
      </c>
      <c r="AD140" s="3428" t="s">
        <v>414</v>
      </c>
      <c r="AE140" s="3428" t="s">
        <v>414</v>
      </c>
      <c r="AF140" s="3428" t="s">
        <v>414</v>
      </c>
      <c r="AG140" s="3428" t="s">
        <v>414</v>
      </c>
      <c r="AH140" s="3428" t="s">
        <v>414</v>
      </c>
      <c r="AI140" s="3428" t="s">
        <v>414</v>
      </c>
      <c r="AJ140" s="3428" t="s">
        <v>414</v>
      </c>
      <c r="AK140" s="3428" t="s">
        <v>414</v>
      </c>
      <c r="AL140" s="3428" t="s">
        <v>414</v>
      </c>
      <c r="AM140" s="3428" t="s">
        <v>414</v>
      </c>
      <c r="AN140" s="3762" t="s">
        <v>414</v>
      </c>
      <c r="AO140" s="3426"/>
    </row>
    <row r="141" spans="1:41" ht="13">
      <c r="A141" s="3440" t="s">
        <v>435</v>
      </c>
      <c r="B141" s="3429" t="s">
        <v>416</v>
      </c>
      <c r="C141" s="3429" t="s">
        <v>445</v>
      </c>
      <c r="D141" s="3429" t="s">
        <v>445</v>
      </c>
      <c r="E141" s="3429" t="s">
        <v>445</v>
      </c>
      <c r="F141" s="3729" t="s">
        <v>445</v>
      </c>
      <c r="G141" s="3429" t="s">
        <v>445</v>
      </c>
      <c r="H141" s="3429" t="s">
        <v>445</v>
      </c>
      <c r="I141" s="3429" t="s">
        <v>445</v>
      </c>
      <c r="J141" s="3441" t="s">
        <v>445</v>
      </c>
      <c r="K141" s="3429" t="s">
        <v>829</v>
      </c>
      <c r="L141" s="3429" t="s">
        <v>445</v>
      </c>
      <c r="M141" s="3429" t="s">
        <v>445</v>
      </c>
      <c r="N141" s="3429" t="s">
        <v>445</v>
      </c>
      <c r="O141" s="3429" t="s">
        <v>445</v>
      </c>
      <c r="P141" s="3429" t="s">
        <v>829</v>
      </c>
      <c r="Q141" s="3429" t="s">
        <v>830</v>
      </c>
      <c r="R141" s="3429" t="s">
        <v>830</v>
      </c>
      <c r="S141" s="3429" t="s">
        <v>445</v>
      </c>
      <c r="T141" s="3429" t="s">
        <v>631</v>
      </c>
      <c r="U141" s="3429" t="s">
        <v>631</v>
      </c>
      <c r="V141" s="3429" t="s">
        <v>831</v>
      </c>
      <c r="W141" s="3429" t="s">
        <v>831</v>
      </c>
      <c r="X141" s="3429" t="s">
        <v>418</v>
      </c>
      <c r="Y141" s="3429" t="s">
        <v>419</v>
      </c>
      <c r="Z141" s="3429" t="s">
        <v>445</v>
      </c>
      <c r="AA141" s="3429" t="s">
        <v>445</v>
      </c>
      <c r="AB141" s="3429" t="s">
        <v>447</v>
      </c>
      <c r="AC141" s="3429" t="s">
        <v>445</v>
      </c>
      <c r="AD141" s="3429" t="s">
        <v>445</v>
      </c>
      <c r="AE141" s="3429" t="s">
        <v>448</v>
      </c>
      <c r="AF141" s="3429" t="s">
        <v>896</v>
      </c>
      <c r="AG141" s="3429" t="s">
        <v>896</v>
      </c>
      <c r="AH141" s="3429" t="s">
        <v>445</v>
      </c>
      <c r="AI141" s="3429" t="s">
        <v>445</v>
      </c>
      <c r="AJ141" s="3429" t="s">
        <v>449</v>
      </c>
      <c r="AK141" s="3429" t="s">
        <v>896</v>
      </c>
      <c r="AL141" s="3429" t="s">
        <v>450</v>
      </c>
      <c r="AM141" s="3429" t="s">
        <v>826</v>
      </c>
      <c r="AN141" s="3763" t="s">
        <v>445</v>
      </c>
      <c r="AO141" s="3426"/>
    </row>
    <row r="142" spans="1:41">
      <c r="A142" s="3442"/>
      <c r="B142" s="3429" t="s">
        <v>421</v>
      </c>
      <c r="C142" s="3430" t="s">
        <v>450</v>
      </c>
      <c r="D142" s="3430" t="s">
        <v>418</v>
      </c>
      <c r="E142" s="3430" t="s">
        <v>445</v>
      </c>
      <c r="F142" s="3730" t="s">
        <v>829</v>
      </c>
      <c r="G142" s="3430" t="s">
        <v>445</v>
      </c>
      <c r="H142" s="3430" t="s">
        <v>445</v>
      </c>
      <c r="I142" s="3430" t="s">
        <v>445</v>
      </c>
      <c r="J142" s="3443" t="s">
        <v>445</v>
      </c>
      <c r="K142" s="3430" t="s">
        <v>445</v>
      </c>
      <c r="L142" s="3430" t="s">
        <v>418</v>
      </c>
      <c r="M142" s="3430" t="s">
        <v>445</v>
      </c>
      <c r="N142" s="3430" t="s">
        <v>445</v>
      </c>
      <c r="O142" s="3430" t="s">
        <v>419</v>
      </c>
      <c r="P142" s="3430" t="s">
        <v>445</v>
      </c>
      <c r="Q142" s="3430" t="s">
        <v>445</v>
      </c>
      <c r="R142" s="3430" t="s">
        <v>445</v>
      </c>
      <c r="S142" s="3430" t="s">
        <v>419</v>
      </c>
      <c r="T142" s="3430" t="s">
        <v>445</v>
      </c>
      <c r="U142" s="3430" t="s">
        <v>445</v>
      </c>
      <c r="V142" s="3430" t="s">
        <v>445</v>
      </c>
      <c r="W142" s="3430" t="s">
        <v>445</v>
      </c>
      <c r="X142" s="3430" t="s">
        <v>896</v>
      </c>
      <c r="Y142" s="3430" t="s">
        <v>445</v>
      </c>
      <c r="Z142" s="3430" t="s">
        <v>447</v>
      </c>
      <c r="AA142" s="3430" t="s">
        <v>447</v>
      </c>
      <c r="AB142" s="3430" t="s">
        <v>445</v>
      </c>
      <c r="AC142" s="3430" t="s">
        <v>448</v>
      </c>
      <c r="AD142" s="3430" t="s">
        <v>448</v>
      </c>
      <c r="AE142" s="3430" t="s">
        <v>445</v>
      </c>
      <c r="AF142" s="3430" t="s">
        <v>831</v>
      </c>
      <c r="AG142" s="3430" t="s">
        <v>445</v>
      </c>
      <c r="AH142" s="3430" t="s">
        <v>449</v>
      </c>
      <c r="AI142" s="3430" t="s">
        <v>449</v>
      </c>
      <c r="AJ142" s="3430" t="s">
        <v>445</v>
      </c>
      <c r="AK142" s="3430" t="s">
        <v>450</v>
      </c>
      <c r="AL142" s="3430" t="s">
        <v>631</v>
      </c>
      <c r="AM142" s="3430" t="s">
        <v>830</v>
      </c>
      <c r="AN142" s="3764" t="s">
        <v>445</v>
      </c>
      <c r="AO142" s="3426"/>
    </row>
    <row r="143" spans="1:41" ht="13" thickBot="1">
      <c r="A143" s="5055" t="s">
        <v>49</v>
      </c>
      <c r="B143" s="5056"/>
      <c r="C143" s="3431" t="s">
        <v>296</v>
      </c>
      <c r="D143" s="3433" t="s">
        <v>296</v>
      </c>
      <c r="E143" s="3433" t="s">
        <v>296</v>
      </c>
      <c r="F143" s="3733" t="s">
        <v>296</v>
      </c>
      <c r="G143" s="3433" t="s">
        <v>296</v>
      </c>
      <c r="H143" s="3433" t="s">
        <v>296</v>
      </c>
      <c r="I143" s="3433" t="s">
        <v>296</v>
      </c>
      <c r="J143" s="3418" t="s">
        <v>296</v>
      </c>
      <c r="K143" s="3433" t="s">
        <v>296</v>
      </c>
      <c r="L143" s="3433" t="s">
        <v>296</v>
      </c>
      <c r="M143" s="3433" t="s">
        <v>296</v>
      </c>
      <c r="N143" s="3433" t="s">
        <v>296</v>
      </c>
      <c r="O143" s="3433" t="s">
        <v>296</v>
      </c>
      <c r="P143" s="3433" t="s">
        <v>296</v>
      </c>
      <c r="Q143" s="3433" t="s">
        <v>296</v>
      </c>
      <c r="R143" s="3433" t="s">
        <v>296</v>
      </c>
      <c r="S143" s="3433" t="s">
        <v>296</v>
      </c>
      <c r="T143" s="3433" t="s">
        <v>296</v>
      </c>
      <c r="U143" s="3433" t="s">
        <v>296</v>
      </c>
      <c r="V143" s="3433" t="s">
        <v>296</v>
      </c>
      <c r="W143" s="3433" t="s">
        <v>296</v>
      </c>
      <c r="X143" s="3433" t="s">
        <v>296</v>
      </c>
      <c r="Y143" s="3433" t="s">
        <v>296</v>
      </c>
      <c r="Z143" s="3433" t="s">
        <v>296</v>
      </c>
      <c r="AA143" s="3433" t="s">
        <v>296</v>
      </c>
      <c r="AB143" s="3433" t="s">
        <v>296</v>
      </c>
      <c r="AC143" s="3433" t="s">
        <v>296</v>
      </c>
      <c r="AD143" s="3433" t="s">
        <v>296</v>
      </c>
      <c r="AE143" s="3433" t="s">
        <v>296</v>
      </c>
      <c r="AF143" s="3433" t="s">
        <v>296</v>
      </c>
      <c r="AG143" s="3433" t="s">
        <v>296</v>
      </c>
      <c r="AH143" s="3433" t="s">
        <v>296</v>
      </c>
      <c r="AI143" s="3433" t="s">
        <v>296</v>
      </c>
      <c r="AJ143" s="3433" t="s">
        <v>296</v>
      </c>
      <c r="AK143" s="3433" t="s">
        <v>296</v>
      </c>
      <c r="AL143" s="3433" t="s">
        <v>296</v>
      </c>
      <c r="AM143" s="3433" t="s">
        <v>296</v>
      </c>
      <c r="AN143" s="3765" t="s">
        <v>296</v>
      </c>
      <c r="AO143" s="3426"/>
    </row>
    <row r="144" spans="1:41" ht="13" thickTop="1">
      <c r="A144" s="5051" t="s">
        <v>298</v>
      </c>
      <c r="B144" s="5052"/>
      <c r="C144" s="3453">
        <v>2.0420766360689302</v>
      </c>
      <c r="D144" s="3432"/>
      <c r="E144" s="3447">
        <v>0</v>
      </c>
      <c r="F144" s="3732"/>
      <c r="G144" s="3447">
        <v>0</v>
      </c>
      <c r="H144" s="3447">
        <v>0</v>
      </c>
      <c r="I144" s="3447">
        <v>0</v>
      </c>
      <c r="J144" s="3419">
        <v>2.1688060704626699E-2</v>
      </c>
      <c r="K144" s="3432"/>
      <c r="L144" s="3432"/>
      <c r="M144" s="3447">
        <v>0</v>
      </c>
      <c r="N144" s="3432"/>
      <c r="O144" s="3449">
        <v>6.3787799107625195E-5</v>
      </c>
      <c r="P144" s="3432"/>
      <c r="Q144" s="3451">
        <v>0.118382399465062</v>
      </c>
      <c r="R144" s="3432"/>
      <c r="S144" s="3449">
        <v>6.3787799107625195E-5</v>
      </c>
      <c r="T144" s="3453">
        <v>4.7854188187501903</v>
      </c>
      <c r="U144" s="3432"/>
      <c r="V144" s="3432"/>
      <c r="W144" s="3432"/>
      <c r="X144" s="3432"/>
      <c r="Y144" s="3449">
        <v>6.3787799107625101E-5</v>
      </c>
      <c r="Z144" s="3455">
        <v>99.200287263712099</v>
      </c>
      <c r="AA144" s="3455">
        <v>99.200287263712099</v>
      </c>
      <c r="AB144" s="3455">
        <v>99.200287263712099</v>
      </c>
      <c r="AC144" s="3452">
        <v>3.4885478095235001E-3</v>
      </c>
      <c r="AD144" s="3452">
        <v>3.4885478095235001E-3</v>
      </c>
      <c r="AE144" s="3452">
        <v>3.4885478095235001E-3</v>
      </c>
      <c r="AF144" s="3432"/>
      <c r="AG144" s="3453">
        <v>5.3667069151303197</v>
      </c>
      <c r="AH144" s="3455">
        <v>65.917209911798693</v>
      </c>
      <c r="AI144" s="3455">
        <v>65.917209911798693</v>
      </c>
      <c r="AJ144" s="3455">
        <v>65.917209911798693</v>
      </c>
      <c r="AK144" s="3432"/>
      <c r="AL144" s="3453">
        <v>4.78870241988683</v>
      </c>
      <c r="AM144" s="3432"/>
      <c r="AN144" s="3766">
        <v>0</v>
      </c>
      <c r="AO144" s="3426"/>
    </row>
    <row r="145" spans="1:41">
      <c r="A145" s="5047" t="s">
        <v>5</v>
      </c>
      <c r="B145" s="5048"/>
      <c r="C145" s="3447">
        <v>0</v>
      </c>
      <c r="D145" s="3432"/>
      <c r="E145" s="3449">
        <v>1.00000010039997E-5</v>
      </c>
      <c r="F145" s="3732"/>
      <c r="G145" s="3449">
        <v>4.918177339211E-5</v>
      </c>
      <c r="H145" s="3449">
        <v>1.00000009999997E-5</v>
      </c>
      <c r="I145" s="3449">
        <v>1.00000009999997E-5</v>
      </c>
      <c r="J145" s="3411">
        <v>0</v>
      </c>
      <c r="K145" s="3432"/>
      <c r="L145" s="3432"/>
      <c r="M145" s="3449">
        <v>1.00000009999997E-5</v>
      </c>
      <c r="N145" s="3432"/>
      <c r="O145" s="3447">
        <v>0</v>
      </c>
      <c r="P145" s="3432"/>
      <c r="Q145" s="3447">
        <v>0</v>
      </c>
      <c r="R145" s="3432"/>
      <c r="S145" s="3447">
        <v>0</v>
      </c>
      <c r="T145" s="3447">
        <v>0</v>
      </c>
      <c r="U145" s="3432"/>
      <c r="V145" s="3432"/>
      <c r="W145" s="3432"/>
      <c r="X145" s="3432"/>
      <c r="Y145" s="3447">
        <v>0</v>
      </c>
      <c r="Z145" s="3447">
        <v>0</v>
      </c>
      <c r="AA145" s="3447">
        <v>0</v>
      </c>
      <c r="AB145" s="3447">
        <v>0</v>
      </c>
      <c r="AC145" s="3447">
        <v>0</v>
      </c>
      <c r="AD145" s="3447">
        <v>0</v>
      </c>
      <c r="AE145" s="3447">
        <v>0</v>
      </c>
      <c r="AF145" s="3432"/>
      <c r="AG145" s="3447">
        <v>0</v>
      </c>
      <c r="AH145" s="3447">
        <v>0</v>
      </c>
      <c r="AI145" s="3447">
        <v>0</v>
      </c>
      <c r="AJ145" s="3447">
        <v>0</v>
      </c>
      <c r="AK145" s="3432"/>
      <c r="AL145" s="3447">
        <v>0</v>
      </c>
      <c r="AM145" s="3432"/>
      <c r="AN145" s="3766">
        <v>0</v>
      </c>
      <c r="AO145" s="3426"/>
    </row>
    <row r="146" spans="1:41">
      <c r="A146" s="5047" t="s">
        <v>832</v>
      </c>
      <c r="B146" s="5048"/>
      <c r="C146" s="3447">
        <v>0</v>
      </c>
      <c r="D146" s="3432"/>
      <c r="E146" s="3453">
        <v>1.8199998179999799</v>
      </c>
      <c r="F146" s="3732"/>
      <c r="G146" s="3453">
        <v>1.6452720171061099</v>
      </c>
      <c r="H146" s="3453">
        <v>1.8199998179999799</v>
      </c>
      <c r="I146" s="3453">
        <v>1.8199998179999799</v>
      </c>
      <c r="J146" s="3411">
        <v>0</v>
      </c>
      <c r="K146" s="3432"/>
      <c r="L146" s="3432"/>
      <c r="M146" s="3453">
        <v>1.8199998179999799</v>
      </c>
      <c r="N146" s="3432"/>
      <c r="O146" s="3449">
        <v>4.6404917776944901E-5</v>
      </c>
      <c r="P146" s="3432"/>
      <c r="Q146" s="3452">
        <v>3.1674700562681702E-3</v>
      </c>
      <c r="R146" s="3432"/>
      <c r="S146" s="3449">
        <v>4.6404917776944901E-5</v>
      </c>
      <c r="T146" s="3447">
        <v>0</v>
      </c>
      <c r="U146" s="3432"/>
      <c r="V146" s="3432"/>
      <c r="W146" s="3432"/>
      <c r="X146" s="3432"/>
      <c r="Y146" s="3449">
        <v>4.6404917776944901E-5</v>
      </c>
      <c r="Z146" s="3447">
        <v>0</v>
      </c>
      <c r="AA146" s="3447">
        <v>0</v>
      </c>
      <c r="AB146" s="3447">
        <v>0</v>
      </c>
      <c r="AC146" s="3447">
        <v>0</v>
      </c>
      <c r="AD146" s="3447">
        <v>0</v>
      </c>
      <c r="AE146" s="3447">
        <v>0</v>
      </c>
      <c r="AF146" s="3432"/>
      <c r="AG146" s="3447">
        <v>0</v>
      </c>
      <c r="AH146" s="3447">
        <v>0</v>
      </c>
      <c r="AI146" s="3447">
        <v>0</v>
      </c>
      <c r="AJ146" s="3447">
        <v>0</v>
      </c>
      <c r="AK146" s="3432"/>
      <c r="AL146" s="3447">
        <v>0</v>
      </c>
      <c r="AM146" s="3432"/>
      <c r="AN146" s="3766">
        <v>0</v>
      </c>
      <c r="AO146" s="3426"/>
    </row>
    <row r="147" spans="1:41">
      <c r="A147" s="5047" t="s">
        <v>3</v>
      </c>
      <c r="B147" s="5048"/>
      <c r="C147" s="3454">
        <v>4.7198066261790503E-2</v>
      </c>
      <c r="D147" s="3432"/>
      <c r="E147" s="3447">
        <v>0</v>
      </c>
      <c r="F147" s="3732"/>
      <c r="G147" s="3451">
        <v>0.17115893896901499</v>
      </c>
      <c r="H147" s="3447">
        <v>0</v>
      </c>
      <c r="I147" s="3447">
        <v>0</v>
      </c>
      <c r="J147" s="3419">
        <v>5.0245961458028301E-2</v>
      </c>
      <c r="K147" s="3432"/>
      <c r="L147" s="3432"/>
      <c r="M147" s="3447">
        <v>0</v>
      </c>
      <c r="N147" s="3432"/>
      <c r="O147" s="3454">
        <v>2.02586962328976E-2</v>
      </c>
      <c r="P147" s="3432"/>
      <c r="Q147" s="3454">
        <v>4.2562038312719798E-2</v>
      </c>
      <c r="R147" s="3432"/>
      <c r="S147" s="3454">
        <v>2.02586962328976E-2</v>
      </c>
      <c r="T147" s="3452">
        <v>3.1296211334412901E-3</v>
      </c>
      <c r="U147" s="3432"/>
      <c r="V147" s="3432"/>
      <c r="W147" s="3432"/>
      <c r="X147" s="3432"/>
      <c r="Y147" s="3454">
        <v>2.02586962328976E-2</v>
      </c>
      <c r="Z147" s="3447">
        <v>0</v>
      </c>
      <c r="AA147" s="3447">
        <v>0</v>
      </c>
      <c r="AB147" s="3447">
        <v>0</v>
      </c>
      <c r="AC147" s="3452">
        <v>2.07758573866297E-3</v>
      </c>
      <c r="AD147" s="3452">
        <v>2.07758573866297E-3</v>
      </c>
      <c r="AE147" s="3452">
        <v>2.07758573866297E-3</v>
      </c>
      <c r="AF147" s="3432"/>
      <c r="AG147" s="3447">
        <v>0</v>
      </c>
      <c r="AH147" s="3447">
        <v>0</v>
      </c>
      <c r="AI147" s="3447">
        <v>0</v>
      </c>
      <c r="AJ147" s="3447">
        <v>0</v>
      </c>
      <c r="AK147" s="3432"/>
      <c r="AL147" s="3452">
        <v>3.1333756461634499E-3</v>
      </c>
      <c r="AM147" s="3432"/>
      <c r="AN147" s="3766">
        <v>0</v>
      </c>
      <c r="AO147" s="3426"/>
    </row>
    <row r="148" spans="1:41">
      <c r="A148" s="5047" t="s">
        <v>6</v>
      </c>
      <c r="B148" s="5048"/>
      <c r="C148" s="3453">
        <v>1.61548427162971</v>
      </c>
      <c r="D148" s="3432"/>
      <c r="E148" s="3455">
        <v>79.369992062999202</v>
      </c>
      <c r="F148" s="3732"/>
      <c r="G148" s="3455">
        <v>70.892336534693101</v>
      </c>
      <c r="H148" s="3455">
        <v>79.369992062999202</v>
      </c>
      <c r="I148" s="3455">
        <v>79.369992062999202</v>
      </c>
      <c r="J148" s="3419">
        <v>2.0101803863317499E-2</v>
      </c>
      <c r="K148" s="3432"/>
      <c r="L148" s="3432"/>
      <c r="M148" s="3455">
        <v>79.369992062999202</v>
      </c>
      <c r="N148" s="3432"/>
      <c r="O148" s="3451">
        <v>0.118939143227539</v>
      </c>
      <c r="P148" s="3432"/>
      <c r="Q148" s="3453">
        <v>1.5386582595338401</v>
      </c>
      <c r="R148" s="3432"/>
      <c r="S148" s="3451">
        <v>0.118939143227539</v>
      </c>
      <c r="T148" s="3451">
        <v>0.114820849944169</v>
      </c>
      <c r="U148" s="3432"/>
      <c r="V148" s="3432"/>
      <c r="W148" s="3432"/>
      <c r="X148" s="3432"/>
      <c r="Y148" s="3451">
        <v>0.118939143227539</v>
      </c>
      <c r="Z148" s="3447">
        <v>0</v>
      </c>
      <c r="AA148" s="3447">
        <v>0</v>
      </c>
      <c r="AB148" s="3447">
        <v>0</v>
      </c>
      <c r="AC148" s="3454">
        <v>1.5245569825502301E-2</v>
      </c>
      <c r="AD148" s="3454">
        <v>1.5245569825502301E-2</v>
      </c>
      <c r="AE148" s="3454">
        <v>1.52455698255022E-2</v>
      </c>
      <c r="AF148" s="3432"/>
      <c r="AG148" s="3447">
        <v>0</v>
      </c>
      <c r="AH148" s="3447">
        <v>0</v>
      </c>
      <c r="AI148" s="3447">
        <v>0</v>
      </c>
      <c r="AJ148" s="3447">
        <v>0</v>
      </c>
      <c r="AK148" s="3432"/>
      <c r="AL148" s="3451">
        <v>0.115113438085233</v>
      </c>
      <c r="AM148" s="3432"/>
      <c r="AN148" s="3766">
        <v>0</v>
      </c>
      <c r="AO148" s="3426"/>
    </row>
    <row r="149" spans="1:41">
      <c r="A149" s="5047" t="s">
        <v>7</v>
      </c>
      <c r="B149" s="5048"/>
      <c r="C149" s="3453">
        <v>7.6855459745388801</v>
      </c>
      <c r="D149" s="3432"/>
      <c r="E149" s="3455">
        <v>16.939998305999801</v>
      </c>
      <c r="F149" s="3732"/>
      <c r="G149" s="3455">
        <v>15.234092107213399</v>
      </c>
      <c r="H149" s="3455">
        <v>16.939998305999801</v>
      </c>
      <c r="I149" s="3455">
        <v>16.939998305999801</v>
      </c>
      <c r="J149" s="3412">
        <v>15.076594857319099</v>
      </c>
      <c r="K149" s="3432"/>
      <c r="L149" s="3432"/>
      <c r="M149" s="3455">
        <v>16.939998305999801</v>
      </c>
      <c r="N149" s="3432"/>
      <c r="O149" s="3455">
        <v>17.722704335113299</v>
      </c>
      <c r="P149" s="3432"/>
      <c r="Q149" s="3455">
        <v>18.578159179493799</v>
      </c>
      <c r="R149" s="3432"/>
      <c r="S149" s="3455">
        <v>17.722704335113299</v>
      </c>
      <c r="T149" s="3455">
        <v>16.6734822924223</v>
      </c>
      <c r="U149" s="3432"/>
      <c r="V149" s="3432"/>
      <c r="W149" s="3432"/>
      <c r="X149" s="3432"/>
      <c r="Y149" s="3455">
        <v>17.722704335113299</v>
      </c>
      <c r="Z149" s="3451">
        <v>0.57201651788473096</v>
      </c>
      <c r="AA149" s="3451">
        <v>0.57201651788473096</v>
      </c>
      <c r="AB149" s="3451">
        <v>0.57201651788473096</v>
      </c>
      <c r="AC149" s="3455">
        <v>18.831613405334</v>
      </c>
      <c r="AD149" s="3455">
        <v>18.831613405334</v>
      </c>
      <c r="AE149" s="3455">
        <v>18.831613405334</v>
      </c>
      <c r="AF149" s="3432"/>
      <c r="AG149" s="3455">
        <v>18.143177109530001</v>
      </c>
      <c r="AH149" s="3453">
        <v>9.4491280239265194</v>
      </c>
      <c r="AI149" s="3453">
        <v>9.4491280239265194</v>
      </c>
      <c r="AJ149" s="3453">
        <v>9.4491280239265194</v>
      </c>
      <c r="AK149" s="3432"/>
      <c r="AL149" s="3455">
        <v>16.6819534355614</v>
      </c>
      <c r="AM149" s="3432"/>
      <c r="AN149" s="3767">
        <v>14.171957738601799</v>
      </c>
      <c r="AO149" s="3426"/>
    </row>
    <row r="150" spans="1:41">
      <c r="A150" s="5047" t="s">
        <v>8</v>
      </c>
      <c r="B150" s="5048"/>
      <c r="C150" s="3455">
        <v>51.645345711911403</v>
      </c>
      <c r="D150" s="3432"/>
      <c r="E150" s="3453">
        <v>1.86999981299998</v>
      </c>
      <c r="F150" s="3732"/>
      <c r="G150" s="3453">
        <v>8.2730132058826094</v>
      </c>
      <c r="H150" s="3453">
        <v>1.86999981299998</v>
      </c>
      <c r="I150" s="3453">
        <v>1.86999981299998</v>
      </c>
      <c r="J150" s="3412">
        <v>65.241743797201806</v>
      </c>
      <c r="K150" s="3432"/>
      <c r="L150" s="3432"/>
      <c r="M150" s="3453">
        <v>1.86999981299998</v>
      </c>
      <c r="N150" s="3432"/>
      <c r="O150" s="3455">
        <v>43.874873138439703</v>
      </c>
      <c r="P150" s="3432"/>
      <c r="Q150" s="3455">
        <v>43.252738637537497</v>
      </c>
      <c r="R150" s="3432"/>
      <c r="S150" s="3455">
        <v>43.874873138439703</v>
      </c>
      <c r="T150" s="3455">
        <v>38.8202792950785</v>
      </c>
      <c r="U150" s="3432"/>
      <c r="V150" s="3432"/>
      <c r="W150" s="3432"/>
      <c r="X150" s="3432"/>
      <c r="Y150" s="3455">
        <v>43.874873138439703</v>
      </c>
      <c r="Z150" s="3451">
        <v>0.19131408725848101</v>
      </c>
      <c r="AA150" s="3451">
        <v>0.19131408725848101</v>
      </c>
      <c r="AB150" s="3451">
        <v>0.19131408725848101</v>
      </c>
      <c r="AC150" s="3455">
        <v>40.794093503042099</v>
      </c>
      <c r="AD150" s="3455">
        <v>40.794093503042099</v>
      </c>
      <c r="AE150" s="3455">
        <v>40.794093503042099</v>
      </c>
      <c r="AF150" s="3432"/>
      <c r="AG150" s="3455">
        <v>37.706295854344901</v>
      </c>
      <c r="AH150" s="3455">
        <v>13.4615179321548</v>
      </c>
      <c r="AI150" s="3455">
        <v>13.4615179321548</v>
      </c>
      <c r="AJ150" s="3455">
        <v>13.4615179321548</v>
      </c>
      <c r="AK150" s="3432"/>
      <c r="AL150" s="3455">
        <v>38.819468925112297</v>
      </c>
      <c r="AM150" s="3432"/>
      <c r="AN150" s="3767">
        <v>16.5009508609294</v>
      </c>
      <c r="AO150" s="3426"/>
    </row>
    <row r="151" spans="1:41">
      <c r="A151" s="5047" t="s">
        <v>66</v>
      </c>
      <c r="B151" s="5048"/>
      <c r="C151" s="3453">
        <v>8.9063406185987297</v>
      </c>
      <c r="D151" s="3432"/>
      <c r="E151" s="3447">
        <v>0</v>
      </c>
      <c r="F151" s="3732"/>
      <c r="G151" s="3451">
        <v>0.945234477038017</v>
      </c>
      <c r="H151" s="3447">
        <v>0</v>
      </c>
      <c r="I151" s="3447">
        <v>0</v>
      </c>
      <c r="J151" s="3413">
        <v>5.9100561757481698</v>
      </c>
      <c r="K151" s="3432"/>
      <c r="L151" s="3432"/>
      <c r="M151" s="3447">
        <v>0</v>
      </c>
      <c r="N151" s="3432"/>
      <c r="O151" s="3453">
        <v>7.5878633595673701</v>
      </c>
      <c r="P151" s="3432"/>
      <c r="Q151" s="3453">
        <v>7.3367523144626503</v>
      </c>
      <c r="R151" s="3432"/>
      <c r="S151" s="3453">
        <v>7.5878633595673701</v>
      </c>
      <c r="T151" s="3453">
        <v>7.2325293139560296</v>
      </c>
      <c r="U151" s="3432"/>
      <c r="V151" s="3432"/>
      <c r="W151" s="3432"/>
      <c r="X151" s="3432"/>
      <c r="Y151" s="3453">
        <v>7.5878633595673701</v>
      </c>
      <c r="Z151" s="3452">
        <v>8.4673869998443101E-3</v>
      </c>
      <c r="AA151" s="3452">
        <v>8.4673869998443101E-3</v>
      </c>
      <c r="AB151" s="3452">
        <v>8.4673869998443101E-3</v>
      </c>
      <c r="AC151" s="3453">
        <v>7.3893043069291897</v>
      </c>
      <c r="AD151" s="3453">
        <v>7.3893043069291897</v>
      </c>
      <c r="AE151" s="3453">
        <v>7.3893043069291897</v>
      </c>
      <c r="AF151" s="3432"/>
      <c r="AG151" s="3453">
        <v>6.9914006623578704</v>
      </c>
      <c r="AH151" s="3453">
        <v>2.15135004765563</v>
      </c>
      <c r="AI151" s="3453">
        <v>2.15135004765563</v>
      </c>
      <c r="AJ151" s="3453">
        <v>2.15135004765563</v>
      </c>
      <c r="AK151" s="3432"/>
      <c r="AL151" s="3453">
        <v>7.2311299686113601</v>
      </c>
      <c r="AM151" s="3432"/>
      <c r="AN151" s="3768">
        <v>7.5941353630940496</v>
      </c>
      <c r="AO151" s="3426"/>
    </row>
    <row r="152" spans="1:41">
      <c r="A152" s="5047" t="s">
        <v>359</v>
      </c>
      <c r="B152" s="5048"/>
      <c r="C152" s="3455">
        <v>16.794870862131202</v>
      </c>
      <c r="D152" s="3432"/>
      <c r="E152" s="3447">
        <v>0</v>
      </c>
      <c r="F152" s="3732"/>
      <c r="G152" s="3453">
        <v>2.1034188190246699</v>
      </c>
      <c r="H152" s="3447">
        <v>0</v>
      </c>
      <c r="I152" s="3447">
        <v>0</v>
      </c>
      <c r="J152" s="3413">
        <v>9.2369759702875704</v>
      </c>
      <c r="K152" s="3432"/>
      <c r="L152" s="3432"/>
      <c r="M152" s="3447">
        <v>0</v>
      </c>
      <c r="N152" s="3432"/>
      <c r="O152" s="3455">
        <v>18.7532583673005</v>
      </c>
      <c r="P152" s="3432"/>
      <c r="Q152" s="3455">
        <v>17.6844787318473</v>
      </c>
      <c r="R152" s="3432"/>
      <c r="S152" s="3455">
        <v>18.7532583673005</v>
      </c>
      <c r="T152" s="3455">
        <v>17.314905611909602</v>
      </c>
      <c r="U152" s="3432"/>
      <c r="V152" s="3432"/>
      <c r="W152" s="3432"/>
      <c r="X152" s="3432"/>
      <c r="Y152" s="3455">
        <v>18.7532583673005</v>
      </c>
      <c r="Z152" s="3454">
        <v>2.0521621923451399E-2</v>
      </c>
      <c r="AA152" s="3454">
        <v>2.0521621923451399E-2</v>
      </c>
      <c r="AB152" s="3454">
        <v>2.0521621923451399E-2</v>
      </c>
      <c r="AC152" s="3455">
        <v>17.988420070576499</v>
      </c>
      <c r="AD152" s="3455">
        <v>17.988420070576499</v>
      </c>
      <c r="AE152" s="3455">
        <v>17.988420070576499</v>
      </c>
      <c r="AF152" s="3432"/>
      <c r="AG152" s="3455">
        <v>16.9176129324816</v>
      </c>
      <c r="AH152" s="3453">
        <v>5.1143192561487503</v>
      </c>
      <c r="AI152" s="3453">
        <v>5.1143192561487503</v>
      </c>
      <c r="AJ152" s="3453">
        <v>5.1143192561487503</v>
      </c>
      <c r="AK152" s="3432"/>
      <c r="AL152" s="3455">
        <v>17.310788816222701</v>
      </c>
      <c r="AM152" s="3432"/>
      <c r="AN152" s="3767">
        <v>21.187345697835902</v>
      </c>
      <c r="AO152" s="3426"/>
    </row>
    <row r="153" spans="1:41">
      <c r="A153" s="5047" t="s">
        <v>68</v>
      </c>
      <c r="B153" s="5048"/>
      <c r="C153" s="3453">
        <v>3.2275411962017602</v>
      </c>
      <c r="D153" s="3432"/>
      <c r="E153" s="3447">
        <v>0</v>
      </c>
      <c r="F153" s="3732"/>
      <c r="G153" s="3451">
        <v>0.323355314056187</v>
      </c>
      <c r="H153" s="3447">
        <v>0</v>
      </c>
      <c r="I153" s="3447">
        <v>0</v>
      </c>
      <c r="J153" s="3413">
        <v>1.2563897871010099</v>
      </c>
      <c r="K153" s="3432"/>
      <c r="L153" s="3432"/>
      <c r="M153" s="3447">
        <v>0</v>
      </c>
      <c r="N153" s="3432"/>
      <c r="O153" s="3453">
        <v>3.78477442078621</v>
      </c>
      <c r="P153" s="3432"/>
      <c r="Q153" s="3453">
        <v>3.4803218295602001</v>
      </c>
      <c r="R153" s="3432"/>
      <c r="S153" s="3453">
        <v>3.78477442078621</v>
      </c>
      <c r="T153" s="3453">
        <v>4.2659018525710204</v>
      </c>
      <c r="U153" s="3432"/>
      <c r="V153" s="3432"/>
      <c r="W153" s="3432"/>
      <c r="X153" s="3432"/>
      <c r="Y153" s="3453">
        <v>3.78477442078621</v>
      </c>
      <c r="Z153" s="3452">
        <v>1.29621928677506E-3</v>
      </c>
      <c r="AA153" s="3452">
        <v>1.29621928677506E-3</v>
      </c>
      <c r="AB153" s="3452">
        <v>1.29621928677506E-3</v>
      </c>
      <c r="AC153" s="3453">
        <v>4.4335994394253504</v>
      </c>
      <c r="AD153" s="3453">
        <v>4.4335994394253504</v>
      </c>
      <c r="AE153" s="3453">
        <v>4.4335994394253504</v>
      </c>
      <c r="AF153" s="3432"/>
      <c r="AG153" s="3453">
        <v>4.2093018630045602</v>
      </c>
      <c r="AH153" s="3453">
        <v>1.19801041880227</v>
      </c>
      <c r="AI153" s="3453">
        <v>1.19801041880227</v>
      </c>
      <c r="AJ153" s="3453">
        <v>1.19801041880227</v>
      </c>
      <c r="AK153" s="3432"/>
      <c r="AL153" s="3453">
        <v>4.2645242038687101</v>
      </c>
      <c r="AM153" s="3432"/>
      <c r="AN153" s="3768">
        <v>7.2992064292843102</v>
      </c>
      <c r="AO153" s="3426"/>
    </row>
    <row r="154" spans="1:41">
      <c r="A154" s="5047" t="s">
        <v>669</v>
      </c>
      <c r="B154" s="5048"/>
      <c r="C154" s="3453">
        <v>3.2636977969645402</v>
      </c>
      <c r="D154" s="3432"/>
      <c r="E154" s="3447">
        <v>0</v>
      </c>
      <c r="F154" s="3732"/>
      <c r="G154" s="3451">
        <v>0.28271342936346799</v>
      </c>
      <c r="H154" s="3447">
        <v>0</v>
      </c>
      <c r="I154" s="3447">
        <v>0</v>
      </c>
      <c r="J154" s="3413">
        <v>1.20613426556952</v>
      </c>
      <c r="K154" s="3432"/>
      <c r="L154" s="3432"/>
      <c r="M154" s="3447">
        <v>0</v>
      </c>
      <c r="N154" s="3432"/>
      <c r="O154" s="3453">
        <v>3.7587306989744</v>
      </c>
      <c r="P154" s="3432"/>
      <c r="Q154" s="3453">
        <v>3.4827659338592398</v>
      </c>
      <c r="R154" s="3432"/>
      <c r="S154" s="3453">
        <v>3.7587306989744</v>
      </c>
      <c r="T154" s="3453">
        <v>4.3763997851891903</v>
      </c>
      <c r="U154" s="3432"/>
      <c r="V154" s="3432"/>
      <c r="W154" s="3432"/>
      <c r="X154" s="3432"/>
      <c r="Y154" s="3453">
        <v>3.7587306989744</v>
      </c>
      <c r="Z154" s="3460">
        <v>4.4998088249405401E-4</v>
      </c>
      <c r="AA154" s="3460">
        <v>4.4998088249405401E-4</v>
      </c>
      <c r="AB154" s="3460">
        <v>4.4998088249405401E-4</v>
      </c>
      <c r="AC154" s="3453">
        <v>4.4936056545427299</v>
      </c>
      <c r="AD154" s="3453">
        <v>4.4936056545427299</v>
      </c>
      <c r="AE154" s="3453">
        <v>4.4936056545427299</v>
      </c>
      <c r="AF154" s="3432"/>
      <c r="AG154" s="3453">
        <v>4.3206995371000199</v>
      </c>
      <c r="AH154" s="3453">
        <v>1.1945305133361599</v>
      </c>
      <c r="AI154" s="3453">
        <v>1.1945305133361599</v>
      </c>
      <c r="AJ154" s="3453">
        <v>1.1945305133361599</v>
      </c>
      <c r="AK154" s="3432"/>
      <c r="AL154" s="3453">
        <v>4.3748836447431003</v>
      </c>
      <c r="AM154" s="3432"/>
      <c r="AN154" s="3768">
        <v>8.2249193776869607</v>
      </c>
      <c r="AO154" s="3426"/>
    </row>
    <row r="155" spans="1:41">
      <c r="A155" s="5047" t="s">
        <v>99</v>
      </c>
      <c r="B155" s="5048"/>
      <c r="C155" s="3447">
        <v>0</v>
      </c>
      <c r="D155" s="3432"/>
      <c r="E155" s="3447">
        <v>0</v>
      </c>
      <c r="F155" s="3732"/>
      <c r="G155" s="3447">
        <v>0</v>
      </c>
      <c r="H155" s="3447">
        <v>0</v>
      </c>
      <c r="I155" s="3447">
        <v>0</v>
      </c>
      <c r="J155" s="3411">
        <v>0</v>
      </c>
      <c r="K155" s="3432"/>
      <c r="L155" s="3432"/>
      <c r="M155" s="3447">
        <v>0</v>
      </c>
      <c r="N155" s="3432"/>
      <c r="O155" s="3447">
        <v>0</v>
      </c>
      <c r="P155" s="3432"/>
      <c r="Q155" s="3447">
        <v>0</v>
      </c>
      <c r="R155" s="3432"/>
      <c r="S155" s="3447">
        <v>0</v>
      </c>
      <c r="T155" s="3447">
        <v>0</v>
      </c>
      <c r="U155" s="3432"/>
      <c r="V155" s="3432"/>
      <c r="W155" s="3432"/>
      <c r="X155" s="3432"/>
      <c r="Y155" s="3447">
        <v>0</v>
      </c>
      <c r="Z155" s="3447">
        <v>0</v>
      </c>
      <c r="AA155" s="3447">
        <v>0</v>
      </c>
      <c r="AB155" s="3447">
        <v>0</v>
      </c>
      <c r="AC155" s="3447">
        <v>0</v>
      </c>
      <c r="AD155" s="3447">
        <v>0</v>
      </c>
      <c r="AE155" s="3447">
        <v>0</v>
      </c>
      <c r="AF155" s="3432"/>
      <c r="AG155" s="3447">
        <v>0</v>
      </c>
      <c r="AH155" s="3447">
        <v>0</v>
      </c>
      <c r="AI155" s="3447">
        <v>0</v>
      </c>
      <c r="AJ155" s="3447">
        <v>0</v>
      </c>
      <c r="AK155" s="3432"/>
      <c r="AL155" s="3447">
        <v>0</v>
      </c>
      <c r="AM155" s="3432"/>
      <c r="AN155" s="3766">
        <v>0</v>
      </c>
      <c r="AO155" s="3426"/>
    </row>
    <row r="156" spans="1:41">
      <c r="A156" s="5047" t="s">
        <v>422</v>
      </c>
      <c r="B156" s="5048"/>
      <c r="C156" s="3453">
        <v>1.0655039938736099</v>
      </c>
      <c r="D156" s="3432"/>
      <c r="E156" s="3447">
        <v>0</v>
      </c>
      <c r="F156" s="3732"/>
      <c r="G156" s="3454">
        <v>5.8845532806027202E-2</v>
      </c>
      <c r="H156" s="3447">
        <v>0</v>
      </c>
      <c r="I156" s="3447">
        <v>0</v>
      </c>
      <c r="J156" s="3421">
        <v>0.45230035500743798</v>
      </c>
      <c r="K156" s="3432"/>
      <c r="L156" s="3432"/>
      <c r="M156" s="3447">
        <v>0</v>
      </c>
      <c r="N156" s="3432"/>
      <c r="O156" s="3453">
        <v>1.10090690203187</v>
      </c>
      <c r="P156" s="3432"/>
      <c r="Q156" s="3453">
        <v>1.01016964410537</v>
      </c>
      <c r="R156" s="3432"/>
      <c r="S156" s="3453">
        <v>1.10090690203187</v>
      </c>
      <c r="T156" s="3453">
        <v>1.40933669032885</v>
      </c>
      <c r="U156" s="3432"/>
      <c r="V156" s="3432"/>
      <c r="W156" s="3432"/>
      <c r="X156" s="3432"/>
      <c r="Y156" s="3453">
        <v>1.10090690203187</v>
      </c>
      <c r="Z156" s="3449">
        <v>7.7675126199904494E-5</v>
      </c>
      <c r="AA156" s="3449">
        <v>7.7675126199904494E-5</v>
      </c>
      <c r="AB156" s="3449">
        <v>7.7675126199904494E-5</v>
      </c>
      <c r="AC156" s="3453">
        <v>1.44271298793334</v>
      </c>
      <c r="AD156" s="3453">
        <v>1.44271298793334</v>
      </c>
      <c r="AE156" s="3453">
        <v>1.44271298793334</v>
      </c>
      <c r="AF156" s="3432"/>
      <c r="AG156" s="3453">
        <v>1.39123886587546</v>
      </c>
      <c r="AH156" s="3451">
        <v>0.36966795787950002</v>
      </c>
      <c r="AI156" s="3451">
        <v>0.36966795787950002</v>
      </c>
      <c r="AJ156" s="3451">
        <v>0.36966795787950002</v>
      </c>
      <c r="AK156" s="3432"/>
      <c r="AL156" s="3453">
        <v>1.40877510907311</v>
      </c>
      <c r="AM156" s="3432"/>
      <c r="AN156" s="3768">
        <v>3.3288954652259499</v>
      </c>
      <c r="AO156" s="3426"/>
    </row>
    <row r="157" spans="1:41">
      <c r="A157" s="5047" t="s">
        <v>10</v>
      </c>
      <c r="B157" s="5048"/>
      <c r="C157" s="3451">
        <v>0.59049832059823903</v>
      </c>
      <c r="D157" s="3432"/>
      <c r="E157" s="3447">
        <v>0</v>
      </c>
      <c r="F157" s="3732"/>
      <c r="G157" s="3454">
        <v>1.8127925672044898E-2</v>
      </c>
      <c r="H157" s="3447">
        <v>0</v>
      </c>
      <c r="I157" s="3447">
        <v>0</v>
      </c>
      <c r="J157" s="3421">
        <v>0.23117573885185699</v>
      </c>
      <c r="K157" s="3432"/>
      <c r="L157" s="3432"/>
      <c r="M157" s="3447">
        <v>0</v>
      </c>
      <c r="N157" s="3432"/>
      <c r="O157" s="3451">
        <v>0.62354900295849203</v>
      </c>
      <c r="P157" s="3432"/>
      <c r="Q157" s="3451">
        <v>0.55250872974544096</v>
      </c>
      <c r="R157" s="3432"/>
      <c r="S157" s="3451">
        <v>0.62354900295849203</v>
      </c>
      <c r="T157" s="3451">
        <v>0.83031984578169504</v>
      </c>
      <c r="U157" s="3432"/>
      <c r="V157" s="3432"/>
      <c r="W157" s="3432"/>
      <c r="X157" s="3432"/>
      <c r="Y157" s="3451">
        <v>0.62354900295849203</v>
      </c>
      <c r="Z157" s="3449">
        <v>1.6944310115195299E-5</v>
      </c>
      <c r="AA157" s="3449">
        <v>1.6944310115195299E-5</v>
      </c>
      <c r="AB157" s="3449">
        <v>1.6944310115195299E-5</v>
      </c>
      <c r="AC157" s="3451">
        <v>0.86983485992413501</v>
      </c>
      <c r="AD157" s="3451">
        <v>0.86983485992413501</v>
      </c>
      <c r="AE157" s="3451">
        <v>0.86983485992413501</v>
      </c>
      <c r="AF157" s="3432"/>
      <c r="AG157" s="3451">
        <v>0.82180252673360499</v>
      </c>
      <c r="AH157" s="3451">
        <v>0.220361267975867</v>
      </c>
      <c r="AI157" s="3451">
        <v>0.220361267975867</v>
      </c>
      <c r="AJ157" s="3451">
        <v>0.220361267975867</v>
      </c>
      <c r="AK157" s="3432"/>
      <c r="AL157" s="3451">
        <v>0.82996364750248197</v>
      </c>
      <c r="AM157" s="3432"/>
      <c r="AN157" s="3768">
        <v>2.0849288330944402</v>
      </c>
      <c r="AO157" s="3426"/>
    </row>
    <row r="158" spans="1:41">
      <c r="A158" s="5047" t="s">
        <v>9</v>
      </c>
      <c r="B158" s="5048"/>
      <c r="C158" s="3451">
        <v>0.49148108330280998</v>
      </c>
      <c r="D158" s="3432"/>
      <c r="E158" s="3447">
        <v>0</v>
      </c>
      <c r="F158" s="3732"/>
      <c r="G158" s="3454">
        <v>1.21689037808134E-2</v>
      </c>
      <c r="H158" s="3447">
        <v>0</v>
      </c>
      <c r="I158" s="3447">
        <v>0</v>
      </c>
      <c r="J158" s="3421">
        <v>0.180920137030738</v>
      </c>
      <c r="K158" s="3432"/>
      <c r="L158" s="3432"/>
      <c r="M158" s="3447">
        <v>0</v>
      </c>
      <c r="N158" s="3432"/>
      <c r="O158" s="3451">
        <v>0.456227027931707</v>
      </c>
      <c r="P158" s="3432"/>
      <c r="Q158" s="3451">
        <v>0.42805793600351599</v>
      </c>
      <c r="R158" s="3432"/>
      <c r="S158" s="3451">
        <v>0.456227027931707</v>
      </c>
      <c r="T158" s="3451">
        <v>0.63553464248645797</v>
      </c>
      <c r="U158" s="3432"/>
      <c r="V158" s="3432"/>
      <c r="W158" s="3432"/>
      <c r="X158" s="3432"/>
      <c r="Y158" s="3451">
        <v>0.456227027931706</v>
      </c>
      <c r="Z158" s="3449">
        <v>9.0062958407723497E-5</v>
      </c>
      <c r="AA158" s="3449">
        <v>9.0062958407723497E-5</v>
      </c>
      <c r="AB158" s="3449">
        <v>9.0062958407723402E-5</v>
      </c>
      <c r="AC158" s="3451">
        <v>0.63258646140411501</v>
      </c>
      <c r="AD158" s="3451">
        <v>0.63258646140411501</v>
      </c>
      <c r="AE158" s="3451">
        <v>0.63258646140411501</v>
      </c>
      <c r="AF158" s="3432"/>
      <c r="AG158" s="3451">
        <v>0.62767896284263602</v>
      </c>
      <c r="AH158" s="3451">
        <v>0.16029277008339601</v>
      </c>
      <c r="AI158" s="3451">
        <v>0.16029277008339601</v>
      </c>
      <c r="AJ158" s="3451">
        <v>0.16029277008339601</v>
      </c>
      <c r="AK158" s="3432"/>
      <c r="AL158" s="3451">
        <v>0.63527199690208902</v>
      </c>
      <c r="AM158" s="3432"/>
      <c r="AN158" s="3768">
        <v>1.59000056814615</v>
      </c>
      <c r="AO158" s="3426"/>
    </row>
    <row r="159" spans="1:41">
      <c r="A159" s="5047" t="s">
        <v>11</v>
      </c>
      <c r="B159" s="5048"/>
      <c r="C159" s="3451">
        <v>0.50381154691073704</v>
      </c>
      <c r="D159" s="3432"/>
      <c r="E159" s="3447">
        <v>0</v>
      </c>
      <c r="F159" s="3732"/>
      <c r="G159" s="3454">
        <v>1.27882331162236E-2</v>
      </c>
      <c r="H159" s="3447">
        <v>0</v>
      </c>
      <c r="I159" s="3447">
        <v>0</v>
      </c>
      <c r="J159" s="3421">
        <v>0.190970267612359</v>
      </c>
      <c r="K159" s="3432"/>
      <c r="L159" s="3432"/>
      <c r="M159" s="3447">
        <v>0</v>
      </c>
      <c r="N159" s="3432"/>
      <c r="O159" s="3451">
        <v>0.29718676038723502</v>
      </c>
      <c r="P159" s="3432"/>
      <c r="Q159" s="3451">
        <v>0.374987243247136</v>
      </c>
      <c r="R159" s="3432"/>
      <c r="S159" s="3451">
        <v>0.29718676038723502</v>
      </c>
      <c r="T159" s="3451">
        <v>0.57641114530377802</v>
      </c>
      <c r="U159" s="3432"/>
      <c r="V159" s="3432"/>
      <c r="W159" s="3432"/>
      <c r="X159" s="3432"/>
      <c r="Y159" s="3451">
        <v>0.29718676038723502</v>
      </c>
      <c r="Z159" s="3452">
        <v>4.6171372579417204E-3</v>
      </c>
      <c r="AA159" s="3452">
        <v>4.6171372579417204E-3</v>
      </c>
      <c r="AB159" s="3452">
        <v>4.61713725794171E-3</v>
      </c>
      <c r="AC159" s="3451">
        <v>0.43016013145904097</v>
      </c>
      <c r="AD159" s="3451">
        <v>0.43016013145904097</v>
      </c>
      <c r="AE159" s="3451">
        <v>0.43016013145904097</v>
      </c>
      <c r="AF159" s="3432"/>
      <c r="AG159" s="3451">
        <v>0.56785639838898205</v>
      </c>
      <c r="AH159" s="3451">
        <v>0.109977271161803</v>
      </c>
      <c r="AI159" s="3451">
        <v>0.109977271161803</v>
      </c>
      <c r="AJ159" s="3451">
        <v>0.109977271161803</v>
      </c>
      <c r="AK159" s="3432"/>
      <c r="AL159" s="3451">
        <v>0.57616888400049404</v>
      </c>
      <c r="AM159" s="3432"/>
      <c r="AN159" s="3768">
        <v>1.3564236009889401</v>
      </c>
      <c r="AO159" s="3426"/>
    </row>
    <row r="160" spans="1:41">
      <c r="A160" s="5047" t="s">
        <v>12</v>
      </c>
      <c r="B160" s="5048"/>
      <c r="C160" s="3451">
        <v>0.86646786884145599</v>
      </c>
      <c r="D160" s="3432"/>
      <c r="E160" s="3447">
        <v>0</v>
      </c>
      <c r="F160" s="3732"/>
      <c r="G160" s="3454">
        <v>1.7556507399411399E-2</v>
      </c>
      <c r="H160" s="3447">
        <v>0</v>
      </c>
      <c r="I160" s="3447">
        <v>0</v>
      </c>
      <c r="J160" s="3421">
        <v>0.34173802083052202</v>
      </c>
      <c r="K160" s="3432"/>
      <c r="L160" s="3432"/>
      <c r="M160" s="3447">
        <v>0</v>
      </c>
      <c r="N160" s="3432"/>
      <c r="O160" s="3451">
        <v>0.74992181821206105</v>
      </c>
      <c r="P160" s="3432"/>
      <c r="Q160" s="3451">
        <v>0.71885756533077105</v>
      </c>
      <c r="R160" s="3432"/>
      <c r="S160" s="3451">
        <v>0.74992181821206105</v>
      </c>
      <c r="T160" s="3453">
        <v>1.0506114104476501</v>
      </c>
      <c r="U160" s="3432"/>
      <c r="V160" s="3432"/>
      <c r="W160" s="3432"/>
      <c r="X160" s="3432"/>
      <c r="Y160" s="3451">
        <v>0.74992181821206005</v>
      </c>
      <c r="Z160" s="3460">
        <v>2.3919491070513801E-4</v>
      </c>
      <c r="AA160" s="3460">
        <v>2.3919491070513801E-4</v>
      </c>
      <c r="AB160" s="3460">
        <v>2.3919491070513801E-4</v>
      </c>
      <c r="AC160" s="3453">
        <v>1.0203370623439501</v>
      </c>
      <c r="AD160" s="3453">
        <v>1.0203370623439501</v>
      </c>
      <c r="AE160" s="3453">
        <v>1.0203370623439501</v>
      </c>
      <c r="AF160" s="3432"/>
      <c r="AG160" s="3453">
        <v>1.0370236973404701</v>
      </c>
      <c r="AH160" s="3451">
        <v>0.25497816140361801</v>
      </c>
      <c r="AI160" s="3451">
        <v>0.25497816140361801</v>
      </c>
      <c r="AJ160" s="3451">
        <v>0.25497816140361801</v>
      </c>
      <c r="AK160" s="3432"/>
      <c r="AL160" s="3453">
        <v>1.0501583431197199</v>
      </c>
      <c r="AM160" s="3432"/>
      <c r="AN160" s="3768">
        <v>3.0228219797978499</v>
      </c>
      <c r="AO160" s="3426"/>
    </row>
    <row r="161" spans="1:41">
      <c r="A161" s="5047" t="s">
        <v>48</v>
      </c>
      <c r="B161" s="5048"/>
      <c r="C161" s="3447">
        <v>0</v>
      </c>
      <c r="D161" s="3432"/>
      <c r="E161" s="3447">
        <v>0</v>
      </c>
      <c r="F161" s="3732"/>
      <c r="G161" s="3447">
        <v>0</v>
      </c>
      <c r="H161" s="3447">
        <v>0</v>
      </c>
      <c r="I161" s="3447">
        <v>0</v>
      </c>
      <c r="J161" s="3411">
        <v>0</v>
      </c>
      <c r="K161" s="3432"/>
      <c r="L161" s="3432"/>
      <c r="M161" s="3447">
        <v>0</v>
      </c>
      <c r="N161" s="3432"/>
      <c r="O161" s="3447">
        <v>0</v>
      </c>
      <c r="P161" s="3432"/>
      <c r="Q161" s="3447">
        <v>0</v>
      </c>
      <c r="R161" s="3432"/>
      <c r="S161" s="3447">
        <v>0</v>
      </c>
      <c r="T161" s="3447">
        <v>0</v>
      </c>
      <c r="U161" s="3432"/>
      <c r="V161" s="3432"/>
      <c r="W161" s="3432"/>
      <c r="X161" s="3432"/>
      <c r="Y161" s="3447">
        <v>0</v>
      </c>
      <c r="Z161" s="3447">
        <v>0</v>
      </c>
      <c r="AA161" s="3447">
        <v>0</v>
      </c>
      <c r="AB161" s="3447">
        <v>0</v>
      </c>
      <c r="AC161" s="3447">
        <v>0</v>
      </c>
      <c r="AD161" s="3447">
        <v>0</v>
      </c>
      <c r="AE161" s="3447">
        <v>0</v>
      </c>
      <c r="AF161" s="3432"/>
      <c r="AG161" s="3447">
        <v>0</v>
      </c>
      <c r="AH161" s="3447">
        <v>0</v>
      </c>
      <c r="AI161" s="3447">
        <v>0</v>
      </c>
      <c r="AJ161" s="3447">
        <v>0</v>
      </c>
      <c r="AK161" s="3432"/>
      <c r="AL161" s="3447">
        <v>0</v>
      </c>
      <c r="AM161" s="3432"/>
      <c r="AN161" s="3766">
        <v>0</v>
      </c>
      <c r="AO161" s="3426"/>
    </row>
    <row r="162" spans="1:41">
      <c r="A162" s="5047" t="s">
        <v>751</v>
      </c>
      <c r="B162" s="5048"/>
      <c r="C162" s="3451">
        <v>0.187153781721839</v>
      </c>
      <c r="D162" s="3432"/>
      <c r="E162" s="3447">
        <v>0</v>
      </c>
      <c r="F162" s="3732"/>
      <c r="G162" s="3452">
        <v>5.1942085080867E-3</v>
      </c>
      <c r="H162" s="3447">
        <v>0</v>
      </c>
      <c r="I162" s="3447">
        <v>0</v>
      </c>
      <c r="J162" s="3419">
        <v>7.0357833626216407E-2</v>
      </c>
      <c r="K162" s="3432"/>
      <c r="L162" s="3432"/>
      <c r="M162" s="3447">
        <v>0</v>
      </c>
      <c r="N162" s="3432"/>
      <c r="O162" s="3451">
        <v>0.123572908447729</v>
      </c>
      <c r="P162" s="3432"/>
      <c r="Q162" s="3451">
        <v>0.405142562740407</v>
      </c>
      <c r="R162" s="3432"/>
      <c r="S162" s="3451">
        <v>0.123572908447729</v>
      </c>
      <c r="T162" s="3451">
        <v>0.24416799213454399</v>
      </c>
      <c r="U162" s="3432"/>
      <c r="V162" s="3432"/>
      <c r="W162" s="3432"/>
      <c r="X162" s="3432"/>
      <c r="Y162" s="3451">
        <v>0.123572908447729</v>
      </c>
      <c r="Z162" s="3449">
        <v>7.7789791775797205E-7</v>
      </c>
      <c r="AA162" s="3449">
        <v>7.7789791775797205E-7</v>
      </c>
      <c r="AB162" s="3449">
        <v>7.7789791775797205E-7</v>
      </c>
      <c r="AC162" s="3454">
        <v>7.0489444856137506E-2</v>
      </c>
      <c r="AD162" s="3454">
        <v>7.0489444856137506E-2</v>
      </c>
      <c r="AE162" s="3454">
        <v>7.0489444856137506E-2</v>
      </c>
      <c r="AF162" s="3432"/>
      <c r="AG162" s="3451">
        <v>0.241373751989303</v>
      </c>
      <c r="AH162" s="3454">
        <v>1.66311043715354E-2</v>
      </c>
      <c r="AI162" s="3454">
        <v>1.66311043715354E-2</v>
      </c>
      <c r="AJ162" s="3454">
        <v>1.66311043715354E-2</v>
      </c>
      <c r="AK162" s="3432"/>
      <c r="AL162" s="3451">
        <v>0.24405481172339599</v>
      </c>
      <c r="AM162" s="3432"/>
      <c r="AN162" s="3769">
        <v>0.77943233046308003</v>
      </c>
      <c r="AO162" s="3426"/>
    </row>
    <row r="163" spans="1:41">
      <c r="A163" s="5047" t="s">
        <v>65</v>
      </c>
      <c r="B163" s="5048"/>
      <c r="C163" s="3451">
        <v>0.40568393002543701</v>
      </c>
      <c r="D163" s="3432"/>
      <c r="E163" s="3447">
        <v>0</v>
      </c>
      <c r="F163" s="3732"/>
      <c r="G163" s="3452">
        <v>4.6746635974743997E-3</v>
      </c>
      <c r="H163" s="3447">
        <v>0</v>
      </c>
      <c r="I163" s="3447">
        <v>0</v>
      </c>
      <c r="J163" s="3421">
        <v>0.19097126063047201</v>
      </c>
      <c r="K163" s="3432"/>
      <c r="L163" s="3432"/>
      <c r="M163" s="3447">
        <v>0</v>
      </c>
      <c r="N163" s="3432"/>
      <c r="O163" s="3451">
        <v>0.43938445176025798</v>
      </c>
      <c r="P163" s="3432"/>
      <c r="Q163" s="3451">
        <v>0.40827788592983699</v>
      </c>
      <c r="R163" s="3432"/>
      <c r="S163" s="3451">
        <v>0.43938445176025798</v>
      </c>
      <c r="T163" s="3451">
        <v>0.59902895671968903</v>
      </c>
      <c r="U163" s="3432"/>
      <c r="V163" s="3432"/>
      <c r="W163" s="3432"/>
      <c r="X163" s="3432"/>
      <c r="Y163" s="3451">
        <v>0.43938445176025798</v>
      </c>
      <c r="Z163" s="3449">
        <v>2.78635412557066E-5</v>
      </c>
      <c r="AA163" s="3449">
        <v>2.78635412557066E-5</v>
      </c>
      <c r="AB163" s="3449">
        <v>2.78635412557066E-5</v>
      </c>
      <c r="AC163" s="3451">
        <v>0.59578188293888501</v>
      </c>
      <c r="AD163" s="3451">
        <v>0.59578188293888501</v>
      </c>
      <c r="AE163" s="3451">
        <v>0.59578188293888501</v>
      </c>
      <c r="AF163" s="3432"/>
      <c r="AG163" s="3451">
        <v>0.59442648635101403</v>
      </c>
      <c r="AH163" s="3451">
        <v>0.14599782905816</v>
      </c>
      <c r="AI163" s="3451">
        <v>0.14599782905816</v>
      </c>
      <c r="AJ163" s="3451">
        <v>0.14599782905816</v>
      </c>
      <c r="AK163" s="3432"/>
      <c r="AL163" s="3451">
        <v>0.59874171714741897</v>
      </c>
      <c r="AM163" s="3432"/>
      <c r="AN163" s="3768">
        <v>2.65607887756273</v>
      </c>
      <c r="AO163" s="3426"/>
    </row>
    <row r="164" spans="1:41">
      <c r="A164" s="5047" t="s">
        <v>13</v>
      </c>
      <c r="B164" s="5048"/>
      <c r="C164" s="3451">
        <v>0.25753493506836</v>
      </c>
      <c r="D164" s="3432"/>
      <c r="E164" s="3447">
        <v>0</v>
      </c>
      <c r="F164" s="3732"/>
      <c r="G164" s="3447">
        <v>0</v>
      </c>
      <c r="H164" s="3447">
        <v>0</v>
      </c>
      <c r="I164" s="3447">
        <v>0</v>
      </c>
      <c r="J164" s="3421">
        <v>0.110562310196046</v>
      </c>
      <c r="K164" s="3432"/>
      <c r="L164" s="3432"/>
      <c r="M164" s="3447">
        <v>0</v>
      </c>
      <c r="N164" s="3432"/>
      <c r="O164" s="3451">
        <v>0.14299933145433699</v>
      </c>
      <c r="P164" s="3432"/>
      <c r="Q164" s="3451">
        <v>0.137527886156569</v>
      </c>
      <c r="R164" s="3432"/>
      <c r="S164" s="3451">
        <v>0.14299933145433699</v>
      </c>
      <c r="T164" s="3451">
        <v>0.39216746786939299</v>
      </c>
      <c r="U164" s="3432"/>
      <c r="V164" s="3432"/>
      <c r="W164" s="3432"/>
      <c r="X164" s="3432"/>
      <c r="Y164" s="3451">
        <v>0.14299933145433699</v>
      </c>
      <c r="Z164" s="3449">
        <v>1.71938472689966E-6</v>
      </c>
      <c r="AA164" s="3449">
        <v>1.71938472689966E-6</v>
      </c>
      <c r="AB164" s="3449">
        <v>1.71938472689966E-6</v>
      </c>
      <c r="AC164" s="3451">
        <v>0.37567201501046199</v>
      </c>
      <c r="AD164" s="3451">
        <v>0.37567201501046199</v>
      </c>
      <c r="AE164" s="3451">
        <v>0.37567201501046199</v>
      </c>
      <c r="AF164" s="3432"/>
      <c r="AG164" s="3451">
        <v>0.38962905750795002</v>
      </c>
      <c r="AH164" s="3454">
        <v>9.1491011827456795E-2</v>
      </c>
      <c r="AI164" s="3454">
        <v>9.1491011827456795E-2</v>
      </c>
      <c r="AJ164" s="3454">
        <v>9.1491011827456795E-2</v>
      </c>
      <c r="AK164" s="3432"/>
      <c r="AL164" s="3451">
        <v>0.39197550931527497</v>
      </c>
      <c r="AM164" s="3432"/>
      <c r="AN164" s="3768">
        <v>1.6618858473359399</v>
      </c>
      <c r="AO164" s="3426"/>
    </row>
    <row r="165" spans="1:41">
      <c r="A165" s="5047" t="s">
        <v>14</v>
      </c>
      <c r="B165" s="5048"/>
      <c r="C165" s="3451">
        <v>0.217588741572288</v>
      </c>
      <c r="D165" s="3432"/>
      <c r="E165" s="3447">
        <v>0</v>
      </c>
      <c r="F165" s="3732"/>
      <c r="G165" s="3447">
        <v>0</v>
      </c>
      <c r="H165" s="3447">
        <v>0</v>
      </c>
      <c r="I165" s="3447">
        <v>0</v>
      </c>
      <c r="J165" s="3419">
        <v>9.0459971070980305E-2</v>
      </c>
      <c r="K165" s="3432"/>
      <c r="L165" s="3432"/>
      <c r="M165" s="3447">
        <v>0</v>
      </c>
      <c r="N165" s="3432"/>
      <c r="O165" s="3451">
        <v>0.16124296535961199</v>
      </c>
      <c r="P165" s="3432"/>
      <c r="Q165" s="3451">
        <v>0.18833595557952701</v>
      </c>
      <c r="R165" s="3432"/>
      <c r="S165" s="3451">
        <v>0.16124296535961199</v>
      </c>
      <c r="T165" s="3451">
        <v>0.29733271822384699</v>
      </c>
      <c r="U165" s="3432"/>
      <c r="V165" s="3432"/>
      <c r="W165" s="3432"/>
      <c r="X165" s="3432"/>
      <c r="Y165" s="3451">
        <v>0.16124296535961199</v>
      </c>
      <c r="Z165" s="3460">
        <v>5.5271582026245796E-4</v>
      </c>
      <c r="AA165" s="3460">
        <v>5.5271582026245796E-4</v>
      </c>
      <c r="AB165" s="3460">
        <v>5.5271582026245796E-4</v>
      </c>
      <c r="AC165" s="3451">
        <v>0.234605493189039</v>
      </c>
      <c r="AD165" s="3451">
        <v>0.234605493189039</v>
      </c>
      <c r="AE165" s="3451">
        <v>0.234605493189039</v>
      </c>
      <c r="AF165" s="3432"/>
      <c r="AG165" s="3451">
        <v>0.29513538760253799</v>
      </c>
      <c r="AH165" s="3454">
        <v>5.6841180085499599E-2</v>
      </c>
      <c r="AI165" s="3454">
        <v>5.6841180085499599E-2</v>
      </c>
      <c r="AJ165" s="3454">
        <v>5.6841180085499599E-2</v>
      </c>
      <c r="AK165" s="3432"/>
      <c r="AL165" s="3451">
        <v>0.29718729012747003</v>
      </c>
      <c r="AM165" s="3432"/>
      <c r="AN165" s="3768">
        <v>1.4301696192434601</v>
      </c>
      <c r="AO165" s="3426"/>
    </row>
    <row r="166" spans="1:41">
      <c r="A166" s="5047" t="s">
        <v>424</v>
      </c>
      <c r="B166" s="5048"/>
      <c r="C166" s="3451">
        <v>0.121419495324981</v>
      </c>
      <c r="D166" s="3432"/>
      <c r="E166" s="3447">
        <v>0</v>
      </c>
      <c r="F166" s="3732"/>
      <c r="G166" s="3447">
        <v>0</v>
      </c>
      <c r="H166" s="3447">
        <v>0</v>
      </c>
      <c r="I166" s="3447">
        <v>0</v>
      </c>
      <c r="J166" s="3419">
        <v>7.0357833834545497E-2</v>
      </c>
      <c r="K166" s="3432"/>
      <c r="L166" s="3432"/>
      <c r="M166" s="3447">
        <v>0</v>
      </c>
      <c r="N166" s="3432"/>
      <c r="O166" s="3451">
        <v>0.173897867453493</v>
      </c>
      <c r="P166" s="3432"/>
      <c r="Q166" s="3451">
        <v>0.160862370173953</v>
      </c>
      <c r="R166" s="3432"/>
      <c r="S166" s="3451">
        <v>0.173897867453493</v>
      </c>
      <c r="T166" s="3451">
        <v>0.23971089595035899</v>
      </c>
      <c r="U166" s="3432"/>
      <c r="V166" s="3432"/>
      <c r="W166" s="3432"/>
      <c r="X166" s="3432"/>
      <c r="Y166" s="3451">
        <v>0.173897867453493</v>
      </c>
      <c r="Z166" s="3449">
        <v>1.4892101296813299E-7</v>
      </c>
      <c r="AA166" s="3449">
        <v>1.4892101296813299E-7</v>
      </c>
      <c r="AB166" s="3449">
        <v>1.4892101296813299E-7</v>
      </c>
      <c r="AC166" s="3451">
        <v>0.23573086596647999</v>
      </c>
      <c r="AD166" s="3451">
        <v>0.23573086596647999</v>
      </c>
      <c r="AE166" s="3451">
        <v>0.23573086596647999</v>
      </c>
      <c r="AF166" s="3432"/>
      <c r="AG166" s="3451">
        <v>0.23977080936199999</v>
      </c>
      <c r="AH166" s="3454">
        <v>5.5523495951750698E-2</v>
      </c>
      <c r="AI166" s="3454">
        <v>5.5523495951750698E-2</v>
      </c>
      <c r="AJ166" s="3454">
        <v>5.5523495951750698E-2</v>
      </c>
      <c r="AK166" s="3432"/>
      <c r="AL166" s="3451">
        <v>0.23957783901061599</v>
      </c>
      <c r="AM166" s="3432"/>
      <c r="AN166" s="3768">
        <v>2.5263263162037202</v>
      </c>
      <c r="AO166" s="3426"/>
    </row>
    <row r="167" spans="1:41">
      <c r="A167" s="5047" t="s">
        <v>16</v>
      </c>
      <c r="B167" s="5048"/>
      <c r="C167" s="3452">
        <v>3.2322239314072098E-3</v>
      </c>
      <c r="D167" s="3432"/>
      <c r="E167" s="3447">
        <v>0</v>
      </c>
      <c r="F167" s="3732"/>
      <c r="G167" s="3447">
        <v>0</v>
      </c>
      <c r="H167" s="3447">
        <v>0</v>
      </c>
      <c r="I167" s="3447">
        <v>0</v>
      </c>
      <c r="J167" s="3411">
        <v>0</v>
      </c>
      <c r="K167" s="3432"/>
      <c r="L167" s="3432"/>
      <c r="M167" s="3447">
        <v>0</v>
      </c>
      <c r="N167" s="3432"/>
      <c r="O167" s="3452">
        <v>3.39528357116813E-3</v>
      </c>
      <c r="P167" s="3432"/>
      <c r="Q167" s="3452">
        <v>3.5226696524636499E-3</v>
      </c>
      <c r="R167" s="3432"/>
      <c r="S167" s="3452">
        <v>3.39528357116813E-3</v>
      </c>
      <c r="T167" s="3460">
        <v>1.08320772951805E-4</v>
      </c>
      <c r="U167" s="3432"/>
      <c r="V167" s="3432"/>
      <c r="W167" s="3432"/>
      <c r="X167" s="3432"/>
      <c r="Y167" s="3452">
        <v>3.39528357116813E-3</v>
      </c>
      <c r="Z167" s="3449">
        <v>8.8263570727915204E-9</v>
      </c>
      <c r="AA167" s="3449">
        <v>8.8263570727915204E-9</v>
      </c>
      <c r="AB167" s="3449">
        <v>8.8263570727915204E-9</v>
      </c>
      <c r="AC167" s="3449">
        <v>9.49435076863644E-5</v>
      </c>
      <c r="AD167" s="3449">
        <v>9.49435076863644E-5</v>
      </c>
      <c r="AE167" s="3449">
        <v>9.49435076863644E-5</v>
      </c>
      <c r="AF167" s="3432"/>
      <c r="AG167" s="3449">
        <v>1.5641287487026401E-5</v>
      </c>
      <c r="AH167" s="3449">
        <v>3.2079642287560699E-6</v>
      </c>
      <c r="AI167" s="3449">
        <v>3.2079642287560699E-6</v>
      </c>
      <c r="AJ167" s="3449">
        <v>3.2079642287560699E-6</v>
      </c>
      <c r="AK167" s="3432"/>
      <c r="AL167" s="3460">
        <v>1.0826082256215801E-4</v>
      </c>
      <c r="AM167" s="3432"/>
      <c r="AN167" s="3770">
        <v>7.1936092635659199E-2</v>
      </c>
      <c r="AO167" s="3426"/>
    </row>
    <row r="168" spans="1:41">
      <c r="A168" s="5047" t="s">
        <v>770</v>
      </c>
      <c r="B168" s="5048"/>
      <c r="C168" s="3454">
        <v>3.1774310125472001E-2</v>
      </c>
      <c r="D168" s="3432"/>
      <c r="E168" s="3447">
        <v>0</v>
      </c>
      <c r="F168" s="3732"/>
      <c r="G168" s="3447">
        <v>0</v>
      </c>
      <c r="H168" s="3447">
        <v>0</v>
      </c>
      <c r="I168" s="3447">
        <v>0</v>
      </c>
      <c r="J168" s="3419">
        <v>2.0102234694254401E-2</v>
      </c>
      <c r="K168" s="3432"/>
      <c r="L168" s="3432"/>
      <c r="M168" s="3447">
        <v>0</v>
      </c>
      <c r="N168" s="3432"/>
      <c r="O168" s="3454">
        <v>4.2429574297989998E-2</v>
      </c>
      <c r="P168" s="3432"/>
      <c r="Q168" s="3454">
        <v>3.3793625021475697E-2</v>
      </c>
      <c r="R168" s="3432"/>
      <c r="S168" s="3454">
        <v>4.2429574297989998E-2</v>
      </c>
      <c r="T168" s="3454">
        <v>4.9747380763885803E-2</v>
      </c>
      <c r="U168" s="3432"/>
      <c r="V168" s="3432"/>
      <c r="W168" s="3432"/>
      <c r="X168" s="3432"/>
      <c r="Y168" s="3454">
        <v>4.2429574297989998E-2</v>
      </c>
      <c r="Z168" s="3449">
        <v>2.26616394360086E-5</v>
      </c>
      <c r="AA168" s="3449">
        <v>2.26616394360086E-5</v>
      </c>
      <c r="AB168" s="3449">
        <v>2.26616394360086E-5</v>
      </c>
      <c r="AC168" s="3454">
        <v>5.6440220331433602E-2</v>
      </c>
      <c r="AD168" s="3454">
        <v>5.6440220331433602E-2</v>
      </c>
      <c r="AE168" s="3454">
        <v>5.6440220331433602E-2</v>
      </c>
      <c r="AF168" s="3432"/>
      <c r="AG168" s="3454">
        <v>4.96098010107602E-2</v>
      </c>
      <c r="AH168" s="3454">
        <v>1.3229719487334099E-2</v>
      </c>
      <c r="AI168" s="3454">
        <v>1.3229719487334099E-2</v>
      </c>
      <c r="AJ168" s="3454">
        <v>1.3229719487334099E-2</v>
      </c>
      <c r="AK168" s="3432"/>
      <c r="AL168" s="3454">
        <v>4.9719736768131302E-2</v>
      </c>
      <c r="AM168" s="3432"/>
      <c r="AN168" s="3769">
        <v>0.76189265997436495</v>
      </c>
      <c r="AO168" s="3426"/>
    </row>
    <row r="169" spans="1:41">
      <c r="A169" s="5047" t="s">
        <v>833</v>
      </c>
      <c r="B169" s="5048"/>
      <c r="C169" s="3454">
        <v>2.4609628451242999E-2</v>
      </c>
      <c r="D169" s="3432"/>
      <c r="E169" s="3447">
        <v>0</v>
      </c>
      <c r="F169" s="3732"/>
      <c r="G169" s="3447">
        <v>0</v>
      </c>
      <c r="H169" s="3447">
        <v>0</v>
      </c>
      <c r="I169" s="3447">
        <v>0</v>
      </c>
      <c r="J169" s="3419">
        <v>2.0102238240711199E-2</v>
      </c>
      <c r="K169" s="3432"/>
      <c r="L169" s="3432"/>
      <c r="M169" s="3447">
        <v>0</v>
      </c>
      <c r="N169" s="3432"/>
      <c r="O169" s="3454">
        <v>4.9004348224336303E-2</v>
      </c>
      <c r="P169" s="3432"/>
      <c r="Q169" s="3454">
        <v>4.5567599185400202E-2</v>
      </c>
      <c r="R169" s="3432"/>
      <c r="S169" s="3454">
        <v>4.9004348224336303E-2</v>
      </c>
      <c r="T169" s="3454">
        <v>6.6342265047632895E-2</v>
      </c>
      <c r="U169" s="3432"/>
      <c r="V169" s="3432"/>
      <c r="W169" s="3432"/>
      <c r="X169" s="3432"/>
      <c r="Y169" s="3454">
        <v>4.9004348224336303E-2</v>
      </c>
      <c r="Z169" s="3449">
        <v>1.1090922842487001E-8</v>
      </c>
      <c r="AA169" s="3449">
        <v>1.1090922842487001E-8</v>
      </c>
      <c r="AB169" s="3449">
        <v>1.1090922842487001E-8</v>
      </c>
      <c r="AC169" s="3454">
        <v>6.3851861800931595E-2</v>
      </c>
      <c r="AD169" s="3454">
        <v>6.3851861800931595E-2</v>
      </c>
      <c r="AE169" s="3454">
        <v>6.3851861800931595E-2</v>
      </c>
      <c r="AF169" s="3432"/>
      <c r="AG169" s="3454">
        <v>6.6702346107366695E-2</v>
      </c>
      <c r="AH169" s="3454">
        <v>1.44953576956882E-2</v>
      </c>
      <c r="AI169" s="3454">
        <v>1.44953576956882E-2</v>
      </c>
      <c r="AJ169" s="3454">
        <v>1.44953576956882E-2</v>
      </c>
      <c r="AK169" s="3432"/>
      <c r="AL169" s="3454">
        <v>6.6300967213468495E-2</v>
      </c>
      <c r="AM169" s="3432"/>
      <c r="AN169" s="3768">
        <v>2.0848639652726502</v>
      </c>
      <c r="AO169" s="3426"/>
    </row>
    <row r="170" spans="1:41">
      <c r="A170" s="5047" t="s">
        <v>834</v>
      </c>
      <c r="B170" s="5048"/>
      <c r="C170" s="3452">
        <v>5.1378508032556497E-3</v>
      </c>
      <c r="D170" s="3432"/>
      <c r="E170" s="3447">
        <v>0</v>
      </c>
      <c r="F170" s="3732"/>
      <c r="G170" s="3447">
        <v>0</v>
      </c>
      <c r="H170" s="3447">
        <v>0</v>
      </c>
      <c r="I170" s="3447">
        <v>0</v>
      </c>
      <c r="J170" s="3419">
        <v>1.00511191206416E-2</v>
      </c>
      <c r="K170" s="3432"/>
      <c r="L170" s="3432"/>
      <c r="M170" s="3447">
        <v>0</v>
      </c>
      <c r="N170" s="3432"/>
      <c r="O170" s="3454">
        <v>1.47630349321451E-2</v>
      </c>
      <c r="P170" s="3432"/>
      <c r="Q170" s="3454">
        <v>1.43929647797146E-2</v>
      </c>
      <c r="R170" s="3432"/>
      <c r="S170" s="3454">
        <v>1.47630349321451E-2</v>
      </c>
      <c r="T170" s="3454">
        <v>2.2298900955389299E-2</v>
      </c>
      <c r="U170" s="3432"/>
      <c r="V170" s="3432"/>
      <c r="W170" s="3432"/>
      <c r="X170" s="3432"/>
      <c r="Y170" s="3454">
        <v>1.47630349321451E-2</v>
      </c>
      <c r="Z170" s="3449">
        <v>3.6685440013823402E-10</v>
      </c>
      <c r="AA170" s="3449">
        <v>3.6685440013823402E-10</v>
      </c>
      <c r="AB170" s="3449">
        <v>3.6685440013823402E-10</v>
      </c>
      <c r="AC170" s="3454">
        <v>2.0245419158186201E-2</v>
      </c>
      <c r="AD170" s="3454">
        <v>2.0245419158186201E-2</v>
      </c>
      <c r="AE170" s="3454">
        <v>2.0245419158186201E-2</v>
      </c>
      <c r="AF170" s="3432"/>
      <c r="AG170" s="3454">
        <v>2.2527279015701701E-2</v>
      </c>
      <c r="AH170" s="3452">
        <v>4.4422288332117404E-3</v>
      </c>
      <c r="AI170" s="3452">
        <v>4.4422288332117404E-3</v>
      </c>
      <c r="AJ170" s="3452">
        <v>4.4422288332117404E-3</v>
      </c>
      <c r="AK170" s="3432"/>
      <c r="AL170" s="3454">
        <v>2.2283749502782599E-2</v>
      </c>
      <c r="AM170" s="3432"/>
      <c r="AN170" s="3768">
        <v>1.6602239883651899</v>
      </c>
      <c r="AO170" s="3426"/>
    </row>
    <row r="171" spans="1:41">
      <c r="A171" s="5047" t="s">
        <v>752</v>
      </c>
      <c r="B171" s="5048"/>
      <c r="C171" s="3449">
        <v>1.15514185825631E-6</v>
      </c>
      <c r="D171" s="3432"/>
      <c r="E171" s="3447">
        <v>0</v>
      </c>
      <c r="F171" s="3732"/>
      <c r="G171" s="3447">
        <v>0</v>
      </c>
      <c r="H171" s="3447">
        <v>0</v>
      </c>
      <c r="I171" s="3447">
        <v>0</v>
      </c>
      <c r="J171" s="3411">
        <v>0</v>
      </c>
      <c r="K171" s="3432"/>
      <c r="L171" s="3432"/>
      <c r="M171" s="3447">
        <v>0</v>
      </c>
      <c r="N171" s="3432"/>
      <c r="O171" s="3449">
        <v>6.3706188016771202E-6</v>
      </c>
      <c r="P171" s="3432"/>
      <c r="Q171" s="3449">
        <v>8.5682199464143496E-6</v>
      </c>
      <c r="R171" s="3432"/>
      <c r="S171" s="3449">
        <v>6.3706188016771202E-6</v>
      </c>
      <c r="T171" s="3449">
        <v>1.3926259402452801E-5</v>
      </c>
      <c r="U171" s="3432"/>
      <c r="V171" s="3432"/>
      <c r="W171" s="3432"/>
      <c r="X171" s="3432"/>
      <c r="Y171" s="3449">
        <v>6.3706188016771202E-6</v>
      </c>
      <c r="Z171" s="3449">
        <v>4.0489200042985799E-15</v>
      </c>
      <c r="AA171" s="3449">
        <v>4.0489200042985799E-15</v>
      </c>
      <c r="AB171" s="3449">
        <v>4.0489200042985799E-15</v>
      </c>
      <c r="AC171" s="3449">
        <v>8.2669526281847492E-6</v>
      </c>
      <c r="AD171" s="3449">
        <v>8.2669526281847492E-6</v>
      </c>
      <c r="AE171" s="3449">
        <v>8.2669526281847492E-6</v>
      </c>
      <c r="AF171" s="3432"/>
      <c r="AG171" s="3449">
        <v>1.4114635475028001E-5</v>
      </c>
      <c r="AH171" s="3449">
        <v>1.33239815389618E-6</v>
      </c>
      <c r="AI171" s="3449">
        <v>1.33239815389618E-6</v>
      </c>
      <c r="AJ171" s="3449">
        <v>1.33239815389618E-6</v>
      </c>
      <c r="AK171" s="3432"/>
      <c r="AL171" s="3449">
        <v>1.39100331041089E-5</v>
      </c>
      <c r="AM171" s="3432"/>
      <c r="AN171" s="3771">
        <v>5.6043882575016399E-3</v>
      </c>
      <c r="AO171" s="3426"/>
    </row>
    <row r="172" spans="1:41" ht="13" thickBot="1">
      <c r="A172" s="5049" t="s">
        <v>58</v>
      </c>
      <c r="B172" s="5050"/>
      <c r="C172" s="3431" t="s">
        <v>296</v>
      </c>
      <c r="D172" s="3433" t="s">
        <v>296</v>
      </c>
      <c r="E172" s="3433" t="s">
        <v>296</v>
      </c>
      <c r="F172" s="3733" t="s">
        <v>296</v>
      </c>
      <c r="G172" s="3433" t="s">
        <v>296</v>
      </c>
      <c r="H172" s="3433" t="s">
        <v>296</v>
      </c>
      <c r="I172" s="3433" t="s">
        <v>296</v>
      </c>
      <c r="J172" s="3418" t="s">
        <v>296</v>
      </c>
      <c r="K172" s="3433" t="s">
        <v>296</v>
      </c>
      <c r="L172" s="3433" t="s">
        <v>296</v>
      </c>
      <c r="M172" s="3433" t="s">
        <v>296</v>
      </c>
      <c r="N172" s="3433" t="s">
        <v>296</v>
      </c>
      <c r="O172" s="3433" t="s">
        <v>296</v>
      </c>
      <c r="P172" s="3433" t="s">
        <v>296</v>
      </c>
      <c r="Q172" s="3433" t="s">
        <v>296</v>
      </c>
      <c r="R172" s="3433" t="s">
        <v>296</v>
      </c>
      <c r="S172" s="3433" t="s">
        <v>296</v>
      </c>
      <c r="T172" s="3433" t="s">
        <v>296</v>
      </c>
      <c r="U172" s="3433" t="s">
        <v>296</v>
      </c>
      <c r="V172" s="3433" t="s">
        <v>296</v>
      </c>
      <c r="W172" s="3433" t="s">
        <v>296</v>
      </c>
      <c r="X172" s="3433" t="s">
        <v>296</v>
      </c>
      <c r="Y172" s="3433" t="s">
        <v>296</v>
      </c>
      <c r="Z172" s="3433" t="s">
        <v>296</v>
      </c>
      <c r="AA172" s="3433" t="s">
        <v>296</v>
      </c>
      <c r="AB172" s="3433" t="s">
        <v>296</v>
      </c>
      <c r="AC172" s="3433" t="s">
        <v>296</v>
      </c>
      <c r="AD172" s="3433" t="s">
        <v>296</v>
      </c>
      <c r="AE172" s="3433" t="s">
        <v>296</v>
      </c>
      <c r="AF172" s="3433" t="s">
        <v>296</v>
      </c>
      <c r="AG172" s="3433" t="s">
        <v>296</v>
      </c>
      <c r="AH172" s="3433" t="s">
        <v>296</v>
      </c>
      <c r="AI172" s="3433" t="s">
        <v>296</v>
      </c>
      <c r="AJ172" s="3433" t="s">
        <v>296</v>
      </c>
      <c r="AK172" s="3433" t="s">
        <v>296</v>
      </c>
      <c r="AL172" s="3433" t="s">
        <v>296</v>
      </c>
      <c r="AM172" s="3433" t="s">
        <v>296</v>
      </c>
      <c r="AN172" s="3765" t="s">
        <v>296</v>
      </c>
      <c r="AO172" s="3426"/>
    </row>
    <row r="173" spans="1:41" ht="13" thickTop="1">
      <c r="A173" s="5051" t="s">
        <v>298</v>
      </c>
      <c r="B173" s="5052"/>
      <c r="C173" s="3451">
        <v>0.74206192847591101</v>
      </c>
      <c r="D173" s="3432"/>
      <c r="E173" s="3447">
        <v>0</v>
      </c>
      <c r="F173" s="3732"/>
      <c r="G173" s="3447">
        <v>0</v>
      </c>
      <c r="H173" s="3447">
        <v>0</v>
      </c>
      <c r="I173" s="3447">
        <v>0</v>
      </c>
      <c r="J173" s="3422">
        <v>8.5526243807498292E-3</v>
      </c>
      <c r="K173" s="3432"/>
      <c r="L173" s="3432"/>
      <c r="M173" s="3447">
        <v>0</v>
      </c>
      <c r="N173" s="3432"/>
      <c r="O173" s="3449">
        <v>2.3277287556711099E-5</v>
      </c>
      <c r="P173" s="3432"/>
      <c r="Q173" s="3454">
        <v>4.3938496337417997E-2</v>
      </c>
      <c r="R173" s="3432"/>
      <c r="S173" s="3449">
        <v>2.3277287556711099E-5</v>
      </c>
      <c r="T173" s="3453">
        <v>1.7501505590112301</v>
      </c>
      <c r="U173" s="3432"/>
      <c r="V173" s="3432"/>
      <c r="W173" s="3432"/>
      <c r="X173" s="3432"/>
      <c r="Y173" s="3449">
        <v>2.3277287556711099E-5</v>
      </c>
      <c r="Z173" s="3455">
        <v>98.462835969141395</v>
      </c>
      <c r="AA173" s="3455">
        <v>98.462835969141395</v>
      </c>
      <c r="AB173" s="3455">
        <v>98.462835969141395</v>
      </c>
      <c r="AC173" s="3452">
        <v>1.2505903154513001E-3</v>
      </c>
      <c r="AD173" s="3452">
        <v>1.2505903154513001E-3</v>
      </c>
      <c r="AE173" s="3452">
        <v>1.2505903154513001E-3</v>
      </c>
      <c r="AF173" s="3432"/>
      <c r="AG173" s="3453">
        <v>1.98186961157542</v>
      </c>
      <c r="AH173" s="3455">
        <v>42.484405526293799</v>
      </c>
      <c r="AI173" s="3455">
        <v>42.484405526293799</v>
      </c>
      <c r="AJ173" s="3455">
        <v>42.484405526293799</v>
      </c>
      <c r="AK173" s="3432"/>
      <c r="AL173" s="3453">
        <v>1.7515301033250099</v>
      </c>
      <c r="AM173" s="3432"/>
      <c r="AN173" s="3766">
        <v>0</v>
      </c>
      <c r="AO173" s="3426"/>
    </row>
    <row r="174" spans="1:41">
      <c r="A174" s="5047" t="s">
        <v>5</v>
      </c>
      <c r="B174" s="5048"/>
      <c r="C174" s="3447">
        <v>0</v>
      </c>
      <c r="D174" s="3432"/>
      <c r="E174" s="3449">
        <v>1.8026388323903201E-5</v>
      </c>
      <c r="F174" s="3732"/>
      <c r="G174" s="3449">
        <v>7.5408201780973299E-5</v>
      </c>
      <c r="H174" s="3449">
        <v>1.80263883166926E-5</v>
      </c>
      <c r="I174" s="3449">
        <v>1.80263883166926E-5</v>
      </c>
      <c r="J174" s="3411">
        <v>0</v>
      </c>
      <c r="K174" s="3432"/>
      <c r="L174" s="3432"/>
      <c r="M174" s="3449">
        <v>1.80263883166926E-5</v>
      </c>
      <c r="N174" s="3432"/>
      <c r="O174" s="3447">
        <v>0</v>
      </c>
      <c r="P174" s="3432"/>
      <c r="Q174" s="3447">
        <v>0</v>
      </c>
      <c r="R174" s="3432"/>
      <c r="S174" s="3447">
        <v>0</v>
      </c>
      <c r="T174" s="3447">
        <v>0</v>
      </c>
      <c r="U174" s="3432"/>
      <c r="V174" s="3432"/>
      <c r="W174" s="3432"/>
      <c r="X174" s="3432"/>
      <c r="Y174" s="3447">
        <v>0</v>
      </c>
      <c r="Z174" s="3447">
        <v>0</v>
      </c>
      <c r="AA174" s="3447">
        <v>0</v>
      </c>
      <c r="AB174" s="3447">
        <v>0</v>
      </c>
      <c r="AC174" s="3447">
        <v>0</v>
      </c>
      <c r="AD174" s="3447">
        <v>0</v>
      </c>
      <c r="AE174" s="3447">
        <v>0</v>
      </c>
      <c r="AF174" s="3432"/>
      <c r="AG174" s="3447">
        <v>0</v>
      </c>
      <c r="AH174" s="3447">
        <v>0</v>
      </c>
      <c r="AI174" s="3447">
        <v>0</v>
      </c>
      <c r="AJ174" s="3447">
        <v>0</v>
      </c>
      <c r="AK174" s="3432"/>
      <c r="AL174" s="3447">
        <v>0</v>
      </c>
      <c r="AM174" s="3432"/>
      <c r="AN174" s="3766">
        <v>0</v>
      </c>
      <c r="AO174" s="3426"/>
    </row>
    <row r="175" spans="1:41">
      <c r="A175" s="5047" t="s">
        <v>832</v>
      </c>
      <c r="B175" s="5048"/>
      <c r="C175" s="3447">
        <v>0</v>
      </c>
      <c r="D175" s="3432"/>
      <c r="E175" s="3453">
        <v>1.3483574842610899</v>
      </c>
      <c r="F175" s="3732"/>
      <c r="G175" s="3453">
        <v>1.03675738621629</v>
      </c>
      <c r="H175" s="3453">
        <v>1.3483574842610899</v>
      </c>
      <c r="I175" s="3453">
        <v>1.3483574842610899</v>
      </c>
      <c r="J175" s="3411">
        <v>0</v>
      </c>
      <c r="K175" s="3432"/>
      <c r="L175" s="3432"/>
      <c r="M175" s="3453">
        <v>1.3483574842610899</v>
      </c>
      <c r="N175" s="3432"/>
      <c r="O175" s="3449">
        <v>1.3165991543582401E-5</v>
      </c>
      <c r="P175" s="3432"/>
      <c r="Q175" s="3460">
        <v>9.14040376361616E-4</v>
      </c>
      <c r="R175" s="3432"/>
      <c r="S175" s="3449">
        <v>1.3165991543582401E-5</v>
      </c>
      <c r="T175" s="3447">
        <v>0</v>
      </c>
      <c r="U175" s="3432"/>
      <c r="V175" s="3432"/>
      <c r="W175" s="3432"/>
      <c r="X175" s="3432"/>
      <c r="Y175" s="3449">
        <v>1.3165991543582401E-5</v>
      </c>
      <c r="Z175" s="3447">
        <v>0</v>
      </c>
      <c r="AA175" s="3447">
        <v>0</v>
      </c>
      <c r="AB175" s="3447">
        <v>0</v>
      </c>
      <c r="AC175" s="3447">
        <v>0</v>
      </c>
      <c r="AD175" s="3447">
        <v>0</v>
      </c>
      <c r="AE175" s="3447">
        <v>0</v>
      </c>
      <c r="AF175" s="3432"/>
      <c r="AG175" s="3447">
        <v>0</v>
      </c>
      <c r="AH175" s="3447">
        <v>0</v>
      </c>
      <c r="AI175" s="3447">
        <v>0</v>
      </c>
      <c r="AJ175" s="3447">
        <v>0</v>
      </c>
      <c r="AK175" s="3432"/>
      <c r="AL175" s="3447">
        <v>0</v>
      </c>
      <c r="AM175" s="3432"/>
      <c r="AN175" s="3766">
        <v>0</v>
      </c>
      <c r="AO175" s="3426"/>
    </row>
    <row r="176" spans="1:41">
      <c r="A176" s="5047" t="s">
        <v>3</v>
      </c>
      <c r="B176" s="5048"/>
      <c r="C176" s="3454">
        <v>4.1898428868766102E-2</v>
      </c>
      <c r="D176" s="3432"/>
      <c r="E176" s="3447">
        <v>0</v>
      </c>
      <c r="F176" s="3732"/>
      <c r="G176" s="3451">
        <v>0.33888287277253998</v>
      </c>
      <c r="H176" s="3447">
        <v>0</v>
      </c>
      <c r="I176" s="3447">
        <v>0</v>
      </c>
      <c r="J176" s="3419">
        <v>4.8404446411808098E-2</v>
      </c>
      <c r="K176" s="3432"/>
      <c r="L176" s="3432"/>
      <c r="M176" s="3447">
        <v>0</v>
      </c>
      <c r="N176" s="3432"/>
      <c r="O176" s="3454">
        <v>1.8059747101874E-2</v>
      </c>
      <c r="P176" s="3432"/>
      <c r="Q176" s="3454">
        <v>3.8590987197617603E-2</v>
      </c>
      <c r="R176" s="3432"/>
      <c r="S176" s="3454">
        <v>1.8059747101874E-2</v>
      </c>
      <c r="T176" s="3452">
        <v>2.7960996280024298E-3</v>
      </c>
      <c r="U176" s="3432"/>
      <c r="V176" s="3432"/>
      <c r="W176" s="3432"/>
      <c r="X176" s="3432"/>
      <c r="Y176" s="3454">
        <v>1.8059747101874E-2</v>
      </c>
      <c r="Z176" s="3447">
        <v>0</v>
      </c>
      <c r="AA176" s="3447">
        <v>0</v>
      </c>
      <c r="AB176" s="3447">
        <v>0</v>
      </c>
      <c r="AC176" s="3452">
        <v>1.8194275034005599E-3</v>
      </c>
      <c r="AD176" s="3452">
        <v>1.8194275034005599E-3</v>
      </c>
      <c r="AE176" s="3452">
        <v>1.8194275034005599E-3</v>
      </c>
      <c r="AF176" s="3432"/>
      <c r="AG176" s="3447">
        <v>0</v>
      </c>
      <c r="AH176" s="3447">
        <v>0</v>
      </c>
      <c r="AI176" s="3447">
        <v>0</v>
      </c>
      <c r="AJ176" s="3447">
        <v>0</v>
      </c>
      <c r="AK176" s="3432"/>
      <c r="AL176" s="3452">
        <v>2.7997395839844301E-3</v>
      </c>
      <c r="AM176" s="3432"/>
      <c r="AN176" s="3766">
        <v>0</v>
      </c>
      <c r="AO176" s="3426"/>
    </row>
    <row r="177" spans="1:41">
      <c r="A177" s="5047" t="s">
        <v>6</v>
      </c>
      <c r="B177" s="5048"/>
      <c r="C177" s="3451">
        <v>0.52275813138153804</v>
      </c>
      <c r="D177" s="3432"/>
      <c r="E177" s="3455">
        <v>67.348074034834099</v>
      </c>
      <c r="F177" s="3732"/>
      <c r="G177" s="3455">
        <v>51.165103328360601</v>
      </c>
      <c r="H177" s="3455">
        <v>67.348074034834099</v>
      </c>
      <c r="I177" s="3455">
        <v>67.348074034834099</v>
      </c>
      <c r="J177" s="3422">
        <v>7.0590077467445602E-3</v>
      </c>
      <c r="K177" s="3432"/>
      <c r="L177" s="3432"/>
      <c r="M177" s="3455">
        <v>67.348074034834099</v>
      </c>
      <c r="N177" s="3432"/>
      <c r="O177" s="3454">
        <v>3.8650000892088698E-2</v>
      </c>
      <c r="P177" s="3432"/>
      <c r="Q177" s="3451">
        <v>0.508545918612063</v>
      </c>
      <c r="R177" s="3432"/>
      <c r="S177" s="3454">
        <v>3.8650000892088698E-2</v>
      </c>
      <c r="T177" s="3454">
        <v>3.73943650945621E-2</v>
      </c>
      <c r="U177" s="3432"/>
      <c r="V177" s="3432"/>
      <c r="W177" s="3432"/>
      <c r="X177" s="3432"/>
      <c r="Y177" s="3454">
        <v>3.8650000892088698E-2</v>
      </c>
      <c r="Z177" s="3447">
        <v>0</v>
      </c>
      <c r="AA177" s="3447">
        <v>0</v>
      </c>
      <c r="AB177" s="3447">
        <v>0</v>
      </c>
      <c r="AC177" s="3452">
        <v>4.8668055201895304E-3</v>
      </c>
      <c r="AD177" s="3452">
        <v>4.8668055201895304E-3</v>
      </c>
      <c r="AE177" s="3452">
        <v>4.8668055201895304E-3</v>
      </c>
      <c r="AF177" s="3432"/>
      <c r="AG177" s="3447">
        <v>0</v>
      </c>
      <c r="AH177" s="3447">
        <v>0</v>
      </c>
      <c r="AI177" s="3447">
        <v>0</v>
      </c>
      <c r="AJ177" s="3447">
        <v>0</v>
      </c>
      <c r="AK177" s="3432"/>
      <c r="AL177" s="3454">
        <v>3.7493478095137298E-2</v>
      </c>
      <c r="AM177" s="3432"/>
      <c r="AN177" s="3766">
        <v>0</v>
      </c>
      <c r="AO177" s="3426"/>
    </row>
    <row r="178" spans="1:41">
      <c r="A178" s="5047" t="s">
        <v>7</v>
      </c>
      <c r="B178" s="5048"/>
      <c r="C178" s="3453">
        <v>4.6614538118079798</v>
      </c>
      <c r="D178" s="3432"/>
      <c r="E178" s="3455">
        <v>26.942060313740502</v>
      </c>
      <c r="F178" s="3732"/>
      <c r="G178" s="3455">
        <v>20.6081847848039</v>
      </c>
      <c r="H178" s="3455">
        <v>26.942060313740502</v>
      </c>
      <c r="I178" s="3455">
        <v>26.942060313740502</v>
      </c>
      <c r="J178" s="3413">
        <v>9.9233998157702992</v>
      </c>
      <c r="K178" s="3432"/>
      <c r="L178" s="3432"/>
      <c r="M178" s="3455">
        <v>26.942060313740502</v>
      </c>
      <c r="N178" s="3432"/>
      <c r="O178" s="3455">
        <v>10.7945189358403</v>
      </c>
      <c r="P178" s="3432"/>
      <c r="Q178" s="3455">
        <v>11.5090447325583</v>
      </c>
      <c r="R178" s="3432"/>
      <c r="S178" s="3455">
        <v>10.7945189358403</v>
      </c>
      <c r="T178" s="3455">
        <v>10.1779500902524</v>
      </c>
      <c r="U178" s="3432"/>
      <c r="V178" s="3432"/>
      <c r="W178" s="3432"/>
      <c r="X178" s="3432"/>
      <c r="Y178" s="3455">
        <v>10.7945189358403</v>
      </c>
      <c r="Z178" s="3451">
        <v>0.94764685759696599</v>
      </c>
      <c r="AA178" s="3451">
        <v>0.94764685759696599</v>
      </c>
      <c r="AB178" s="3451">
        <v>0.94764685759696599</v>
      </c>
      <c r="AC178" s="3455">
        <v>11.267730686660901</v>
      </c>
      <c r="AD178" s="3455">
        <v>11.267730686660901</v>
      </c>
      <c r="AE178" s="3455">
        <v>11.267730686660901</v>
      </c>
      <c r="AF178" s="3432"/>
      <c r="AG178" s="3455">
        <v>11.183019613970901</v>
      </c>
      <c r="AH178" s="3455">
        <v>10.1648508026068</v>
      </c>
      <c r="AI178" s="3455">
        <v>10.1648508026068</v>
      </c>
      <c r="AJ178" s="3455">
        <v>10.1648508026068</v>
      </c>
      <c r="AK178" s="3432"/>
      <c r="AL178" s="3455">
        <v>10.1841598398088</v>
      </c>
      <c r="AM178" s="3432"/>
      <c r="AN178" s="3768">
        <v>6.6307018090537104</v>
      </c>
      <c r="AO178" s="3426"/>
    </row>
    <row r="179" spans="1:41">
      <c r="A179" s="5047" t="s">
        <v>8</v>
      </c>
      <c r="B179" s="5048"/>
      <c r="C179" s="3455">
        <v>45.936059739270803</v>
      </c>
      <c r="D179" s="3432"/>
      <c r="E179" s="3453">
        <v>4.3614901407759996</v>
      </c>
      <c r="F179" s="3732"/>
      <c r="G179" s="3455">
        <v>16.412047712066901</v>
      </c>
      <c r="H179" s="3453">
        <v>4.3614901407759996</v>
      </c>
      <c r="I179" s="3453">
        <v>4.3614901407759996</v>
      </c>
      <c r="J179" s="3412">
        <v>62.973622437159399</v>
      </c>
      <c r="K179" s="3432"/>
      <c r="L179" s="3432"/>
      <c r="M179" s="3453">
        <v>4.3614901407759996</v>
      </c>
      <c r="N179" s="3432"/>
      <c r="O179" s="3455">
        <v>39.189079670155799</v>
      </c>
      <c r="P179" s="3432"/>
      <c r="Q179" s="3455">
        <v>39.293987246797698</v>
      </c>
      <c r="R179" s="3432"/>
      <c r="S179" s="3455">
        <v>39.189079670155799</v>
      </c>
      <c r="T179" s="3455">
        <v>34.751099538093797</v>
      </c>
      <c r="U179" s="3432"/>
      <c r="V179" s="3432"/>
      <c r="W179" s="3432"/>
      <c r="X179" s="3432"/>
      <c r="Y179" s="3455">
        <v>39.189079670155799</v>
      </c>
      <c r="Z179" s="3451">
        <v>0.46479430438004699</v>
      </c>
      <c r="AA179" s="3451">
        <v>0.46479430438004699</v>
      </c>
      <c r="AB179" s="3451">
        <v>0.46479430438004599</v>
      </c>
      <c r="AC179" s="3455">
        <v>35.794978491197398</v>
      </c>
      <c r="AD179" s="3455">
        <v>35.794978491197398</v>
      </c>
      <c r="AE179" s="3455">
        <v>35.794978491197398</v>
      </c>
      <c r="AF179" s="3432"/>
      <c r="AG179" s="3455">
        <v>34.082818972069802</v>
      </c>
      <c r="AH179" s="3455">
        <v>21.236317019177701</v>
      </c>
      <c r="AI179" s="3455">
        <v>21.236317019177701</v>
      </c>
      <c r="AJ179" s="3455">
        <v>21.236317019177701</v>
      </c>
      <c r="AK179" s="3432"/>
      <c r="AL179" s="3455">
        <v>34.753918832639997</v>
      </c>
      <c r="AM179" s="3432"/>
      <c r="AN179" s="3767">
        <v>11.3217747573891</v>
      </c>
      <c r="AO179" s="3426"/>
    </row>
    <row r="180" spans="1:41">
      <c r="A180" s="5047" t="s">
        <v>66</v>
      </c>
      <c r="B180" s="5048"/>
      <c r="C180" s="3455">
        <v>10.441633434655801</v>
      </c>
      <c r="D180" s="3432"/>
      <c r="E180" s="3447">
        <v>0</v>
      </c>
      <c r="F180" s="3732"/>
      <c r="G180" s="3453">
        <v>2.4716399056440999</v>
      </c>
      <c r="H180" s="3447">
        <v>0</v>
      </c>
      <c r="I180" s="3447">
        <v>0</v>
      </c>
      <c r="J180" s="3413">
        <v>7.5191944437060201</v>
      </c>
      <c r="K180" s="3432"/>
      <c r="L180" s="3432"/>
      <c r="M180" s="3447">
        <v>0</v>
      </c>
      <c r="N180" s="3432"/>
      <c r="O180" s="3453">
        <v>8.9333692126135205</v>
      </c>
      <c r="P180" s="3432"/>
      <c r="Q180" s="3453">
        <v>8.7854282831122106</v>
      </c>
      <c r="R180" s="3432"/>
      <c r="S180" s="3453">
        <v>8.9333692126135205</v>
      </c>
      <c r="T180" s="3453">
        <v>8.5338830820530998</v>
      </c>
      <c r="U180" s="3432"/>
      <c r="V180" s="3432"/>
      <c r="W180" s="3432"/>
      <c r="X180" s="3432"/>
      <c r="Y180" s="3453">
        <v>8.9333692126135205</v>
      </c>
      <c r="Z180" s="3454">
        <v>2.7115014947809098E-2</v>
      </c>
      <c r="AA180" s="3454">
        <v>2.7115014947809098E-2</v>
      </c>
      <c r="AB180" s="3454">
        <v>2.7115014947809098E-2</v>
      </c>
      <c r="AC180" s="3453">
        <v>8.5462375866921398</v>
      </c>
      <c r="AD180" s="3453">
        <v>8.5462375866921398</v>
      </c>
      <c r="AE180" s="3453">
        <v>8.5462375866921505</v>
      </c>
      <c r="AF180" s="3432"/>
      <c r="AG180" s="3453">
        <v>8.32975867792182</v>
      </c>
      <c r="AH180" s="3453">
        <v>4.4734525753216996</v>
      </c>
      <c r="AI180" s="3453">
        <v>4.4734525753216996</v>
      </c>
      <c r="AJ180" s="3453">
        <v>4.4734525753216996</v>
      </c>
      <c r="AK180" s="3432"/>
      <c r="AL180" s="3453">
        <v>8.5331022840652793</v>
      </c>
      <c r="AM180" s="3432"/>
      <c r="AN180" s="3768">
        <v>6.8680028194947296</v>
      </c>
      <c r="AO180" s="3426"/>
    </row>
    <row r="181" spans="1:41">
      <c r="A181" s="5047" t="s">
        <v>359</v>
      </c>
      <c r="B181" s="5048"/>
      <c r="C181" s="3455">
        <v>19.6900043053089</v>
      </c>
      <c r="D181" s="3432"/>
      <c r="E181" s="3447">
        <v>0</v>
      </c>
      <c r="F181" s="3732"/>
      <c r="G181" s="3453">
        <v>5.5001103087938601</v>
      </c>
      <c r="H181" s="3447">
        <v>0</v>
      </c>
      <c r="I181" s="3447">
        <v>0</v>
      </c>
      <c r="J181" s="3412">
        <v>11.7519387848526</v>
      </c>
      <c r="K181" s="3432"/>
      <c r="L181" s="3432"/>
      <c r="M181" s="3447">
        <v>0</v>
      </c>
      <c r="N181" s="3432"/>
      <c r="O181" s="3455">
        <v>22.0786502070303</v>
      </c>
      <c r="P181" s="3432"/>
      <c r="Q181" s="3455">
        <v>21.1763615512276</v>
      </c>
      <c r="R181" s="3432"/>
      <c r="S181" s="3455">
        <v>22.0786502070303</v>
      </c>
      <c r="T181" s="3455">
        <v>20.430387994929301</v>
      </c>
      <c r="U181" s="3432"/>
      <c r="V181" s="3432"/>
      <c r="W181" s="3432"/>
      <c r="X181" s="3432"/>
      <c r="Y181" s="3455">
        <v>22.0786502070303</v>
      </c>
      <c r="Z181" s="3454">
        <v>6.5716151301210404E-2</v>
      </c>
      <c r="AA181" s="3454">
        <v>6.5716151301210404E-2</v>
      </c>
      <c r="AB181" s="3454">
        <v>6.5716151301210404E-2</v>
      </c>
      <c r="AC181" s="3455">
        <v>20.8048424245037</v>
      </c>
      <c r="AD181" s="3455">
        <v>20.8048424245037</v>
      </c>
      <c r="AE181" s="3455">
        <v>20.8048424245037</v>
      </c>
      <c r="AF181" s="3432"/>
      <c r="AG181" s="3455">
        <v>20.156137509438</v>
      </c>
      <c r="AH181" s="3455">
        <v>10.6345616197454</v>
      </c>
      <c r="AI181" s="3455">
        <v>10.6345616197454</v>
      </c>
      <c r="AJ181" s="3455">
        <v>10.6345616197454</v>
      </c>
      <c r="AK181" s="3432"/>
      <c r="AL181" s="3455">
        <v>20.427613972902801</v>
      </c>
      <c r="AM181" s="3432"/>
      <c r="AN181" s="3767">
        <v>19.161463818187801</v>
      </c>
      <c r="AO181" s="3426"/>
    </row>
    <row r="182" spans="1:41">
      <c r="A182" s="5047" t="s">
        <v>68</v>
      </c>
      <c r="B182" s="5048"/>
      <c r="C182" s="3453">
        <v>4.6970792072438901</v>
      </c>
      <c r="D182" s="3432"/>
      <c r="E182" s="3447">
        <v>0</v>
      </c>
      <c r="F182" s="3732"/>
      <c r="G182" s="3453">
        <v>1.0495728653199199</v>
      </c>
      <c r="H182" s="3447">
        <v>0</v>
      </c>
      <c r="I182" s="3447">
        <v>0</v>
      </c>
      <c r="J182" s="3413">
        <v>1.98422561355197</v>
      </c>
      <c r="K182" s="3432"/>
      <c r="L182" s="3432"/>
      <c r="M182" s="3447">
        <v>0</v>
      </c>
      <c r="N182" s="3432"/>
      <c r="O182" s="3453">
        <v>5.5312428812439203</v>
      </c>
      <c r="P182" s="3432"/>
      <c r="Q182" s="3453">
        <v>5.1732734248393397</v>
      </c>
      <c r="R182" s="3432"/>
      <c r="S182" s="3453">
        <v>5.5312428812439203</v>
      </c>
      <c r="T182" s="3453">
        <v>6.2481909354074299</v>
      </c>
      <c r="U182" s="3432"/>
      <c r="V182" s="3432"/>
      <c r="W182" s="3432"/>
      <c r="X182" s="3432"/>
      <c r="Y182" s="3453">
        <v>5.5312428812439203</v>
      </c>
      <c r="Z182" s="3452">
        <v>5.15259330673065E-3</v>
      </c>
      <c r="AA182" s="3452">
        <v>5.15259330673065E-3</v>
      </c>
      <c r="AB182" s="3452">
        <v>5.15259330673065E-3</v>
      </c>
      <c r="AC182" s="3453">
        <v>6.3652404033240702</v>
      </c>
      <c r="AD182" s="3453">
        <v>6.3652404033240702</v>
      </c>
      <c r="AE182" s="3453">
        <v>6.3652404033240702</v>
      </c>
      <c r="AF182" s="3432"/>
      <c r="AG182" s="3453">
        <v>6.2253711265880201</v>
      </c>
      <c r="AH182" s="3453">
        <v>3.0922834733354998</v>
      </c>
      <c r="AI182" s="3453">
        <v>3.0922834733354998</v>
      </c>
      <c r="AJ182" s="3453">
        <v>3.0922834733354998</v>
      </c>
      <c r="AK182" s="3432"/>
      <c r="AL182" s="3453">
        <v>6.2468102602134099</v>
      </c>
      <c r="AM182" s="3432"/>
      <c r="AN182" s="3768">
        <v>8.19435404469208</v>
      </c>
      <c r="AO182" s="3426"/>
    </row>
    <row r="183" spans="1:41">
      <c r="A183" s="5047" t="s">
        <v>669</v>
      </c>
      <c r="B183" s="5048"/>
      <c r="C183" s="3453">
        <v>4.7496983396804797</v>
      </c>
      <c r="D183" s="3432"/>
      <c r="E183" s="3447">
        <v>0</v>
      </c>
      <c r="F183" s="3732"/>
      <c r="G183" s="3451">
        <v>0.91765414459796402</v>
      </c>
      <c r="H183" s="3447">
        <v>0</v>
      </c>
      <c r="I183" s="3447">
        <v>0</v>
      </c>
      <c r="J183" s="3413">
        <v>1.90485669948648</v>
      </c>
      <c r="K183" s="3432"/>
      <c r="L183" s="3432"/>
      <c r="M183" s="3447">
        <v>0</v>
      </c>
      <c r="N183" s="3432"/>
      <c r="O183" s="3453">
        <v>5.4931813920091797</v>
      </c>
      <c r="P183" s="3432"/>
      <c r="Q183" s="3453">
        <v>5.1769064278881798</v>
      </c>
      <c r="R183" s="3432"/>
      <c r="S183" s="3453">
        <v>5.4931813920091797</v>
      </c>
      <c r="T183" s="3453">
        <v>6.41003530145864</v>
      </c>
      <c r="U183" s="3432"/>
      <c r="V183" s="3432"/>
      <c r="W183" s="3432"/>
      <c r="X183" s="3432"/>
      <c r="Y183" s="3453">
        <v>5.4931813920091797</v>
      </c>
      <c r="Z183" s="3452">
        <v>1.7887162357104901E-3</v>
      </c>
      <c r="AA183" s="3452">
        <v>1.7887162357104901E-3</v>
      </c>
      <c r="AB183" s="3452">
        <v>1.7887162357104901E-3</v>
      </c>
      <c r="AC183" s="3453">
        <v>6.45139026646219</v>
      </c>
      <c r="AD183" s="3453">
        <v>6.45139026646219</v>
      </c>
      <c r="AE183" s="3453">
        <v>6.45139026646219</v>
      </c>
      <c r="AF183" s="3432"/>
      <c r="AG183" s="3453">
        <v>6.3901233554500196</v>
      </c>
      <c r="AH183" s="3453">
        <v>3.0833012024030202</v>
      </c>
      <c r="AI183" s="3453">
        <v>3.0833012024030202</v>
      </c>
      <c r="AJ183" s="3453">
        <v>3.0833012024030202</v>
      </c>
      <c r="AK183" s="3432"/>
      <c r="AL183" s="3453">
        <v>6.4084682681431397</v>
      </c>
      <c r="AM183" s="3432"/>
      <c r="AN183" s="3768">
        <v>9.2335929970984196</v>
      </c>
      <c r="AO183" s="3426"/>
    </row>
    <row r="184" spans="1:41">
      <c r="A184" s="5047" t="s">
        <v>99</v>
      </c>
      <c r="B184" s="5048"/>
      <c r="C184" s="3447">
        <v>0</v>
      </c>
      <c r="D184" s="3432"/>
      <c r="E184" s="3447">
        <v>0</v>
      </c>
      <c r="F184" s="3732"/>
      <c r="G184" s="3447">
        <v>0</v>
      </c>
      <c r="H184" s="3447">
        <v>0</v>
      </c>
      <c r="I184" s="3447">
        <v>0</v>
      </c>
      <c r="J184" s="3411">
        <v>0</v>
      </c>
      <c r="K184" s="3432"/>
      <c r="L184" s="3432"/>
      <c r="M184" s="3447">
        <v>0</v>
      </c>
      <c r="N184" s="3432"/>
      <c r="O184" s="3447">
        <v>0</v>
      </c>
      <c r="P184" s="3432"/>
      <c r="Q184" s="3447">
        <v>0</v>
      </c>
      <c r="R184" s="3432"/>
      <c r="S184" s="3447">
        <v>0</v>
      </c>
      <c r="T184" s="3447">
        <v>0</v>
      </c>
      <c r="U184" s="3432"/>
      <c r="V184" s="3432"/>
      <c r="W184" s="3432"/>
      <c r="X184" s="3432"/>
      <c r="Y184" s="3447">
        <v>0</v>
      </c>
      <c r="Z184" s="3447">
        <v>0</v>
      </c>
      <c r="AA184" s="3447">
        <v>0</v>
      </c>
      <c r="AB184" s="3447">
        <v>0</v>
      </c>
      <c r="AC184" s="3447">
        <v>0</v>
      </c>
      <c r="AD184" s="3447">
        <v>0</v>
      </c>
      <c r="AE184" s="3447">
        <v>0</v>
      </c>
      <c r="AF184" s="3432"/>
      <c r="AG184" s="3447">
        <v>0</v>
      </c>
      <c r="AH184" s="3447">
        <v>0</v>
      </c>
      <c r="AI184" s="3447">
        <v>0</v>
      </c>
      <c r="AJ184" s="3447">
        <v>0</v>
      </c>
      <c r="AK184" s="3432"/>
      <c r="AL184" s="3447">
        <v>0</v>
      </c>
      <c r="AM184" s="3432"/>
      <c r="AN184" s="3766">
        <v>0</v>
      </c>
      <c r="AO184" s="3426"/>
    </row>
    <row r="185" spans="1:41">
      <c r="A185" s="5047" t="s">
        <v>422</v>
      </c>
      <c r="B185" s="5048"/>
      <c r="C185" s="3453">
        <v>1.8521036431436999</v>
      </c>
      <c r="D185" s="3432"/>
      <c r="E185" s="3447">
        <v>0</v>
      </c>
      <c r="F185" s="3732"/>
      <c r="G185" s="3451">
        <v>0.22813935310659</v>
      </c>
      <c r="H185" s="3447">
        <v>0</v>
      </c>
      <c r="I185" s="3447">
        <v>0</v>
      </c>
      <c r="J185" s="3421">
        <v>0.853193812459346</v>
      </c>
      <c r="K185" s="3432"/>
      <c r="L185" s="3432"/>
      <c r="M185" s="3447">
        <v>0</v>
      </c>
      <c r="N185" s="3432"/>
      <c r="O185" s="3453">
        <v>1.92170817781814</v>
      </c>
      <c r="P185" s="3432"/>
      <c r="Q185" s="3453">
        <v>1.7934714007181101</v>
      </c>
      <c r="R185" s="3432"/>
      <c r="S185" s="3453">
        <v>1.92170817781814</v>
      </c>
      <c r="T185" s="3453">
        <v>2.46554143883924</v>
      </c>
      <c r="U185" s="3432"/>
      <c r="V185" s="3432"/>
      <c r="W185" s="3432"/>
      <c r="X185" s="3432"/>
      <c r="Y185" s="3453">
        <v>1.92170817781814</v>
      </c>
      <c r="Z185" s="3460">
        <v>3.6879367832667799E-4</v>
      </c>
      <c r="AA185" s="3460">
        <v>3.6879367832667799E-4</v>
      </c>
      <c r="AB185" s="3460">
        <v>3.6879367832667799E-4</v>
      </c>
      <c r="AC185" s="3453">
        <v>2.47395851813706</v>
      </c>
      <c r="AD185" s="3453">
        <v>2.47395851813706</v>
      </c>
      <c r="AE185" s="3453">
        <v>2.47395851813706</v>
      </c>
      <c r="AF185" s="3432"/>
      <c r="AG185" s="3453">
        <v>2.4575988310280001</v>
      </c>
      <c r="AH185" s="3453">
        <v>1.13968446194555</v>
      </c>
      <c r="AI185" s="3453">
        <v>1.13968446194555</v>
      </c>
      <c r="AJ185" s="3453">
        <v>1.13968446194555</v>
      </c>
      <c r="AK185" s="3432"/>
      <c r="AL185" s="3453">
        <v>2.46481038749614</v>
      </c>
      <c r="AM185" s="3432"/>
      <c r="AN185" s="3768">
        <v>4.4636830579114797</v>
      </c>
      <c r="AO185" s="3426"/>
    </row>
    <row r="186" spans="1:41">
      <c r="A186" s="5047" t="s">
        <v>10</v>
      </c>
      <c r="B186" s="5048"/>
      <c r="C186" s="3453">
        <v>1.02642889856682</v>
      </c>
      <c r="D186" s="3432"/>
      <c r="E186" s="3447">
        <v>0</v>
      </c>
      <c r="F186" s="3732"/>
      <c r="G186" s="3454">
        <v>7.0280496050858801E-2</v>
      </c>
      <c r="H186" s="3447">
        <v>0</v>
      </c>
      <c r="I186" s="3447">
        <v>0</v>
      </c>
      <c r="J186" s="3421">
        <v>0.43607684096528798</v>
      </c>
      <c r="K186" s="3432"/>
      <c r="L186" s="3432"/>
      <c r="M186" s="3447">
        <v>0</v>
      </c>
      <c r="N186" s="3432"/>
      <c r="O186" s="3453">
        <v>1.08844736647949</v>
      </c>
      <c r="P186" s="3432"/>
      <c r="Q186" s="3451">
        <v>0.98093286729389695</v>
      </c>
      <c r="R186" s="3432"/>
      <c r="S186" s="3453">
        <v>1.08844736647949</v>
      </c>
      <c r="T186" s="3453">
        <v>1.4525897192016599</v>
      </c>
      <c r="U186" s="3432"/>
      <c r="V186" s="3432"/>
      <c r="W186" s="3432"/>
      <c r="X186" s="3432"/>
      <c r="Y186" s="3453">
        <v>1.08844736647949</v>
      </c>
      <c r="Z186" s="3449">
        <v>8.0449878356277294E-5</v>
      </c>
      <c r="AA186" s="3449">
        <v>8.0449878356277294E-5</v>
      </c>
      <c r="AB186" s="3449">
        <v>8.0449878356277294E-5</v>
      </c>
      <c r="AC186" s="3453">
        <v>1.4915893729940599</v>
      </c>
      <c r="AD186" s="3453">
        <v>1.4915893729940599</v>
      </c>
      <c r="AE186" s="3453">
        <v>1.4915893729940599</v>
      </c>
      <c r="AF186" s="3432"/>
      <c r="AG186" s="3453">
        <v>1.4516996172080601</v>
      </c>
      <c r="AH186" s="3451">
        <v>0.67937268506398596</v>
      </c>
      <c r="AI186" s="3451">
        <v>0.67937268506398596</v>
      </c>
      <c r="AJ186" s="3451">
        <v>0.67937268506398496</v>
      </c>
      <c r="AK186" s="3432"/>
      <c r="AL186" s="3453">
        <v>1.45211468206182</v>
      </c>
      <c r="AM186" s="3432"/>
      <c r="AN186" s="3768">
        <v>2.7956604845214401</v>
      </c>
      <c r="AO186" s="3426"/>
    </row>
    <row r="187" spans="1:41">
      <c r="A187" s="5047" t="s">
        <v>9</v>
      </c>
      <c r="B187" s="5048"/>
      <c r="C187" s="3451">
        <v>0.83432824833242902</v>
      </c>
      <c r="D187" s="3432"/>
      <c r="E187" s="3447">
        <v>0</v>
      </c>
      <c r="F187" s="3732"/>
      <c r="G187" s="3454">
        <v>4.6074231548188301E-2</v>
      </c>
      <c r="H187" s="3447">
        <v>0</v>
      </c>
      <c r="I187" s="3447">
        <v>0</v>
      </c>
      <c r="J187" s="3421">
        <v>0.333294090665331</v>
      </c>
      <c r="K187" s="3432"/>
      <c r="L187" s="3432"/>
      <c r="M187" s="3447">
        <v>0</v>
      </c>
      <c r="N187" s="3432"/>
      <c r="O187" s="3451">
        <v>0.77774600888963796</v>
      </c>
      <c r="P187" s="3432"/>
      <c r="Q187" s="3451">
        <v>0.74220287468892099</v>
      </c>
      <c r="R187" s="3432"/>
      <c r="S187" s="3451">
        <v>0.77774600888963796</v>
      </c>
      <c r="T187" s="3453">
        <v>1.0858171914750001</v>
      </c>
      <c r="U187" s="3432"/>
      <c r="V187" s="3432"/>
      <c r="W187" s="3432"/>
      <c r="X187" s="3432"/>
      <c r="Y187" s="3451">
        <v>0.77774600888963796</v>
      </c>
      <c r="Z187" s="3460">
        <v>4.1760688115674203E-4</v>
      </c>
      <c r="AA187" s="3460">
        <v>4.1760688115674203E-4</v>
      </c>
      <c r="AB187" s="3460">
        <v>4.1760688115674203E-4</v>
      </c>
      <c r="AC187" s="3453">
        <v>1.05938129815654</v>
      </c>
      <c r="AD187" s="3453">
        <v>1.05938129815654</v>
      </c>
      <c r="AE187" s="3453">
        <v>1.05938129815654</v>
      </c>
      <c r="AF187" s="3432"/>
      <c r="AG187" s="3453">
        <v>1.0828462586163199</v>
      </c>
      <c r="AH187" s="3451">
        <v>0.48262152783774798</v>
      </c>
      <c r="AI187" s="3451">
        <v>0.48262152783774798</v>
      </c>
      <c r="AJ187" s="3451">
        <v>0.48262152783774798</v>
      </c>
      <c r="AK187" s="3432"/>
      <c r="AL187" s="3453">
        <v>1.08547917219454</v>
      </c>
      <c r="AM187" s="3432"/>
      <c r="AN187" s="3768">
        <v>2.0821423092046598</v>
      </c>
      <c r="AO187" s="3426"/>
    </row>
    <row r="188" spans="1:41">
      <c r="A188" s="5047" t="s">
        <v>11</v>
      </c>
      <c r="B188" s="5048"/>
      <c r="C188" s="3451">
        <v>0.79380180624616103</v>
      </c>
      <c r="D188" s="3432"/>
      <c r="E188" s="3447">
        <v>0</v>
      </c>
      <c r="F188" s="3732"/>
      <c r="G188" s="3454">
        <v>4.4939787294796203E-2</v>
      </c>
      <c r="H188" s="3447">
        <v>0</v>
      </c>
      <c r="I188" s="3447">
        <v>0</v>
      </c>
      <c r="J188" s="3421">
        <v>0.32652789383368602</v>
      </c>
      <c r="K188" s="3432"/>
      <c r="L188" s="3432"/>
      <c r="M188" s="3447">
        <v>0</v>
      </c>
      <c r="N188" s="3432"/>
      <c r="O188" s="3451">
        <v>0.47021888069157403</v>
      </c>
      <c r="P188" s="3432"/>
      <c r="Q188" s="3451">
        <v>0.60346265256533105</v>
      </c>
      <c r="R188" s="3432"/>
      <c r="S188" s="3451">
        <v>0.47021888069157403</v>
      </c>
      <c r="T188" s="3451">
        <v>0.91403679580174502</v>
      </c>
      <c r="U188" s="3432"/>
      <c r="V188" s="3432"/>
      <c r="W188" s="3432"/>
      <c r="X188" s="3432"/>
      <c r="Y188" s="3451">
        <v>0.47021888069157403</v>
      </c>
      <c r="Z188" s="3454">
        <v>1.98704657901808E-2</v>
      </c>
      <c r="AA188" s="3454">
        <v>1.98704657901808E-2</v>
      </c>
      <c r="AB188" s="3454">
        <v>1.98704657901808E-2</v>
      </c>
      <c r="AC188" s="3451">
        <v>0.66861542231075999</v>
      </c>
      <c r="AD188" s="3451">
        <v>0.66861542231075999</v>
      </c>
      <c r="AE188" s="3451">
        <v>0.66861542231075999</v>
      </c>
      <c r="AF188" s="3432"/>
      <c r="AG188" s="3451">
        <v>0.90924636917558299</v>
      </c>
      <c r="AH188" s="3451">
        <v>0.30733322988530098</v>
      </c>
      <c r="AI188" s="3451">
        <v>0.30733322988530098</v>
      </c>
      <c r="AJ188" s="3451">
        <v>0.30733322988530098</v>
      </c>
      <c r="AK188" s="3432"/>
      <c r="AL188" s="3451">
        <v>0.91374583032575096</v>
      </c>
      <c r="AM188" s="3432"/>
      <c r="AN188" s="3768">
        <v>1.64862655918588</v>
      </c>
      <c r="AO188" s="3426"/>
    </row>
    <row r="189" spans="1:41">
      <c r="A189" s="5047" t="s">
        <v>12</v>
      </c>
      <c r="B189" s="5048"/>
      <c r="C189" s="3453">
        <v>1.4708981562194201</v>
      </c>
      <c r="D189" s="3432"/>
      <c r="E189" s="3447">
        <v>0</v>
      </c>
      <c r="F189" s="3732"/>
      <c r="G189" s="3454">
        <v>6.6472921609697797E-2</v>
      </c>
      <c r="H189" s="3447">
        <v>0</v>
      </c>
      <c r="I189" s="3447">
        <v>0</v>
      </c>
      <c r="J189" s="3421">
        <v>0.629555475514188</v>
      </c>
      <c r="K189" s="3432"/>
      <c r="L189" s="3432"/>
      <c r="M189" s="3447">
        <v>0</v>
      </c>
      <c r="N189" s="3432"/>
      <c r="O189" s="3453">
        <v>1.2784176854620699</v>
      </c>
      <c r="P189" s="3432"/>
      <c r="Q189" s="3453">
        <v>1.24641574563868</v>
      </c>
      <c r="R189" s="3432"/>
      <c r="S189" s="3453">
        <v>1.2784176854620699</v>
      </c>
      <c r="T189" s="3453">
        <v>1.7949799346275099</v>
      </c>
      <c r="U189" s="3432"/>
      <c r="V189" s="3432"/>
      <c r="W189" s="3432"/>
      <c r="X189" s="3432"/>
      <c r="Y189" s="3453">
        <v>1.2784176854620699</v>
      </c>
      <c r="Z189" s="3452">
        <v>1.10910681165868E-3</v>
      </c>
      <c r="AA189" s="3452">
        <v>1.10910681165868E-3</v>
      </c>
      <c r="AB189" s="3452">
        <v>1.10910681165868E-3</v>
      </c>
      <c r="AC189" s="3453">
        <v>1.7087403345052501</v>
      </c>
      <c r="AD189" s="3453">
        <v>1.7087403345052501</v>
      </c>
      <c r="AE189" s="3453">
        <v>1.7087403345052501</v>
      </c>
      <c r="AF189" s="3432"/>
      <c r="AG189" s="3453">
        <v>1.7890311723624199</v>
      </c>
      <c r="AH189" s="3451">
        <v>0.76770742534332903</v>
      </c>
      <c r="AI189" s="3451">
        <v>0.76770742534332903</v>
      </c>
      <c r="AJ189" s="3451">
        <v>0.76770742534332903</v>
      </c>
      <c r="AK189" s="3432"/>
      <c r="AL189" s="3453">
        <v>1.79438888306369</v>
      </c>
      <c r="AM189" s="3432"/>
      <c r="AN189" s="3768">
        <v>3.9584548983333301</v>
      </c>
      <c r="AO189" s="3426"/>
    </row>
    <row r="190" spans="1:41">
      <c r="A190" s="5047" t="s">
        <v>48</v>
      </c>
      <c r="B190" s="5048"/>
      <c r="C190" s="3447">
        <v>0</v>
      </c>
      <c r="D190" s="3432"/>
      <c r="E190" s="3447">
        <v>0</v>
      </c>
      <c r="F190" s="3732"/>
      <c r="G190" s="3447">
        <v>0</v>
      </c>
      <c r="H190" s="3447">
        <v>0</v>
      </c>
      <c r="I190" s="3447">
        <v>0</v>
      </c>
      <c r="J190" s="3411">
        <v>0</v>
      </c>
      <c r="K190" s="3432"/>
      <c r="L190" s="3432"/>
      <c r="M190" s="3447">
        <v>0</v>
      </c>
      <c r="N190" s="3432"/>
      <c r="O190" s="3447">
        <v>0</v>
      </c>
      <c r="P190" s="3432"/>
      <c r="Q190" s="3447">
        <v>0</v>
      </c>
      <c r="R190" s="3432"/>
      <c r="S190" s="3447">
        <v>0</v>
      </c>
      <c r="T190" s="3447">
        <v>0</v>
      </c>
      <c r="U190" s="3432"/>
      <c r="V190" s="3432"/>
      <c r="W190" s="3432"/>
      <c r="X190" s="3432"/>
      <c r="Y190" s="3447">
        <v>0</v>
      </c>
      <c r="Z190" s="3447">
        <v>0</v>
      </c>
      <c r="AA190" s="3447">
        <v>0</v>
      </c>
      <c r="AB190" s="3447">
        <v>0</v>
      </c>
      <c r="AC190" s="3447">
        <v>0</v>
      </c>
      <c r="AD190" s="3447">
        <v>0</v>
      </c>
      <c r="AE190" s="3447">
        <v>0</v>
      </c>
      <c r="AF190" s="3432"/>
      <c r="AG190" s="3447">
        <v>0</v>
      </c>
      <c r="AH190" s="3447">
        <v>0</v>
      </c>
      <c r="AI190" s="3447">
        <v>0</v>
      </c>
      <c r="AJ190" s="3447">
        <v>0</v>
      </c>
      <c r="AK190" s="3432"/>
      <c r="AL190" s="3447">
        <v>0</v>
      </c>
      <c r="AM190" s="3432"/>
      <c r="AN190" s="3766">
        <v>0</v>
      </c>
      <c r="AO190" s="3426"/>
    </row>
    <row r="191" spans="1:41">
      <c r="A191" s="5047" t="s">
        <v>751</v>
      </c>
      <c r="B191" s="5048"/>
      <c r="C191" s="3451">
        <v>0.37826994366407501</v>
      </c>
      <c r="D191" s="3432"/>
      <c r="E191" s="3447">
        <v>0</v>
      </c>
      <c r="F191" s="3732"/>
      <c r="G191" s="3454">
        <v>2.3415266722439699E-2</v>
      </c>
      <c r="H191" s="3447">
        <v>0</v>
      </c>
      <c r="I191" s="3447">
        <v>0</v>
      </c>
      <c r="J191" s="3421">
        <v>0.154321434223714</v>
      </c>
      <c r="K191" s="3432"/>
      <c r="L191" s="3432"/>
      <c r="M191" s="3447">
        <v>0</v>
      </c>
      <c r="N191" s="3432"/>
      <c r="O191" s="3451">
        <v>0.25081478626575598</v>
      </c>
      <c r="P191" s="3432"/>
      <c r="Q191" s="3451">
        <v>0.83637498763137896</v>
      </c>
      <c r="R191" s="3432"/>
      <c r="S191" s="3451">
        <v>0.25081478626575598</v>
      </c>
      <c r="T191" s="3451">
        <v>0.49668300875080501</v>
      </c>
      <c r="U191" s="3432"/>
      <c r="V191" s="3432"/>
      <c r="W191" s="3432"/>
      <c r="X191" s="3432"/>
      <c r="Y191" s="3451">
        <v>0.25081478626575598</v>
      </c>
      <c r="Z191" s="3449">
        <v>4.2945447549355501E-6</v>
      </c>
      <c r="AA191" s="3449">
        <v>4.2945447549355501E-6</v>
      </c>
      <c r="AB191" s="3449">
        <v>4.2945447549355399E-6</v>
      </c>
      <c r="AC191" s="3451">
        <v>0.14054959085448199</v>
      </c>
      <c r="AD191" s="3451">
        <v>0.14054959085448199</v>
      </c>
      <c r="AE191" s="3451">
        <v>0.14054959085448199</v>
      </c>
      <c r="AF191" s="3432"/>
      <c r="AG191" s="3451">
        <v>0.49578382638378099</v>
      </c>
      <c r="AH191" s="3454">
        <v>5.96193080938099E-2</v>
      </c>
      <c r="AI191" s="3454">
        <v>5.96193080938099E-2</v>
      </c>
      <c r="AJ191" s="3454">
        <v>5.96193080938099E-2</v>
      </c>
      <c r="AK191" s="3432"/>
      <c r="AL191" s="3451">
        <v>0.496503419582281</v>
      </c>
      <c r="AM191" s="3432"/>
      <c r="AN191" s="3768">
        <v>1.2152472089148201</v>
      </c>
      <c r="AO191" s="3426"/>
    </row>
    <row r="192" spans="1:41">
      <c r="A192" s="5047" t="s">
        <v>65</v>
      </c>
      <c r="B192" s="5048"/>
      <c r="C192" s="3451">
        <v>0.80346087892847595</v>
      </c>
      <c r="D192" s="3432"/>
      <c r="E192" s="3447">
        <v>0</v>
      </c>
      <c r="F192" s="3732"/>
      <c r="G192" s="3454">
        <v>2.06492268895055E-2</v>
      </c>
      <c r="H192" s="3447">
        <v>0</v>
      </c>
      <c r="I192" s="3447">
        <v>0</v>
      </c>
      <c r="J192" s="3421">
        <v>0.41044551102089899</v>
      </c>
      <c r="K192" s="3432"/>
      <c r="L192" s="3432"/>
      <c r="M192" s="3447">
        <v>0</v>
      </c>
      <c r="N192" s="3432"/>
      <c r="O192" s="3451">
        <v>0.873872867242386</v>
      </c>
      <c r="P192" s="3432"/>
      <c r="Q192" s="3451">
        <v>0.82589098571844599</v>
      </c>
      <c r="R192" s="3432"/>
      <c r="S192" s="3451">
        <v>0.873872867242386</v>
      </c>
      <c r="T192" s="3453">
        <v>1.19402134607216</v>
      </c>
      <c r="U192" s="3432"/>
      <c r="V192" s="3432"/>
      <c r="W192" s="3432"/>
      <c r="X192" s="3432"/>
      <c r="Y192" s="3451">
        <v>0.873872867242386</v>
      </c>
      <c r="Z192" s="3460">
        <v>1.50731679580011E-4</v>
      </c>
      <c r="AA192" s="3460">
        <v>1.50731679580011E-4</v>
      </c>
      <c r="AB192" s="3460">
        <v>1.50731679580011E-4</v>
      </c>
      <c r="AC192" s="3453">
        <v>1.1640362125768899</v>
      </c>
      <c r="AD192" s="3453">
        <v>1.1640362125768899</v>
      </c>
      <c r="AE192" s="3453">
        <v>1.1640362125768899</v>
      </c>
      <c r="AF192" s="3432"/>
      <c r="AG192" s="3453">
        <v>1.1963938425273899</v>
      </c>
      <c r="AH192" s="3451">
        <v>0.512844784983847</v>
      </c>
      <c r="AI192" s="3451">
        <v>0.512844784983847</v>
      </c>
      <c r="AJ192" s="3451">
        <v>0.512844784983847</v>
      </c>
      <c r="AK192" s="3432"/>
      <c r="AL192" s="3453">
        <v>1.19357054054486</v>
      </c>
      <c r="AM192" s="3432"/>
      <c r="AN192" s="3768">
        <v>4.0578957672998204</v>
      </c>
      <c r="AO192" s="3426"/>
    </row>
    <row r="193" spans="1:41">
      <c r="A193" s="5047" t="s">
        <v>13</v>
      </c>
      <c r="B193" s="5048"/>
      <c r="C193" s="3451">
        <v>0.52052234522639296</v>
      </c>
      <c r="D193" s="3432"/>
      <c r="E193" s="3447">
        <v>0</v>
      </c>
      <c r="F193" s="3732"/>
      <c r="G193" s="3447">
        <v>0</v>
      </c>
      <c r="H193" s="3447">
        <v>0</v>
      </c>
      <c r="I193" s="3447">
        <v>0</v>
      </c>
      <c r="J193" s="3421">
        <v>0.242505111387956</v>
      </c>
      <c r="K193" s="3432"/>
      <c r="L193" s="3432"/>
      <c r="M193" s="3447">
        <v>0</v>
      </c>
      <c r="N193" s="3432"/>
      <c r="O193" s="3451">
        <v>0.29024441688233599</v>
      </c>
      <c r="P193" s="3432"/>
      <c r="Q193" s="3451">
        <v>0.28391212047713599</v>
      </c>
      <c r="R193" s="3432"/>
      <c r="S193" s="3451">
        <v>0.29024441688233599</v>
      </c>
      <c r="T193" s="3451">
        <v>0.79774140817042005</v>
      </c>
      <c r="U193" s="3432"/>
      <c r="V193" s="3432"/>
      <c r="W193" s="3432"/>
      <c r="X193" s="3432"/>
      <c r="Y193" s="3451">
        <v>0.29024441688233599</v>
      </c>
      <c r="Z193" s="3449">
        <v>9.49221548491222E-6</v>
      </c>
      <c r="AA193" s="3449">
        <v>9.49221548491222E-6</v>
      </c>
      <c r="AB193" s="3449">
        <v>9.49221548491222E-6</v>
      </c>
      <c r="AC193" s="3451">
        <v>0.74905609078011803</v>
      </c>
      <c r="AD193" s="3451">
        <v>0.74905609078011803</v>
      </c>
      <c r="AE193" s="3451">
        <v>0.74905609078011803</v>
      </c>
      <c r="AF193" s="3432"/>
      <c r="AG193" s="3451">
        <v>0.80030153821430605</v>
      </c>
      <c r="AH193" s="3451">
        <v>0.32797766763410602</v>
      </c>
      <c r="AI193" s="3451">
        <v>0.32797766763410602</v>
      </c>
      <c r="AJ193" s="3451">
        <v>0.32797766763410602</v>
      </c>
      <c r="AK193" s="3432"/>
      <c r="AL193" s="3451">
        <v>0.79743226283165203</v>
      </c>
      <c r="AM193" s="3432"/>
      <c r="AN193" s="3768">
        <v>2.5911192781933301</v>
      </c>
      <c r="AO193" s="3426"/>
    </row>
    <row r="194" spans="1:41">
      <c r="A194" s="5047" t="s">
        <v>14</v>
      </c>
      <c r="B194" s="5048"/>
      <c r="C194" s="3451">
        <v>0.40439360469679397</v>
      </c>
      <c r="D194" s="3432"/>
      <c r="E194" s="3447">
        <v>0</v>
      </c>
      <c r="F194" s="3732"/>
      <c r="G194" s="3447">
        <v>0</v>
      </c>
      <c r="H194" s="3447">
        <v>0</v>
      </c>
      <c r="I194" s="3447">
        <v>0</v>
      </c>
      <c r="J194" s="3421">
        <v>0.182446218946619</v>
      </c>
      <c r="K194" s="3432"/>
      <c r="L194" s="3432"/>
      <c r="M194" s="3447">
        <v>0</v>
      </c>
      <c r="N194" s="3432"/>
      <c r="O194" s="3451">
        <v>0.300936783347515</v>
      </c>
      <c r="P194" s="3432"/>
      <c r="Q194" s="3451">
        <v>0.35751233963339502</v>
      </c>
      <c r="R194" s="3432"/>
      <c r="S194" s="3451">
        <v>0.300936783347515</v>
      </c>
      <c r="T194" s="3451">
        <v>0.55615763456187695</v>
      </c>
      <c r="U194" s="3432"/>
      <c r="V194" s="3432"/>
      <c r="W194" s="3432"/>
      <c r="X194" s="3432"/>
      <c r="Y194" s="3451">
        <v>0.300936783347515</v>
      </c>
      <c r="Z194" s="3452">
        <v>2.8058280348206999E-3</v>
      </c>
      <c r="AA194" s="3452">
        <v>2.8058280348206999E-3</v>
      </c>
      <c r="AB194" s="3452">
        <v>2.8058280348206999E-3</v>
      </c>
      <c r="AC194" s="3451">
        <v>0.430138486702067</v>
      </c>
      <c r="AD194" s="3451">
        <v>0.430138486702067</v>
      </c>
      <c r="AE194" s="3451">
        <v>0.430138486702067</v>
      </c>
      <c r="AF194" s="3432"/>
      <c r="AG194" s="3451">
        <v>0.55742729450774697</v>
      </c>
      <c r="AH194" s="3451">
        <v>0.187367196639557</v>
      </c>
      <c r="AI194" s="3451">
        <v>0.187367196639557</v>
      </c>
      <c r="AJ194" s="3451">
        <v>0.18736719663955601</v>
      </c>
      <c r="AK194" s="3432"/>
      <c r="AL194" s="3451">
        <v>0.55594231613316203</v>
      </c>
      <c r="AM194" s="3432"/>
      <c r="AN194" s="3768">
        <v>2.05039906454292</v>
      </c>
      <c r="AO194" s="3426"/>
    </row>
    <row r="195" spans="1:41">
      <c r="A195" s="5047" t="s">
        <v>424</v>
      </c>
      <c r="B195" s="5048"/>
      <c r="C195" s="3451">
        <v>0.27976286768804798</v>
      </c>
      <c r="D195" s="3432"/>
      <c r="E195" s="3447">
        <v>0</v>
      </c>
      <c r="F195" s="3732"/>
      <c r="G195" s="3447">
        <v>0</v>
      </c>
      <c r="H195" s="3447">
        <v>0</v>
      </c>
      <c r="I195" s="3447">
        <v>0</v>
      </c>
      <c r="J195" s="3421">
        <v>0.175923830295584</v>
      </c>
      <c r="K195" s="3432"/>
      <c r="L195" s="3432"/>
      <c r="M195" s="3447">
        <v>0</v>
      </c>
      <c r="N195" s="3432"/>
      <c r="O195" s="3451">
        <v>0.40236717466692401</v>
      </c>
      <c r="P195" s="3432"/>
      <c r="Q195" s="3451">
        <v>0.37856987257741997</v>
      </c>
      <c r="R195" s="3432"/>
      <c r="S195" s="3451">
        <v>0.40236717466692401</v>
      </c>
      <c r="T195" s="3451">
        <v>0.55587451878181104</v>
      </c>
      <c r="U195" s="3432"/>
      <c r="V195" s="3432"/>
      <c r="W195" s="3432"/>
      <c r="X195" s="3432"/>
      <c r="Y195" s="3451">
        <v>0.40236717466692401</v>
      </c>
      <c r="Z195" s="3449">
        <v>9.3723592187134001E-7</v>
      </c>
      <c r="AA195" s="3449">
        <v>9.3723592187134001E-7</v>
      </c>
      <c r="AB195" s="3449">
        <v>9.3723592187134001E-7</v>
      </c>
      <c r="AC195" s="3451">
        <v>0.53582178520484902</v>
      </c>
      <c r="AD195" s="3451">
        <v>0.53582178520484902</v>
      </c>
      <c r="AE195" s="3451">
        <v>0.53582178520484902</v>
      </c>
      <c r="AF195" s="3432"/>
      <c r="AG195" s="3451">
        <v>0.56143184534517898</v>
      </c>
      <c r="AH195" s="3451">
        <v>0.22690343233958701</v>
      </c>
      <c r="AI195" s="3451">
        <v>0.22690343233958701</v>
      </c>
      <c r="AJ195" s="3451">
        <v>0.22690343233958701</v>
      </c>
      <c r="AK195" s="3432"/>
      <c r="AL195" s="3451">
        <v>0.55562263873947804</v>
      </c>
      <c r="AM195" s="3432"/>
      <c r="AN195" s="3768">
        <v>4.4902868139972103</v>
      </c>
      <c r="AO195" s="3426"/>
    </row>
    <row r="196" spans="1:41">
      <c r="A196" s="5047" t="s">
        <v>16</v>
      </c>
      <c r="B196" s="5048"/>
      <c r="C196" s="3452">
        <v>6.9216542756385E-3</v>
      </c>
      <c r="D196" s="3432"/>
      <c r="E196" s="3447">
        <v>0</v>
      </c>
      <c r="F196" s="3732"/>
      <c r="G196" s="3447">
        <v>0</v>
      </c>
      <c r="H196" s="3447">
        <v>0</v>
      </c>
      <c r="I196" s="3447">
        <v>0</v>
      </c>
      <c r="J196" s="3411">
        <v>0</v>
      </c>
      <c r="K196" s="3432"/>
      <c r="L196" s="3432"/>
      <c r="M196" s="3447">
        <v>0</v>
      </c>
      <c r="N196" s="3432"/>
      <c r="O196" s="3452">
        <v>7.30148426364463E-3</v>
      </c>
      <c r="P196" s="3432"/>
      <c r="Q196" s="3452">
        <v>7.7049587448406003E-3</v>
      </c>
      <c r="R196" s="3432"/>
      <c r="S196" s="3452">
        <v>7.30148426364463E-3</v>
      </c>
      <c r="T196" s="3460">
        <v>2.3345735237652801E-4</v>
      </c>
      <c r="U196" s="3432"/>
      <c r="V196" s="3432"/>
      <c r="W196" s="3432"/>
      <c r="X196" s="3432"/>
      <c r="Y196" s="3452">
        <v>7.30148426364463E-3</v>
      </c>
      <c r="Z196" s="3449">
        <v>5.1627518520324097E-8</v>
      </c>
      <c r="AA196" s="3449">
        <v>5.1627518520324097E-8</v>
      </c>
      <c r="AB196" s="3449">
        <v>5.1627518520324097E-8</v>
      </c>
      <c r="AC196" s="3460">
        <v>2.0057463116350999E-4</v>
      </c>
      <c r="AD196" s="3460">
        <v>2.0057463116350999E-4</v>
      </c>
      <c r="AE196" s="3460">
        <v>2.0057463116350999E-4</v>
      </c>
      <c r="AF196" s="3432"/>
      <c r="AG196" s="3449">
        <v>3.4039254993881998E-5</v>
      </c>
      <c r="AH196" s="3449">
        <v>1.21843002799313E-5</v>
      </c>
      <c r="AI196" s="3449">
        <v>1.21843002799313E-5</v>
      </c>
      <c r="AJ196" s="3449">
        <v>1.21843002799313E-5</v>
      </c>
      <c r="AK196" s="3432"/>
      <c r="AL196" s="3460">
        <v>2.3335194554579099E-4</v>
      </c>
      <c r="AM196" s="3432"/>
      <c r="AN196" s="3769">
        <v>0.118833337519786</v>
      </c>
      <c r="AO196" s="3426"/>
    </row>
    <row r="197" spans="1:41">
      <c r="A197" s="5047" t="s">
        <v>770</v>
      </c>
      <c r="B197" s="5048"/>
      <c r="C197" s="3454">
        <v>6.8043178382039105E-2</v>
      </c>
      <c r="D197" s="3432"/>
      <c r="E197" s="3447">
        <v>0</v>
      </c>
      <c r="F197" s="3732"/>
      <c r="G197" s="3447">
        <v>0</v>
      </c>
      <c r="H197" s="3447">
        <v>0</v>
      </c>
      <c r="I197" s="3447">
        <v>0</v>
      </c>
      <c r="J197" s="3419">
        <v>4.6715754275309003E-2</v>
      </c>
      <c r="K197" s="3432"/>
      <c r="L197" s="3432"/>
      <c r="M197" s="3447">
        <v>0</v>
      </c>
      <c r="N197" s="3432"/>
      <c r="O197" s="3454">
        <v>9.1243886572728902E-2</v>
      </c>
      <c r="P197" s="3432"/>
      <c r="Q197" s="3454">
        <v>7.3915101987204995E-2</v>
      </c>
      <c r="R197" s="3432"/>
      <c r="S197" s="3454">
        <v>9.1243886572728902E-2</v>
      </c>
      <c r="T197" s="3451">
        <v>0.107217586103925</v>
      </c>
      <c r="U197" s="3432"/>
      <c r="V197" s="3432"/>
      <c r="W197" s="3432"/>
      <c r="X197" s="3432"/>
      <c r="Y197" s="3454">
        <v>9.1243886572728902E-2</v>
      </c>
      <c r="Z197" s="3460">
        <v>1.3255346458733401E-4</v>
      </c>
      <c r="AA197" s="3460">
        <v>1.3255346458733401E-4</v>
      </c>
      <c r="AB197" s="3460">
        <v>1.3255346458733401E-4</v>
      </c>
      <c r="AC197" s="3451">
        <v>0.11923381231248099</v>
      </c>
      <c r="AD197" s="3451">
        <v>0.11923381231248099</v>
      </c>
      <c r="AE197" s="3451">
        <v>0.11923381231248099</v>
      </c>
      <c r="AF197" s="3432"/>
      <c r="AG197" s="3451">
        <v>0.107963022110659</v>
      </c>
      <c r="AH197" s="3454">
        <v>5.0248339245180101E-2</v>
      </c>
      <c r="AI197" s="3454">
        <v>5.0248339245180101E-2</v>
      </c>
      <c r="AJ197" s="3454">
        <v>5.0248339245180101E-2</v>
      </c>
      <c r="AK197" s="3432"/>
      <c r="AL197" s="3451">
        <v>0.107168937315312</v>
      </c>
      <c r="AM197" s="3432"/>
      <c r="AN197" s="3768">
        <v>1.2585927911756101</v>
      </c>
      <c r="AO197" s="3426"/>
    </row>
    <row r="198" spans="1:41">
      <c r="A198" s="5047" t="s">
        <v>833</v>
      </c>
      <c r="B198" s="5048"/>
      <c r="C198" s="3454">
        <v>6.3665887608840302E-2</v>
      </c>
      <c r="D198" s="3432"/>
      <c r="E198" s="3447">
        <v>0</v>
      </c>
      <c r="F198" s="3732"/>
      <c r="G198" s="3447">
        <v>0</v>
      </c>
      <c r="H198" s="3447">
        <v>0</v>
      </c>
      <c r="I198" s="3447">
        <v>0</v>
      </c>
      <c r="J198" s="3419">
        <v>5.6436064552231602E-2</v>
      </c>
      <c r="K198" s="3432"/>
      <c r="L198" s="3432"/>
      <c r="M198" s="3447">
        <v>0</v>
      </c>
      <c r="N198" s="3432"/>
      <c r="O198" s="3451">
        <v>0.12731014076858699</v>
      </c>
      <c r="P198" s="3432"/>
      <c r="Q198" s="3451">
        <v>0.120405916227202</v>
      </c>
      <c r="R198" s="3432"/>
      <c r="S198" s="3451">
        <v>0.12731014076858699</v>
      </c>
      <c r="T198" s="3451">
        <v>0.17273461650531399</v>
      </c>
      <c r="U198" s="3432"/>
      <c r="V198" s="3432"/>
      <c r="W198" s="3432"/>
      <c r="X198" s="3432"/>
      <c r="Y198" s="3451">
        <v>0.12731014076858699</v>
      </c>
      <c r="Z198" s="3449">
        <v>7.8371962449484905E-8</v>
      </c>
      <c r="AA198" s="3449">
        <v>7.8371962449484905E-8</v>
      </c>
      <c r="AB198" s="3449">
        <v>7.8371962449484905E-8</v>
      </c>
      <c r="AC198" s="3451">
        <v>0.16295870851077399</v>
      </c>
      <c r="AD198" s="3451">
        <v>0.16295870851077399</v>
      </c>
      <c r="AE198" s="3451">
        <v>0.16295870851077399</v>
      </c>
      <c r="AF198" s="3432"/>
      <c r="AG198" s="3451">
        <v>0.175364603203117</v>
      </c>
      <c r="AH198" s="3454">
        <v>6.6510971723112405E-2</v>
      </c>
      <c r="AI198" s="3454">
        <v>6.6510971723112405E-2</v>
      </c>
      <c r="AJ198" s="3454">
        <v>6.6510971723112405E-2</v>
      </c>
      <c r="AK198" s="3432"/>
      <c r="AL198" s="3451">
        <v>0.172644698664666</v>
      </c>
      <c r="AM198" s="3432"/>
      <c r="AN198" s="3768">
        <v>4.1606621579534098</v>
      </c>
      <c r="AO198" s="3426"/>
    </row>
    <row r="199" spans="1:41">
      <c r="A199" s="5047" t="s">
        <v>834</v>
      </c>
      <c r="B199" s="5048"/>
      <c r="C199" s="3454">
        <v>1.4745434385882101E-2</v>
      </c>
      <c r="D199" s="3432"/>
      <c r="E199" s="3447">
        <v>0</v>
      </c>
      <c r="F199" s="3732"/>
      <c r="G199" s="3447">
        <v>0</v>
      </c>
      <c r="H199" s="3447">
        <v>0</v>
      </c>
      <c r="I199" s="3447">
        <v>0</v>
      </c>
      <c r="J199" s="3419">
        <v>3.1304088793772999E-2</v>
      </c>
      <c r="K199" s="3432"/>
      <c r="L199" s="3432"/>
      <c r="M199" s="3447">
        <v>0</v>
      </c>
      <c r="N199" s="3432"/>
      <c r="O199" s="3454">
        <v>4.2547923459160697E-2</v>
      </c>
      <c r="P199" s="3432"/>
      <c r="Q199" s="3454">
        <v>4.2190656458427997E-2</v>
      </c>
      <c r="R199" s="3432"/>
      <c r="S199" s="3454">
        <v>4.2547923459160697E-2</v>
      </c>
      <c r="T199" s="3454">
        <v>6.4409048649644404E-2</v>
      </c>
      <c r="U199" s="3432"/>
      <c r="V199" s="3432"/>
      <c r="W199" s="3432"/>
      <c r="X199" s="3432"/>
      <c r="Y199" s="3454">
        <v>4.2547923459160697E-2</v>
      </c>
      <c r="Z199" s="3449">
        <v>2.8758161022013101E-9</v>
      </c>
      <c r="AA199" s="3449">
        <v>2.8758161022013101E-9</v>
      </c>
      <c r="AB199" s="3449">
        <v>2.8758161022013101E-9</v>
      </c>
      <c r="AC199" s="3454">
        <v>5.73198602324822E-2</v>
      </c>
      <c r="AD199" s="3454">
        <v>5.73198602324822E-2</v>
      </c>
      <c r="AE199" s="3454">
        <v>5.73198602324822E-2</v>
      </c>
      <c r="AF199" s="3432"/>
      <c r="AG199" s="3454">
        <v>6.5702804302161896E-2</v>
      </c>
      <c r="AH199" s="3454">
        <v>2.26120336836233E-2</v>
      </c>
      <c r="AI199" s="3454">
        <v>2.26120336836233E-2</v>
      </c>
      <c r="AJ199" s="3454">
        <v>2.26120336836233E-2</v>
      </c>
      <c r="AK199" s="3432"/>
      <c r="AL199" s="3454">
        <v>6.4371850177486603E-2</v>
      </c>
      <c r="AM199" s="3432"/>
      <c r="AN199" s="3768">
        <v>3.6755789472737801</v>
      </c>
      <c r="AO199" s="3426"/>
    </row>
    <row r="200" spans="1:41">
      <c r="A200" s="5047" t="s">
        <v>752</v>
      </c>
      <c r="B200" s="5048"/>
      <c r="C200" s="3449">
        <v>6.1259412585664402E-6</v>
      </c>
      <c r="D200" s="3432"/>
      <c r="E200" s="3447">
        <v>0</v>
      </c>
      <c r="F200" s="3732"/>
      <c r="G200" s="3447">
        <v>0</v>
      </c>
      <c r="H200" s="3447">
        <v>0</v>
      </c>
      <c r="I200" s="3447">
        <v>0</v>
      </c>
      <c r="J200" s="3411">
        <v>0</v>
      </c>
      <c r="K200" s="3432"/>
      <c r="L200" s="3432"/>
      <c r="M200" s="3447">
        <v>0</v>
      </c>
      <c r="N200" s="3432"/>
      <c r="O200" s="3449">
        <v>3.3927023947562001E-5</v>
      </c>
      <c r="P200" s="3432"/>
      <c r="Q200" s="3449">
        <v>4.6410692735349001E-5</v>
      </c>
      <c r="R200" s="3432"/>
      <c r="S200" s="3449">
        <v>3.3927023947562001E-5</v>
      </c>
      <c r="T200" s="3449">
        <v>7.4329178138404106E-5</v>
      </c>
      <c r="U200" s="3432"/>
      <c r="V200" s="3432"/>
      <c r="W200" s="3432"/>
      <c r="X200" s="3432"/>
      <c r="Y200" s="3449">
        <v>3.3927023947562001E-5</v>
      </c>
      <c r="Z200" s="3449">
        <v>5.8649997694006E-14</v>
      </c>
      <c r="AA200" s="3449">
        <v>5.8649997694006E-14</v>
      </c>
      <c r="AB200" s="3449">
        <v>5.8649997694005899E-14</v>
      </c>
      <c r="AC200" s="3449">
        <v>4.3249911527493797E-5</v>
      </c>
      <c r="AD200" s="3449">
        <v>4.3249911527493797E-5</v>
      </c>
      <c r="AE200" s="3449">
        <v>4.3249911527493797E-5</v>
      </c>
      <c r="AF200" s="3432"/>
      <c r="AG200" s="3449">
        <v>7.6068746391332506E-5</v>
      </c>
      <c r="AH200" s="3449">
        <v>1.2532396993808E-5</v>
      </c>
      <c r="AI200" s="3449">
        <v>1.2532396993808E-5</v>
      </c>
      <c r="AJ200" s="3449">
        <v>1.2532396993808E-5</v>
      </c>
      <c r="AK200" s="3432"/>
      <c r="AL200" s="3449">
        <v>7.4250146003456804E-5</v>
      </c>
      <c r="AM200" s="3432"/>
      <c r="AN200" s="3770">
        <v>2.2927078056719799E-2</v>
      </c>
      <c r="AO200" s="3426"/>
    </row>
    <row r="201" spans="1:41" ht="13" thickBot="1">
      <c r="A201" s="5049" t="s">
        <v>425</v>
      </c>
      <c r="B201" s="5050"/>
      <c r="C201" s="3431" t="s">
        <v>426</v>
      </c>
      <c r="D201" s="3433" t="s">
        <v>426</v>
      </c>
      <c r="E201" s="3433" t="s">
        <v>426</v>
      </c>
      <c r="F201" s="3733" t="s">
        <v>426</v>
      </c>
      <c r="G201" s="3433" t="s">
        <v>426</v>
      </c>
      <c r="H201" s="3433" t="s">
        <v>426</v>
      </c>
      <c r="I201" s="3433" t="s">
        <v>426</v>
      </c>
      <c r="J201" s="3418" t="s">
        <v>426</v>
      </c>
      <c r="K201" s="3433" t="s">
        <v>426</v>
      </c>
      <c r="L201" s="3433" t="s">
        <v>426</v>
      </c>
      <c r="M201" s="3433" t="s">
        <v>426</v>
      </c>
      <c r="N201" s="3433" t="s">
        <v>426</v>
      </c>
      <c r="O201" s="3433" t="s">
        <v>426</v>
      </c>
      <c r="P201" s="3433" t="s">
        <v>426</v>
      </c>
      <c r="Q201" s="3433" t="s">
        <v>426</v>
      </c>
      <c r="R201" s="3433" t="s">
        <v>426</v>
      </c>
      <c r="S201" s="3433" t="s">
        <v>426</v>
      </c>
      <c r="T201" s="3433" t="s">
        <v>426</v>
      </c>
      <c r="U201" s="3433" t="s">
        <v>426</v>
      </c>
      <c r="V201" s="3433" t="s">
        <v>426</v>
      </c>
      <c r="W201" s="3433" t="s">
        <v>426</v>
      </c>
      <c r="X201" s="3433" t="s">
        <v>426</v>
      </c>
      <c r="Y201" s="3433" t="s">
        <v>426</v>
      </c>
      <c r="Z201" s="3433" t="s">
        <v>426</v>
      </c>
      <c r="AA201" s="3433" t="s">
        <v>426</v>
      </c>
      <c r="AB201" s="3433" t="s">
        <v>426</v>
      </c>
      <c r="AC201" s="3433" t="s">
        <v>426</v>
      </c>
      <c r="AD201" s="3433" t="s">
        <v>426</v>
      </c>
      <c r="AE201" s="3433" t="s">
        <v>426</v>
      </c>
      <c r="AF201" s="3433" t="s">
        <v>426</v>
      </c>
      <c r="AG201" s="3433" t="s">
        <v>426</v>
      </c>
      <c r="AH201" s="3433" t="s">
        <v>426</v>
      </c>
      <c r="AI201" s="3433" t="s">
        <v>426</v>
      </c>
      <c r="AJ201" s="3433" t="s">
        <v>426</v>
      </c>
      <c r="AK201" s="3433" t="s">
        <v>426</v>
      </c>
      <c r="AL201" s="3433" t="s">
        <v>426</v>
      </c>
      <c r="AM201" s="3433" t="s">
        <v>426</v>
      </c>
      <c r="AN201" s="3765" t="s">
        <v>426</v>
      </c>
      <c r="AO201" s="3426"/>
    </row>
    <row r="202" spans="1:41" ht="13" thickTop="1">
      <c r="A202" s="5051" t="s">
        <v>298</v>
      </c>
      <c r="B202" s="5052"/>
      <c r="C202" s="3454">
        <v>1.07977845084511E-2</v>
      </c>
      <c r="D202" s="3432"/>
      <c r="E202" s="3447">
        <v>0</v>
      </c>
      <c r="F202" s="3732"/>
      <c r="G202" s="3447">
        <v>0</v>
      </c>
      <c r="H202" s="3447">
        <v>0</v>
      </c>
      <c r="I202" s="3447">
        <v>0</v>
      </c>
      <c r="J202" s="3413">
        <v>1.9206806875014399</v>
      </c>
      <c r="K202" s="3432"/>
      <c r="L202" s="3432"/>
      <c r="M202" s="3447">
        <v>0</v>
      </c>
      <c r="N202" s="3432"/>
      <c r="O202" s="3449">
        <v>2.2525676201845601E-5</v>
      </c>
      <c r="P202" s="3432"/>
      <c r="Q202" s="3454">
        <v>1.52645277064341E-2</v>
      </c>
      <c r="R202" s="3432"/>
      <c r="S202" s="3449">
        <v>8.8152970338436303E-6</v>
      </c>
      <c r="T202" s="3451">
        <v>0.30038043445361101</v>
      </c>
      <c r="U202" s="3432"/>
      <c r="V202" s="3432"/>
      <c r="W202" s="3432"/>
      <c r="X202" s="3432"/>
      <c r="Y202" s="3449">
        <v>3.1340973235689198E-5</v>
      </c>
      <c r="Z202" s="3452">
        <v>4.4928022775815998E-3</v>
      </c>
      <c r="AA202" s="3451">
        <v>0.78394177669424903</v>
      </c>
      <c r="AB202" s="3451">
        <v>0.788434578971831</v>
      </c>
      <c r="AC202" s="3449">
        <v>9.1259884781364495E-5</v>
      </c>
      <c r="AD202" s="3449">
        <v>2.2862992077019201E-5</v>
      </c>
      <c r="AE202" s="3460">
        <v>1.14122876858384E-4</v>
      </c>
      <c r="AF202" s="3432"/>
      <c r="AG202" s="3453">
        <v>5.2292859240505702</v>
      </c>
      <c r="AH202" s="3451">
        <v>0.28684090916462601</v>
      </c>
      <c r="AI202" s="3451">
        <v>0.32933392770990899</v>
      </c>
      <c r="AJ202" s="3451">
        <v>0.616174836874535</v>
      </c>
      <c r="AK202" s="3432"/>
      <c r="AL202" s="3451">
        <v>0.29843151731510298</v>
      </c>
      <c r="AM202" s="3432"/>
      <c r="AN202" s="3766">
        <v>0</v>
      </c>
      <c r="AO202" s="3426"/>
    </row>
    <row r="203" spans="1:41">
      <c r="A203" s="5047" t="s">
        <v>5</v>
      </c>
      <c r="B203" s="5048"/>
      <c r="C203" s="3447">
        <v>0</v>
      </c>
      <c r="D203" s="3432"/>
      <c r="E203" s="3449">
        <v>4.4904248125238003E-5</v>
      </c>
      <c r="F203" s="3732"/>
      <c r="G203" s="3454">
        <v>2.64891237811191E-2</v>
      </c>
      <c r="H203" s="3449">
        <v>3.5923398485821097E-5</v>
      </c>
      <c r="I203" s="3449">
        <v>2.2452124053638198E-6</v>
      </c>
      <c r="J203" s="3411">
        <v>0</v>
      </c>
      <c r="K203" s="3432"/>
      <c r="L203" s="3432"/>
      <c r="M203" s="3460">
        <v>2.1104996610419899E-4</v>
      </c>
      <c r="N203" s="3432"/>
      <c r="O203" s="3447">
        <v>0</v>
      </c>
      <c r="P203" s="3432"/>
      <c r="Q203" s="3447">
        <v>0</v>
      </c>
      <c r="R203" s="3432"/>
      <c r="S203" s="3447">
        <v>0</v>
      </c>
      <c r="T203" s="3447">
        <v>0</v>
      </c>
      <c r="U203" s="3432"/>
      <c r="V203" s="3432"/>
      <c r="W203" s="3432"/>
      <c r="X203" s="3432"/>
      <c r="Y203" s="3447">
        <v>0</v>
      </c>
      <c r="Z203" s="3447">
        <v>0</v>
      </c>
      <c r="AA203" s="3447">
        <v>0</v>
      </c>
      <c r="AB203" s="3447">
        <v>0</v>
      </c>
      <c r="AC203" s="3447">
        <v>0</v>
      </c>
      <c r="AD203" s="3447">
        <v>0</v>
      </c>
      <c r="AE203" s="3447">
        <v>0</v>
      </c>
      <c r="AF203" s="3432"/>
      <c r="AG203" s="3447">
        <v>0</v>
      </c>
      <c r="AH203" s="3447">
        <v>0</v>
      </c>
      <c r="AI203" s="3447">
        <v>0</v>
      </c>
      <c r="AJ203" s="3447">
        <v>0</v>
      </c>
      <c r="AK203" s="3432"/>
      <c r="AL203" s="3447">
        <v>0</v>
      </c>
      <c r="AM203" s="3432"/>
      <c r="AN203" s="3766">
        <v>0</v>
      </c>
      <c r="AO203" s="3426"/>
    </row>
    <row r="204" spans="1:41">
      <c r="A204" s="5047" t="s">
        <v>832</v>
      </c>
      <c r="B204" s="5048"/>
      <c r="C204" s="3447">
        <v>0</v>
      </c>
      <c r="D204" s="3432"/>
      <c r="E204" s="3453">
        <v>3.3587970006446599</v>
      </c>
      <c r="F204" s="3732"/>
      <c r="G204" s="3471">
        <v>364.188431574589</v>
      </c>
      <c r="H204" s="3453">
        <v>2.6870376005157302</v>
      </c>
      <c r="I204" s="3451">
        <v>0.167939850032233</v>
      </c>
      <c r="J204" s="3411">
        <v>0</v>
      </c>
      <c r="K204" s="3432"/>
      <c r="L204" s="3432"/>
      <c r="M204" s="3455">
        <v>15.7863459030299</v>
      </c>
      <c r="N204" s="3432"/>
      <c r="O204" s="3449">
        <v>1.2740868611277199E-5</v>
      </c>
      <c r="P204" s="3432"/>
      <c r="Q204" s="3460">
        <v>3.1754374438820802E-4</v>
      </c>
      <c r="R204" s="3432"/>
      <c r="S204" s="3449">
        <v>4.9860674667951199E-6</v>
      </c>
      <c r="T204" s="3447">
        <v>0</v>
      </c>
      <c r="U204" s="3432"/>
      <c r="V204" s="3432"/>
      <c r="W204" s="3432"/>
      <c r="X204" s="3432"/>
      <c r="Y204" s="3449">
        <v>1.77269360780723E-5</v>
      </c>
      <c r="Z204" s="3447">
        <v>0</v>
      </c>
      <c r="AA204" s="3447">
        <v>0</v>
      </c>
      <c r="AB204" s="3447">
        <v>0</v>
      </c>
      <c r="AC204" s="3447">
        <v>0</v>
      </c>
      <c r="AD204" s="3447">
        <v>0</v>
      </c>
      <c r="AE204" s="3447">
        <v>0</v>
      </c>
      <c r="AF204" s="3432"/>
      <c r="AG204" s="3447">
        <v>0</v>
      </c>
      <c r="AH204" s="3447">
        <v>0</v>
      </c>
      <c r="AI204" s="3447">
        <v>0</v>
      </c>
      <c r="AJ204" s="3447">
        <v>0</v>
      </c>
      <c r="AK204" s="3432"/>
      <c r="AL204" s="3447">
        <v>0</v>
      </c>
      <c r="AM204" s="3432"/>
      <c r="AN204" s="3766">
        <v>0</v>
      </c>
      <c r="AO204" s="3426"/>
    </row>
    <row r="205" spans="1:41">
      <c r="A205" s="5047" t="s">
        <v>3</v>
      </c>
      <c r="B205" s="5048"/>
      <c r="C205" s="3460">
        <v>6.09666375280552E-4</v>
      </c>
      <c r="D205" s="3432"/>
      <c r="E205" s="3447">
        <v>0</v>
      </c>
      <c r="F205" s="3732"/>
      <c r="G205" s="3471">
        <v>119.04156513699</v>
      </c>
      <c r="H205" s="3447">
        <v>0</v>
      </c>
      <c r="I205" s="3447">
        <v>0</v>
      </c>
      <c r="J205" s="3412">
        <v>10.8702874431868</v>
      </c>
      <c r="K205" s="3432"/>
      <c r="L205" s="3432"/>
      <c r="M205" s="3447">
        <v>0</v>
      </c>
      <c r="N205" s="3432"/>
      <c r="O205" s="3454">
        <v>1.7476607380173301E-2</v>
      </c>
      <c r="P205" s="3432"/>
      <c r="Q205" s="3454">
        <v>1.34067672405763E-2</v>
      </c>
      <c r="R205" s="3432"/>
      <c r="S205" s="3452">
        <v>6.8393722709850996E-3</v>
      </c>
      <c r="T205" s="3460">
        <v>4.7989792461596101E-4</v>
      </c>
      <c r="U205" s="3432"/>
      <c r="V205" s="3432"/>
      <c r="W205" s="3432"/>
      <c r="X205" s="3432"/>
      <c r="Y205" s="3454">
        <v>2.4315979651158399E-2</v>
      </c>
      <c r="Z205" s="3447">
        <v>0</v>
      </c>
      <c r="AA205" s="3447">
        <v>0</v>
      </c>
      <c r="AB205" s="3447">
        <v>0</v>
      </c>
      <c r="AC205" s="3460">
        <v>1.3276989456652001E-4</v>
      </c>
      <c r="AD205" s="3449">
        <v>3.3262337058756402E-5</v>
      </c>
      <c r="AE205" s="3460">
        <v>1.6603223162527699E-4</v>
      </c>
      <c r="AF205" s="3432"/>
      <c r="AG205" s="3447">
        <v>0</v>
      </c>
      <c r="AH205" s="3447">
        <v>0</v>
      </c>
      <c r="AI205" s="3447">
        <v>0</v>
      </c>
      <c r="AJ205" s="3447">
        <v>0</v>
      </c>
      <c r="AK205" s="3432"/>
      <c r="AL205" s="3460">
        <v>4.7702893061872401E-4</v>
      </c>
      <c r="AM205" s="3432"/>
      <c r="AN205" s="3766">
        <v>0</v>
      </c>
      <c r="AO205" s="3426"/>
    </row>
    <row r="206" spans="1:41">
      <c r="A206" s="5047" t="s">
        <v>6</v>
      </c>
      <c r="B206" s="5048"/>
      <c r="C206" s="3452">
        <v>7.6066827256475698E-3</v>
      </c>
      <c r="D206" s="3432"/>
      <c r="E206" s="3471">
        <v>167.76597579488299</v>
      </c>
      <c r="F206" s="3732"/>
      <c r="G206" s="3473">
        <v>17973.094747376199</v>
      </c>
      <c r="H206" s="3471">
        <v>134.212780635906</v>
      </c>
      <c r="I206" s="3453">
        <v>8.3882987897441303</v>
      </c>
      <c r="J206" s="3413">
        <v>1.5852560861449401</v>
      </c>
      <c r="K206" s="3432"/>
      <c r="L206" s="3432"/>
      <c r="M206" s="3471">
        <v>788.50008623594795</v>
      </c>
      <c r="N206" s="3432"/>
      <c r="O206" s="3454">
        <v>3.7402012720559603E-2</v>
      </c>
      <c r="P206" s="3432"/>
      <c r="Q206" s="3451">
        <v>0.17667225580582899</v>
      </c>
      <c r="R206" s="3432"/>
      <c r="S206" s="3454">
        <v>1.4637067888258E-2</v>
      </c>
      <c r="T206" s="3452">
        <v>6.4180396225839596E-3</v>
      </c>
      <c r="U206" s="3432"/>
      <c r="V206" s="3432"/>
      <c r="W206" s="3432"/>
      <c r="X206" s="3432"/>
      <c r="Y206" s="3454">
        <v>5.2039080608817602E-2</v>
      </c>
      <c r="Z206" s="3447">
        <v>0</v>
      </c>
      <c r="AA206" s="3447">
        <v>0</v>
      </c>
      <c r="AB206" s="3447">
        <v>0</v>
      </c>
      <c r="AC206" s="3460">
        <v>3.5514756954241003E-4</v>
      </c>
      <c r="AD206" s="3449">
        <v>8.8973770765474506E-5</v>
      </c>
      <c r="AE206" s="3460">
        <v>4.4412134030788399E-4</v>
      </c>
      <c r="AF206" s="3432"/>
      <c r="AG206" s="3447">
        <v>0</v>
      </c>
      <c r="AH206" s="3447">
        <v>0</v>
      </c>
      <c r="AI206" s="3447">
        <v>0</v>
      </c>
      <c r="AJ206" s="3447">
        <v>0</v>
      </c>
      <c r="AK206" s="3432"/>
      <c r="AL206" s="3452">
        <v>6.3882633453523898E-3</v>
      </c>
      <c r="AM206" s="3432"/>
      <c r="AN206" s="3766">
        <v>0</v>
      </c>
      <c r="AO206" s="3426"/>
    </row>
    <row r="207" spans="1:41">
      <c r="A207" s="5047" t="s">
        <v>7</v>
      </c>
      <c r="B207" s="5048"/>
      <c r="C207" s="3454">
        <v>6.7829074400000897E-2</v>
      </c>
      <c r="D207" s="3432"/>
      <c r="E207" s="3455">
        <v>67.113441672012996</v>
      </c>
      <c r="F207" s="3732"/>
      <c r="G207" s="3472">
        <v>7239.1695435785296</v>
      </c>
      <c r="H207" s="3455">
        <v>53.690753337610403</v>
      </c>
      <c r="I207" s="3453">
        <v>3.3556720836006502</v>
      </c>
      <c r="J207" s="3424">
        <v>2228.5185847053799</v>
      </c>
      <c r="K207" s="3432"/>
      <c r="L207" s="3432"/>
      <c r="M207" s="3471">
        <v>315.43317585846103</v>
      </c>
      <c r="N207" s="3432"/>
      <c r="O207" s="3455">
        <v>10.4459696049648</v>
      </c>
      <c r="P207" s="3432"/>
      <c r="Q207" s="3453">
        <v>3.9983191697235201</v>
      </c>
      <c r="R207" s="3432"/>
      <c r="S207" s="3453">
        <v>4.0879716128887003</v>
      </c>
      <c r="T207" s="3453">
        <v>1.74685375164775</v>
      </c>
      <c r="U207" s="3432"/>
      <c r="V207" s="3432"/>
      <c r="W207" s="3432"/>
      <c r="X207" s="3432"/>
      <c r="Y207" s="3455">
        <v>14.533941217853499</v>
      </c>
      <c r="Z207" s="3449">
        <v>4.3240578216628297E-5</v>
      </c>
      <c r="AA207" s="3452">
        <v>7.5449783048714501E-3</v>
      </c>
      <c r="AB207" s="3452">
        <v>7.58821888308808E-3</v>
      </c>
      <c r="AC207" s="3451">
        <v>0.82224513616279005</v>
      </c>
      <c r="AD207" s="3451">
        <v>0.20599394880340899</v>
      </c>
      <c r="AE207" s="3453">
        <v>1.0282390849662</v>
      </c>
      <c r="AF207" s="3432"/>
      <c r="AG207" s="3455">
        <v>29.5070910387658</v>
      </c>
      <c r="AH207" s="3454">
        <v>6.8629771550833399E-2</v>
      </c>
      <c r="AI207" s="3454">
        <v>7.8796683110838303E-2</v>
      </c>
      <c r="AJ207" s="3451">
        <v>0.14742645466167201</v>
      </c>
      <c r="AK207" s="3432"/>
      <c r="AL207" s="3453">
        <v>1.73521098370167</v>
      </c>
      <c r="AM207" s="3432"/>
      <c r="AN207" s="3770">
        <v>5.6604919843552197E-2</v>
      </c>
      <c r="AO207" s="3426"/>
    </row>
    <row r="208" spans="1:41">
      <c r="A208" s="5047" t="s">
        <v>8</v>
      </c>
      <c r="B208" s="5048"/>
      <c r="C208" s="3451">
        <v>0.66841816726902104</v>
      </c>
      <c r="D208" s="3432"/>
      <c r="E208" s="3455">
        <v>10.864596499204801</v>
      </c>
      <c r="F208" s="3732"/>
      <c r="G208" s="3472">
        <v>5765.1655002899897</v>
      </c>
      <c r="H208" s="3453">
        <v>8.6916771993638502</v>
      </c>
      <c r="I208" s="3451">
        <v>0.54322982496024097</v>
      </c>
      <c r="J208" s="3415">
        <v>14142.117676686201</v>
      </c>
      <c r="K208" s="3432"/>
      <c r="L208" s="3432"/>
      <c r="M208" s="3455">
        <v>51.063603546262598</v>
      </c>
      <c r="N208" s="3432"/>
      <c r="O208" s="3455">
        <v>37.9236849288203</v>
      </c>
      <c r="P208" s="3432"/>
      <c r="Q208" s="3455">
        <v>13.650994162816099</v>
      </c>
      <c r="R208" s="3432"/>
      <c r="S208" s="3455">
        <v>14.8412213808729</v>
      </c>
      <c r="T208" s="3453">
        <v>5.9643727925274597</v>
      </c>
      <c r="U208" s="3432"/>
      <c r="V208" s="3432"/>
      <c r="W208" s="3432"/>
      <c r="X208" s="3432"/>
      <c r="Y208" s="3455">
        <v>52.764906309693103</v>
      </c>
      <c r="Z208" s="3449">
        <v>2.1208295381417701E-5</v>
      </c>
      <c r="AA208" s="3452">
        <v>3.7006010357781799E-3</v>
      </c>
      <c r="AB208" s="3452">
        <v>3.7218093311595902E-3</v>
      </c>
      <c r="AC208" s="3453">
        <v>2.6120829279565099</v>
      </c>
      <c r="AD208" s="3451">
        <v>0.65439520803100903</v>
      </c>
      <c r="AE208" s="3453">
        <v>3.2664781359875201</v>
      </c>
      <c r="AF208" s="3432"/>
      <c r="AG208" s="3455">
        <v>89.929632333850407</v>
      </c>
      <c r="AH208" s="3451">
        <v>0.14338071595044699</v>
      </c>
      <c r="AI208" s="3451">
        <v>0.16462133828588099</v>
      </c>
      <c r="AJ208" s="3451">
        <v>0.30800205423632898</v>
      </c>
      <c r="AK208" s="3432"/>
      <c r="AL208" s="3453">
        <v>5.9214881378183204</v>
      </c>
      <c r="AM208" s="3432"/>
      <c r="AN208" s="3770">
        <v>9.6651632222958195E-2</v>
      </c>
      <c r="AO208" s="3426"/>
    </row>
    <row r="209" spans="1:41">
      <c r="A209" s="5047" t="s">
        <v>66</v>
      </c>
      <c r="B209" s="5048"/>
      <c r="C209" s="3451">
        <v>0.15193679047140601</v>
      </c>
      <c r="D209" s="3432"/>
      <c r="E209" s="3447">
        <v>0</v>
      </c>
      <c r="F209" s="3732"/>
      <c r="G209" s="3471">
        <v>868.22883793364497</v>
      </c>
      <c r="H209" s="3447">
        <v>0</v>
      </c>
      <c r="I209" s="3447">
        <v>0</v>
      </c>
      <c r="J209" s="3424">
        <v>1688.60117206832</v>
      </c>
      <c r="K209" s="3432"/>
      <c r="L209" s="3432"/>
      <c r="M209" s="3447">
        <v>0</v>
      </c>
      <c r="N209" s="3432"/>
      <c r="O209" s="3453">
        <v>8.6449154260179899</v>
      </c>
      <c r="P209" s="3432"/>
      <c r="Q209" s="3453">
        <v>3.0521165861165702</v>
      </c>
      <c r="R209" s="3432"/>
      <c r="S209" s="3453">
        <v>3.38313916216915</v>
      </c>
      <c r="T209" s="3453">
        <v>1.4646805639462599</v>
      </c>
      <c r="U209" s="3432"/>
      <c r="V209" s="3432"/>
      <c r="W209" s="3432"/>
      <c r="X209" s="3432"/>
      <c r="Y209" s="3455">
        <v>12.0280545881871</v>
      </c>
      <c r="Z209" s="3449">
        <v>1.23724245513663E-6</v>
      </c>
      <c r="AA209" s="3460">
        <v>2.1588442770365199E-4</v>
      </c>
      <c r="AB209" s="3460">
        <v>2.17121670158788E-4</v>
      </c>
      <c r="AC209" s="3451">
        <v>0.62364840654810105</v>
      </c>
      <c r="AD209" s="3451">
        <v>0.156240264952279</v>
      </c>
      <c r="AE209" s="3451">
        <v>0.77988867150038099</v>
      </c>
      <c r="AF209" s="3432"/>
      <c r="AG209" s="3455">
        <v>21.9785850445374</v>
      </c>
      <c r="AH209" s="3454">
        <v>3.0203299020294699E-2</v>
      </c>
      <c r="AI209" s="3454">
        <v>3.4677658515026098E-2</v>
      </c>
      <c r="AJ209" s="3454">
        <v>6.4880957535320694E-2</v>
      </c>
      <c r="AK209" s="3432"/>
      <c r="AL209" s="3453">
        <v>1.4538983127976799</v>
      </c>
      <c r="AM209" s="3432"/>
      <c r="AN209" s="3770">
        <v>5.8630709128250101E-2</v>
      </c>
      <c r="AO209" s="3426"/>
    </row>
    <row r="210" spans="1:41">
      <c r="A210" s="5047" t="s">
        <v>359</v>
      </c>
      <c r="B210" s="5048"/>
      <c r="C210" s="3451">
        <v>0.28651035082188803</v>
      </c>
      <c r="D210" s="3432"/>
      <c r="E210" s="3447">
        <v>0</v>
      </c>
      <c r="F210" s="3732"/>
      <c r="G210" s="3472">
        <v>1932.05910416247</v>
      </c>
      <c r="H210" s="3447">
        <v>0</v>
      </c>
      <c r="I210" s="3447">
        <v>0</v>
      </c>
      <c r="J210" s="3424">
        <v>2639.1573930885602</v>
      </c>
      <c r="K210" s="3432"/>
      <c r="L210" s="3432"/>
      <c r="M210" s="3447">
        <v>0</v>
      </c>
      <c r="N210" s="3432"/>
      <c r="O210" s="3455">
        <v>21.365742220853701</v>
      </c>
      <c r="P210" s="3432"/>
      <c r="Q210" s="3453">
        <v>7.3568097355416802</v>
      </c>
      <c r="R210" s="3432"/>
      <c r="S210" s="3453">
        <v>8.3613633765155306</v>
      </c>
      <c r="T210" s="3453">
        <v>3.5064919360079601</v>
      </c>
      <c r="U210" s="3432"/>
      <c r="V210" s="3432"/>
      <c r="W210" s="3432"/>
      <c r="X210" s="3432"/>
      <c r="Y210" s="3455">
        <v>29.727105597369199</v>
      </c>
      <c r="Z210" s="3449">
        <v>2.9985899891458298E-6</v>
      </c>
      <c r="AA210" s="3460">
        <v>5.2321909989191105E-4</v>
      </c>
      <c r="AB210" s="3460">
        <v>5.2621768988105598E-4</v>
      </c>
      <c r="AC210" s="3453">
        <v>1.51820104401615</v>
      </c>
      <c r="AD210" s="3451">
        <v>0.38034913723396901</v>
      </c>
      <c r="AE210" s="3453">
        <v>1.89855018125012</v>
      </c>
      <c r="AF210" s="3432"/>
      <c r="AG210" s="3455">
        <v>53.183219292386198</v>
      </c>
      <c r="AH210" s="3454">
        <v>7.1801106448037305E-2</v>
      </c>
      <c r="AI210" s="3454">
        <v>8.2437824051373398E-2</v>
      </c>
      <c r="AJ210" s="3451">
        <v>0.15423893049941101</v>
      </c>
      <c r="AK210" s="3432"/>
      <c r="AL210" s="3453">
        <v>3.4805247260597101</v>
      </c>
      <c r="AM210" s="3432"/>
      <c r="AN210" s="3769">
        <v>0.163577424343327</v>
      </c>
      <c r="AO210" s="3426"/>
    </row>
    <row r="211" spans="1:41">
      <c r="A211" s="5047" t="s">
        <v>68</v>
      </c>
      <c r="B211" s="5048"/>
      <c r="C211" s="3454">
        <v>6.8347461515932503E-2</v>
      </c>
      <c r="D211" s="3432"/>
      <c r="E211" s="3447">
        <v>0</v>
      </c>
      <c r="F211" s="3732"/>
      <c r="G211" s="3471">
        <v>368.690207300211</v>
      </c>
      <c r="H211" s="3447">
        <v>0</v>
      </c>
      <c r="I211" s="3447">
        <v>0</v>
      </c>
      <c r="J211" s="3417">
        <v>445.60168270371599</v>
      </c>
      <c r="K211" s="3432"/>
      <c r="L211" s="3432"/>
      <c r="M211" s="3447">
        <v>0</v>
      </c>
      <c r="N211" s="3432"/>
      <c r="O211" s="3453">
        <v>5.3526419619601198</v>
      </c>
      <c r="P211" s="3432"/>
      <c r="Q211" s="3453">
        <v>1.79722981232679</v>
      </c>
      <c r="R211" s="3432"/>
      <c r="S211" s="3453">
        <v>2.0947264085518502</v>
      </c>
      <c r="T211" s="3453">
        <v>1.0723844860450999</v>
      </c>
      <c r="U211" s="3432"/>
      <c r="V211" s="3432"/>
      <c r="W211" s="3432"/>
      <c r="X211" s="3432"/>
      <c r="Y211" s="3453">
        <v>7.4473683705119704</v>
      </c>
      <c r="Z211" s="3449">
        <v>2.35109853540948E-7</v>
      </c>
      <c r="AA211" s="3449">
        <v>4.1023936713820202E-5</v>
      </c>
      <c r="AB211" s="3449">
        <v>4.1259046567361199E-5</v>
      </c>
      <c r="AC211" s="3451">
        <v>0.46449352648586101</v>
      </c>
      <c r="AD211" s="3451">
        <v>0.11636779776037499</v>
      </c>
      <c r="AE211" s="3451">
        <v>0.58086132424623604</v>
      </c>
      <c r="AF211" s="3432"/>
      <c r="AG211" s="3455">
        <v>16.426027935500599</v>
      </c>
      <c r="AH211" s="3454">
        <v>2.08780937828431E-2</v>
      </c>
      <c r="AI211" s="3454">
        <v>2.3971004166122301E-2</v>
      </c>
      <c r="AJ211" s="3454">
        <v>4.4849097948965501E-2</v>
      </c>
      <c r="AK211" s="3432"/>
      <c r="AL211" s="3453">
        <v>1.06435228306728</v>
      </c>
      <c r="AM211" s="3432"/>
      <c r="AN211" s="3770">
        <v>6.9953493193758806E-2</v>
      </c>
      <c r="AO211" s="3426"/>
    </row>
    <row r="212" spans="1:41">
      <c r="A212" s="5047" t="s">
        <v>669</v>
      </c>
      <c r="B212" s="5048"/>
      <c r="C212" s="3454">
        <v>6.9113125446756907E-2</v>
      </c>
      <c r="D212" s="3432"/>
      <c r="E212" s="3447">
        <v>0</v>
      </c>
      <c r="F212" s="3732"/>
      <c r="G212" s="3471">
        <v>322.35027026789197</v>
      </c>
      <c r="H212" s="3447">
        <v>0</v>
      </c>
      <c r="I212" s="3447">
        <v>0</v>
      </c>
      <c r="J212" s="3417">
        <v>427.77764020552502</v>
      </c>
      <c r="K212" s="3432"/>
      <c r="L212" s="3432"/>
      <c r="M212" s="3447">
        <v>0</v>
      </c>
      <c r="N212" s="3432"/>
      <c r="O212" s="3453">
        <v>5.3158094581654698</v>
      </c>
      <c r="P212" s="3432"/>
      <c r="Q212" s="3453">
        <v>1.79849194190152</v>
      </c>
      <c r="R212" s="3432"/>
      <c r="S212" s="3453">
        <v>2.0803122147873401</v>
      </c>
      <c r="T212" s="3453">
        <v>1.1001620282331299</v>
      </c>
      <c r="U212" s="3432"/>
      <c r="V212" s="3432"/>
      <c r="W212" s="3432"/>
      <c r="X212" s="3432"/>
      <c r="Y212" s="3453">
        <v>7.3961216729528099</v>
      </c>
      <c r="Z212" s="3449">
        <v>8.1618087663713995E-8</v>
      </c>
      <c r="AA212" s="3449">
        <v>1.4241407633883299E-5</v>
      </c>
      <c r="AB212" s="3449">
        <v>1.4323025721547E-5</v>
      </c>
      <c r="AC212" s="3451">
        <v>0.47078017886656298</v>
      </c>
      <c r="AD212" s="3451">
        <v>0.117942768887232</v>
      </c>
      <c r="AE212" s="3451">
        <v>0.58872294775379597</v>
      </c>
      <c r="AF212" s="3432"/>
      <c r="AG212" s="3455">
        <v>16.8607369124747</v>
      </c>
      <c r="AH212" s="3454">
        <v>2.0817448406528698E-2</v>
      </c>
      <c r="AI212" s="3454">
        <v>2.3901374697866799E-2</v>
      </c>
      <c r="AJ212" s="3454">
        <v>4.4718823104395497E-2</v>
      </c>
      <c r="AK212" s="3432"/>
      <c r="AL212" s="3453">
        <v>1.0918961114611101</v>
      </c>
      <c r="AM212" s="3432"/>
      <c r="AN212" s="3770">
        <v>7.8825259606016301E-2</v>
      </c>
      <c r="AO212" s="3426"/>
    </row>
    <row r="213" spans="1:41">
      <c r="A213" s="5047" t="s">
        <v>99</v>
      </c>
      <c r="B213" s="5048"/>
      <c r="C213" s="3447">
        <v>0</v>
      </c>
      <c r="D213" s="3432"/>
      <c r="E213" s="3447">
        <v>0</v>
      </c>
      <c r="F213" s="3732"/>
      <c r="G213" s="3447">
        <v>0</v>
      </c>
      <c r="H213" s="3447">
        <v>0</v>
      </c>
      <c r="I213" s="3447">
        <v>0</v>
      </c>
      <c r="J213" s="3411">
        <v>0</v>
      </c>
      <c r="K213" s="3432"/>
      <c r="L213" s="3432"/>
      <c r="M213" s="3447">
        <v>0</v>
      </c>
      <c r="N213" s="3432"/>
      <c r="O213" s="3447">
        <v>0</v>
      </c>
      <c r="P213" s="3432"/>
      <c r="Q213" s="3447">
        <v>0</v>
      </c>
      <c r="R213" s="3432"/>
      <c r="S213" s="3447">
        <v>0</v>
      </c>
      <c r="T213" s="3447">
        <v>0</v>
      </c>
      <c r="U213" s="3432"/>
      <c r="V213" s="3432"/>
      <c r="W213" s="3432"/>
      <c r="X213" s="3432"/>
      <c r="Y213" s="3447">
        <v>0</v>
      </c>
      <c r="Z213" s="3447">
        <v>0</v>
      </c>
      <c r="AA213" s="3447">
        <v>0</v>
      </c>
      <c r="AB213" s="3447">
        <v>0</v>
      </c>
      <c r="AC213" s="3447">
        <v>0</v>
      </c>
      <c r="AD213" s="3447">
        <v>0</v>
      </c>
      <c r="AE213" s="3447">
        <v>0</v>
      </c>
      <c r="AF213" s="3432"/>
      <c r="AG213" s="3447">
        <v>0</v>
      </c>
      <c r="AH213" s="3447">
        <v>0</v>
      </c>
      <c r="AI213" s="3447">
        <v>0</v>
      </c>
      <c r="AJ213" s="3447">
        <v>0</v>
      </c>
      <c r="AK213" s="3432"/>
      <c r="AL213" s="3447">
        <v>0</v>
      </c>
      <c r="AM213" s="3432"/>
      <c r="AN213" s="3766">
        <v>0</v>
      </c>
      <c r="AO213" s="3426"/>
    </row>
    <row r="214" spans="1:41">
      <c r="A214" s="5047" t="s">
        <v>422</v>
      </c>
      <c r="B214" s="5048"/>
      <c r="C214" s="3454">
        <v>2.6950063409205201E-2</v>
      </c>
      <c r="D214" s="3432"/>
      <c r="E214" s="3447">
        <v>0</v>
      </c>
      <c r="F214" s="3732"/>
      <c r="G214" s="3455">
        <v>80.139977098747195</v>
      </c>
      <c r="H214" s="3447">
        <v>0</v>
      </c>
      <c r="I214" s="3447">
        <v>0</v>
      </c>
      <c r="J214" s="3417">
        <v>191.60351318301599</v>
      </c>
      <c r="K214" s="3432"/>
      <c r="L214" s="3432"/>
      <c r="M214" s="3447">
        <v>0</v>
      </c>
      <c r="N214" s="3432"/>
      <c r="O214" s="3453">
        <v>1.8596572329360499</v>
      </c>
      <c r="P214" s="3432"/>
      <c r="Q214" s="3451">
        <v>0.62306396825065802</v>
      </c>
      <c r="R214" s="3432"/>
      <c r="S214" s="3451">
        <v>0.72776642719048901</v>
      </c>
      <c r="T214" s="3451">
        <v>0.42316382710543898</v>
      </c>
      <c r="U214" s="3432"/>
      <c r="V214" s="3432"/>
      <c r="W214" s="3432"/>
      <c r="X214" s="3432"/>
      <c r="Y214" s="3453">
        <v>2.5874236601265399</v>
      </c>
      <c r="Z214" s="3449">
        <v>1.6827842318731099E-8</v>
      </c>
      <c r="AA214" s="3449">
        <v>2.9362628912256101E-6</v>
      </c>
      <c r="AB214" s="3449">
        <v>2.9530907335443401E-6</v>
      </c>
      <c r="AC214" s="3451">
        <v>0.18053327818838</v>
      </c>
      <c r="AD214" s="3454">
        <v>4.5228316020207E-2</v>
      </c>
      <c r="AE214" s="3451">
        <v>0.22576159420858699</v>
      </c>
      <c r="AF214" s="3432"/>
      <c r="AG214" s="3453">
        <v>6.4845269835092996</v>
      </c>
      <c r="AH214" s="3452">
        <v>7.6947793708196004E-3</v>
      </c>
      <c r="AI214" s="3452">
        <v>8.8346948851664008E-3</v>
      </c>
      <c r="AJ214" s="3454">
        <v>1.6529474255985999E-2</v>
      </c>
      <c r="AK214" s="3432"/>
      <c r="AL214" s="3451">
        <v>0.41996258153834898</v>
      </c>
      <c r="AM214" s="3432"/>
      <c r="AN214" s="3770">
        <v>3.8105532261321802E-2</v>
      </c>
      <c r="AO214" s="3426"/>
    </row>
    <row r="215" spans="1:41">
      <c r="A215" s="5047" t="s">
        <v>10</v>
      </c>
      <c r="B215" s="5048"/>
      <c r="C215" s="3454">
        <v>1.4935624150311201E-2</v>
      </c>
      <c r="D215" s="3432"/>
      <c r="E215" s="3447">
        <v>0</v>
      </c>
      <c r="F215" s="3732"/>
      <c r="G215" s="3455">
        <v>24.687881627212899</v>
      </c>
      <c r="H215" s="3447">
        <v>0</v>
      </c>
      <c r="I215" s="3447">
        <v>0</v>
      </c>
      <c r="J215" s="3412">
        <v>97.930685298637101</v>
      </c>
      <c r="K215" s="3432"/>
      <c r="L215" s="3432"/>
      <c r="M215" s="3447">
        <v>0</v>
      </c>
      <c r="N215" s="3432"/>
      <c r="O215" s="3453">
        <v>1.0533019743101399</v>
      </c>
      <c r="P215" s="3432"/>
      <c r="Q215" s="3451">
        <v>0.34078264344717901</v>
      </c>
      <c r="R215" s="3432"/>
      <c r="S215" s="3451">
        <v>0.412203819617944</v>
      </c>
      <c r="T215" s="3451">
        <v>0.24930971149313799</v>
      </c>
      <c r="U215" s="3432"/>
      <c r="V215" s="3432"/>
      <c r="W215" s="3432"/>
      <c r="X215" s="3432"/>
      <c r="Y215" s="3453">
        <v>1.46550579392808</v>
      </c>
      <c r="Z215" s="3449">
        <v>3.6708814361544901E-9</v>
      </c>
      <c r="AA215" s="3449">
        <v>6.4052614321633001E-7</v>
      </c>
      <c r="AB215" s="3449">
        <v>6.4419702465248495E-7</v>
      </c>
      <c r="AC215" s="3451">
        <v>0.10884641647926301</v>
      </c>
      <c r="AD215" s="3454">
        <v>2.7268879021042702E-2</v>
      </c>
      <c r="AE215" s="3451">
        <v>0.13611529550030599</v>
      </c>
      <c r="AF215" s="3432"/>
      <c r="AG215" s="3453">
        <v>3.8303995025087501</v>
      </c>
      <c r="AH215" s="3452">
        <v>4.5869037410623302E-3</v>
      </c>
      <c r="AI215" s="3452">
        <v>5.2664141578366904E-3</v>
      </c>
      <c r="AJ215" s="3452">
        <v>9.8533178988990302E-3</v>
      </c>
      <c r="AK215" s="3432"/>
      <c r="AL215" s="3451">
        <v>0.24741612322882001</v>
      </c>
      <c r="AM215" s="3432"/>
      <c r="AN215" s="3770">
        <v>2.3865971083188602E-2</v>
      </c>
      <c r="AO215" s="3426"/>
    </row>
    <row r="216" spans="1:41">
      <c r="A216" s="5047" t="s">
        <v>9</v>
      </c>
      <c r="B216" s="5048"/>
      <c r="C216" s="3454">
        <v>1.21403568746749E-2</v>
      </c>
      <c r="D216" s="3432"/>
      <c r="E216" s="3447">
        <v>0</v>
      </c>
      <c r="F216" s="3732"/>
      <c r="G216" s="3455">
        <v>16.184791491843399</v>
      </c>
      <c r="H216" s="3447">
        <v>0</v>
      </c>
      <c r="I216" s="3447">
        <v>0</v>
      </c>
      <c r="J216" s="3412">
        <v>74.848548784639803</v>
      </c>
      <c r="K216" s="3432"/>
      <c r="L216" s="3432"/>
      <c r="M216" s="3447">
        <v>0</v>
      </c>
      <c r="N216" s="3432"/>
      <c r="O216" s="3451">
        <v>0.75263299990787402</v>
      </c>
      <c r="P216" s="3432"/>
      <c r="Q216" s="3451">
        <v>0.257846246204742</v>
      </c>
      <c r="R216" s="3432"/>
      <c r="S216" s="3451">
        <v>0.29453870295432499</v>
      </c>
      <c r="T216" s="3451">
        <v>0.18636010372543599</v>
      </c>
      <c r="U216" s="3432"/>
      <c r="V216" s="3432"/>
      <c r="W216" s="3432"/>
      <c r="X216" s="3432"/>
      <c r="Y216" s="3453">
        <v>1.0471717028622001</v>
      </c>
      <c r="Z216" s="3449">
        <v>1.9055160541818802E-8</v>
      </c>
      <c r="AA216" s="3449">
        <v>3.3249040325871001E-6</v>
      </c>
      <c r="AB216" s="3449">
        <v>3.3439591931289199E-6</v>
      </c>
      <c r="AC216" s="3454">
        <v>7.7306703893999906E-2</v>
      </c>
      <c r="AD216" s="3454">
        <v>1.9367354702051E-2</v>
      </c>
      <c r="AE216" s="3454">
        <v>9.6674058596050896E-2</v>
      </c>
      <c r="AF216" s="3432"/>
      <c r="AG216" s="3453">
        <v>2.8571570324406501</v>
      </c>
      <c r="AH216" s="3452">
        <v>3.2585038230491799E-3</v>
      </c>
      <c r="AI216" s="3452">
        <v>3.7412231945152599E-3</v>
      </c>
      <c r="AJ216" s="3452">
        <v>6.9997270175644402E-3</v>
      </c>
      <c r="AK216" s="3432"/>
      <c r="AL216" s="3451">
        <v>0.184947547151492</v>
      </c>
      <c r="AM216" s="3432"/>
      <c r="AN216" s="3770">
        <v>1.77748150813343E-2</v>
      </c>
      <c r="AO216" s="3426"/>
    </row>
    <row r="217" spans="1:41">
      <c r="A217" s="5047" t="s">
        <v>11</v>
      </c>
      <c r="B217" s="5048"/>
      <c r="C217" s="3454">
        <v>1.1550654355586699E-2</v>
      </c>
      <c r="D217" s="3432"/>
      <c r="E217" s="3447">
        <v>0</v>
      </c>
      <c r="F217" s="3732"/>
      <c r="G217" s="3455">
        <v>15.7862879664819</v>
      </c>
      <c r="H217" s="3447">
        <v>0</v>
      </c>
      <c r="I217" s="3447">
        <v>0</v>
      </c>
      <c r="J217" s="3412">
        <v>73.329049856144294</v>
      </c>
      <c r="K217" s="3432"/>
      <c r="L217" s="3432"/>
      <c r="M217" s="3447">
        <v>0</v>
      </c>
      <c r="N217" s="3432"/>
      <c r="O217" s="3451">
        <v>0.45503576070223301</v>
      </c>
      <c r="P217" s="3432"/>
      <c r="Q217" s="3451">
        <v>0.20964696445556599</v>
      </c>
      <c r="R217" s="3432"/>
      <c r="S217" s="3451">
        <v>0.17807569263037301</v>
      </c>
      <c r="T217" s="3451">
        <v>0.156877228885171</v>
      </c>
      <c r="U217" s="3432"/>
      <c r="V217" s="3432"/>
      <c r="W217" s="3432"/>
      <c r="X217" s="3432"/>
      <c r="Y217" s="3451">
        <v>0.63311145333260599</v>
      </c>
      <c r="Z217" s="3449">
        <v>9.0667786561328002E-7</v>
      </c>
      <c r="AA217" s="3460">
        <v>1.5820474905048001E-4</v>
      </c>
      <c r="AB217" s="3460">
        <v>1.59111426916094E-4</v>
      </c>
      <c r="AC217" s="3454">
        <v>4.8791171376618002E-2</v>
      </c>
      <c r="AD217" s="3454">
        <v>1.22234667212718E-2</v>
      </c>
      <c r="AE217" s="3454">
        <v>6.1014638097889803E-2</v>
      </c>
      <c r="AF217" s="3432"/>
      <c r="AG217" s="3453">
        <v>2.3991029541264202</v>
      </c>
      <c r="AH217" s="3452">
        <v>2.0750141607192899E-3</v>
      </c>
      <c r="AI217" s="3452">
        <v>2.38240969739487E-3</v>
      </c>
      <c r="AJ217" s="3452">
        <v>4.4574238581141599E-3</v>
      </c>
      <c r="AK217" s="3432"/>
      <c r="AL217" s="3451">
        <v>0.15568704989243501</v>
      </c>
      <c r="AM217" s="3432"/>
      <c r="AN217" s="3770">
        <v>1.40739814460132E-2</v>
      </c>
      <c r="AO217" s="3426"/>
    </row>
    <row r="218" spans="1:41">
      <c r="A218" s="5047" t="s">
        <v>12</v>
      </c>
      <c r="B218" s="5048"/>
      <c r="C218" s="3454">
        <v>2.1403121107904901E-2</v>
      </c>
      <c r="D218" s="3432"/>
      <c r="E218" s="3447">
        <v>0</v>
      </c>
      <c r="F218" s="3732"/>
      <c r="G218" s="3455">
        <v>23.350370477289299</v>
      </c>
      <c r="H218" s="3447">
        <v>0</v>
      </c>
      <c r="I218" s="3447">
        <v>0</v>
      </c>
      <c r="J218" s="3417">
        <v>141.380585619133</v>
      </c>
      <c r="K218" s="3432"/>
      <c r="L218" s="3432"/>
      <c r="M218" s="3447">
        <v>0</v>
      </c>
      <c r="N218" s="3432"/>
      <c r="O218" s="3453">
        <v>1.23713825175171</v>
      </c>
      <c r="P218" s="3432"/>
      <c r="Q218" s="3451">
        <v>0.43301317225175101</v>
      </c>
      <c r="R218" s="3432"/>
      <c r="S218" s="3451">
        <v>0.48414711564697899</v>
      </c>
      <c r="T218" s="3451">
        <v>0.30807455382783899</v>
      </c>
      <c r="U218" s="3432"/>
      <c r="V218" s="3432"/>
      <c r="W218" s="3432"/>
      <c r="X218" s="3432"/>
      <c r="Y218" s="3453">
        <v>1.7212853673986901</v>
      </c>
      <c r="Z218" s="3449">
        <v>5.0607902570093203E-8</v>
      </c>
      <c r="AA218" s="3449">
        <v>8.8304907726595892E-6</v>
      </c>
      <c r="AB218" s="3449">
        <v>8.8810986752296797E-6</v>
      </c>
      <c r="AC218" s="3451">
        <v>0.12469267043056</v>
      </c>
      <c r="AD218" s="3454">
        <v>3.1238780795594601E-2</v>
      </c>
      <c r="AE218" s="3451">
        <v>0.15593145122615501</v>
      </c>
      <c r="AF218" s="3432"/>
      <c r="AG218" s="3453">
        <v>4.7204697386150301</v>
      </c>
      <c r="AH218" s="3452">
        <v>5.1833112204341704E-3</v>
      </c>
      <c r="AI218" s="3452">
        <v>5.9511742859129999E-3</v>
      </c>
      <c r="AJ218" s="3454">
        <v>1.11344855063472E-2</v>
      </c>
      <c r="AK218" s="3432"/>
      <c r="AL218" s="3451">
        <v>0.30573393857718201</v>
      </c>
      <c r="AM218" s="3432"/>
      <c r="AN218" s="3770">
        <v>3.3792504726803903E-2</v>
      </c>
      <c r="AO218" s="3426"/>
    </row>
    <row r="219" spans="1:41">
      <c r="A219" s="5047" t="s">
        <v>48</v>
      </c>
      <c r="B219" s="5048"/>
      <c r="C219" s="3447">
        <v>0</v>
      </c>
      <c r="D219" s="3432"/>
      <c r="E219" s="3447">
        <v>0</v>
      </c>
      <c r="F219" s="3732"/>
      <c r="G219" s="3447">
        <v>0</v>
      </c>
      <c r="H219" s="3447">
        <v>0</v>
      </c>
      <c r="I219" s="3447">
        <v>0</v>
      </c>
      <c r="J219" s="3411">
        <v>0</v>
      </c>
      <c r="K219" s="3432"/>
      <c r="L219" s="3432"/>
      <c r="M219" s="3447">
        <v>0</v>
      </c>
      <c r="N219" s="3432"/>
      <c r="O219" s="3447">
        <v>0</v>
      </c>
      <c r="P219" s="3432"/>
      <c r="Q219" s="3447">
        <v>0</v>
      </c>
      <c r="R219" s="3432"/>
      <c r="S219" s="3447">
        <v>0</v>
      </c>
      <c r="T219" s="3447">
        <v>0</v>
      </c>
      <c r="U219" s="3432"/>
      <c r="V219" s="3432"/>
      <c r="W219" s="3432"/>
      <c r="X219" s="3432"/>
      <c r="Y219" s="3447">
        <v>0</v>
      </c>
      <c r="Z219" s="3447">
        <v>0</v>
      </c>
      <c r="AA219" s="3447">
        <v>0</v>
      </c>
      <c r="AB219" s="3447">
        <v>0</v>
      </c>
      <c r="AC219" s="3447">
        <v>0</v>
      </c>
      <c r="AD219" s="3447">
        <v>0</v>
      </c>
      <c r="AE219" s="3447">
        <v>0</v>
      </c>
      <c r="AF219" s="3432"/>
      <c r="AG219" s="3447">
        <v>0</v>
      </c>
      <c r="AH219" s="3447">
        <v>0</v>
      </c>
      <c r="AI219" s="3447">
        <v>0</v>
      </c>
      <c r="AJ219" s="3447">
        <v>0</v>
      </c>
      <c r="AK219" s="3432"/>
      <c r="AL219" s="3447">
        <v>0</v>
      </c>
      <c r="AM219" s="3432"/>
      <c r="AN219" s="3766">
        <v>0</v>
      </c>
      <c r="AO219" s="3426"/>
    </row>
    <row r="220" spans="1:41">
      <c r="A220" s="5047" t="s">
        <v>751</v>
      </c>
      <c r="B220" s="5048"/>
      <c r="C220" s="3452">
        <v>5.50422704759637E-3</v>
      </c>
      <c r="D220" s="3432"/>
      <c r="E220" s="3447">
        <v>0</v>
      </c>
      <c r="F220" s="3732"/>
      <c r="G220" s="3453">
        <v>8.2252312603895508</v>
      </c>
      <c r="H220" s="3447">
        <v>0</v>
      </c>
      <c r="I220" s="3447">
        <v>0</v>
      </c>
      <c r="J220" s="3412">
        <v>34.656286209429403</v>
      </c>
      <c r="K220" s="3432"/>
      <c r="L220" s="3432"/>
      <c r="M220" s="3447">
        <v>0</v>
      </c>
      <c r="N220" s="3432"/>
      <c r="O220" s="3451">
        <v>0.24271610892346601</v>
      </c>
      <c r="P220" s="3432"/>
      <c r="Q220" s="3451">
        <v>0.290562268531601</v>
      </c>
      <c r="R220" s="3432"/>
      <c r="S220" s="3454">
        <v>9.4985587819281195E-2</v>
      </c>
      <c r="T220" s="3454">
        <v>8.5246299060455E-2</v>
      </c>
      <c r="U220" s="3432"/>
      <c r="V220" s="3432"/>
      <c r="W220" s="3432"/>
      <c r="X220" s="3432"/>
      <c r="Y220" s="3451">
        <v>0.33770169674274703</v>
      </c>
      <c r="Z220" s="3449">
        <v>1.9595759421552199E-10</v>
      </c>
      <c r="AA220" s="3449">
        <v>3.4192322536111699E-8</v>
      </c>
      <c r="AB220" s="3449">
        <v>3.4388280130327202E-8</v>
      </c>
      <c r="AC220" s="3454">
        <v>1.0256387970523501E-2</v>
      </c>
      <c r="AD220" s="3452">
        <v>2.5694938961483E-3</v>
      </c>
      <c r="AE220" s="3454">
        <v>1.2825881866671799E-2</v>
      </c>
      <c r="AF220" s="3432"/>
      <c r="AG220" s="3453">
        <v>1.30815638402152</v>
      </c>
      <c r="AH220" s="3460">
        <v>4.0253020668513999E-4</v>
      </c>
      <c r="AI220" s="3460">
        <v>4.6216160161943601E-4</v>
      </c>
      <c r="AJ220" s="3460">
        <v>8.6469180830457595E-4</v>
      </c>
      <c r="AK220" s="3432"/>
      <c r="AL220" s="3454">
        <v>8.4595901935567999E-2</v>
      </c>
      <c r="AM220" s="3432"/>
      <c r="AN220" s="3770">
        <v>1.03743122269196E-2</v>
      </c>
      <c r="AO220" s="3426"/>
    </row>
    <row r="221" spans="1:41">
      <c r="A221" s="5047" t="s">
        <v>65</v>
      </c>
      <c r="B221" s="5048"/>
      <c r="C221" s="3454">
        <v>1.16912040609048E-2</v>
      </c>
      <c r="D221" s="3432"/>
      <c r="E221" s="3447">
        <v>0</v>
      </c>
      <c r="F221" s="3732"/>
      <c r="G221" s="3453">
        <v>7.2535866675252798</v>
      </c>
      <c r="H221" s="3447">
        <v>0</v>
      </c>
      <c r="I221" s="3447">
        <v>0</v>
      </c>
      <c r="J221" s="3412">
        <v>92.174604097412995</v>
      </c>
      <c r="K221" s="3432"/>
      <c r="L221" s="3432"/>
      <c r="M221" s="3447">
        <v>0</v>
      </c>
      <c r="N221" s="3432"/>
      <c r="O221" s="3451">
        <v>0.84565597263522696</v>
      </c>
      <c r="P221" s="3432"/>
      <c r="Q221" s="3451">
        <v>0.28692005609799098</v>
      </c>
      <c r="R221" s="3432"/>
      <c r="S221" s="3451">
        <v>0.33094272156023802</v>
      </c>
      <c r="T221" s="3451">
        <v>0.204931312242457</v>
      </c>
      <c r="U221" s="3432"/>
      <c r="V221" s="3432"/>
      <c r="W221" s="3432"/>
      <c r="X221" s="3432"/>
      <c r="Y221" s="3453">
        <v>1.17659869419546</v>
      </c>
      <c r="Z221" s="3449">
        <v>6.8777993915695598E-9</v>
      </c>
      <c r="AA221" s="3449">
        <v>1.20009605178441E-6</v>
      </c>
      <c r="AB221" s="3449">
        <v>1.20697385117597E-6</v>
      </c>
      <c r="AC221" s="3454">
        <v>8.4943733634118099E-2</v>
      </c>
      <c r="AD221" s="3454">
        <v>2.12806307362975E-2</v>
      </c>
      <c r="AE221" s="3451">
        <v>0.10622436437041601</v>
      </c>
      <c r="AF221" s="3432"/>
      <c r="AG221" s="3453">
        <v>3.1567593770086901</v>
      </c>
      <c r="AH221" s="3452">
        <v>3.4625614401985602E-3</v>
      </c>
      <c r="AI221" s="3452">
        <v>3.9755101960822397E-3</v>
      </c>
      <c r="AJ221" s="3452">
        <v>7.4380716362807998E-3</v>
      </c>
      <c r="AK221" s="3432"/>
      <c r="AL221" s="3451">
        <v>0.203364513553733</v>
      </c>
      <c r="AM221" s="3432"/>
      <c r="AN221" s="3770">
        <v>3.4641410706761397E-2</v>
      </c>
      <c r="AO221" s="3426"/>
    </row>
    <row r="222" spans="1:41">
      <c r="A222" s="5047" t="s">
        <v>13</v>
      </c>
      <c r="B222" s="5048"/>
      <c r="C222" s="3452">
        <v>7.57414967660702E-3</v>
      </c>
      <c r="D222" s="3432"/>
      <c r="E222" s="3447">
        <v>0</v>
      </c>
      <c r="F222" s="3732"/>
      <c r="G222" s="3447">
        <v>0</v>
      </c>
      <c r="H222" s="3447">
        <v>0</v>
      </c>
      <c r="I222" s="3447">
        <v>0</v>
      </c>
      <c r="J222" s="3412">
        <v>54.459878433524302</v>
      </c>
      <c r="K222" s="3432"/>
      <c r="L222" s="3432"/>
      <c r="M222" s="3447">
        <v>0</v>
      </c>
      <c r="N222" s="3432"/>
      <c r="O222" s="3451">
        <v>0.280872577535351</v>
      </c>
      <c r="P222" s="3432"/>
      <c r="Q222" s="3454">
        <v>9.8632970867622294E-2</v>
      </c>
      <c r="R222" s="3432"/>
      <c r="S222" s="3451">
        <v>0.109917907788825</v>
      </c>
      <c r="T222" s="3451">
        <v>0.136917312361541</v>
      </c>
      <c r="U222" s="3432"/>
      <c r="V222" s="3432"/>
      <c r="W222" s="3432"/>
      <c r="X222" s="3432"/>
      <c r="Y222" s="3451">
        <v>0.39079048532417598</v>
      </c>
      <c r="Z222" s="3449">
        <v>4.3312430451703302E-10</v>
      </c>
      <c r="AA222" s="3449">
        <v>7.5575156847390604E-8</v>
      </c>
      <c r="AB222" s="3449">
        <v>7.6008281151907605E-8</v>
      </c>
      <c r="AC222" s="3454">
        <v>5.4661204148781603E-2</v>
      </c>
      <c r="AD222" s="3454">
        <v>1.36940637210745E-2</v>
      </c>
      <c r="AE222" s="3454">
        <v>6.8355267869856198E-2</v>
      </c>
      <c r="AF222" s="3432"/>
      <c r="AG222" s="3453">
        <v>2.1116452587682399</v>
      </c>
      <c r="AH222" s="3452">
        <v>2.2143987000508999E-3</v>
      </c>
      <c r="AI222" s="3452">
        <v>2.5424428597976899E-3</v>
      </c>
      <c r="AJ222" s="3452">
        <v>4.7568415598485802E-3</v>
      </c>
      <c r="AK222" s="3432"/>
      <c r="AL222" s="3451">
        <v>0.13586915788720999</v>
      </c>
      <c r="AM222" s="3432"/>
      <c r="AN222" s="3770">
        <v>2.2119845420728999E-2</v>
      </c>
      <c r="AO222" s="3426"/>
    </row>
    <row r="223" spans="1:41">
      <c r="A223" s="5047" t="s">
        <v>14</v>
      </c>
      <c r="B223" s="5048"/>
      <c r="C223" s="3452">
        <v>5.8843538962846803E-3</v>
      </c>
      <c r="D223" s="3432"/>
      <c r="E223" s="3447">
        <v>0</v>
      </c>
      <c r="F223" s="3732"/>
      <c r="G223" s="3447">
        <v>0</v>
      </c>
      <c r="H223" s="3447">
        <v>0</v>
      </c>
      <c r="I223" s="3447">
        <v>0</v>
      </c>
      <c r="J223" s="3412">
        <v>40.972327748562698</v>
      </c>
      <c r="K223" s="3432"/>
      <c r="L223" s="3432"/>
      <c r="M223" s="3447">
        <v>0</v>
      </c>
      <c r="N223" s="3432"/>
      <c r="O223" s="3451">
        <v>0.29121969311912699</v>
      </c>
      <c r="P223" s="3432"/>
      <c r="Q223" s="3451">
        <v>0.124202179606192</v>
      </c>
      <c r="R223" s="3432"/>
      <c r="S223" s="3451">
        <v>0.113967193434999</v>
      </c>
      <c r="T223" s="3454">
        <v>9.5454000248282503E-2</v>
      </c>
      <c r="U223" s="3432"/>
      <c r="V223" s="3432"/>
      <c r="W223" s="3432"/>
      <c r="X223" s="3432"/>
      <c r="Y223" s="3451">
        <v>0.40518688655412599</v>
      </c>
      <c r="Z223" s="3449">
        <v>1.28028310999447E-7</v>
      </c>
      <c r="AA223" s="3449">
        <v>2.2339452170616299E-5</v>
      </c>
      <c r="AB223" s="3449">
        <v>2.24674804816157E-5</v>
      </c>
      <c r="AC223" s="3454">
        <v>3.1388687607336298E-2</v>
      </c>
      <c r="AD223" s="3452">
        <v>7.8636886052819693E-3</v>
      </c>
      <c r="AE223" s="3454">
        <v>3.9252376212618303E-2</v>
      </c>
      <c r="AF223" s="3432"/>
      <c r="AG223" s="3453">
        <v>1.4708064989875</v>
      </c>
      <c r="AH223" s="3452">
        <v>1.26504246360361E-3</v>
      </c>
      <c r="AI223" s="3452">
        <v>1.4524476458805499E-3</v>
      </c>
      <c r="AJ223" s="3452">
        <v>2.7174901094841599E-3</v>
      </c>
      <c r="AK223" s="3432"/>
      <c r="AL223" s="3454">
        <v>9.4723298576676995E-2</v>
      </c>
      <c r="AM223" s="3432"/>
      <c r="AN223" s="3770">
        <v>1.75038296153315E-2</v>
      </c>
      <c r="AO223" s="3426"/>
    </row>
    <row r="224" spans="1:41">
      <c r="A224" s="5047" t="s">
        <v>424</v>
      </c>
      <c r="B224" s="5048"/>
      <c r="C224" s="3452">
        <v>4.0708450910103902E-3</v>
      </c>
      <c r="D224" s="3432"/>
      <c r="E224" s="3447">
        <v>0</v>
      </c>
      <c r="F224" s="3732"/>
      <c r="G224" s="3447">
        <v>0</v>
      </c>
      <c r="H224" s="3447">
        <v>0</v>
      </c>
      <c r="I224" s="3447">
        <v>0</v>
      </c>
      <c r="J224" s="3412">
        <v>39.507581331472501</v>
      </c>
      <c r="K224" s="3432"/>
      <c r="L224" s="3432"/>
      <c r="M224" s="3447">
        <v>0</v>
      </c>
      <c r="N224" s="3432"/>
      <c r="O224" s="3451">
        <v>0.389374950527062</v>
      </c>
      <c r="P224" s="3432"/>
      <c r="Q224" s="3451">
        <v>0.13151770748827599</v>
      </c>
      <c r="R224" s="3432"/>
      <c r="S224" s="3451">
        <v>0.152379702863392</v>
      </c>
      <c r="T224" s="3454">
        <v>9.5405408748209006E-2</v>
      </c>
      <c r="U224" s="3432"/>
      <c r="V224" s="3432"/>
      <c r="W224" s="3432"/>
      <c r="X224" s="3432"/>
      <c r="Y224" s="3451">
        <v>0.54175465339045403</v>
      </c>
      <c r="Z224" s="3449">
        <v>4.2765533238698699E-11</v>
      </c>
      <c r="AA224" s="3449">
        <v>7.46208847776598E-9</v>
      </c>
      <c r="AB224" s="3449">
        <v>7.5048540110046701E-9</v>
      </c>
      <c r="AC224" s="3454">
        <v>3.9100762077701898E-2</v>
      </c>
      <c r="AD224" s="3452">
        <v>9.7957653105700607E-3</v>
      </c>
      <c r="AE224" s="3454">
        <v>4.8896527388272E-2</v>
      </c>
      <c r="AF224" s="3432"/>
      <c r="AG224" s="3453">
        <v>1.4813727548118101</v>
      </c>
      <c r="AH224" s="3452">
        <v>1.5319782875290501E-3</v>
      </c>
      <c r="AI224" s="3452">
        <v>1.7589277208317499E-3</v>
      </c>
      <c r="AJ224" s="3452">
        <v>3.2909060083608E-3</v>
      </c>
      <c r="AK224" s="3432"/>
      <c r="AL224" s="3454">
        <v>9.4668830880422605E-2</v>
      </c>
      <c r="AM224" s="3432"/>
      <c r="AN224" s="3770">
        <v>3.8332642984158699E-2</v>
      </c>
      <c r="AO224" s="3426"/>
    </row>
    <row r="225" spans="1:41">
      <c r="A225" s="5047" t="s">
        <v>16</v>
      </c>
      <c r="B225" s="5048"/>
      <c r="C225" s="3460">
        <v>1.00717377407902E-4</v>
      </c>
      <c r="D225" s="3432"/>
      <c r="E225" s="3447">
        <v>0</v>
      </c>
      <c r="F225" s="3732"/>
      <c r="G225" s="3447">
        <v>0</v>
      </c>
      <c r="H225" s="3447">
        <v>0</v>
      </c>
      <c r="I225" s="3447">
        <v>0</v>
      </c>
      <c r="J225" s="3411">
        <v>0</v>
      </c>
      <c r="K225" s="3432"/>
      <c r="L225" s="3432"/>
      <c r="M225" s="3447">
        <v>0</v>
      </c>
      <c r="N225" s="3432"/>
      <c r="O225" s="3452">
        <v>7.0657231825239503E-3</v>
      </c>
      <c r="P225" s="3432"/>
      <c r="Q225" s="3452">
        <v>2.6767542369762901E-3</v>
      </c>
      <c r="R225" s="3432"/>
      <c r="S225" s="3452">
        <v>2.76513113545334E-3</v>
      </c>
      <c r="T225" s="3449">
        <v>4.0068564714152302E-5</v>
      </c>
      <c r="U225" s="3432"/>
      <c r="V225" s="3432"/>
      <c r="W225" s="3432"/>
      <c r="X225" s="3432"/>
      <c r="Y225" s="3452">
        <v>9.8308543179772903E-3</v>
      </c>
      <c r="Z225" s="3449">
        <v>2.35573382089759E-12</v>
      </c>
      <c r="AA225" s="3449">
        <v>4.1104817057902401E-10</v>
      </c>
      <c r="AB225" s="3449">
        <v>4.1340390439992199E-10</v>
      </c>
      <c r="AC225" s="3449">
        <v>1.4636622004737901E-5</v>
      </c>
      <c r="AD225" s="3449">
        <v>3.66685728050558E-6</v>
      </c>
      <c r="AE225" s="3449">
        <v>1.8303479285243499E-5</v>
      </c>
      <c r="AF225" s="3432"/>
      <c r="AG225" s="3449">
        <v>8.9814686074720802E-5</v>
      </c>
      <c r="AH225" s="3449">
        <v>8.2264438598940599E-8</v>
      </c>
      <c r="AI225" s="3449">
        <v>9.4451209046651895E-8</v>
      </c>
      <c r="AJ225" s="3449">
        <v>1.76715647645593E-7</v>
      </c>
      <c r="AK225" s="3432"/>
      <c r="AL225" s="3449">
        <v>3.9759279640961798E-5</v>
      </c>
      <c r="AM225" s="3432"/>
      <c r="AN225" s="3771">
        <v>1.0144554435949299E-3</v>
      </c>
      <c r="AO225" s="3426"/>
    </row>
    <row r="226" spans="1:41">
      <c r="A226" s="5047" t="s">
        <v>770</v>
      </c>
      <c r="B226" s="5048"/>
      <c r="C226" s="3460">
        <v>9.9010008362558004E-4</v>
      </c>
      <c r="D226" s="3432"/>
      <c r="E226" s="3447">
        <v>0</v>
      </c>
      <c r="F226" s="3732"/>
      <c r="G226" s="3447">
        <v>0</v>
      </c>
      <c r="H226" s="3447">
        <v>0</v>
      </c>
      <c r="I226" s="3447">
        <v>0</v>
      </c>
      <c r="J226" s="3412">
        <v>10.4910543295463</v>
      </c>
      <c r="K226" s="3432"/>
      <c r="L226" s="3432"/>
      <c r="M226" s="3447">
        <v>0</v>
      </c>
      <c r="N226" s="3432"/>
      <c r="O226" s="3454">
        <v>8.8297669534208395E-2</v>
      </c>
      <c r="P226" s="3432"/>
      <c r="Q226" s="3454">
        <v>2.56786011415404E-2</v>
      </c>
      <c r="R226" s="3432"/>
      <c r="S226" s="3454">
        <v>3.4554797705759401E-2</v>
      </c>
      <c r="T226" s="3454">
        <v>1.84018825861243E-2</v>
      </c>
      <c r="U226" s="3432"/>
      <c r="V226" s="3432"/>
      <c r="W226" s="3432"/>
      <c r="X226" s="3432"/>
      <c r="Y226" s="3451">
        <v>0.122852467239968</v>
      </c>
      <c r="Z226" s="3449">
        <v>6.0483379514475098E-9</v>
      </c>
      <c r="AA226" s="3449">
        <v>1.0553646714801101E-6</v>
      </c>
      <c r="AB226" s="3449">
        <v>1.0614130094315601E-6</v>
      </c>
      <c r="AC226" s="3452">
        <v>8.7009021573568601E-3</v>
      </c>
      <c r="AD226" s="3452">
        <v>2.17980394740966E-3</v>
      </c>
      <c r="AE226" s="3454">
        <v>1.08807061047665E-2</v>
      </c>
      <c r="AF226" s="3432"/>
      <c r="AG226" s="3451">
        <v>0.28486713179503498</v>
      </c>
      <c r="AH226" s="3460">
        <v>3.3926046827181198E-4</v>
      </c>
      <c r="AI226" s="3460">
        <v>3.8951899454667401E-4</v>
      </c>
      <c r="AJ226" s="3460">
        <v>7.2877946281848605E-4</v>
      </c>
      <c r="AK226" s="3432"/>
      <c r="AL226" s="3454">
        <v>1.8259799538324802E-2</v>
      </c>
      <c r="AM226" s="3432"/>
      <c r="AN226" s="3770">
        <v>1.0744344431669601E-2</v>
      </c>
      <c r="AO226" s="3426"/>
    </row>
    <row r="227" spans="1:41">
      <c r="A227" s="5047" t="s">
        <v>833</v>
      </c>
      <c r="B227" s="5048"/>
      <c r="C227" s="3460">
        <v>9.2640588144907502E-4</v>
      </c>
      <c r="D227" s="3432"/>
      <c r="E227" s="3447">
        <v>0</v>
      </c>
      <c r="F227" s="3732"/>
      <c r="G227" s="3447">
        <v>0</v>
      </c>
      <c r="H227" s="3447">
        <v>0</v>
      </c>
      <c r="I227" s="3447">
        <v>0</v>
      </c>
      <c r="J227" s="3412">
        <v>12.673964673116201</v>
      </c>
      <c r="K227" s="3432"/>
      <c r="L227" s="3432"/>
      <c r="M227" s="3447">
        <v>0</v>
      </c>
      <c r="N227" s="3432"/>
      <c r="O227" s="3451">
        <v>0.12319936337847801</v>
      </c>
      <c r="P227" s="3432"/>
      <c r="Q227" s="3454">
        <v>4.1829821169904503E-2</v>
      </c>
      <c r="R227" s="3432"/>
      <c r="S227" s="3454">
        <v>4.82133798262065E-2</v>
      </c>
      <c r="T227" s="3454">
        <v>2.96466489033709E-2</v>
      </c>
      <c r="U227" s="3432"/>
      <c r="V227" s="3432"/>
      <c r="W227" s="3432"/>
      <c r="X227" s="3432"/>
      <c r="Y227" s="3451">
        <v>0.171412743204685</v>
      </c>
      <c r="Z227" s="3449">
        <v>3.5760673347042198E-12</v>
      </c>
      <c r="AA227" s="3449">
        <v>6.2398218455661203E-10</v>
      </c>
      <c r="AB227" s="3449">
        <v>6.2755825189131602E-10</v>
      </c>
      <c r="AC227" s="3454">
        <v>1.18916585064442E-2</v>
      </c>
      <c r="AD227" s="3452">
        <v>2.97917200823565E-3</v>
      </c>
      <c r="AE227" s="3454">
        <v>1.48708305146798E-2</v>
      </c>
      <c r="AF227" s="3432"/>
      <c r="AG227" s="3451">
        <v>0.46271038505798101</v>
      </c>
      <c r="AH227" s="3460">
        <v>4.4906048142000601E-4</v>
      </c>
      <c r="AI227" s="3460">
        <v>5.1558493715578996E-4</v>
      </c>
      <c r="AJ227" s="3460">
        <v>9.6464541857579499E-4</v>
      </c>
      <c r="AK227" s="3432"/>
      <c r="AL227" s="3454">
        <v>2.9415777257323399E-2</v>
      </c>
      <c r="AM227" s="3432"/>
      <c r="AN227" s="3770">
        <v>3.5518705972492598E-2</v>
      </c>
      <c r="AO227" s="3426"/>
    </row>
    <row r="228" spans="1:41">
      <c r="A228" s="5047" t="s">
        <v>834</v>
      </c>
      <c r="B228" s="5048"/>
      <c r="C228" s="3460">
        <v>2.1456163814962301E-4</v>
      </c>
      <c r="D228" s="3432"/>
      <c r="E228" s="3447">
        <v>0</v>
      </c>
      <c r="F228" s="3732"/>
      <c r="G228" s="3447">
        <v>0</v>
      </c>
      <c r="H228" s="3447">
        <v>0</v>
      </c>
      <c r="I228" s="3447">
        <v>0</v>
      </c>
      <c r="J228" s="3413">
        <v>7.0300244824686997</v>
      </c>
      <c r="K228" s="3432"/>
      <c r="L228" s="3432"/>
      <c r="M228" s="3447">
        <v>0</v>
      </c>
      <c r="N228" s="3432"/>
      <c r="O228" s="3454">
        <v>4.1174073421009101E-2</v>
      </c>
      <c r="P228" s="3432"/>
      <c r="Q228" s="3454">
        <v>1.4657316434241899E-2</v>
      </c>
      <c r="R228" s="3432"/>
      <c r="S228" s="3454">
        <v>1.6113242685684301E-2</v>
      </c>
      <c r="T228" s="3454">
        <v>1.1054602083522699E-2</v>
      </c>
      <c r="U228" s="3432"/>
      <c r="V228" s="3432"/>
      <c r="W228" s="3432"/>
      <c r="X228" s="3432"/>
      <c r="Y228" s="3454">
        <v>5.7287316106693298E-2</v>
      </c>
      <c r="Z228" s="3449">
        <v>1.31221826049427E-13</v>
      </c>
      <c r="AA228" s="3449">
        <v>2.28966834279706E-11</v>
      </c>
      <c r="AB228" s="3449">
        <v>2.3027905254019999E-11</v>
      </c>
      <c r="AC228" s="3452">
        <v>4.1828277221325804E-3</v>
      </c>
      <c r="AD228" s="3452">
        <v>1.04790793128617E-3</v>
      </c>
      <c r="AE228" s="3452">
        <v>5.2307356534187499E-3</v>
      </c>
      <c r="AF228" s="3432"/>
      <c r="AG228" s="3451">
        <v>0.17336092531073699</v>
      </c>
      <c r="AH228" s="3460">
        <v>1.5266910810032101E-4</v>
      </c>
      <c r="AI228" s="3460">
        <v>1.7528572600427399E-4</v>
      </c>
      <c r="AJ228" s="3460">
        <v>3.27954834104595E-4</v>
      </c>
      <c r="AK228" s="3432"/>
      <c r="AL228" s="3454">
        <v>1.0967889666514701E-2</v>
      </c>
      <c r="AM228" s="3432"/>
      <c r="AN228" s="3770">
        <v>3.1377651669540603E-2</v>
      </c>
      <c r="AO228" s="3426"/>
    </row>
    <row r="229" spans="1:41">
      <c r="A229" s="5047" t="s">
        <v>752</v>
      </c>
      <c r="B229" s="5048"/>
      <c r="C229" s="3449">
        <v>8.9138912916993395E-8</v>
      </c>
      <c r="D229" s="3432"/>
      <c r="E229" s="3447">
        <v>0</v>
      </c>
      <c r="F229" s="3732"/>
      <c r="G229" s="3447">
        <v>0</v>
      </c>
      <c r="H229" s="3447">
        <v>0</v>
      </c>
      <c r="I229" s="3447">
        <v>0</v>
      </c>
      <c r="J229" s="3411">
        <v>0</v>
      </c>
      <c r="K229" s="3432"/>
      <c r="L229" s="3432"/>
      <c r="M229" s="3447">
        <v>0</v>
      </c>
      <c r="N229" s="3432"/>
      <c r="O229" s="3449">
        <v>3.2831538213940502E-5</v>
      </c>
      <c r="P229" s="3432"/>
      <c r="Q229" s="3449">
        <v>1.6123385281399102E-5</v>
      </c>
      <c r="R229" s="3432"/>
      <c r="S229" s="3449">
        <v>1.28484383261338E-5</v>
      </c>
      <c r="T229" s="3449">
        <v>1.27572057768605E-5</v>
      </c>
      <c r="U229" s="3432"/>
      <c r="V229" s="3432"/>
      <c r="W229" s="3432"/>
      <c r="X229" s="3432"/>
      <c r="Y229" s="3449">
        <v>4.5679976540074303E-5</v>
      </c>
      <c r="Z229" s="3449">
        <v>2.6761654854463899E-18</v>
      </c>
      <c r="AA229" s="3449">
        <v>4.6695977160115901E-16</v>
      </c>
      <c r="AB229" s="3449">
        <v>4.6963593708660495E-16</v>
      </c>
      <c r="AC229" s="3449">
        <v>3.1560950808890099E-6</v>
      </c>
      <c r="AD229" s="3449">
        <v>7.9068450504355202E-7</v>
      </c>
      <c r="AE229" s="3449">
        <v>3.9467795859325697E-6</v>
      </c>
      <c r="AF229" s="3432"/>
      <c r="AG229" s="3460">
        <v>2.00712106609356E-4</v>
      </c>
      <c r="AH229" s="3449">
        <v>8.46146745654959E-8</v>
      </c>
      <c r="AI229" s="3449">
        <v>9.7149612298004496E-8</v>
      </c>
      <c r="AJ229" s="3449">
        <v>1.817642868635E-7</v>
      </c>
      <c r="AK229" s="3432"/>
      <c r="AL229" s="3449">
        <v>1.2650986523505901E-5</v>
      </c>
      <c r="AM229" s="3432"/>
      <c r="AN229" s="3774">
        <v>1.9572368853557301E-4</v>
      </c>
      <c r="AO229" s="3426"/>
    </row>
    <row r="230" spans="1:41" ht="13" thickBot="1">
      <c r="A230" s="5049" t="s">
        <v>430</v>
      </c>
      <c r="B230" s="5050"/>
      <c r="C230" s="3431" t="s">
        <v>57</v>
      </c>
      <c r="D230" s="3433" t="s">
        <v>57</v>
      </c>
      <c r="E230" s="3433" t="s">
        <v>57</v>
      </c>
      <c r="F230" s="3733" t="s">
        <v>57</v>
      </c>
      <c r="G230" s="3433" t="s">
        <v>57</v>
      </c>
      <c r="H230" s="3433" t="s">
        <v>57</v>
      </c>
      <c r="I230" s="3433" t="s">
        <v>57</v>
      </c>
      <c r="J230" s="3418" t="s">
        <v>57</v>
      </c>
      <c r="K230" s="3433" t="s">
        <v>57</v>
      </c>
      <c r="L230" s="3433" t="s">
        <v>57</v>
      </c>
      <c r="M230" s="3433" t="s">
        <v>57</v>
      </c>
      <c r="N230" s="3433" t="s">
        <v>57</v>
      </c>
      <c r="O230" s="3433" t="s">
        <v>57</v>
      </c>
      <c r="P230" s="3433" t="s">
        <v>57</v>
      </c>
      <c r="Q230" s="3433" t="s">
        <v>57</v>
      </c>
      <c r="R230" s="3433" t="s">
        <v>57</v>
      </c>
      <c r="S230" s="3433" t="s">
        <v>57</v>
      </c>
      <c r="T230" s="3433" t="s">
        <v>57</v>
      </c>
      <c r="U230" s="3433" t="s">
        <v>57</v>
      </c>
      <c r="V230" s="3433" t="s">
        <v>57</v>
      </c>
      <c r="W230" s="3433" t="s">
        <v>57</v>
      </c>
      <c r="X230" s="3433" t="s">
        <v>57</v>
      </c>
      <c r="Y230" s="3433" t="s">
        <v>57</v>
      </c>
      <c r="Z230" s="3433" t="s">
        <v>57</v>
      </c>
      <c r="AA230" s="3433" t="s">
        <v>57</v>
      </c>
      <c r="AB230" s="3433" t="s">
        <v>57</v>
      </c>
      <c r="AC230" s="3433" t="s">
        <v>57</v>
      </c>
      <c r="AD230" s="3433" t="s">
        <v>57</v>
      </c>
      <c r="AE230" s="3433" t="s">
        <v>57</v>
      </c>
      <c r="AF230" s="3433" t="s">
        <v>57</v>
      </c>
      <c r="AG230" s="3433" t="s">
        <v>57</v>
      </c>
      <c r="AH230" s="3433" t="s">
        <v>57</v>
      </c>
      <c r="AI230" s="3433" t="s">
        <v>57</v>
      </c>
      <c r="AJ230" s="3433" t="s">
        <v>57</v>
      </c>
      <c r="AK230" s="3433" t="s">
        <v>57</v>
      </c>
      <c r="AL230" s="3433" t="s">
        <v>57</v>
      </c>
      <c r="AM230" s="3433" t="s">
        <v>57</v>
      </c>
      <c r="AN230" s="3765" t="s">
        <v>57</v>
      </c>
      <c r="AO230" s="3426"/>
    </row>
    <row r="231" spans="1:41" ht="13" thickTop="1">
      <c r="A231" s="5051" t="s">
        <v>298</v>
      </c>
      <c r="B231" s="5052"/>
      <c r="C231" s="3449">
        <v>5.4588140456231301E-6</v>
      </c>
      <c r="D231" s="3432"/>
      <c r="E231" s="3447">
        <v>0</v>
      </c>
      <c r="F231" s="3732"/>
      <c r="G231" s="3447">
        <v>0</v>
      </c>
      <c r="H231" s="3447">
        <v>0</v>
      </c>
      <c r="I231" s="3447">
        <v>0</v>
      </c>
      <c r="J231" s="3420">
        <v>9.7099906984473401E-4</v>
      </c>
      <c r="K231" s="3432"/>
      <c r="L231" s="3432"/>
      <c r="M231" s="3447">
        <v>0</v>
      </c>
      <c r="N231" s="3432"/>
      <c r="O231" s="3449">
        <v>1.1387843269288601E-8</v>
      </c>
      <c r="P231" s="3432"/>
      <c r="Q231" s="3449">
        <v>7.7169736234751301E-6</v>
      </c>
      <c r="R231" s="3432"/>
      <c r="S231" s="3449">
        <v>4.4565685884009397E-9</v>
      </c>
      <c r="T231" s="3460">
        <v>1.51857164156442E-4</v>
      </c>
      <c r="U231" s="3432"/>
      <c r="V231" s="3432"/>
      <c r="W231" s="3432"/>
      <c r="X231" s="3432"/>
      <c r="Y231" s="3449">
        <v>1.58444118576895E-8</v>
      </c>
      <c r="Z231" s="3449">
        <v>2.2713337312737401E-6</v>
      </c>
      <c r="AA231" s="3460">
        <v>3.9632133593886401E-4</v>
      </c>
      <c r="AB231" s="3460">
        <v>3.9859266967013702E-4</v>
      </c>
      <c r="AC231" s="3449">
        <v>4.6136384779355101E-8</v>
      </c>
      <c r="AD231" s="3449">
        <v>1.1558373125276001E-8</v>
      </c>
      <c r="AE231" s="3449">
        <v>5.7694757904631102E-8</v>
      </c>
      <c r="AF231" s="3432"/>
      <c r="AG231" s="3452">
        <v>2.6436626354642101E-3</v>
      </c>
      <c r="AH231" s="3460">
        <v>1.4501226456053499E-4</v>
      </c>
      <c r="AI231" s="3460">
        <v>1.6649458681788101E-4</v>
      </c>
      <c r="AJ231" s="3460">
        <v>3.1150685137841598E-4</v>
      </c>
      <c r="AK231" s="3432"/>
      <c r="AL231" s="3460">
        <v>1.50871890164253E-4</v>
      </c>
      <c r="AM231" s="3432"/>
      <c r="AN231" s="3766">
        <v>0</v>
      </c>
      <c r="AO231" s="3426"/>
    </row>
    <row r="232" spans="1:41">
      <c r="A232" s="5047" t="s">
        <v>5</v>
      </c>
      <c r="B232" s="5048"/>
      <c r="C232" s="3447">
        <v>0</v>
      </c>
      <c r="D232" s="3432"/>
      <c r="E232" s="3449">
        <v>1.20000012047996E-8</v>
      </c>
      <c r="F232" s="3732"/>
      <c r="G232" s="3449">
        <v>7.0788295218968399E-6</v>
      </c>
      <c r="H232" s="3449">
        <v>9.6000009599997097E-9</v>
      </c>
      <c r="I232" s="3449">
        <v>6.0000005999998196E-10</v>
      </c>
      <c r="J232" s="3411">
        <v>0</v>
      </c>
      <c r="K232" s="3432"/>
      <c r="L232" s="3432"/>
      <c r="M232" s="3449">
        <v>5.6400005639998303E-8</v>
      </c>
      <c r="N232" s="3432"/>
      <c r="O232" s="3447">
        <v>0</v>
      </c>
      <c r="P232" s="3432"/>
      <c r="Q232" s="3447">
        <v>0</v>
      </c>
      <c r="R232" s="3432"/>
      <c r="S232" s="3447">
        <v>0</v>
      </c>
      <c r="T232" s="3447">
        <v>0</v>
      </c>
      <c r="U232" s="3432"/>
      <c r="V232" s="3432"/>
      <c r="W232" s="3432"/>
      <c r="X232" s="3432"/>
      <c r="Y232" s="3447">
        <v>0</v>
      </c>
      <c r="Z232" s="3447">
        <v>0</v>
      </c>
      <c r="AA232" s="3447">
        <v>0</v>
      </c>
      <c r="AB232" s="3447">
        <v>0</v>
      </c>
      <c r="AC232" s="3447">
        <v>0</v>
      </c>
      <c r="AD232" s="3447">
        <v>0</v>
      </c>
      <c r="AE232" s="3447">
        <v>0</v>
      </c>
      <c r="AF232" s="3432"/>
      <c r="AG232" s="3447">
        <v>0</v>
      </c>
      <c r="AH232" s="3447">
        <v>0</v>
      </c>
      <c r="AI232" s="3447">
        <v>0</v>
      </c>
      <c r="AJ232" s="3447">
        <v>0</v>
      </c>
      <c r="AK232" s="3432"/>
      <c r="AL232" s="3447">
        <v>0</v>
      </c>
      <c r="AM232" s="3432"/>
      <c r="AN232" s="3766">
        <v>0</v>
      </c>
      <c r="AO232" s="3426"/>
    </row>
    <row r="233" spans="1:41">
      <c r="A233" s="5047" t="s">
        <v>832</v>
      </c>
      <c r="B233" s="5048"/>
      <c r="C233" s="3447">
        <v>0</v>
      </c>
      <c r="D233" s="3432"/>
      <c r="E233" s="3452">
        <v>2.1839997815999799E-3</v>
      </c>
      <c r="F233" s="3732"/>
      <c r="G233" s="3451">
        <v>0.236807242255927</v>
      </c>
      <c r="H233" s="3452">
        <v>1.74719982527998E-3</v>
      </c>
      <c r="I233" s="3460">
        <v>1.09199989079999E-4</v>
      </c>
      <c r="J233" s="3411">
        <v>0</v>
      </c>
      <c r="K233" s="3432"/>
      <c r="L233" s="3432"/>
      <c r="M233" s="3454">
        <v>1.02647989735199E-2</v>
      </c>
      <c r="N233" s="3432"/>
      <c r="O233" s="3449">
        <v>8.2845299251734206E-9</v>
      </c>
      <c r="P233" s="3432"/>
      <c r="Q233" s="3449">
        <v>2.0647733943408301E-7</v>
      </c>
      <c r="R233" s="3432"/>
      <c r="S233" s="3449">
        <v>3.2421043178355901E-9</v>
      </c>
      <c r="T233" s="3447">
        <v>0</v>
      </c>
      <c r="U233" s="3432"/>
      <c r="V233" s="3432"/>
      <c r="W233" s="3432"/>
      <c r="X233" s="3432"/>
      <c r="Y233" s="3449">
        <v>1.1526634243009E-8</v>
      </c>
      <c r="Z233" s="3447">
        <v>0</v>
      </c>
      <c r="AA233" s="3447">
        <v>0</v>
      </c>
      <c r="AB233" s="3447">
        <v>0</v>
      </c>
      <c r="AC233" s="3447">
        <v>0</v>
      </c>
      <c r="AD233" s="3447">
        <v>0</v>
      </c>
      <c r="AE233" s="3447">
        <v>0</v>
      </c>
      <c r="AF233" s="3432"/>
      <c r="AG233" s="3447">
        <v>0</v>
      </c>
      <c r="AH233" s="3447">
        <v>0</v>
      </c>
      <c r="AI233" s="3447">
        <v>0</v>
      </c>
      <c r="AJ233" s="3447">
        <v>0</v>
      </c>
      <c r="AK233" s="3432"/>
      <c r="AL233" s="3447">
        <v>0</v>
      </c>
      <c r="AM233" s="3432"/>
      <c r="AN233" s="3766">
        <v>0</v>
      </c>
      <c r="AO233" s="3426"/>
    </row>
    <row r="234" spans="1:41">
      <c r="A234" s="5047" t="s">
        <v>3</v>
      </c>
      <c r="B234" s="5048"/>
      <c r="C234" s="3449">
        <v>1.26168363363722E-7</v>
      </c>
      <c r="D234" s="3432"/>
      <c r="E234" s="3447">
        <v>0</v>
      </c>
      <c r="F234" s="3732"/>
      <c r="G234" s="3454">
        <v>2.46352432322983E-2</v>
      </c>
      <c r="H234" s="3447">
        <v>0</v>
      </c>
      <c r="I234" s="3447">
        <v>0</v>
      </c>
      <c r="J234" s="3422">
        <v>2.2495686683868298E-3</v>
      </c>
      <c r="K234" s="3432"/>
      <c r="L234" s="3432"/>
      <c r="M234" s="3447">
        <v>0</v>
      </c>
      <c r="N234" s="3432"/>
      <c r="O234" s="3449">
        <v>3.6167238996773401E-6</v>
      </c>
      <c r="P234" s="3432"/>
      <c r="Q234" s="3449">
        <v>2.7744844546551999E-6</v>
      </c>
      <c r="R234" s="3432"/>
      <c r="S234" s="3449">
        <v>1.4153846117367499E-6</v>
      </c>
      <c r="T234" s="3449">
        <v>9.9313227997165395E-8</v>
      </c>
      <c r="U234" s="3432"/>
      <c r="V234" s="3432"/>
      <c r="W234" s="3432"/>
      <c r="X234" s="3432"/>
      <c r="Y234" s="3449">
        <v>5.0321085114140904E-6</v>
      </c>
      <c r="Z234" s="3447">
        <v>0</v>
      </c>
      <c r="AA234" s="3447">
        <v>0</v>
      </c>
      <c r="AB234" s="3447">
        <v>0</v>
      </c>
      <c r="AC234" s="3449">
        <v>2.7476273878026E-8</v>
      </c>
      <c r="AD234" s="3449">
        <v>6.8835264638378799E-9</v>
      </c>
      <c r="AE234" s="3449">
        <v>3.4359800341863901E-8</v>
      </c>
      <c r="AF234" s="3432"/>
      <c r="AG234" s="3447">
        <v>0</v>
      </c>
      <c r="AH234" s="3447">
        <v>0</v>
      </c>
      <c r="AI234" s="3447">
        <v>0</v>
      </c>
      <c r="AJ234" s="3447">
        <v>0</v>
      </c>
      <c r="AK234" s="3432"/>
      <c r="AL234" s="3449">
        <v>9.8719499538768497E-8</v>
      </c>
      <c r="AM234" s="3432"/>
      <c r="AN234" s="3766">
        <v>0</v>
      </c>
      <c r="AO234" s="3426"/>
    </row>
    <row r="235" spans="1:41">
      <c r="A235" s="5047" t="s">
        <v>6</v>
      </c>
      <c r="B235" s="5048"/>
      <c r="C235" s="3449">
        <v>4.31846096110854E-6</v>
      </c>
      <c r="D235" s="3432"/>
      <c r="E235" s="3454">
        <v>9.5243990475599005E-2</v>
      </c>
      <c r="F235" s="3732"/>
      <c r="G235" s="3455">
        <v>10.2036736401729</v>
      </c>
      <c r="H235" s="3454">
        <v>7.6195192380479199E-2</v>
      </c>
      <c r="I235" s="3452">
        <v>4.7621995237799499E-3</v>
      </c>
      <c r="J235" s="3420">
        <v>8.9998055240221098E-4</v>
      </c>
      <c r="K235" s="3432"/>
      <c r="L235" s="3432"/>
      <c r="M235" s="3451">
        <v>0.447646755235316</v>
      </c>
      <c r="N235" s="3432"/>
      <c r="O235" s="3449">
        <v>2.1233846293605098E-5</v>
      </c>
      <c r="P235" s="3432"/>
      <c r="Q235" s="3460">
        <v>1.00300257960805E-4</v>
      </c>
      <c r="R235" s="3432"/>
      <c r="S235" s="3449">
        <v>8.3097466451982607E-6</v>
      </c>
      <c r="T235" s="3449">
        <v>3.64364527306049E-6</v>
      </c>
      <c r="U235" s="3432"/>
      <c r="V235" s="3432"/>
      <c r="W235" s="3432"/>
      <c r="X235" s="3432"/>
      <c r="Y235" s="3449">
        <v>2.9543592938803401E-5</v>
      </c>
      <c r="Z235" s="3447">
        <v>0</v>
      </c>
      <c r="AA235" s="3447">
        <v>0</v>
      </c>
      <c r="AB235" s="3447">
        <v>0</v>
      </c>
      <c r="AC235" s="3449">
        <v>2.0162414679533099E-7</v>
      </c>
      <c r="AD235" s="3449">
        <v>5.0512131170899003E-8</v>
      </c>
      <c r="AE235" s="3449">
        <v>2.5213627796622999E-7</v>
      </c>
      <c r="AF235" s="3432"/>
      <c r="AG235" s="3447">
        <v>0</v>
      </c>
      <c r="AH235" s="3447">
        <v>0</v>
      </c>
      <c r="AI235" s="3447">
        <v>0</v>
      </c>
      <c r="AJ235" s="3447">
        <v>0</v>
      </c>
      <c r="AK235" s="3432"/>
      <c r="AL235" s="3449">
        <v>3.62674070435038E-6</v>
      </c>
      <c r="AM235" s="3432"/>
      <c r="AN235" s="3766">
        <v>0</v>
      </c>
      <c r="AO235" s="3426"/>
    </row>
    <row r="236" spans="1:41">
      <c r="A236" s="5047" t="s">
        <v>7</v>
      </c>
      <c r="B236" s="5048"/>
      <c r="C236" s="3449">
        <v>2.0544756045423399E-5</v>
      </c>
      <c r="D236" s="3432"/>
      <c r="E236" s="3454">
        <v>2.03279979671998E-2</v>
      </c>
      <c r="F236" s="3732"/>
      <c r="G236" s="3453">
        <v>2.1926728848931201</v>
      </c>
      <c r="H236" s="3454">
        <v>1.6262398373759802E-2</v>
      </c>
      <c r="I236" s="3452">
        <v>1.01639989835999E-3</v>
      </c>
      <c r="J236" s="3421">
        <v>0.67499624711764705</v>
      </c>
      <c r="K236" s="3432"/>
      <c r="L236" s="3432"/>
      <c r="M236" s="3454">
        <v>9.5541590445839097E-2</v>
      </c>
      <c r="N236" s="3432"/>
      <c r="O236" s="3452">
        <v>3.1639809195436702E-3</v>
      </c>
      <c r="P236" s="3432"/>
      <c r="Q236" s="3452">
        <v>1.2110513472333099E-3</v>
      </c>
      <c r="R236" s="3432"/>
      <c r="S236" s="3452">
        <v>1.23820618592155E-3</v>
      </c>
      <c r="T236" s="3460">
        <v>5.2910473115103205E-4</v>
      </c>
      <c r="U236" s="3432"/>
      <c r="V236" s="3432"/>
      <c r="W236" s="3432"/>
      <c r="X236" s="3432"/>
      <c r="Y236" s="3452">
        <v>4.4021871054652304E-3</v>
      </c>
      <c r="Z236" s="3449">
        <v>1.30971436449923E-8</v>
      </c>
      <c r="AA236" s="3449">
        <v>2.2852993353185799E-6</v>
      </c>
      <c r="AB236" s="3449">
        <v>2.2983964789635699E-6</v>
      </c>
      <c r="AC236" s="3460">
        <v>2.4904992263907798E-4</v>
      </c>
      <c r="AD236" s="3449">
        <v>6.2393530538866295E-5</v>
      </c>
      <c r="AE236" s="3460">
        <v>3.1144345317794499E-4</v>
      </c>
      <c r="AF236" s="3432"/>
      <c r="AG236" s="3452">
        <v>8.9374061545727992E-3</v>
      </c>
      <c r="AH236" s="3449">
        <v>2.0787279296339599E-5</v>
      </c>
      <c r="AI236" s="3449">
        <v>2.3866736292964802E-5</v>
      </c>
      <c r="AJ236" s="3449">
        <v>4.46540155893044E-5</v>
      </c>
      <c r="AK236" s="3432"/>
      <c r="AL236" s="3460">
        <v>5.2557825184607802E-4</v>
      </c>
      <c r="AM236" s="3432"/>
      <c r="AN236" s="3772">
        <v>1.7145070597580098E-5</v>
      </c>
      <c r="AO236" s="3426"/>
    </row>
    <row r="237" spans="1:41">
      <c r="A237" s="5047" t="s">
        <v>8</v>
      </c>
      <c r="B237" s="5048"/>
      <c r="C237" s="3460">
        <v>1.38056688756772E-4</v>
      </c>
      <c r="D237" s="3432"/>
      <c r="E237" s="3452">
        <v>2.2439997755999801E-3</v>
      </c>
      <c r="F237" s="3732"/>
      <c r="G237" s="3453">
        <v>1.19075108678857</v>
      </c>
      <c r="H237" s="3452">
        <v>1.7951998204799801E-3</v>
      </c>
      <c r="I237" s="3460">
        <v>1.12199988779999E-4</v>
      </c>
      <c r="J237" s="3413">
        <v>2.9209468474337701</v>
      </c>
      <c r="K237" s="3432"/>
      <c r="L237" s="3432"/>
      <c r="M237" s="3454">
        <v>1.05467989453199E-2</v>
      </c>
      <c r="N237" s="3432"/>
      <c r="O237" s="3452">
        <v>7.8328486912905993E-3</v>
      </c>
      <c r="P237" s="3432"/>
      <c r="Q237" s="3452">
        <v>2.8195090209119202E-3</v>
      </c>
      <c r="R237" s="3432"/>
      <c r="S237" s="3452">
        <v>3.0653414004602701E-3</v>
      </c>
      <c r="T237" s="3452">
        <v>1.2318958379177599E-3</v>
      </c>
      <c r="U237" s="3432"/>
      <c r="V237" s="3432"/>
      <c r="W237" s="3432"/>
      <c r="X237" s="3432"/>
      <c r="Y237" s="3454">
        <v>1.0898190091750901E-2</v>
      </c>
      <c r="Z237" s="3449">
        <v>4.3804121101269299E-9</v>
      </c>
      <c r="AA237" s="3449">
        <v>7.6433099880690999E-7</v>
      </c>
      <c r="AB237" s="3449">
        <v>7.6871141091703698E-7</v>
      </c>
      <c r="AC237" s="3460">
        <v>5.3950586242314301E-4</v>
      </c>
      <c r="AD237" s="3460">
        <v>1.3516035317858E-4</v>
      </c>
      <c r="AE237" s="3460">
        <v>6.7466621560172298E-4</v>
      </c>
      <c r="AF237" s="3432"/>
      <c r="AG237" s="3454">
        <v>1.8574281593588801E-2</v>
      </c>
      <c r="AH237" s="3449">
        <v>2.9614196389319799E-5</v>
      </c>
      <c r="AI237" s="3449">
        <v>3.4001285385934301E-5</v>
      </c>
      <c r="AJ237" s="3449">
        <v>6.3615481775254205E-5</v>
      </c>
      <c r="AK237" s="3432"/>
      <c r="AL237" s="3452">
        <v>1.2230383386492799E-3</v>
      </c>
      <c r="AM237" s="3432"/>
      <c r="AN237" s="3772">
        <v>1.99626595461289E-5</v>
      </c>
      <c r="AO237" s="3426"/>
    </row>
    <row r="238" spans="1:41">
      <c r="A238" s="5047" t="s">
        <v>66</v>
      </c>
      <c r="B238" s="5048"/>
      <c r="C238" s="3449">
        <v>2.3808145299337001E-5</v>
      </c>
      <c r="D238" s="3432"/>
      <c r="E238" s="3447">
        <v>0</v>
      </c>
      <c r="F238" s="3732"/>
      <c r="G238" s="3451">
        <v>0.136049460189756</v>
      </c>
      <c r="H238" s="3447">
        <v>0</v>
      </c>
      <c r="I238" s="3447">
        <v>0</v>
      </c>
      <c r="J238" s="3421">
        <v>0.264599916402732</v>
      </c>
      <c r="K238" s="3432"/>
      <c r="L238" s="3432"/>
      <c r="M238" s="3447">
        <v>0</v>
      </c>
      <c r="N238" s="3432"/>
      <c r="O238" s="3452">
        <v>1.35463834614732E-3</v>
      </c>
      <c r="P238" s="3432"/>
      <c r="Q238" s="3460">
        <v>4.78259642890477E-4</v>
      </c>
      <c r="R238" s="3432"/>
      <c r="S238" s="3460">
        <v>5.3013011852424995E-4</v>
      </c>
      <c r="T238" s="3460">
        <v>2.2951207258856899E-4</v>
      </c>
      <c r="U238" s="3432"/>
      <c r="V238" s="3432"/>
      <c r="W238" s="3432"/>
      <c r="X238" s="3432"/>
      <c r="Y238" s="3452">
        <v>1.8847684646715701E-3</v>
      </c>
      <c r="Z238" s="3449">
        <v>1.9387304451416001E-10</v>
      </c>
      <c r="AA238" s="3449">
        <v>3.3828592842364003E-8</v>
      </c>
      <c r="AB238" s="3449">
        <v>3.4022465886878202E-8</v>
      </c>
      <c r="AC238" s="3449">
        <v>9.7724269630347104E-5</v>
      </c>
      <c r="AD238" s="3449">
        <v>2.4482489843635601E-5</v>
      </c>
      <c r="AE238" s="3460">
        <v>1.22206759473983E-4</v>
      </c>
      <c r="AF238" s="3432"/>
      <c r="AG238" s="3452">
        <v>3.44399368046847E-3</v>
      </c>
      <c r="AH238" s="3449">
        <v>4.7327874266886697E-6</v>
      </c>
      <c r="AI238" s="3449">
        <v>5.4339092592712797E-6</v>
      </c>
      <c r="AJ238" s="3449">
        <v>1.0166696685959899E-5</v>
      </c>
      <c r="AK238" s="3432"/>
      <c r="AL238" s="3460">
        <v>2.2782251865496999E-4</v>
      </c>
      <c r="AM238" s="3432"/>
      <c r="AN238" s="3772">
        <v>9.1872971490157106E-6</v>
      </c>
      <c r="AO238" s="3426"/>
    </row>
    <row r="239" spans="1:41">
      <c r="A239" s="5047" t="s">
        <v>359</v>
      </c>
      <c r="B239" s="5048"/>
      <c r="C239" s="3449">
        <v>4.4895512409914199E-5</v>
      </c>
      <c r="D239" s="3432"/>
      <c r="E239" s="3447">
        <v>0</v>
      </c>
      <c r="F239" s="3732"/>
      <c r="G239" s="3451">
        <v>0.30274921390723902</v>
      </c>
      <c r="H239" s="3447">
        <v>0</v>
      </c>
      <c r="I239" s="3447">
        <v>0</v>
      </c>
      <c r="J239" s="3421">
        <v>0.413549887999623</v>
      </c>
      <c r="K239" s="3432"/>
      <c r="L239" s="3432"/>
      <c r="M239" s="3447">
        <v>0</v>
      </c>
      <c r="N239" s="3432"/>
      <c r="O239" s="3452">
        <v>3.34796262079787E-3</v>
      </c>
      <c r="P239" s="3432"/>
      <c r="Q239" s="3452">
        <v>1.1527951497456201E-3</v>
      </c>
      <c r="R239" s="3432"/>
      <c r="S239" s="3452">
        <v>1.3102063927439699E-3</v>
      </c>
      <c r="T239" s="3460">
        <v>5.4945921421936704E-4</v>
      </c>
      <c r="U239" s="3432"/>
      <c r="V239" s="3432"/>
      <c r="W239" s="3432"/>
      <c r="X239" s="3432"/>
      <c r="Y239" s="3452">
        <v>4.6581690135418397E-3</v>
      </c>
      <c r="Z239" s="3449">
        <v>4.6987214836657401E-10</v>
      </c>
      <c r="AA239" s="3449">
        <v>8.1987228471561703E-8</v>
      </c>
      <c r="AB239" s="3449">
        <v>8.24571006199283E-8</v>
      </c>
      <c r="AC239" s="3460">
        <v>2.3789860860819E-4</v>
      </c>
      <c r="AD239" s="3449">
        <v>5.9599834218217403E-5</v>
      </c>
      <c r="AE239" s="3460">
        <v>2.9749844282640802E-4</v>
      </c>
      <c r="AF239" s="3432"/>
      <c r="AG239" s="3452">
        <v>8.3336880321815791E-3</v>
      </c>
      <c r="AH239" s="3449">
        <v>1.12510680899881E-5</v>
      </c>
      <c r="AI239" s="3449">
        <v>1.2917817252074E-5</v>
      </c>
      <c r="AJ239" s="3449">
        <v>2.41688853420621E-5</v>
      </c>
      <c r="AK239" s="3432"/>
      <c r="AL239" s="3460">
        <v>5.4539021219853802E-4</v>
      </c>
      <c r="AM239" s="3432"/>
      <c r="AN239" s="3772">
        <v>2.5632205829635201E-5</v>
      </c>
      <c r="AO239" s="3426"/>
    </row>
    <row r="240" spans="1:41">
      <c r="A240" s="5047" t="s">
        <v>68</v>
      </c>
      <c r="B240" s="5048"/>
      <c r="C240" s="3449">
        <v>8.6277600475218903E-6</v>
      </c>
      <c r="D240" s="3432"/>
      <c r="E240" s="3447">
        <v>0</v>
      </c>
      <c r="F240" s="3732"/>
      <c r="G240" s="3454">
        <v>4.6541167292889297E-2</v>
      </c>
      <c r="H240" s="3447">
        <v>0</v>
      </c>
      <c r="I240" s="3447">
        <v>0</v>
      </c>
      <c r="J240" s="3419">
        <v>5.6249995389271903E-2</v>
      </c>
      <c r="K240" s="3432"/>
      <c r="L240" s="3432"/>
      <c r="M240" s="3447">
        <v>0</v>
      </c>
      <c r="N240" s="3432"/>
      <c r="O240" s="3460">
        <v>6.7568435526055802E-4</v>
      </c>
      <c r="P240" s="3432"/>
      <c r="Q240" s="3460">
        <v>2.2687115552043899E-4</v>
      </c>
      <c r="R240" s="3432"/>
      <c r="S240" s="3460">
        <v>2.6442528248075102E-4</v>
      </c>
      <c r="T240" s="3460">
        <v>1.3537117281415601E-4</v>
      </c>
      <c r="U240" s="3432"/>
      <c r="V240" s="3432"/>
      <c r="W240" s="3432"/>
      <c r="X240" s="3432"/>
      <c r="Y240" s="3460">
        <v>9.4010963774130904E-4</v>
      </c>
      <c r="Z240" s="3449">
        <v>2.9678811124337802E-11</v>
      </c>
      <c r="AA240" s="3449">
        <v>5.1786075784110404E-9</v>
      </c>
      <c r="AB240" s="3449">
        <v>5.20828638953537E-9</v>
      </c>
      <c r="AC240" s="3449">
        <v>5.86347846907681E-5</v>
      </c>
      <c r="AD240" s="3449">
        <v>1.4689549751617701E-5</v>
      </c>
      <c r="AE240" s="3449">
        <v>7.3324334442385899E-5</v>
      </c>
      <c r="AF240" s="3432"/>
      <c r="AG240" s="3452">
        <v>2.07351998769339E-3</v>
      </c>
      <c r="AH240" s="3449">
        <v>2.6355211943905E-6</v>
      </c>
      <c r="AI240" s="3449">
        <v>3.02595103689754E-6</v>
      </c>
      <c r="AJ240" s="3449">
        <v>5.66147223128804E-6</v>
      </c>
      <c r="AK240" s="3432"/>
      <c r="AL240" s="3460">
        <v>1.3435723727933899E-4</v>
      </c>
      <c r="AM240" s="3432"/>
      <c r="AN240" s="3772">
        <v>8.8304955352440403E-6</v>
      </c>
      <c r="AO240" s="3426"/>
    </row>
    <row r="241" spans="1:41">
      <c r="A241" s="5047" t="s">
        <v>669</v>
      </c>
      <c r="B241" s="5048"/>
      <c r="C241" s="3449">
        <v>8.7244127179455803E-6</v>
      </c>
      <c r="D241" s="3432"/>
      <c r="E241" s="3447">
        <v>0</v>
      </c>
      <c r="F241" s="3732"/>
      <c r="G241" s="3454">
        <v>4.0691500773249303E-2</v>
      </c>
      <c r="H241" s="3447">
        <v>0</v>
      </c>
      <c r="I241" s="3447">
        <v>0</v>
      </c>
      <c r="J241" s="3419">
        <v>5.3999998705556398E-2</v>
      </c>
      <c r="K241" s="3432"/>
      <c r="L241" s="3432"/>
      <c r="M241" s="3447">
        <v>0</v>
      </c>
      <c r="N241" s="3432"/>
      <c r="O241" s="3460">
        <v>6.7103484820292395E-4</v>
      </c>
      <c r="P241" s="3432"/>
      <c r="Q241" s="3460">
        <v>2.27030478937551E-4</v>
      </c>
      <c r="R241" s="3432"/>
      <c r="S241" s="3460">
        <v>2.62605723973085E-4</v>
      </c>
      <c r="T241" s="3460">
        <v>1.38877637624885E-4</v>
      </c>
      <c r="U241" s="3432"/>
      <c r="V241" s="3432"/>
      <c r="W241" s="3432"/>
      <c r="X241" s="3432"/>
      <c r="Y241" s="3460">
        <v>9.3364057217600895E-4</v>
      </c>
      <c r="Z241" s="3449">
        <v>1.03029616650207E-11</v>
      </c>
      <c r="AA241" s="3449">
        <v>1.7977470571522099E-9</v>
      </c>
      <c r="AB241" s="3449">
        <v>1.80805001881723E-9</v>
      </c>
      <c r="AC241" s="3449">
        <v>5.9428372733979302E-5</v>
      </c>
      <c r="AD241" s="3449">
        <v>1.48883643478428E-5</v>
      </c>
      <c r="AE241" s="3449">
        <v>7.4316737081822198E-5</v>
      </c>
      <c r="AF241" s="3432"/>
      <c r="AG241" s="3452">
        <v>2.1283949554046899E-3</v>
      </c>
      <c r="AH241" s="3449">
        <v>2.6278656978551901E-6</v>
      </c>
      <c r="AI241" s="3449">
        <v>3.0171614442627801E-6</v>
      </c>
      <c r="AJ241" s="3449">
        <v>5.6450271421179601E-6</v>
      </c>
      <c r="AK241" s="3432"/>
      <c r="AL241" s="3460">
        <v>1.3783419950882299E-4</v>
      </c>
      <c r="AM241" s="3432"/>
      <c r="AN241" s="3772">
        <v>9.9504123559262497E-6</v>
      </c>
      <c r="AO241" s="3426"/>
    </row>
    <row r="242" spans="1:41">
      <c r="A242" s="5047" t="s">
        <v>99</v>
      </c>
      <c r="B242" s="5048"/>
      <c r="C242" s="3447">
        <v>0</v>
      </c>
      <c r="D242" s="3432"/>
      <c r="E242" s="3447">
        <v>0</v>
      </c>
      <c r="F242" s="3732"/>
      <c r="G242" s="3447">
        <v>0</v>
      </c>
      <c r="H242" s="3447">
        <v>0</v>
      </c>
      <c r="I242" s="3447">
        <v>0</v>
      </c>
      <c r="J242" s="3411">
        <v>0</v>
      </c>
      <c r="K242" s="3432"/>
      <c r="L242" s="3432"/>
      <c r="M242" s="3447">
        <v>0</v>
      </c>
      <c r="N242" s="3432"/>
      <c r="O242" s="3447">
        <v>0</v>
      </c>
      <c r="P242" s="3432"/>
      <c r="Q242" s="3447">
        <v>0</v>
      </c>
      <c r="R242" s="3432"/>
      <c r="S242" s="3447">
        <v>0</v>
      </c>
      <c r="T242" s="3447">
        <v>0</v>
      </c>
      <c r="U242" s="3432"/>
      <c r="V242" s="3432"/>
      <c r="W242" s="3432"/>
      <c r="X242" s="3432"/>
      <c r="Y242" s="3447">
        <v>0</v>
      </c>
      <c r="Z242" s="3447">
        <v>0</v>
      </c>
      <c r="AA242" s="3447">
        <v>0</v>
      </c>
      <c r="AB242" s="3447">
        <v>0</v>
      </c>
      <c r="AC242" s="3447">
        <v>0</v>
      </c>
      <c r="AD242" s="3447">
        <v>0</v>
      </c>
      <c r="AE242" s="3447">
        <v>0</v>
      </c>
      <c r="AF242" s="3432"/>
      <c r="AG242" s="3447">
        <v>0</v>
      </c>
      <c r="AH242" s="3447">
        <v>0</v>
      </c>
      <c r="AI242" s="3447">
        <v>0</v>
      </c>
      <c r="AJ242" s="3447">
        <v>0</v>
      </c>
      <c r="AK242" s="3432"/>
      <c r="AL242" s="3447">
        <v>0</v>
      </c>
      <c r="AM242" s="3432"/>
      <c r="AN242" s="3766">
        <v>0</v>
      </c>
      <c r="AO242" s="3426"/>
    </row>
    <row r="243" spans="1:41">
      <c r="A243" s="5047" t="s">
        <v>422</v>
      </c>
      <c r="B243" s="5048"/>
      <c r="C243" s="3449">
        <v>2.8482712473619701E-6</v>
      </c>
      <c r="D243" s="3432"/>
      <c r="E243" s="3447">
        <v>0</v>
      </c>
      <c r="F243" s="3732"/>
      <c r="G243" s="3452">
        <v>8.4697534498802997E-3</v>
      </c>
      <c r="H243" s="3447">
        <v>0</v>
      </c>
      <c r="I243" s="3447">
        <v>0</v>
      </c>
      <c r="J243" s="3419">
        <v>2.02499997571924E-2</v>
      </c>
      <c r="K243" s="3432"/>
      <c r="L243" s="3432"/>
      <c r="M243" s="3447">
        <v>0</v>
      </c>
      <c r="N243" s="3432"/>
      <c r="O243" s="3460">
        <v>1.9654158678941201E-4</v>
      </c>
      <c r="P243" s="3432"/>
      <c r="Q243" s="3449">
        <v>6.5849759204256305E-5</v>
      </c>
      <c r="R243" s="3432"/>
      <c r="S243" s="3449">
        <v>7.6915447577536995E-5</v>
      </c>
      <c r="T243" s="3449">
        <v>4.4722913759690502E-5</v>
      </c>
      <c r="U243" s="3432"/>
      <c r="V243" s="3432"/>
      <c r="W243" s="3432"/>
      <c r="X243" s="3432"/>
      <c r="Y243" s="3460">
        <v>2.7345703436694902E-4</v>
      </c>
      <c r="Z243" s="3449">
        <v>1.77848410609719E-12</v>
      </c>
      <c r="AA243" s="3449">
        <v>3.10324804835792E-10</v>
      </c>
      <c r="AB243" s="3449">
        <v>3.1210328894188898E-10</v>
      </c>
      <c r="AC243" s="3449">
        <v>1.90800198741027E-5</v>
      </c>
      <c r="AD243" s="3449">
        <v>4.7800448604122802E-6</v>
      </c>
      <c r="AE243" s="3449">
        <v>2.3860064734514998E-5</v>
      </c>
      <c r="AF243" s="3432"/>
      <c r="AG243" s="3460">
        <v>6.8533017824231896E-4</v>
      </c>
      <c r="AH243" s="3449">
        <v>8.1323811762214495E-7</v>
      </c>
      <c r="AI243" s="3449">
        <v>9.3371236418094404E-7</v>
      </c>
      <c r="AJ243" s="3449">
        <v>1.7469504818030899E-6</v>
      </c>
      <c r="AK243" s="3432"/>
      <c r="AL243" s="3449">
        <v>4.4384583731814798E-5</v>
      </c>
      <c r="AM243" s="3432"/>
      <c r="AN243" s="3772">
        <v>4.0272592408177899E-6</v>
      </c>
      <c r="AO243" s="3426"/>
    </row>
    <row r="244" spans="1:41">
      <c r="A244" s="5047" t="s">
        <v>10</v>
      </c>
      <c r="B244" s="5048"/>
      <c r="C244" s="3449">
        <v>1.57850125184515E-6</v>
      </c>
      <c r="D244" s="3432"/>
      <c r="E244" s="3447">
        <v>0</v>
      </c>
      <c r="F244" s="3732"/>
      <c r="G244" s="3452">
        <v>2.6091880501122799E-3</v>
      </c>
      <c r="H244" s="3447">
        <v>0</v>
      </c>
      <c r="I244" s="3447">
        <v>0</v>
      </c>
      <c r="J244" s="3419">
        <v>1.03499999586379E-2</v>
      </c>
      <c r="K244" s="3432"/>
      <c r="L244" s="3432"/>
      <c r="M244" s="3447">
        <v>0</v>
      </c>
      <c r="N244" s="3432"/>
      <c r="O244" s="3460">
        <v>1.11320321687719E-4</v>
      </c>
      <c r="P244" s="3432"/>
      <c r="Q244" s="3449">
        <v>3.6016293920817598E-5</v>
      </c>
      <c r="R244" s="3432"/>
      <c r="S244" s="3449">
        <v>4.3564583490721999E-5</v>
      </c>
      <c r="T244" s="3449">
        <v>2.6348794514949799E-5</v>
      </c>
      <c r="U244" s="3432"/>
      <c r="V244" s="3432"/>
      <c r="W244" s="3432"/>
      <c r="X244" s="3432"/>
      <c r="Y244" s="3460">
        <v>1.5488490517844101E-4</v>
      </c>
      <c r="Z244" s="3449">
        <v>3.8796443215426202E-13</v>
      </c>
      <c r="AA244" s="3449">
        <v>6.7695284022359003E-11</v>
      </c>
      <c r="AB244" s="3449">
        <v>6.8083248454513206E-11</v>
      </c>
      <c r="AC244" s="3449">
        <v>1.15036507977335E-5</v>
      </c>
      <c r="AD244" s="3449">
        <v>2.88196591169796E-6</v>
      </c>
      <c r="AE244" s="3449">
        <v>1.43856167094314E-5</v>
      </c>
      <c r="AF244" s="3432"/>
      <c r="AG244" s="3460">
        <v>4.0482341741648003E-4</v>
      </c>
      <c r="AH244" s="3449">
        <v>4.8477607795247197E-7</v>
      </c>
      <c r="AI244" s="3449">
        <v>5.5659149274367698E-7</v>
      </c>
      <c r="AJ244" s="3449">
        <v>1.0413675706961499E-6</v>
      </c>
      <c r="AK244" s="3432"/>
      <c r="AL244" s="3449">
        <v>2.6148666859377801E-5</v>
      </c>
      <c r="AM244" s="3432"/>
      <c r="AN244" s="3772">
        <v>2.5223227936228102E-6</v>
      </c>
      <c r="AO244" s="3426"/>
    </row>
    <row r="245" spans="1:41">
      <c r="A245" s="5047" t="s">
        <v>9</v>
      </c>
      <c r="B245" s="5048"/>
      <c r="C245" s="3449">
        <v>1.3138115354260801E-6</v>
      </c>
      <c r="D245" s="3432"/>
      <c r="E245" s="3447">
        <v>0</v>
      </c>
      <c r="F245" s="3732"/>
      <c r="G245" s="3452">
        <v>1.75149429130921E-3</v>
      </c>
      <c r="H245" s="3447">
        <v>0</v>
      </c>
      <c r="I245" s="3447">
        <v>0</v>
      </c>
      <c r="J245" s="3422">
        <v>8.0999996802642894E-3</v>
      </c>
      <c r="K245" s="3432"/>
      <c r="L245" s="3432"/>
      <c r="M245" s="3447">
        <v>0</v>
      </c>
      <c r="N245" s="3432"/>
      <c r="O245" s="3449">
        <v>8.1448834447692202E-5</v>
      </c>
      <c r="P245" s="3432"/>
      <c r="Q245" s="3449">
        <v>2.7903740897169801E-5</v>
      </c>
      <c r="R245" s="3432"/>
      <c r="S245" s="3449">
        <v>3.1874544510141498E-5</v>
      </c>
      <c r="T245" s="3449">
        <v>2.01676158736671E-5</v>
      </c>
      <c r="U245" s="3432"/>
      <c r="V245" s="3432"/>
      <c r="W245" s="3432"/>
      <c r="X245" s="3432"/>
      <c r="Y245" s="3460">
        <v>1.13323378957834E-4</v>
      </c>
      <c r="Z245" s="3449">
        <v>2.0621214011806199E-12</v>
      </c>
      <c r="AA245" s="3449">
        <v>3.5981621605456998E-10</v>
      </c>
      <c r="AB245" s="3449">
        <v>3.6187833745575099E-10</v>
      </c>
      <c r="AC245" s="3449">
        <v>8.3660176047687094E-6</v>
      </c>
      <c r="AD245" s="3449">
        <v>2.0959065932667999E-6</v>
      </c>
      <c r="AE245" s="3449">
        <v>1.04619241980355E-5</v>
      </c>
      <c r="AF245" s="3432"/>
      <c r="AG245" s="3460">
        <v>3.0919732479814599E-4</v>
      </c>
      <c r="AH245" s="3449">
        <v>3.5263048320122999E-7</v>
      </c>
      <c r="AI245" s="3449">
        <v>4.0486966242410102E-7</v>
      </c>
      <c r="AJ245" s="3449">
        <v>7.5750014562533102E-7</v>
      </c>
      <c r="AK245" s="3432"/>
      <c r="AL245" s="3449">
        <v>2.0014751082257199E-5</v>
      </c>
      <c r="AM245" s="3432"/>
      <c r="AN245" s="3772">
        <v>1.92356430169173E-6</v>
      </c>
      <c r="AO245" s="3426"/>
    </row>
    <row r="246" spans="1:41">
      <c r="A246" s="5047" t="s">
        <v>11</v>
      </c>
      <c r="B246" s="5048"/>
      <c r="C246" s="3449">
        <v>1.3467729369440801E-6</v>
      </c>
      <c r="D246" s="3432"/>
      <c r="E246" s="3447">
        <v>0</v>
      </c>
      <c r="F246" s="3732"/>
      <c r="G246" s="3452">
        <v>1.8406355825010799E-3</v>
      </c>
      <c r="H246" s="3447">
        <v>0</v>
      </c>
      <c r="I246" s="3447">
        <v>0</v>
      </c>
      <c r="J246" s="3422">
        <v>8.5499554222495406E-3</v>
      </c>
      <c r="K246" s="3432"/>
      <c r="L246" s="3432"/>
      <c r="M246" s="3447">
        <v>0</v>
      </c>
      <c r="N246" s="3432"/>
      <c r="O246" s="3449">
        <v>5.3055855451091901E-5</v>
      </c>
      <c r="P246" s="3432"/>
      <c r="Q246" s="3449">
        <v>2.4444230547395101E-5</v>
      </c>
      <c r="R246" s="3432"/>
      <c r="S246" s="3449">
        <v>2.0763111437592601E-5</v>
      </c>
      <c r="T246" s="3449">
        <v>1.8291431790887501E-5</v>
      </c>
      <c r="U246" s="3432"/>
      <c r="V246" s="3432"/>
      <c r="W246" s="3432"/>
      <c r="X246" s="3432"/>
      <c r="Y246" s="3449">
        <v>7.3818966888684396E-5</v>
      </c>
      <c r="Z246" s="3449">
        <v>1.05716020438581E-10</v>
      </c>
      <c r="AA246" s="3449">
        <v>1.8446216807982301E-8</v>
      </c>
      <c r="AB246" s="3449">
        <v>1.8551932828420902E-8</v>
      </c>
      <c r="AC246" s="3449">
        <v>5.6889096625117099E-6</v>
      </c>
      <c r="AD246" s="3449">
        <v>1.4252209155478E-6</v>
      </c>
      <c r="AE246" s="3449">
        <v>7.11413057805951E-6</v>
      </c>
      <c r="AF246" s="3432"/>
      <c r="AG246" s="3460">
        <v>2.79728475296061E-4</v>
      </c>
      <c r="AH246" s="3449">
        <v>2.41940658026949E-7</v>
      </c>
      <c r="AI246" s="3449">
        <v>2.7778208977508501E-7</v>
      </c>
      <c r="AJ246" s="3449">
        <v>5.1972274780203296E-7</v>
      </c>
      <c r="AK246" s="3432"/>
      <c r="AL246" s="3449">
        <v>1.8152660357842201E-5</v>
      </c>
      <c r="AM246" s="3432"/>
      <c r="AN246" s="3772">
        <v>1.64098558774517E-6</v>
      </c>
      <c r="AO246" s="3426"/>
    </row>
    <row r="247" spans="1:41">
      <c r="A247" s="5047" t="s">
        <v>12</v>
      </c>
      <c r="B247" s="5048"/>
      <c r="C247" s="3449">
        <v>2.3162142345539402E-6</v>
      </c>
      <c r="D247" s="3432"/>
      <c r="E247" s="3447">
        <v>0</v>
      </c>
      <c r="F247" s="3732"/>
      <c r="G247" s="3452">
        <v>2.5269426925604E-3</v>
      </c>
      <c r="H247" s="3447">
        <v>0</v>
      </c>
      <c r="I247" s="3447">
        <v>0</v>
      </c>
      <c r="J247" s="3419">
        <v>1.5299998689427699E-2</v>
      </c>
      <c r="K247" s="3432"/>
      <c r="L247" s="3432"/>
      <c r="M247" s="3447">
        <v>0</v>
      </c>
      <c r="N247" s="3432"/>
      <c r="O247" s="3460">
        <v>1.3388127901403001E-4</v>
      </c>
      <c r="P247" s="3432"/>
      <c r="Q247" s="3449">
        <v>4.6860047572614903E-5</v>
      </c>
      <c r="R247" s="3432"/>
      <c r="S247" s="3449">
        <v>5.2393687594731198E-5</v>
      </c>
      <c r="T247" s="3449">
        <v>3.3339374350236703E-5</v>
      </c>
      <c r="U247" s="3432"/>
      <c r="V247" s="3432"/>
      <c r="W247" s="3432"/>
      <c r="X247" s="3432"/>
      <c r="Y247" s="3460">
        <v>1.86274966608761E-4</v>
      </c>
      <c r="Z247" s="3449">
        <v>5.4767126589998098E-12</v>
      </c>
      <c r="AA247" s="3449">
        <v>9.5562270206363808E-10</v>
      </c>
      <c r="AB247" s="3449">
        <v>9.6109941472263693E-10</v>
      </c>
      <c r="AC247" s="3449">
        <v>1.34940570928759E-5</v>
      </c>
      <c r="AD247" s="3449">
        <v>3.38061483575604E-6</v>
      </c>
      <c r="AE247" s="3449">
        <v>1.6874671928631999E-5</v>
      </c>
      <c r="AF247" s="3432"/>
      <c r="AG247" s="3460">
        <v>5.1084228077012098E-4</v>
      </c>
      <c r="AH247" s="3449">
        <v>5.6093030406012496E-7</v>
      </c>
      <c r="AI247" s="3449">
        <v>6.4402731376649999E-7</v>
      </c>
      <c r="AJ247" s="3449">
        <v>1.20495761782663E-6</v>
      </c>
      <c r="AK247" s="3432"/>
      <c r="AL247" s="3449">
        <v>3.3086076416077799E-5</v>
      </c>
      <c r="AM247" s="3432"/>
      <c r="AN247" s="3772">
        <v>3.6569750773660101E-6</v>
      </c>
      <c r="AO247" s="3426"/>
    </row>
    <row r="248" spans="1:41">
      <c r="A248" s="5047" t="s">
        <v>48</v>
      </c>
      <c r="B248" s="5048"/>
      <c r="C248" s="3447">
        <v>0</v>
      </c>
      <c r="D248" s="3432"/>
      <c r="E248" s="3447">
        <v>0</v>
      </c>
      <c r="F248" s="3732"/>
      <c r="G248" s="3447">
        <v>0</v>
      </c>
      <c r="H248" s="3447">
        <v>0</v>
      </c>
      <c r="I248" s="3447">
        <v>0</v>
      </c>
      <c r="J248" s="3411">
        <v>0</v>
      </c>
      <c r="K248" s="3432"/>
      <c r="L248" s="3432"/>
      <c r="M248" s="3447">
        <v>0</v>
      </c>
      <c r="N248" s="3432"/>
      <c r="O248" s="3447">
        <v>0</v>
      </c>
      <c r="P248" s="3432"/>
      <c r="Q248" s="3447">
        <v>0</v>
      </c>
      <c r="R248" s="3432"/>
      <c r="S248" s="3447">
        <v>0</v>
      </c>
      <c r="T248" s="3447">
        <v>0</v>
      </c>
      <c r="U248" s="3432"/>
      <c r="V248" s="3432"/>
      <c r="W248" s="3432"/>
      <c r="X248" s="3432"/>
      <c r="Y248" s="3447">
        <v>0</v>
      </c>
      <c r="Z248" s="3447">
        <v>0</v>
      </c>
      <c r="AA248" s="3447">
        <v>0</v>
      </c>
      <c r="AB248" s="3447">
        <v>0</v>
      </c>
      <c r="AC248" s="3447">
        <v>0</v>
      </c>
      <c r="AD248" s="3447">
        <v>0</v>
      </c>
      <c r="AE248" s="3447">
        <v>0</v>
      </c>
      <c r="AF248" s="3432"/>
      <c r="AG248" s="3447">
        <v>0</v>
      </c>
      <c r="AH248" s="3447">
        <v>0</v>
      </c>
      <c r="AI248" s="3447">
        <v>0</v>
      </c>
      <c r="AJ248" s="3447">
        <v>0</v>
      </c>
      <c r="AK248" s="3432"/>
      <c r="AL248" s="3447">
        <v>0</v>
      </c>
      <c r="AM248" s="3432"/>
      <c r="AN248" s="3766">
        <v>0</v>
      </c>
      <c r="AO248" s="3426"/>
    </row>
    <row r="249" spans="1:41">
      <c r="A249" s="5047" t="s">
        <v>751</v>
      </c>
      <c r="B249" s="5048"/>
      <c r="C249" s="3449">
        <v>5.0029351215797003E-7</v>
      </c>
      <c r="D249" s="3432"/>
      <c r="E249" s="3447">
        <v>0</v>
      </c>
      <c r="F249" s="3732"/>
      <c r="G249" s="3460">
        <v>7.4761266204830597E-4</v>
      </c>
      <c r="H249" s="3447">
        <v>0</v>
      </c>
      <c r="I249" s="3447">
        <v>0</v>
      </c>
      <c r="J249" s="3422">
        <v>3.1499999902145498E-3</v>
      </c>
      <c r="K249" s="3432"/>
      <c r="L249" s="3432"/>
      <c r="M249" s="3447">
        <v>0</v>
      </c>
      <c r="N249" s="3432"/>
      <c r="O249" s="3449">
        <v>2.20610984141113E-5</v>
      </c>
      <c r="P249" s="3432"/>
      <c r="Q249" s="3449">
        <v>2.6409960302735301E-5</v>
      </c>
      <c r="R249" s="3432"/>
      <c r="S249" s="3449">
        <v>8.6334871224560299E-6</v>
      </c>
      <c r="T249" s="3449">
        <v>7.7482578365017806E-6</v>
      </c>
      <c r="U249" s="3432"/>
      <c r="V249" s="3432"/>
      <c r="W249" s="3432"/>
      <c r="X249" s="3432"/>
      <c r="Y249" s="3449">
        <v>3.0694585536567401E-5</v>
      </c>
      <c r="Z249" s="3449">
        <v>1.7811095399293399E-14</v>
      </c>
      <c r="AA249" s="3449">
        <v>3.10782912523557E-12</v>
      </c>
      <c r="AB249" s="3449">
        <v>3.1256402206348699E-12</v>
      </c>
      <c r="AC249" s="3449">
        <v>9.32229778215396E-7</v>
      </c>
      <c r="AD249" s="3449">
        <v>2.3354798315121501E-7</v>
      </c>
      <c r="AE249" s="3449">
        <v>1.1657777613666101E-6</v>
      </c>
      <c r="AF249" s="3432"/>
      <c r="AG249" s="3460">
        <v>1.18901736093861E-4</v>
      </c>
      <c r="AH249" s="3449">
        <v>3.6587017416028197E-8</v>
      </c>
      <c r="AI249" s="3449">
        <v>4.2007069995361002E-8</v>
      </c>
      <c r="AJ249" s="3449">
        <v>7.8594087411389298E-8</v>
      </c>
      <c r="AK249" s="3432"/>
      <c r="AL249" s="3449">
        <v>7.6891415502197305E-6</v>
      </c>
      <c r="AM249" s="3432"/>
      <c r="AN249" s="3772">
        <v>9.4294822058539105E-7</v>
      </c>
      <c r="AO249" s="3426"/>
    </row>
    <row r="250" spans="1:41">
      <c r="A250" s="5047" t="s">
        <v>65</v>
      </c>
      <c r="B250" s="5048"/>
      <c r="C250" s="3449">
        <v>1.08446132539352E-6</v>
      </c>
      <c r="D250" s="3432"/>
      <c r="E250" s="3447">
        <v>0</v>
      </c>
      <c r="F250" s="3732"/>
      <c r="G250" s="3460">
        <v>6.7283353967156803E-4</v>
      </c>
      <c r="H250" s="3447">
        <v>0</v>
      </c>
      <c r="I250" s="3447">
        <v>0</v>
      </c>
      <c r="J250" s="3422">
        <v>8.5499998807964505E-3</v>
      </c>
      <c r="K250" s="3432"/>
      <c r="L250" s="3432"/>
      <c r="M250" s="3447">
        <v>0</v>
      </c>
      <c r="N250" s="3432"/>
      <c r="O250" s="3449">
        <v>7.8441980153066095E-5</v>
      </c>
      <c r="P250" s="3432"/>
      <c r="Q250" s="3449">
        <v>2.66143420897512E-5</v>
      </c>
      <c r="R250" s="3432"/>
      <c r="S250" s="3449">
        <v>3.0697828947549601E-5</v>
      </c>
      <c r="T250" s="3449">
        <v>1.9009169742597799E-5</v>
      </c>
      <c r="U250" s="3432"/>
      <c r="V250" s="3432"/>
      <c r="W250" s="3432"/>
      <c r="X250" s="3432"/>
      <c r="Y250" s="3460">
        <v>1.09139809100616E-4</v>
      </c>
      <c r="Z250" s="3449">
        <v>6.3797598648663002E-13</v>
      </c>
      <c r="AA250" s="3449">
        <v>1.11319394318819E-10</v>
      </c>
      <c r="AB250" s="3449">
        <v>1.1195737030530601E-10</v>
      </c>
      <c r="AC250" s="3449">
        <v>7.8792734675439608E-6</v>
      </c>
      <c r="AD250" s="3449">
        <v>1.9739644345673198E-6</v>
      </c>
      <c r="AE250" s="3449">
        <v>9.8532379021112802E-6</v>
      </c>
      <c r="AF250" s="3432"/>
      <c r="AG250" s="3460">
        <v>2.9281701355183702E-4</v>
      </c>
      <c r="AH250" s="3449">
        <v>3.2118282677580801E-7</v>
      </c>
      <c r="AI250" s="3449">
        <v>3.6876330563552998E-7</v>
      </c>
      <c r="AJ250" s="3449">
        <v>6.8994613241133699E-7</v>
      </c>
      <c r="AK250" s="3432"/>
      <c r="AL250" s="3449">
        <v>1.8863835474737301E-5</v>
      </c>
      <c r="AM250" s="3432"/>
      <c r="AN250" s="3772">
        <v>3.2132935130419898E-6</v>
      </c>
      <c r="AO250" s="3426"/>
    </row>
    <row r="251" spans="1:41">
      <c r="A251" s="5047" t="s">
        <v>13</v>
      </c>
      <c r="B251" s="5048"/>
      <c r="C251" s="3449">
        <v>6.8843416351704002E-7</v>
      </c>
      <c r="D251" s="3432"/>
      <c r="E251" s="3447">
        <v>0</v>
      </c>
      <c r="F251" s="3732"/>
      <c r="G251" s="3447">
        <v>0</v>
      </c>
      <c r="H251" s="3447">
        <v>0</v>
      </c>
      <c r="I251" s="3447">
        <v>0</v>
      </c>
      <c r="J251" s="3422">
        <v>4.9499999941139596E-3</v>
      </c>
      <c r="K251" s="3432"/>
      <c r="L251" s="3432"/>
      <c r="M251" s="3447">
        <v>0</v>
      </c>
      <c r="N251" s="3432"/>
      <c r="O251" s="3449">
        <v>2.5529239086419098E-5</v>
      </c>
      <c r="P251" s="3432"/>
      <c r="Q251" s="3449">
        <v>8.9650072541040995E-6</v>
      </c>
      <c r="R251" s="3432"/>
      <c r="S251" s="3449">
        <v>9.9907245215731205E-6</v>
      </c>
      <c r="T251" s="3449">
        <v>1.24447706252412E-5</v>
      </c>
      <c r="U251" s="3432"/>
      <c r="V251" s="3432"/>
      <c r="W251" s="3432"/>
      <c r="X251" s="3432"/>
      <c r="Y251" s="3449">
        <v>3.5519963607992197E-5</v>
      </c>
      <c r="Z251" s="3449">
        <v>3.9367794539367703E-14</v>
      </c>
      <c r="AA251" s="3449">
        <v>6.8692225673324202E-12</v>
      </c>
      <c r="AB251" s="3449">
        <v>6.9085903618717801E-12</v>
      </c>
      <c r="AC251" s="3449">
        <v>4.9682990119965498E-6</v>
      </c>
      <c r="AD251" s="3449">
        <v>1.2446890681450299E-6</v>
      </c>
      <c r="AE251" s="3449">
        <v>6.2129880801415803E-6</v>
      </c>
      <c r="AF251" s="3432"/>
      <c r="AG251" s="3460">
        <v>1.9193292969304799E-4</v>
      </c>
      <c r="AH251" s="3449">
        <v>2.0127245721999999E-7</v>
      </c>
      <c r="AI251" s="3449">
        <v>2.3108924410096601E-7</v>
      </c>
      <c r="AJ251" s="3449">
        <v>4.32361701320966E-7</v>
      </c>
      <c r="AK251" s="3432"/>
      <c r="AL251" s="3449">
        <v>1.23495011389513E-5</v>
      </c>
      <c r="AM251" s="3432"/>
      <c r="AN251" s="3772">
        <v>2.01053028122459E-6</v>
      </c>
      <c r="AO251" s="3426"/>
    </row>
    <row r="252" spans="1:41">
      <c r="A252" s="5047" t="s">
        <v>14</v>
      </c>
      <c r="B252" s="5048"/>
      <c r="C252" s="3449">
        <v>5.8165127482716699E-7</v>
      </c>
      <c r="D252" s="3432"/>
      <c r="E252" s="3447">
        <v>0</v>
      </c>
      <c r="F252" s="3732"/>
      <c r="G252" s="3447">
        <v>0</v>
      </c>
      <c r="H252" s="3447">
        <v>0</v>
      </c>
      <c r="I252" s="3447">
        <v>0</v>
      </c>
      <c r="J252" s="3422">
        <v>4.0499954774363698E-3</v>
      </c>
      <c r="K252" s="3432"/>
      <c r="L252" s="3432"/>
      <c r="M252" s="3447">
        <v>0</v>
      </c>
      <c r="N252" s="3432"/>
      <c r="O252" s="3449">
        <v>2.8786219990008901E-5</v>
      </c>
      <c r="P252" s="3432"/>
      <c r="Q252" s="3449">
        <v>1.2277024356041501E-5</v>
      </c>
      <c r="R252" s="3432"/>
      <c r="S252" s="3449">
        <v>1.1265325729609101E-5</v>
      </c>
      <c r="T252" s="3449">
        <v>9.4353504072590901E-6</v>
      </c>
      <c r="U252" s="3432"/>
      <c r="V252" s="3432"/>
      <c r="W252" s="3432"/>
      <c r="X252" s="3432"/>
      <c r="Y252" s="3449">
        <v>4.0051545719618E-5</v>
      </c>
      <c r="Z252" s="3449">
        <v>1.2655226320397799E-11</v>
      </c>
      <c r="AA252" s="3449">
        <v>2.20818989867071E-9</v>
      </c>
      <c r="AB252" s="3449">
        <v>2.2208451249911098E-9</v>
      </c>
      <c r="AC252" s="3449">
        <v>3.1026805123815401E-6</v>
      </c>
      <c r="AD252" s="3449">
        <v>7.7730275621152805E-7</v>
      </c>
      <c r="AE252" s="3449">
        <v>3.8799832685930696E-6</v>
      </c>
      <c r="AF252" s="3432"/>
      <c r="AG252" s="3460">
        <v>1.45384946289569E-4</v>
      </c>
      <c r="AH252" s="3449">
        <v>1.2504576961799101E-7</v>
      </c>
      <c r="AI252" s="3449">
        <v>1.4357022703538399E-7</v>
      </c>
      <c r="AJ252" s="3449">
        <v>2.6861599665337502E-7</v>
      </c>
      <c r="AK252" s="3432"/>
      <c r="AL252" s="3449">
        <v>9.3631226714194701E-6</v>
      </c>
      <c r="AM252" s="3432"/>
      <c r="AN252" s="3772">
        <v>1.73020266788225E-6</v>
      </c>
      <c r="AO252" s="3426"/>
    </row>
    <row r="253" spans="1:41">
      <c r="A253" s="5047" t="s">
        <v>424</v>
      </c>
      <c r="B253" s="5048"/>
      <c r="C253" s="3449">
        <v>3.2457471712149101E-7</v>
      </c>
      <c r="D253" s="3432"/>
      <c r="E253" s="3447">
        <v>0</v>
      </c>
      <c r="F253" s="3732"/>
      <c r="G253" s="3447">
        <v>0</v>
      </c>
      <c r="H253" s="3447">
        <v>0</v>
      </c>
      <c r="I253" s="3447">
        <v>0</v>
      </c>
      <c r="J253" s="3422">
        <v>3.14999999954168E-3</v>
      </c>
      <c r="K253" s="3432"/>
      <c r="L253" s="3432"/>
      <c r="M253" s="3447">
        <v>0</v>
      </c>
      <c r="N253" s="3432"/>
      <c r="O253" s="3449">
        <v>3.1045461469561299E-5</v>
      </c>
      <c r="P253" s="3432"/>
      <c r="Q253" s="3449">
        <v>1.04861083510007E-5</v>
      </c>
      <c r="R253" s="3432"/>
      <c r="S253" s="3449">
        <v>1.21494672104231E-5</v>
      </c>
      <c r="T253" s="3449">
        <v>7.6068194352795497E-6</v>
      </c>
      <c r="U253" s="3432"/>
      <c r="V253" s="3432"/>
      <c r="W253" s="3432"/>
      <c r="X253" s="3432"/>
      <c r="Y253" s="3449">
        <v>4.3194928679984401E-5</v>
      </c>
      <c r="Z253" s="3449">
        <v>3.4097614974720599E-15</v>
      </c>
      <c r="AA253" s="3449">
        <v>5.9496374896576702E-13</v>
      </c>
      <c r="AB253" s="3449">
        <v>5.9837351046323901E-13</v>
      </c>
      <c r="AC253" s="3449">
        <v>3.1175636770435001E-6</v>
      </c>
      <c r="AD253" s="3449">
        <v>7.8103137888689603E-7</v>
      </c>
      <c r="AE253" s="3449">
        <v>3.8985950559304003E-6</v>
      </c>
      <c r="AF253" s="3432"/>
      <c r="AG253" s="3460">
        <v>1.18112119742976E-4</v>
      </c>
      <c r="AH253" s="3449">
        <v>1.2214697641260299E-7</v>
      </c>
      <c r="AI253" s="3449">
        <v>1.402420024989E-7</v>
      </c>
      <c r="AJ253" s="3449">
        <v>2.6238897891150301E-7</v>
      </c>
      <c r="AK253" s="3432"/>
      <c r="AL253" s="3449">
        <v>7.5480909531757597E-6</v>
      </c>
      <c r="AM253" s="3432"/>
      <c r="AN253" s="3772">
        <v>3.05632036467749E-6</v>
      </c>
      <c r="AO253" s="3426"/>
    </row>
    <row r="254" spans="1:41">
      <c r="A254" s="5047" t="s">
        <v>16</v>
      </c>
      <c r="B254" s="5048"/>
      <c r="C254" s="3449">
        <v>8.6402777857203405E-9</v>
      </c>
      <c r="D254" s="3432"/>
      <c r="E254" s="3447">
        <v>0</v>
      </c>
      <c r="F254" s="3732"/>
      <c r="G254" s="3447">
        <v>0</v>
      </c>
      <c r="H254" s="3447">
        <v>0</v>
      </c>
      <c r="I254" s="3447">
        <v>0</v>
      </c>
      <c r="J254" s="3411">
        <v>0</v>
      </c>
      <c r="K254" s="3432"/>
      <c r="L254" s="3432"/>
      <c r="M254" s="3447">
        <v>0</v>
      </c>
      <c r="N254" s="3432"/>
      <c r="O254" s="3449">
        <v>6.0614972932387997E-7</v>
      </c>
      <c r="P254" s="3432"/>
      <c r="Q254" s="3449">
        <v>2.2963167595113E-7</v>
      </c>
      <c r="R254" s="3432"/>
      <c r="S254" s="3449">
        <v>2.3721329664394799E-7</v>
      </c>
      <c r="T254" s="3449">
        <v>3.4373763348034299E-9</v>
      </c>
      <c r="U254" s="3432"/>
      <c r="V254" s="3432"/>
      <c r="W254" s="3432"/>
      <c r="X254" s="3432"/>
      <c r="Y254" s="3449">
        <v>8.4336302596782796E-7</v>
      </c>
      <c r="Z254" s="3449">
        <v>2.0209218235834099E-16</v>
      </c>
      <c r="AA254" s="3449">
        <v>3.5262736863482703E-14</v>
      </c>
      <c r="AB254" s="3449">
        <v>3.5464829045841E-14</v>
      </c>
      <c r="AC254" s="3449">
        <v>1.2556371424699201E-9</v>
      </c>
      <c r="AD254" s="3449">
        <v>3.1457000092293399E-10</v>
      </c>
      <c r="AE254" s="3449">
        <v>1.57020714339285E-9</v>
      </c>
      <c r="AF254" s="3432"/>
      <c r="AG254" s="3449">
        <v>7.7049646932324802E-9</v>
      </c>
      <c r="AH254" s="3449">
        <v>7.0572489045511504E-12</v>
      </c>
      <c r="AI254" s="3449">
        <v>8.1027197526708704E-12</v>
      </c>
      <c r="AJ254" s="3449">
        <v>1.5159968657222E-11</v>
      </c>
      <c r="AK254" s="3432"/>
      <c r="AL254" s="3449">
        <v>3.4108435852807698E-9</v>
      </c>
      <c r="AM254" s="3432"/>
      <c r="AN254" s="3772">
        <v>8.7027453052095006E-8</v>
      </c>
      <c r="AO254" s="3426"/>
    </row>
    <row r="255" spans="1:41">
      <c r="A255" s="5047" t="s">
        <v>770</v>
      </c>
      <c r="B255" s="5048"/>
      <c r="C255" s="3449">
        <v>8.4938071049482694E-8</v>
      </c>
      <c r="D255" s="3432"/>
      <c r="E255" s="3447">
        <v>0</v>
      </c>
      <c r="F255" s="3732"/>
      <c r="G255" s="3447">
        <v>0</v>
      </c>
      <c r="H255" s="3447">
        <v>0</v>
      </c>
      <c r="I255" s="3447">
        <v>0</v>
      </c>
      <c r="J255" s="3420">
        <v>8.9999984119177505E-4</v>
      </c>
      <c r="K255" s="3432"/>
      <c r="L255" s="3432"/>
      <c r="M255" s="3447">
        <v>0</v>
      </c>
      <c r="N255" s="3432"/>
      <c r="O255" s="3449">
        <v>7.5748238510769598E-6</v>
      </c>
      <c r="P255" s="3432"/>
      <c r="Q255" s="3449">
        <v>2.2028993677333099E-6</v>
      </c>
      <c r="R255" s="3432"/>
      <c r="S255" s="3449">
        <v>2.9643648265180899E-6</v>
      </c>
      <c r="T255" s="3449">
        <v>1.5786489026654199E-6</v>
      </c>
      <c r="U255" s="3432"/>
      <c r="V255" s="3432"/>
      <c r="W255" s="3432"/>
      <c r="X255" s="3432"/>
      <c r="Y255" s="3449">
        <v>1.0539188677595E-5</v>
      </c>
      <c r="Z255" s="3449">
        <v>5.1887093754211505E-13</v>
      </c>
      <c r="AA255" s="3449">
        <v>9.0536947659920305E-11</v>
      </c>
      <c r="AB255" s="3449">
        <v>9.1055818597462304E-11</v>
      </c>
      <c r="AC255" s="3449">
        <v>7.46427414620491E-7</v>
      </c>
      <c r="AD255" s="3449">
        <v>1.8699962319066E-7</v>
      </c>
      <c r="AE255" s="3449">
        <v>9.33427037811151E-7</v>
      </c>
      <c r="AF255" s="3432"/>
      <c r="AG255" s="3449">
        <v>2.4437998824792701E-5</v>
      </c>
      <c r="AH255" s="3449">
        <v>2.91042594934768E-8</v>
      </c>
      <c r="AI255" s="3449">
        <v>3.3415805716101698E-8</v>
      </c>
      <c r="AJ255" s="3449">
        <v>6.2520065209578494E-8</v>
      </c>
      <c r="AK255" s="3432"/>
      <c r="AL255" s="3449">
        <v>1.5664599732748401E-6</v>
      </c>
      <c r="AM255" s="3432"/>
      <c r="AN255" s="3772">
        <v>9.2172893004459196E-7</v>
      </c>
      <c r="AO255" s="3426"/>
    </row>
    <row r="256" spans="1:41">
      <c r="A256" s="5047" t="s">
        <v>833</v>
      </c>
      <c r="B256" s="5048"/>
      <c r="C256" s="3449">
        <v>6.5785672816775295E-8</v>
      </c>
      <c r="D256" s="3432"/>
      <c r="E256" s="3447">
        <v>0</v>
      </c>
      <c r="F256" s="3732"/>
      <c r="G256" s="3447">
        <v>0</v>
      </c>
      <c r="H256" s="3447">
        <v>0</v>
      </c>
      <c r="I256" s="3447">
        <v>0</v>
      </c>
      <c r="J256" s="3420">
        <v>8.9999999997066396E-4</v>
      </c>
      <c r="K256" s="3432"/>
      <c r="L256" s="3432"/>
      <c r="M256" s="3447">
        <v>0</v>
      </c>
      <c r="N256" s="3432"/>
      <c r="O256" s="3449">
        <v>8.7485983981170395E-6</v>
      </c>
      <c r="P256" s="3432"/>
      <c r="Q256" s="3449">
        <v>2.9704074472878099E-6</v>
      </c>
      <c r="R256" s="3432"/>
      <c r="S256" s="3449">
        <v>3.4237149117366501E-6</v>
      </c>
      <c r="T256" s="3449">
        <v>2.1052594590831998E-6</v>
      </c>
      <c r="U256" s="3432"/>
      <c r="V256" s="3432"/>
      <c r="W256" s="3432"/>
      <c r="X256" s="3432"/>
      <c r="Y256" s="3449">
        <v>1.2172313309853699E-5</v>
      </c>
      <c r="Z256" s="3449">
        <v>2.5394268361468901E-16</v>
      </c>
      <c r="AA256" s="3449">
        <v>4.43100466639195E-14</v>
      </c>
      <c r="AB256" s="3449">
        <v>4.4563989347534202E-14</v>
      </c>
      <c r="AC256" s="3449">
        <v>8.4444709540282004E-7</v>
      </c>
      <c r="AD256" s="3449">
        <v>2.11556121267414E-7</v>
      </c>
      <c r="AE256" s="3449">
        <v>1.05600321667023E-6</v>
      </c>
      <c r="AF256" s="3432"/>
      <c r="AG256" s="3449">
        <v>3.2857859184502299E-5</v>
      </c>
      <c r="AH256" s="3449">
        <v>3.1888556082384998E-8</v>
      </c>
      <c r="AI256" s="3449">
        <v>3.6612571945175999E-8</v>
      </c>
      <c r="AJ256" s="3449">
        <v>6.8501128027560904E-8</v>
      </c>
      <c r="AK256" s="3432"/>
      <c r="AL256" s="3449">
        <v>2.08886486695712E-6</v>
      </c>
      <c r="AM256" s="3432"/>
      <c r="AN256" s="3772">
        <v>2.5222443172821E-6</v>
      </c>
      <c r="AO256" s="3426"/>
    </row>
    <row r="257" spans="1:41">
      <c r="A257" s="5047" t="s">
        <v>834</v>
      </c>
      <c r="B257" s="5048"/>
      <c r="C257" s="3449">
        <v>1.3734338679433001E-8</v>
      </c>
      <c r="D257" s="3432"/>
      <c r="E257" s="3447">
        <v>0</v>
      </c>
      <c r="F257" s="3732"/>
      <c r="G257" s="3447">
        <v>0</v>
      </c>
      <c r="H257" s="3447">
        <v>0</v>
      </c>
      <c r="I257" s="3447">
        <v>0</v>
      </c>
      <c r="J257" s="3420">
        <v>4.4999999999813798E-4</v>
      </c>
      <c r="K257" s="3432"/>
      <c r="L257" s="3432"/>
      <c r="M257" s="3447">
        <v>0</v>
      </c>
      <c r="N257" s="3432"/>
      <c r="O257" s="3449">
        <v>2.6356000730271901E-6</v>
      </c>
      <c r="P257" s="3432"/>
      <c r="Q257" s="3449">
        <v>9.3823178167160105E-7</v>
      </c>
      <c r="R257" s="3432"/>
      <c r="S257" s="3449">
        <v>1.03142730535437E-6</v>
      </c>
      <c r="T257" s="3449">
        <v>7.0761786818383201E-7</v>
      </c>
      <c r="U257" s="3432"/>
      <c r="V257" s="3432"/>
      <c r="W257" s="3432"/>
      <c r="X257" s="3432"/>
      <c r="Y257" s="3449">
        <v>3.6670273783815602E-6</v>
      </c>
      <c r="Z257" s="3449">
        <v>8.3996608929676997E-18</v>
      </c>
      <c r="AA257" s="3449">
        <v>1.4656431948763199E-15</v>
      </c>
      <c r="AB257" s="3449">
        <v>1.4740428557692801E-15</v>
      </c>
      <c r="AC257" s="3449">
        <v>2.6774764151189501E-7</v>
      </c>
      <c r="AD257" s="3449">
        <v>6.7077798982462301E-8</v>
      </c>
      <c r="AE257" s="3449">
        <v>3.3482544049435798E-7</v>
      </c>
      <c r="AF257" s="3432"/>
      <c r="AG257" s="3449">
        <v>1.1097033386449E-5</v>
      </c>
      <c r="AH257" s="3449">
        <v>9.7725262289179004E-9</v>
      </c>
      <c r="AI257" s="3449">
        <v>1.12202421056004E-8</v>
      </c>
      <c r="AJ257" s="3449">
        <v>2.0992768334518299E-8</v>
      </c>
      <c r="AK257" s="3432"/>
      <c r="AL257" s="3449">
        <v>7.0206730605553001E-7</v>
      </c>
      <c r="AM257" s="3432"/>
      <c r="AN257" s="3772">
        <v>2.0085197834583399E-6</v>
      </c>
      <c r="AO257" s="3426"/>
    </row>
    <row r="258" spans="1:41" ht="13" thickBot="1">
      <c r="A258" s="5053" t="s">
        <v>752</v>
      </c>
      <c r="B258" s="5054"/>
      <c r="C258" s="3481">
        <v>3.0878883236602799E-12</v>
      </c>
      <c r="D258" s="3494"/>
      <c r="E258" s="3495">
        <v>0</v>
      </c>
      <c r="F258" s="3750"/>
      <c r="G258" s="3495">
        <v>0</v>
      </c>
      <c r="H258" s="3495">
        <v>0</v>
      </c>
      <c r="I258" s="3495">
        <v>0</v>
      </c>
      <c r="J258" s="3416">
        <v>0</v>
      </c>
      <c r="K258" s="3494"/>
      <c r="L258" s="3494"/>
      <c r="M258" s="3495">
        <v>0</v>
      </c>
      <c r="N258" s="3494"/>
      <c r="O258" s="3481">
        <v>1.13732734875328E-9</v>
      </c>
      <c r="P258" s="3494"/>
      <c r="Q258" s="3481">
        <v>5.5853511692105105E-10</v>
      </c>
      <c r="R258" s="3494"/>
      <c r="S258" s="3481">
        <v>4.4508667860335099E-10</v>
      </c>
      <c r="T258" s="3481">
        <v>4.4192626398284599E-10</v>
      </c>
      <c r="U258" s="3494"/>
      <c r="V258" s="3494"/>
      <c r="W258" s="3494"/>
      <c r="X258" s="3494"/>
      <c r="Y258" s="3481">
        <v>1.5824140273566301E-9</v>
      </c>
      <c r="Z258" s="3481">
        <v>9.2705866431058804E-23</v>
      </c>
      <c r="AA258" s="3481">
        <v>1.6176096153304199E-20</v>
      </c>
      <c r="AB258" s="3481">
        <v>1.6268802019735201E-20</v>
      </c>
      <c r="AC258" s="3481">
        <v>1.09331254215699E-10</v>
      </c>
      <c r="AD258" s="3481">
        <v>2.7390343576398301E-11</v>
      </c>
      <c r="AE258" s="3481">
        <v>1.3672159779209699E-10</v>
      </c>
      <c r="AF258" s="3494"/>
      <c r="AG258" s="3481">
        <v>6.9529294236898201E-9</v>
      </c>
      <c r="AH258" s="3481">
        <v>2.9311628002959301E-12</v>
      </c>
      <c r="AI258" s="3481">
        <v>3.3653894090281401E-12</v>
      </c>
      <c r="AJ258" s="3481">
        <v>6.2965522093240804E-12</v>
      </c>
      <c r="AK258" s="3494"/>
      <c r="AL258" s="3481">
        <v>4.3824669036624802E-10</v>
      </c>
      <c r="AM258" s="3494"/>
      <c r="AN258" s="3773">
        <v>6.7801241087101101E-9</v>
      </c>
      <c r="AO258" s="3426"/>
    </row>
    <row r="259" spans="1:41" ht="13" thickTop="1">
      <c r="A259" s="3426"/>
      <c r="B259" s="3426"/>
      <c r="C259" s="3426"/>
      <c r="D259" s="3426"/>
      <c r="E259" s="3426"/>
      <c r="F259" s="3727"/>
      <c r="G259" s="3426"/>
      <c r="H259" s="3426"/>
      <c r="I259" s="3426"/>
      <c r="J259" s="3426"/>
      <c r="K259" s="3426"/>
      <c r="L259" s="3426"/>
      <c r="M259" s="3426"/>
      <c r="N259" s="3426"/>
      <c r="O259" s="3426"/>
      <c r="P259" s="3426"/>
      <c r="Q259" s="3426"/>
      <c r="R259" s="3426"/>
      <c r="S259" s="3426"/>
      <c r="T259" s="3426"/>
      <c r="U259" s="3426"/>
      <c r="V259" s="3426"/>
      <c r="W259" s="3426"/>
      <c r="X259" s="3426"/>
      <c r="Y259" s="3426"/>
      <c r="Z259" s="3426"/>
      <c r="AA259" s="3426"/>
      <c r="AB259" s="3426"/>
      <c r="AC259" s="3426"/>
      <c r="AD259" s="3426"/>
      <c r="AE259" s="3426"/>
      <c r="AF259" s="3426"/>
      <c r="AG259" s="3426"/>
      <c r="AH259" s="3426"/>
      <c r="AI259" s="3426"/>
      <c r="AJ259" s="3426"/>
      <c r="AK259" s="3426"/>
      <c r="AL259" s="3426"/>
      <c r="AM259" s="3426"/>
      <c r="AN259" s="3760"/>
      <c r="AO259" s="3426"/>
    </row>
    <row r="260" spans="1:41" ht="13" thickBot="1">
      <c r="A260" s="3426"/>
      <c r="B260" s="3426"/>
      <c r="C260" s="3426"/>
      <c r="D260" s="3426"/>
      <c r="E260" s="3426"/>
      <c r="F260" s="3727"/>
      <c r="G260" s="3426"/>
      <c r="H260" s="3426"/>
      <c r="I260" s="3426"/>
      <c r="J260" s="3426"/>
      <c r="K260" s="3426"/>
      <c r="L260" s="3426"/>
      <c r="M260" s="3426"/>
      <c r="N260" s="3426"/>
      <c r="O260" s="3426"/>
      <c r="P260" s="3426"/>
      <c r="Q260" s="3426"/>
      <c r="R260" s="3426"/>
      <c r="S260" s="3426"/>
      <c r="T260" s="3426"/>
      <c r="U260" s="3426"/>
      <c r="V260" s="3426"/>
      <c r="W260" s="3426"/>
      <c r="X260" s="3426"/>
      <c r="Y260" s="3426"/>
      <c r="Z260" s="3426"/>
      <c r="AA260" s="3426"/>
      <c r="AB260" s="3426"/>
      <c r="AC260" s="3426"/>
      <c r="AD260" s="3426"/>
      <c r="AE260" s="3426"/>
      <c r="AF260" s="3426"/>
      <c r="AG260" s="3426"/>
      <c r="AH260" s="3426"/>
      <c r="AI260" s="3426"/>
      <c r="AJ260" s="3426"/>
      <c r="AK260" s="3426"/>
      <c r="AL260" s="3426"/>
      <c r="AM260" s="3426"/>
      <c r="AN260" s="3760"/>
      <c r="AO260" s="3426"/>
    </row>
    <row r="261" spans="1:41" ht="14" thickTop="1" thickBot="1">
      <c r="A261" s="3434" t="s">
        <v>389</v>
      </c>
      <c r="B261" s="3435"/>
      <c r="C261" s="3436" t="s">
        <v>821</v>
      </c>
      <c r="D261" s="3436" t="s">
        <v>822</v>
      </c>
      <c r="E261" s="3436" t="s">
        <v>741</v>
      </c>
      <c r="F261" s="3734" t="s">
        <v>823</v>
      </c>
      <c r="G261" s="3436" t="s">
        <v>1304</v>
      </c>
      <c r="H261" s="3436" t="s">
        <v>737</v>
      </c>
      <c r="I261" s="3436" t="s">
        <v>742</v>
      </c>
      <c r="J261" s="3437" t="s">
        <v>1305</v>
      </c>
      <c r="K261" s="3436" t="s">
        <v>824</v>
      </c>
      <c r="L261" s="3436" t="s">
        <v>825</v>
      </c>
      <c r="M261" s="3436" t="s">
        <v>743</v>
      </c>
      <c r="N261" s="3436" t="s">
        <v>827</v>
      </c>
      <c r="O261" s="3436" t="s">
        <v>390</v>
      </c>
      <c r="P261" s="3436" t="s">
        <v>391</v>
      </c>
      <c r="Q261" s="3436" t="s">
        <v>392</v>
      </c>
      <c r="R261" s="3436" t="s">
        <v>393</v>
      </c>
      <c r="S261" s="3436" t="s">
        <v>394</v>
      </c>
      <c r="T261" s="3436" t="s">
        <v>395</v>
      </c>
      <c r="U261" s="3436" t="s">
        <v>396</v>
      </c>
      <c r="V261" s="3436" t="s">
        <v>397</v>
      </c>
      <c r="W261" s="3436" t="s">
        <v>398</v>
      </c>
      <c r="X261" s="3436" t="s">
        <v>399</v>
      </c>
      <c r="Y261" s="3436" t="s">
        <v>400</v>
      </c>
      <c r="Z261" s="3436" t="s">
        <v>401</v>
      </c>
      <c r="AA261" s="3436" t="s">
        <v>402</v>
      </c>
      <c r="AB261" s="3436" t="s">
        <v>403</v>
      </c>
      <c r="AC261" s="3436" t="s">
        <v>404</v>
      </c>
      <c r="AD261" s="3436" t="s">
        <v>405</v>
      </c>
      <c r="AE261" s="3436" t="s">
        <v>406</v>
      </c>
      <c r="AF261" s="3436" t="s">
        <v>407</v>
      </c>
      <c r="AG261" s="3436" t="s">
        <v>408</v>
      </c>
      <c r="AH261" s="3436" t="s">
        <v>409</v>
      </c>
      <c r="AI261" s="3436" t="s">
        <v>410</v>
      </c>
      <c r="AJ261" s="3436" t="s">
        <v>411</v>
      </c>
      <c r="AK261" s="3436" t="s">
        <v>412</v>
      </c>
      <c r="AL261" s="3436" t="s">
        <v>439</v>
      </c>
      <c r="AM261" s="3436" t="s">
        <v>440</v>
      </c>
      <c r="AN261" s="3761" t="s">
        <v>828</v>
      </c>
      <c r="AO261" s="3426"/>
    </row>
    <row r="262" spans="1:41" ht="13">
      <c r="A262" s="3438" t="s">
        <v>427</v>
      </c>
      <c r="B262" s="3427" t="s">
        <v>413</v>
      </c>
      <c r="C262" s="3428" t="s">
        <v>414</v>
      </c>
      <c r="D262" s="3428" t="s">
        <v>414</v>
      </c>
      <c r="E262" s="3428" t="s">
        <v>414</v>
      </c>
      <c r="F262" s="3728" t="s">
        <v>414</v>
      </c>
      <c r="G262" s="3428" t="s">
        <v>414</v>
      </c>
      <c r="H262" s="3428" t="s">
        <v>414</v>
      </c>
      <c r="I262" s="3428" t="s">
        <v>414</v>
      </c>
      <c r="J262" s="3439" t="s">
        <v>414</v>
      </c>
      <c r="K262" s="3428" t="s">
        <v>414</v>
      </c>
      <c r="L262" s="3428" t="s">
        <v>414</v>
      </c>
      <c r="M262" s="3428" t="s">
        <v>414</v>
      </c>
      <c r="N262" s="3428" t="s">
        <v>414</v>
      </c>
      <c r="O262" s="3428" t="s">
        <v>414</v>
      </c>
      <c r="P262" s="3428" t="s">
        <v>414</v>
      </c>
      <c r="Q262" s="3428" t="s">
        <v>414</v>
      </c>
      <c r="R262" s="3428" t="s">
        <v>414</v>
      </c>
      <c r="S262" s="3428" t="s">
        <v>414</v>
      </c>
      <c r="T262" s="3428" t="s">
        <v>414</v>
      </c>
      <c r="U262" s="3428" t="s">
        <v>414</v>
      </c>
      <c r="V262" s="3428" t="s">
        <v>414</v>
      </c>
      <c r="W262" s="3428" t="s">
        <v>414</v>
      </c>
      <c r="X262" s="3428" t="s">
        <v>414</v>
      </c>
      <c r="Y262" s="3428" t="s">
        <v>414</v>
      </c>
      <c r="Z262" s="3428" t="s">
        <v>414</v>
      </c>
      <c r="AA262" s="3428" t="s">
        <v>414</v>
      </c>
      <c r="AB262" s="3428" t="s">
        <v>414</v>
      </c>
      <c r="AC262" s="3428" t="s">
        <v>414</v>
      </c>
      <c r="AD262" s="3428" t="s">
        <v>414</v>
      </c>
      <c r="AE262" s="3428" t="s">
        <v>414</v>
      </c>
      <c r="AF262" s="3428" t="s">
        <v>414</v>
      </c>
      <c r="AG262" s="3428" t="s">
        <v>414</v>
      </c>
      <c r="AH262" s="3428" t="s">
        <v>414</v>
      </c>
      <c r="AI262" s="3428" t="s">
        <v>414</v>
      </c>
      <c r="AJ262" s="3428" t="s">
        <v>414</v>
      </c>
      <c r="AK262" s="3428" t="s">
        <v>414</v>
      </c>
      <c r="AL262" s="3428" t="s">
        <v>414</v>
      </c>
      <c r="AM262" s="3428" t="s">
        <v>414</v>
      </c>
      <c r="AN262" s="3762" t="s">
        <v>414</v>
      </c>
      <c r="AO262" s="3426"/>
    </row>
    <row r="263" spans="1:41" ht="13">
      <c r="A263" s="3440" t="s">
        <v>435</v>
      </c>
      <c r="B263" s="3429" t="s">
        <v>416</v>
      </c>
      <c r="C263" s="3429" t="s">
        <v>445</v>
      </c>
      <c r="D263" s="3429" t="s">
        <v>445</v>
      </c>
      <c r="E263" s="3429" t="s">
        <v>445</v>
      </c>
      <c r="F263" s="3729" t="s">
        <v>445</v>
      </c>
      <c r="G263" s="3429" t="s">
        <v>445</v>
      </c>
      <c r="H263" s="3429" t="s">
        <v>445</v>
      </c>
      <c r="I263" s="3429" t="s">
        <v>445</v>
      </c>
      <c r="J263" s="3441" t="s">
        <v>445</v>
      </c>
      <c r="K263" s="3429" t="s">
        <v>829</v>
      </c>
      <c r="L263" s="3429" t="s">
        <v>445</v>
      </c>
      <c r="M263" s="3429" t="s">
        <v>445</v>
      </c>
      <c r="N263" s="3429" t="s">
        <v>445</v>
      </c>
      <c r="O263" s="3429" t="s">
        <v>445</v>
      </c>
      <c r="P263" s="3429" t="s">
        <v>829</v>
      </c>
      <c r="Q263" s="3429" t="s">
        <v>830</v>
      </c>
      <c r="R263" s="3429" t="s">
        <v>830</v>
      </c>
      <c r="S263" s="3429" t="s">
        <v>445</v>
      </c>
      <c r="T263" s="3429" t="s">
        <v>631</v>
      </c>
      <c r="U263" s="3429" t="s">
        <v>631</v>
      </c>
      <c r="V263" s="3429" t="s">
        <v>831</v>
      </c>
      <c r="W263" s="3429" t="s">
        <v>831</v>
      </c>
      <c r="X263" s="3429" t="s">
        <v>418</v>
      </c>
      <c r="Y263" s="3429" t="s">
        <v>419</v>
      </c>
      <c r="Z263" s="3429" t="s">
        <v>445</v>
      </c>
      <c r="AA263" s="3429" t="s">
        <v>445</v>
      </c>
      <c r="AB263" s="3429" t="s">
        <v>447</v>
      </c>
      <c r="AC263" s="3429" t="s">
        <v>445</v>
      </c>
      <c r="AD263" s="3429" t="s">
        <v>445</v>
      </c>
      <c r="AE263" s="3429" t="s">
        <v>448</v>
      </c>
      <c r="AF263" s="3429" t="s">
        <v>896</v>
      </c>
      <c r="AG263" s="3429" t="s">
        <v>896</v>
      </c>
      <c r="AH263" s="3429" t="s">
        <v>445</v>
      </c>
      <c r="AI263" s="3429" t="s">
        <v>445</v>
      </c>
      <c r="AJ263" s="3429" t="s">
        <v>449</v>
      </c>
      <c r="AK263" s="3429" t="s">
        <v>896</v>
      </c>
      <c r="AL263" s="3429" t="s">
        <v>450</v>
      </c>
      <c r="AM263" s="3429" t="s">
        <v>826</v>
      </c>
      <c r="AN263" s="3763" t="s">
        <v>445</v>
      </c>
      <c r="AO263" s="3426"/>
    </row>
    <row r="264" spans="1:41">
      <c r="A264" s="3488"/>
      <c r="B264" s="3430" t="s">
        <v>421</v>
      </c>
      <c r="C264" s="3430" t="s">
        <v>450</v>
      </c>
      <c r="D264" s="3430" t="s">
        <v>418</v>
      </c>
      <c r="E264" s="3430" t="s">
        <v>445</v>
      </c>
      <c r="F264" s="3730" t="s">
        <v>829</v>
      </c>
      <c r="G264" s="3430" t="s">
        <v>445</v>
      </c>
      <c r="H264" s="3430" t="s">
        <v>445</v>
      </c>
      <c r="I264" s="3430" t="s">
        <v>445</v>
      </c>
      <c r="J264" s="3443" t="s">
        <v>445</v>
      </c>
      <c r="K264" s="3430" t="s">
        <v>445</v>
      </c>
      <c r="L264" s="3430" t="s">
        <v>418</v>
      </c>
      <c r="M264" s="3430" t="s">
        <v>445</v>
      </c>
      <c r="N264" s="3430" t="s">
        <v>445</v>
      </c>
      <c r="O264" s="3430" t="s">
        <v>419</v>
      </c>
      <c r="P264" s="3430" t="s">
        <v>445</v>
      </c>
      <c r="Q264" s="3430" t="s">
        <v>445</v>
      </c>
      <c r="R264" s="3430" t="s">
        <v>445</v>
      </c>
      <c r="S264" s="3430" t="s">
        <v>419</v>
      </c>
      <c r="T264" s="3430" t="s">
        <v>445</v>
      </c>
      <c r="U264" s="3430" t="s">
        <v>445</v>
      </c>
      <c r="V264" s="3430" t="s">
        <v>445</v>
      </c>
      <c r="W264" s="3430" t="s">
        <v>445</v>
      </c>
      <c r="X264" s="3430" t="s">
        <v>896</v>
      </c>
      <c r="Y264" s="3430" t="s">
        <v>445</v>
      </c>
      <c r="Z264" s="3430" t="s">
        <v>447</v>
      </c>
      <c r="AA264" s="3430" t="s">
        <v>447</v>
      </c>
      <c r="AB264" s="3430" t="s">
        <v>445</v>
      </c>
      <c r="AC264" s="3430" t="s">
        <v>448</v>
      </c>
      <c r="AD264" s="3430" t="s">
        <v>448</v>
      </c>
      <c r="AE264" s="3430" t="s">
        <v>445</v>
      </c>
      <c r="AF264" s="3430" t="s">
        <v>831</v>
      </c>
      <c r="AG264" s="3430" t="s">
        <v>445</v>
      </c>
      <c r="AH264" s="3430" t="s">
        <v>449</v>
      </c>
      <c r="AI264" s="3430" t="s">
        <v>449</v>
      </c>
      <c r="AJ264" s="3430" t="s">
        <v>445</v>
      </c>
      <c r="AK264" s="3430" t="s">
        <v>450</v>
      </c>
      <c r="AL264" s="3430" t="s">
        <v>631</v>
      </c>
      <c r="AM264" s="3430" t="s">
        <v>830</v>
      </c>
      <c r="AN264" s="3764" t="s">
        <v>445</v>
      </c>
      <c r="AO264" s="3426"/>
    </row>
    <row r="265" spans="1:41" ht="13" thickBot="1">
      <c r="A265" s="3462" t="s">
        <v>71</v>
      </c>
      <c r="B265" s="3485" t="s">
        <v>72</v>
      </c>
      <c r="C265" s="3433"/>
      <c r="D265" s="3433"/>
      <c r="E265" s="3433"/>
      <c r="F265" s="3733"/>
      <c r="G265" s="3433"/>
      <c r="H265" s="3433"/>
      <c r="I265" s="3433"/>
      <c r="J265" s="3444"/>
      <c r="K265" s="3433"/>
      <c r="L265" s="3433"/>
      <c r="M265" s="3433"/>
      <c r="N265" s="3433"/>
      <c r="O265" s="3433"/>
      <c r="P265" s="3433"/>
      <c r="Q265" s="3433"/>
      <c r="R265" s="3433"/>
      <c r="S265" s="3433"/>
      <c r="T265" s="3433"/>
      <c r="U265" s="3433"/>
      <c r="V265" s="3433"/>
      <c r="W265" s="3433"/>
      <c r="X265" s="3433"/>
      <c r="Y265" s="3433"/>
      <c r="Z265" s="3433"/>
      <c r="AA265" s="3433"/>
      <c r="AB265" s="3433"/>
      <c r="AC265" s="3433"/>
      <c r="AD265" s="3433"/>
      <c r="AE265" s="3433"/>
      <c r="AF265" s="3433"/>
      <c r="AG265" s="3433"/>
      <c r="AH265" s="3433"/>
      <c r="AI265" s="3433"/>
      <c r="AJ265" s="3433"/>
      <c r="AK265" s="3433"/>
      <c r="AL265" s="3433"/>
      <c r="AM265" s="3433"/>
      <c r="AN265" s="3765"/>
      <c r="AO265" s="3426"/>
    </row>
    <row r="266" spans="1:41" ht="13" thickTop="1">
      <c r="A266" s="3445" t="s">
        <v>428</v>
      </c>
      <c r="B266" s="3486" t="s">
        <v>299</v>
      </c>
      <c r="C266" s="3447">
        <v>108</v>
      </c>
      <c r="D266" s="3432"/>
      <c r="E266" s="3447">
        <v>65</v>
      </c>
      <c r="F266" s="3732"/>
      <c r="G266" s="3447">
        <v>65</v>
      </c>
      <c r="H266" s="3447">
        <v>65</v>
      </c>
      <c r="I266" s="3447">
        <v>65</v>
      </c>
      <c r="J266" s="3411">
        <v>65</v>
      </c>
      <c r="K266" s="3432"/>
      <c r="L266" s="3432"/>
      <c r="M266" s="3447">
        <v>65</v>
      </c>
      <c r="N266" s="3432"/>
      <c r="O266" s="3455">
        <v>88.526003331999902</v>
      </c>
      <c r="P266" s="3432"/>
      <c r="Q266" s="3447">
        <v>80.5</v>
      </c>
      <c r="R266" s="3432"/>
      <c r="S266" s="3455">
        <v>88.526003331999902</v>
      </c>
      <c r="T266" s="3447">
        <v>90</v>
      </c>
      <c r="U266" s="3432"/>
      <c r="V266" s="3432"/>
      <c r="W266" s="3432"/>
      <c r="X266" s="3432"/>
      <c r="Y266" s="3455">
        <v>88.526003331999902</v>
      </c>
      <c r="Z266" s="3455">
        <v>94.126003331999996</v>
      </c>
      <c r="AA266" s="3455">
        <v>94.126003331999996</v>
      </c>
      <c r="AB266" s="3455">
        <v>94.126003331999996</v>
      </c>
      <c r="AC266" s="3455">
        <v>94.115711204138506</v>
      </c>
      <c r="AD266" s="3455">
        <v>94.115711204138506</v>
      </c>
      <c r="AE266" s="3455">
        <v>94.115711204138293</v>
      </c>
      <c r="AF266" s="3432"/>
      <c r="AG266" s="3447">
        <v>90</v>
      </c>
      <c r="AH266" s="3455">
        <v>83.137878881656704</v>
      </c>
      <c r="AI266" s="3455">
        <v>83.137878881656704</v>
      </c>
      <c r="AJ266" s="3455">
        <v>83.137878881656704</v>
      </c>
      <c r="AK266" s="3432"/>
      <c r="AL266" s="3455">
        <v>89.981621200247304</v>
      </c>
      <c r="AM266" s="3432"/>
      <c r="AN266" s="3767">
        <v>87.1140633320002</v>
      </c>
      <c r="AO266" s="3426"/>
    </row>
    <row r="267" spans="1:41">
      <c r="A267" s="3456" t="s">
        <v>730</v>
      </c>
      <c r="B267" s="3487" t="s">
        <v>297</v>
      </c>
      <c r="C267" s="3447">
        <v>30</v>
      </c>
      <c r="D267" s="3432"/>
      <c r="E267" s="3447">
        <v>50</v>
      </c>
      <c r="F267" s="3732"/>
      <c r="G267" s="3447">
        <v>1150</v>
      </c>
      <c r="H267" s="3447">
        <v>50</v>
      </c>
      <c r="I267" s="3447">
        <v>50</v>
      </c>
      <c r="J267" s="3411">
        <v>1150</v>
      </c>
      <c r="K267" s="3432"/>
      <c r="L267" s="3432"/>
      <c r="M267" s="3447">
        <v>50</v>
      </c>
      <c r="N267" s="3432"/>
      <c r="O267" s="3453">
        <v>6.7332446360466696</v>
      </c>
      <c r="P267" s="3432"/>
      <c r="Q267" s="3447">
        <v>0.249999999999999</v>
      </c>
      <c r="R267" s="3432"/>
      <c r="S267" s="3453">
        <v>6.7332446360466696</v>
      </c>
      <c r="T267" s="3447">
        <v>0.249999999999999</v>
      </c>
      <c r="U267" s="3432"/>
      <c r="V267" s="3432"/>
      <c r="W267" s="3432"/>
      <c r="X267" s="3432"/>
      <c r="Y267" s="3453">
        <v>6.7332446360466696</v>
      </c>
      <c r="Z267" s="3455">
        <v>-11.9290180535052</v>
      </c>
      <c r="AA267" s="3455">
        <v>-11.9290180535052</v>
      </c>
      <c r="AB267" s="3455">
        <v>-11.9290180535052</v>
      </c>
      <c r="AC267" s="3453">
        <v>5.3173698303310202</v>
      </c>
      <c r="AD267" s="3453">
        <v>5.3173698303310202</v>
      </c>
      <c r="AE267" s="3453">
        <v>5.3173698303310202</v>
      </c>
      <c r="AF267" s="3432"/>
      <c r="AG267" s="3447">
        <v>0.249999999999999</v>
      </c>
      <c r="AH267" s="3455">
        <v>-11.8773754829579</v>
      </c>
      <c r="AI267" s="3455">
        <v>-11.8773754829579</v>
      </c>
      <c r="AJ267" s="3455">
        <v>-11.8773754829579</v>
      </c>
      <c r="AK267" s="3432"/>
      <c r="AL267" s="3447">
        <v>0.249999999999999</v>
      </c>
      <c r="AM267" s="3432"/>
      <c r="AN267" s="3767">
        <v>-12.6652923804366</v>
      </c>
      <c r="AO267" s="3426"/>
    </row>
    <row r="268" spans="1:41">
      <c r="A268" s="3456" t="s">
        <v>20</v>
      </c>
      <c r="B268" s="3487" t="s">
        <v>429</v>
      </c>
      <c r="C268" s="3455">
        <v>49.576162000115602</v>
      </c>
      <c r="D268" s="3432"/>
      <c r="E268" s="3455">
        <v>18.906107429477601</v>
      </c>
      <c r="F268" s="3732"/>
      <c r="G268" s="3455">
        <v>22.227795883956698</v>
      </c>
      <c r="H268" s="3455">
        <v>18.906107429477601</v>
      </c>
      <c r="I268" s="3455">
        <v>18.906107429477601</v>
      </c>
      <c r="J268" s="3412">
        <v>45.683812226135899</v>
      </c>
      <c r="K268" s="3432"/>
      <c r="L268" s="3432"/>
      <c r="M268" s="3455">
        <v>18.906107429477601</v>
      </c>
      <c r="N268" s="3432"/>
      <c r="O268" s="3455">
        <v>49.368082888003997</v>
      </c>
      <c r="P268" s="3432"/>
      <c r="Q268" s="3455">
        <v>48.538121492763501</v>
      </c>
      <c r="R268" s="3432"/>
      <c r="S268" s="3455">
        <v>49.368082888003997</v>
      </c>
      <c r="T268" s="3455">
        <v>49.258996315014102</v>
      </c>
      <c r="U268" s="3432"/>
      <c r="V268" s="3432"/>
      <c r="W268" s="3432"/>
      <c r="X268" s="3432"/>
      <c r="Y268" s="3455">
        <v>49.368082888003897</v>
      </c>
      <c r="Z268" s="3455">
        <v>18.150207979956001</v>
      </c>
      <c r="AA268" s="3455">
        <v>18.150207979956001</v>
      </c>
      <c r="AB268" s="3455">
        <v>18.150207979956001</v>
      </c>
      <c r="AC268" s="3455">
        <v>50.2539998954596</v>
      </c>
      <c r="AD268" s="3455">
        <v>50.2539998954596</v>
      </c>
      <c r="AE268" s="3455">
        <v>50.253999895459501</v>
      </c>
      <c r="AF268" s="3432"/>
      <c r="AG268" s="3455">
        <v>48.783596655056698</v>
      </c>
      <c r="AH268" s="3455">
        <v>27.9518326470372</v>
      </c>
      <c r="AI268" s="3455">
        <v>27.9518326470372</v>
      </c>
      <c r="AJ268" s="3455">
        <v>27.9518326470372</v>
      </c>
      <c r="AK268" s="3432"/>
      <c r="AL268" s="3455">
        <v>49.253972151074699</v>
      </c>
      <c r="AM268" s="3432"/>
      <c r="AN268" s="3767">
        <v>64.267279149617096</v>
      </c>
      <c r="AO268" s="3426"/>
    </row>
    <row r="269" spans="1:41">
      <c r="A269" s="3456" t="s">
        <v>425</v>
      </c>
      <c r="B269" s="3487" t="s">
        <v>426</v>
      </c>
      <c r="C269" s="3453">
        <v>1.45510557732402</v>
      </c>
      <c r="D269" s="3432"/>
      <c r="E269" s="3471">
        <v>249.10285587099301</v>
      </c>
      <c r="F269" s="3732"/>
      <c r="G269" s="3473">
        <v>35127.642823333801</v>
      </c>
      <c r="H269" s="3471">
        <v>199.28228469679499</v>
      </c>
      <c r="I269" s="3455">
        <v>12.455142793549699</v>
      </c>
      <c r="J269" s="3415">
        <v>22457.208477721601</v>
      </c>
      <c r="K269" s="3432"/>
      <c r="L269" s="3432"/>
      <c r="M269" s="3472">
        <v>1170.7834225936699</v>
      </c>
      <c r="N269" s="3432"/>
      <c r="O269" s="3455">
        <v>96.771052670830599</v>
      </c>
      <c r="P269" s="3432"/>
      <c r="Q269" s="3455">
        <v>34.740669296493003</v>
      </c>
      <c r="R269" s="3432"/>
      <c r="S269" s="3455">
        <v>37.870808668607403</v>
      </c>
      <c r="T269" s="3455">
        <v>17.163119647449999</v>
      </c>
      <c r="U269" s="3432"/>
      <c r="V269" s="3432"/>
      <c r="W269" s="3432"/>
      <c r="X269" s="3432"/>
      <c r="Y269" s="3471">
        <v>134.64186133943801</v>
      </c>
      <c r="Z269" s="3452">
        <v>4.5629421835764097E-3</v>
      </c>
      <c r="AA269" s="3451">
        <v>0.79618037504012096</v>
      </c>
      <c r="AB269" s="3451">
        <v>0.80074331722369696</v>
      </c>
      <c r="AC269" s="3453">
        <v>7.2973445942951702</v>
      </c>
      <c r="AD269" s="3453">
        <v>1.82817600572643</v>
      </c>
      <c r="AE269" s="3453">
        <v>9.1255206000216003</v>
      </c>
      <c r="AF269" s="3432"/>
      <c r="AG269" s="3471">
        <v>263.85620393532002</v>
      </c>
      <c r="AH269" s="3451">
        <v>0.67516752467466701</v>
      </c>
      <c r="AI269" s="3451">
        <v>0.77518779804058302</v>
      </c>
      <c r="AJ269" s="3453">
        <v>1.4503553227152499</v>
      </c>
      <c r="AK269" s="3432"/>
      <c r="AL269" s="3455">
        <v>17.0383321844471</v>
      </c>
      <c r="AM269" s="3432"/>
      <c r="AN269" s="3769">
        <v>0.85367916509625796</v>
      </c>
      <c r="AO269" s="3426"/>
    </row>
    <row r="270" spans="1:41">
      <c r="A270" s="3456" t="s">
        <v>430</v>
      </c>
      <c r="B270" s="3487" t="s">
        <v>57</v>
      </c>
      <c r="C270" s="3460">
        <v>2.6731680629437803E-4</v>
      </c>
      <c r="D270" s="3432"/>
      <c r="E270" s="3447">
        <v>0.12</v>
      </c>
      <c r="F270" s="3732"/>
      <c r="G270" s="3455">
        <v>14.3931969786036</v>
      </c>
      <c r="H270" s="3447">
        <v>9.6000000000000002E-2</v>
      </c>
      <c r="I270" s="3447">
        <v>6.0000000000000001E-3</v>
      </c>
      <c r="J270" s="3413">
        <v>4.4771133900302704</v>
      </c>
      <c r="K270" s="3432"/>
      <c r="L270" s="3432"/>
      <c r="M270" s="3447">
        <v>0.56399999999999995</v>
      </c>
      <c r="N270" s="3432"/>
      <c r="O270" s="3454">
        <v>1.78526982096914E-2</v>
      </c>
      <c r="P270" s="3432"/>
      <c r="Q270" s="3452">
        <v>6.5186832319213397E-3</v>
      </c>
      <c r="R270" s="3432"/>
      <c r="S270" s="3452">
        <v>6.9865533076029903E-3</v>
      </c>
      <c r="T270" s="3452">
        <v>3.1733306928421099E-3</v>
      </c>
      <c r="U270" s="3432"/>
      <c r="V270" s="3432"/>
      <c r="W270" s="3432"/>
      <c r="X270" s="3432"/>
      <c r="Y270" s="3454">
        <v>2.4839251517294401E-2</v>
      </c>
      <c r="Z270" s="3449">
        <v>2.2896443084238899E-6</v>
      </c>
      <c r="AA270" s="3460">
        <v>3.9951631882404799E-4</v>
      </c>
      <c r="AB270" s="3460">
        <v>4.0180596313247198E-4</v>
      </c>
      <c r="AC270" s="3452">
        <v>1.32250974613006E-3</v>
      </c>
      <c r="AD270" s="3460">
        <v>3.31323340150948E-4</v>
      </c>
      <c r="AE270" s="3452">
        <v>1.6538330862810101E-3</v>
      </c>
      <c r="AF270" s="3432"/>
      <c r="AG270" s="3454">
        <v>4.9260425010558197E-2</v>
      </c>
      <c r="AH270" s="3460">
        <v>2.1999150867363899E-4</v>
      </c>
      <c r="AI270" s="3460">
        <v>2.5258136234931802E-4</v>
      </c>
      <c r="AJ270" s="3460">
        <v>4.7257287102295698E-4</v>
      </c>
      <c r="AK270" s="3432"/>
      <c r="AL270" s="3452">
        <v>3.15057977997761E-3</v>
      </c>
      <c r="AM270" s="3432"/>
      <c r="AN270" s="3774">
        <v>1.20978843670131E-4</v>
      </c>
      <c r="AO270" s="3426"/>
    </row>
    <row r="271" spans="1:41">
      <c r="A271" s="3456" t="s">
        <v>431</v>
      </c>
      <c r="B271" s="3487" t="s">
        <v>432</v>
      </c>
      <c r="C271" s="3452">
        <v>5.3853448672443304E-3</v>
      </c>
      <c r="D271" s="3432"/>
      <c r="E271" s="3453">
        <v>1.5461524504505899</v>
      </c>
      <c r="F271" s="3732"/>
      <c r="G271" s="3471">
        <v>196.75058642502401</v>
      </c>
      <c r="H271" s="3453">
        <v>1.23692196036047</v>
      </c>
      <c r="I271" s="3454">
        <v>7.7307622522529401E-2</v>
      </c>
      <c r="J271" s="3412">
        <v>88.4792097576468</v>
      </c>
      <c r="K271" s="3432"/>
      <c r="L271" s="3432"/>
      <c r="M271" s="3453">
        <v>7.2669165171177603</v>
      </c>
      <c r="N271" s="3432"/>
      <c r="O271" s="3451">
        <v>0.36731577011984901</v>
      </c>
      <c r="P271" s="3432"/>
      <c r="Q271" s="3451">
        <v>0.132880809145413</v>
      </c>
      <c r="R271" s="3432"/>
      <c r="S271" s="3451">
        <v>0.14374696634217801</v>
      </c>
      <c r="T271" s="3454">
        <v>6.3562762883104501E-2</v>
      </c>
      <c r="U271" s="3432"/>
      <c r="V271" s="3432"/>
      <c r="W271" s="3432"/>
      <c r="X271" s="3432"/>
      <c r="Y271" s="3451">
        <v>0.51106273646202705</v>
      </c>
      <c r="Z271" s="3449">
        <v>9.3259332256790202E-6</v>
      </c>
      <c r="AA271" s="3452">
        <v>1.62726695068498E-3</v>
      </c>
      <c r="AB271" s="3452">
        <v>1.63659288391066E-3</v>
      </c>
      <c r="AC271" s="3454">
        <v>2.74644434593019E-2</v>
      </c>
      <c r="AD271" s="3452">
        <v>6.8805626339995402E-3</v>
      </c>
      <c r="AE271" s="3454">
        <v>3.4345006093301399E-2</v>
      </c>
      <c r="AF271" s="3432"/>
      <c r="AG271" s="3451">
        <v>0.98085601289609203</v>
      </c>
      <c r="AH271" s="3452">
        <v>2.0993167894069699E-3</v>
      </c>
      <c r="AI271" s="3452">
        <v>2.4103125519169101E-3</v>
      </c>
      <c r="AJ271" s="3452">
        <v>4.50962934132388E-3</v>
      </c>
      <c r="AK271" s="3432"/>
      <c r="AL271" s="3454">
        <v>6.3103475114242302E-2</v>
      </c>
      <c r="AM271" s="3432"/>
      <c r="AN271" s="3771">
        <v>2.8367409312712501E-3</v>
      </c>
      <c r="AO271" s="3426"/>
    </row>
    <row r="272" spans="1:41">
      <c r="A272" s="3456" t="s">
        <v>731</v>
      </c>
      <c r="B272" s="3487" t="s">
        <v>434</v>
      </c>
      <c r="C272" s="3472">
        <v>2558.0806639925599</v>
      </c>
      <c r="D272" s="3432"/>
      <c r="E272" s="3472">
        <v>1049.08489049902</v>
      </c>
      <c r="F272" s="3732"/>
      <c r="G272" s="3472">
        <v>1211.37515163596</v>
      </c>
      <c r="H272" s="3472">
        <v>1049.08489049902</v>
      </c>
      <c r="I272" s="3472">
        <v>1049.08489049902</v>
      </c>
      <c r="J272" s="3424">
        <v>2389.4656416869898</v>
      </c>
      <c r="K272" s="3432"/>
      <c r="L272" s="3432"/>
      <c r="M272" s="3472">
        <v>1049.08489049902</v>
      </c>
      <c r="N272" s="3432"/>
      <c r="O272" s="3472">
        <v>2570.7312471507098</v>
      </c>
      <c r="P272" s="3432"/>
      <c r="Q272" s="3472">
        <v>2527.2563520614299</v>
      </c>
      <c r="R272" s="3432"/>
      <c r="S272" s="3472">
        <v>2570.7312471507098</v>
      </c>
      <c r="T272" s="3472">
        <v>2514.2579061455899</v>
      </c>
      <c r="U272" s="3432"/>
      <c r="V272" s="3432"/>
      <c r="W272" s="3432"/>
      <c r="X272" s="3432"/>
      <c r="Y272" s="3472">
        <v>2570.7312471507098</v>
      </c>
      <c r="Z272" s="3455">
        <v>14.8363859363169</v>
      </c>
      <c r="AA272" s="3455">
        <v>14.8363859363169</v>
      </c>
      <c r="AB272" s="3455">
        <v>14.8363859363169</v>
      </c>
      <c r="AC272" s="3472">
        <v>2613.4213563512899</v>
      </c>
      <c r="AD272" s="3472">
        <v>2613.4213563512899</v>
      </c>
      <c r="AE272" s="3472">
        <v>2613.4213563512799</v>
      </c>
      <c r="AF272" s="3432"/>
      <c r="AG272" s="3472">
        <v>2484.9327783712602</v>
      </c>
      <c r="AH272" s="3471">
        <v>839.19577986324998</v>
      </c>
      <c r="AI272" s="3471">
        <v>839.19577986324998</v>
      </c>
      <c r="AJ272" s="3471">
        <v>839.19577986324998</v>
      </c>
      <c r="AK272" s="3432"/>
      <c r="AL272" s="3472">
        <v>2513.9782892411599</v>
      </c>
      <c r="AM272" s="3432"/>
      <c r="AN272" s="3775">
        <v>3289.28812220076</v>
      </c>
      <c r="AO272" s="3426"/>
    </row>
    <row r="273" spans="1:41" ht="13" thickBot="1">
      <c r="A273" s="3474" t="s">
        <v>433</v>
      </c>
      <c r="B273" s="3490" t="s">
        <v>434</v>
      </c>
      <c r="C273" s="3491">
        <v>2775.5439107777902</v>
      </c>
      <c r="D273" s="3494"/>
      <c r="E273" s="3491">
        <v>1158.2202546164799</v>
      </c>
      <c r="F273" s="3750"/>
      <c r="G273" s="3491">
        <v>1332.20131137511</v>
      </c>
      <c r="H273" s="3491">
        <v>1158.2202546164799</v>
      </c>
      <c r="I273" s="3491">
        <v>1158.2202546164799</v>
      </c>
      <c r="J273" s="3425">
        <v>2595.3321464793898</v>
      </c>
      <c r="K273" s="3494"/>
      <c r="L273" s="3494"/>
      <c r="M273" s="3491">
        <v>1158.2202546164799</v>
      </c>
      <c r="N273" s="3494"/>
      <c r="O273" s="3491">
        <v>2789.1374857526898</v>
      </c>
      <c r="P273" s="3494"/>
      <c r="Q273" s="3491">
        <v>2742.4431291709102</v>
      </c>
      <c r="R273" s="3494"/>
      <c r="S273" s="3491">
        <v>2789.1374857526898</v>
      </c>
      <c r="T273" s="3491">
        <v>2728.5744655960302</v>
      </c>
      <c r="U273" s="3494"/>
      <c r="V273" s="3494"/>
      <c r="W273" s="3494"/>
      <c r="X273" s="3494"/>
      <c r="Y273" s="3491">
        <v>2789.1374857526898</v>
      </c>
      <c r="Z273" s="3478">
        <v>66.078553671346995</v>
      </c>
      <c r="AA273" s="3478">
        <v>66.078553671346995</v>
      </c>
      <c r="AB273" s="3478">
        <v>66.078553671346995</v>
      </c>
      <c r="AC273" s="3491">
        <v>2834.40861176934</v>
      </c>
      <c r="AD273" s="3491">
        <v>2834.40861176934</v>
      </c>
      <c r="AE273" s="3491">
        <v>2834.40861176934</v>
      </c>
      <c r="AF273" s="3494"/>
      <c r="AG273" s="3491">
        <v>2697.2454537124499</v>
      </c>
      <c r="AH273" s="3492">
        <v>944.10563258587297</v>
      </c>
      <c r="AI273" s="3492">
        <v>944.10563258587297</v>
      </c>
      <c r="AJ273" s="3492">
        <v>944.10563258587297</v>
      </c>
      <c r="AK273" s="3494"/>
      <c r="AL273" s="3491">
        <v>2728.2760726622</v>
      </c>
      <c r="AM273" s="3494"/>
      <c r="AN273" s="3776">
        <v>3553.40948483388</v>
      </c>
      <c r="AO273" s="3426"/>
    </row>
    <row r="274" spans="1:41" ht="13" thickTop="1">
      <c r="A274" s="3426"/>
      <c r="B274" s="3426"/>
      <c r="C274" s="3426"/>
      <c r="D274" s="3426"/>
      <c r="E274" s="3426"/>
      <c r="F274" s="3727"/>
      <c r="G274" s="3426"/>
      <c r="H274" s="3426"/>
      <c r="I274" s="3426"/>
      <c r="J274" s="3426"/>
      <c r="K274" s="3426"/>
      <c r="L274" s="3426"/>
      <c r="M274" s="3426"/>
      <c r="N274" s="3426"/>
      <c r="O274" s="3426"/>
      <c r="P274" s="3426"/>
      <c r="Q274" s="3426"/>
      <c r="R274" s="3426"/>
      <c r="S274" s="3426"/>
      <c r="T274" s="3426"/>
      <c r="U274" s="3426"/>
      <c r="V274" s="3426"/>
      <c r="W274" s="3426"/>
      <c r="X274" s="3426"/>
      <c r="Y274" s="3426"/>
      <c r="Z274" s="3426"/>
      <c r="AA274" s="3426"/>
      <c r="AB274" s="3426"/>
      <c r="AC274" s="3426"/>
      <c r="AD274" s="3426"/>
      <c r="AE274" s="3426"/>
      <c r="AF274" s="3426"/>
      <c r="AG274" s="3426"/>
      <c r="AH274" s="3426"/>
      <c r="AI274" s="3426"/>
      <c r="AJ274" s="3426"/>
      <c r="AK274" s="3426"/>
      <c r="AL274" s="3426"/>
      <c r="AM274" s="3426"/>
      <c r="AN274" s="3760"/>
      <c r="AO274" s="3426"/>
    </row>
    <row r="275" spans="1:41" ht="13" thickBot="1">
      <c r="A275" s="3426"/>
      <c r="B275" s="3426"/>
      <c r="C275" s="3426"/>
      <c r="D275" s="3426"/>
      <c r="E275" s="3426"/>
      <c r="F275" s="3727"/>
      <c r="G275" s="3426"/>
      <c r="H275" s="3426"/>
      <c r="I275" s="3426"/>
      <c r="J275" s="3426"/>
      <c r="K275" s="3426"/>
      <c r="L275" s="3426"/>
      <c r="M275" s="3426"/>
      <c r="N275" s="3426"/>
      <c r="O275" s="3426"/>
      <c r="P275" s="3426"/>
      <c r="Q275" s="3426"/>
      <c r="R275" s="3426"/>
      <c r="S275" s="3426"/>
      <c r="T275" s="3426"/>
      <c r="U275" s="3426"/>
      <c r="V275" s="3426"/>
      <c r="W275" s="3426"/>
      <c r="X275" s="3426"/>
      <c r="Y275" s="3426"/>
      <c r="Z275" s="3426"/>
      <c r="AA275" s="3426"/>
      <c r="AB275" s="3426"/>
      <c r="AC275" s="3426"/>
      <c r="AD275" s="3426"/>
      <c r="AE275" s="3426"/>
      <c r="AF275" s="3426"/>
      <c r="AG275" s="3426"/>
      <c r="AH275" s="3426"/>
      <c r="AI275" s="3426"/>
      <c r="AJ275" s="3426"/>
      <c r="AK275" s="3426"/>
      <c r="AL275" s="3426"/>
      <c r="AM275" s="3426"/>
      <c r="AN275" s="3760"/>
      <c r="AO275" s="3426"/>
    </row>
    <row r="276" spans="1:41" ht="14" thickTop="1" thickBot="1">
      <c r="A276" s="3434" t="s">
        <v>389</v>
      </c>
      <c r="B276" s="3435"/>
      <c r="C276" s="3436" t="s">
        <v>821</v>
      </c>
      <c r="D276" s="3436" t="s">
        <v>822</v>
      </c>
      <c r="E276" s="3436" t="s">
        <v>741</v>
      </c>
      <c r="F276" s="3734" t="s">
        <v>823</v>
      </c>
      <c r="G276" s="3436" t="s">
        <v>1304</v>
      </c>
      <c r="H276" s="3436" t="s">
        <v>737</v>
      </c>
      <c r="I276" s="3436" t="s">
        <v>742</v>
      </c>
      <c r="J276" s="3437" t="s">
        <v>1305</v>
      </c>
      <c r="K276" s="3436" t="s">
        <v>824</v>
      </c>
      <c r="L276" s="3436" t="s">
        <v>825</v>
      </c>
      <c r="M276" s="3436" t="s">
        <v>743</v>
      </c>
      <c r="N276" s="3436" t="s">
        <v>827</v>
      </c>
      <c r="O276" s="3436" t="s">
        <v>390</v>
      </c>
      <c r="P276" s="3436" t="s">
        <v>391</v>
      </c>
      <c r="Q276" s="3436" t="s">
        <v>392</v>
      </c>
      <c r="R276" s="3436" t="s">
        <v>393</v>
      </c>
      <c r="S276" s="3436" t="s">
        <v>394</v>
      </c>
      <c r="T276" s="3436" t="s">
        <v>395</v>
      </c>
      <c r="U276" s="3436" t="s">
        <v>396</v>
      </c>
      <c r="V276" s="3436" t="s">
        <v>397</v>
      </c>
      <c r="W276" s="3436" t="s">
        <v>398</v>
      </c>
      <c r="X276" s="3436" t="s">
        <v>399</v>
      </c>
      <c r="Y276" s="3436" t="s">
        <v>400</v>
      </c>
      <c r="Z276" s="3436" t="s">
        <v>401</v>
      </c>
      <c r="AA276" s="3436" t="s">
        <v>402</v>
      </c>
      <c r="AB276" s="3436" t="s">
        <v>403</v>
      </c>
      <c r="AC276" s="3436" t="s">
        <v>404</v>
      </c>
      <c r="AD276" s="3436" t="s">
        <v>405</v>
      </c>
      <c r="AE276" s="3436" t="s">
        <v>406</v>
      </c>
      <c r="AF276" s="3436" t="s">
        <v>407</v>
      </c>
      <c r="AG276" s="3436" t="s">
        <v>408</v>
      </c>
      <c r="AH276" s="3436" t="s">
        <v>409</v>
      </c>
      <c r="AI276" s="3436" t="s">
        <v>410</v>
      </c>
      <c r="AJ276" s="3436" t="s">
        <v>411</v>
      </c>
      <c r="AK276" s="3436" t="s">
        <v>412</v>
      </c>
      <c r="AL276" s="3436" t="s">
        <v>439</v>
      </c>
      <c r="AM276" s="3436" t="s">
        <v>440</v>
      </c>
      <c r="AN276" s="3761" t="s">
        <v>828</v>
      </c>
      <c r="AO276" s="3426"/>
    </row>
    <row r="277" spans="1:41" ht="13">
      <c r="A277" s="3438" t="s">
        <v>96</v>
      </c>
      <c r="B277" s="3427" t="s">
        <v>413</v>
      </c>
      <c r="C277" s="3428" t="s">
        <v>414</v>
      </c>
      <c r="D277" s="3428" t="s">
        <v>414</v>
      </c>
      <c r="E277" s="3428" t="s">
        <v>414</v>
      </c>
      <c r="F277" s="3728" t="s">
        <v>414</v>
      </c>
      <c r="G277" s="3428" t="s">
        <v>414</v>
      </c>
      <c r="H277" s="3428" t="s">
        <v>414</v>
      </c>
      <c r="I277" s="3428" t="s">
        <v>414</v>
      </c>
      <c r="J277" s="3439" t="s">
        <v>414</v>
      </c>
      <c r="K277" s="3428" t="s">
        <v>414</v>
      </c>
      <c r="L277" s="3428" t="s">
        <v>414</v>
      </c>
      <c r="M277" s="3428" t="s">
        <v>414</v>
      </c>
      <c r="N277" s="3428" t="s">
        <v>414</v>
      </c>
      <c r="O277" s="3428" t="s">
        <v>414</v>
      </c>
      <c r="P277" s="3428" t="s">
        <v>414</v>
      </c>
      <c r="Q277" s="3428" t="s">
        <v>414</v>
      </c>
      <c r="R277" s="3428" t="s">
        <v>414</v>
      </c>
      <c r="S277" s="3428" t="s">
        <v>414</v>
      </c>
      <c r="T277" s="3428" t="s">
        <v>414</v>
      </c>
      <c r="U277" s="3428" t="s">
        <v>414</v>
      </c>
      <c r="V277" s="3428" t="s">
        <v>414</v>
      </c>
      <c r="W277" s="3428" t="s">
        <v>414</v>
      </c>
      <c r="X277" s="3428" t="s">
        <v>414</v>
      </c>
      <c r="Y277" s="3428" t="s">
        <v>414</v>
      </c>
      <c r="Z277" s="3428" t="s">
        <v>414</v>
      </c>
      <c r="AA277" s="3428" t="s">
        <v>414</v>
      </c>
      <c r="AB277" s="3428" t="s">
        <v>414</v>
      </c>
      <c r="AC277" s="3428" t="s">
        <v>414</v>
      </c>
      <c r="AD277" s="3428" t="s">
        <v>414</v>
      </c>
      <c r="AE277" s="3428" t="s">
        <v>414</v>
      </c>
      <c r="AF277" s="3428" t="s">
        <v>414</v>
      </c>
      <c r="AG277" s="3428" t="s">
        <v>414</v>
      </c>
      <c r="AH277" s="3428" t="s">
        <v>414</v>
      </c>
      <c r="AI277" s="3428" t="s">
        <v>414</v>
      </c>
      <c r="AJ277" s="3428" t="s">
        <v>414</v>
      </c>
      <c r="AK277" s="3428" t="s">
        <v>414</v>
      </c>
      <c r="AL277" s="3428" t="s">
        <v>414</v>
      </c>
      <c r="AM277" s="3428" t="s">
        <v>414</v>
      </c>
      <c r="AN277" s="3762" t="s">
        <v>414</v>
      </c>
      <c r="AO277" s="3426"/>
    </row>
    <row r="278" spans="1:41" ht="13">
      <c r="A278" s="3440" t="s">
        <v>436</v>
      </c>
      <c r="B278" s="3429" t="s">
        <v>416</v>
      </c>
      <c r="C278" s="3429" t="s">
        <v>445</v>
      </c>
      <c r="D278" s="3429" t="s">
        <v>445</v>
      </c>
      <c r="E278" s="3429" t="s">
        <v>445</v>
      </c>
      <c r="F278" s="3729" t="s">
        <v>445</v>
      </c>
      <c r="G278" s="3429" t="s">
        <v>445</v>
      </c>
      <c r="H278" s="3429" t="s">
        <v>445</v>
      </c>
      <c r="I278" s="3429" t="s">
        <v>445</v>
      </c>
      <c r="J278" s="3441" t="s">
        <v>445</v>
      </c>
      <c r="K278" s="3429" t="s">
        <v>829</v>
      </c>
      <c r="L278" s="3429" t="s">
        <v>445</v>
      </c>
      <c r="M278" s="3429" t="s">
        <v>445</v>
      </c>
      <c r="N278" s="3429" t="s">
        <v>445</v>
      </c>
      <c r="O278" s="3429" t="s">
        <v>445</v>
      </c>
      <c r="P278" s="3429" t="s">
        <v>829</v>
      </c>
      <c r="Q278" s="3429" t="s">
        <v>830</v>
      </c>
      <c r="R278" s="3429" t="s">
        <v>830</v>
      </c>
      <c r="S278" s="3429" t="s">
        <v>445</v>
      </c>
      <c r="T278" s="3429" t="s">
        <v>631</v>
      </c>
      <c r="U278" s="3429" t="s">
        <v>631</v>
      </c>
      <c r="V278" s="3429" t="s">
        <v>831</v>
      </c>
      <c r="W278" s="3429" t="s">
        <v>831</v>
      </c>
      <c r="X278" s="3429" t="s">
        <v>418</v>
      </c>
      <c r="Y278" s="3429" t="s">
        <v>419</v>
      </c>
      <c r="Z278" s="3429" t="s">
        <v>445</v>
      </c>
      <c r="AA278" s="3429" t="s">
        <v>445</v>
      </c>
      <c r="AB278" s="3429" t="s">
        <v>447</v>
      </c>
      <c r="AC278" s="3429" t="s">
        <v>445</v>
      </c>
      <c r="AD278" s="3429" t="s">
        <v>445</v>
      </c>
      <c r="AE278" s="3429" t="s">
        <v>448</v>
      </c>
      <c r="AF278" s="3429" t="s">
        <v>896</v>
      </c>
      <c r="AG278" s="3429" t="s">
        <v>896</v>
      </c>
      <c r="AH278" s="3429" t="s">
        <v>445</v>
      </c>
      <c r="AI278" s="3429" t="s">
        <v>445</v>
      </c>
      <c r="AJ278" s="3429" t="s">
        <v>449</v>
      </c>
      <c r="AK278" s="3429" t="s">
        <v>896</v>
      </c>
      <c r="AL278" s="3429" t="s">
        <v>450</v>
      </c>
      <c r="AM278" s="3429" t="s">
        <v>826</v>
      </c>
      <c r="AN278" s="3763" t="s">
        <v>445</v>
      </c>
      <c r="AO278" s="3426"/>
    </row>
    <row r="279" spans="1:41">
      <c r="A279" s="3442"/>
      <c r="B279" s="3429" t="s">
        <v>421</v>
      </c>
      <c r="C279" s="3430" t="s">
        <v>450</v>
      </c>
      <c r="D279" s="3430" t="s">
        <v>418</v>
      </c>
      <c r="E279" s="3430" t="s">
        <v>445</v>
      </c>
      <c r="F279" s="3730" t="s">
        <v>829</v>
      </c>
      <c r="G279" s="3430" t="s">
        <v>445</v>
      </c>
      <c r="H279" s="3430" t="s">
        <v>445</v>
      </c>
      <c r="I279" s="3430" t="s">
        <v>445</v>
      </c>
      <c r="J279" s="3443" t="s">
        <v>445</v>
      </c>
      <c r="K279" s="3430" t="s">
        <v>445</v>
      </c>
      <c r="L279" s="3430" t="s">
        <v>418</v>
      </c>
      <c r="M279" s="3430" t="s">
        <v>445</v>
      </c>
      <c r="N279" s="3430" t="s">
        <v>445</v>
      </c>
      <c r="O279" s="3430" t="s">
        <v>419</v>
      </c>
      <c r="P279" s="3430" t="s">
        <v>445</v>
      </c>
      <c r="Q279" s="3430" t="s">
        <v>445</v>
      </c>
      <c r="R279" s="3430" t="s">
        <v>445</v>
      </c>
      <c r="S279" s="3430" t="s">
        <v>419</v>
      </c>
      <c r="T279" s="3430" t="s">
        <v>445</v>
      </c>
      <c r="U279" s="3430" t="s">
        <v>445</v>
      </c>
      <c r="V279" s="3430" t="s">
        <v>445</v>
      </c>
      <c r="W279" s="3430" t="s">
        <v>445</v>
      </c>
      <c r="X279" s="3430" t="s">
        <v>896</v>
      </c>
      <c r="Y279" s="3430" t="s">
        <v>445</v>
      </c>
      <c r="Z279" s="3430" t="s">
        <v>447</v>
      </c>
      <c r="AA279" s="3430" t="s">
        <v>447</v>
      </c>
      <c r="AB279" s="3430" t="s">
        <v>445</v>
      </c>
      <c r="AC279" s="3430" t="s">
        <v>448</v>
      </c>
      <c r="AD279" s="3430" t="s">
        <v>448</v>
      </c>
      <c r="AE279" s="3430" t="s">
        <v>445</v>
      </c>
      <c r="AF279" s="3430" t="s">
        <v>831</v>
      </c>
      <c r="AG279" s="3430" t="s">
        <v>445</v>
      </c>
      <c r="AH279" s="3430" t="s">
        <v>449</v>
      </c>
      <c r="AI279" s="3430" t="s">
        <v>449</v>
      </c>
      <c r="AJ279" s="3430" t="s">
        <v>445</v>
      </c>
      <c r="AK279" s="3430" t="s">
        <v>450</v>
      </c>
      <c r="AL279" s="3430" t="s">
        <v>631</v>
      </c>
      <c r="AM279" s="3430" t="s">
        <v>830</v>
      </c>
      <c r="AN279" s="3764" t="s">
        <v>445</v>
      </c>
      <c r="AO279" s="3426"/>
    </row>
    <row r="280" spans="1:41" ht="13" thickBot="1">
      <c r="A280" s="5055" t="s">
        <v>49</v>
      </c>
      <c r="B280" s="5056"/>
      <c r="C280" s="3431" t="s">
        <v>296</v>
      </c>
      <c r="D280" s="3433" t="s">
        <v>296</v>
      </c>
      <c r="E280" s="3433" t="s">
        <v>296</v>
      </c>
      <c r="F280" s="3731" t="s">
        <v>296</v>
      </c>
      <c r="G280" s="3433" t="s">
        <v>296</v>
      </c>
      <c r="H280" s="3433" t="s">
        <v>296</v>
      </c>
      <c r="I280" s="3433" t="s">
        <v>296</v>
      </c>
      <c r="J280" s="3418" t="s">
        <v>296</v>
      </c>
      <c r="K280" s="3433" t="s">
        <v>296</v>
      </c>
      <c r="L280" s="3433" t="s">
        <v>296</v>
      </c>
      <c r="M280" s="3433" t="s">
        <v>296</v>
      </c>
      <c r="N280" s="3433" t="s">
        <v>296</v>
      </c>
      <c r="O280" s="3433" t="s">
        <v>296</v>
      </c>
      <c r="P280" s="3433" t="s">
        <v>296</v>
      </c>
      <c r="Q280" s="3433" t="s">
        <v>296</v>
      </c>
      <c r="R280" s="3433" t="s">
        <v>296</v>
      </c>
      <c r="S280" s="3433" t="s">
        <v>296</v>
      </c>
      <c r="T280" s="3433" t="s">
        <v>296</v>
      </c>
      <c r="U280" s="3433" t="s">
        <v>296</v>
      </c>
      <c r="V280" s="3433" t="s">
        <v>296</v>
      </c>
      <c r="W280" s="3433" t="s">
        <v>296</v>
      </c>
      <c r="X280" s="3433" t="s">
        <v>296</v>
      </c>
      <c r="Y280" s="3433" t="s">
        <v>296</v>
      </c>
      <c r="Z280" s="3433" t="s">
        <v>296</v>
      </c>
      <c r="AA280" s="3433" t="s">
        <v>296</v>
      </c>
      <c r="AB280" s="3433" t="s">
        <v>296</v>
      </c>
      <c r="AC280" s="3433" t="s">
        <v>296</v>
      </c>
      <c r="AD280" s="3433" t="s">
        <v>296</v>
      </c>
      <c r="AE280" s="3433" t="s">
        <v>296</v>
      </c>
      <c r="AF280" s="3433" t="s">
        <v>296</v>
      </c>
      <c r="AG280" s="3433" t="s">
        <v>296</v>
      </c>
      <c r="AH280" s="3433" t="s">
        <v>296</v>
      </c>
      <c r="AI280" s="3433" t="s">
        <v>296</v>
      </c>
      <c r="AJ280" s="3433" t="s">
        <v>296</v>
      </c>
      <c r="AK280" s="3433" t="s">
        <v>296</v>
      </c>
      <c r="AL280" s="3433" t="s">
        <v>296</v>
      </c>
      <c r="AM280" s="3433" t="s">
        <v>296</v>
      </c>
      <c r="AN280" s="3765" t="s">
        <v>296</v>
      </c>
      <c r="AO280" s="3426"/>
    </row>
    <row r="281" spans="1:41" ht="13" thickTop="1">
      <c r="A281" s="5051" t="s">
        <v>298</v>
      </c>
      <c r="B281" s="5052"/>
      <c r="C281" s="3454">
        <v>8.4795942866646407E-2</v>
      </c>
      <c r="D281" s="3451">
        <v>0.10687946035422199</v>
      </c>
      <c r="E281" s="3432"/>
      <c r="F281" s="3751">
        <v>0</v>
      </c>
      <c r="G281" s="3447">
        <v>0</v>
      </c>
      <c r="H281" s="3432"/>
      <c r="I281" s="3432"/>
      <c r="J281" s="3412">
        <v>99.966753313013598</v>
      </c>
      <c r="K281" s="3447">
        <v>0</v>
      </c>
      <c r="L281" s="3454">
        <v>5.4649222372080697E-2</v>
      </c>
      <c r="M281" s="3432"/>
      <c r="N281" s="3432"/>
      <c r="O281" s="3432"/>
      <c r="P281" s="3432"/>
      <c r="Q281" s="3432"/>
      <c r="R281" s="3452">
        <v>2.1629993467730301E-3</v>
      </c>
      <c r="S281" s="3432"/>
      <c r="T281" s="3432"/>
      <c r="U281" s="3454">
        <v>8.0673945893317694E-2</v>
      </c>
      <c r="V281" s="3432"/>
      <c r="W281" s="3455">
        <v>99.996470341110694</v>
      </c>
      <c r="X281" s="3454">
        <v>5.5174700514946301E-2</v>
      </c>
      <c r="Y281" s="3432"/>
      <c r="Z281" s="3432"/>
      <c r="AA281" s="3432"/>
      <c r="AB281" s="3432"/>
      <c r="AC281" s="3432"/>
      <c r="AD281" s="3432"/>
      <c r="AE281" s="3432"/>
      <c r="AF281" s="3455">
        <v>99.996470341110694</v>
      </c>
      <c r="AG281" s="3432"/>
      <c r="AH281" s="3432"/>
      <c r="AI281" s="3432"/>
      <c r="AJ281" s="3432"/>
      <c r="AK281" s="3454">
        <v>9.0594456807256599E-2</v>
      </c>
      <c r="AL281" s="3454">
        <v>8.0739948735381997E-2</v>
      </c>
      <c r="AM281" s="3452">
        <v>2.2075293497011801E-3</v>
      </c>
      <c r="AN281" s="3766">
        <v>0</v>
      </c>
      <c r="AO281" s="3426"/>
    </row>
    <row r="282" spans="1:41">
      <c r="A282" s="5047" t="s">
        <v>5</v>
      </c>
      <c r="B282" s="5048"/>
      <c r="C282" s="3447">
        <v>0</v>
      </c>
      <c r="D282" s="3447">
        <v>0</v>
      </c>
      <c r="E282" s="3432"/>
      <c r="F282" s="3751">
        <v>0</v>
      </c>
      <c r="G282" s="3449">
        <v>6.9407734182721598E-5</v>
      </c>
      <c r="H282" s="3432"/>
      <c r="I282" s="3432"/>
      <c r="J282" s="3411">
        <v>0</v>
      </c>
      <c r="K282" s="3447">
        <v>0</v>
      </c>
      <c r="L282" s="3447">
        <v>0</v>
      </c>
      <c r="M282" s="3432"/>
      <c r="N282" s="3432"/>
      <c r="O282" s="3432"/>
      <c r="P282" s="3432"/>
      <c r="Q282" s="3432"/>
      <c r="R282" s="3447">
        <v>0</v>
      </c>
      <c r="S282" s="3432"/>
      <c r="T282" s="3432"/>
      <c r="U282" s="3447">
        <v>0</v>
      </c>
      <c r="V282" s="3432"/>
      <c r="W282" s="3447">
        <v>0</v>
      </c>
      <c r="X282" s="3447">
        <v>0</v>
      </c>
      <c r="Y282" s="3432"/>
      <c r="Z282" s="3432"/>
      <c r="AA282" s="3432"/>
      <c r="AB282" s="3432"/>
      <c r="AC282" s="3432"/>
      <c r="AD282" s="3432"/>
      <c r="AE282" s="3432"/>
      <c r="AF282" s="3447">
        <v>0</v>
      </c>
      <c r="AG282" s="3432"/>
      <c r="AH282" s="3432"/>
      <c r="AI282" s="3432"/>
      <c r="AJ282" s="3432"/>
      <c r="AK282" s="3447">
        <v>0</v>
      </c>
      <c r="AL282" s="3447">
        <v>0</v>
      </c>
      <c r="AM282" s="3447">
        <v>0</v>
      </c>
      <c r="AN282" s="3766">
        <v>0</v>
      </c>
      <c r="AO282" s="3426"/>
    </row>
    <row r="283" spans="1:41">
      <c r="A283" s="5047" t="s">
        <v>832</v>
      </c>
      <c r="B283" s="5048"/>
      <c r="C283" s="3447">
        <v>0</v>
      </c>
      <c r="D283" s="3447">
        <v>0</v>
      </c>
      <c r="E283" s="3432"/>
      <c r="F283" s="3751">
        <v>0</v>
      </c>
      <c r="G283" s="3451">
        <v>0.53405260154559397</v>
      </c>
      <c r="H283" s="3432"/>
      <c r="I283" s="3432"/>
      <c r="J283" s="3411">
        <v>0</v>
      </c>
      <c r="K283" s="3447">
        <v>0</v>
      </c>
      <c r="L283" s="3447">
        <v>0</v>
      </c>
      <c r="M283" s="3432"/>
      <c r="N283" s="3432"/>
      <c r="O283" s="3432"/>
      <c r="P283" s="3432"/>
      <c r="Q283" s="3432"/>
      <c r="R283" s="3449">
        <v>5.4680834841856002E-6</v>
      </c>
      <c r="S283" s="3432"/>
      <c r="T283" s="3432"/>
      <c r="U283" s="3447">
        <v>0</v>
      </c>
      <c r="V283" s="3432"/>
      <c r="W283" s="3447">
        <v>0</v>
      </c>
      <c r="X283" s="3447">
        <v>0</v>
      </c>
      <c r="Y283" s="3432"/>
      <c r="Z283" s="3432"/>
      <c r="AA283" s="3432"/>
      <c r="AB283" s="3432"/>
      <c r="AC283" s="3432"/>
      <c r="AD283" s="3432"/>
      <c r="AE283" s="3432"/>
      <c r="AF283" s="3447">
        <v>0</v>
      </c>
      <c r="AG283" s="3432"/>
      <c r="AH283" s="3432"/>
      <c r="AI283" s="3432"/>
      <c r="AJ283" s="3432"/>
      <c r="AK283" s="3447">
        <v>0</v>
      </c>
      <c r="AL283" s="3447">
        <v>0</v>
      </c>
      <c r="AM283" s="3449">
        <v>6.6796192257536502E-6</v>
      </c>
      <c r="AN283" s="3766">
        <v>0</v>
      </c>
      <c r="AO283" s="3426"/>
    </row>
    <row r="284" spans="1:41">
      <c r="A284" s="5047" t="s">
        <v>3</v>
      </c>
      <c r="B284" s="5048"/>
      <c r="C284" s="3452">
        <v>1.55214038977886E-3</v>
      </c>
      <c r="D284" s="3447">
        <v>0</v>
      </c>
      <c r="E284" s="3432"/>
      <c r="F284" s="3751">
        <v>0</v>
      </c>
      <c r="G284" s="3451">
        <v>0.14334883062338</v>
      </c>
      <c r="H284" s="3432"/>
      <c r="I284" s="3432"/>
      <c r="J284" s="3422">
        <v>1.88464614784608E-3</v>
      </c>
      <c r="K284" s="3447">
        <v>0</v>
      </c>
      <c r="L284" s="3447">
        <v>0</v>
      </c>
      <c r="M284" s="3432"/>
      <c r="N284" s="3432"/>
      <c r="O284" s="3432"/>
      <c r="P284" s="3432"/>
      <c r="Q284" s="3432"/>
      <c r="R284" s="3460">
        <v>4.34947773607092E-4</v>
      </c>
      <c r="S284" s="3432"/>
      <c r="T284" s="3432"/>
      <c r="U284" s="3449">
        <v>3.04165979375663E-5</v>
      </c>
      <c r="V284" s="3432"/>
      <c r="W284" s="3447">
        <v>0</v>
      </c>
      <c r="X284" s="3447">
        <v>0</v>
      </c>
      <c r="Y284" s="3432"/>
      <c r="Z284" s="3432"/>
      <c r="AA284" s="3432"/>
      <c r="AB284" s="3432"/>
      <c r="AC284" s="3432"/>
      <c r="AD284" s="3432"/>
      <c r="AE284" s="3432"/>
      <c r="AF284" s="3447">
        <v>0</v>
      </c>
      <c r="AG284" s="3432"/>
      <c r="AH284" s="3432"/>
      <c r="AI284" s="3432"/>
      <c r="AJ284" s="3432"/>
      <c r="AK284" s="3447">
        <v>0</v>
      </c>
      <c r="AL284" s="3449">
        <v>3.0456654017841001E-5</v>
      </c>
      <c r="AM284" s="3460">
        <v>4.5108896400346298E-4</v>
      </c>
      <c r="AN284" s="3766">
        <v>0</v>
      </c>
      <c r="AO284" s="3426"/>
    </row>
    <row r="285" spans="1:41">
      <c r="A285" s="5047" t="s">
        <v>6</v>
      </c>
      <c r="B285" s="5048"/>
      <c r="C285" s="3454">
        <v>2.1359079732800101E-2</v>
      </c>
      <c r="D285" s="3447">
        <v>0</v>
      </c>
      <c r="E285" s="3432"/>
      <c r="F285" s="3751">
        <v>0</v>
      </c>
      <c r="G285" s="3455">
        <v>37.311475718765102</v>
      </c>
      <c r="H285" s="3432"/>
      <c r="I285" s="3432"/>
      <c r="J285" s="3423">
        <v>8.4973693417598299E-5</v>
      </c>
      <c r="K285" s="3447">
        <v>0</v>
      </c>
      <c r="L285" s="3447">
        <v>0</v>
      </c>
      <c r="M285" s="3432"/>
      <c r="N285" s="3432"/>
      <c r="O285" s="3432"/>
      <c r="P285" s="3432"/>
      <c r="Q285" s="3432"/>
      <c r="R285" s="3452">
        <v>6.0712594073164799E-3</v>
      </c>
      <c r="S285" s="3432"/>
      <c r="T285" s="3432"/>
      <c r="U285" s="3460">
        <v>4.3940200016861299E-4</v>
      </c>
      <c r="V285" s="3432"/>
      <c r="W285" s="3447">
        <v>0</v>
      </c>
      <c r="X285" s="3447">
        <v>0</v>
      </c>
      <c r="Y285" s="3432"/>
      <c r="Z285" s="3432"/>
      <c r="AA285" s="3432"/>
      <c r="AB285" s="3432"/>
      <c r="AC285" s="3432"/>
      <c r="AD285" s="3432"/>
      <c r="AE285" s="3432"/>
      <c r="AF285" s="3447">
        <v>0</v>
      </c>
      <c r="AG285" s="3432"/>
      <c r="AH285" s="3432"/>
      <c r="AI285" s="3432"/>
      <c r="AJ285" s="3432"/>
      <c r="AK285" s="3447">
        <v>0</v>
      </c>
      <c r="AL285" s="3460">
        <v>4.4054909763856801E-4</v>
      </c>
      <c r="AM285" s="3452">
        <v>6.6584772344075302E-3</v>
      </c>
      <c r="AN285" s="3766">
        <v>0</v>
      </c>
      <c r="AO285" s="3426"/>
    </row>
    <row r="286" spans="1:41">
      <c r="A286" s="5047" t="s">
        <v>7</v>
      </c>
      <c r="B286" s="5048"/>
      <c r="C286" s="3451">
        <v>0.54392930703110198</v>
      </c>
      <c r="D286" s="3451">
        <v>0.49974137783688</v>
      </c>
      <c r="E286" s="3432"/>
      <c r="F286" s="3751">
        <v>0.2</v>
      </c>
      <c r="G286" s="3455">
        <v>20.152989670821299</v>
      </c>
      <c r="H286" s="3432"/>
      <c r="I286" s="3432"/>
      <c r="J286" s="3419">
        <v>1.6397720577684901E-2</v>
      </c>
      <c r="K286" s="3451">
        <v>0.1998001998002</v>
      </c>
      <c r="L286" s="3451">
        <v>0.94438174709101197</v>
      </c>
      <c r="M286" s="3432"/>
      <c r="N286" s="3432"/>
      <c r="O286" s="3432"/>
      <c r="P286" s="3432"/>
      <c r="Q286" s="3432"/>
      <c r="R286" s="3451">
        <v>0.42901290953879601</v>
      </c>
      <c r="S286" s="3432"/>
      <c r="T286" s="3432"/>
      <c r="U286" s="3451">
        <v>0.36022536344578199</v>
      </c>
      <c r="V286" s="3432"/>
      <c r="W286" s="3460">
        <v>4.9893172736267398E-4</v>
      </c>
      <c r="X286" s="3451">
        <v>0.94295894427988203</v>
      </c>
      <c r="Y286" s="3432"/>
      <c r="Z286" s="3432"/>
      <c r="AA286" s="3432"/>
      <c r="AB286" s="3432"/>
      <c r="AC286" s="3432"/>
      <c r="AD286" s="3432"/>
      <c r="AE286" s="3432"/>
      <c r="AF286" s="3460">
        <v>4.9893172736267398E-4</v>
      </c>
      <c r="AG286" s="3432"/>
      <c r="AH286" s="3432"/>
      <c r="AI286" s="3432"/>
      <c r="AJ286" s="3432"/>
      <c r="AK286" s="3451">
        <v>0.39135460543857298</v>
      </c>
      <c r="AL286" s="3451">
        <v>0.360460489866338</v>
      </c>
      <c r="AM286" s="3451">
        <v>0.43596683922456297</v>
      </c>
      <c r="AN286" s="3771">
        <v>1.4038980828244201E-3</v>
      </c>
      <c r="AO286" s="3426"/>
    </row>
    <row r="287" spans="1:41">
      <c r="A287" s="5047" t="s">
        <v>8</v>
      </c>
      <c r="B287" s="5048"/>
      <c r="C287" s="3455">
        <v>11.3567039234495</v>
      </c>
      <c r="D287" s="3455">
        <v>11.4284958574945</v>
      </c>
      <c r="E287" s="3432"/>
      <c r="F287" s="3751">
        <v>1</v>
      </c>
      <c r="G287" s="3455">
        <v>20.848892113177701</v>
      </c>
      <c r="H287" s="3432"/>
      <c r="I287" s="3432"/>
      <c r="J287" s="3419">
        <v>1.3774719096350901E-2</v>
      </c>
      <c r="K287" s="3453">
        <v>1.0989010989011001</v>
      </c>
      <c r="L287" s="3453">
        <v>3.9775621824829202</v>
      </c>
      <c r="M287" s="3432"/>
      <c r="N287" s="3432"/>
      <c r="O287" s="3432"/>
      <c r="P287" s="3432"/>
      <c r="Q287" s="3432"/>
      <c r="R287" s="3453">
        <v>3.6365561562089699</v>
      </c>
      <c r="S287" s="3432"/>
      <c r="T287" s="3432"/>
      <c r="U287" s="3453">
        <v>2.9385077049568</v>
      </c>
      <c r="V287" s="3432"/>
      <c r="W287" s="3460">
        <v>7.2177285393977303E-4</v>
      </c>
      <c r="X287" s="3453">
        <v>3.9995116375227302</v>
      </c>
      <c r="Y287" s="3432"/>
      <c r="Z287" s="3432"/>
      <c r="AA287" s="3432"/>
      <c r="AB287" s="3432"/>
      <c r="AC287" s="3432"/>
      <c r="AD287" s="3432"/>
      <c r="AE287" s="3432"/>
      <c r="AF287" s="3460">
        <v>7.2177285393977303E-4</v>
      </c>
      <c r="AG287" s="3432"/>
      <c r="AH287" s="3432"/>
      <c r="AI287" s="3432"/>
      <c r="AJ287" s="3432"/>
      <c r="AK287" s="3453">
        <v>2.85088120397115</v>
      </c>
      <c r="AL287" s="3453">
        <v>2.9390666910146801</v>
      </c>
      <c r="AM287" s="3453">
        <v>3.65173528052126</v>
      </c>
      <c r="AN287" s="3771">
        <v>5.9315389011687196E-3</v>
      </c>
      <c r="AO287" s="3426"/>
    </row>
    <row r="288" spans="1:41">
      <c r="A288" s="5047" t="s">
        <v>66</v>
      </c>
      <c r="B288" s="5048"/>
      <c r="C288" s="3453">
        <v>4.4876455269860296</v>
      </c>
      <c r="D288" s="3453">
        <v>4.6096714672868098</v>
      </c>
      <c r="E288" s="3432"/>
      <c r="F288" s="3751">
        <v>1.2</v>
      </c>
      <c r="G288" s="3453">
        <v>3.7874344466430201</v>
      </c>
      <c r="H288" s="3432"/>
      <c r="I288" s="3432"/>
      <c r="J288" s="3420">
        <v>3.6526714919895599E-4</v>
      </c>
      <c r="K288" s="3453">
        <v>1.2987012987013</v>
      </c>
      <c r="L288" s="3453">
        <v>1.50493004639044</v>
      </c>
      <c r="M288" s="3432"/>
      <c r="N288" s="3432"/>
      <c r="O288" s="3432"/>
      <c r="P288" s="3432"/>
      <c r="Q288" s="3432"/>
      <c r="R288" s="3453">
        <v>1.5888454040773099</v>
      </c>
      <c r="S288" s="3432"/>
      <c r="T288" s="3432"/>
      <c r="U288" s="3453">
        <v>1.3703449754950101</v>
      </c>
      <c r="V288" s="3432"/>
      <c r="W288" s="3449">
        <v>8.5624925819941699E-5</v>
      </c>
      <c r="X288" s="3453">
        <v>1.51384717675845</v>
      </c>
      <c r="Y288" s="3432"/>
      <c r="Z288" s="3432"/>
      <c r="AA288" s="3432"/>
      <c r="AB288" s="3432"/>
      <c r="AC288" s="3432"/>
      <c r="AD288" s="3432"/>
      <c r="AE288" s="3432"/>
      <c r="AF288" s="3449">
        <v>8.5624925819941699E-5</v>
      </c>
      <c r="AG288" s="3432"/>
      <c r="AH288" s="3432"/>
      <c r="AI288" s="3432"/>
      <c r="AJ288" s="3432"/>
      <c r="AK288" s="3453">
        <v>1.3234919043386</v>
      </c>
      <c r="AL288" s="3453">
        <v>1.37043902456448</v>
      </c>
      <c r="AM288" s="3453">
        <v>1.59104774130577</v>
      </c>
      <c r="AN288" s="3771">
        <v>7.1321296989947502E-3</v>
      </c>
      <c r="AO288" s="3426"/>
    </row>
    <row r="289" spans="1:41">
      <c r="A289" s="5047" t="s">
        <v>359</v>
      </c>
      <c r="B289" s="5048"/>
      <c r="C289" s="3455">
        <v>12.1665891466657</v>
      </c>
      <c r="D289" s="3455">
        <v>12.2148686999326</v>
      </c>
      <c r="E289" s="3432"/>
      <c r="F289" s="3751">
        <v>4.7</v>
      </c>
      <c r="G289" s="3455">
        <v>10.1883998940885</v>
      </c>
      <c r="H289" s="3432"/>
      <c r="I289" s="3432"/>
      <c r="J289" s="3420">
        <v>4.8937075924598405E-4</v>
      </c>
      <c r="K289" s="3453">
        <v>4.9950049950049999</v>
      </c>
      <c r="L289" s="3453">
        <v>5.0188126528473598</v>
      </c>
      <c r="M289" s="3432"/>
      <c r="N289" s="3432"/>
      <c r="O289" s="3432"/>
      <c r="P289" s="3432"/>
      <c r="Q289" s="3432"/>
      <c r="R289" s="3453">
        <v>5.5720653709108996</v>
      </c>
      <c r="S289" s="3432"/>
      <c r="T289" s="3432"/>
      <c r="U289" s="3453">
        <v>4.7337444250150504</v>
      </c>
      <c r="V289" s="3432"/>
      <c r="W289" s="3460">
        <v>2.97051521312357E-4</v>
      </c>
      <c r="X289" s="3453">
        <v>5.0394723836591604</v>
      </c>
      <c r="Y289" s="3432"/>
      <c r="Z289" s="3432"/>
      <c r="AA289" s="3432"/>
      <c r="AB289" s="3432"/>
      <c r="AC289" s="3432"/>
      <c r="AD289" s="3432"/>
      <c r="AE289" s="3432"/>
      <c r="AF289" s="3460">
        <v>2.97051521312357E-4</v>
      </c>
      <c r="AG289" s="3432"/>
      <c r="AH289" s="3432"/>
      <c r="AI289" s="3432"/>
      <c r="AJ289" s="3432"/>
      <c r="AK289" s="3453">
        <v>4.6200489640656999</v>
      </c>
      <c r="AL289" s="3453">
        <v>4.7339486638621304</v>
      </c>
      <c r="AM289" s="3453">
        <v>5.5767062983453997</v>
      </c>
      <c r="AN289" s="3770">
        <v>2.85199128966581E-2</v>
      </c>
      <c r="AO289" s="3426"/>
    </row>
    <row r="290" spans="1:41">
      <c r="A290" s="5047" t="s">
        <v>68</v>
      </c>
      <c r="B290" s="5048"/>
      <c r="C290" s="3453">
        <v>5.38415988197311</v>
      </c>
      <c r="D290" s="3453">
        <v>5.4569095489886603</v>
      </c>
      <c r="E290" s="3432"/>
      <c r="F290" s="3751">
        <v>3.8</v>
      </c>
      <c r="G290" s="3453">
        <v>2.4672099319823801</v>
      </c>
      <c r="H290" s="3432"/>
      <c r="I290" s="3432"/>
      <c r="J290" s="3423">
        <v>2.0145963265348099E-5</v>
      </c>
      <c r="K290" s="3453">
        <v>2.8971028971028998</v>
      </c>
      <c r="L290" s="3453">
        <v>3.0176475175444599</v>
      </c>
      <c r="M290" s="3432"/>
      <c r="N290" s="3432"/>
      <c r="O290" s="3432"/>
      <c r="P290" s="3432"/>
      <c r="Q290" s="3432"/>
      <c r="R290" s="3453">
        <v>2.9206744997163101</v>
      </c>
      <c r="S290" s="3432"/>
      <c r="T290" s="3432"/>
      <c r="U290" s="3453">
        <v>3.0176422787919401</v>
      </c>
      <c r="V290" s="3432"/>
      <c r="W290" s="3449">
        <v>4.9134524024276202E-5</v>
      </c>
      <c r="X290" s="3453">
        <v>3.02458071640705</v>
      </c>
      <c r="Y290" s="3432"/>
      <c r="Z290" s="3432"/>
      <c r="AA290" s="3432"/>
      <c r="AB290" s="3432"/>
      <c r="AC290" s="3432"/>
      <c r="AD290" s="3432"/>
      <c r="AE290" s="3432"/>
      <c r="AF290" s="3449">
        <v>4.9134524024276202E-5</v>
      </c>
      <c r="AG290" s="3432"/>
      <c r="AH290" s="3432"/>
      <c r="AI290" s="3432"/>
      <c r="AJ290" s="3432"/>
      <c r="AK290" s="3453">
        <v>2.9760438314933002</v>
      </c>
      <c r="AL290" s="3453">
        <v>3.0176646270320799</v>
      </c>
      <c r="AM290" s="3453">
        <v>2.9208889311899799</v>
      </c>
      <c r="AN290" s="3770">
        <v>2.64985228577354E-2</v>
      </c>
      <c r="AO290" s="3426"/>
    </row>
    <row r="291" spans="1:41">
      <c r="A291" s="5047" t="s">
        <v>669</v>
      </c>
      <c r="B291" s="5048"/>
      <c r="C291" s="3453">
        <v>6.9905665490350204</v>
      </c>
      <c r="D291" s="3453">
        <v>7.0883309937650703</v>
      </c>
      <c r="E291" s="3432"/>
      <c r="F291" s="3751">
        <v>5.4</v>
      </c>
      <c r="G291" s="3453">
        <v>2.4422379535205501</v>
      </c>
      <c r="H291" s="3432"/>
      <c r="I291" s="3432"/>
      <c r="J291" s="3423">
        <v>5.6558991635711602E-6</v>
      </c>
      <c r="K291" s="3453">
        <v>3.8961038961039001</v>
      </c>
      <c r="L291" s="3453">
        <v>4.0257297572034103</v>
      </c>
      <c r="M291" s="3432"/>
      <c r="N291" s="3432"/>
      <c r="O291" s="3432"/>
      <c r="P291" s="3432"/>
      <c r="Q291" s="3432"/>
      <c r="R291" s="3453">
        <v>3.8740355410694098</v>
      </c>
      <c r="S291" s="3432"/>
      <c r="T291" s="3432"/>
      <c r="U291" s="3453">
        <v>4.06771411130633</v>
      </c>
      <c r="V291" s="3432"/>
      <c r="W291" s="3449">
        <v>2.2728503978436701E-5</v>
      </c>
      <c r="X291" s="3453">
        <v>4.0344167026330497</v>
      </c>
      <c r="Y291" s="3432"/>
      <c r="Z291" s="3432"/>
      <c r="AA291" s="3432"/>
      <c r="AB291" s="3432"/>
      <c r="AC291" s="3432"/>
      <c r="AD291" s="3432"/>
      <c r="AE291" s="3432"/>
      <c r="AF291" s="3449">
        <v>2.2728503978436701E-5</v>
      </c>
      <c r="AG291" s="3432"/>
      <c r="AH291" s="3432"/>
      <c r="AI291" s="3432"/>
      <c r="AJ291" s="3432"/>
      <c r="AK291" s="3453">
        <v>4.0138181502309296</v>
      </c>
      <c r="AL291" s="3453">
        <v>4.0677221658231604</v>
      </c>
      <c r="AM291" s="3453">
        <v>3.8738856243021802</v>
      </c>
      <c r="AN291" s="3770">
        <v>3.94983534357774E-2</v>
      </c>
      <c r="AO291" s="3426"/>
    </row>
    <row r="292" spans="1:41">
      <c r="A292" s="5047" t="s">
        <v>99</v>
      </c>
      <c r="B292" s="5048"/>
      <c r="C292" s="3447">
        <v>0</v>
      </c>
      <c r="D292" s="3447">
        <v>0</v>
      </c>
      <c r="E292" s="3432"/>
      <c r="F292" s="3751">
        <v>0</v>
      </c>
      <c r="G292" s="3447">
        <v>0</v>
      </c>
      <c r="H292" s="3432"/>
      <c r="I292" s="3432"/>
      <c r="J292" s="3411">
        <v>0</v>
      </c>
      <c r="K292" s="3447">
        <v>0</v>
      </c>
      <c r="L292" s="3447">
        <v>0</v>
      </c>
      <c r="M292" s="3432"/>
      <c r="N292" s="3432"/>
      <c r="O292" s="3432"/>
      <c r="P292" s="3432"/>
      <c r="Q292" s="3432"/>
      <c r="R292" s="3447">
        <v>0</v>
      </c>
      <c r="S292" s="3432"/>
      <c r="T292" s="3432"/>
      <c r="U292" s="3447">
        <v>0</v>
      </c>
      <c r="V292" s="3432"/>
      <c r="W292" s="3447">
        <v>0</v>
      </c>
      <c r="X292" s="3447">
        <v>0</v>
      </c>
      <c r="Y292" s="3432"/>
      <c r="Z292" s="3432"/>
      <c r="AA292" s="3432"/>
      <c r="AB292" s="3432"/>
      <c r="AC292" s="3432"/>
      <c r="AD292" s="3432"/>
      <c r="AE292" s="3432"/>
      <c r="AF292" s="3447">
        <v>0</v>
      </c>
      <c r="AG292" s="3432"/>
      <c r="AH292" s="3432"/>
      <c r="AI292" s="3432"/>
      <c r="AJ292" s="3432"/>
      <c r="AK292" s="3447">
        <v>0</v>
      </c>
      <c r="AL292" s="3447">
        <v>0</v>
      </c>
      <c r="AM292" s="3447">
        <v>0</v>
      </c>
      <c r="AN292" s="3766">
        <v>0</v>
      </c>
      <c r="AO292" s="3426"/>
    </row>
    <row r="293" spans="1:41">
      <c r="A293" s="5047" t="s">
        <v>422</v>
      </c>
      <c r="B293" s="5048"/>
      <c r="C293" s="3453">
        <v>5.1520960101604398</v>
      </c>
      <c r="D293" s="3453">
        <v>5.26898692433703</v>
      </c>
      <c r="E293" s="3432"/>
      <c r="F293" s="3751">
        <v>4</v>
      </c>
      <c r="G293" s="3451">
        <v>0.82941912967038101</v>
      </c>
      <c r="H293" s="3432"/>
      <c r="I293" s="3432"/>
      <c r="J293" s="3423">
        <v>1.0609153219065699E-6</v>
      </c>
      <c r="K293" s="3453">
        <v>3.2967032967033001</v>
      </c>
      <c r="L293" s="3453">
        <v>3.0195793346058202</v>
      </c>
      <c r="M293" s="3432"/>
      <c r="N293" s="3432"/>
      <c r="O293" s="3432"/>
      <c r="P293" s="3432"/>
      <c r="Q293" s="3432"/>
      <c r="R293" s="3453">
        <v>2.7362479077107702</v>
      </c>
      <c r="S293" s="3432"/>
      <c r="T293" s="3432"/>
      <c r="U293" s="3453">
        <v>3.11534182837141</v>
      </c>
      <c r="V293" s="3432"/>
      <c r="W293" s="3449">
        <v>9.3924074129184999E-6</v>
      </c>
      <c r="X293" s="3453">
        <v>3.0259546416618801</v>
      </c>
      <c r="Y293" s="3432"/>
      <c r="Z293" s="3432"/>
      <c r="AA293" s="3432"/>
      <c r="AB293" s="3432"/>
      <c r="AC293" s="3432"/>
      <c r="AD293" s="3432"/>
      <c r="AE293" s="3432"/>
      <c r="AF293" s="3449">
        <v>9.3924074129184999E-6</v>
      </c>
      <c r="AG293" s="3432"/>
      <c r="AH293" s="3432"/>
      <c r="AI293" s="3432"/>
      <c r="AJ293" s="3432"/>
      <c r="AK293" s="3453">
        <v>3.07383044707972</v>
      </c>
      <c r="AL293" s="3453">
        <v>3.1153165418873301</v>
      </c>
      <c r="AM293" s="3453">
        <v>2.7355865528074199</v>
      </c>
      <c r="AN293" s="3770">
        <v>3.8650308149804399E-2</v>
      </c>
      <c r="AO293" s="3426"/>
    </row>
    <row r="294" spans="1:41">
      <c r="A294" s="5047" t="s">
        <v>10</v>
      </c>
      <c r="B294" s="5048"/>
      <c r="C294" s="3453">
        <v>3.89037709374684</v>
      </c>
      <c r="D294" s="3453">
        <v>3.8520640698585802</v>
      </c>
      <c r="E294" s="3432"/>
      <c r="F294" s="3751">
        <v>3</v>
      </c>
      <c r="G294" s="3451">
        <v>0.31175024064993601</v>
      </c>
      <c r="H294" s="3432"/>
      <c r="I294" s="3432"/>
      <c r="J294" s="3423">
        <v>1.8072632037377901E-7</v>
      </c>
      <c r="K294" s="3453">
        <v>2.5974025974026</v>
      </c>
      <c r="L294" s="3453">
        <v>2.51651939530423</v>
      </c>
      <c r="M294" s="3432"/>
      <c r="N294" s="3432"/>
      <c r="O294" s="3432"/>
      <c r="P294" s="3432"/>
      <c r="Q294" s="3432"/>
      <c r="R294" s="3453">
        <v>2.1563235031208499</v>
      </c>
      <c r="S294" s="3432"/>
      <c r="T294" s="3432"/>
      <c r="U294" s="3453">
        <v>2.5994241592792302</v>
      </c>
      <c r="V294" s="3432"/>
      <c r="W294" s="3449">
        <v>2.8376759235742798E-6</v>
      </c>
      <c r="X294" s="3453">
        <v>2.5202915421585201</v>
      </c>
      <c r="Y294" s="3432"/>
      <c r="Z294" s="3432"/>
      <c r="AA294" s="3432"/>
      <c r="AB294" s="3432"/>
      <c r="AC294" s="3432"/>
      <c r="AD294" s="3432"/>
      <c r="AE294" s="3432"/>
      <c r="AF294" s="3449">
        <v>2.8376759235742798E-6</v>
      </c>
      <c r="AG294" s="3432"/>
      <c r="AH294" s="3432"/>
      <c r="AI294" s="3432"/>
      <c r="AJ294" s="3432"/>
      <c r="AK294" s="3453">
        <v>2.5717299587254701</v>
      </c>
      <c r="AL294" s="3453">
        <v>2.5993974511664502</v>
      </c>
      <c r="AM294" s="3453">
        <v>2.1557089940416199</v>
      </c>
      <c r="AN294" s="3770">
        <v>3.4672031340236498E-2</v>
      </c>
      <c r="AO294" s="3426"/>
    </row>
    <row r="295" spans="1:41">
      <c r="A295" s="5047" t="s">
        <v>9</v>
      </c>
      <c r="B295" s="5048"/>
      <c r="C295" s="3453">
        <v>3.3005615768745402</v>
      </c>
      <c r="D295" s="3453">
        <v>3.2386419665559498</v>
      </c>
      <c r="E295" s="3432"/>
      <c r="F295" s="3751">
        <v>2.4</v>
      </c>
      <c r="G295" s="3451">
        <v>0.205850050901316</v>
      </c>
      <c r="H295" s="3432"/>
      <c r="I295" s="3432"/>
      <c r="J295" s="3423">
        <v>1.3970426635633301E-6</v>
      </c>
      <c r="K295" s="3453">
        <v>2.0979020979021001</v>
      </c>
      <c r="L295" s="3453">
        <v>2.0126152673775799</v>
      </c>
      <c r="M295" s="3432"/>
      <c r="N295" s="3432"/>
      <c r="O295" s="3432"/>
      <c r="P295" s="3432"/>
      <c r="Q295" s="3432"/>
      <c r="R295" s="3453">
        <v>1.7375481258789101</v>
      </c>
      <c r="S295" s="3432"/>
      <c r="T295" s="3432"/>
      <c r="U295" s="3453">
        <v>2.0838176635785799</v>
      </c>
      <c r="V295" s="3432"/>
      <c r="W295" s="3449">
        <v>1.66274768854136E-5</v>
      </c>
      <c r="X295" s="3453">
        <v>2.0160870717717398</v>
      </c>
      <c r="Y295" s="3432"/>
      <c r="Z295" s="3432"/>
      <c r="AA295" s="3432"/>
      <c r="AB295" s="3432"/>
      <c r="AC295" s="3432"/>
      <c r="AD295" s="3432"/>
      <c r="AE295" s="3432"/>
      <c r="AF295" s="3449">
        <v>1.66274768854136E-5</v>
      </c>
      <c r="AG295" s="3432"/>
      <c r="AH295" s="3432"/>
      <c r="AI295" s="3432"/>
      <c r="AJ295" s="3432"/>
      <c r="AK295" s="3453">
        <v>2.0581421675066398</v>
      </c>
      <c r="AL295" s="3453">
        <v>2.0837957366188902</v>
      </c>
      <c r="AM295" s="3453">
        <v>1.7370463886308201</v>
      </c>
      <c r="AN295" s="3770">
        <v>2.8544567182722198E-2</v>
      </c>
      <c r="AO295" s="3426"/>
    </row>
    <row r="296" spans="1:41">
      <c r="A296" s="5047" t="s">
        <v>11</v>
      </c>
      <c r="B296" s="5048"/>
      <c r="C296" s="3453">
        <v>3.4367770875213099</v>
      </c>
      <c r="D296" s="3453">
        <v>3.02690234210151</v>
      </c>
      <c r="E296" s="3432"/>
      <c r="F296" s="3751">
        <v>2.4</v>
      </c>
      <c r="G296" s="3451">
        <v>0.19115973327785801</v>
      </c>
      <c r="H296" s="3432"/>
      <c r="I296" s="3432"/>
      <c r="J296" s="3420">
        <v>1.9477655500578701E-4</v>
      </c>
      <c r="K296" s="3453">
        <v>2.0979020979021001</v>
      </c>
      <c r="L296" s="3453">
        <v>1.95731923040331</v>
      </c>
      <c r="M296" s="3432"/>
      <c r="N296" s="3432"/>
      <c r="O296" s="3432"/>
      <c r="P296" s="3432"/>
      <c r="Q296" s="3432"/>
      <c r="R296" s="3453">
        <v>1.63528438920853</v>
      </c>
      <c r="S296" s="3432"/>
      <c r="T296" s="3432"/>
      <c r="U296" s="3453">
        <v>2.02828706368879</v>
      </c>
      <c r="V296" s="3432"/>
      <c r="W296" s="3452">
        <v>1.22027381275637E-3</v>
      </c>
      <c r="X296" s="3453">
        <v>1.9605588756316901</v>
      </c>
      <c r="Y296" s="3432"/>
      <c r="Z296" s="3432"/>
      <c r="AA296" s="3432"/>
      <c r="AB296" s="3432"/>
      <c r="AC296" s="3432"/>
      <c r="AD296" s="3432"/>
      <c r="AE296" s="3432"/>
      <c r="AF296" s="3452">
        <v>1.22027381275637E-3</v>
      </c>
      <c r="AG296" s="3432"/>
      <c r="AH296" s="3432"/>
      <c r="AI296" s="3432"/>
      <c r="AJ296" s="3432"/>
      <c r="AK296" s="3453">
        <v>1.99900097629173</v>
      </c>
      <c r="AL296" s="3453">
        <v>2.02826503709273</v>
      </c>
      <c r="AM296" s="3453">
        <v>1.6348015005037</v>
      </c>
      <c r="AN296" s="3770">
        <v>2.63603829457002E-2</v>
      </c>
      <c r="AO296" s="3426"/>
    </row>
    <row r="297" spans="1:41">
      <c r="A297" s="5047" t="s">
        <v>12</v>
      </c>
      <c r="B297" s="5048"/>
      <c r="C297" s="3453">
        <v>7.4556504299589097</v>
      </c>
      <c r="D297" s="3453">
        <v>7.4797230990541701</v>
      </c>
      <c r="E297" s="3432"/>
      <c r="F297" s="3751">
        <v>5.3</v>
      </c>
      <c r="G297" s="3451">
        <v>0.32530412134133602</v>
      </c>
      <c r="H297" s="3432"/>
      <c r="I297" s="3432"/>
      <c r="J297" s="3423">
        <v>5.7263714233237996E-6</v>
      </c>
      <c r="K297" s="3453">
        <v>4.7952047952047998</v>
      </c>
      <c r="L297" s="3453">
        <v>4.5273017583788304</v>
      </c>
      <c r="M297" s="3432"/>
      <c r="N297" s="3432"/>
      <c r="O297" s="3432"/>
      <c r="P297" s="3432"/>
      <c r="Q297" s="3432"/>
      <c r="R297" s="3453">
        <v>4.0190913078266401</v>
      </c>
      <c r="S297" s="3432"/>
      <c r="T297" s="3432"/>
      <c r="U297" s="3453">
        <v>4.7018830004805503</v>
      </c>
      <c r="V297" s="3432"/>
      <c r="W297" s="3449">
        <v>6.1804902823624799E-5</v>
      </c>
      <c r="X297" s="3453">
        <v>4.5356750188311903</v>
      </c>
      <c r="Y297" s="3432"/>
      <c r="Z297" s="3432"/>
      <c r="AA297" s="3432"/>
      <c r="AB297" s="3432"/>
      <c r="AC297" s="3432"/>
      <c r="AD297" s="3432"/>
      <c r="AE297" s="3432"/>
      <c r="AF297" s="3449">
        <v>6.1804902823624799E-5</v>
      </c>
      <c r="AG297" s="3432"/>
      <c r="AH297" s="3432"/>
      <c r="AI297" s="3432"/>
      <c r="AJ297" s="3432"/>
      <c r="AK297" s="3453">
        <v>4.6429939593885798</v>
      </c>
      <c r="AL297" s="3453">
        <v>4.7018272706719904</v>
      </c>
      <c r="AM297" s="3453">
        <v>4.0178268079404997</v>
      </c>
      <c r="AN297" s="3770">
        <v>7.5631448629067399E-2</v>
      </c>
      <c r="AO297" s="3426"/>
    </row>
    <row r="298" spans="1:41">
      <c r="A298" s="5047" t="s">
        <v>48</v>
      </c>
      <c r="B298" s="5048"/>
      <c r="C298" s="3447">
        <v>0</v>
      </c>
      <c r="D298" s="3447">
        <v>0</v>
      </c>
      <c r="E298" s="3432"/>
      <c r="F298" s="3751">
        <v>0</v>
      </c>
      <c r="G298" s="3447">
        <v>0</v>
      </c>
      <c r="H298" s="3432"/>
      <c r="I298" s="3432"/>
      <c r="J298" s="3411">
        <v>0</v>
      </c>
      <c r="K298" s="3447">
        <v>0</v>
      </c>
      <c r="L298" s="3447">
        <v>0</v>
      </c>
      <c r="M298" s="3432"/>
      <c r="N298" s="3432"/>
      <c r="O298" s="3432"/>
      <c r="P298" s="3432"/>
      <c r="Q298" s="3432"/>
      <c r="R298" s="3447">
        <v>0</v>
      </c>
      <c r="S298" s="3432"/>
      <c r="T298" s="3432"/>
      <c r="U298" s="3447">
        <v>0</v>
      </c>
      <c r="V298" s="3432"/>
      <c r="W298" s="3447">
        <v>0</v>
      </c>
      <c r="X298" s="3447">
        <v>0</v>
      </c>
      <c r="Y298" s="3432"/>
      <c r="Z298" s="3432"/>
      <c r="AA298" s="3432"/>
      <c r="AB298" s="3432"/>
      <c r="AC298" s="3432"/>
      <c r="AD298" s="3432"/>
      <c r="AE298" s="3432"/>
      <c r="AF298" s="3447">
        <v>0</v>
      </c>
      <c r="AG298" s="3432"/>
      <c r="AH298" s="3432"/>
      <c r="AI298" s="3432"/>
      <c r="AJ298" s="3432"/>
      <c r="AK298" s="3447">
        <v>0</v>
      </c>
      <c r="AL298" s="3447">
        <v>0</v>
      </c>
      <c r="AM298" s="3447">
        <v>0</v>
      </c>
      <c r="AN298" s="3766">
        <v>0</v>
      </c>
      <c r="AO298" s="3426"/>
    </row>
    <row r="299" spans="1:41">
      <c r="A299" s="5047" t="s">
        <v>751</v>
      </c>
      <c r="B299" s="5048"/>
      <c r="C299" s="3453">
        <v>2.41788706482766</v>
      </c>
      <c r="D299" s="3453">
        <v>2.4332096491253901</v>
      </c>
      <c r="E299" s="3432"/>
      <c r="F299" s="3751">
        <v>2</v>
      </c>
      <c r="G299" s="3451">
        <v>0.12404134806082499</v>
      </c>
      <c r="H299" s="3432"/>
      <c r="I299" s="3432"/>
      <c r="J299" s="3423">
        <v>4.27562212811104E-8</v>
      </c>
      <c r="K299" s="3453">
        <v>1.6983016983017001</v>
      </c>
      <c r="L299" s="3453">
        <v>1.5099303524633401</v>
      </c>
      <c r="M299" s="3432"/>
      <c r="N299" s="3432"/>
      <c r="O299" s="3432"/>
      <c r="P299" s="3432"/>
      <c r="Q299" s="3432"/>
      <c r="R299" s="3453">
        <v>3.2931913658566998</v>
      </c>
      <c r="S299" s="3432"/>
      <c r="T299" s="3432"/>
      <c r="U299" s="3453">
        <v>1.57056808368948</v>
      </c>
      <c r="V299" s="3432"/>
      <c r="W299" s="3449">
        <v>9.7218346362790894E-7</v>
      </c>
      <c r="X299" s="3453">
        <v>1.51254137361274</v>
      </c>
      <c r="Y299" s="3432"/>
      <c r="Z299" s="3432"/>
      <c r="AA299" s="3432"/>
      <c r="AB299" s="3432"/>
      <c r="AC299" s="3432"/>
      <c r="AD299" s="3432"/>
      <c r="AE299" s="3432"/>
      <c r="AF299" s="3449">
        <v>9.7218346362790894E-7</v>
      </c>
      <c r="AG299" s="3432"/>
      <c r="AH299" s="3432"/>
      <c r="AI299" s="3432"/>
      <c r="AJ299" s="3432"/>
      <c r="AK299" s="3453">
        <v>1.5520390518076399</v>
      </c>
      <c r="AL299" s="3453">
        <v>1.57054772812748</v>
      </c>
      <c r="AM299" s="3453">
        <v>3.29208479654445</v>
      </c>
      <c r="AN299" s="3770">
        <v>2.6815707490494799E-2</v>
      </c>
      <c r="AO299" s="3426"/>
    </row>
    <row r="300" spans="1:41">
      <c r="A300" s="5047" t="s">
        <v>65</v>
      </c>
      <c r="B300" s="5048"/>
      <c r="C300" s="3453">
        <v>7.6712872000373702</v>
      </c>
      <c r="D300" s="3453">
        <v>7.7015625834772896</v>
      </c>
      <c r="E300" s="3432"/>
      <c r="F300" s="3751">
        <v>5.9</v>
      </c>
      <c r="G300" s="3451">
        <v>0.13636480719665001</v>
      </c>
      <c r="H300" s="3432"/>
      <c r="I300" s="3432"/>
      <c r="J300" s="3423">
        <v>5.2084406876018003E-7</v>
      </c>
      <c r="K300" s="3453">
        <v>5.7942057942057899</v>
      </c>
      <c r="L300" s="3453">
        <v>5.53596567222319</v>
      </c>
      <c r="M300" s="3432"/>
      <c r="N300" s="3432"/>
      <c r="O300" s="3432"/>
      <c r="P300" s="3432"/>
      <c r="Q300" s="3432"/>
      <c r="R300" s="3453">
        <v>4.9769915508588101</v>
      </c>
      <c r="S300" s="3432"/>
      <c r="T300" s="3432"/>
      <c r="U300" s="3453">
        <v>5.7430144630842799</v>
      </c>
      <c r="V300" s="3432"/>
      <c r="W300" s="3449">
        <v>1.50705244372865E-5</v>
      </c>
      <c r="X300" s="3453">
        <v>5.5420596174328898</v>
      </c>
      <c r="Y300" s="3432"/>
      <c r="Z300" s="3432"/>
      <c r="AA300" s="3432"/>
      <c r="AB300" s="3432"/>
      <c r="AC300" s="3432"/>
      <c r="AD300" s="3432"/>
      <c r="AE300" s="3432"/>
      <c r="AF300" s="3449">
        <v>1.50705244372865E-5</v>
      </c>
      <c r="AG300" s="3432"/>
      <c r="AH300" s="3432"/>
      <c r="AI300" s="3432"/>
      <c r="AJ300" s="3432"/>
      <c r="AK300" s="3453">
        <v>5.6965724093602104</v>
      </c>
      <c r="AL300" s="3453">
        <v>5.7429351948239598</v>
      </c>
      <c r="AM300" s="3453">
        <v>4.9752410269990301</v>
      </c>
      <c r="AN300" s="3769">
        <v>0.13609914631110201</v>
      </c>
      <c r="AO300" s="3426"/>
    </row>
    <row r="301" spans="1:41">
      <c r="A301" s="5047" t="s">
        <v>13</v>
      </c>
      <c r="B301" s="5048"/>
      <c r="C301" s="3453">
        <v>4.6137413591434102</v>
      </c>
      <c r="D301" s="3453">
        <v>4.6639763434608401</v>
      </c>
      <c r="E301" s="3432"/>
      <c r="F301" s="3751">
        <v>3.7</v>
      </c>
      <c r="G301" s="3447">
        <v>0</v>
      </c>
      <c r="H301" s="3432"/>
      <c r="I301" s="3432"/>
      <c r="J301" s="3423">
        <v>2.57182518116485E-8</v>
      </c>
      <c r="K301" s="3453">
        <v>3.8961038961039001</v>
      </c>
      <c r="L301" s="3453">
        <v>3.5232363039024901</v>
      </c>
      <c r="M301" s="3432"/>
      <c r="N301" s="3432"/>
      <c r="O301" s="3432"/>
      <c r="P301" s="3432"/>
      <c r="Q301" s="3432"/>
      <c r="R301" s="3453">
        <v>1.6384188295884301</v>
      </c>
      <c r="S301" s="3432"/>
      <c r="T301" s="3432"/>
      <c r="U301" s="3453">
        <v>3.6490475557802999</v>
      </c>
      <c r="V301" s="3432"/>
      <c r="W301" s="3449">
        <v>9.3706777354054104E-7</v>
      </c>
      <c r="X301" s="3453">
        <v>3.5264354757253802</v>
      </c>
      <c r="Y301" s="3432"/>
      <c r="Z301" s="3432"/>
      <c r="AA301" s="3432"/>
      <c r="AB301" s="3432"/>
      <c r="AC301" s="3432"/>
      <c r="AD301" s="3432"/>
      <c r="AE301" s="3432"/>
      <c r="AF301" s="3449">
        <v>9.3706777354054104E-7</v>
      </c>
      <c r="AG301" s="3432"/>
      <c r="AH301" s="3432"/>
      <c r="AI301" s="3432"/>
      <c r="AJ301" s="3432"/>
      <c r="AK301" s="3453">
        <v>3.6244418243516798</v>
      </c>
      <c r="AL301" s="3453">
        <v>3.6489973893202801</v>
      </c>
      <c r="AM301" s="3453">
        <v>1.63784375625267</v>
      </c>
      <c r="AN301" s="3770">
        <v>8.3369493616871404E-2</v>
      </c>
      <c r="AO301" s="3426"/>
    </row>
    <row r="302" spans="1:41">
      <c r="A302" s="5047" t="s">
        <v>14</v>
      </c>
      <c r="B302" s="5048"/>
      <c r="C302" s="3453">
        <v>4.5151661142866502</v>
      </c>
      <c r="D302" s="3453">
        <v>4.3154684078424603</v>
      </c>
      <c r="E302" s="3432"/>
      <c r="F302" s="3751">
        <v>3.5</v>
      </c>
      <c r="G302" s="3447">
        <v>0</v>
      </c>
      <c r="H302" s="3432"/>
      <c r="I302" s="3432"/>
      <c r="J302" s="3423">
        <v>1.9760740623725499E-5</v>
      </c>
      <c r="K302" s="3453">
        <v>3.5964035964035999</v>
      </c>
      <c r="L302" s="3453">
        <v>3.50323717799496</v>
      </c>
      <c r="M302" s="3432"/>
      <c r="N302" s="3432"/>
      <c r="O302" s="3432"/>
      <c r="P302" s="3432"/>
      <c r="Q302" s="3432"/>
      <c r="R302" s="3453">
        <v>2.9566355576443102</v>
      </c>
      <c r="S302" s="3432"/>
      <c r="T302" s="3432"/>
      <c r="U302" s="3453">
        <v>3.6258663826800799</v>
      </c>
      <c r="V302" s="3432"/>
      <c r="W302" s="3460">
        <v>4.7936399649374999E-4</v>
      </c>
      <c r="X302" s="3453">
        <v>3.5055469314541798</v>
      </c>
      <c r="Y302" s="3432"/>
      <c r="Z302" s="3432"/>
      <c r="AA302" s="3432"/>
      <c r="AB302" s="3432"/>
      <c r="AC302" s="3432"/>
      <c r="AD302" s="3432"/>
      <c r="AE302" s="3432"/>
      <c r="AF302" s="3460">
        <v>4.7936399649374999E-4</v>
      </c>
      <c r="AG302" s="3432"/>
      <c r="AH302" s="3432"/>
      <c r="AI302" s="3432"/>
      <c r="AJ302" s="3432"/>
      <c r="AK302" s="3453">
        <v>3.60251756757537</v>
      </c>
      <c r="AL302" s="3453">
        <v>3.6258150033722201</v>
      </c>
      <c r="AM302" s="3453">
        <v>2.9555748707946101</v>
      </c>
      <c r="AN302" s="3769">
        <v>0.101406258387648</v>
      </c>
      <c r="AO302" s="3426"/>
    </row>
    <row r="303" spans="1:41">
      <c r="A303" s="5047" t="s">
        <v>424</v>
      </c>
      <c r="B303" s="5048"/>
      <c r="C303" s="3453">
        <v>6.50664932716401</v>
      </c>
      <c r="D303" s="3453">
        <v>6.4893588907489397</v>
      </c>
      <c r="E303" s="3432"/>
      <c r="F303" s="3751">
        <v>6.8</v>
      </c>
      <c r="G303" s="3447">
        <v>0</v>
      </c>
      <c r="H303" s="3432"/>
      <c r="I303" s="3432"/>
      <c r="J303" s="3423">
        <v>2.0025488625046001E-9</v>
      </c>
      <c r="K303" s="3453">
        <v>7.0929070929070903</v>
      </c>
      <c r="L303" s="3453">
        <v>7.0465326812610503</v>
      </c>
      <c r="M303" s="3432"/>
      <c r="N303" s="3432"/>
      <c r="O303" s="3432"/>
      <c r="P303" s="3432"/>
      <c r="Q303" s="3432"/>
      <c r="R303" s="3453">
        <v>6.4392392627725901</v>
      </c>
      <c r="S303" s="3432"/>
      <c r="T303" s="3432"/>
      <c r="U303" s="3453">
        <v>7.25909890991068</v>
      </c>
      <c r="V303" s="3432"/>
      <c r="W303" s="3449">
        <v>2.5741208501230201E-7</v>
      </c>
      <c r="X303" s="3453">
        <v>7.0448291887458803</v>
      </c>
      <c r="Y303" s="3432"/>
      <c r="Z303" s="3432"/>
      <c r="AA303" s="3432"/>
      <c r="AB303" s="3432"/>
      <c r="AC303" s="3432"/>
      <c r="AD303" s="3432"/>
      <c r="AE303" s="3432"/>
      <c r="AF303" s="3449">
        <v>2.5741208501230201E-7</v>
      </c>
      <c r="AG303" s="3432"/>
      <c r="AH303" s="3432"/>
      <c r="AI303" s="3432"/>
      <c r="AJ303" s="3432"/>
      <c r="AK303" s="3453">
        <v>7.2590520692786802</v>
      </c>
      <c r="AL303" s="3453">
        <v>7.2589901850958896</v>
      </c>
      <c r="AM303" s="3453">
        <v>6.43683367350671</v>
      </c>
      <c r="AN303" s="3769">
        <v>0.41721658215398399</v>
      </c>
      <c r="AO303" s="3426"/>
    </row>
    <row r="304" spans="1:41">
      <c r="A304" s="5047" t="s">
        <v>16</v>
      </c>
      <c r="B304" s="5048"/>
      <c r="C304" s="3451">
        <v>0.19185064871818799</v>
      </c>
      <c r="D304" s="3451">
        <v>0.200930983125746</v>
      </c>
      <c r="E304" s="3432"/>
      <c r="F304" s="3751">
        <v>0.2</v>
      </c>
      <c r="G304" s="3447">
        <v>0</v>
      </c>
      <c r="H304" s="3432"/>
      <c r="I304" s="3432"/>
      <c r="J304" s="3411">
        <v>0</v>
      </c>
      <c r="K304" s="3451">
        <v>0.1998001998002</v>
      </c>
      <c r="L304" s="3447">
        <v>0</v>
      </c>
      <c r="M304" s="3432"/>
      <c r="N304" s="3432"/>
      <c r="O304" s="3432"/>
      <c r="P304" s="3432"/>
      <c r="Q304" s="3432"/>
      <c r="R304" s="3451">
        <v>0.17794242967054399</v>
      </c>
      <c r="S304" s="3432"/>
      <c r="T304" s="3432"/>
      <c r="U304" s="3452">
        <v>4.1189921463411503E-3</v>
      </c>
      <c r="V304" s="3432"/>
      <c r="W304" s="3449">
        <v>2.1494552229512498E-8</v>
      </c>
      <c r="X304" s="3460">
        <v>5.7784988131352104E-4</v>
      </c>
      <c r="Y304" s="3432"/>
      <c r="Z304" s="3432"/>
      <c r="AA304" s="3432"/>
      <c r="AB304" s="3432"/>
      <c r="AC304" s="3432"/>
      <c r="AD304" s="3432"/>
      <c r="AE304" s="3432"/>
      <c r="AF304" s="3449">
        <v>2.1494552229512498E-8</v>
      </c>
      <c r="AG304" s="3432"/>
      <c r="AH304" s="3432"/>
      <c r="AI304" s="3432"/>
      <c r="AJ304" s="3432"/>
      <c r="AK304" s="3460">
        <v>5.9539828704661501E-4</v>
      </c>
      <c r="AL304" s="3452">
        <v>4.1189299896173901E-3</v>
      </c>
      <c r="AM304" s="3451">
        <v>0.17787559992941299</v>
      </c>
      <c r="AN304" s="3770">
        <v>1.61396985720424E-2</v>
      </c>
      <c r="AO304" s="3426"/>
    </row>
    <row r="305" spans="1:41">
      <c r="A305" s="5047" t="s">
        <v>770</v>
      </c>
      <c r="B305" s="5048"/>
      <c r="C305" s="3453">
        <v>2.0245523428641201</v>
      </c>
      <c r="D305" s="3453">
        <v>2.01530384020454</v>
      </c>
      <c r="E305" s="3432"/>
      <c r="F305" s="3751">
        <v>2.1</v>
      </c>
      <c r="G305" s="3447">
        <v>0</v>
      </c>
      <c r="H305" s="3432"/>
      <c r="I305" s="3432"/>
      <c r="J305" s="3423">
        <v>6.9389142769872898E-7</v>
      </c>
      <c r="K305" s="3453">
        <v>2.2977022977022998</v>
      </c>
      <c r="L305" s="3453">
        <v>2.01151043783099</v>
      </c>
      <c r="M305" s="3432"/>
      <c r="N305" s="3432"/>
      <c r="O305" s="3432"/>
      <c r="P305" s="3432"/>
      <c r="Q305" s="3432"/>
      <c r="R305" s="3453">
        <v>1.88047356414316</v>
      </c>
      <c r="S305" s="3432"/>
      <c r="T305" s="3432"/>
      <c r="U305" s="3453">
        <v>2.0758965264630498</v>
      </c>
      <c r="V305" s="3432"/>
      <c r="W305" s="3449">
        <v>4.6788352350031801E-5</v>
      </c>
      <c r="X305" s="3453">
        <v>2.0114900700588301</v>
      </c>
      <c r="Y305" s="3432"/>
      <c r="Z305" s="3432"/>
      <c r="AA305" s="3432"/>
      <c r="AB305" s="3432"/>
      <c r="AC305" s="3432"/>
      <c r="AD305" s="3432"/>
      <c r="AE305" s="3432"/>
      <c r="AF305" s="3449">
        <v>4.6788352350031801E-5</v>
      </c>
      <c r="AG305" s="3432"/>
      <c r="AH305" s="3432"/>
      <c r="AI305" s="3432"/>
      <c r="AJ305" s="3432"/>
      <c r="AK305" s="3453">
        <v>2.0727747605875999</v>
      </c>
      <c r="AL305" s="3453">
        <v>2.0758651198550102</v>
      </c>
      <c r="AM305" s="3453">
        <v>1.8797660001477099</v>
      </c>
      <c r="AN305" s="3769">
        <v>0.190817558764245</v>
      </c>
      <c r="AO305" s="3426"/>
    </row>
    <row r="306" spans="1:41">
      <c r="A306" s="5047" t="s">
        <v>833</v>
      </c>
      <c r="B306" s="5048"/>
      <c r="C306" s="3453">
        <v>3.8879051137016001</v>
      </c>
      <c r="D306" s="3453">
        <v>3.85308554757767</v>
      </c>
      <c r="E306" s="3432"/>
      <c r="F306" s="3751">
        <v>6.2</v>
      </c>
      <c r="G306" s="3447">
        <v>0</v>
      </c>
      <c r="H306" s="3432"/>
      <c r="I306" s="3432"/>
      <c r="J306" s="3423">
        <v>1.28180935788012E-10</v>
      </c>
      <c r="K306" s="3453">
        <v>6.69330669330669</v>
      </c>
      <c r="L306" s="3453">
        <v>6.0398897698524898</v>
      </c>
      <c r="M306" s="3432"/>
      <c r="N306" s="3432"/>
      <c r="O306" s="3432"/>
      <c r="P306" s="3432"/>
      <c r="Q306" s="3432"/>
      <c r="R306" s="3453">
        <v>5.8329731511641301</v>
      </c>
      <c r="S306" s="3432"/>
      <c r="T306" s="3432"/>
      <c r="U306" s="3453">
        <v>6.1909902387092401</v>
      </c>
      <c r="V306" s="3432"/>
      <c r="W306" s="3449">
        <v>6.0367611944180393E-8</v>
      </c>
      <c r="X306" s="3453">
        <v>6.0335515724694497</v>
      </c>
      <c r="Y306" s="3432"/>
      <c r="Z306" s="3432"/>
      <c r="AA306" s="3432"/>
      <c r="AB306" s="3432"/>
      <c r="AC306" s="3432"/>
      <c r="AD306" s="3432"/>
      <c r="AE306" s="3432"/>
      <c r="AF306" s="3449">
        <v>6.0367611944180393E-8</v>
      </c>
      <c r="AG306" s="3432"/>
      <c r="AH306" s="3432"/>
      <c r="AI306" s="3432"/>
      <c r="AJ306" s="3432"/>
      <c r="AK306" s="3453">
        <v>6.2217665053523303</v>
      </c>
      <c r="AL306" s="3453">
        <v>6.1908952118526299</v>
      </c>
      <c r="AM306" s="3453">
        <v>5.8307556798476901</v>
      </c>
      <c r="AN306" s="3768">
        <v>1.07746667916814</v>
      </c>
      <c r="AO306" s="3426"/>
    </row>
    <row r="307" spans="1:41">
      <c r="A307" s="5047" t="s">
        <v>834</v>
      </c>
      <c r="B307" s="5048"/>
      <c r="C307" s="3453">
        <v>2.1247972522232002</v>
      </c>
      <c r="D307" s="3453">
        <v>2.2307381171907501</v>
      </c>
      <c r="E307" s="3432"/>
      <c r="F307" s="3751">
        <v>5.6</v>
      </c>
      <c r="G307" s="3447">
        <v>0</v>
      </c>
      <c r="H307" s="3432"/>
      <c r="I307" s="3432"/>
      <c r="J307" s="3423">
        <v>8.1331963334767801E-12</v>
      </c>
      <c r="K307" s="3453">
        <v>6.0939060939060896</v>
      </c>
      <c r="L307" s="3453">
        <v>6.0398918563001596</v>
      </c>
      <c r="M307" s="3432"/>
      <c r="N307" s="3432"/>
      <c r="O307" s="3432"/>
      <c r="P307" s="3432"/>
      <c r="Q307" s="3432"/>
      <c r="R307" s="3453">
        <v>5.6197207365542701</v>
      </c>
      <c r="S307" s="3432"/>
      <c r="T307" s="3432"/>
      <c r="U307" s="3453">
        <v>6.1554039712303101</v>
      </c>
      <c r="V307" s="3432"/>
      <c r="W307" s="3449">
        <v>6.26148087572773E-9</v>
      </c>
      <c r="X307" s="3453">
        <v>6.0289235758878998</v>
      </c>
      <c r="Y307" s="3432"/>
      <c r="Z307" s="3432"/>
      <c r="AA307" s="3432"/>
      <c r="AB307" s="3432"/>
      <c r="AC307" s="3432"/>
      <c r="AD307" s="3432"/>
      <c r="AE307" s="3432"/>
      <c r="AF307" s="3449">
        <v>6.26148087572773E-9</v>
      </c>
      <c r="AG307" s="3432"/>
      <c r="AH307" s="3432"/>
      <c r="AI307" s="3432"/>
      <c r="AJ307" s="3432"/>
      <c r="AK307" s="3453">
        <v>6.2185032449874997</v>
      </c>
      <c r="AL307" s="3453">
        <v>6.1553087568043399</v>
      </c>
      <c r="AM307" s="3453">
        <v>5.6175730291849604</v>
      </c>
      <c r="AN307" s="3768">
        <v>2.6206364685643102</v>
      </c>
      <c r="AO307" s="3426"/>
    </row>
    <row r="308" spans="1:41">
      <c r="A308" s="5047" t="s">
        <v>752</v>
      </c>
      <c r="B308" s="5048"/>
      <c r="C308" s="3453">
        <v>1.7733998806420599</v>
      </c>
      <c r="D308" s="3453">
        <v>1.82514982968047</v>
      </c>
      <c r="E308" s="3432"/>
      <c r="F308" s="3751">
        <v>30.6</v>
      </c>
      <c r="G308" s="3447">
        <v>0</v>
      </c>
      <c r="H308" s="3432"/>
      <c r="I308" s="3432"/>
      <c r="J308" s="3411">
        <v>0</v>
      </c>
      <c r="K308" s="3455">
        <v>33.366633366633401</v>
      </c>
      <c r="L308" s="3455">
        <v>32.212757636169897</v>
      </c>
      <c r="M308" s="3432"/>
      <c r="N308" s="3432"/>
      <c r="O308" s="3432"/>
      <c r="P308" s="3432"/>
      <c r="Q308" s="3432"/>
      <c r="R308" s="3455">
        <v>36.870053761868498</v>
      </c>
      <c r="S308" s="3432"/>
      <c r="T308" s="3432"/>
      <c r="U308" s="3455">
        <v>32.627918537405399</v>
      </c>
      <c r="V308" s="3432"/>
      <c r="W308" s="3449">
        <v>8.9685534514152501E-10</v>
      </c>
      <c r="X308" s="3455">
        <v>32.125514932901098</v>
      </c>
      <c r="Y308" s="3432"/>
      <c r="Z308" s="3432"/>
      <c r="AA308" s="3432"/>
      <c r="AB308" s="3432"/>
      <c r="AC308" s="3432"/>
      <c r="AD308" s="3432"/>
      <c r="AE308" s="3432"/>
      <c r="AF308" s="3449">
        <v>8.9685534514152501E-10</v>
      </c>
      <c r="AG308" s="3432"/>
      <c r="AH308" s="3432"/>
      <c r="AI308" s="3432"/>
      <c r="AJ308" s="3432"/>
      <c r="AK308" s="3455">
        <v>33.1398065430743</v>
      </c>
      <c r="AL308" s="3455">
        <v>32.627411826671299</v>
      </c>
      <c r="AM308" s="3455">
        <v>36.855926832812202</v>
      </c>
      <c r="AN308" s="3767">
        <v>95.017189312850405</v>
      </c>
      <c r="AO308" s="3426"/>
    </row>
    <row r="309" spans="1:41" ht="13" thickBot="1">
      <c r="A309" s="5049" t="s">
        <v>58</v>
      </c>
      <c r="B309" s="5050"/>
      <c r="C309" s="3431" t="s">
        <v>296</v>
      </c>
      <c r="D309" s="3433" t="s">
        <v>296</v>
      </c>
      <c r="E309" s="3433" t="s">
        <v>296</v>
      </c>
      <c r="F309" s="3731" t="s">
        <v>296</v>
      </c>
      <c r="G309" s="3433" t="s">
        <v>296</v>
      </c>
      <c r="H309" s="3433" t="s">
        <v>296</v>
      </c>
      <c r="I309" s="3433" t="s">
        <v>296</v>
      </c>
      <c r="J309" s="3418" t="s">
        <v>296</v>
      </c>
      <c r="K309" s="3433" t="s">
        <v>296</v>
      </c>
      <c r="L309" s="3433" t="s">
        <v>296</v>
      </c>
      <c r="M309" s="3433" t="s">
        <v>296</v>
      </c>
      <c r="N309" s="3433" t="s">
        <v>296</v>
      </c>
      <c r="O309" s="3433" t="s">
        <v>296</v>
      </c>
      <c r="P309" s="3433" t="s">
        <v>296</v>
      </c>
      <c r="Q309" s="3433" t="s">
        <v>296</v>
      </c>
      <c r="R309" s="3433" t="s">
        <v>296</v>
      </c>
      <c r="S309" s="3433" t="s">
        <v>296</v>
      </c>
      <c r="T309" s="3433" t="s">
        <v>296</v>
      </c>
      <c r="U309" s="3433" t="s">
        <v>296</v>
      </c>
      <c r="V309" s="3433" t="s">
        <v>296</v>
      </c>
      <c r="W309" s="3433" t="s">
        <v>296</v>
      </c>
      <c r="X309" s="3433" t="s">
        <v>296</v>
      </c>
      <c r="Y309" s="3433" t="s">
        <v>296</v>
      </c>
      <c r="Z309" s="3433" t="s">
        <v>296</v>
      </c>
      <c r="AA309" s="3433" t="s">
        <v>296</v>
      </c>
      <c r="AB309" s="3433" t="s">
        <v>296</v>
      </c>
      <c r="AC309" s="3433" t="s">
        <v>296</v>
      </c>
      <c r="AD309" s="3433" t="s">
        <v>296</v>
      </c>
      <c r="AE309" s="3433" t="s">
        <v>296</v>
      </c>
      <c r="AF309" s="3433" t="s">
        <v>296</v>
      </c>
      <c r="AG309" s="3433" t="s">
        <v>296</v>
      </c>
      <c r="AH309" s="3433" t="s">
        <v>296</v>
      </c>
      <c r="AI309" s="3433" t="s">
        <v>296</v>
      </c>
      <c r="AJ309" s="3433" t="s">
        <v>296</v>
      </c>
      <c r="AK309" s="3433" t="s">
        <v>296</v>
      </c>
      <c r="AL309" s="3433" t="s">
        <v>296</v>
      </c>
      <c r="AM309" s="3433" t="s">
        <v>296</v>
      </c>
      <c r="AN309" s="3765" t="s">
        <v>296</v>
      </c>
      <c r="AO309" s="3426"/>
    </row>
    <row r="310" spans="1:41" ht="13" thickTop="1">
      <c r="A310" s="5051" t="s">
        <v>298</v>
      </c>
      <c r="B310" s="5052"/>
      <c r="C310" s="3454">
        <v>1.8073277634361899E-2</v>
      </c>
      <c r="D310" s="3454">
        <v>2.2756009536700601E-2</v>
      </c>
      <c r="E310" s="3432"/>
      <c r="F310" s="3752">
        <v>0</v>
      </c>
      <c r="G310" s="3447">
        <v>0</v>
      </c>
      <c r="H310" s="3432"/>
      <c r="I310" s="3432"/>
      <c r="J310" s="3412">
        <v>99.930407602532995</v>
      </c>
      <c r="K310" s="3447">
        <v>0</v>
      </c>
      <c r="L310" s="3452">
        <v>6.6680502737889898E-3</v>
      </c>
      <c r="M310" s="3432"/>
      <c r="N310" s="3432"/>
      <c r="O310" s="3432"/>
      <c r="P310" s="3432"/>
      <c r="Q310" s="3432"/>
      <c r="R310" s="3460">
        <v>2.5036204874259499E-4</v>
      </c>
      <c r="S310" s="3432"/>
      <c r="T310" s="3432"/>
      <c r="U310" s="3452">
        <v>9.7221866768604399E-3</v>
      </c>
      <c r="V310" s="3432"/>
      <c r="W310" s="3455">
        <v>99.987341039132701</v>
      </c>
      <c r="X310" s="3452">
        <v>6.7404515807055901E-3</v>
      </c>
      <c r="Y310" s="3432"/>
      <c r="Z310" s="3432"/>
      <c r="AA310" s="3432"/>
      <c r="AB310" s="3432"/>
      <c r="AC310" s="3432"/>
      <c r="AD310" s="3432"/>
      <c r="AE310" s="3432"/>
      <c r="AF310" s="3455">
        <v>99.987341039132701</v>
      </c>
      <c r="AG310" s="3432"/>
      <c r="AH310" s="3432"/>
      <c r="AI310" s="3432"/>
      <c r="AJ310" s="3432"/>
      <c r="AK310" s="3454">
        <v>1.08441604000192E-2</v>
      </c>
      <c r="AL310" s="3452">
        <v>9.7302414320042992E-3</v>
      </c>
      <c r="AM310" s="3460">
        <v>2.555836796789E-4</v>
      </c>
      <c r="AN310" s="3766">
        <v>0</v>
      </c>
      <c r="AO310" s="3426"/>
    </row>
    <row r="311" spans="1:41">
      <c r="A311" s="5047" t="s">
        <v>5</v>
      </c>
      <c r="B311" s="5048"/>
      <c r="C311" s="3447">
        <v>0</v>
      </c>
      <c r="D311" s="3447">
        <v>0</v>
      </c>
      <c r="E311" s="3432"/>
      <c r="F311" s="3752">
        <v>0</v>
      </c>
      <c r="G311" s="3449">
        <v>6.7817671267255802E-5</v>
      </c>
      <c r="H311" s="3432"/>
      <c r="I311" s="3432"/>
      <c r="J311" s="3411">
        <v>0</v>
      </c>
      <c r="K311" s="3447">
        <v>0</v>
      </c>
      <c r="L311" s="3447">
        <v>0</v>
      </c>
      <c r="M311" s="3432"/>
      <c r="N311" s="3432"/>
      <c r="O311" s="3432"/>
      <c r="P311" s="3432"/>
      <c r="Q311" s="3432"/>
      <c r="R311" s="3447">
        <v>0</v>
      </c>
      <c r="S311" s="3432"/>
      <c r="T311" s="3432"/>
      <c r="U311" s="3447">
        <v>0</v>
      </c>
      <c r="V311" s="3432"/>
      <c r="W311" s="3447">
        <v>0</v>
      </c>
      <c r="X311" s="3447">
        <v>0</v>
      </c>
      <c r="Y311" s="3432"/>
      <c r="Z311" s="3432"/>
      <c r="AA311" s="3432"/>
      <c r="AB311" s="3432"/>
      <c r="AC311" s="3432"/>
      <c r="AD311" s="3432"/>
      <c r="AE311" s="3432"/>
      <c r="AF311" s="3447">
        <v>0</v>
      </c>
      <c r="AG311" s="3432"/>
      <c r="AH311" s="3432"/>
      <c r="AI311" s="3432"/>
      <c r="AJ311" s="3432"/>
      <c r="AK311" s="3447">
        <v>0</v>
      </c>
      <c r="AL311" s="3447">
        <v>0</v>
      </c>
      <c r="AM311" s="3447">
        <v>0</v>
      </c>
      <c r="AN311" s="3766">
        <v>0</v>
      </c>
      <c r="AO311" s="3426"/>
    </row>
    <row r="312" spans="1:41">
      <c r="A312" s="5047" t="s">
        <v>832</v>
      </c>
      <c r="B312" s="5048"/>
      <c r="C312" s="3447">
        <v>0</v>
      </c>
      <c r="D312" s="3447">
        <v>0</v>
      </c>
      <c r="E312" s="3432"/>
      <c r="F312" s="3752">
        <v>0</v>
      </c>
      <c r="G312" s="3451">
        <v>0.21445889675900401</v>
      </c>
      <c r="H312" s="3432"/>
      <c r="I312" s="3432"/>
      <c r="J312" s="3411">
        <v>0</v>
      </c>
      <c r="K312" s="3447">
        <v>0</v>
      </c>
      <c r="L312" s="3447">
        <v>0</v>
      </c>
      <c r="M312" s="3432"/>
      <c r="N312" s="3432"/>
      <c r="O312" s="3432"/>
      <c r="P312" s="3432"/>
      <c r="Q312" s="3432"/>
      <c r="R312" s="3449">
        <v>4.9208718527674198E-7</v>
      </c>
      <c r="S312" s="3432"/>
      <c r="T312" s="3432"/>
      <c r="U312" s="3447">
        <v>0</v>
      </c>
      <c r="V312" s="3432"/>
      <c r="W312" s="3447">
        <v>0</v>
      </c>
      <c r="X312" s="3447">
        <v>0</v>
      </c>
      <c r="Y312" s="3432"/>
      <c r="Z312" s="3432"/>
      <c r="AA312" s="3432"/>
      <c r="AB312" s="3432"/>
      <c r="AC312" s="3432"/>
      <c r="AD312" s="3432"/>
      <c r="AE312" s="3432"/>
      <c r="AF312" s="3447">
        <v>0</v>
      </c>
      <c r="AG312" s="3432"/>
      <c r="AH312" s="3432"/>
      <c r="AI312" s="3432"/>
      <c r="AJ312" s="3432"/>
      <c r="AK312" s="3447">
        <v>0</v>
      </c>
      <c r="AL312" s="3447">
        <v>0</v>
      </c>
      <c r="AM312" s="3449">
        <v>6.0127500220323901E-7</v>
      </c>
      <c r="AN312" s="3766">
        <v>0</v>
      </c>
      <c r="AO312" s="3426"/>
    </row>
    <row r="313" spans="1:41">
      <c r="A313" s="5047" t="s">
        <v>3</v>
      </c>
      <c r="B313" s="5048"/>
      <c r="C313" s="3460">
        <v>8.0816170016999799E-4</v>
      </c>
      <c r="D313" s="3447">
        <v>0</v>
      </c>
      <c r="E313" s="3432"/>
      <c r="F313" s="3752">
        <v>0</v>
      </c>
      <c r="G313" s="3451">
        <v>0.18086927370018499</v>
      </c>
      <c r="H313" s="3432"/>
      <c r="I313" s="3432"/>
      <c r="J313" s="3422">
        <v>4.6023252837004702E-3</v>
      </c>
      <c r="K313" s="3447">
        <v>0</v>
      </c>
      <c r="L313" s="3447">
        <v>0</v>
      </c>
      <c r="M313" s="3432"/>
      <c r="N313" s="3432"/>
      <c r="O313" s="3432"/>
      <c r="P313" s="3432"/>
      <c r="Q313" s="3432"/>
      <c r="R313" s="3460">
        <v>1.2298570603059601E-4</v>
      </c>
      <c r="S313" s="3432"/>
      <c r="T313" s="3432"/>
      <c r="U313" s="3449">
        <v>8.9546107334999795E-6</v>
      </c>
      <c r="V313" s="3432"/>
      <c r="W313" s="3447">
        <v>0</v>
      </c>
      <c r="X313" s="3447">
        <v>0</v>
      </c>
      <c r="Y313" s="3432"/>
      <c r="Z313" s="3432"/>
      <c r="AA313" s="3432"/>
      <c r="AB313" s="3432"/>
      <c r="AC313" s="3432"/>
      <c r="AD313" s="3432"/>
      <c r="AE313" s="3432"/>
      <c r="AF313" s="3447">
        <v>0</v>
      </c>
      <c r="AG313" s="3432"/>
      <c r="AH313" s="3432"/>
      <c r="AI313" s="3432"/>
      <c r="AJ313" s="3432"/>
      <c r="AK313" s="3447">
        <v>0</v>
      </c>
      <c r="AL313" s="3449">
        <v>8.9664959131377999E-6</v>
      </c>
      <c r="AM313" s="3460">
        <v>1.27583423692767E-4</v>
      </c>
      <c r="AN313" s="3766">
        <v>0</v>
      </c>
      <c r="AO313" s="3426"/>
    </row>
    <row r="314" spans="1:41">
      <c r="A314" s="5047" t="s">
        <v>6</v>
      </c>
      <c r="B314" s="5048"/>
      <c r="C314" s="3452">
        <v>4.0539121406767999E-3</v>
      </c>
      <c r="D314" s="3447">
        <v>0</v>
      </c>
      <c r="E314" s="3432"/>
      <c r="F314" s="3752">
        <v>0</v>
      </c>
      <c r="G314" s="3455">
        <v>17.1608026540748</v>
      </c>
      <c r="H314" s="3432"/>
      <c r="I314" s="3432"/>
      <c r="J314" s="3423">
        <v>7.5640870022374606E-5</v>
      </c>
      <c r="K314" s="3447">
        <v>0</v>
      </c>
      <c r="L314" s="3447">
        <v>0</v>
      </c>
      <c r="M314" s="3432"/>
      <c r="N314" s="3432"/>
      <c r="O314" s="3432"/>
      <c r="P314" s="3432"/>
      <c r="Q314" s="3432"/>
      <c r="R314" s="3460">
        <v>6.2577880059979795E-4</v>
      </c>
      <c r="S314" s="3432"/>
      <c r="T314" s="3432"/>
      <c r="U314" s="3449">
        <v>4.71544446461623E-5</v>
      </c>
      <c r="V314" s="3432"/>
      <c r="W314" s="3447">
        <v>0</v>
      </c>
      <c r="X314" s="3447">
        <v>0</v>
      </c>
      <c r="Y314" s="3432"/>
      <c r="Z314" s="3432"/>
      <c r="AA314" s="3432"/>
      <c r="AB314" s="3432"/>
      <c r="AC314" s="3432"/>
      <c r="AD314" s="3432"/>
      <c r="AE314" s="3432"/>
      <c r="AF314" s="3447">
        <v>0</v>
      </c>
      <c r="AG314" s="3432"/>
      <c r="AH314" s="3432"/>
      <c r="AI314" s="3432"/>
      <c r="AJ314" s="3432"/>
      <c r="AK314" s="3447">
        <v>0</v>
      </c>
      <c r="AL314" s="3449">
        <v>4.7278034331704299E-5</v>
      </c>
      <c r="AM314" s="3460">
        <v>6.8648570782745596E-4</v>
      </c>
      <c r="AN314" s="3766">
        <v>0</v>
      </c>
      <c r="AO314" s="3426"/>
    </row>
    <row r="315" spans="1:41">
      <c r="A315" s="5047" t="s">
        <v>7</v>
      </c>
      <c r="B315" s="5048"/>
      <c r="C315" s="3451">
        <v>0.19350083890146799</v>
      </c>
      <c r="D315" s="3451">
        <v>0.17759294574390899</v>
      </c>
      <c r="E315" s="3432"/>
      <c r="F315" s="3753">
        <v>4.1115961204191302E-2</v>
      </c>
      <c r="G315" s="3455">
        <v>17.373337270237499</v>
      </c>
      <c r="H315" s="3432"/>
      <c r="I315" s="3432"/>
      <c r="J315" s="3419">
        <v>2.7359244421855701E-2</v>
      </c>
      <c r="K315" s="3454">
        <v>3.9534090299324101E-2</v>
      </c>
      <c r="L315" s="3451">
        <v>0.192327333224109</v>
      </c>
      <c r="M315" s="3432"/>
      <c r="N315" s="3432"/>
      <c r="O315" s="3432"/>
      <c r="P315" s="3432"/>
      <c r="Q315" s="3432"/>
      <c r="R315" s="3454">
        <v>8.2882151401033902E-2</v>
      </c>
      <c r="S315" s="3432"/>
      <c r="T315" s="3432"/>
      <c r="U315" s="3454">
        <v>7.2457524240293905E-2</v>
      </c>
      <c r="V315" s="3432"/>
      <c r="W315" s="3460">
        <v>8.3268361106624098E-4</v>
      </c>
      <c r="X315" s="3451">
        <v>0.192273901778932</v>
      </c>
      <c r="Y315" s="3432"/>
      <c r="Z315" s="3432"/>
      <c r="AA315" s="3432"/>
      <c r="AB315" s="3432"/>
      <c r="AC315" s="3432"/>
      <c r="AD315" s="3432"/>
      <c r="AE315" s="3432"/>
      <c r="AF315" s="3460">
        <v>8.3268361106624098E-4</v>
      </c>
      <c r="AG315" s="3432"/>
      <c r="AH315" s="3432"/>
      <c r="AI315" s="3432"/>
      <c r="AJ315" s="3432"/>
      <c r="AK315" s="3454">
        <v>7.8188575822128306E-2</v>
      </c>
      <c r="AL315" s="3454">
        <v>7.2505568472162898E-2</v>
      </c>
      <c r="AM315" s="3454">
        <v>8.4247812924201596E-2</v>
      </c>
      <c r="AN315" s="3774">
        <v>1.64769979807445E-4</v>
      </c>
      <c r="AO315" s="3426"/>
    </row>
    <row r="316" spans="1:41">
      <c r="A316" s="5047" t="s">
        <v>8</v>
      </c>
      <c r="B316" s="5048"/>
      <c r="C316" s="3453">
        <v>5.9247303188798597</v>
      </c>
      <c r="D316" s="3453">
        <v>5.9558721540111499</v>
      </c>
      <c r="E316" s="3432"/>
      <c r="F316" s="3754">
        <v>0.30147849768312501</v>
      </c>
      <c r="G316" s="3455">
        <v>26.357404458495701</v>
      </c>
      <c r="H316" s="3432"/>
      <c r="I316" s="3432"/>
      <c r="J316" s="3419">
        <v>3.3703830297136701E-2</v>
      </c>
      <c r="K316" s="3451">
        <v>0.31886755366535602</v>
      </c>
      <c r="L316" s="3453">
        <v>1.1879175366242001</v>
      </c>
      <c r="M316" s="3432"/>
      <c r="N316" s="3432"/>
      <c r="O316" s="3432"/>
      <c r="P316" s="3432"/>
      <c r="Q316" s="3432"/>
      <c r="R316" s="3453">
        <v>1.0302837350599301</v>
      </c>
      <c r="S316" s="3432"/>
      <c r="T316" s="3432"/>
      <c r="U316" s="3451">
        <v>0.86678607733638502</v>
      </c>
      <c r="V316" s="3432"/>
      <c r="W316" s="3452">
        <v>1.7665068656263E-3</v>
      </c>
      <c r="X316" s="3453">
        <v>1.1959428052949601</v>
      </c>
      <c r="Y316" s="3432"/>
      <c r="Z316" s="3432"/>
      <c r="AA316" s="3432"/>
      <c r="AB316" s="3432"/>
      <c r="AC316" s="3432"/>
      <c r="AD316" s="3432"/>
      <c r="AE316" s="3432"/>
      <c r="AF316" s="3452">
        <v>1.7665068656263E-3</v>
      </c>
      <c r="AG316" s="3432"/>
      <c r="AH316" s="3432"/>
      <c r="AI316" s="3432"/>
      <c r="AJ316" s="3432"/>
      <c r="AK316" s="3451">
        <v>0.83527188785013395</v>
      </c>
      <c r="AL316" s="3451">
        <v>0.866959928865079</v>
      </c>
      <c r="AM316" s="3453">
        <v>1.0348570349100601</v>
      </c>
      <c r="AN316" s="3771">
        <v>1.02090605831011E-3</v>
      </c>
      <c r="AO316" s="3426"/>
    </row>
    <row r="317" spans="1:41">
      <c r="A317" s="5047" t="s">
        <v>66</v>
      </c>
      <c r="B317" s="5048"/>
      <c r="C317" s="3453">
        <v>3.0858969547719899</v>
      </c>
      <c r="D317" s="3453">
        <v>3.1664516212034699</v>
      </c>
      <c r="E317" s="3432"/>
      <c r="F317" s="3754">
        <v>0.47685262721435301</v>
      </c>
      <c r="G317" s="3453">
        <v>6.3111917439329899</v>
      </c>
      <c r="H317" s="3432"/>
      <c r="I317" s="3432"/>
      <c r="J317" s="3422">
        <v>1.17802285011559E-3</v>
      </c>
      <c r="K317" s="3451">
        <v>0.4967153580816</v>
      </c>
      <c r="L317" s="3451">
        <v>0.59242342162808603</v>
      </c>
      <c r="M317" s="3432"/>
      <c r="N317" s="3432"/>
      <c r="O317" s="3432"/>
      <c r="P317" s="3432"/>
      <c r="Q317" s="3432"/>
      <c r="R317" s="3451">
        <v>0.59332791096463899</v>
      </c>
      <c r="S317" s="3432"/>
      <c r="T317" s="3432"/>
      <c r="U317" s="3451">
        <v>0.53279678563380295</v>
      </c>
      <c r="V317" s="3432"/>
      <c r="W317" s="3460">
        <v>2.7622411134634999E-4</v>
      </c>
      <c r="X317" s="3451">
        <v>0.59666707315920897</v>
      </c>
      <c r="Y317" s="3432"/>
      <c r="Z317" s="3432"/>
      <c r="AA317" s="3432"/>
      <c r="AB317" s="3432"/>
      <c r="AC317" s="3432"/>
      <c r="AD317" s="3432"/>
      <c r="AE317" s="3432"/>
      <c r="AF317" s="3460">
        <v>2.7622411134634999E-4</v>
      </c>
      <c r="AG317" s="3432"/>
      <c r="AH317" s="3432"/>
      <c r="AI317" s="3432"/>
      <c r="AJ317" s="3432"/>
      <c r="AK317" s="3451">
        <v>0.51111264381064203</v>
      </c>
      <c r="AL317" s="3451">
        <v>0.532838862104133</v>
      </c>
      <c r="AM317" s="3451">
        <v>0.594307035512597</v>
      </c>
      <c r="AN317" s="3771">
        <v>1.6180212518744101E-3</v>
      </c>
      <c r="AO317" s="3426"/>
    </row>
    <row r="318" spans="1:41">
      <c r="A318" s="5047" t="s">
        <v>359</v>
      </c>
      <c r="B318" s="5048"/>
      <c r="C318" s="3453">
        <v>8.3662669370576097</v>
      </c>
      <c r="D318" s="3453">
        <v>8.3905742680734505</v>
      </c>
      <c r="E318" s="3432"/>
      <c r="F318" s="3755">
        <v>1.86767278992288</v>
      </c>
      <c r="G318" s="3455">
        <v>16.977441115172802</v>
      </c>
      <c r="H318" s="3432"/>
      <c r="I318" s="3432"/>
      <c r="J318" s="3422">
        <v>1.57826932379342E-3</v>
      </c>
      <c r="K318" s="3453">
        <v>1.9104436849292299</v>
      </c>
      <c r="L318" s="3453">
        <v>1.97568130920205</v>
      </c>
      <c r="M318" s="3432"/>
      <c r="N318" s="3432"/>
      <c r="O318" s="3432"/>
      <c r="P318" s="3432"/>
      <c r="Q318" s="3432"/>
      <c r="R318" s="3453">
        <v>2.0807952100292</v>
      </c>
      <c r="S318" s="3432"/>
      <c r="T318" s="3432"/>
      <c r="U318" s="3453">
        <v>1.84050283597302</v>
      </c>
      <c r="V318" s="3432"/>
      <c r="W318" s="3460">
        <v>9.5828161849895795E-4</v>
      </c>
      <c r="X318" s="3453">
        <v>1.98625547121811</v>
      </c>
      <c r="Y318" s="3432"/>
      <c r="Z318" s="3432"/>
      <c r="AA318" s="3432"/>
      <c r="AB318" s="3432"/>
      <c r="AC318" s="3432"/>
      <c r="AD318" s="3432"/>
      <c r="AE318" s="3432"/>
      <c r="AF318" s="3460">
        <v>9.5828161849895795E-4</v>
      </c>
      <c r="AG318" s="3432"/>
      <c r="AH318" s="3432"/>
      <c r="AI318" s="3432"/>
      <c r="AJ318" s="3432"/>
      <c r="AK318" s="3453">
        <v>1.7841933394661</v>
      </c>
      <c r="AL318" s="3453">
        <v>1.8406012774725899</v>
      </c>
      <c r="AM318" s="3453">
        <v>2.08307752310064</v>
      </c>
      <c r="AN318" s="3771">
        <v>6.4701326414330403E-3</v>
      </c>
      <c r="AO318" s="3426"/>
    </row>
    <row r="319" spans="1:41">
      <c r="A319" s="5047" t="s">
        <v>68</v>
      </c>
      <c r="B319" s="5048"/>
      <c r="C319" s="3453">
        <v>4.5958703593262999</v>
      </c>
      <c r="D319" s="3453">
        <v>4.6530378496745799</v>
      </c>
      <c r="E319" s="3432"/>
      <c r="F319" s="3755">
        <v>1.87444834782836</v>
      </c>
      <c r="G319" s="3453">
        <v>5.1033963900504498</v>
      </c>
      <c r="H319" s="3432"/>
      <c r="I319" s="3432"/>
      <c r="J319" s="3423">
        <v>8.0652546532531701E-5</v>
      </c>
      <c r="K319" s="3453">
        <v>1.3754638512183299</v>
      </c>
      <c r="L319" s="3453">
        <v>1.4745902704378799</v>
      </c>
      <c r="M319" s="3432"/>
      <c r="N319" s="3432"/>
      <c r="O319" s="3432"/>
      <c r="P319" s="3432"/>
      <c r="Q319" s="3432"/>
      <c r="R319" s="3453">
        <v>1.35388957037225</v>
      </c>
      <c r="S319" s="3432"/>
      <c r="T319" s="3432"/>
      <c r="U319" s="3453">
        <v>1.45641917234103</v>
      </c>
      <c r="V319" s="3432"/>
      <c r="W319" s="3460">
        <v>1.9675921325796699E-4</v>
      </c>
      <c r="X319" s="3453">
        <v>1.4797970699490099</v>
      </c>
      <c r="Y319" s="3432"/>
      <c r="Z319" s="3432"/>
      <c r="AA319" s="3432"/>
      <c r="AB319" s="3432"/>
      <c r="AC319" s="3432"/>
      <c r="AD319" s="3432"/>
      <c r="AE319" s="3432"/>
      <c r="AF319" s="3460">
        <v>1.9675921325796699E-4</v>
      </c>
      <c r="AG319" s="3432"/>
      <c r="AH319" s="3432"/>
      <c r="AI319" s="3432"/>
      <c r="AJ319" s="3432"/>
      <c r="AK319" s="3453">
        <v>1.42666368282899</v>
      </c>
      <c r="AL319" s="3453">
        <v>1.45644501851634</v>
      </c>
      <c r="AM319" s="3453">
        <v>1.35434606532716</v>
      </c>
      <c r="AN319" s="3771">
        <v>7.4623154138233304E-3</v>
      </c>
      <c r="AO319" s="3426"/>
    </row>
    <row r="320" spans="1:41">
      <c r="A320" s="5047" t="s">
        <v>669</v>
      </c>
      <c r="B320" s="5048"/>
      <c r="C320" s="3453">
        <v>5.9670846152202701</v>
      </c>
      <c r="D320" s="3453">
        <v>6.0441303101904902</v>
      </c>
      <c r="E320" s="3432"/>
      <c r="F320" s="3755">
        <v>2.6636897574403</v>
      </c>
      <c r="G320" s="3453">
        <v>5.0517421294694902</v>
      </c>
      <c r="H320" s="3432"/>
      <c r="I320" s="3432"/>
      <c r="J320" s="3423">
        <v>2.2642882073444899E-5</v>
      </c>
      <c r="K320" s="3453">
        <v>1.8497617309487899</v>
      </c>
      <c r="L320" s="3453">
        <v>1.96719527276497</v>
      </c>
      <c r="M320" s="3432"/>
      <c r="N320" s="3432"/>
      <c r="O320" s="3432"/>
      <c r="P320" s="3432"/>
      <c r="Q320" s="3432"/>
      <c r="R320" s="3453">
        <v>1.7958236410167401</v>
      </c>
      <c r="S320" s="3432"/>
      <c r="T320" s="3432"/>
      <c r="U320" s="3453">
        <v>1.9632203793487299</v>
      </c>
      <c r="V320" s="3432"/>
      <c r="W320" s="3449">
        <v>9.1016299641332496E-5</v>
      </c>
      <c r="X320" s="3453">
        <v>1.9738663224044299</v>
      </c>
      <c r="Y320" s="3432"/>
      <c r="Z320" s="3432"/>
      <c r="AA320" s="3432"/>
      <c r="AB320" s="3432"/>
      <c r="AC320" s="3432"/>
      <c r="AD320" s="3432"/>
      <c r="AE320" s="3432"/>
      <c r="AF320" s="3449">
        <v>9.1016299641332496E-5</v>
      </c>
      <c r="AG320" s="3432"/>
      <c r="AH320" s="3432"/>
      <c r="AI320" s="3432"/>
      <c r="AJ320" s="3432"/>
      <c r="AK320" s="3453">
        <v>1.9241546525008599</v>
      </c>
      <c r="AL320" s="3453">
        <v>1.9632445673555099</v>
      </c>
      <c r="AM320" s="3453">
        <v>1.79622774997597</v>
      </c>
      <c r="AN320" s="3770">
        <v>1.11232302738868E-2</v>
      </c>
      <c r="AO320" s="3426"/>
    </row>
    <row r="321" spans="1:41">
      <c r="A321" s="5047" t="s">
        <v>99</v>
      </c>
      <c r="B321" s="5048"/>
      <c r="C321" s="3447">
        <v>0</v>
      </c>
      <c r="D321" s="3447">
        <v>0</v>
      </c>
      <c r="E321" s="3432"/>
      <c r="F321" s="3752">
        <v>0</v>
      </c>
      <c r="G321" s="3447">
        <v>0</v>
      </c>
      <c r="H321" s="3432"/>
      <c r="I321" s="3432"/>
      <c r="J321" s="3411">
        <v>0</v>
      </c>
      <c r="K321" s="3447">
        <v>0</v>
      </c>
      <c r="L321" s="3447">
        <v>0</v>
      </c>
      <c r="M321" s="3432"/>
      <c r="N321" s="3432"/>
      <c r="O321" s="3432"/>
      <c r="P321" s="3432"/>
      <c r="Q321" s="3432"/>
      <c r="R321" s="3447">
        <v>0</v>
      </c>
      <c r="S321" s="3432"/>
      <c r="T321" s="3432"/>
      <c r="U321" s="3447">
        <v>0</v>
      </c>
      <c r="V321" s="3432"/>
      <c r="W321" s="3447">
        <v>0</v>
      </c>
      <c r="X321" s="3447">
        <v>0</v>
      </c>
      <c r="Y321" s="3432"/>
      <c r="Z321" s="3432"/>
      <c r="AA321" s="3432"/>
      <c r="AB321" s="3432"/>
      <c r="AC321" s="3432"/>
      <c r="AD321" s="3432"/>
      <c r="AE321" s="3432"/>
      <c r="AF321" s="3447">
        <v>0</v>
      </c>
      <c r="AG321" s="3432"/>
      <c r="AH321" s="3432"/>
      <c r="AI321" s="3432"/>
      <c r="AJ321" s="3432"/>
      <c r="AK321" s="3447">
        <v>0</v>
      </c>
      <c r="AL321" s="3447">
        <v>0</v>
      </c>
      <c r="AM321" s="3447">
        <v>0</v>
      </c>
      <c r="AN321" s="3766">
        <v>0</v>
      </c>
      <c r="AO321" s="3426"/>
    </row>
    <row r="322" spans="1:41">
      <c r="A322" s="5047" t="s">
        <v>422</v>
      </c>
      <c r="B322" s="5048"/>
      <c r="C322" s="3453">
        <v>5.2527639401734598</v>
      </c>
      <c r="D322" s="3453">
        <v>5.3662520262005398</v>
      </c>
      <c r="E322" s="3432"/>
      <c r="F322" s="3755">
        <v>2.3566982906785299</v>
      </c>
      <c r="G322" s="3453">
        <v>2.0491859035068001</v>
      </c>
      <c r="H322" s="3432"/>
      <c r="I322" s="3432"/>
      <c r="J322" s="3423">
        <v>5.0730002400797096E-6</v>
      </c>
      <c r="K322" s="3453">
        <v>1.86947317416773</v>
      </c>
      <c r="L322" s="3453">
        <v>1.7623956546272299</v>
      </c>
      <c r="M322" s="3432"/>
      <c r="N322" s="3432"/>
      <c r="O322" s="3432"/>
      <c r="P322" s="3432"/>
      <c r="Q322" s="3432"/>
      <c r="R322" s="3453">
        <v>1.5149895628250301</v>
      </c>
      <c r="S322" s="3432"/>
      <c r="T322" s="3432"/>
      <c r="U322" s="3453">
        <v>1.7958847076719799</v>
      </c>
      <c r="V322" s="3432"/>
      <c r="W322" s="3449">
        <v>4.4924097512557001E-5</v>
      </c>
      <c r="X322" s="3453">
        <v>1.76829008775871</v>
      </c>
      <c r="Y322" s="3432"/>
      <c r="Z322" s="3432"/>
      <c r="AA322" s="3432"/>
      <c r="AB322" s="3432"/>
      <c r="AC322" s="3432"/>
      <c r="AD322" s="3432"/>
      <c r="AE322" s="3432"/>
      <c r="AF322" s="3449">
        <v>4.4924097512557001E-5</v>
      </c>
      <c r="AG322" s="3432"/>
      <c r="AH322" s="3432"/>
      <c r="AI322" s="3432"/>
      <c r="AJ322" s="3432"/>
      <c r="AK322" s="3453">
        <v>1.76001474144922</v>
      </c>
      <c r="AL322" s="3453">
        <v>1.7958887010056701</v>
      </c>
      <c r="AM322" s="3453">
        <v>1.51502284713446</v>
      </c>
      <c r="AN322" s="3770">
        <v>1.30004687556099E-2</v>
      </c>
      <c r="AO322" s="3426"/>
    </row>
    <row r="323" spans="1:41">
      <c r="A323" s="5047" t="s">
        <v>10</v>
      </c>
      <c r="B323" s="5048"/>
      <c r="C323" s="3453">
        <v>3.9663920220838098</v>
      </c>
      <c r="D323" s="3453">
        <v>3.9231728825240699</v>
      </c>
      <c r="E323" s="3432"/>
      <c r="F323" s="3755">
        <v>1.7675237180089001</v>
      </c>
      <c r="G323" s="3451">
        <v>0.77021879011710204</v>
      </c>
      <c r="H323" s="3432"/>
      <c r="I323" s="3432"/>
      <c r="J323" s="3423">
        <v>8.6418269932918003E-7</v>
      </c>
      <c r="K323" s="3453">
        <v>1.4729182584351801</v>
      </c>
      <c r="L323" s="3453">
        <v>1.4687816929467301</v>
      </c>
      <c r="M323" s="3432"/>
      <c r="N323" s="3432"/>
      <c r="O323" s="3432"/>
      <c r="P323" s="3432"/>
      <c r="Q323" s="3432"/>
      <c r="R323" s="3453">
        <v>1.1939004474326</v>
      </c>
      <c r="S323" s="3432"/>
      <c r="T323" s="3432"/>
      <c r="U323" s="3453">
        <v>1.49847636425922</v>
      </c>
      <c r="V323" s="3432"/>
      <c r="W323" s="3449">
        <v>1.35726682516293E-5</v>
      </c>
      <c r="X323" s="3453">
        <v>1.4727935742663401</v>
      </c>
      <c r="Y323" s="3432"/>
      <c r="Z323" s="3432"/>
      <c r="AA323" s="3432"/>
      <c r="AB323" s="3432"/>
      <c r="AC323" s="3432"/>
      <c r="AD323" s="3432"/>
      <c r="AE323" s="3432"/>
      <c r="AF323" s="3449">
        <v>1.35726682516293E-5</v>
      </c>
      <c r="AG323" s="3432"/>
      <c r="AH323" s="3432"/>
      <c r="AI323" s="3432"/>
      <c r="AJ323" s="3432"/>
      <c r="AK323" s="3453">
        <v>1.4725218961519499</v>
      </c>
      <c r="AL323" s="3453">
        <v>1.4984764627303899</v>
      </c>
      <c r="AM323" s="3453">
        <v>1.19387499342493</v>
      </c>
      <c r="AN323" s="3770">
        <v>1.1662330307567101E-2</v>
      </c>
      <c r="AO323" s="3426"/>
    </row>
    <row r="324" spans="1:41">
      <c r="A324" s="5047" t="s">
        <v>9</v>
      </c>
      <c r="B324" s="5048"/>
      <c r="C324" s="3453">
        <v>3.2863340988085099</v>
      </c>
      <c r="D324" s="3453">
        <v>3.2212677223614299</v>
      </c>
      <c r="E324" s="3432"/>
      <c r="F324" s="3755">
        <v>1.3809411599352299</v>
      </c>
      <c r="G324" s="3451">
        <v>0.49668177874734998</v>
      </c>
      <c r="H324" s="3432"/>
      <c r="I324" s="3432"/>
      <c r="J324" s="3423">
        <v>6.5239972204676302E-6</v>
      </c>
      <c r="K324" s="3453">
        <v>1.16183519858212</v>
      </c>
      <c r="L324" s="3453">
        <v>1.1471961181588901</v>
      </c>
      <c r="M324" s="3432"/>
      <c r="N324" s="3432"/>
      <c r="O324" s="3432"/>
      <c r="P324" s="3432"/>
      <c r="Q324" s="3432"/>
      <c r="R324" s="3451">
        <v>0.93953070466470801</v>
      </c>
      <c r="S324" s="3432"/>
      <c r="T324" s="3432"/>
      <c r="U324" s="3453">
        <v>1.1731469024046</v>
      </c>
      <c r="V324" s="3432"/>
      <c r="W324" s="3449">
        <v>7.7669181500171098E-5</v>
      </c>
      <c r="X324" s="3453">
        <v>1.1505892722483999</v>
      </c>
      <c r="Y324" s="3432"/>
      <c r="Z324" s="3432"/>
      <c r="AA324" s="3432"/>
      <c r="AB324" s="3432"/>
      <c r="AC324" s="3432"/>
      <c r="AD324" s="3432"/>
      <c r="AE324" s="3432"/>
      <c r="AF324" s="3449">
        <v>7.7669181500171098E-5</v>
      </c>
      <c r="AG324" s="3432"/>
      <c r="AH324" s="3432"/>
      <c r="AI324" s="3432"/>
      <c r="AJ324" s="3432"/>
      <c r="AK324" s="3453">
        <v>1.1508844043972499</v>
      </c>
      <c r="AL324" s="3453">
        <v>1.1731466887087201</v>
      </c>
      <c r="AM324" s="3451">
        <v>0.93950711992898095</v>
      </c>
      <c r="AN324" s="3771">
        <v>9.3766876729199505E-3</v>
      </c>
      <c r="AO324" s="3426"/>
    </row>
    <row r="325" spans="1:41">
      <c r="A325" s="5047" t="s">
        <v>11</v>
      </c>
      <c r="B325" s="5048"/>
      <c r="C325" s="3453">
        <v>3.17606266414814</v>
      </c>
      <c r="D325" s="3453">
        <v>2.7943198499333199</v>
      </c>
      <c r="E325" s="3432"/>
      <c r="F325" s="3755">
        <v>1.28170771651958</v>
      </c>
      <c r="G325" s="3451">
        <v>0.42809237227090302</v>
      </c>
      <c r="H325" s="3432"/>
      <c r="I325" s="3432"/>
      <c r="J325" s="3420">
        <v>8.4421799138463202E-4</v>
      </c>
      <c r="K325" s="3453">
        <v>1.07834655273553</v>
      </c>
      <c r="L325" s="3453">
        <v>1.0355054611508701</v>
      </c>
      <c r="M325" s="3432"/>
      <c r="N325" s="3432"/>
      <c r="O325" s="3432"/>
      <c r="P325" s="3432"/>
      <c r="Q325" s="3432"/>
      <c r="R325" s="3451">
        <v>0.82069398623281398</v>
      </c>
      <c r="S325" s="3432"/>
      <c r="T325" s="3432"/>
      <c r="U325" s="3453">
        <v>1.0598293167250701</v>
      </c>
      <c r="V325" s="3432"/>
      <c r="W325" s="3452">
        <v>5.2904606899400099E-3</v>
      </c>
      <c r="X325" s="3453">
        <v>1.03849581136979</v>
      </c>
      <c r="Y325" s="3432"/>
      <c r="Z325" s="3432"/>
      <c r="AA325" s="3432"/>
      <c r="AB325" s="3432"/>
      <c r="AC325" s="3432"/>
      <c r="AD325" s="3432"/>
      <c r="AE325" s="3432"/>
      <c r="AF325" s="3452">
        <v>5.2904606899400099E-3</v>
      </c>
      <c r="AG325" s="3432"/>
      <c r="AH325" s="3432"/>
      <c r="AI325" s="3432"/>
      <c r="AJ325" s="3432"/>
      <c r="AK325" s="3453">
        <v>1.0374881985614199</v>
      </c>
      <c r="AL325" s="3453">
        <v>1.05982876628293</v>
      </c>
      <c r="AM325" s="3451">
        <v>0.82066802261887895</v>
      </c>
      <c r="AN325" s="3771">
        <v>8.0369548391136594E-3</v>
      </c>
      <c r="AO325" s="3426"/>
    </row>
    <row r="326" spans="1:41">
      <c r="A326" s="5047" t="s">
        <v>12</v>
      </c>
      <c r="B326" s="5048"/>
      <c r="C326" s="3453">
        <v>7.4235119285282902</v>
      </c>
      <c r="D326" s="3453">
        <v>7.4395968557175003</v>
      </c>
      <c r="E326" s="3432"/>
      <c r="F326" s="3755">
        <v>3.0495783948569701</v>
      </c>
      <c r="G326" s="3451">
        <v>0.78490449195524303</v>
      </c>
      <c r="H326" s="3432"/>
      <c r="I326" s="3432"/>
      <c r="J326" s="3423">
        <v>2.6741367478242501E-5</v>
      </c>
      <c r="K326" s="3453">
        <v>2.65562331104484</v>
      </c>
      <c r="L326" s="3453">
        <v>2.58057418480854</v>
      </c>
      <c r="M326" s="3432"/>
      <c r="N326" s="3432"/>
      <c r="O326" s="3432"/>
      <c r="P326" s="3432"/>
      <c r="Q326" s="3432"/>
      <c r="R326" s="3453">
        <v>2.1732115688272602</v>
      </c>
      <c r="S326" s="3432"/>
      <c r="T326" s="3432"/>
      <c r="U326" s="3453">
        <v>2.6470643635920901</v>
      </c>
      <c r="V326" s="3432"/>
      <c r="W326" s="3460">
        <v>2.8869901597756103E-4</v>
      </c>
      <c r="X326" s="3453">
        <v>2.58852858695534</v>
      </c>
      <c r="Y326" s="3432"/>
      <c r="Z326" s="3432"/>
      <c r="AA326" s="3432"/>
      <c r="AB326" s="3432"/>
      <c r="AC326" s="3432"/>
      <c r="AD326" s="3432"/>
      <c r="AE326" s="3432"/>
      <c r="AF326" s="3460">
        <v>2.8869901597756103E-4</v>
      </c>
      <c r="AG326" s="3432"/>
      <c r="AH326" s="3432"/>
      <c r="AI326" s="3432"/>
      <c r="AJ326" s="3432"/>
      <c r="AK326" s="3453">
        <v>2.5962974870897502</v>
      </c>
      <c r="AL326" s="3453">
        <v>2.64706036034953</v>
      </c>
      <c r="AM326" s="3453">
        <v>2.1731007976574501</v>
      </c>
      <c r="AN326" s="3770">
        <v>2.48443939438855E-2</v>
      </c>
      <c r="AO326" s="3426"/>
    </row>
    <row r="327" spans="1:41">
      <c r="A327" s="5047" t="s">
        <v>48</v>
      </c>
      <c r="B327" s="5048"/>
      <c r="C327" s="3447">
        <v>0</v>
      </c>
      <c r="D327" s="3447">
        <v>0</v>
      </c>
      <c r="E327" s="3432"/>
      <c r="F327" s="3752">
        <v>0</v>
      </c>
      <c r="G327" s="3447">
        <v>0</v>
      </c>
      <c r="H327" s="3432"/>
      <c r="I327" s="3432"/>
      <c r="J327" s="3411">
        <v>0</v>
      </c>
      <c r="K327" s="3447">
        <v>0</v>
      </c>
      <c r="L327" s="3447">
        <v>0</v>
      </c>
      <c r="M327" s="3432"/>
      <c r="N327" s="3432"/>
      <c r="O327" s="3432"/>
      <c r="P327" s="3432"/>
      <c r="Q327" s="3432"/>
      <c r="R327" s="3447">
        <v>0</v>
      </c>
      <c r="S327" s="3432"/>
      <c r="T327" s="3432"/>
      <c r="U327" s="3447">
        <v>0</v>
      </c>
      <c r="V327" s="3432"/>
      <c r="W327" s="3447">
        <v>0</v>
      </c>
      <c r="X327" s="3447">
        <v>0</v>
      </c>
      <c r="Y327" s="3432"/>
      <c r="Z327" s="3432"/>
      <c r="AA327" s="3432"/>
      <c r="AB327" s="3432"/>
      <c r="AC327" s="3432"/>
      <c r="AD327" s="3432"/>
      <c r="AE327" s="3432"/>
      <c r="AF327" s="3447">
        <v>0</v>
      </c>
      <c r="AG327" s="3432"/>
      <c r="AH327" s="3432"/>
      <c r="AI327" s="3432"/>
      <c r="AJ327" s="3432"/>
      <c r="AK327" s="3447">
        <v>0</v>
      </c>
      <c r="AL327" s="3447">
        <v>0</v>
      </c>
      <c r="AM327" s="3447">
        <v>0</v>
      </c>
      <c r="AN327" s="3766">
        <v>0</v>
      </c>
      <c r="AO327" s="3426"/>
    </row>
    <row r="328" spans="1:41">
      <c r="A328" s="5047" t="s">
        <v>751</v>
      </c>
      <c r="B328" s="5048"/>
      <c r="C328" s="3453">
        <v>2.8663747660197898</v>
      </c>
      <c r="D328" s="3453">
        <v>2.8814858965621899</v>
      </c>
      <c r="E328" s="3432"/>
      <c r="F328" s="3755">
        <v>1.3701465286636001</v>
      </c>
      <c r="G328" s="3451">
        <v>0.35634183575239198</v>
      </c>
      <c r="H328" s="3432"/>
      <c r="I328" s="3432"/>
      <c r="J328" s="3423">
        <v>2.3772590035612399E-7</v>
      </c>
      <c r="K328" s="3453">
        <v>1.11981748087346</v>
      </c>
      <c r="L328" s="3453">
        <v>1.0247239997178501</v>
      </c>
      <c r="M328" s="3432"/>
      <c r="N328" s="3432"/>
      <c r="O328" s="3432"/>
      <c r="P328" s="3432"/>
      <c r="Q328" s="3432"/>
      <c r="R328" s="3453">
        <v>2.1201382926623702</v>
      </c>
      <c r="S328" s="3432"/>
      <c r="T328" s="3432"/>
      <c r="U328" s="3453">
        <v>1.0527434243527101</v>
      </c>
      <c r="V328" s="3432"/>
      <c r="W328" s="3449">
        <v>5.40684216388589E-6</v>
      </c>
      <c r="X328" s="3453">
        <v>1.0277592290661399</v>
      </c>
      <c r="Y328" s="3432"/>
      <c r="Z328" s="3432"/>
      <c r="AA328" s="3432"/>
      <c r="AB328" s="3432"/>
      <c r="AC328" s="3432"/>
      <c r="AD328" s="3432"/>
      <c r="AE328" s="3432"/>
      <c r="AF328" s="3449">
        <v>5.40684216388589E-6</v>
      </c>
      <c r="AG328" s="3432"/>
      <c r="AH328" s="3432"/>
      <c r="AI328" s="3432"/>
      <c r="AJ328" s="3432"/>
      <c r="AK328" s="3453">
        <v>1.0333134098368699</v>
      </c>
      <c r="AL328" s="3453">
        <v>1.05274066582448</v>
      </c>
      <c r="AM328" s="3453">
        <v>2.1199848565338302</v>
      </c>
      <c r="AN328" s="3770">
        <v>1.0487895085534001E-2</v>
      </c>
      <c r="AO328" s="3426"/>
    </row>
    <row r="329" spans="1:41">
      <c r="A329" s="5047" t="s">
        <v>65</v>
      </c>
      <c r="B329" s="5048"/>
      <c r="C329" s="3453">
        <v>8.9112556979754505</v>
      </c>
      <c r="D329" s="3453">
        <v>8.9369539520289099</v>
      </c>
      <c r="E329" s="3432"/>
      <c r="F329" s="3755">
        <v>3.9606159656475799</v>
      </c>
      <c r="G329" s="3451">
        <v>0.38386307808597397</v>
      </c>
      <c r="H329" s="3432"/>
      <c r="I329" s="3432"/>
      <c r="J329" s="3423">
        <v>2.8376485818443501E-6</v>
      </c>
      <c r="K329" s="3453">
        <v>3.7436911954312699</v>
      </c>
      <c r="L329" s="3453">
        <v>3.6814345515700402</v>
      </c>
      <c r="M329" s="3432"/>
      <c r="N329" s="3432"/>
      <c r="O329" s="3432"/>
      <c r="P329" s="3432"/>
      <c r="Q329" s="3432"/>
      <c r="R329" s="3453">
        <v>3.1396976544811599</v>
      </c>
      <c r="S329" s="3432"/>
      <c r="T329" s="3432"/>
      <c r="U329" s="3453">
        <v>3.7720668670719899</v>
      </c>
      <c r="V329" s="3432"/>
      <c r="W329" s="3449">
        <v>8.2129188343105E-5</v>
      </c>
      <c r="X329" s="3453">
        <v>3.6900225374549298</v>
      </c>
      <c r="Y329" s="3432"/>
      <c r="Z329" s="3432"/>
      <c r="AA329" s="3432"/>
      <c r="AB329" s="3432"/>
      <c r="AC329" s="3432"/>
      <c r="AD329" s="3432"/>
      <c r="AE329" s="3432"/>
      <c r="AF329" s="3449">
        <v>8.2129188343105E-5</v>
      </c>
      <c r="AG329" s="3432"/>
      <c r="AH329" s="3432"/>
      <c r="AI329" s="3432"/>
      <c r="AJ329" s="3432"/>
      <c r="AK329" s="3453">
        <v>3.7163511779139502</v>
      </c>
      <c r="AL329" s="3453">
        <v>3.7720538072394398</v>
      </c>
      <c r="AM329" s="3453">
        <v>3.1394211069773799</v>
      </c>
      <c r="AN329" s="3770">
        <v>5.21588705794006E-2</v>
      </c>
      <c r="AO329" s="3426"/>
    </row>
    <row r="330" spans="1:41">
      <c r="A330" s="5047" t="s">
        <v>13</v>
      </c>
      <c r="B330" s="5048"/>
      <c r="C330" s="3453">
        <v>5.4695324695544301</v>
      </c>
      <c r="D330" s="3453">
        <v>5.5232322707633497</v>
      </c>
      <c r="E330" s="3432"/>
      <c r="F330" s="3755">
        <v>2.53477107802766</v>
      </c>
      <c r="G330" s="3447">
        <v>0</v>
      </c>
      <c r="H330" s="3432"/>
      <c r="I330" s="3432"/>
      <c r="J330" s="3423">
        <v>1.42994268069493E-7</v>
      </c>
      <c r="K330" s="3453">
        <v>2.5689930443567701</v>
      </c>
      <c r="L330" s="3453">
        <v>2.3910671054437098</v>
      </c>
      <c r="M330" s="3432"/>
      <c r="N330" s="3432"/>
      <c r="O330" s="3432"/>
      <c r="P330" s="3432"/>
      <c r="Q330" s="3432"/>
      <c r="R330" s="3453">
        <v>1.0548049336106</v>
      </c>
      <c r="S330" s="3432"/>
      <c r="T330" s="3432"/>
      <c r="U330" s="3453">
        <v>2.44593714808836</v>
      </c>
      <c r="V330" s="3432"/>
      <c r="W330" s="3449">
        <v>5.2115446702731E-6</v>
      </c>
      <c r="X330" s="3453">
        <v>2.3961834493335101</v>
      </c>
      <c r="Y330" s="3432"/>
      <c r="Z330" s="3432"/>
      <c r="AA330" s="3432"/>
      <c r="AB330" s="3432"/>
      <c r="AC330" s="3432"/>
      <c r="AD330" s="3432"/>
      <c r="AE330" s="3432"/>
      <c r="AF330" s="3449">
        <v>5.2115446702731E-6</v>
      </c>
      <c r="AG330" s="3432"/>
      <c r="AH330" s="3432"/>
      <c r="AI330" s="3432"/>
      <c r="AJ330" s="3432"/>
      <c r="AK330" s="3453">
        <v>2.41307352151625</v>
      </c>
      <c r="AL330" s="3453">
        <v>2.4459288135132802</v>
      </c>
      <c r="AM330" s="3453">
        <v>1.0547127960582201</v>
      </c>
      <c r="AN330" s="3770">
        <v>3.2606654241652003E-2</v>
      </c>
      <c r="AO330" s="3426"/>
    </row>
    <row r="331" spans="1:41">
      <c r="A331" s="5047" t="s">
        <v>14</v>
      </c>
      <c r="B331" s="5048"/>
      <c r="C331" s="3453">
        <v>4.9219287604536701</v>
      </c>
      <c r="D331" s="3453">
        <v>4.6992607173544503</v>
      </c>
      <c r="E331" s="3432"/>
      <c r="F331" s="3755">
        <v>2.2048025074086501</v>
      </c>
      <c r="G331" s="3447">
        <v>0</v>
      </c>
      <c r="H331" s="3432"/>
      <c r="I331" s="3432"/>
      <c r="J331" s="3420">
        <v>1.01028762481215E-4</v>
      </c>
      <c r="K331" s="3453">
        <v>2.18054700428437</v>
      </c>
      <c r="L331" s="3453">
        <v>2.1861711776580601</v>
      </c>
      <c r="M331" s="3432"/>
      <c r="N331" s="3432"/>
      <c r="O331" s="3432"/>
      <c r="P331" s="3432"/>
      <c r="Q331" s="3432"/>
      <c r="R331" s="3453">
        <v>1.7502885360038301</v>
      </c>
      <c r="S331" s="3432"/>
      <c r="T331" s="3432"/>
      <c r="U331" s="3453">
        <v>2.2348181830494398</v>
      </c>
      <c r="V331" s="3432"/>
      <c r="W331" s="3452">
        <v>2.4514639175126402E-3</v>
      </c>
      <c r="X331" s="3453">
        <v>2.19030471835833</v>
      </c>
      <c r="Y331" s="3432"/>
      <c r="Z331" s="3432"/>
      <c r="AA331" s="3432"/>
      <c r="AB331" s="3432"/>
      <c r="AC331" s="3432"/>
      <c r="AD331" s="3432"/>
      <c r="AE331" s="3432"/>
      <c r="AF331" s="3452">
        <v>2.4514639175126402E-3</v>
      </c>
      <c r="AG331" s="3432"/>
      <c r="AH331" s="3432"/>
      <c r="AI331" s="3432"/>
      <c r="AJ331" s="3432"/>
      <c r="AK331" s="3453">
        <v>2.2054649433185101</v>
      </c>
      <c r="AL331" s="3453">
        <v>2.23480962388602</v>
      </c>
      <c r="AM331" s="3453">
        <v>1.7501220705918199</v>
      </c>
      <c r="AN331" s="3770">
        <v>3.6469387051639802E-2</v>
      </c>
      <c r="AO331" s="3426"/>
    </row>
    <row r="332" spans="1:41">
      <c r="A332" s="5047" t="s">
        <v>424</v>
      </c>
      <c r="B332" s="5048"/>
      <c r="C332" s="3453">
        <v>8.7933180412040493</v>
      </c>
      <c r="D332" s="3453">
        <v>8.7606671752843699</v>
      </c>
      <c r="E332" s="3432"/>
      <c r="F332" s="3755">
        <v>5.3106093007590003</v>
      </c>
      <c r="G332" s="3447">
        <v>0</v>
      </c>
      <c r="H332" s="3432"/>
      <c r="I332" s="3432"/>
      <c r="J332" s="3423">
        <v>1.26928376902919E-8</v>
      </c>
      <c r="K332" s="3453">
        <v>5.3315696865465103</v>
      </c>
      <c r="L332" s="3453">
        <v>5.4515987451034196</v>
      </c>
      <c r="M332" s="3432"/>
      <c r="N332" s="3432"/>
      <c r="O332" s="3432"/>
      <c r="P332" s="3432"/>
      <c r="Q332" s="3432"/>
      <c r="R332" s="3453">
        <v>4.7258529546665597</v>
      </c>
      <c r="S332" s="3432"/>
      <c r="T332" s="3432"/>
      <c r="U332" s="3453">
        <v>5.5468561559149201</v>
      </c>
      <c r="V332" s="3432"/>
      <c r="W332" s="3449">
        <v>1.63200999620795E-6</v>
      </c>
      <c r="X332" s="3453">
        <v>5.4569881383613099</v>
      </c>
      <c r="Y332" s="3432"/>
      <c r="Z332" s="3432"/>
      <c r="AA332" s="3432"/>
      <c r="AB332" s="3432"/>
      <c r="AC332" s="3432"/>
      <c r="AD332" s="3432"/>
      <c r="AE332" s="3432"/>
      <c r="AF332" s="3449">
        <v>1.63200999620795E-6</v>
      </c>
      <c r="AG332" s="3432"/>
      <c r="AH332" s="3432"/>
      <c r="AI332" s="3432"/>
      <c r="AJ332" s="3432"/>
      <c r="AK332" s="3453">
        <v>5.50944373806459</v>
      </c>
      <c r="AL332" s="3453">
        <v>5.5468304327212898</v>
      </c>
      <c r="AM332" s="3453">
        <v>4.7253333648923501</v>
      </c>
      <c r="AN332" s="3769">
        <v>0.18601974967829099</v>
      </c>
      <c r="AO332" s="3426"/>
    </row>
    <row r="333" spans="1:41">
      <c r="A333" s="5047" t="s">
        <v>16</v>
      </c>
      <c r="B333" s="5048"/>
      <c r="C333" s="3451">
        <v>0.240971380779538</v>
      </c>
      <c r="D333" s="3451">
        <v>0.252109442228727</v>
      </c>
      <c r="E333" s="3432"/>
      <c r="F333" s="3754">
        <v>0.145168453041499</v>
      </c>
      <c r="G333" s="3447">
        <v>0</v>
      </c>
      <c r="H333" s="3432"/>
      <c r="I333" s="3432"/>
      <c r="J333" s="3411">
        <v>0</v>
      </c>
      <c r="K333" s="3451">
        <v>0.13958332878694299</v>
      </c>
      <c r="L333" s="3447">
        <v>0</v>
      </c>
      <c r="M333" s="3432"/>
      <c r="N333" s="3432"/>
      <c r="O333" s="3432"/>
      <c r="P333" s="3432"/>
      <c r="Q333" s="3432"/>
      <c r="R333" s="3451">
        <v>0.121375762814801</v>
      </c>
      <c r="S333" s="3432"/>
      <c r="T333" s="3432"/>
      <c r="U333" s="3452">
        <v>2.9252431278869902E-3</v>
      </c>
      <c r="V333" s="3432"/>
      <c r="W333" s="3449">
        <v>1.2665697131762999E-7</v>
      </c>
      <c r="X333" s="3460">
        <v>4.16010588701995E-4</v>
      </c>
      <c r="Y333" s="3432"/>
      <c r="Z333" s="3432"/>
      <c r="AA333" s="3432"/>
      <c r="AB333" s="3432"/>
      <c r="AC333" s="3432"/>
      <c r="AD333" s="3432"/>
      <c r="AE333" s="3432"/>
      <c r="AF333" s="3449">
        <v>1.2665697131762999E-7</v>
      </c>
      <c r="AG333" s="3432"/>
      <c r="AH333" s="3432"/>
      <c r="AI333" s="3432"/>
      <c r="AJ333" s="3432"/>
      <c r="AK333" s="3460">
        <v>4.1999317772508998E-4</v>
      </c>
      <c r="AL333" s="3452">
        <v>2.9252292330294301E-3</v>
      </c>
      <c r="AM333" s="3451">
        <v>0.12136217681492401</v>
      </c>
      <c r="AN333" s="3771">
        <v>6.6880533427019096E-3</v>
      </c>
      <c r="AO333" s="3426"/>
    </row>
    <row r="334" spans="1:41">
      <c r="A334" s="5047" t="s">
        <v>770</v>
      </c>
      <c r="B334" s="5048"/>
      <c r="C334" s="3453">
        <v>2.5429112529978299</v>
      </c>
      <c r="D334" s="3453">
        <v>2.5286151452183701</v>
      </c>
      <c r="E334" s="3432"/>
      <c r="F334" s="3755">
        <v>1.52426875693574</v>
      </c>
      <c r="G334" s="3447">
        <v>0</v>
      </c>
      <c r="H334" s="3432"/>
      <c r="I334" s="3432"/>
      <c r="J334" s="3423">
        <v>4.0876522445629896E-6</v>
      </c>
      <c r="K334" s="3453">
        <v>1.60520828104985</v>
      </c>
      <c r="L334" s="3453">
        <v>1.4463637115900401</v>
      </c>
      <c r="M334" s="3432"/>
      <c r="N334" s="3432"/>
      <c r="O334" s="3432"/>
      <c r="P334" s="3432"/>
      <c r="Q334" s="3432"/>
      <c r="R334" s="3453">
        <v>1.28268403282754</v>
      </c>
      <c r="S334" s="3432"/>
      <c r="T334" s="3432"/>
      <c r="U334" s="3453">
        <v>1.4742689066874399</v>
      </c>
      <c r="V334" s="3432"/>
      <c r="W334" s="3460">
        <v>2.7570106780175298E-4</v>
      </c>
      <c r="X334" s="3453">
        <v>1.4481289955641099</v>
      </c>
      <c r="Y334" s="3432"/>
      <c r="Z334" s="3432"/>
      <c r="AA334" s="3432"/>
      <c r="AB334" s="3432"/>
      <c r="AC334" s="3432"/>
      <c r="AD334" s="3432"/>
      <c r="AE334" s="3432"/>
      <c r="AF334" s="3460">
        <v>2.7570106780175298E-4</v>
      </c>
      <c r="AG334" s="3432"/>
      <c r="AH334" s="3432"/>
      <c r="AI334" s="3432"/>
      <c r="AJ334" s="3432"/>
      <c r="AK334" s="3453">
        <v>1.4621326217208099</v>
      </c>
      <c r="AL334" s="3453">
        <v>1.4742618465797399</v>
      </c>
      <c r="AM334" s="3453">
        <v>1.28253956006973</v>
      </c>
      <c r="AN334" s="3770">
        <v>7.9071985517132806E-2</v>
      </c>
      <c r="AO334" s="3426"/>
    </row>
    <row r="335" spans="1:41">
      <c r="A335" s="5047" t="s">
        <v>833</v>
      </c>
      <c r="B335" s="5048"/>
      <c r="C335" s="3453">
        <v>5.89944465089226</v>
      </c>
      <c r="D335" s="3453">
        <v>5.8404207249278404</v>
      </c>
      <c r="E335" s="3432"/>
      <c r="F335" s="3755">
        <v>5.4365980154680598</v>
      </c>
      <c r="G335" s="3447">
        <v>0</v>
      </c>
      <c r="H335" s="3432"/>
      <c r="I335" s="3432"/>
      <c r="J335" s="3423">
        <v>9.1221904777020798E-10</v>
      </c>
      <c r="K335" s="3453">
        <v>5.6490008197496904</v>
      </c>
      <c r="L335" s="3453">
        <v>5.2465947313327801</v>
      </c>
      <c r="M335" s="3432"/>
      <c r="N335" s="3432"/>
      <c r="O335" s="3432"/>
      <c r="P335" s="3432"/>
      <c r="Q335" s="3432"/>
      <c r="R335" s="3453">
        <v>4.8065748869735803</v>
      </c>
      <c r="S335" s="3432"/>
      <c r="T335" s="3432"/>
      <c r="U335" s="3453">
        <v>5.3115882642071801</v>
      </c>
      <c r="V335" s="3432"/>
      <c r="W335" s="3449">
        <v>4.2973227447458601E-7</v>
      </c>
      <c r="X335" s="3453">
        <v>5.2475388825309501</v>
      </c>
      <c r="Y335" s="3432"/>
      <c r="Z335" s="3432"/>
      <c r="AA335" s="3432"/>
      <c r="AB335" s="3432"/>
      <c r="AC335" s="3432"/>
      <c r="AD335" s="3432"/>
      <c r="AE335" s="3432"/>
      <c r="AF335" s="3449">
        <v>4.2973227447458601E-7</v>
      </c>
      <c r="AG335" s="3432"/>
      <c r="AH335" s="3432"/>
      <c r="AI335" s="3432"/>
      <c r="AJ335" s="3432"/>
      <c r="AK335" s="3453">
        <v>5.3020234369193799</v>
      </c>
      <c r="AL335" s="3453">
        <v>5.3115616588372703</v>
      </c>
      <c r="AM335" s="3453">
        <v>4.8060147933630697</v>
      </c>
      <c r="AN335" s="3769">
        <v>0.53938819433318097</v>
      </c>
      <c r="AO335" s="3426"/>
    </row>
    <row r="336" spans="1:41">
      <c r="A336" s="5047" t="s">
        <v>834</v>
      </c>
      <c r="B336" s="5048"/>
      <c r="C336" s="3453">
        <v>3.5767394977440299</v>
      </c>
      <c r="D336" s="3453">
        <v>3.75109800430074</v>
      </c>
      <c r="E336" s="3432"/>
      <c r="F336" s="3755">
        <v>5.4475083001825304</v>
      </c>
      <c r="G336" s="3447">
        <v>0</v>
      </c>
      <c r="H336" s="3432"/>
      <c r="I336" s="3432"/>
      <c r="J336" s="3423">
        <v>6.4211275311658296E-11</v>
      </c>
      <c r="K336" s="3453">
        <v>5.7055959200664796</v>
      </c>
      <c r="L336" s="3453">
        <v>5.8203889788838801</v>
      </c>
      <c r="M336" s="3432"/>
      <c r="N336" s="3432"/>
      <c r="O336" s="3432"/>
      <c r="P336" s="3432"/>
      <c r="Q336" s="3432"/>
      <c r="R336" s="3453">
        <v>5.1372986197630404</v>
      </c>
      <c r="S336" s="3432"/>
      <c r="T336" s="3432"/>
      <c r="U336" s="3453">
        <v>5.8586180415770901</v>
      </c>
      <c r="V336" s="3432"/>
      <c r="W336" s="3449">
        <v>4.94476179670992E-8</v>
      </c>
      <c r="X336" s="3453">
        <v>5.8169690828064198</v>
      </c>
      <c r="Y336" s="3432"/>
      <c r="Z336" s="3432"/>
      <c r="AA336" s="3432"/>
      <c r="AB336" s="3432"/>
      <c r="AC336" s="3432"/>
      <c r="AD336" s="3432"/>
      <c r="AE336" s="3432"/>
      <c r="AF336" s="3449">
        <v>4.94476179670992E-8</v>
      </c>
      <c r="AG336" s="3432"/>
      <c r="AH336" s="3432"/>
      <c r="AI336" s="3432"/>
      <c r="AJ336" s="3432"/>
      <c r="AK336" s="3453">
        <v>5.8787926256641097</v>
      </c>
      <c r="AL336" s="3453">
        <v>5.8585879977558699</v>
      </c>
      <c r="AM336" s="3453">
        <v>5.1366896495289396</v>
      </c>
      <c r="AN336" s="3768">
        <v>1.4553877312516501</v>
      </c>
      <c r="AO336" s="3426"/>
    </row>
    <row r="337" spans="1:41">
      <c r="A337" s="5047" t="s">
        <v>752</v>
      </c>
      <c r="B337" s="5048"/>
      <c r="C337" s="3453">
        <v>5.5161734530040301</v>
      </c>
      <c r="D337" s="3453">
        <v>5.6711321761604401</v>
      </c>
      <c r="E337" s="3432"/>
      <c r="F337" s="3756">
        <v>55.003803832573297</v>
      </c>
      <c r="G337" s="3447">
        <v>0</v>
      </c>
      <c r="H337" s="3432"/>
      <c r="I337" s="3432"/>
      <c r="J337" s="3411">
        <v>0</v>
      </c>
      <c r="K337" s="3455">
        <v>57.727010474746599</v>
      </c>
      <c r="L337" s="3455">
        <v>57.360400692852899</v>
      </c>
      <c r="M337" s="3432"/>
      <c r="N337" s="3432"/>
      <c r="O337" s="3432"/>
      <c r="P337" s="3432"/>
      <c r="Q337" s="3432"/>
      <c r="R337" s="3455">
        <v>62.280956218727702</v>
      </c>
      <c r="S337" s="3432"/>
      <c r="T337" s="3432"/>
      <c r="U337" s="3455">
        <v>57.383815040664501</v>
      </c>
      <c r="V337" s="3432"/>
      <c r="W337" s="3449">
        <v>1.3087362804949E-8</v>
      </c>
      <c r="X337" s="3455">
        <v>57.275448527951703</v>
      </c>
      <c r="Y337" s="3432"/>
      <c r="Z337" s="3432"/>
      <c r="AA337" s="3432"/>
      <c r="AB337" s="3432"/>
      <c r="AC337" s="3432"/>
      <c r="AD337" s="3432"/>
      <c r="AE337" s="3432"/>
      <c r="AF337" s="3449">
        <v>1.3087362804949E-8</v>
      </c>
      <c r="AG337" s="3432"/>
      <c r="AH337" s="3432"/>
      <c r="AI337" s="3432"/>
      <c r="AJ337" s="3432"/>
      <c r="AK337" s="3455">
        <v>57.891348861539299</v>
      </c>
      <c r="AL337" s="3455">
        <v>57.383517236584296</v>
      </c>
      <c r="AM337" s="3455">
        <v>62.273512368568198</v>
      </c>
      <c r="AN337" s="3767">
        <v>97.506941267780604</v>
      </c>
      <c r="AO337" s="3426"/>
    </row>
    <row r="338" spans="1:41" ht="13" thickBot="1">
      <c r="A338" s="5049" t="s">
        <v>425</v>
      </c>
      <c r="B338" s="5050"/>
      <c r="C338" s="3431" t="s">
        <v>426</v>
      </c>
      <c r="D338" s="3433" t="s">
        <v>426</v>
      </c>
      <c r="E338" s="3433" t="s">
        <v>426</v>
      </c>
      <c r="F338" s="3731" t="s">
        <v>426</v>
      </c>
      <c r="G338" s="3433" t="s">
        <v>426</v>
      </c>
      <c r="H338" s="3433" t="s">
        <v>426</v>
      </c>
      <c r="I338" s="3433" t="s">
        <v>426</v>
      </c>
      <c r="J338" s="3418" t="s">
        <v>426</v>
      </c>
      <c r="K338" s="3433" t="s">
        <v>426</v>
      </c>
      <c r="L338" s="3433" t="s">
        <v>426</v>
      </c>
      <c r="M338" s="3433" t="s">
        <v>426</v>
      </c>
      <c r="N338" s="3433" t="s">
        <v>426</v>
      </c>
      <c r="O338" s="3433" t="s">
        <v>426</v>
      </c>
      <c r="P338" s="3433" t="s">
        <v>426</v>
      </c>
      <c r="Q338" s="3433" t="s">
        <v>426</v>
      </c>
      <c r="R338" s="3433" t="s">
        <v>426</v>
      </c>
      <c r="S338" s="3433" t="s">
        <v>426</v>
      </c>
      <c r="T338" s="3433" t="s">
        <v>426</v>
      </c>
      <c r="U338" s="3433" t="s">
        <v>426</v>
      </c>
      <c r="V338" s="3433" t="s">
        <v>426</v>
      </c>
      <c r="W338" s="3433" t="s">
        <v>426</v>
      </c>
      <c r="X338" s="3433" t="s">
        <v>426</v>
      </c>
      <c r="Y338" s="3433" t="s">
        <v>426</v>
      </c>
      <c r="Z338" s="3433" t="s">
        <v>426</v>
      </c>
      <c r="AA338" s="3433" t="s">
        <v>426</v>
      </c>
      <c r="AB338" s="3433" t="s">
        <v>426</v>
      </c>
      <c r="AC338" s="3433" t="s">
        <v>426</v>
      </c>
      <c r="AD338" s="3433" t="s">
        <v>426</v>
      </c>
      <c r="AE338" s="3433" t="s">
        <v>426</v>
      </c>
      <c r="AF338" s="3433" t="s">
        <v>426</v>
      </c>
      <c r="AG338" s="3433" t="s">
        <v>426</v>
      </c>
      <c r="AH338" s="3433" t="s">
        <v>426</v>
      </c>
      <c r="AI338" s="3433" t="s">
        <v>426</v>
      </c>
      <c r="AJ338" s="3433" t="s">
        <v>426</v>
      </c>
      <c r="AK338" s="3433" t="s">
        <v>426</v>
      </c>
      <c r="AL338" s="3433" t="s">
        <v>426</v>
      </c>
      <c r="AM338" s="3433" t="s">
        <v>426</v>
      </c>
      <c r="AN338" s="3765" t="s">
        <v>426</v>
      </c>
      <c r="AO338" s="3426"/>
    </row>
    <row r="339" spans="1:41" ht="13" thickTop="1">
      <c r="A339" s="5051" t="s">
        <v>298</v>
      </c>
      <c r="B339" s="5052"/>
      <c r="C339" s="3454">
        <v>4.5249694329639698E-2</v>
      </c>
      <c r="D339" s="3452">
        <v>8.9681111549287998E-3</v>
      </c>
      <c r="E339" s="3432"/>
      <c r="F339" s="3752">
        <v>0</v>
      </c>
      <c r="G339" s="3447">
        <v>0</v>
      </c>
      <c r="H339" s="3432"/>
      <c r="I339" s="3432"/>
      <c r="J339" s="3412">
        <v>45.255713007946802</v>
      </c>
      <c r="K339" s="3447">
        <v>0</v>
      </c>
      <c r="L339" s="3453">
        <v>1.60212947324024</v>
      </c>
      <c r="M339" s="3432"/>
      <c r="N339" s="3432"/>
      <c r="O339" s="3432"/>
      <c r="P339" s="3432"/>
      <c r="Q339" s="3432"/>
      <c r="R339" s="3451">
        <v>0.72763250772402799</v>
      </c>
      <c r="S339" s="3432"/>
      <c r="T339" s="3432"/>
      <c r="U339" s="3453">
        <v>2.3377108218506701</v>
      </c>
      <c r="V339" s="3432"/>
      <c r="W339" s="3467">
        <v>146291.739936414</v>
      </c>
      <c r="X339" s="3453">
        <v>1.6221904421463</v>
      </c>
      <c r="Y339" s="3432"/>
      <c r="Z339" s="3432"/>
      <c r="AA339" s="3432"/>
      <c r="AB339" s="3432"/>
      <c r="AC339" s="3432"/>
      <c r="AD339" s="3432"/>
      <c r="AE339" s="3432"/>
      <c r="AF339" s="3467">
        <v>146291.739936414</v>
      </c>
      <c r="AG339" s="3432"/>
      <c r="AH339" s="3432"/>
      <c r="AI339" s="3432"/>
      <c r="AJ339" s="3432"/>
      <c r="AK339" s="3453">
        <v>2.58204377748915</v>
      </c>
      <c r="AL339" s="3453">
        <v>2.3396597389891798</v>
      </c>
      <c r="AM339" s="3451">
        <v>0.74289703543046004</v>
      </c>
      <c r="AN339" s="3766">
        <v>0</v>
      </c>
      <c r="AO339" s="3426"/>
    </row>
    <row r="340" spans="1:41">
      <c r="A340" s="5047" t="s">
        <v>5</v>
      </c>
      <c r="B340" s="5048"/>
      <c r="C340" s="3447">
        <v>0</v>
      </c>
      <c r="D340" s="3447">
        <v>0</v>
      </c>
      <c r="E340" s="3432"/>
      <c r="F340" s="3752">
        <v>0</v>
      </c>
      <c r="G340" s="3452">
        <v>1.57602005986995E-3</v>
      </c>
      <c r="H340" s="3432"/>
      <c r="I340" s="3432"/>
      <c r="J340" s="3411">
        <v>0</v>
      </c>
      <c r="K340" s="3447">
        <v>0</v>
      </c>
      <c r="L340" s="3447">
        <v>0</v>
      </c>
      <c r="M340" s="3432"/>
      <c r="N340" s="3432"/>
      <c r="O340" s="3432"/>
      <c r="P340" s="3432"/>
      <c r="Q340" s="3432"/>
      <c r="R340" s="3447">
        <v>0</v>
      </c>
      <c r="S340" s="3432"/>
      <c r="T340" s="3432"/>
      <c r="U340" s="3447">
        <v>0</v>
      </c>
      <c r="V340" s="3432"/>
      <c r="W340" s="3447">
        <v>0</v>
      </c>
      <c r="X340" s="3447">
        <v>0</v>
      </c>
      <c r="Y340" s="3432"/>
      <c r="Z340" s="3432"/>
      <c r="AA340" s="3432"/>
      <c r="AB340" s="3432"/>
      <c r="AC340" s="3432"/>
      <c r="AD340" s="3432"/>
      <c r="AE340" s="3432"/>
      <c r="AF340" s="3447">
        <v>0</v>
      </c>
      <c r="AG340" s="3432"/>
      <c r="AH340" s="3432"/>
      <c r="AI340" s="3432"/>
      <c r="AJ340" s="3432"/>
      <c r="AK340" s="3447">
        <v>0</v>
      </c>
      <c r="AL340" s="3447">
        <v>0</v>
      </c>
      <c r="AM340" s="3447">
        <v>0</v>
      </c>
      <c r="AN340" s="3766">
        <v>0</v>
      </c>
      <c r="AO340" s="3426"/>
    </row>
    <row r="341" spans="1:41">
      <c r="A341" s="5047" t="s">
        <v>832</v>
      </c>
      <c r="B341" s="5048"/>
      <c r="C341" s="3447">
        <v>0</v>
      </c>
      <c r="D341" s="3447">
        <v>0</v>
      </c>
      <c r="E341" s="3432"/>
      <c r="F341" s="3752">
        <v>0</v>
      </c>
      <c r="G341" s="3453">
        <v>4.9838267371023504</v>
      </c>
      <c r="H341" s="3432"/>
      <c r="I341" s="3432"/>
      <c r="J341" s="3411">
        <v>0</v>
      </c>
      <c r="K341" s="3447">
        <v>0</v>
      </c>
      <c r="L341" s="3447">
        <v>0</v>
      </c>
      <c r="M341" s="3432"/>
      <c r="N341" s="3432"/>
      <c r="O341" s="3432"/>
      <c r="P341" s="3432"/>
      <c r="Q341" s="3432"/>
      <c r="R341" s="3452">
        <v>1.4301633751603699E-3</v>
      </c>
      <c r="S341" s="3432"/>
      <c r="T341" s="3432"/>
      <c r="U341" s="3447">
        <v>0</v>
      </c>
      <c r="V341" s="3432"/>
      <c r="W341" s="3447">
        <v>0</v>
      </c>
      <c r="X341" s="3447">
        <v>0</v>
      </c>
      <c r="Y341" s="3432"/>
      <c r="Z341" s="3432"/>
      <c r="AA341" s="3432"/>
      <c r="AB341" s="3432"/>
      <c r="AC341" s="3432"/>
      <c r="AD341" s="3432"/>
      <c r="AE341" s="3432"/>
      <c r="AF341" s="3447">
        <v>0</v>
      </c>
      <c r="AG341" s="3432"/>
      <c r="AH341" s="3432"/>
      <c r="AI341" s="3432"/>
      <c r="AJ341" s="3432"/>
      <c r="AK341" s="3447">
        <v>0</v>
      </c>
      <c r="AL341" s="3447">
        <v>0</v>
      </c>
      <c r="AM341" s="3452">
        <v>1.7477071195485499E-3</v>
      </c>
      <c r="AN341" s="3766">
        <v>0</v>
      </c>
      <c r="AO341" s="3426"/>
    </row>
    <row r="342" spans="1:41">
      <c r="A342" s="5047" t="s">
        <v>3</v>
      </c>
      <c r="B342" s="5048"/>
      <c r="C342" s="3452">
        <v>2.0233778643497001E-3</v>
      </c>
      <c r="D342" s="3447">
        <v>0</v>
      </c>
      <c r="E342" s="3432"/>
      <c r="F342" s="3752">
        <v>0</v>
      </c>
      <c r="G342" s="3453">
        <v>4.20323491265661</v>
      </c>
      <c r="H342" s="3432"/>
      <c r="I342" s="3432"/>
      <c r="J342" s="3422">
        <v>2.08426561249297E-3</v>
      </c>
      <c r="K342" s="3447">
        <v>0</v>
      </c>
      <c r="L342" s="3447">
        <v>0</v>
      </c>
      <c r="M342" s="3432"/>
      <c r="N342" s="3432"/>
      <c r="O342" s="3432"/>
      <c r="P342" s="3432"/>
      <c r="Q342" s="3432"/>
      <c r="R342" s="3451">
        <v>0.35743595382245302</v>
      </c>
      <c r="S342" s="3432"/>
      <c r="T342" s="3432"/>
      <c r="U342" s="3452">
        <v>2.1531463150142901E-3</v>
      </c>
      <c r="V342" s="3432"/>
      <c r="W342" s="3447">
        <v>0</v>
      </c>
      <c r="X342" s="3447">
        <v>0</v>
      </c>
      <c r="Y342" s="3432"/>
      <c r="Z342" s="3432"/>
      <c r="AA342" s="3432"/>
      <c r="AB342" s="3432"/>
      <c r="AC342" s="3432"/>
      <c r="AD342" s="3432"/>
      <c r="AE342" s="3432"/>
      <c r="AF342" s="3447">
        <v>0</v>
      </c>
      <c r="AG342" s="3432"/>
      <c r="AH342" s="3432"/>
      <c r="AI342" s="3432"/>
      <c r="AJ342" s="3432"/>
      <c r="AK342" s="3447">
        <v>0</v>
      </c>
      <c r="AL342" s="3452">
        <v>2.1560153090115302E-3</v>
      </c>
      <c r="AM342" s="3451">
        <v>0.37084272106302801</v>
      </c>
      <c r="AN342" s="3766">
        <v>0</v>
      </c>
      <c r="AO342" s="3426"/>
    </row>
    <row r="343" spans="1:41">
      <c r="A343" s="5047" t="s">
        <v>6</v>
      </c>
      <c r="B343" s="5048"/>
      <c r="C343" s="3454">
        <v>1.01496966358818E-2</v>
      </c>
      <c r="D343" s="3447">
        <v>0</v>
      </c>
      <c r="E343" s="3432"/>
      <c r="F343" s="3752">
        <v>0</v>
      </c>
      <c r="G343" s="3471">
        <v>398.80120801714702</v>
      </c>
      <c r="H343" s="3432"/>
      <c r="I343" s="3432"/>
      <c r="J343" s="3423">
        <v>3.4255654385194601E-5</v>
      </c>
      <c r="K343" s="3447">
        <v>0</v>
      </c>
      <c r="L343" s="3447">
        <v>0</v>
      </c>
      <c r="M343" s="3432"/>
      <c r="N343" s="3432"/>
      <c r="O343" s="3432"/>
      <c r="P343" s="3432"/>
      <c r="Q343" s="3432"/>
      <c r="R343" s="3453">
        <v>1.81871413917495</v>
      </c>
      <c r="S343" s="3432"/>
      <c r="T343" s="3432"/>
      <c r="U343" s="3454">
        <v>1.1338339738945401E-2</v>
      </c>
      <c r="V343" s="3432"/>
      <c r="W343" s="3447">
        <v>0</v>
      </c>
      <c r="X343" s="3447">
        <v>0</v>
      </c>
      <c r="Y343" s="3432"/>
      <c r="Z343" s="3432"/>
      <c r="AA343" s="3432"/>
      <c r="AB343" s="3432"/>
      <c r="AC343" s="3432"/>
      <c r="AD343" s="3432"/>
      <c r="AE343" s="3432"/>
      <c r="AF343" s="3447">
        <v>0</v>
      </c>
      <c r="AG343" s="3432"/>
      <c r="AH343" s="3432"/>
      <c r="AI343" s="3432"/>
      <c r="AJ343" s="3432"/>
      <c r="AK343" s="3447">
        <v>0</v>
      </c>
      <c r="AL343" s="3454">
        <v>1.1368116016177E-2</v>
      </c>
      <c r="AM343" s="3453">
        <v>1.99538639498076</v>
      </c>
      <c r="AN343" s="3766">
        <v>0</v>
      </c>
      <c r="AO343" s="3426"/>
    </row>
    <row r="344" spans="1:41">
      <c r="A344" s="5047" t="s">
        <v>7</v>
      </c>
      <c r="B344" s="5048"/>
      <c r="C344" s="3451">
        <v>0.484464079507814</v>
      </c>
      <c r="D344" s="3454">
        <v>6.9989128594535502E-2</v>
      </c>
      <c r="E344" s="3432"/>
      <c r="F344" s="3746">
        <v>947.59522423688395</v>
      </c>
      <c r="G344" s="3471">
        <v>403.74031625000202</v>
      </c>
      <c r="H344" s="3432"/>
      <c r="I344" s="3432"/>
      <c r="J344" s="3419">
        <v>1.23902438044132E-2</v>
      </c>
      <c r="K344" s="3471">
        <v>917.49125898466104</v>
      </c>
      <c r="L344" s="3455">
        <v>46.2104028038396</v>
      </c>
      <c r="M344" s="3432"/>
      <c r="N344" s="3432"/>
      <c r="O344" s="3432"/>
      <c r="P344" s="3432"/>
      <c r="Q344" s="3432"/>
      <c r="R344" s="3471">
        <v>240.88214636516699</v>
      </c>
      <c r="S344" s="3432"/>
      <c r="T344" s="3432"/>
      <c r="U344" s="3455">
        <v>17.4224939482175</v>
      </c>
      <c r="V344" s="3432"/>
      <c r="W344" s="3453">
        <v>1.2183015671127899</v>
      </c>
      <c r="X344" s="3455">
        <v>46.273588943622499</v>
      </c>
      <c r="Y344" s="3432"/>
      <c r="Z344" s="3432"/>
      <c r="AA344" s="3432"/>
      <c r="AB344" s="3432"/>
      <c r="AC344" s="3432"/>
      <c r="AD344" s="3432"/>
      <c r="AE344" s="3432"/>
      <c r="AF344" s="3453">
        <v>1.2183015671127899</v>
      </c>
      <c r="AG344" s="3432"/>
      <c r="AH344" s="3432"/>
      <c r="AI344" s="3432"/>
      <c r="AJ344" s="3432"/>
      <c r="AK344" s="3455">
        <v>18.6170545459571</v>
      </c>
      <c r="AL344" s="3455">
        <v>17.4341367161636</v>
      </c>
      <c r="AM344" s="3471">
        <v>244.88046553488999</v>
      </c>
      <c r="AN344" s="3772">
        <v>6.2304211294940502E-7</v>
      </c>
      <c r="AO344" s="3426"/>
    </row>
    <row r="345" spans="1:41">
      <c r="A345" s="5047" t="s">
        <v>8</v>
      </c>
      <c r="B345" s="5048"/>
      <c r="C345" s="3455">
        <v>14.8336257174045</v>
      </c>
      <c r="D345" s="3453">
        <v>2.3472007873600802</v>
      </c>
      <c r="E345" s="3432"/>
      <c r="F345" s="3748">
        <v>6948.1431601681397</v>
      </c>
      <c r="G345" s="3471">
        <v>612.52174214291199</v>
      </c>
      <c r="H345" s="3432"/>
      <c r="I345" s="3432"/>
      <c r="J345" s="3419">
        <v>1.52635309690971E-2</v>
      </c>
      <c r="K345" s="3472">
        <v>7400.1498718383</v>
      </c>
      <c r="L345" s="3471">
        <v>285.420418122179</v>
      </c>
      <c r="M345" s="3432"/>
      <c r="N345" s="3432"/>
      <c r="O345" s="3432"/>
      <c r="P345" s="3432"/>
      <c r="Q345" s="3432"/>
      <c r="R345" s="3472">
        <v>2994.3353698135602</v>
      </c>
      <c r="S345" s="3432"/>
      <c r="T345" s="3432"/>
      <c r="U345" s="3471">
        <v>208.41969616171801</v>
      </c>
      <c r="V345" s="3432"/>
      <c r="W345" s="3453">
        <v>2.5845808108943502</v>
      </c>
      <c r="X345" s="3471">
        <v>287.82151535016999</v>
      </c>
      <c r="Y345" s="3432"/>
      <c r="Z345" s="3432"/>
      <c r="AA345" s="3432"/>
      <c r="AB345" s="3432"/>
      <c r="AC345" s="3432"/>
      <c r="AD345" s="3432"/>
      <c r="AE345" s="3432"/>
      <c r="AF345" s="3453">
        <v>2.5845808108943502</v>
      </c>
      <c r="AG345" s="3432"/>
      <c r="AH345" s="3432"/>
      <c r="AI345" s="3432"/>
      <c r="AJ345" s="3432"/>
      <c r="AK345" s="3471">
        <v>198.88202506957001</v>
      </c>
      <c r="AL345" s="3471">
        <v>208.46258081642799</v>
      </c>
      <c r="AM345" s="3472">
        <v>3007.9863639763798</v>
      </c>
      <c r="AN345" s="3772">
        <v>3.86033589635506E-6</v>
      </c>
      <c r="AO345" s="3426"/>
    </row>
    <row r="346" spans="1:41">
      <c r="A346" s="5047" t="s">
        <v>66</v>
      </c>
      <c r="B346" s="5048"/>
      <c r="C346" s="3453">
        <v>7.7260968796669998</v>
      </c>
      <c r="D346" s="3453">
        <v>1.2478941028680199</v>
      </c>
      <c r="E346" s="3432"/>
      <c r="F346" s="3757">
        <v>10989.9722389822</v>
      </c>
      <c r="G346" s="3471">
        <v>146.66626860315799</v>
      </c>
      <c r="H346" s="3432"/>
      <c r="I346" s="3432"/>
      <c r="J346" s="3420">
        <v>5.3349391141964604E-4</v>
      </c>
      <c r="K346" s="3473">
        <v>11527.570150035701</v>
      </c>
      <c r="L346" s="3471">
        <v>142.341311996266</v>
      </c>
      <c r="M346" s="3432"/>
      <c r="N346" s="3432"/>
      <c r="O346" s="3432"/>
      <c r="P346" s="3432"/>
      <c r="Q346" s="3432"/>
      <c r="R346" s="3472">
        <v>1724.4014335484601</v>
      </c>
      <c r="S346" s="3432"/>
      <c r="T346" s="3432"/>
      <c r="U346" s="3471">
        <v>128.11159186933099</v>
      </c>
      <c r="V346" s="3432"/>
      <c r="W346" s="3451">
        <v>0.404144219071011</v>
      </c>
      <c r="X346" s="3471">
        <v>143.596851284103</v>
      </c>
      <c r="Y346" s="3432"/>
      <c r="Z346" s="3432"/>
      <c r="AA346" s="3432"/>
      <c r="AB346" s="3432"/>
      <c r="AC346" s="3432"/>
      <c r="AD346" s="3432"/>
      <c r="AE346" s="3432"/>
      <c r="AF346" s="3451">
        <v>0.404144219071011</v>
      </c>
      <c r="AG346" s="3432"/>
      <c r="AH346" s="3432"/>
      <c r="AI346" s="3432"/>
      <c r="AJ346" s="3432"/>
      <c r="AK346" s="3471">
        <v>121.69823876313799</v>
      </c>
      <c r="AL346" s="3471">
        <v>128.12237412048</v>
      </c>
      <c r="AM346" s="3472">
        <v>1727.4535501345699</v>
      </c>
      <c r="AN346" s="3772">
        <v>6.1181981131694002E-6</v>
      </c>
      <c r="AO346" s="3426"/>
    </row>
    <row r="347" spans="1:41">
      <c r="A347" s="5047" t="s">
        <v>359</v>
      </c>
      <c r="B347" s="5048"/>
      <c r="C347" s="3455">
        <v>20.946450845322499</v>
      </c>
      <c r="D347" s="3453">
        <v>3.3067134450093101</v>
      </c>
      <c r="E347" s="3432"/>
      <c r="F347" s="3757">
        <v>43044.057936013698</v>
      </c>
      <c r="G347" s="3471">
        <v>394.54005516246599</v>
      </c>
      <c r="H347" s="3432"/>
      <c r="I347" s="3432"/>
      <c r="J347" s="3420">
        <v>7.1475445042646604E-4</v>
      </c>
      <c r="K347" s="3473">
        <v>44336.808269367997</v>
      </c>
      <c r="L347" s="3471">
        <v>474.696069350995</v>
      </c>
      <c r="M347" s="3432"/>
      <c r="N347" s="3432"/>
      <c r="O347" s="3432"/>
      <c r="P347" s="3432"/>
      <c r="Q347" s="3432"/>
      <c r="R347" s="3472">
        <v>6047.45904715911</v>
      </c>
      <c r="S347" s="3432"/>
      <c r="T347" s="3432"/>
      <c r="U347" s="3471">
        <v>442.550996016299</v>
      </c>
      <c r="V347" s="3432"/>
      <c r="W347" s="3453">
        <v>1.40206433996908</v>
      </c>
      <c r="X347" s="3471">
        <v>478.02207352011601</v>
      </c>
      <c r="Y347" s="3432"/>
      <c r="Z347" s="3432"/>
      <c r="AA347" s="3432"/>
      <c r="AB347" s="3432"/>
      <c r="AC347" s="3432"/>
      <c r="AD347" s="3432"/>
      <c r="AE347" s="3432"/>
      <c r="AF347" s="3453">
        <v>1.40206433996908</v>
      </c>
      <c r="AG347" s="3432"/>
      <c r="AH347" s="3432"/>
      <c r="AI347" s="3432"/>
      <c r="AJ347" s="3432"/>
      <c r="AK347" s="3471">
        <v>424.824526756159</v>
      </c>
      <c r="AL347" s="3471">
        <v>442.57696322624702</v>
      </c>
      <c r="AM347" s="3472">
        <v>6054.8158568946501</v>
      </c>
      <c r="AN347" s="3772">
        <v>2.44654100018236E-5</v>
      </c>
      <c r="AO347" s="3426"/>
    </row>
    <row r="348" spans="1:41">
      <c r="A348" s="5047" t="s">
        <v>68</v>
      </c>
      <c r="B348" s="5048"/>
      <c r="C348" s="3455">
        <v>11.5065863063365</v>
      </c>
      <c r="D348" s="3453">
        <v>1.8337556317452099</v>
      </c>
      <c r="E348" s="3432"/>
      <c r="F348" s="3757">
        <v>43200.213504915198</v>
      </c>
      <c r="G348" s="3471">
        <v>118.598219813407</v>
      </c>
      <c r="H348" s="3432"/>
      <c r="I348" s="3432"/>
      <c r="J348" s="3423">
        <v>3.6525303826978598E-5</v>
      </c>
      <c r="K348" s="3473">
        <v>31921.211566711401</v>
      </c>
      <c r="L348" s="3471">
        <v>354.299148359507</v>
      </c>
      <c r="M348" s="3432"/>
      <c r="N348" s="3432"/>
      <c r="O348" s="3432"/>
      <c r="P348" s="3432"/>
      <c r="Q348" s="3432"/>
      <c r="R348" s="3472">
        <v>3934.8378407153</v>
      </c>
      <c r="S348" s="3432"/>
      <c r="T348" s="3432"/>
      <c r="U348" s="3471">
        <v>350.19764313267598</v>
      </c>
      <c r="V348" s="3432"/>
      <c r="W348" s="3451">
        <v>0.28787891903998403</v>
      </c>
      <c r="X348" s="3471">
        <v>356.13528773929698</v>
      </c>
      <c r="Y348" s="3432"/>
      <c r="Z348" s="3432"/>
      <c r="AA348" s="3432"/>
      <c r="AB348" s="3432"/>
      <c r="AC348" s="3432"/>
      <c r="AD348" s="3432"/>
      <c r="AE348" s="3432"/>
      <c r="AF348" s="3451">
        <v>0.28787891903998403</v>
      </c>
      <c r="AG348" s="3432"/>
      <c r="AH348" s="3432"/>
      <c r="AI348" s="3432"/>
      <c r="AJ348" s="3432"/>
      <c r="AK348" s="3471">
        <v>339.69509385086502</v>
      </c>
      <c r="AL348" s="3471">
        <v>350.20567533565298</v>
      </c>
      <c r="AM348" s="3472">
        <v>3936.63507052763</v>
      </c>
      <c r="AN348" s="3772">
        <v>2.8217134992410199E-5</v>
      </c>
      <c r="AO348" s="3426"/>
    </row>
    <row r="349" spans="1:41">
      <c r="A349" s="5047" t="s">
        <v>669</v>
      </c>
      <c r="B349" s="5048"/>
      <c r="C349" s="3455">
        <v>14.9396672999953</v>
      </c>
      <c r="D349" s="3453">
        <v>2.3819832018106002</v>
      </c>
      <c r="E349" s="3432"/>
      <c r="F349" s="3757">
        <v>61389.777085932103</v>
      </c>
      <c r="G349" s="3471">
        <v>117.39782249317901</v>
      </c>
      <c r="H349" s="3432"/>
      <c r="I349" s="3432"/>
      <c r="J349" s="3423">
        <v>1.02543339647364E-5</v>
      </c>
      <c r="K349" s="3473">
        <v>42928.5259000601</v>
      </c>
      <c r="L349" s="3471">
        <v>472.65713315096701</v>
      </c>
      <c r="M349" s="3432"/>
      <c r="N349" s="3432"/>
      <c r="O349" s="3432"/>
      <c r="P349" s="3432"/>
      <c r="Q349" s="3432"/>
      <c r="R349" s="3472">
        <v>5219.2401600234798</v>
      </c>
      <c r="S349" s="3432"/>
      <c r="T349" s="3432"/>
      <c r="U349" s="3471">
        <v>472.05856861446</v>
      </c>
      <c r="V349" s="3432"/>
      <c r="W349" s="3451">
        <v>0.133166185826397</v>
      </c>
      <c r="X349" s="3471">
        <v>475.04043964124901</v>
      </c>
      <c r="Y349" s="3432"/>
      <c r="Z349" s="3432"/>
      <c r="AA349" s="3432"/>
      <c r="AB349" s="3432"/>
      <c r="AC349" s="3432"/>
      <c r="AD349" s="3432"/>
      <c r="AE349" s="3432"/>
      <c r="AF349" s="3451">
        <v>0.133166185826397</v>
      </c>
      <c r="AG349" s="3432"/>
      <c r="AH349" s="3432"/>
      <c r="AI349" s="3432"/>
      <c r="AJ349" s="3432"/>
      <c r="AK349" s="3471">
        <v>458.14995021724798</v>
      </c>
      <c r="AL349" s="3471">
        <v>472.06683453123202</v>
      </c>
      <c r="AM349" s="3472">
        <v>5221.0386519653903</v>
      </c>
      <c r="AN349" s="3772">
        <v>4.2060094325216597E-5</v>
      </c>
      <c r="AO349" s="3426"/>
    </row>
    <row r="350" spans="1:41">
      <c r="A350" s="5047" t="s">
        <v>99</v>
      </c>
      <c r="B350" s="5048"/>
      <c r="C350" s="3447">
        <v>0</v>
      </c>
      <c r="D350" s="3447">
        <v>0</v>
      </c>
      <c r="E350" s="3432"/>
      <c r="F350" s="3752">
        <v>0</v>
      </c>
      <c r="G350" s="3447">
        <v>0</v>
      </c>
      <c r="H350" s="3432"/>
      <c r="I350" s="3432"/>
      <c r="J350" s="3411">
        <v>0</v>
      </c>
      <c r="K350" s="3447">
        <v>0</v>
      </c>
      <c r="L350" s="3447">
        <v>0</v>
      </c>
      <c r="M350" s="3432"/>
      <c r="N350" s="3432"/>
      <c r="O350" s="3432"/>
      <c r="P350" s="3432"/>
      <c r="Q350" s="3432"/>
      <c r="R350" s="3447">
        <v>0</v>
      </c>
      <c r="S350" s="3432"/>
      <c r="T350" s="3432"/>
      <c r="U350" s="3447">
        <v>0</v>
      </c>
      <c r="V350" s="3432"/>
      <c r="W350" s="3447">
        <v>0</v>
      </c>
      <c r="X350" s="3447">
        <v>0</v>
      </c>
      <c r="Y350" s="3432"/>
      <c r="Z350" s="3432"/>
      <c r="AA350" s="3432"/>
      <c r="AB350" s="3432"/>
      <c r="AC350" s="3432"/>
      <c r="AD350" s="3432"/>
      <c r="AE350" s="3432"/>
      <c r="AF350" s="3447">
        <v>0</v>
      </c>
      <c r="AG350" s="3432"/>
      <c r="AH350" s="3432"/>
      <c r="AI350" s="3432"/>
      <c r="AJ350" s="3432"/>
      <c r="AK350" s="3447">
        <v>0</v>
      </c>
      <c r="AL350" s="3447">
        <v>0</v>
      </c>
      <c r="AM350" s="3447">
        <v>0</v>
      </c>
      <c r="AN350" s="3766">
        <v>0</v>
      </c>
      <c r="AO350" s="3426"/>
    </row>
    <row r="351" spans="1:41">
      <c r="A351" s="5047" t="s">
        <v>422</v>
      </c>
      <c r="B351" s="5048"/>
      <c r="C351" s="3455">
        <v>13.1512372845256</v>
      </c>
      <c r="D351" s="3453">
        <v>2.11483232939909</v>
      </c>
      <c r="E351" s="3432"/>
      <c r="F351" s="3757">
        <v>54314.577108477097</v>
      </c>
      <c r="G351" s="3455">
        <v>47.621188253462698</v>
      </c>
      <c r="H351" s="3432"/>
      <c r="I351" s="3432"/>
      <c r="J351" s="3423">
        <v>2.2974212600777299E-6</v>
      </c>
      <c r="K351" s="3473">
        <v>43385.981142318902</v>
      </c>
      <c r="L351" s="3471">
        <v>423.45001999877798</v>
      </c>
      <c r="M351" s="3432"/>
      <c r="N351" s="3432"/>
      <c r="O351" s="3432"/>
      <c r="P351" s="3432"/>
      <c r="Q351" s="3432"/>
      <c r="R351" s="3472">
        <v>4403.0461498079303</v>
      </c>
      <c r="S351" s="3432"/>
      <c r="T351" s="3432"/>
      <c r="U351" s="3471">
        <v>431.82251642144502</v>
      </c>
      <c r="V351" s="3432"/>
      <c r="W351" s="3454">
        <v>6.5728564455103694E-2</v>
      </c>
      <c r="X351" s="3471">
        <v>425.56544542434801</v>
      </c>
      <c r="Y351" s="3432"/>
      <c r="Z351" s="3432"/>
      <c r="AA351" s="3432"/>
      <c r="AB351" s="3432"/>
      <c r="AC351" s="3432"/>
      <c r="AD351" s="3432"/>
      <c r="AE351" s="3432"/>
      <c r="AF351" s="3454">
        <v>6.5728564455103694E-2</v>
      </c>
      <c r="AG351" s="3432"/>
      <c r="AH351" s="3432"/>
      <c r="AI351" s="3432"/>
      <c r="AJ351" s="3432"/>
      <c r="AK351" s="3471">
        <v>419.06749290061299</v>
      </c>
      <c r="AL351" s="3471">
        <v>431.82571766701199</v>
      </c>
      <c r="AM351" s="3472">
        <v>4403.6692137761802</v>
      </c>
      <c r="AN351" s="3772">
        <v>4.9158466440874599E-5</v>
      </c>
      <c r="AO351" s="3426"/>
    </row>
    <row r="352" spans="1:41">
      <c r="A352" s="5047" t="s">
        <v>10</v>
      </c>
      <c r="B352" s="5048"/>
      <c r="C352" s="3453">
        <v>9.9305743109695204</v>
      </c>
      <c r="D352" s="3453">
        <v>1.5461168810698001</v>
      </c>
      <c r="E352" s="3432"/>
      <c r="F352" s="3757">
        <v>40735.932831357903</v>
      </c>
      <c r="G352" s="3455">
        <v>17.8991734901904</v>
      </c>
      <c r="H352" s="3432"/>
      <c r="I352" s="3432"/>
      <c r="J352" s="3423">
        <v>3.9136440214302502E-7</v>
      </c>
      <c r="K352" s="3473">
        <v>34182.8942333421</v>
      </c>
      <c r="L352" s="3471">
        <v>352.903524029447</v>
      </c>
      <c r="M352" s="3432"/>
      <c r="N352" s="3432"/>
      <c r="O352" s="3432"/>
      <c r="P352" s="3432"/>
      <c r="Q352" s="3432"/>
      <c r="R352" s="3472">
        <v>3469.8580751405302</v>
      </c>
      <c r="S352" s="3432"/>
      <c r="T352" s="3432"/>
      <c r="U352" s="3471">
        <v>360.31034266742199</v>
      </c>
      <c r="V352" s="3432"/>
      <c r="W352" s="3454">
        <v>1.9858206383680702E-2</v>
      </c>
      <c r="X352" s="3471">
        <v>354.44979180152399</v>
      </c>
      <c r="Y352" s="3432"/>
      <c r="Z352" s="3432"/>
      <c r="AA352" s="3432"/>
      <c r="AB352" s="3432"/>
      <c r="AC352" s="3432"/>
      <c r="AD352" s="3432"/>
      <c r="AE352" s="3432"/>
      <c r="AF352" s="3454">
        <v>1.9858206383680702E-2</v>
      </c>
      <c r="AG352" s="3432"/>
      <c r="AH352" s="3432"/>
      <c r="AI352" s="3432"/>
      <c r="AJ352" s="3432"/>
      <c r="AK352" s="3471">
        <v>350.61414244379301</v>
      </c>
      <c r="AL352" s="3471">
        <v>360.31223625568703</v>
      </c>
      <c r="AM352" s="3472">
        <v>3470.1988577839702</v>
      </c>
      <c r="AN352" s="3772">
        <v>4.4098584737534499E-5</v>
      </c>
      <c r="AO352" s="3426"/>
    </row>
    <row r="353" spans="1:41">
      <c r="A353" s="5047" t="s">
        <v>9</v>
      </c>
      <c r="B353" s="5048"/>
      <c r="C353" s="3453">
        <v>8.2279272440008207</v>
      </c>
      <c r="D353" s="3453">
        <v>1.2694970507606</v>
      </c>
      <c r="E353" s="3432"/>
      <c r="F353" s="3757">
        <v>31826.405361365501</v>
      </c>
      <c r="G353" s="3455">
        <v>11.5424259201253</v>
      </c>
      <c r="H353" s="3432"/>
      <c r="I353" s="3432"/>
      <c r="J353" s="3423">
        <v>2.95453759228579E-6</v>
      </c>
      <c r="K353" s="3473">
        <v>26963.4037613869</v>
      </c>
      <c r="L353" s="3471">
        <v>275.63630102098301</v>
      </c>
      <c r="M353" s="3432"/>
      <c r="N353" s="3432"/>
      <c r="O353" s="3432"/>
      <c r="P353" s="3432"/>
      <c r="Q353" s="3432"/>
      <c r="R353" s="3472">
        <v>2730.57792166324</v>
      </c>
      <c r="S353" s="3432"/>
      <c r="T353" s="3432"/>
      <c r="U353" s="3471">
        <v>282.08450429152299</v>
      </c>
      <c r="V353" s="3432"/>
      <c r="W353" s="3451">
        <v>0.11363798239869401</v>
      </c>
      <c r="X353" s="3471">
        <v>276.90650959057001</v>
      </c>
      <c r="Y353" s="3432"/>
      <c r="Z353" s="3432"/>
      <c r="AA353" s="3432"/>
      <c r="AB353" s="3432"/>
      <c r="AC353" s="3432"/>
      <c r="AD353" s="3432"/>
      <c r="AE353" s="3432"/>
      <c r="AF353" s="3451">
        <v>0.11363798239869401</v>
      </c>
      <c r="AG353" s="3432"/>
      <c r="AH353" s="3432"/>
      <c r="AI353" s="3432"/>
      <c r="AJ353" s="3432"/>
      <c r="AK353" s="3471">
        <v>274.03079679437099</v>
      </c>
      <c r="AL353" s="3471">
        <v>282.08591684809699</v>
      </c>
      <c r="AM353" s="3472">
        <v>2730.8357679094402</v>
      </c>
      <c r="AN353" s="3772">
        <v>3.5455920471859499E-5</v>
      </c>
      <c r="AO353" s="3426"/>
    </row>
    <row r="354" spans="1:41">
      <c r="A354" s="5047" t="s">
        <v>11</v>
      </c>
      <c r="B354" s="5048"/>
      <c r="C354" s="3453">
        <v>7.95184291593264</v>
      </c>
      <c r="D354" s="3453">
        <v>1.1012374984379301</v>
      </c>
      <c r="E354" s="3432"/>
      <c r="F354" s="3757">
        <v>29539.382650203199</v>
      </c>
      <c r="G354" s="3453">
        <v>9.9484714465860797</v>
      </c>
      <c r="H354" s="3432"/>
      <c r="I354" s="3432"/>
      <c r="J354" s="3420">
        <v>3.8232293904182801E-4</v>
      </c>
      <c r="K354" s="3473">
        <v>25025.8328647569</v>
      </c>
      <c r="L354" s="3471">
        <v>248.800436543248</v>
      </c>
      <c r="M354" s="3432"/>
      <c r="N354" s="3432"/>
      <c r="O354" s="3432"/>
      <c r="P354" s="3432"/>
      <c r="Q354" s="3432"/>
      <c r="R354" s="3472">
        <v>2385.20025808933</v>
      </c>
      <c r="S354" s="3432"/>
      <c r="T354" s="3432"/>
      <c r="U354" s="3471">
        <v>254.837162191055</v>
      </c>
      <c r="V354" s="3432"/>
      <c r="W354" s="3453">
        <v>7.7404868591676701</v>
      </c>
      <c r="X354" s="3471">
        <v>249.92954244123399</v>
      </c>
      <c r="Y354" s="3432"/>
      <c r="Z354" s="3432"/>
      <c r="AA354" s="3432"/>
      <c r="AB354" s="3432"/>
      <c r="AC354" s="3432"/>
      <c r="AD354" s="3432"/>
      <c r="AE354" s="3432"/>
      <c r="AF354" s="3453">
        <v>7.7404868591676701</v>
      </c>
      <c r="AG354" s="3432"/>
      <c r="AH354" s="3432"/>
      <c r="AI354" s="3432"/>
      <c r="AJ354" s="3432"/>
      <c r="AK354" s="3471">
        <v>247.03064584965</v>
      </c>
      <c r="AL354" s="3471">
        <v>254.838352370048</v>
      </c>
      <c r="AM354" s="3472">
        <v>2385.4099050537902</v>
      </c>
      <c r="AN354" s="3772">
        <v>3.0390009942903799E-5</v>
      </c>
      <c r="AO354" s="3426"/>
    </row>
    <row r="355" spans="1:41">
      <c r="A355" s="5047" t="s">
        <v>12</v>
      </c>
      <c r="B355" s="5048"/>
      <c r="C355" s="3455">
        <v>18.586094476836099</v>
      </c>
      <c r="D355" s="3453">
        <v>2.9319345925888101</v>
      </c>
      <c r="E355" s="3432"/>
      <c r="F355" s="3757">
        <v>70283.311839682196</v>
      </c>
      <c r="G355" s="3455">
        <v>18.240455640663701</v>
      </c>
      <c r="H355" s="3432"/>
      <c r="I355" s="3432"/>
      <c r="J355" s="3423">
        <v>1.2110424455075601E-5</v>
      </c>
      <c r="K355" s="3473">
        <v>61630.637168884197</v>
      </c>
      <c r="L355" s="3471">
        <v>620.03341150806204</v>
      </c>
      <c r="M355" s="3432"/>
      <c r="N355" s="3432"/>
      <c r="O355" s="3432"/>
      <c r="P355" s="3432"/>
      <c r="Q355" s="3432"/>
      <c r="R355" s="3472">
        <v>6316.0506617615702</v>
      </c>
      <c r="S355" s="3432"/>
      <c r="T355" s="3432"/>
      <c r="U355" s="3471">
        <v>636.48963083917897</v>
      </c>
      <c r="V355" s="3432"/>
      <c r="W355" s="3451">
        <v>0.42239628463325501</v>
      </c>
      <c r="X355" s="3471">
        <v>622.96810276053805</v>
      </c>
      <c r="Y355" s="3432"/>
      <c r="Z355" s="3432"/>
      <c r="AA355" s="3432"/>
      <c r="AB355" s="3432"/>
      <c r="AC355" s="3432"/>
      <c r="AD355" s="3432"/>
      <c r="AE355" s="3432"/>
      <c r="AF355" s="3451">
        <v>0.42239628463325501</v>
      </c>
      <c r="AG355" s="3432"/>
      <c r="AH355" s="3432"/>
      <c r="AI355" s="3432"/>
      <c r="AJ355" s="3432"/>
      <c r="AK355" s="3471">
        <v>618.19020779505797</v>
      </c>
      <c r="AL355" s="3471">
        <v>636.49197145442997</v>
      </c>
      <c r="AM355" s="3472">
        <v>6316.4836749338201</v>
      </c>
      <c r="AN355" s="3772">
        <v>9.3943713022451606E-5</v>
      </c>
      <c r="AO355" s="3426"/>
    </row>
    <row r="356" spans="1:41">
      <c r="A356" s="5047" t="s">
        <v>48</v>
      </c>
      <c r="B356" s="5048"/>
      <c r="C356" s="3447">
        <v>0</v>
      </c>
      <c r="D356" s="3447">
        <v>0</v>
      </c>
      <c r="E356" s="3432"/>
      <c r="F356" s="3752">
        <v>0</v>
      </c>
      <c r="G356" s="3447">
        <v>0</v>
      </c>
      <c r="H356" s="3432"/>
      <c r="I356" s="3432"/>
      <c r="J356" s="3411">
        <v>0</v>
      </c>
      <c r="K356" s="3447">
        <v>0</v>
      </c>
      <c r="L356" s="3447">
        <v>0</v>
      </c>
      <c r="M356" s="3432"/>
      <c r="N356" s="3432"/>
      <c r="O356" s="3432"/>
      <c r="P356" s="3432"/>
      <c r="Q356" s="3432"/>
      <c r="R356" s="3447">
        <v>0</v>
      </c>
      <c r="S356" s="3432"/>
      <c r="T356" s="3432"/>
      <c r="U356" s="3447">
        <v>0</v>
      </c>
      <c r="V356" s="3432"/>
      <c r="W356" s="3447">
        <v>0</v>
      </c>
      <c r="X356" s="3447">
        <v>0</v>
      </c>
      <c r="Y356" s="3432"/>
      <c r="Z356" s="3432"/>
      <c r="AA356" s="3432"/>
      <c r="AB356" s="3432"/>
      <c r="AC356" s="3432"/>
      <c r="AD356" s="3432"/>
      <c r="AE356" s="3432"/>
      <c r="AF356" s="3447">
        <v>0</v>
      </c>
      <c r="AG356" s="3432"/>
      <c r="AH356" s="3432"/>
      <c r="AI356" s="3432"/>
      <c r="AJ356" s="3432"/>
      <c r="AK356" s="3447">
        <v>0</v>
      </c>
      <c r="AL356" s="3447">
        <v>0</v>
      </c>
      <c r="AM356" s="3447">
        <v>0</v>
      </c>
      <c r="AN356" s="3766">
        <v>0</v>
      </c>
      <c r="AO356" s="3426"/>
    </row>
    <row r="357" spans="1:41">
      <c r="A357" s="5047" t="s">
        <v>751</v>
      </c>
      <c r="B357" s="5048"/>
      <c r="C357" s="3453">
        <v>7.17648368052458</v>
      </c>
      <c r="D357" s="3453">
        <v>1.13558951406012</v>
      </c>
      <c r="E357" s="3432"/>
      <c r="F357" s="3757">
        <v>31577.622632205999</v>
      </c>
      <c r="G357" s="3453">
        <v>8.2810552297422895</v>
      </c>
      <c r="H357" s="3432"/>
      <c r="I357" s="3432"/>
      <c r="J357" s="3423">
        <v>1.07659474019796E-7</v>
      </c>
      <c r="K357" s="3473">
        <v>25988.273476908402</v>
      </c>
      <c r="L357" s="3471">
        <v>246.20997960048501</v>
      </c>
      <c r="M357" s="3432"/>
      <c r="N357" s="3432"/>
      <c r="O357" s="3432"/>
      <c r="P357" s="3432"/>
      <c r="Q357" s="3432"/>
      <c r="R357" s="3472">
        <v>6161.8026787987301</v>
      </c>
      <c r="S357" s="3432"/>
      <c r="T357" s="3432"/>
      <c r="U357" s="3471">
        <v>253.133351327111</v>
      </c>
      <c r="V357" s="3432"/>
      <c r="W357" s="3452">
        <v>7.9107648977970197E-3</v>
      </c>
      <c r="X357" s="3471">
        <v>247.345623398756</v>
      </c>
      <c r="Y357" s="3432"/>
      <c r="Z357" s="3432"/>
      <c r="AA357" s="3432"/>
      <c r="AB357" s="3432"/>
      <c r="AC357" s="3432"/>
      <c r="AD357" s="3432"/>
      <c r="AE357" s="3432"/>
      <c r="AF357" s="3452">
        <v>7.9107648977970197E-3</v>
      </c>
      <c r="AG357" s="3432"/>
      <c r="AH357" s="3432"/>
      <c r="AI357" s="3432"/>
      <c r="AJ357" s="3432"/>
      <c r="AK357" s="3471">
        <v>246.03660971859699</v>
      </c>
      <c r="AL357" s="3471">
        <v>253.13400172423599</v>
      </c>
      <c r="AM357" s="3472">
        <v>6162.0932410672604</v>
      </c>
      <c r="AN357" s="3772">
        <v>3.9657711447916899E-5</v>
      </c>
      <c r="AO357" s="3426"/>
    </row>
    <row r="358" spans="1:41">
      <c r="A358" s="5047" t="s">
        <v>65</v>
      </c>
      <c r="B358" s="5048"/>
      <c r="C358" s="3455">
        <v>22.310928022264399</v>
      </c>
      <c r="D358" s="3453">
        <v>3.5220409052393098</v>
      </c>
      <c r="E358" s="3432"/>
      <c r="F358" s="3757">
        <v>91279.898710027497</v>
      </c>
      <c r="G358" s="3453">
        <v>8.9206234894564602</v>
      </c>
      <c r="H358" s="3432"/>
      <c r="I358" s="3432"/>
      <c r="J358" s="3423">
        <v>1.28509242500178E-6</v>
      </c>
      <c r="K358" s="3473">
        <v>86882.078786690894</v>
      </c>
      <c r="L358" s="3471">
        <v>884.53664215159301</v>
      </c>
      <c r="M358" s="3432"/>
      <c r="N358" s="3432"/>
      <c r="O358" s="3432"/>
      <c r="P358" s="3432"/>
      <c r="Q358" s="3432"/>
      <c r="R358" s="3472">
        <v>9124.9695762562897</v>
      </c>
      <c r="S358" s="3432"/>
      <c r="T358" s="3432"/>
      <c r="U358" s="3471">
        <v>906.99775976181195</v>
      </c>
      <c r="V358" s="3432"/>
      <c r="W358" s="3451">
        <v>0.120163430064371</v>
      </c>
      <c r="X358" s="3471">
        <v>888.05908920085199</v>
      </c>
      <c r="Y358" s="3432"/>
      <c r="Z358" s="3432"/>
      <c r="AA358" s="3432"/>
      <c r="AB358" s="3432"/>
      <c r="AC358" s="3432"/>
      <c r="AD358" s="3432"/>
      <c r="AE358" s="3432"/>
      <c r="AF358" s="3451">
        <v>0.120163430064371</v>
      </c>
      <c r="AG358" s="3432"/>
      <c r="AH358" s="3432"/>
      <c r="AI358" s="3432"/>
      <c r="AJ358" s="3432"/>
      <c r="AK358" s="3471">
        <v>884.880071847723</v>
      </c>
      <c r="AL358" s="3471">
        <v>906.999326560501</v>
      </c>
      <c r="AM358" s="3472">
        <v>9125.2564963123896</v>
      </c>
      <c r="AN358" s="3774">
        <v>1.9722751057456799E-4</v>
      </c>
      <c r="AO358" s="3426"/>
    </row>
    <row r="359" spans="1:41">
      <c r="A359" s="5047" t="s">
        <v>13</v>
      </c>
      <c r="B359" s="5048"/>
      <c r="C359" s="3455">
        <v>13.693956203208399</v>
      </c>
      <c r="D359" s="3453">
        <v>2.1766980216284999</v>
      </c>
      <c r="E359" s="3432"/>
      <c r="F359" s="3757">
        <v>58418.6018695811</v>
      </c>
      <c r="G359" s="3447">
        <v>0</v>
      </c>
      <c r="H359" s="3432"/>
      <c r="I359" s="3432"/>
      <c r="J359" s="3423">
        <v>6.4758142319138803E-8</v>
      </c>
      <c r="K359" s="3473">
        <v>59620.156799966302</v>
      </c>
      <c r="L359" s="3471">
        <v>574.50062984450403</v>
      </c>
      <c r="M359" s="3432"/>
      <c r="N359" s="3432"/>
      <c r="O359" s="3432"/>
      <c r="P359" s="3432"/>
      <c r="Q359" s="3432"/>
      <c r="R359" s="3472">
        <v>3065.60184683527</v>
      </c>
      <c r="S359" s="3432"/>
      <c r="T359" s="3432"/>
      <c r="U359" s="3471">
        <v>588.12836357706999</v>
      </c>
      <c r="V359" s="3432"/>
      <c r="W359" s="3452">
        <v>7.6250246245892998E-3</v>
      </c>
      <c r="X359" s="3471">
        <v>576.67736984635201</v>
      </c>
      <c r="Y359" s="3432"/>
      <c r="Z359" s="3432"/>
      <c r="AA359" s="3432"/>
      <c r="AB359" s="3432"/>
      <c r="AC359" s="3432"/>
      <c r="AD359" s="3432"/>
      <c r="AE359" s="3432"/>
      <c r="AF359" s="3452">
        <v>7.6250246245892998E-3</v>
      </c>
      <c r="AG359" s="3432"/>
      <c r="AH359" s="3432"/>
      <c r="AI359" s="3432"/>
      <c r="AJ359" s="3432"/>
      <c r="AK359" s="3471">
        <v>574.56375053654199</v>
      </c>
      <c r="AL359" s="3471">
        <v>588.129411731544</v>
      </c>
      <c r="AM359" s="3472">
        <v>3065.7004798061398</v>
      </c>
      <c r="AN359" s="3774">
        <v>1.23295024850222E-4</v>
      </c>
      <c r="AO359" s="3426"/>
    </row>
    <row r="360" spans="1:41">
      <c r="A360" s="5047" t="s">
        <v>14</v>
      </c>
      <c r="B360" s="5048"/>
      <c r="C360" s="3455">
        <v>12.3229320341625</v>
      </c>
      <c r="D360" s="3453">
        <v>1.8519719984849099</v>
      </c>
      <c r="E360" s="3432"/>
      <c r="F360" s="3757">
        <v>50813.851001322699</v>
      </c>
      <c r="G360" s="3447">
        <v>0</v>
      </c>
      <c r="H360" s="3432"/>
      <c r="I360" s="3432"/>
      <c r="J360" s="3423">
        <v>4.5753127502323899E-5</v>
      </c>
      <c r="K360" s="3473">
        <v>50605.257414265099</v>
      </c>
      <c r="L360" s="3471">
        <v>525.27037641605295</v>
      </c>
      <c r="M360" s="3432"/>
      <c r="N360" s="3432"/>
      <c r="O360" s="3432"/>
      <c r="P360" s="3432"/>
      <c r="Q360" s="3432"/>
      <c r="R360" s="3472">
        <v>5086.9005230200901</v>
      </c>
      <c r="S360" s="3432"/>
      <c r="T360" s="3432"/>
      <c r="U360" s="3471">
        <v>537.36456879785203</v>
      </c>
      <c r="V360" s="3432"/>
      <c r="W360" s="3453">
        <v>3.5867432632687102</v>
      </c>
      <c r="X360" s="3471">
        <v>527.12957536546696</v>
      </c>
      <c r="Y360" s="3432"/>
      <c r="Z360" s="3432"/>
      <c r="AA360" s="3432"/>
      <c r="AB360" s="3432"/>
      <c r="AC360" s="3432"/>
      <c r="AD360" s="3432"/>
      <c r="AE360" s="3432"/>
      <c r="AF360" s="3453">
        <v>3.5867432632687102</v>
      </c>
      <c r="AG360" s="3432"/>
      <c r="AH360" s="3432"/>
      <c r="AI360" s="3432"/>
      <c r="AJ360" s="3432"/>
      <c r="AK360" s="3471">
        <v>525.13120641003695</v>
      </c>
      <c r="AL360" s="3471">
        <v>537.36529949952296</v>
      </c>
      <c r="AM360" s="3472">
        <v>5087.0247251996998</v>
      </c>
      <c r="AN360" s="3774">
        <v>1.3790111519814899E-4</v>
      </c>
      <c r="AO360" s="3426"/>
    </row>
    <row r="361" spans="1:41">
      <c r="A361" s="5047" t="s">
        <v>424</v>
      </c>
      <c r="B361" s="5048"/>
      <c r="C361" s="3455">
        <v>22.0156499312161</v>
      </c>
      <c r="D361" s="3453">
        <v>3.4525665359989901</v>
      </c>
      <c r="E361" s="3432"/>
      <c r="F361" s="3758">
        <v>122393.05281459</v>
      </c>
      <c r="G361" s="3447">
        <v>0</v>
      </c>
      <c r="H361" s="3432"/>
      <c r="I361" s="3432"/>
      <c r="J361" s="3423">
        <v>5.7482345319057896E-9</v>
      </c>
      <c r="K361" s="3467">
        <v>123732.923839597</v>
      </c>
      <c r="L361" s="3472">
        <v>1309.8532055378</v>
      </c>
      <c r="M361" s="3432"/>
      <c r="N361" s="3432"/>
      <c r="O361" s="3432"/>
      <c r="P361" s="3432"/>
      <c r="Q361" s="3432"/>
      <c r="R361" s="3473">
        <v>13734.8462109545</v>
      </c>
      <c r="S361" s="3432"/>
      <c r="T361" s="3432"/>
      <c r="U361" s="3472">
        <v>1333.7478587809501</v>
      </c>
      <c r="V361" s="3432"/>
      <c r="W361" s="3452">
        <v>2.3877980898145898E-3</v>
      </c>
      <c r="X361" s="3472">
        <v>1313.3057770632099</v>
      </c>
      <c r="Y361" s="3432"/>
      <c r="Z361" s="3432"/>
      <c r="AA361" s="3432"/>
      <c r="AB361" s="3432"/>
      <c r="AC361" s="3432"/>
      <c r="AD361" s="3432"/>
      <c r="AE361" s="3432"/>
      <c r="AF361" s="3452">
        <v>2.3877980898145898E-3</v>
      </c>
      <c r="AG361" s="3432"/>
      <c r="AH361" s="3432"/>
      <c r="AI361" s="3432"/>
      <c r="AJ361" s="3432"/>
      <c r="AK361" s="3472">
        <v>1311.8235434133801</v>
      </c>
      <c r="AL361" s="3472">
        <v>1333.74859535882</v>
      </c>
      <c r="AM361" s="3473">
        <v>13734.977728661999</v>
      </c>
      <c r="AN361" s="3774">
        <v>7.0339353094127496E-4</v>
      </c>
      <c r="AO361" s="3426"/>
    </row>
    <row r="362" spans="1:41">
      <c r="A362" s="5047" t="s">
        <v>16</v>
      </c>
      <c r="B362" s="5048"/>
      <c r="C362" s="3451">
        <v>0.60331510106026698</v>
      </c>
      <c r="D362" s="3454">
        <v>9.9355974406140704E-2</v>
      </c>
      <c r="E362" s="3432"/>
      <c r="F362" s="3748">
        <v>3345.6820364437599</v>
      </c>
      <c r="G362" s="3447">
        <v>0</v>
      </c>
      <c r="H362" s="3432"/>
      <c r="I362" s="3432"/>
      <c r="J362" s="3411">
        <v>0</v>
      </c>
      <c r="K362" s="3472">
        <v>3239.3937255764299</v>
      </c>
      <c r="L362" s="3447">
        <v>0</v>
      </c>
      <c r="M362" s="3432"/>
      <c r="N362" s="3432"/>
      <c r="O362" s="3432"/>
      <c r="P362" s="3432"/>
      <c r="Q362" s="3432"/>
      <c r="R362" s="3471">
        <v>352.756941866425</v>
      </c>
      <c r="S362" s="3432"/>
      <c r="T362" s="3432"/>
      <c r="U362" s="3451">
        <v>0.70337803046732195</v>
      </c>
      <c r="V362" s="3432"/>
      <c r="W362" s="3460">
        <v>1.8531214568332901E-4</v>
      </c>
      <c r="X362" s="3451">
        <v>0.10011916749847601</v>
      </c>
      <c r="Y362" s="3432"/>
      <c r="Z362" s="3432"/>
      <c r="AA362" s="3432"/>
      <c r="AB362" s="3432"/>
      <c r="AC362" s="3432"/>
      <c r="AD362" s="3432"/>
      <c r="AE362" s="3432"/>
      <c r="AF362" s="3460">
        <v>1.8531214568332901E-4</v>
      </c>
      <c r="AG362" s="3432"/>
      <c r="AH362" s="3432"/>
      <c r="AI362" s="3432"/>
      <c r="AJ362" s="3432"/>
      <c r="AK362" s="3451">
        <v>0.10000228059436</v>
      </c>
      <c r="AL362" s="3451">
        <v>0.70337833975239406</v>
      </c>
      <c r="AM362" s="3471">
        <v>352.75961862066202</v>
      </c>
      <c r="AN362" s="3772">
        <v>2.52894300953664E-5</v>
      </c>
      <c r="AO362" s="3426"/>
    </row>
    <row r="363" spans="1:41">
      <c r="A363" s="5047" t="s">
        <v>770</v>
      </c>
      <c r="B363" s="5048"/>
      <c r="C363" s="3453">
        <v>6.3666347207981504</v>
      </c>
      <c r="D363" s="3451">
        <v>0.99652365032549906</v>
      </c>
      <c r="E363" s="3432"/>
      <c r="F363" s="3757">
        <v>35129.661382659397</v>
      </c>
      <c r="G363" s="3447">
        <v>0</v>
      </c>
      <c r="H363" s="3432"/>
      <c r="I363" s="3432"/>
      <c r="J363" s="3423">
        <v>1.8511844522041501E-6</v>
      </c>
      <c r="K363" s="3473">
        <v>37253.027844128897</v>
      </c>
      <c r="L363" s="3471">
        <v>347.51716562070902</v>
      </c>
      <c r="M363" s="3432"/>
      <c r="N363" s="3432"/>
      <c r="O363" s="3432"/>
      <c r="P363" s="3432"/>
      <c r="Q363" s="3432"/>
      <c r="R363" s="3472">
        <v>3727.8916837090101</v>
      </c>
      <c r="S363" s="3432"/>
      <c r="T363" s="3432"/>
      <c r="U363" s="3471">
        <v>354.48963201703498</v>
      </c>
      <c r="V363" s="3432"/>
      <c r="W363" s="3451">
        <v>0.40337895269422402</v>
      </c>
      <c r="X363" s="3471">
        <v>348.51389220321698</v>
      </c>
      <c r="Y363" s="3432"/>
      <c r="Z363" s="3432"/>
      <c r="AA363" s="3432"/>
      <c r="AB363" s="3432"/>
      <c r="AC363" s="3432"/>
      <c r="AD363" s="3432"/>
      <c r="AE363" s="3432"/>
      <c r="AF363" s="3451">
        <v>0.40337895269422402</v>
      </c>
      <c r="AG363" s="3432"/>
      <c r="AH363" s="3432"/>
      <c r="AI363" s="3432"/>
      <c r="AJ363" s="3432"/>
      <c r="AK363" s="3471">
        <v>348.14040907873698</v>
      </c>
      <c r="AL363" s="3471">
        <v>354.48977410008303</v>
      </c>
      <c r="AM363" s="3472">
        <v>3727.9173623101601</v>
      </c>
      <c r="AN363" s="3774">
        <v>2.98993645500666E-4</v>
      </c>
      <c r="AO363" s="3426"/>
    </row>
    <row r="364" spans="1:41">
      <c r="A364" s="5047" t="s">
        <v>833</v>
      </c>
      <c r="B364" s="5048"/>
      <c r="C364" s="3455">
        <v>14.770318509353601</v>
      </c>
      <c r="D364" s="3453">
        <v>2.3017015425410499</v>
      </c>
      <c r="E364" s="3432"/>
      <c r="F364" s="3758">
        <v>125296.70144323701</v>
      </c>
      <c r="G364" s="3447">
        <v>0</v>
      </c>
      <c r="H364" s="3432"/>
      <c r="I364" s="3432"/>
      <c r="J364" s="3423">
        <v>4.13118733493734E-10</v>
      </c>
      <c r="K364" s="3467">
        <v>131099.737843371</v>
      </c>
      <c r="L364" s="3472">
        <v>1260.59698233781</v>
      </c>
      <c r="M364" s="3432"/>
      <c r="N364" s="3432"/>
      <c r="O364" s="3432"/>
      <c r="P364" s="3432"/>
      <c r="Q364" s="3432"/>
      <c r="R364" s="3473">
        <v>13969.450066961799</v>
      </c>
      <c r="S364" s="3432"/>
      <c r="T364" s="3432"/>
      <c r="U364" s="3472">
        <v>1277.1774271734</v>
      </c>
      <c r="V364" s="3432"/>
      <c r="W364" s="3460">
        <v>6.2874241365329603E-4</v>
      </c>
      <c r="X364" s="3472">
        <v>1262.8986823968401</v>
      </c>
      <c r="Y364" s="3432"/>
      <c r="Z364" s="3432"/>
      <c r="AA364" s="3432"/>
      <c r="AB364" s="3432"/>
      <c r="AC364" s="3432"/>
      <c r="AD364" s="3432"/>
      <c r="AE364" s="3432"/>
      <c r="AF364" s="3460">
        <v>6.2874241365329603E-4</v>
      </c>
      <c r="AG364" s="3432"/>
      <c r="AH364" s="3432"/>
      <c r="AI364" s="3432"/>
      <c r="AJ364" s="3432"/>
      <c r="AK364" s="3472">
        <v>1262.4358289070601</v>
      </c>
      <c r="AL364" s="3472">
        <v>1277.1776580450501</v>
      </c>
      <c r="AM364" s="3473">
        <v>13969.4918967829</v>
      </c>
      <c r="AN364" s="3771">
        <v>2.0395800296270001E-3</v>
      </c>
      <c r="AO364" s="3426"/>
    </row>
    <row r="365" spans="1:41">
      <c r="A365" s="5047" t="s">
        <v>834</v>
      </c>
      <c r="B365" s="5048"/>
      <c r="C365" s="3453">
        <v>8.9550092818778708</v>
      </c>
      <c r="D365" s="3453">
        <v>1.4783024150761599</v>
      </c>
      <c r="E365" s="3432"/>
      <c r="F365" s="3758">
        <v>125548.149625103</v>
      </c>
      <c r="G365" s="3447">
        <v>0</v>
      </c>
      <c r="H365" s="3432"/>
      <c r="I365" s="3432"/>
      <c r="J365" s="3423">
        <v>2.9079507600297299E-11</v>
      </c>
      <c r="K365" s="3467">
        <v>132413.17415741901</v>
      </c>
      <c r="L365" s="3472">
        <v>1398.4622709651201</v>
      </c>
      <c r="M365" s="3432"/>
      <c r="N365" s="3432"/>
      <c r="O365" s="3432"/>
      <c r="P365" s="3432"/>
      <c r="Q365" s="3432"/>
      <c r="R365" s="3473">
        <v>14930.6394335692</v>
      </c>
      <c r="S365" s="3432"/>
      <c r="T365" s="3432"/>
      <c r="U365" s="3472">
        <v>1408.7113580611799</v>
      </c>
      <c r="V365" s="3432"/>
      <c r="W365" s="3449">
        <v>7.2346939051883306E-5</v>
      </c>
      <c r="X365" s="3472">
        <v>1399.9405730322501</v>
      </c>
      <c r="Y365" s="3432"/>
      <c r="Z365" s="3432"/>
      <c r="AA365" s="3432"/>
      <c r="AB365" s="3432"/>
      <c r="AC365" s="3432"/>
      <c r="AD365" s="3432"/>
      <c r="AE365" s="3432"/>
      <c r="AF365" s="3449">
        <v>7.2346939051883306E-5</v>
      </c>
      <c r="AG365" s="3432"/>
      <c r="AH365" s="3432"/>
      <c r="AI365" s="3432"/>
      <c r="AJ365" s="3432"/>
      <c r="AK365" s="3472">
        <v>1399.7671888197301</v>
      </c>
      <c r="AL365" s="3472">
        <v>1408.7114447735901</v>
      </c>
      <c r="AM365" s="3473">
        <v>14930.6540908857</v>
      </c>
      <c r="AN365" s="3771">
        <v>5.5032345594709601E-3</v>
      </c>
      <c r="AO365" s="3426"/>
    </row>
    <row r="366" spans="1:41">
      <c r="A366" s="5047" t="s">
        <v>752</v>
      </c>
      <c r="B366" s="5048"/>
      <c r="C366" s="3455">
        <v>13.8107302763469</v>
      </c>
      <c r="D366" s="3453">
        <v>2.2349851650428798</v>
      </c>
      <c r="E366" s="3432"/>
      <c r="F366" s="3747">
        <v>1267666.86950993</v>
      </c>
      <c r="G366" s="3447">
        <v>0</v>
      </c>
      <c r="H366" s="3432"/>
      <c r="I366" s="3432"/>
      <c r="J366" s="3411">
        <v>0</v>
      </c>
      <c r="K366" s="3449">
        <v>1339705.2295092701</v>
      </c>
      <c r="L366" s="3473">
        <v>13781.9579597545</v>
      </c>
      <c r="M366" s="3432"/>
      <c r="N366" s="3432"/>
      <c r="O366" s="3432"/>
      <c r="P366" s="3432"/>
      <c r="Q366" s="3432"/>
      <c r="R366" s="3467">
        <v>181008.45788922199</v>
      </c>
      <c r="S366" s="3432"/>
      <c r="T366" s="3432"/>
      <c r="U366" s="3473">
        <v>13798.003461394001</v>
      </c>
      <c r="V366" s="3432"/>
      <c r="W366" s="3449">
        <v>1.9148154716563298E-5</v>
      </c>
      <c r="X366" s="3473">
        <v>13784.1929519446</v>
      </c>
      <c r="Y366" s="3432"/>
      <c r="Z366" s="3432"/>
      <c r="AA366" s="3432"/>
      <c r="AB366" s="3432"/>
      <c r="AC366" s="3432"/>
      <c r="AD366" s="3432"/>
      <c r="AE366" s="3432"/>
      <c r="AF366" s="3449">
        <v>1.9148154716563298E-5</v>
      </c>
      <c r="AG366" s="3432"/>
      <c r="AH366" s="3432"/>
      <c r="AI366" s="3432"/>
      <c r="AJ366" s="3432"/>
      <c r="AK366" s="3473">
        <v>13784.192743785599</v>
      </c>
      <c r="AL366" s="3473">
        <v>13798.003461500201</v>
      </c>
      <c r="AM366" s="3467">
        <v>181008.45790534501</v>
      </c>
      <c r="AN366" s="3769">
        <v>0.36870145147621403</v>
      </c>
      <c r="AO366" s="3426"/>
    </row>
    <row r="367" spans="1:41" ht="13" thickBot="1">
      <c r="A367" s="5049" t="s">
        <v>430</v>
      </c>
      <c r="B367" s="5050"/>
      <c r="C367" s="3431" t="s">
        <v>57</v>
      </c>
      <c r="D367" s="3433" t="s">
        <v>57</v>
      </c>
      <c r="E367" s="3433" t="s">
        <v>57</v>
      </c>
      <c r="F367" s="3731" t="s">
        <v>57</v>
      </c>
      <c r="G367" s="3433" t="s">
        <v>57</v>
      </c>
      <c r="H367" s="3433" t="s">
        <v>57</v>
      </c>
      <c r="I367" s="3433" t="s">
        <v>57</v>
      </c>
      <c r="J367" s="3418" t="s">
        <v>57</v>
      </c>
      <c r="K367" s="3433" t="s">
        <v>57</v>
      </c>
      <c r="L367" s="3433" t="s">
        <v>57</v>
      </c>
      <c r="M367" s="3433" t="s">
        <v>57</v>
      </c>
      <c r="N367" s="3433" t="s">
        <v>57</v>
      </c>
      <c r="O367" s="3433" t="s">
        <v>57</v>
      </c>
      <c r="P367" s="3433" t="s">
        <v>57</v>
      </c>
      <c r="Q367" s="3433" t="s">
        <v>57</v>
      </c>
      <c r="R367" s="3433" t="s">
        <v>57</v>
      </c>
      <c r="S367" s="3433" t="s">
        <v>57</v>
      </c>
      <c r="T367" s="3433" t="s">
        <v>57</v>
      </c>
      <c r="U367" s="3433" t="s">
        <v>57</v>
      </c>
      <c r="V367" s="3433" t="s">
        <v>57</v>
      </c>
      <c r="W367" s="3433" t="s">
        <v>57</v>
      </c>
      <c r="X367" s="3433" t="s">
        <v>57</v>
      </c>
      <c r="Y367" s="3433" t="s">
        <v>57</v>
      </c>
      <c r="Z367" s="3433" t="s">
        <v>57</v>
      </c>
      <c r="AA367" s="3433" t="s">
        <v>57</v>
      </c>
      <c r="AB367" s="3433" t="s">
        <v>57</v>
      </c>
      <c r="AC367" s="3433" t="s">
        <v>57</v>
      </c>
      <c r="AD367" s="3433" t="s">
        <v>57</v>
      </c>
      <c r="AE367" s="3433" t="s">
        <v>57</v>
      </c>
      <c r="AF367" s="3433" t="s">
        <v>57</v>
      </c>
      <c r="AG367" s="3433" t="s">
        <v>57</v>
      </c>
      <c r="AH367" s="3433" t="s">
        <v>57</v>
      </c>
      <c r="AI367" s="3433" t="s">
        <v>57</v>
      </c>
      <c r="AJ367" s="3433" t="s">
        <v>57</v>
      </c>
      <c r="AK367" s="3433" t="s">
        <v>57</v>
      </c>
      <c r="AL367" s="3433" t="s">
        <v>57</v>
      </c>
      <c r="AM367" s="3433" t="s">
        <v>57</v>
      </c>
      <c r="AN367" s="3765" t="s">
        <v>57</v>
      </c>
      <c r="AO367" s="3426"/>
    </row>
    <row r="368" spans="1:41" ht="13" thickTop="1">
      <c r="A368" s="5051" t="s">
        <v>298</v>
      </c>
      <c r="B368" s="5052"/>
      <c r="C368" s="3449">
        <v>2.2875958190632799E-5</v>
      </c>
      <c r="D368" s="3449">
        <v>4.53382368363796E-6</v>
      </c>
      <c r="E368" s="3432"/>
      <c r="F368" s="3752">
        <v>0</v>
      </c>
      <c r="G368" s="3447">
        <v>0</v>
      </c>
      <c r="H368" s="3432"/>
      <c r="I368" s="3432"/>
      <c r="J368" s="3419">
        <v>2.28790009301553E-2</v>
      </c>
      <c r="K368" s="3447">
        <v>0</v>
      </c>
      <c r="L368" s="3460">
        <v>8.0995567790647705E-4</v>
      </c>
      <c r="M368" s="3432"/>
      <c r="N368" s="3432"/>
      <c r="O368" s="3432"/>
      <c r="P368" s="3432"/>
      <c r="Q368" s="3432"/>
      <c r="R368" s="3460">
        <v>3.6785421584465999E-4</v>
      </c>
      <c r="S368" s="3432"/>
      <c r="T368" s="3432"/>
      <c r="U368" s="3452">
        <v>1.1818284259086499E-3</v>
      </c>
      <c r="V368" s="3432"/>
      <c r="W368" s="3455">
        <v>73.957709018781998</v>
      </c>
      <c r="X368" s="3460">
        <v>8.2009748975200403E-4</v>
      </c>
      <c r="Y368" s="3432"/>
      <c r="Z368" s="3432"/>
      <c r="AA368" s="3432"/>
      <c r="AB368" s="3432"/>
      <c r="AC368" s="3432"/>
      <c r="AD368" s="3432"/>
      <c r="AE368" s="3432"/>
      <c r="AF368" s="3455">
        <v>73.957709018781998</v>
      </c>
      <c r="AG368" s="3432"/>
      <c r="AH368" s="3432"/>
      <c r="AI368" s="3432"/>
      <c r="AJ368" s="3432"/>
      <c r="AK368" s="3452">
        <v>1.3053508178404499E-3</v>
      </c>
      <c r="AL368" s="3452">
        <v>1.18281369990084E-3</v>
      </c>
      <c r="AM368" s="3460">
        <v>3.75571189468134E-4</v>
      </c>
      <c r="AN368" s="3766">
        <v>0</v>
      </c>
      <c r="AO368" s="3426"/>
    </row>
    <row r="369" spans="1:41">
      <c r="A369" s="5047" t="s">
        <v>5</v>
      </c>
      <c r="B369" s="5048"/>
      <c r="C369" s="3447">
        <v>0</v>
      </c>
      <c r="D369" s="3447">
        <v>0</v>
      </c>
      <c r="E369" s="3432"/>
      <c r="F369" s="3752">
        <v>0</v>
      </c>
      <c r="G369" s="3449">
        <v>4.2116822810353001E-7</v>
      </c>
      <c r="H369" s="3432"/>
      <c r="I369" s="3432"/>
      <c r="J369" s="3411">
        <v>0</v>
      </c>
      <c r="K369" s="3447">
        <v>0</v>
      </c>
      <c r="L369" s="3447">
        <v>0</v>
      </c>
      <c r="M369" s="3432"/>
      <c r="N369" s="3432"/>
      <c r="O369" s="3432"/>
      <c r="P369" s="3432"/>
      <c r="Q369" s="3432"/>
      <c r="R369" s="3447">
        <v>0</v>
      </c>
      <c r="S369" s="3432"/>
      <c r="T369" s="3432"/>
      <c r="U369" s="3447">
        <v>0</v>
      </c>
      <c r="V369" s="3432"/>
      <c r="W369" s="3447">
        <v>0</v>
      </c>
      <c r="X369" s="3447">
        <v>0</v>
      </c>
      <c r="Y369" s="3432"/>
      <c r="Z369" s="3432"/>
      <c r="AA369" s="3432"/>
      <c r="AB369" s="3432"/>
      <c r="AC369" s="3432"/>
      <c r="AD369" s="3432"/>
      <c r="AE369" s="3432"/>
      <c r="AF369" s="3447">
        <v>0</v>
      </c>
      <c r="AG369" s="3432"/>
      <c r="AH369" s="3432"/>
      <c r="AI369" s="3432"/>
      <c r="AJ369" s="3432"/>
      <c r="AK369" s="3447">
        <v>0</v>
      </c>
      <c r="AL369" s="3447">
        <v>0</v>
      </c>
      <c r="AM369" s="3447">
        <v>0</v>
      </c>
      <c r="AN369" s="3766">
        <v>0</v>
      </c>
      <c r="AO369" s="3426"/>
    </row>
    <row r="370" spans="1:41">
      <c r="A370" s="5047" t="s">
        <v>832</v>
      </c>
      <c r="B370" s="5048"/>
      <c r="C370" s="3447">
        <v>0</v>
      </c>
      <c r="D370" s="3447">
        <v>0</v>
      </c>
      <c r="E370" s="3432"/>
      <c r="F370" s="3752">
        <v>0</v>
      </c>
      <c r="G370" s="3452">
        <v>3.2406473220246801E-3</v>
      </c>
      <c r="H370" s="3432"/>
      <c r="I370" s="3432"/>
      <c r="J370" s="3411">
        <v>0</v>
      </c>
      <c r="K370" s="3447">
        <v>0</v>
      </c>
      <c r="L370" s="3447">
        <v>0</v>
      </c>
      <c r="M370" s="3432"/>
      <c r="N370" s="3432"/>
      <c r="O370" s="3432"/>
      <c r="P370" s="3432"/>
      <c r="Q370" s="3432"/>
      <c r="R370" s="3449">
        <v>9.29939052107952E-7</v>
      </c>
      <c r="S370" s="3432"/>
      <c r="T370" s="3432"/>
      <c r="U370" s="3447">
        <v>0</v>
      </c>
      <c r="V370" s="3432"/>
      <c r="W370" s="3447">
        <v>0</v>
      </c>
      <c r="X370" s="3447">
        <v>0</v>
      </c>
      <c r="Y370" s="3432"/>
      <c r="Z370" s="3432"/>
      <c r="AA370" s="3432"/>
      <c r="AB370" s="3432"/>
      <c r="AC370" s="3432"/>
      <c r="AD370" s="3432"/>
      <c r="AE370" s="3432"/>
      <c r="AF370" s="3447">
        <v>0</v>
      </c>
      <c r="AG370" s="3432"/>
      <c r="AH370" s="3432"/>
      <c r="AI370" s="3432"/>
      <c r="AJ370" s="3432"/>
      <c r="AK370" s="3447">
        <v>0</v>
      </c>
      <c r="AL370" s="3447">
        <v>0</v>
      </c>
      <c r="AM370" s="3449">
        <v>1.1364163915420201E-6</v>
      </c>
      <c r="AN370" s="3766">
        <v>0</v>
      </c>
      <c r="AO370" s="3426"/>
    </row>
    <row r="371" spans="1:41">
      <c r="A371" s="5047" t="s">
        <v>3</v>
      </c>
      <c r="B371" s="5048"/>
      <c r="C371" s="3449">
        <v>4.1873110271812202E-7</v>
      </c>
      <c r="D371" s="3447">
        <v>0</v>
      </c>
      <c r="E371" s="3432"/>
      <c r="F371" s="3752">
        <v>0</v>
      </c>
      <c r="G371" s="3460">
        <v>8.6984503535906404E-4</v>
      </c>
      <c r="H371" s="3432"/>
      <c r="I371" s="3432"/>
      <c r="J371" s="3423">
        <v>4.3133161316714301E-7</v>
      </c>
      <c r="K371" s="3447">
        <v>0</v>
      </c>
      <c r="L371" s="3447">
        <v>0</v>
      </c>
      <c r="M371" s="3432"/>
      <c r="N371" s="3432"/>
      <c r="O371" s="3432"/>
      <c r="P371" s="3432"/>
      <c r="Q371" s="3432"/>
      <c r="R371" s="3449">
        <v>7.39701435565928E-5</v>
      </c>
      <c r="S371" s="3432"/>
      <c r="T371" s="3432"/>
      <c r="U371" s="3449">
        <v>4.4558623808467902E-7</v>
      </c>
      <c r="V371" s="3432"/>
      <c r="W371" s="3447">
        <v>0</v>
      </c>
      <c r="X371" s="3447">
        <v>0</v>
      </c>
      <c r="Y371" s="3432"/>
      <c r="Z371" s="3432"/>
      <c r="AA371" s="3432"/>
      <c r="AB371" s="3432"/>
      <c r="AC371" s="3432"/>
      <c r="AD371" s="3432"/>
      <c r="AE371" s="3432"/>
      <c r="AF371" s="3447">
        <v>0</v>
      </c>
      <c r="AG371" s="3432"/>
      <c r="AH371" s="3432"/>
      <c r="AI371" s="3432"/>
      <c r="AJ371" s="3432"/>
      <c r="AK371" s="3447">
        <v>0</v>
      </c>
      <c r="AL371" s="3449">
        <v>4.4617996654307599E-7</v>
      </c>
      <c r="AM371" s="3449">
        <v>7.6744628011247697E-5</v>
      </c>
      <c r="AN371" s="3766">
        <v>0</v>
      </c>
      <c r="AO371" s="3426"/>
    </row>
    <row r="372" spans="1:41">
      <c r="A372" s="5047" t="s">
        <v>6</v>
      </c>
      <c r="B372" s="5048"/>
      <c r="C372" s="3449">
        <v>5.7621791614055803E-6</v>
      </c>
      <c r="D372" s="3447">
        <v>0</v>
      </c>
      <c r="E372" s="3432"/>
      <c r="F372" s="3752">
        <v>0</v>
      </c>
      <c r="G372" s="3451">
        <v>0.22640716198904701</v>
      </c>
      <c r="H372" s="3432"/>
      <c r="I372" s="3432"/>
      <c r="J372" s="3423">
        <v>1.9447597789363001E-8</v>
      </c>
      <c r="K372" s="3447">
        <v>0</v>
      </c>
      <c r="L372" s="3447">
        <v>0</v>
      </c>
      <c r="M372" s="3432"/>
      <c r="N372" s="3432"/>
      <c r="O372" s="3432"/>
      <c r="P372" s="3432"/>
      <c r="Q372" s="3432"/>
      <c r="R372" s="3452">
        <v>1.03251920616612E-3</v>
      </c>
      <c r="S372" s="3432"/>
      <c r="T372" s="3432"/>
      <c r="U372" s="3449">
        <v>6.4369948494536198E-6</v>
      </c>
      <c r="V372" s="3432"/>
      <c r="W372" s="3447">
        <v>0</v>
      </c>
      <c r="X372" s="3447">
        <v>0</v>
      </c>
      <c r="Y372" s="3432"/>
      <c r="Z372" s="3432"/>
      <c r="AA372" s="3432"/>
      <c r="AB372" s="3432"/>
      <c r="AC372" s="3432"/>
      <c r="AD372" s="3432"/>
      <c r="AE372" s="3432"/>
      <c r="AF372" s="3447">
        <v>0</v>
      </c>
      <c r="AG372" s="3432"/>
      <c r="AH372" s="3432"/>
      <c r="AI372" s="3432"/>
      <c r="AJ372" s="3432"/>
      <c r="AK372" s="3447">
        <v>0</v>
      </c>
      <c r="AL372" s="3449">
        <v>6.4538994181637403E-6</v>
      </c>
      <c r="AM372" s="3452">
        <v>1.1328194641269101E-3</v>
      </c>
      <c r="AN372" s="3766">
        <v>0</v>
      </c>
      <c r="AO372" s="3426"/>
    </row>
    <row r="373" spans="1:41">
      <c r="A373" s="5047" t="s">
        <v>7</v>
      </c>
      <c r="B373" s="5048"/>
      <c r="C373" s="3460">
        <v>1.46739380041703E-4</v>
      </c>
      <c r="D373" s="3449">
        <v>2.11990151056297E-5</v>
      </c>
      <c r="E373" s="3432"/>
      <c r="F373" s="3754">
        <v>0.28701722504641503</v>
      </c>
      <c r="G373" s="3451">
        <v>0.122288950224246</v>
      </c>
      <c r="H373" s="3432"/>
      <c r="I373" s="3432"/>
      <c r="J373" s="3423">
        <v>3.7528823525415099E-6</v>
      </c>
      <c r="K373" s="3451">
        <v>0.27789903159356699</v>
      </c>
      <c r="L373" s="3454">
        <v>1.3996674151366901E-2</v>
      </c>
      <c r="M373" s="3432"/>
      <c r="N373" s="3432"/>
      <c r="O373" s="3432"/>
      <c r="P373" s="3432"/>
      <c r="Q373" s="3432"/>
      <c r="R373" s="3454">
        <v>7.2960820659087197E-2</v>
      </c>
      <c r="S373" s="3432"/>
      <c r="T373" s="3432"/>
      <c r="U373" s="3452">
        <v>5.2771011698928803E-3</v>
      </c>
      <c r="V373" s="3432"/>
      <c r="W373" s="3460">
        <v>3.6901149997248099E-4</v>
      </c>
      <c r="X373" s="3454">
        <v>1.4015812608419101E-2</v>
      </c>
      <c r="Y373" s="3432"/>
      <c r="Z373" s="3432"/>
      <c r="AA373" s="3432"/>
      <c r="AB373" s="3432"/>
      <c r="AC373" s="3432"/>
      <c r="AD373" s="3432"/>
      <c r="AE373" s="3432"/>
      <c r="AF373" s="3460">
        <v>3.6901149997248099E-4</v>
      </c>
      <c r="AG373" s="3432"/>
      <c r="AH373" s="3432"/>
      <c r="AI373" s="3432"/>
      <c r="AJ373" s="3432"/>
      <c r="AK373" s="3452">
        <v>5.6389217649566604E-3</v>
      </c>
      <c r="AL373" s="3452">
        <v>5.2806276491978296E-3</v>
      </c>
      <c r="AM373" s="3454">
        <v>7.4171872006320402E-2</v>
      </c>
      <c r="AN373" s="3772">
        <v>1.88713296323125E-10</v>
      </c>
      <c r="AO373" s="3426"/>
    </row>
    <row r="374" spans="1:41">
      <c r="A374" s="5047" t="s">
        <v>8</v>
      </c>
      <c r="B374" s="5048"/>
      <c r="C374" s="3452">
        <v>3.0637725739401499E-3</v>
      </c>
      <c r="D374" s="3460">
        <v>4.8479647085923697E-4</v>
      </c>
      <c r="E374" s="3432"/>
      <c r="F374" s="3755">
        <v>1.4350861252320799</v>
      </c>
      <c r="G374" s="3451">
        <v>0.12651170727043601</v>
      </c>
      <c r="H374" s="3432"/>
      <c r="I374" s="3432"/>
      <c r="J374" s="3423">
        <v>3.1525662340082402E-6</v>
      </c>
      <c r="K374" s="3453">
        <v>1.52844467376462</v>
      </c>
      <c r="L374" s="3454">
        <v>5.8951416581803098E-2</v>
      </c>
      <c r="M374" s="3432"/>
      <c r="N374" s="3432"/>
      <c r="O374" s="3432"/>
      <c r="P374" s="3432"/>
      <c r="Q374" s="3432"/>
      <c r="R374" s="3451">
        <v>0.61845719704588198</v>
      </c>
      <c r="S374" s="3432"/>
      <c r="T374" s="3432"/>
      <c r="U374" s="3454">
        <v>4.3047503094269801E-2</v>
      </c>
      <c r="V374" s="3432"/>
      <c r="W374" s="3460">
        <v>5.3382550931287804E-4</v>
      </c>
      <c r="X374" s="3454">
        <v>5.9447344952562098E-2</v>
      </c>
      <c r="Y374" s="3432"/>
      <c r="Z374" s="3432"/>
      <c r="AA374" s="3432"/>
      <c r="AB374" s="3432"/>
      <c r="AC374" s="3432"/>
      <c r="AD374" s="3432"/>
      <c r="AE374" s="3432"/>
      <c r="AF374" s="3460">
        <v>5.3382550931287804E-4</v>
      </c>
      <c r="AG374" s="3432"/>
      <c r="AH374" s="3432"/>
      <c r="AI374" s="3432"/>
      <c r="AJ374" s="3432"/>
      <c r="AK374" s="3454">
        <v>4.1077569669490097E-2</v>
      </c>
      <c r="AL374" s="3454">
        <v>4.30563605935382E-2</v>
      </c>
      <c r="AM374" s="3451">
        <v>0.62127670606679297</v>
      </c>
      <c r="AN374" s="3772">
        <v>7.9732301938643703E-10</v>
      </c>
      <c r="AO374" s="3426"/>
    </row>
    <row r="375" spans="1:41">
      <c r="A375" s="5047" t="s">
        <v>66</v>
      </c>
      <c r="B375" s="5048"/>
      <c r="C375" s="3452">
        <v>1.2106615951090801E-3</v>
      </c>
      <c r="D375" s="3460">
        <v>1.9554213319294199E-4</v>
      </c>
      <c r="E375" s="3432"/>
      <c r="F375" s="3755">
        <v>1.7221033502784899</v>
      </c>
      <c r="G375" s="3454">
        <v>2.29822666556375E-2</v>
      </c>
      <c r="H375" s="3432"/>
      <c r="I375" s="3432"/>
      <c r="J375" s="3423">
        <v>8.3597267784730306E-8</v>
      </c>
      <c r="K375" s="3453">
        <v>1.8063437053581901</v>
      </c>
      <c r="L375" s="3454">
        <v>2.2304555911644999E-2</v>
      </c>
      <c r="M375" s="3432"/>
      <c r="N375" s="3432"/>
      <c r="O375" s="3432"/>
      <c r="P375" s="3432"/>
      <c r="Q375" s="3432"/>
      <c r="R375" s="3451">
        <v>0.27020973496233702</v>
      </c>
      <c r="S375" s="3432"/>
      <c r="T375" s="3432"/>
      <c r="U375" s="3454">
        <v>2.0074791525416798E-2</v>
      </c>
      <c r="V375" s="3432"/>
      <c r="W375" s="3449">
        <v>6.3328468764387605E-5</v>
      </c>
      <c r="X375" s="3454">
        <v>2.2501296027723001E-2</v>
      </c>
      <c r="Y375" s="3432"/>
      <c r="Z375" s="3432"/>
      <c r="AA375" s="3432"/>
      <c r="AB375" s="3432"/>
      <c r="AC375" s="3432"/>
      <c r="AD375" s="3432"/>
      <c r="AE375" s="3432"/>
      <c r="AF375" s="3449">
        <v>6.3328468764387605E-5</v>
      </c>
      <c r="AG375" s="3432"/>
      <c r="AH375" s="3432"/>
      <c r="AI375" s="3432"/>
      <c r="AJ375" s="3432"/>
      <c r="AK375" s="3454">
        <v>1.90698338575967E-2</v>
      </c>
      <c r="AL375" s="3454">
        <v>2.0076481079350401E-2</v>
      </c>
      <c r="AM375" s="3451">
        <v>0.27068799460522802</v>
      </c>
      <c r="AN375" s="3772">
        <v>9.5870755987754209E-10</v>
      </c>
      <c r="AO375" s="3426"/>
    </row>
    <row r="376" spans="1:41">
      <c r="A376" s="5047" t="s">
        <v>359</v>
      </c>
      <c r="B376" s="5048"/>
      <c r="C376" s="3452">
        <v>3.2822606274858302E-3</v>
      </c>
      <c r="D376" s="3460">
        <v>5.1815438458185199E-4</v>
      </c>
      <c r="E376" s="3432"/>
      <c r="F376" s="3755">
        <v>6.7449047885907598</v>
      </c>
      <c r="G376" s="3454">
        <v>6.18235183892753E-2</v>
      </c>
      <c r="H376" s="3432"/>
      <c r="I376" s="3432"/>
      <c r="J376" s="3423">
        <v>1.12000376974553E-7</v>
      </c>
      <c r="K376" s="3453">
        <v>6.9474757898391903</v>
      </c>
      <c r="L376" s="3454">
        <v>7.4383781288703807E-2</v>
      </c>
      <c r="M376" s="3432"/>
      <c r="N376" s="3432"/>
      <c r="O376" s="3432"/>
      <c r="P376" s="3432"/>
      <c r="Q376" s="3432"/>
      <c r="R376" s="3451">
        <v>0.94762291107926899</v>
      </c>
      <c r="S376" s="3432"/>
      <c r="T376" s="3432"/>
      <c r="U376" s="3454">
        <v>6.9346722297028401E-2</v>
      </c>
      <c r="V376" s="3432"/>
      <c r="W376" s="3460">
        <v>2.19700254437618E-4</v>
      </c>
      <c r="X376" s="3454">
        <v>7.4904958485345494E-2</v>
      </c>
      <c r="Y376" s="3432"/>
      <c r="Z376" s="3432"/>
      <c r="AA376" s="3432"/>
      <c r="AB376" s="3432"/>
      <c r="AC376" s="3432"/>
      <c r="AD376" s="3432"/>
      <c r="AE376" s="3432"/>
      <c r="AF376" s="3460">
        <v>2.19700254437618E-4</v>
      </c>
      <c r="AG376" s="3432"/>
      <c r="AH376" s="3432"/>
      <c r="AI376" s="3432"/>
      <c r="AJ376" s="3432"/>
      <c r="AK376" s="3454">
        <v>6.6569025371351398E-2</v>
      </c>
      <c r="AL376" s="3454">
        <v>6.9350791299049197E-2</v>
      </c>
      <c r="AM376" s="3451">
        <v>0.94877570622901397</v>
      </c>
      <c r="AN376" s="3772">
        <v>3.8336734264561898E-9</v>
      </c>
      <c r="AO376" s="3426"/>
    </row>
    <row r="377" spans="1:41">
      <c r="A377" s="5047" t="s">
        <v>68</v>
      </c>
      <c r="B377" s="5048"/>
      <c r="C377" s="3452">
        <v>1.45252015825094E-3</v>
      </c>
      <c r="D377" s="3460">
        <v>2.3148194864269401E-4</v>
      </c>
      <c r="E377" s="3432"/>
      <c r="F377" s="3755">
        <v>5.4533272758818896</v>
      </c>
      <c r="G377" s="3454">
        <v>1.4971104411460901E-2</v>
      </c>
      <c r="H377" s="3432"/>
      <c r="I377" s="3432"/>
      <c r="J377" s="3423">
        <v>4.6107280371860501E-9</v>
      </c>
      <c r="K377" s="3453">
        <v>4.02953595810673</v>
      </c>
      <c r="L377" s="3454">
        <v>4.4724529182032798E-2</v>
      </c>
      <c r="M377" s="3432"/>
      <c r="N377" s="3432"/>
      <c r="O377" s="3432"/>
      <c r="P377" s="3432"/>
      <c r="Q377" s="3432"/>
      <c r="R377" s="3451">
        <v>0.496709547986459</v>
      </c>
      <c r="S377" s="3432"/>
      <c r="T377" s="3432"/>
      <c r="U377" s="3454">
        <v>4.4206780575926703E-2</v>
      </c>
      <c r="V377" s="3432"/>
      <c r="W377" s="3449">
        <v>3.6340050985477702E-5</v>
      </c>
      <c r="X377" s="3454">
        <v>4.4956312040258503E-2</v>
      </c>
      <c r="Y377" s="3432"/>
      <c r="Z377" s="3432"/>
      <c r="AA377" s="3432"/>
      <c r="AB377" s="3432"/>
      <c r="AC377" s="3432"/>
      <c r="AD377" s="3432"/>
      <c r="AE377" s="3432"/>
      <c r="AF377" s="3449">
        <v>3.6340050985477702E-5</v>
      </c>
      <c r="AG377" s="3432"/>
      <c r="AH377" s="3432"/>
      <c r="AI377" s="3432"/>
      <c r="AJ377" s="3432"/>
      <c r="AK377" s="3454">
        <v>4.2881003830442098E-2</v>
      </c>
      <c r="AL377" s="3454">
        <v>4.42077945114615E-2</v>
      </c>
      <c r="AM377" s="3451">
        <v>0.49693641914198</v>
      </c>
      <c r="AN377" s="3772">
        <v>3.5619562825504199E-9</v>
      </c>
      <c r="AO377" s="3426"/>
    </row>
    <row r="378" spans="1:41">
      <c r="A378" s="5047" t="s">
        <v>669</v>
      </c>
      <c r="B378" s="5048"/>
      <c r="C378" s="3452">
        <v>1.8858910308486301E-3</v>
      </c>
      <c r="D378" s="3460">
        <v>3.0068680016241797E-4</v>
      </c>
      <c r="E378" s="3432"/>
      <c r="F378" s="3755">
        <v>7.7494650762532098</v>
      </c>
      <c r="G378" s="3454">
        <v>1.4819573691652E-2</v>
      </c>
      <c r="H378" s="3432"/>
      <c r="I378" s="3432"/>
      <c r="J378" s="3423">
        <v>1.2944435818479599E-9</v>
      </c>
      <c r="K378" s="3453">
        <v>5.4190311160745699</v>
      </c>
      <c r="L378" s="3454">
        <v>5.9665307812866199E-2</v>
      </c>
      <c r="M378" s="3432"/>
      <c r="N378" s="3432"/>
      <c r="O378" s="3432"/>
      <c r="P378" s="3432"/>
      <c r="Q378" s="3432"/>
      <c r="R378" s="3451">
        <v>0.65884453836775403</v>
      </c>
      <c r="S378" s="3432"/>
      <c r="T378" s="3432"/>
      <c r="U378" s="3454">
        <v>5.9589748734600698E-2</v>
      </c>
      <c r="V378" s="3432"/>
      <c r="W378" s="3449">
        <v>1.6810074174972002E-5</v>
      </c>
      <c r="X378" s="3454">
        <v>5.9966161656766E-2</v>
      </c>
      <c r="Y378" s="3432"/>
      <c r="Z378" s="3432"/>
      <c r="AA378" s="3432"/>
      <c r="AB378" s="3432"/>
      <c r="AC378" s="3432"/>
      <c r="AD378" s="3432"/>
      <c r="AE378" s="3432"/>
      <c r="AF378" s="3449">
        <v>1.6810074174972002E-5</v>
      </c>
      <c r="AG378" s="3432"/>
      <c r="AH378" s="3432"/>
      <c r="AI378" s="3432"/>
      <c r="AJ378" s="3432"/>
      <c r="AK378" s="3454">
        <v>5.78340109286586E-2</v>
      </c>
      <c r="AL378" s="3454">
        <v>5.9590792172716803E-2</v>
      </c>
      <c r="AM378" s="3451">
        <v>0.65907156884669105</v>
      </c>
      <c r="AN378" s="3772">
        <v>5.3094056950383399E-9</v>
      </c>
      <c r="AO378" s="3426"/>
    </row>
    <row r="379" spans="1:41">
      <c r="A379" s="5047" t="s">
        <v>99</v>
      </c>
      <c r="B379" s="5048"/>
      <c r="C379" s="3447">
        <v>0</v>
      </c>
      <c r="D379" s="3447">
        <v>0</v>
      </c>
      <c r="E379" s="3432"/>
      <c r="F379" s="3752">
        <v>0</v>
      </c>
      <c r="G379" s="3447">
        <v>0</v>
      </c>
      <c r="H379" s="3432"/>
      <c r="I379" s="3432"/>
      <c r="J379" s="3411">
        <v>0</v>
      </c>
      <c r="K379" s="3447">
        <v>0</v>
      </c>
      <c r="L379" s="3447">
        <v>0</v>
      </c>
      <c r="M379" s="3432"/>
      <c r="N379" s="3432"/>
      <c r="O379" s="3432"/>
      <c r="P379" s="3432"/>
      <c r="Q379" s="3432"/>
      <c r="R379" s="3447">
        <v>0</v>
      </c>
      <c r="S379" s="3432"/>
      <c r="T379" s="3432"/>
      <c r="U379" s="3447">
        <v>0</v>
      </c>
      <c r="V379" s="3432"/>
      <c r="W379" s="3447">
        <v>0</v>
      </c>
      <c r="X379" s="3447">
        <v>0</v>
      </c>
      <c r="Y379" s="3432"/>
      <c r="Z379" s="3432"/>
      <c r="AA379" s="3432"/>
      <c r="AB379" s="3432"/>
      <c r="AC379" s="3432"/>
      <c r="AD379" s="3432"/>
      <c r="AE379" s="3432"/>
      <c r="AF379" s="3447">
        <v>0</v>
      </c>
      <c r="AG379" s="3432"/>
      <c r="AH379" s="3432"/>
      <c r="AI379" s="3432"/>
      <c r="AJ379" s="3432"/>
      <c r="AK379" s="3447">
        <v>0</v>
      </c>
      <c r="AL379" s="3447">
        <v>0</v>
      </c>
      <c r="AM379" s="3447">
        <v>0</v>
      </c>
      <c r="AN379" s="3766">
        <v>0</v>
      </c>
      <c r="AO379" s="3426"/>
    </row>
    <row r="380" spans="1:41">
      <c r="A380" s="5047" t="s">
        <v>422</v>
      </c>
      <c r="B380" s="5048"/>
      <c r="C380" s="3452">
        <v>1.3899147640578299E-3</v>
      </c>
      <c r="D380" s="3460">
        <v>2.2351027622300501E-4</v>
      </c>
      <c r="E380" s="3432"/>
      <c r="F380" s="3755">
        <v>5.7403445009283098</v>
      </c>
      <c r="G380" s="3452">
        <v>5.03294033887951E-3</v>
      </c>
      <c r="H380" s="3432"/>
      <c r="I380" s="3432"/>
      <c r="J380" s="3423">
        <v>2.4280755183390099E-10</v>
      </c>
      <c r="K380" s="3453">
        <v>4.5853340212938596</v>
      </c>
      <c r="L380" s="3454">
        <v>4.4753160626902599E-2</v>
      </c>
      <c r="M380" s="3432"/>
      <c r="N380" s="3432"/>
      <c r="O380" s="3432"/>
      <c r="P380" s="3432"/>
      <c r="Q380" s="3432"/>
      <c r="R380" s="3451">
        <v>0.46534472141620897</v>
      </c>
      <c r="S380" s="3432"/>
      <c r="T380" s="3432"/>
      <c r="U380" s="3454">
        <v>4.5638024623963901E-2</v>
      </c>
      <c r="V380" s="3432"/>
      <c r="W380" s="3449">
        <v>6.9466545375141698E-6</v>
      </c>
      <c r="X380" s="3454">
        <v>4.4976733585678302E-2</v>
      </c>
      <c r="Y380" s="3432"/>
      <c r="Z380" s="3432"/>
      <c r="AA380" s="3432"/>
      <c r="AB380" s="3432"/>
      <c r="AC380" s="3432"/>
      <c r="AD380" s="3432"/>
      <c r="AE380" s="3432"/>
      <c r="AF380" s="3449">
        <v>6.9466545375141698E-6</v>
      </c>
      <c r="AG380" s="3432"/>
      <c r="AH380" s="3432"/>
      <c r="AI380" s="3432"/>
      <c r="AJ380" s="3432"/>
      <c r="AK380" s="3454">
        <v>4.4289984502418098E-2</v>
      </c>
      <c r="AL380" s="3454">
        <v>4.5638362953991797E-2</v>
      </c>
      <c r="AM380" s="3451">
        <v>0.46541057117541301</v>
      </c>
      <c r="AN380" s="3772">
        <v>5.1954106527306702E-9</v>
      </c>
      <c r="AO380" s="3426"/>
    </row>
    <row r="381" spans="1:41">
      <c r="A381" s="5047" t="s">
        <v>10</v>
      </c>
      <c r="B381" s="5048"/>
      <c r="C381" s="3452">
        <v>1.0495325688200301E-3</v>
      </c>
      <c r="D381" s="3460">
        <v>1.6340444883361301E-4</v>
      </c>
      <c r="E381" s="3432"/>
      <c r="F381" s="3755">
        <v>4.3052583756962299</v>
      </c>
      <c r="G381" s="3452">
        <v>1.89170987947433E-3</v>
      </c>
      <c r="H381" s="3432"/>
      <c r="I381" s="3432"/>
      <c r="J381" s="3423">
        <v>4.1362128056598199E-11</v>
      </c>
      <c r="K381" s="3453">
        <v>3.6126874107163802</v>
      </c>
      <c r="L381" s="3454">
        <v>3.7297313380066498E-2</v>
      </c>
      <c r="M381" s="3432"/>
      <c r="N381" s="3432"/>
      <c r="O381" s="3432"/>
      <c r="P381" s="3432"/>
      <c r="Q381" s="3432"/>
      <c r="R381" s="3451">
        <v>0.36671887697576999</v>
      </c>
      <c r="S381" s="3432"/>
      <c r="T381" s="3432"/>
      <c r="U381" s="3454">
        <v>3.80801177928295E-2</v>
      </c>
      <c r="V381" s="3432"/>
      <c r="W381" s="3449">
        <v>2.0987541813166301E-6</v>
      </c>
      <c r="X381" s="3454">
        <v>3.7460733776117298E-2</v>
      </c>
      <c r="Y381" s="3432"/>
      <c r="Z381" s="3432"/>
      <c r="AA381" s="3432"/>
      <c r="AB381" s="3432"/>
      <c r="AC381" s="3432"/>
      <c r="AD381" s="3432"/>
      <c r="AE381" s="3432"/>
      <c r="AF381" s="3449">
        <v>2.0987541813166301E-6</v>
      </c>
      <c r="AG381" s="3432"/>
      <c r="AH381" s="3432"/>
      <c r="AI381" s="3432"/>
      <c r="AJ381" s="3432"/>
      <c r="AK381" s="3454">
        <v>3.70553555172723E-2</v>
      </c>
      <c r="AL381" s="3454">
        <v>3.80803179204851E-2</v>
      </c>
      <c r="AM381" s="3451">
        <v>0.36675489326969102</v>
      </c>
      <c r="AN381" s="3772">
        <v>4.6606469547070798E-9</v>
      </c>
      <c r="AO381" s="3426"/>
    </row>
    <row r="382" spans="1:41">
      <c r="A382" s="5047" t="s">
        <v>9</v>
      </c>
      <c r="B382" s="5048"/>
      <c r="C382" s="3460">
        <v>8.9041416470751202E-4</v>
      </c>
      <c r="D382" s="3460">
        <v>1.37383100570784E-4</v>
      </c>
      <c r="E382" s="3432"/>
      <c r="F382" s="3755">
        <v>3.4442067005569799</v>
      </c>
      <c r="G382" s="3452">
        <v>1.24910432841519E-3</v>
      </c>
      <c r="H382" s="3432"/>
      <c r="I382" s="3432"/>
      <c r="J382" s="3423">
        <v>3.1973570552051898E-10</v>
      </c>
      <c r="K382" s="3453">
        <v>2.9179398317324599</v>
      </c>
      <c r="L382" s="3454">
        <v>2.98289544205214E-2</v>
      </c>
      <c r="M382" s="3432"/>
      <c r="N382" s="3432"/>
      <c r="O382" s="3432"/>
      <c r="P382" s="3432"/>
      <c r="Q382" s="3432"/>
      <c r="R382" s="3451">
        <v>0.29549911991009598</v>
      </c>
      <c r="S382" s="3432"/>
      <c r="T382" s="3432"/>
      <c r="U382" s="3454">
        <v>3.0526769478765699E-2</v>
      </c>
      <c r="V382" s="3432"/>
      <c r="W382" s="3449">
        <v>1.22977350401775E-5</v>
      </c>
      <c r="X382" s="3454">
        <v>2.9966414520611401E-2</v>
      </c>
      <c r="Y382" s="3432"/>
      <c r="Z382" s="3432"/>
      <c r="AA382" s="3432"/>
      <c r="AB382" s="3432"/>
      <c r="AC382" s="3432"/>
      <c r="AD382" s="3432"/>
      <c r="AE382" s="3432"/>
      <c r="AF382" s="3449">
        <v>1.22977350401775E-5</v>
      </c>
      <c r="AG382" s="3432"/>
      <c r="AH382" s="3432"/>
      <c r="AI382" s="3432"/>
      <c r="AJ382" s="3432"/>
      <c r="AK382" s="3454">
        <v>2.9655209118396201E-2</v>
      </c>
      <c r="AL382" s="3454">
        <v>3.0526922343557101E-2</v>
      </c>
      <c r="AM382" s="3451">
        <v>0.29552702365099398</v>
      </c>
      <c r="AN382" s="3772">
        <v>3.8369874787001299E-9</v>
      </c>
      <c r="AO382" s="3426"/>
    </row>
    <row r="383" spans="1:41">
      <c r="A383" s="5047" t="s">
        <v>11</v>
      </c>
      <c r="B383" s="5048"/>
      <c r="C383" s="3460">
        <v>9.2716191726651895E-4</v>
      </c>
      <c r="D383" s="3460">
        <v>1.28401111693458E-4</v>
      </c>
      <c r="E383" s="3432"/>
      <c r="F383" s="3755">
        <v>3.4442067005569799</v>
      </c>
      <c r="G383" s="3452">
        <v>1.1599630372233201E-3</v>
      </c>
      <c r="H383" s="3432"/>
      <c r="I383" s="3432"/>
      <c r="J383" s="3423">
        <v>4.4577750456658302E-8</v>
      </c>
      <c r="K383" s="3453">
        <v>2.9179398317324599</v>
      </c>
      <c r="L383" s="3454">
        <v>2.9009412308684899E-2</v>
      </c>
      <c r="M383" s="3432"/>
      <c r="N383" s="3432"/>
      <c r="O383" s="3432"/>
      <c r="P383" s="3432"/>
      <c r="Q383" s="3432"/>
      <c r="R383" s="3451">
        <v>0.27810746109228501</v>
      </c>
      <c r="S383" s="3432"/>
      <c r="T383" s="3432"/>
      <c r="U383" s="3454">
        <v>2.97132770837822E-2</v>
      </c>
      <c r="V383" s="3432"/>
      <c r="W383" s="3460">
        <v>9.0251841149209403E-4</v>
      </c>
      <c r="X383" s="3454">
        <v>2.9141062795275299E-2</v>
      </c>
      <c r="Y383" s="3432"/>
      <c r="Z383" s="3432"/>
      <c r="AA383" s="3432"/>
      <c r="AB383" s="3432"/>
      <c r="AC383" s="3432"/>
      <c r="AD383" s="3432"/>
      <c r="AE383" s="3432"/>
      <c r="AF383" s="3460">
        <v>9.0251841149209403E-4</v>
      </c>
      <c r="AG383" s="3432"/>
      <c r="AH383" s="3432"/>
      <c r="AI383" s="3432"/>
      <c r="AJ383" s="3432"/>
      <c r="AK383" s="3454">
        <v>2.88030598253694E-2</v>
      </c>
      <c r="AL383" s="3454">
        <v>2.9713415855215301E-2</v>
      </c>
      <c r="AM383" s="3451">
        <v>0.278131905322833</v>
      </c>
      <c r="AN383" s="3772">
        <v>3.5433873860807399E-9</v>
      </c>
      <c r="AO383" s="3426"/>
    </row>
    <row r="384" spans="1:41">
      <c r="A384" s="5047" t="s">
        <v>12</v>
      </c>
      <c r="B384" s="5048"/>
      <c r="C384" s="3452">
        <v>2.0113597626708998E-3</v>
      </c>
      <c r="D384" s="3460">
        <v>3.1728964219275303E-4</v>
      </c>
      <c r="E384" s="3432"/>
      <c r="F384" s="3755">
        <v>7.6059564637300001</v>
      </c>
      <c r="G384" s="3452">
        <v>1.9739552370262002E-3</v>
      </c>
      <c r="H384" s="3432"/>
      <c r="I384" s="3432"/>
      <c r="J384" s="3423">
        <v>1.3105722930744099E-9</v>
      </c>
      <c r="K384" s="3453">
        <v>6.6695767582456202</v>
      </c>
      <c r="L384" s="3454">
        <v>6.7099102340901204E-2</v>
      </c>
      <c r="M384" s="3432"/>
      <c r="N384" s="3432"/>
      <c r="O384" s="3432"/>
      <c r="P384" s="3432"/>
      <c r="Q384" s="3432"/>
      <c r="R384" s="3451">
        <v>0.68351369761361003</v>
      </c>
      <c r="S384" s="3432"/>
      <c r="T384" s="3432"/>
      <c r="U384" s="3454">
        <v>6.8879970153100697E-2</v>
      </c>
      <c r="V384" s="3432"/>
      <c r="W384" s="3449">
        <v>4.57111036356703E-5</v>
      </c>
      <c r="X384" s="3454">
        <v>6.7416690304765797E-2</v>
      </c>
      <c r="Y384" s="3432"/>
      <c r="Z384" s="3432"/>
      <c r="AA384" s="3432"/>
      <c r="AB384" s="3432"/>
      <c r="AC384" s="3432"/>
      <c r="AD384" s="3432"/>
      <c r="AE384" s="3432"/>
      <c r="AF384" s="3449">
        <v>4.57111036356703E-5</v>
      </c>
      <c r="AG384" s="3432"/>
      <c r="AH384" s="3432"/>
      <c r="AI384" s="3432"/>
      <c r="AJ384" s="3432"/>
      <c r="AK384" s="3454">
        <v>6.6899633550544901E-2</v>
      </c>
      <c r="AL384" s="3454">
        <v>6.8880223451034797E-2</v>
      </c>
      <c r="AM384" s="3451">
        <v>0.68356055766118295</v>
      </c>
      <c r="AN384" s="3772">
        <v>1.01664502224906E-8</v>
      </c>
      <c r="AO384" s="3426"/>
    </row>
    <row r="385" spans="1:41">
      <c r="A385" s="5047" t="s">
        <v>48</v>
      </c>
      <c r="B385" s="5048"/>
      <c r="C385" s="3447">
        <v>0</v>
      </c>
      <c r="D385" s="3447">
        <v>0</v>
      </c>
      <c r="E385" s="3432"/>
      <c r="F385" s="3752">
        <v>0</v>
      </c>
      <c r="G385" s="3447">
        <v>0</v>
      </c>
      <c r="H385" s="3432"/>
      <c r="I385" s="3432"/>
      <c r="J385" s="3411">
        <v>0</v>
      </c>
      <c r="K385" s="3447">
        <v>0</v>
      </c>
      <c r="L385" s="3447">
        <v>0</v>
      </c>
      <c r="M385" s="3432"/>
      <c r="N385" s="3432"/>
      <c r="O385" s="3432"/>
      <c r="P385" s="3432"/>
      <c r="Q385" s="3432"/>
      <c r="R385" s="3447">
        <v>0</v>
      </c>
      <c r="S385" s="3432"/>
      <c r="T385" s="3432"/>
      <c r="U385" s="3447">
        <v>0</v>
      </c>
      <c r="V385" s="3432"/>
      <c r="W385" s="3447">
        <v>0</v>
      </c>
      <c r="X385" s="3447">
        <v>0</v>
      </c>
      <c r="Y385" s="3432"/>
      <c r="Z385" s="3432"/>
      <c r="AA385" s="3432"/>
      <c r="AB385" s="3432"/>
      <c r="AC385" s="3432"/>
      <c r="AD385" s="3432"/>
      <c r="AE385" s="3432"/>
      <c r="AF385" s="3447">
        <v>0</v>
      </c>
      <c r="AG385" s="3432"/>
      <c r="AH385" s="3432"/>
      <c r="AI385" s="3432"/>
      <c r="AJ385" s="3432"/>
      <c r="AK385" s="3447">
        <v>0</v>
      </c>
      <c r="AL385" s="3447">
        <v>0</v>
      </c>
      <c r="AM385" s="3447">
        <v>0</v>
      </c>
      <c r="AN385" s="3766">
        <v>0</v>
      </c>
      <c r="AO385" s="3426"/>
    </row>
    <row r="386" spans="1:41">
      <c r="A386" s="5047" t="s">
        <v>751</v>
      </c>
      <c r="B386" s="5048"/>
      <c r="C386" s="3460">
        <v>6.52289266853891E-4</v>
      </c>
      <c r="D386" s="3460">
        <v>1.03216684458356E-4</v>
      </c>
      <c r="E386" s="3432"/>
      <c r="F386" s="3755">
        <v>2.87017225046415</v>
      </c>
      <c r="G386" s="3460">
        <v>7.5268664781389597E-4</v>
      </c>
      <c r="H386" s="3432"/>
      <c r="I386" s="3432"/>
      <c r="J386" s="3423">
        <v>9.7854496024039996E-12</v>
      </c>
      <c r="K386" s="3453">
        <v>2.3621417685453201</v>
      </c>
      <c r="L386" s="3454">
        <v>2.2378665407063601E-2</v>
      </c>
      <c r="M386" s="3432"/>
      <c r="N386" s="3432"/>
      <c r="O386" s="3432"/>
      <c r="P386" s="3432"/>
      <c r="Q386" s="3432"/>
      <c r="R386" s="3451">
        <v>0.56006227154942301</v>
      </c>
      <c r="S386" s="3432"/>
      <c r="T386" s="3432"/>
      <c r="U386" s="3454">
        <v>2.30079486701153E-2</v>
      </c>
      <c r="V386" s="3432"/>
      <c r="W386" s="3449">
        <v>7.1902999646483303E-7</v>
      </c>
      <c r="X386" s="3454">
        <v>2.2481887025555002E-2</v>
      </c>
      <c r="Y386" s="3432"/>
      <c r="Z386" s="3432"/>
      <c r="AA386" s="3432"/>
      <c r="AB386" s="3432"/>
      <c r="AC386" s="3432"/>
      <c r="AD386" s="3432"/>
      <c r="AE386" s="3432"/>
      <c r="AF386" s="3449">
        <v>7.1902999646483303E-7</v>
      </c>
      <c r="AG386" s="3432"/>
      <c r="AH386" s="3432"/>
      <c r="AI386" s="3432"/>
      <c r="AJ386" s="3432"/>
      <c r="AK386" s="3454">
        <v>2.2362907367585599E-2</v>
      </c>
      <c r="AL386" s="3454">
        <v>2.3008007786401601E-2</v>
      </c>
      <c r="AM386" s="3451">
        <v>0.56008868150972602</v>
      </c>
      <c r="AN386" s="3772">
        <v>3.6045925382183799E-9</v>
      </c>
      <c r="AO386" s="3426"/>
    </row>
    <row r="387" spans="1:41">
      <c r="A387" s="5047" t="s">
        <v>65</v>
      </c>
      <c r="B387" s="5048"/>
      <c r="C387" s="3452">
        <v>2.0695335097856201E-3</v>
      </c>
      <c r="D387" s="3460">
        <v>3.2670006684413301E-4</v>
      </c>
      <c r="E387" s="3432"/>
      <c r="F387" s="3755">
        <v>8.4670081388692502</v>
      </c>
      <c r="G387" s="3460">
        <v>8.27465770190635E-4</v>
      </c>
      <c r="H387" s="3432"/>
      <c r="I387" s="3432"/>
      <c r="J387" s="3423">
        <v>1.1920355056763401E-10</v>
      </c>
      <c r="K387" s="3453">
        <v>8.0590719162134601</v>
      </c>
      <c r="L387" s="3454">
        <v>8.2048501960080206E-2</v>
      </c>
      <c r="M387" s="3432"/>
      <c r="N387" s="3432"/>
      <c r="O387" s="3432"/>
      <c r="P387" s="3432"/>
      <c r="Q387" s="3432"/>
      <c r="R387" s="3451">
        <v>0.84642065516017895</v>
      </c>
      <c r="S387" s="3432"/>
      <c r="T387" s="3432"/>
      <c r="U387" s="3454">
        <v>8.4131966866389699E-2</v>
      </c>
      <c r="V387" s="3432"/>
      <c r="W387" s="3449">
        <v>1.11462080340554E-5</v>
      </c>
      <c r="X387" s="3454">
        <v>8.2375239700330699E-2</v>
      </c>
      <c r="Y387" s="3432"/>
      <c r="Z387" s="3432"/>
      <c r="AA387" s="3432"/>
      <c r="AB387" s="3432"/>
      <c r="AC387" s="3432"/>
      <c r="AD387" s="3432"/>
      <c r="AE387" s="3432"/>
      <c r="AF387" s="3449">
        <v>1.11462080340554E-5</v>
      </c>
      <c r="AG387" s="3432"/>
      <c r="AH387" s="3432"/>
      <c r="AI387" s="3432"/>
      <c r="AJ387" s="3432"/>
      <c r="AK387" s="3454">
        <v>8.2080358065020606E-2</v>
      </c>
      <c r="AL387" s="3454">
        <v>8.41321122006575E-2</v>
      </c>
      <c r="AM387" s="3451">
        <v>0.84644726950226901</v>
      </c>
      <c r="AN387" s="3772">
        <v>1.8294574828010201E-8</v>
      </c>
      <c r="AO387" s="3426"/>
    </row>
    <row r="388" spans="1:41">
      <c r="A388" s="5047" t="s">
        <v>13</v>
      </c>
      <c r="B388" s="5048"/>
      <c r="C388" s="3452">
        <v>1.24467929556654E-3</v>
      </c>
      <c r="D388" s="3460">
        <v>1.97845744503467E-4</v>
      </c>
      <c r="E388" s="3432"/>
      <c r="F388" s="3755">
        <v>5.3098186633586799</v>
      </c>
      <c r="G388" s="3447">
        <v>0</v>
      </c>
      <c r="H388" s="3432"/>
      <c r="I388" s="3432"/>
      <c r="J388" s="3423">
        <v>5.8860359831659702E-12</v>
      </c>
      <c r="K388" s="3453">
        <v>5.4190311160745699</v>
      </c>
      <c r="L388" s="3454">
        <v>5.2217856450413797E-2</v>
      </c>
      <c r="M388" s="3432"/>
      <c r="N388" s="3432"/>
      <c r="O388" s="3432"/>
      <c r="P388" s="3432"/>
      <c r="Q388" s="3432"/>
      <c r="R388" s="3451">
        <v>0.27864052510350701</v>
      </c>
      <c r="S388" s="3432"/>
      <c r="T388" s="3432"/>
      <c r="U388" s="3454">
        <v>5.3456516613387399E-2</v>
      </c>
      <c r="V388" s="3432"/>
      <c r="W388" s="3449">
        <v>6.9305831985848703E-7</v>
      </c>
      <c r="X388" s="3454">
        <v>5.2415706010608597E-2</v>
      </c>
      <c r="Y388" s="3432"/>
      <c r="Z388" s="3432"/>
      <c r="AA388" s="3432"/>
      <c r="AB388" s="3432"/>
      <c r="AC388" s="3432"/>
      <c r="AD388" s="3432"/>
      <c r="AE388" s="3432"/>
      <c r="AF388" s="3449">
        <v>6.9305831985848703E-7</v>
      </c>
      <c r="AG388" s="3432"/>
      <c r="AH388" s="3432"/>
      <c r="AI388" s="3432"/>
      <c r="AJ388" s="3432"/>
      <c r="AK388" s="3454">
        <v>5.2223593654282197E-2</v>
      </c>
      <c r="AL388" s="3454">
        <v>5.3456611882873699E-2</v>
      </c>
      <c r="AM388" s="3451">
        <v>0.27864949011076101</v>
      </c>
      <c r="AN388" s="3772">
        <v>1.12066054834817E-8</v>
      </c>
      <c r="AO388" s="3426"/>
    </row>
    <row r="389" spans="1:41">
      <c r="A389" s="5047" t="s">
        <v>14</v>
      </c>
      <c r="B389" s="5048"/>
      <c r="C389" s="3452">
        <v>1.21808600461722E-3</v>
      </c>
      <c r="D389" s="3460">
        <v>1.8306204773698199E-4</v>
      </c>
      <c r="E389" s="3432"/>
      <c r="F389" s="3755">
        <v>5.0228014383122703</v>
      </c>
      <c r="G389" s="3447">
        <v>0</v>
      </c>
      <c r="H389" s="3432"/>
      <c r="I389" s="3432"/>
      <c r="J389" s="3423">
        <v>4.5225636336827698E-9</v>
      </c>
      <c r="K389" s="3453">
        <v>5.0021825686842103</v>
      </c>
      <c r="L389" s="3454">
        <v>5.1921449568872402E-2</v>
      </c>
      <c r="M389" s="3432"/>
      <c r="N389" s="3432"/>
      <c r="O389" s="3432"/>
      <c r="P389" s="3432"/>
      <c r="Q389" s="3432"/>
      <c r="R389" s="3451">
        <v>0.50282532734847496</v>
      </c>
      <c r="S389" s="3432"/>
      <c r="T389" s="3432"/>
      <c r="U389" s="3454">
        <v>5.3116925323877601E-2</v>
      </c>
      <c r="V389" s="3432"/>
      <c r="W389" s="3460">
        <v>3.5453914369005298E-4</v>
      </c>
      <c r="X389" s="3454">
        <v>5.2105225979697599E-2</v>
      </c>
      <c r="Y389" s="3432"/>
      <c r="Z389" s="3432"/>
      <c r="AA389" s="3432"/>
      <c r="AB389" s="3432"/>
      <c r="AC389" s="3432"/>
      <c r="AD389" s="3432"/>
      <c r="AE389" s="3432"/>
      <c r="AF389" s="3460">
        <v>3.5453914369005298E-4</v>
      </c>
      <c r="AG389" s="3432"/>
      <c r="AH389" s="3432"/>
      <c r="AI389" s="3432"/>
      <c r="AJ389" s="3432"/>
      <c r="AK389" s="3454">
        <v>5.1907693018392403E-2</v>
      </c>
      <c r="AL389" s="3454">
        <v>5.31169975516134E-2</v>
      </c>
      <c r="AM389" s="3451">
        <v>0.50283760437283098</v>
      </c>
      <c r="AN389" s="3772">
        <v>1.36311243118358E-8</v>
      </c>
      <c r="AO389" s="3426"/>
    </row>
    <row r="390" spans="1:41">
      <c r="A390" s="5047" t="s">
        <v>424</v>
      </c>
      <c r="B390" s="5048"/>
      <c r="C390" s="3452">
        <v>1.75534150499858E-3</v>
      </c>
      <c r="D390" s="3460">
        <v>2.7527842050282001E-4</v>
      </c>
      <c r="E390" s="3432"/>
      <c r="F390" s="3755">
        <v>9.7585856515781195</v>
      </c>
      <c r="G390" s="3447">
        <v>0</v>
      </c>
      <c r="H390" s="3432"/>
      <c r="I390" s="3432"/>
      <c r="J390" s="3423">
        <v>4.58315547614766E-13</v>
      </c>
      <c r="K390" s="3453">
        <v>9.8654156215716498</v>
      </c>
      <c r="L390" s="3451">
        <v>0.10443660324902899</v>
      </c>
      <c r="M390" s="3432"/>
      <c r="N390" s="3432"/>
      <c r="O390" s="3432"/>
      <c r="P390" s="3432"/>
      <c r="Q390" s="3432"/>
      <c r="R390" s="3453">
        <v>1.09510033517912</v>
      </c>
      <c r="S390" s="3432"/>
      <c r="T390" s="3432"/>
      <c r="U390" s="3451">
        <v>0.10634176056740501</v>
      </c>
      <c r="V390" s="3432"/>
      <c r="W390" s="3449">
        <v>1.90382800676026E-7</v>
      </c>
      <c r="X390" s="3451">
        <v>0.104711882067345</v>
      </c>
      <c r="Y390" s="3432"/>
      <c r="Z390" s="3432"/>
      <c r="AA390" s="3432"/>
      <c r="AB390" s="3432"/>
      <c r="AC390" s="3432"/>
      <c r="AD390" s="3432"/>
      <c r="AE390" s="3432"/>
      <c r="AF390" s="3449">
        <v>1.90382800676026E-7</v>
      </c>
      <c r="AG390" s="3432"/>
      <c r="AH390" s="3432"/>
      <c r="AI390" s="3432"/>
      <c r="AJ390" s="3432"/>
      <c r="AK390" s="3451">
        <v>0.104593701307124</v>
      </c>
      <c r="AL390" s="3451">
        <v>0.106341819295887</v>
      </c>
      <c r="AM390" s="3453">
        <v>1.0951108212874701</v>
      </c>
      <c r="AN390" s="3772">
        <v>5.60826440766593E-8</v>
      </c>
      <c r="AO390" s="3426"/>
    </row>
    <row r="391" spans="1:41">
      <c r="A391" s="5047" t="s">
        <v>16</v>
      </c>
      <c r="B391" s="5048"/>
      <c r="C391" s="3449">
        <v>5.17568089999895E-5</v>
      </c>
      <c r="D391" s="3449">
        <v>8.5234866180364099E-6</v>
      </c>
      <c r="E391" s="3432"/>
      <c r="F391" s="3754">
        <v>0.28701722504641503</v>
      </c>
      <c r="G391" s="3447">
        <v>0</v>
      </c>
      <c r="H391" s="3432"/>
      <c r="I391" s="3432"/>
      <c r="J391" s="3411">
        <v>0</v>
      </c>
      <c r="K391" s="3451">
        <v>0.27789903159356699</v>
      </c>
      <c r="L391" s="3447">
        <v>0</v>
      </c>
      <c r="M391" s="3432"/>
      <c r="N391" s="3432"/>
      <c r="O391" s="3432"/>
      <c r="P391" s="3432"/>
      <c r="Q391" s="3432"/>
      <c r="R391" s="3454">
        <v>3.0262086315285399E-2</v>
      </c>
      <c r="S391" s="3432"/>
      <c r="T391" s="3432"/>
      <c r="U391" s="3449">
        <v>6.0340943420292999E-5</v>
      </c>
      <c r="V391" s="3432"/>
      <c r="W391" s="3449">
        <v>1.5897439518180099E-8</v>
      </c>
      <c r="X391" s="3449">
        <v>8.5889589376264705E-6</v>
      </c>
      <c r="Y391" s="3432"/>
      <c r="Z391" s="3432"/>
      <c r="AA391" s="3432"/>
      <c r="AB391" s="3432"/>
      <c r="AC391" s="3432"/>
      <c r="AD391" s="3432"/>
      <c r="AE391" s="3432"/>
      <c r="AF391" s="3449">
        <v>1.5897439518180099E-8</v>
      </c>
      <c r="AG391" s="3432"/>
      <c r="AH391" s="3432"/>
      <c r="AI391" s="3432"/>
      <c r="AJ391" s="3432"/>
      <c r="AK391" s="3449">
        <v>8.5789315188525492E-6</v>
      </c>
      <c r="AL391" s="3449">
        <v>6.0340969953042603E-5</v>
      </c>
      <c r="AM391" s="3454">
        <v>3.02623159469614E-2</v>
      </c>
      <c r="AN391" s="3772">
        <v>2.1695134115890702E-9</v>
      </c>
      <c r="AO391" s="3426"/>
    </row>
    <row r="392" spans="1:41">
      <c r="A392" s="5047" t="s">
        <v>770</v>
      </c>
      <c r="B392" s="5048"/>
      <c r="C392" s="3460">
        <v>5.4617677667599901E-4</v>
      </c>
      <c r="D392" s="3449">
        <v>8.5489131870274501E-5</v>
      </c>
      <c r="E392" s="3432"/>
      <c r="F392" s="3755">
        <v>3.0136808629873602</v>
      </c>
      <c r="G392" s="3447">
        <v>0</v>
      </c>
      <c r="H392" s="3432"/>
      <c r="I392" s="3432"/>
      <c r="J392" s="3423">
        <v>1.58808224670825E-10</v>
      </c>
      <c r="K392" s="3453">
        <v>3.19583886332603</v>
      </c>
      <c r="L392" s="3454">
        <v>2.98125797508457E-2</v>
      </c>
      <c r="M392" s="3432"/>
      <c r="N392" s="3432"/>
      <c r="O392" s="3432"/>
      <c r="P392" s="3432"/>
      <c r="Q392" s="3432"/>
      <c r="R392" s="3451">
        <v>0.31980598116522702</v>
      </c>
      <c r="S392" s="3432"/>
      <c r="T392" s="3432"/>
      <c r="U392" s="3454">
        <v>3.04107292267983E-2</v>
      </c>
      <c r="V392" s="3432"/>
      <c r="W392" s="3449">
        <v>3.4604814917644903E-5</v>
      </c>
      <c r="X392" s="3454">
        <v>2.98980862917319E-2</v>
      </c>
      <c r="Y392" s="3432"/>
      <c r="Z392" s="3432"/>
      <c r="AA392" s="3432"/>
      <c r="AB392" s="3432"/>
      <c r="AC392" s="3432"/>
      <c r="AD392" s="3432"/>
      <c r="AE392" s="3432"/>
      <c r="AF392" s="3449">
        <v>3.4604814917644903E-5</v>
      </c>
      <c r="AG392" s="3432"/>
      <c r="AH392" s="3432"/>
      <c r="AI392" s="3432"/>
      <c r="AJ392" s="3432"/>
      <c r="AK392" s="3454">
        <v>2.9866046160953699E-2</v>
      </c>
      <c r="AL392" s="3454">
        <v>3.04107414157277E-2</v>
      </c>
      <c r="AM392" s="3451">
        <v>0.31980818406459499</v>
      </c>
      <c r="AN392" s="3772">
        <v>2.5649875123617502E-8</v>
      </c>
      <c r="AO392" s="3426"/>
    </row>
    <row r="393" spans="1:41">
      <c r="A393" s="5047" t="s">
        <v>833</v>
      </c>
      <c r="B393" s="5048"/>
      <c r="C393" s="3452">
        <v>1.0488656865347301E-3</v>
      </c>
      <c r="D393" s="3460">
        <v>1.6344777988954999E-4</v>
      </c>
      <c r="E393" s="3432"/>
      <c r="F393" s="3755">
        <v>8.8975339764388703</v>
      </c>
      <c r="G393" s="3447">
        <v>0</v>
      </c>
      <c r="H393" s="3432"/>
      <c r="I393" s="3432"/>
      <c r="J393" s="3423">
        <v>2.9336270829357099E-14</v>
      </c>
      <c r="K393" s="3453">
        <v>9.3096175583845096</v>
      </c>
      <c r="L393" s="3454">
        <v>8.9517156890424998E-2</v>
      </c>
      <c r="M393" s="3432"/>
      <c r="N393" s="3432"/>
      <c r="O393" s="3432"/>
      <c r="P393" s="3432"/>
      <c r="Q393" s="3432"/>
      <c r="R393" s="3451">
        <v>0.99199464288584904</v>
      </c>
      <c r="S393" s="3432"/>
      <c r="T393" s="3432"/>
      <c r="U393" s="3454">
        <v>9.0694562756420599E-2</v>
      </c>
      <c r="V393" s="3432"/>
      <c r="W393" s="3449">
        <v>4.4648078708143501E-8</v>
      </c>
      <c r="X393" s="3454">
        <v>8.9680604564968305E-2</v>
      </c>
      <c r="Y393" s="3432"/>
      <c r="Z393" s="3432"/>
      <c r="AA393" s="3432"/>
      <c r="AB393" s="3432"/>
      <c r="AC393" s="3432"/>
      <c r="AD393" s="3432"/>
      <c r="AE393" s="3432"/>
      <c r="AF393" s="3449">
        <v>4.4648078708143501E-8</v>
      </c>
      <c r="AG393" s="3432"/>
      <c r="AH393" s="3432"/>
      <c r="AI393" s="3432"/>
      <c r="AJ393" s="3432"/>
      <c r="AK393" s="3454">
        <v>8.9647736543671502E-2</v>
      </c>
      <c r="AL393" s="3454">
        <v>9.06945791510127E-2</v>
      </c>
      <c r="AM393" s="3451">
        <v>0.99199761329329705</v>
      </c>
      <c r="AN393" s="3772">
        <v>1.4483408104317601E-7</v>
      </c>
      <c r="AO393" s="3426"/>
    </row>
    <row r="394" spans="1:41">
      <c r="A394" s="5047" t="s">
        <v>834</v>
      </c>
      <c r="B394" s="5048"/>
      <c r="C394" s="3460">
        <v>5.7322050397942096E-4</v>
      </c>
      <c r="D394" s="3449">
        <v>9.4627847803442197E-5</v>
      </c>
      <c r="E394" s="3432"/>
      <c r="F394" s="3755">
        <v>8.03648230129963</v>
      </c>
      <c r="G394" s="3447">
        <v>0</v>
      </c>
      <c r="H394" s="3432"/>
      <c r="I394" s="3432"/>
      <c r="J394" s="3423">
        <v>1.8614129229155099E-15</v>
      </c>
      <c r="K394" s="3453">
        <v>8.4759204636038099</v>
      </c>
      <c r="L394" s="3454">
        <v>8.9517187813648799E-2</v>
      </c>
      <c r="M394" s="3432"/>
      <c r="N394" s="3432"/>
      <c r="O394" s="3432"/>
      <c r="P394" s="3432"/>
      <c r="Q394" s="3432"/>
      <c r="R394" s="3451">
        <v>0.955727503059699</v>
      </c>
      <c r="S394" s="3432"/>
      <c r="T394" s="3432"/>
      <c r="U394" s="3454">
        <v>9.0173243735603106E-2</v>
      </c>
      <c r="V394" s="3432"/>
      <c r="W394" s="3449">
        <v>4.6310112652381902E-9</v>
      </c>
      <c r="X394" s="3454">
        <v>8.9611815639180095E-2</v>
      </c>
      <c r="Y394" s="3432"/>
      <c r="Z394" s="3432"/>
      <c r="AA394" s="3432"/>
      <c r="AB394" s="3432"/>
      <c r="AC394" s="3432"/>
      <c r="AD394" s="3432"/>
      <c r="AE394" s="3432"/>
      <c r="AF394" s="3449">
        <v>4.6310112652381902E-9</v>
      </c>
      <c r="AG394" s="3432"/>
      <c r="AH394" s="3432"/>
      <c r="AI394" s="3432"/>
      <c r="AJ394" s="3432"/>
      <c r="AK394" s="3454">
        <v>8.9600717115152495E-2</v>
      </c>
      <c r="AL394" s="3454">
        <v>9.01732492861652E-2</v>
      </c>
      <c r="AM394" s="3451">
        <v>0.95572844129148005</v>
      </c>
      <c r="AN394" s="3772">
        <v>3.5226841071854199E-7</v>
      </c>
      <c r="AO394" s="3426"/>
    </row>
    <row r="395" spans="1:41" ht="13" thickBot="1">
      <c r="A395" s="5053" t="s">
        <v>752</v>
      </c>
      <c r="B395" s="5054"/>
      <c r="C395" s="3496">
        <v>4.7842172813197098E-4</v>
      </c>
      <c r="D395" s="3481">
        <v>7.7422804125022894E-5</v>
      </c>
      <c r="E395" s="3494"/>
      <c r="F395" s="3759">
        <v>43.913635432101501</v>
      </c>
      <c r="G395" s="3495">
        <v>0</v>
      </c>
      <c r="H395" s="3494"/>
      <c r="I395" s="3494"/>
      <c r="J395" s="3416">
        <v>0</v>
      </c>
      <c r="K395" s="3478">
        <v>46.409138276125802</v>
      </c>
      <c r="L395" s="3484">
        <v>0.477425017519928</v>
      </c>
      <c r="M395" s="3494"/>
      <c r="N395" s="3494"/>
      <c r="O395" s="3494"/>
      <c r="P395" s="3494"/>
      <c r="Q395" s="3494"/>
      <c r="R395" s="3483">
        <v>6.2703693068409301</v>
      </c>
      <c r="S395" s="3494"/>
      <c r="T395" s="3494"/>
      <c r="U395" s="3484">
        <v>0.47798085464580697</v>
      </c>
      <c r="V395" s="3494"/>
      <c r="W395" s="3481">
        <v>6.6331707930941602E-10</v>
      </c>
      <c r="X395" s="3484">
        <v>0.47750244056740898</v>
      </c>
      <c r="Y395" s="3494"/>
      <c r="Z395" s="3494"/>
      <c r="AA395" s="3494"/>
      <c r="AB395" s="3494"/>
      <c r="AC395" s="3494"/>
      <c r="AD395" s="3494"/>
      <c r="AE395" s="3494"/>
      <c r="AF395" s="3481">
        <v>6.6331707930941602E-10</v>
      </c>
      <c r="AG395" s="3494"/>
      <c r="AH395" s="3494"/>
      <c r="AI395" s="3494"/>
      <c r="AJ395" s="3494"/>
      <c r="AK395" s="3484">
        <v>0.47750243335650899</v>
      </c>
      <c r="AL395" s="3484">
        <v>0.47798085464948598</v>
      </c>
      <c r="AM395" s="3483">
        <v>6.27036930739947</v>
      </c>
      <c r="AN395" s="3773">
        <v>1.2772299657616201E-5</v>
      </c>
      <c r="AO395" s="3426"/>
    </row>
    <row r="396" spans="1:41" ht="13" thickTop="1">
      <c r="A396" s="3426"/>
      <c r="B396" s="3426"/>
      <c r="C396" s="3426"/>
      <c r="D396" s="3426"/>
      <c r="E396" s="3426"/>
      <c r="F396" s="3727"/>
      <c r="G396" s="3426"/>
      <c r="H396" s="3426"/>
      <c r="I396" s="3426"/>
      <c r="J396" s="3426"/>
      <c r="K396" s="3426"/>
      <c r="L396" s="3426"/>
      <c r="M396" s="3426"/>
      <c r="N396" s="3426"/>
      <c r="O396" s="3426"/>
      <c r="P396" s="3426"/>
      <c r="Q396" s="3426"/>
      <c r="R396" s="3426"/>
      <c r="S396" s="3426"/>
      <c r="T396" s="3426"/>
      <c r="U396" s="3426"/>
      <c r="V396" s="3426"/>
      <c r="W396" s="3426"/>
      <c r="X396" s="3426"/>
      <c r="Y396" s="3426"/>
      <c r="Z396" s="3426"/>
      <c r="AA396" s="3426"/>
      <c r="AB396" s="3426"/>
      <c r="AC396" s="3426"/>
      <c r="AD396" s="3426"/>
      <c r="AE396" s="3426"/>
      <c r="AF396" s="3426"/>
      <c r="AG396" s="3426"/>
      <c r="AH396" s="3426"/>
      <c r="AI396" s="3426"/>
      <c r="AJ396" s="3426"/>
      <c r="AK396" s="3426"/>
      <c r="AL396" s="3426"/>
      <c r="AM396" s="3426"/>
      <c r="AN396" s="3760"/>
      <c r="AO396" s="3426"/>
    </row>
    <row r="397" spans="1:41" ht="13" thickBot="1">
      <c r="A397" s="3426"/>
      <c r="B397" s="3426"/>
      <c r="C397" s="3426"/>
      <c r="D397" s="3426"/>
      <c r="E397" s="3426"/>
      <c r="F397" s="3727"/>
      <c r="G397" s="3426"/>
      <c r="H397" s="3426"/>
      <c r="I397" s="3426"/>
      <c r="J397" s="3426"/>
      <c r="K397" s="3426"/>
      <c r="L397" s="3426"/>
      <c r="M397" s="3426"/>
      <c r="N397" s="3426"/>
      <c r="O397" s="3426"/>
      <c r="P397" s="3426"/>
      <c r="Q397" s="3426"/>
      <c r="R397" s="3426"/>
      <c r="S397" s="3426"/>
      <c r="T397" s="3426"/>
      <c r="U397" s="3426"/>
      <c r="V397" s="3426"/>
      <c r="W397" s="3426"/>
      <c r="X397" s="3426"/>
      <c r="Y397" s="3426"/>
      <c r="Z397" s="3426"/>
      <c r="AA397" s="3426"/>
      <c r="AB397" s="3426"/>
      <c r="AC397" s="3426"/>
      <c r="AD397" s="3426"/>
      <c r="AE397" s="3426"/>
      <c r="AF397" s="3426"/>
      <c r="AG397" s="3426"/>
      <c r="AH397" s="3426"/>
      <c r="AI397" s="3426"/>
      <c r="AJ397" s="3426"/>
      <c r="AK397" s="3426"/>
      <c r="AL397" s="3426"/>
      <c r="AM397" s="3426"/>
      <c r="AN397" s="3760"/>
      <c r="AO397" s="3426"/>
    </row>
    <row r="398" spans="1:41" ht="14" thickTop="1" thickBot="1">
      <c r="A398" s="3434" t="s">
        <v>389</v>
      </c>
      <c r="B398" s="3435"/>
      <c r="C398" s="3436" t="s">
        <v>821</v>
      </c>
      <c r="D398" s="3436" t="s">
        <v>822</v>
      </c>
      <c r="E398" s="3436" t="s">
        <v>741</v>
      </c>
      <c r="F398" s="3734" t="s">
        <v>823</v>
      </c>
      <c r="G398" s="3436" t="s">
        <v>1304</v>
      </c>
      <c r="H398" s="3436" t="s">
        <v>737</v>
      </c>
      <c r="I398" s="3436" t="s">
        <v>742</v>
      </c>
      <c r="J398" s="3437" t="s">
        <v>1305</v>
      </c>
      <c r="K398" s="3436" t="s">
        <v>824</v>
      </c>
      <c r="L398" s="3436" t="s">
        <v>825</v>
      </c>
      <c r="M398" s="3436" t="s">
        <v>743</v>
      </c>
      <c r="N398" s="3436" t="s">
        <v>827</v>
      </c>
      <c r="O398" s="3436" t="s">
        <v>390</v>
      </c>
      <c r="P398" s="3436" t="s">
        <v>391</v>
      </c>
      <c r="Q398" s="3436" t="s">
        <v>392</v>
      </c>
      <c r="R398" s="3436" t="s">
        <v>393</v>
      </c>
      <c r="S398" s="3436" t="s">
        <v>394</v>
      </c>
      <c r="T398" s="3436" t="s">
        <v>395</v>
      </c>
      <c r="U398" s="3436" t="s">
        <v>396</v>
      </c>
      <c r="V398" s="3436" t="s">
        <v>397</v>
      </c>
      <c r="W398" s="3436" t="s">
        <v>398</v>
      </c>
      <c r="X398" s="3436" t="s">
        <v>399</v>
      </c>
      <c r="Y398" s="3436" t="s">
        <v>400</v>
      </c>
      <c r="Z398" s="3436" t="s">
        <v>401</v>
      </c>
      <c r="AA398" s="3436" t="s">
        <v>402</v>
      </c>
      <c r="AB398" s="3436" t="s">
        <v>403</v>
      </c>
      <c r="AC398" s="3436" t="s">
        <v>404</v>
      </c>
      <c r="AD398" s="3436" t="s">
        <v>405</v>
      </c>
      <c r="AE398" s="3436" t="s">
        <v>406</v>
      </c>
      <c r="AF398" s="3436" t="s">
        <v>407</v>
      </c>
      <c r="AG398" s="3436" t="s">
        <v>408</v>
      </c>
      <c r="AH398" s="3436" t="s">
        <v>409</v>
      </c>
      <c r="AI398" s="3436" t="s">
        <v>410</v>
      </c>
      <c r="AJ398" s="3436" t="s">
        <v>411</v>
      </c>
      <c r="AK398" s="3436" t="s">
        <v>412</v>
      </c>
      <c r="AL398" s="3436" t="s">
        <v>439</v>
      </c>
      <c r="AM398" s="3436" t="s">
        <v>440</v>
      </c>
      <c r="AN398" s="3761" t="s">
        <v>828</v>
      </c>
      <c r="AO398" s="3426"/>
    </row>
    <row r="399" spans="1:41" ht="13">
      <c r="A399" s="3438" t="s">
        <v>427</v>
      </c>
      <c r="B399" s="3427" t="s">
        <v>413</v>
      </c>
      <c r="C399" s="3428" t="s">
        <v>414</v>
      </c>
      <c r="D399" s="3428" t="s">
        <v>414</v>
      </c>
      <c r="E399" s="3428" t="s">
        <v>414</v>
      </c>
      <c r="F399" s="3728" t="s">
        <v>414</v>
      </c>
      <c r="G399" s="3428" t="s">
        <v>414</v>
      </c>
      <c r="H399" s="3428" t="s">
        <v>414</v>
      </c>
      <c r="I399" s="3428" t="s">
        <v>414</v>
      </c>
      <c r="J399" s="3439" t="s">
        <v>414</v>
      </c>
      <c r="K399" s="3428" t="s">
        <v>414</v>
      </c>
      <c r="L399" s="3428" t="s">
        <v>414</v>
      </c>
      <c r="M399" s="3428" t="s">
        <v>414</v>
      </c>
      <c r="N399" s="3428" t="s">
        <v>414</v>
      </c>
      <c r="O399" s="3428" t="s">
        <v>414</v>
      </c>
      <c r="P399" s="3428" t="s">
        <v>414</v>
      </c>
      <c r="Q399" s="3428" t="s">
        <v>414</v>
      </c>
      <c r="R399" s="3428" t="s">
        <v>414</v>
      </c>
      <c r="S399" s="3428" t="s">
        <v>414</v>
      </c>
      <c r="T399" s="3428" t="s">
        <v>414</v>
      </c>
      <c r="U399" s="3428" t="s">
        <v>414</v>
      </c>
      <c r="V399" s="3428" t="s">
        <v>414</v>
      </c>
      <c r="W399" s="3428" t="s">
        <v>414</v>
      </c>
      <c r="X399" s="3428" t="s">
        <v>414</v>
      </c>
      <c r="Y399" s="3428" t="s">
        <v>414</v>
      </c>
      <c r="Z399" s="3428" t="s">
        <v>414</v>
      </c>
      <c r="AA399" s="3428" t="s">
        <v>414</v>
      </c>
      <c r="AB399" s="3428" t="s">
        <v>414</v>
      </c>
      <c r="AC399" s="3428" t="s">
        <v>414</v>
      </c>
      <c r="AD399" s="3428" t="s">
        <v>414</v>
      </c>
      <c r="AE399" s="3428" t="s">
        <v>414</v>
      </c>
      <c r="AF399" s="3428" t="s">
        <v>414</v>
      </c>
      <c r="AG399" s="3428" t="s">
        <v>414</v>
      </c>
      <c r="AH399" s="3428" t="s">
        <v>414</v>
      </c>
      <c r="AI399" s="3428" t="s">
        <v>414</v>
      </c>
      <c r="AJ399" s="3428" t="s">
        <v>414</v>
      </c>
      <c r="AK399" s="3428" t="s">
        <v>414</v>
      </c>
      <c r="AL399" s="3428" t="s">
        <v>414</v>
      </c>
      <c r="AM399" s="3428" t="s">
        <v>414</v>
      </c>
      <c r="AN399" s="3762" t="s">
        <v>414</v>
      </c>
      <c r="AO399" s="3426"/>
    </row>
    <row r="400" spans="1:41" ht="13">
      <c r="A400" s="3440" t="s">
        <v>436</v>
      </c>
      <c r="B400" s="3429" t="s">
        <v>416</v>
      </c>
      <c r="C400" s="3429" t="s">
        <v>445</v>
      </c>
      <c r="D400" s="3429" t="s">
        <v>445</v>
      </c>
      <c r="E400" s="3429" t="s">
        <v>445</v>
      </c>
      <c r="F400" s="3729" t="s">
        <v>445</v>
      </c>
      <c r="G400" s="3429" t="s">
        <v>445</v>
      </c>
      <c r="H400" s="3429" t="s">
        <v>445</v>
      </c>
      <c r="I400" s="3429" t="s">
        <v>445</v>
      </c>
      <c r="J400" s="3441" t="s">
        <v>445</v>
      </c>
      <c r="K400" s="3429" t="s">
        <v>829</v>
      </c>
      <c r="L400" s="3429" t="s">
        <v>445</v>
      </c>
      <c r="M400" s="3429" t="s">
        <v>445</v>
      </c>
      <c r="N400" s="3429" t="s">
        <v>445</v>
      </c>
      <c r="O400" s="3429" t="s">
        <v>445</v>
      </c>
      <c r="P400" s="3429" t="s">
        <v>829</v>
      </c>
      <c r="Q400" s="3429" t="s">
        <v>830</v>
      </c>
      <c r="R400" s="3429" t="s">
        <v>830</v>
      </c>
      <c r="S400" s="3429" t="s">
        <v>445</v>
      </c>
      <c r="T400" s="3429" t="s">
        <v>631</v>
      </c>
      <c r="U400" s="3429" t="s">
        <v>631</v>
      </c>
      <c r="V400" s="3429" t="s">
        <v>831</v>
      </c>
      <c r="W400" s="3429" t="s">
        <v>831</v>
      </c>
      <c r="X400" s="3429" t="s">
        <v>418</v>
      </c>
      <c r="Y400" s="3429" t="s">
        <v>419</v>
      </c>
      <c r="Z400" s="3429" t="s">
        <v>445</v>
      </c>
      <c r="AA400" s="3429" t="s">
        <v>445</v>
      </c>
      <c r="AB400" s="3429" t="s">
        <v>447</v>
      </c>
      <c r="AC400" s="3429" t="s">
        <v>445</v>
      </c>
      <c r="AD400" s="3429" t="s">
        <v>445</v>
      </c>
      <c r="AE400" s="3429" t="s">
        <v>448</v>
      </c>
      <c r="AF400" s="3429" t="s">
        <v>896</v>
      </c>
      <c r="AG400" s="3429" t="s">
        <v>896</v>
      </c>
      <c r="AH400" s="3429" t="s">
        <v>445</v>
      </c>
      <c r="AI400" s="3429" t="s">
        <v>445</v>
      </c>
      <c r="AJ400" s="3429" t="s">
        <v>449</v>
      </c>
      <c r="AK400" s="3429" t="s">
        <v>896</v>
      </c>
      <c r="AL400" s="3429" t="s">
        <v>450</v>
      </c>
      <c r="AM400" s="3429" t="s">
        <v>826</v>
      </c>
      <c r="AN400" s="3763" t="s">
        <v>445</v>
      </c>
      <c r="AO400" s="3426"/>
    </row>
    <row r="401" spans="1:41">
      <c r="A401" s="3488"/>
      <c r="B401" s="3430" t="s">
        <v>421</v>
      </c>
      <c r="C401" s="3430" t="s">
        <v>450</v>
      </c>
      <c r="D401" s="3430" t="s">
        <v>418</v>
      </c>
      <c r="E401" s="3430" t="s">
        <v>445</v>
      </c>
      <c r="F401" s="3730" t="s">
        <v>829</v>
      </c>
      <c r="G401" s="3430" t="s">
        <v>445</v>
      </c>
      <c r="H401" s="3430" t="s">
        <v>445</v>
      </c>
      <c r="I401" s="3430" t="s">
        <v>445</v>
      </c>
      <c r="J401" s="3443" t="s">
        <v>445</v>
      </c>
      <c r="K401" s="3430" t="s">
        <v>445</v>
      </c>
      <c r="L401" s="3430" t="s">
        <v>418</v>
      </c>
      <c r="M401" s="3430" t="s">
        <v>445</v>
      </c>
      <c r="N401" s="3430" t="s">
        <v>445</v>
      </c>
      <c r="O401" s="3430" t="s">
        <v>419</v>
      </c>
      <c r="P401" s="3430" t="s">
        <v>445</v>
      </c>
      <c r="Q401" s="3430" t="s">
        <v>445</v>
      </c>
      <c r="R401" s="3430" t="s">
        <v>445</v>
      </c>
      <c r="S401" s="3430" t="s">
        <v>419</v>
      </c>
      <c r="T401" s="3430" t="s">
        <v>445</v>
      </c>
      <c r="U401" s="3430" t="s">
        <v>445</v>
      </c>
      <c r="V401" s="3430" t="s">
        <v>445</v>
      </c>
      <c r="W401" s="3430" t="s">
        <v>445</v>
      </c>
      <c r="X401" s="3430" t="s">
        <v>896</v>
      </c>
      <c r="Y401" s="3430" t="s">
        <v>445</v>
      </c>
      <c r="Z401" s="3430" t="s">
        <v>447</v>
      </c>
      <c r="AA401" s="3430" t="s">
        <v>447</v>
      </c>
      <c r="AB401" s="3430" t="s">
        <v>445</v>
      </c>
      <c r="AC401" s="3430" t="s">
        <v>448</v>
      </c>
      <c r="AD401" s="3430" t="s">
        <v>448</v>
      </c>
      <c r="AE401" s="3430" t="s">
        <v>445</v>
      </c>
      <c r="AF401" s="3430" t="s">
        <v>831</v>
      </c>
      <c r="AG401" s="3430" t="s">
        <v>445</v>
      </c>
      <c r="AH401" s="3430" t="s">
        <v>449</v>
      </c>
      <c r="AI401" s="3430" t="s">
        <v>449</v>
      </c>
      <c r="AJ401" s="3430" t="s">
        <v>445</v>
      </c>
      <c r="AK401" s="3430" t="s">
        <v>450</v>
      </c>
      <c r="AL401" s="3430" t="s">
        <v>631</v>
      </c>
      <c r="AM401" s="3430" t="s">
        <v>830</v>
      </c>
      <c r="AN401" s="3764" t="s">
        <v>445</v>
      </c>
      <c r="AO401" s="3426"/>
    </row>
    <row r="402" spans="1:41" ht="13" thickBot="1">
      <c r="A402" s="3462" t="s">
        <v>71</v>
      </c>
      <c r="B402" s="3485" t="s">
        <v>72</v>
      </c>
      <c r="C402" s="3433"/>
      <c r="D402" s="3433"/>
      <c r="E402" s="3433"/>
      <c r="F402" s="3733"/>
      <c r="G402" s="3433"/>
      <c r="H402" s="3433"/>
      <c r="I402" s="3433"/>
      <c r="J402" s="3444"/>
      <c r="K402" s="3433"/>
      <c r="L402" s="3433"/>
      <c r="M402" s="3433"/>
      <c r="N402" s="3433"/>
      <c r="O402" s="3433"/>
      <c r="P402" s="3433"/>
      <c r="Q402" s="3433"/>
      <c r="R402" s="3433"/>
      <c r="S402" s="3433"/>
      <c r="T402" s="3433"/>
      <c r="U402" s="3433"/>
      <c r="V402" s="3433"/>
      <c r="W402" s="3433"/>
      <c r="X402" s="3433"/>
      <c r="Y402" s="3433"/>
      <c r="Z402" s="3433"/>
      <c r="AA402" s="3433"/>
      <c r="AB402" s="3433"/>
      <c r="AC402" s="3433"/>
      <c r="AD402" s="3433"/>
      <c r="AE402" s="3433"/>
      <c r="AF402" s="3433"/>
      <c r="AG402" s="3433"/>
      <c r="AH402" s="3433"/>
      <c r="AI402" s="3433"/>
      <c r="AJ402" s="3433"/>
      <c r="AK402" s="3433"/>
      <c r="AL402" s="3433"/>
      <c r="AM402" s="3433"/>
      <c r="AN402" s="3765"/>
      <c r="AO402" s="3426"/>
    </row>
    <row r="403" spans="1:41" ht="13" thickTop="1">
      <c r="A403" s="3445" t="s">
        <v>428</v>
      </c>
      <c r="B403" s="3486" t="s">
        <v>299</v>
      </c>
      <c r="C403" s="3447">
        <v>108</v>
      </c>
      <c r="D403" s="3447">
        <v>105</v>
      </c>
      <c r="E403" s="3432"/>
      <c r="F403" s="3752">
        <v>75</v>
      </c>
      <c r="G403" s="3447">
        <v>65</v>
      </c>
      <c r="H403" s="3432"/>
      <c r="I403" s="3432"/>
      <c r="J403" s="3411">
        <v>65</v>
      </c>
      <c r="K403" s="3447">
        <v>90</v>
      </c>
      <c r="L403" s="3447">
        <v>70</v>
      </c>
      <c r="M403" s="3432"/>
      <c r="N403" s="3432"/>
      <c r="O403" s="3432"/>
      <c r="P403" s="3432"/>
      <c r="Q403" s="3432"/>
      <c r="R403" s="3447">
        <v>80.5</v>
      </c>
      <c r="S403" s="3432"/>
      <c r="T403" s="3432"/>
      <c r="U403" s="3447">
        <v>90</v>
      </c>
      <c r="V403" s="3432"/>
      <c r="W403" s="3447">
        <v>90</v>
      </c>
      <c r="X403" s="3455">
        <v>70.378349195815602</v>
      </c>
      <c r="Y403" s="3432"/>
      <c r="Z403" s="3432"/>
      <c r="AA403" s="3432"/>
      <c r="AB403" s="3432"/>
      <c r="AC403" s="3432"/>
      <c r="AD403" s="3432"/>
      <c r="AE403" s="3432"/>
      <c r="AF403" s="3447">
        <v>90</v>
      </c>
      <c r="AG403" s="3432"/>
      <c r="AH403" s="3432"/>
      <c r="AI403" s="3432"/>
      <c r="AJ403" s="3432"/>
      <c r="AK403" s="3447">
        <v>90</v>
      </c>
      <c r="AL403" s="3455">
        <v>89.981621200247304</v>
      </c>
      <c r="AM403" s="3447">
        <v>80</v>
      </c>
      <c r="AN403" s="3767">
        <v>87.1140633320002</v>
      </c>
      <c r="AO403" s="3426"/>
    </row>
    <row r="404" spans="1:41">
      <c r="A404" s="3456" t="s">
        <v>730</v>
      </c>
      <c r="B404" s="3487" t="s">
        <v>297</v>
      </c>
      <c r="C404" s="3447">
        <v>30</v>
      </c>
      <c r="D404" s="3447">
        <v>30</v>
      </c>
      <c r="E404" s="3432"/>
      <c r="F404" s="3752">
        <v>0</v>
      </c>
      <c r="G404" s="3447">
        <v>1150</v>
      </c>
      <c r="H404" s="3432"/>
      <c r="I404" s="3432"/>
      <c r="J404" s="3411">
        <v>1150</v>
      </c>
      <c r="K404" s="3447">
        <v>0</v>
      </c>
      <c r="L404" s="3447">
        <v>5</v>
      </c>
      <c r="M404" s="3432"/>
      <c r="N404" s="3432"/>
      <c r="O404" s="3432"/>
      <c r="P404" s="3432"/>
      <c r="Q404" s="3432"/>
      <c r="R404" s="3447">
        <v>0.249999999999999</v>
      </c>
      <c r="S404" s="3432"/>
      <c r="T404" s="3432"/>
      <c r="U404" s="3447">
        <v>0.249999999999999</v>
      </c>
      <c r="V404" s="3432"/>
      <c r="W404" s="3447">
        <v>0.249999999999999</v>
      </c>
      <c r="X404" s="3447">
        <v>5</v>
      </c>
      <c r="Y404" s="3432"/>
      <c r="Z404" s="3432"/>
      <c r="AA404" s="3432"/>
      <c r="AB404" s="3432"/>
      <c r="AC404" s="3432"/>
      <c r="AD404" s="3432"/>
      <c r="AE404" s="3432"/>
      <c r="AF404" s="3447">
        <v>0.249999999999999</v>
      </c>
      <c r="AG404" s="3432"/>
      <c r="AH404" s="3432"/>
      <c r="AI404" s="3432"/>
      <c r="AJ404" s="3432"/>
      <c r="AK404" s="3447">
        <v>0.249999999999999</v>
      </c>
      <c r="AL404" s="3447">
        <v>0.249999999999999</v>
      </c>
      <c r="AM404" s="3447">
        <v>0.249999999999999</v>
      </c>
      <c r="AN404" s="3767">
        <v>-12.6652923804366</v>
      </c>
      <c r="AO404" s="3426"/>
    </row>
    <row r="405" spans="1:41">
      <c r="A405" s="3456" t="s">
        <v>20</v>
      </c>
      <c r="B405" s="3487" t="s">
        <v>429</v>
      </c>
      <c r="C405" s="3455">
        <v>84.523830403747098</v>
      </c>
      <c r="D405" s="3455">
        <v>84.613402952958396</v>
      </c>
      <c r="E405" s="3432"/>
      <c r="F405" s="3746">
        <v>146.26456062</v>
      </c>
      <c r="G405" s="3455">
        <v>34.879945234795301</v>
      </c>
      <c r="H405" s="3432"/>
      <c r="I405" s="3432"/>
      <c r="J405" s="3412">
        <v>18.0218323414426</v>
      </c>
      <c r="K405" s="3471">
        <v>151.965054825175</v>
      </c>
      <c r="L405" s="3471">
        <v>147.647513499604</v>
      </c>
      <c r="M405" s="3432"/>
      <c r="N405" s="3432"/>
      <c r="O405" s="3432"/>
      <c r="P405" s="3432"/>
      <c r="Q405" s="3432"/>
      <c r="R405" s="3471">
        <v>155.64275443358599</v>
      </c>
      <c r="S405" s="3432"/>
      <c r="T405" s="3432"/>
      <c r="U405" s="3471">
        <v>149.48938672738001</v>
      </c>
      <c r="V405" s="3432"/>
      <c r="W405" s="3455">
        <v>18.0169248775378</v>
      </c>
      <c r="X405" s="3471">
        <v>147.466036480133</v>
      </c>
      <c r="Y405" s="3432"/>
      <c r="Z405" s="3432"/>
      <c r="AA405" s="3432"/>
      <c r="AB405" s="3432"/>
      <c r="AC405" s="3432"/>
      <c r="AD405" s="3432"/>
      <c r="AE405" s="3432"/>
      <c r="AF405" s="3455">
        <v>18.0169248775378</v>
      </c>
      <c r="AG405" s="3432"/>
      <c r="AH405" s="3432"/>
      <c r="AI405" s="3432"/>
      <c r="AJ405" s="3432"/>
      <c r="AK405" s="3471">
        <v>150.50353790670101</v>
      </c>
      <c r="AL405" s="3471">
        <v>149.487840956268</v>
      </c>
      <c r="AM405" s="3471">
        <v>155.60171679603499</v>
      </c>
      <c r="AN405" s="3777">
        <v>256.19877879273298</v>
      </c>
      <c r="AO405" s="3426"/>
    </row>
    <row r="406" spans="1:41">
      <c r="A406" s="3456" t="s">
        <v>425</v>
      </c>
      <c r="B406" s="3487" t="s">
        <v>426</v>
      </c>
      <c r="C406" s="3471">
        <v>250.36794789014101</v>
      </c>
      <c r="D406" s="3455">
        <v>39.409858483602498</v>
      </c>
      <c r="E406" s="3432"/>
      <c r="F406" s="3747">
        <v>2304689.45996643</v>
      </c>
      <c r="G406" s="3472">
        <v>2323.9076636223199</v>
      </c>
      <c r="H406" s="3432"/>
      <c r="I406" s="3432"/>
      <c r="J406" s="3412">
        <v>45.287229476686001</v>
      </c>
      <c r="K406" s="3449">
        <v>2320759.7595848702</v>
      </c>
      <c r="L406" s="3473">
        <v>24026.955518586099</v>
      </c>
      <c r="M406" s="3432"/>
      <c r="N406" s="3432"/>
      <c r="O406" s="3432"/>
      <c r="P406" s="3432"/>
      <c r="Q406" s="3432"/>
      <c r="R406" s="3467">
        <v>290632.11112804501</v>
      </c>
      <c r="S406" s="3432"/>
      <c r="T406" s="3432"/>
      <c r="U406" s="3473">
        <v>24045.113507382099</v>
      </c>
      <c r="V406" s="3432"/>
      <c r="W406" s="3467">
        <v>146310.26129513601</v>
      </c>
      <c r="X406" s="3473">
        <v>24066.494992558</v>
      </c>
      <c r="Y406" s="3432"/>
      <c r="Z406" s="3432"/>
      <c r="AA406" s="3432"/>
      <c r="AB406" s="3432"/>
      <c r="AC406" s="3432"/>
      <c r="AD406" s="3432"/>
      <c r="AE406" s="3432"/>
      <c r="AF406" s="3467">
        <v>146310.26129513601</v>
      </c>
      <c r="AG406" s="3432"/>
      <c r="AH406" s="3432"/>
      <c r="AI406" s="3432"/>
      <c r="AJ406" s="3432"/>
      <c r="AK406" s="3473">
        <v>23810.453573561899</v>
      </c>
      <c r="AL406" s="3473">
        <v>24045.238294845101</v>
      </c>
      <c r="AM406" s="3467">
        <v>290666.85179734102</v>
      </c>
      <c r="AN406" s="3769">
        <v>0.37812841494397698</v>
      </c>
      <c r="AO406" s="3426"/>
    </row>
    <row r="407" spans="1:41">
      <c r="A407" s="3456" t="s">
        <v>430</v>
      </c>
      <c r="B407" s="3487" t="s">
        <v>57</v>
      </c>
      <c r="C407" s="3454">
        <v>2.6977656497797799E-2</v>
      </c>
      <c r="D407" s="3452">
        <v>4.2419971700941098E-3</v>
      </c>
      <c r="E407" s="3432"/>
      <c r="F407" s="3746">
        <v>143.508612523208</v>
      </c>
      <c r="G407" s="3451">
        <v>0.60680302139638997</v>
      </c>
      <c r="H407" s="3432"/>
      <c r="I407" s="3432"/>
      <c r="J407" s="3419">
        <v>2.2886609969733698E-2</v>
      </c>
      <c r="K407" s="3471">
        <v>139.08846531258101</v>
      </c>
      <c r="L407" s="3453">
        <v>1.48209918229371</v>
      </c>
      <c r="M407" s="3432"/>
      <c r="N407" s="3432"/>
      <c r="O407" s="3432"/>
      <c r="P407" s="3432"/>
      <c r="Q407" s="3432"/>
      <c r="R407" s="3455">
        <v>17.006672535221099</v>
      </c>
      <c r="S407" s="3432"/>
      <c r="T407" s="3432"/>
      <c r="U407" s="3453">
        <v>1.4649443668858</v>
      </c>
      <c r="V407" s="3432"/>
      <c r="W407" s="3455">
        <v>73.960319565776103</v>
      </c>
      <c r="X407" s="3453">
        <v>1.4863650950490399</v>
      </c>
      <c r="Y407" s="3432"/>
      <c r="Z407" s="3432"/>
      <c r="AA407" s="3432"/>
      <c r="AB407" s="3432"/>
      <c r="AC407" s="3432"/>
      <c r="AD407" s="3432"/>
      <c r="AE407" s="3432"/>
      <c r="AF407" s="3455">
        <v>73.960319565776103</v>
      </c>
      <c r="AG407" s="3432"/>
      <c r="AH407" s="3432"/>
      <c r="AI407" s="3432"/>
      <c r="AJ407" s="3432"/>
      <c r="AK407" s="3453">
        <v>1.44087272427455</v>
      </c>
      <c r="AL407" s="3453">
        <v>1.4649671177986601</v>
      </c>
      <c r="AM407" s="3455">
        <v>17.013191218452999</v>
      </c>
      <c r="AN407" s="3772">
        <v>1.3442093741125699E-5</v>
      </c>
      <c r="AO407" s="3426"/>
    </row>
    <row r="408" spans="1:41">
      <c r="A408" s="3456" t="s">
        <v>431</v>
      </c>
      <c r="B408" s="3487" t="s">
        <v>432</v>
      </c>
      <c r="C408" s="3451">
        <v>0.72378132179942201</v>
      </c>
      <c r="D408" s="3451">
        <v>0.114068931507522</v>
      </c>
      <c r="E408" s="3432"/>
      <c r="F408" s="3748">
        <v>5833.3333333333303</v>
      </c>
      <c r="G408" s="3455">
        <v>10.328756770107001</v>
      </c>
      <c r="H408" s="3432"/>
      <c r="I408" s="3432"/>
      <c r="J408" s="3419">
        <v>9.0609971338788703E-2</v>
      </c>
      <c r="K408" s="3472">
        <v>5833.3333333333303</v>
      </c>
      <c r="L408" s="3455">
        <v>60.860612095202796</v>
      </c>
      <c r="M408" s="3432"/>
      <c r="N408" s="3432"/>
      <c r="O408" s="3432"/>
      <c r="P408" s="3432"/>
      <c r="Q408" s="3432"/>
      <c r="R408" s="3471">
        <v>729.16672695462603</v>
      </c>
      <c r="S408" s="3432"/>
      <c r="T408" s="3432"/>
      <c r="U408" s="3455">
        <v>60.683714389398901</v>
      </c>
      <c r="V408" s="3432"/>
      <c r="W408" s="3471">
        <v>292.50103350148902</v>
      </c>
      <c r="X408" s="3455">
        <v>60.9750767543104</v>
      </c>
      <c r="Y408" s="3432"/>
      <c r="Z408" s="3432"/>
      <c r="AA408" s="3432"/>
      <c r="AB408" s="3432"/>
      <c r="AC408" s="3432"/>
      <c r="AD408" s="3432"/>
      <c r="AE408" s="3432"/>
      <c r="AF408" s="3471">
        <v>292.50103350148902</v>
      </c>
      <c r="AG408" s="3432"/>
      <c r="AH408" s="3432"/>
      <c r="AI408" s="3432"/>
      <c r="AJ408" s="3432"/>
      <c r="AK408" s="3455">
        <v>60.018110485614898</v>
      </c>
      <c r="AL408" s="3455">
        <v>60.684173677167799</v>
      </c>
      <c r="AM408" s="3471">
        <v>729.29960776377095</v>
      </c>
      <c r="AN408" s="3774">
        <v>8.7667151876421397E-4</v>
      </c>
      <c r="AO408" s="3426"/>
    </row>
    <row r="409" spans="1:41">
      <c r="A409" s="3456" t="s">
        <v>731</v>
      </c>
      <c r="B409" s="3487" t="s">
        <v>434</v>
      </c>
      <c r="C409" s="3472">
        <v>4243.2987018221702</v>
      </c>
      <c r="D409" s="3472">
        <v>4249.8442736786201</v>
      </c>
      <c r="E409" s="3432"/>
      <c r="F409" s="3748">
        <v>7201.1279175081399</v>
      </c>
      <c r="G409" s="3472">
        <v>1845.4728053982601</v>
      </c>
      <c r="H409" s="3432"/>
      <c r="I409" s="3432"/>
      <c r="J409" s="3421">
        <v>0.620038789128178</v>
      </c>
      <c r="K409" s="3472">
        <v>7473.5420607096203</v>
      </c>
      <c r="L409" s="3472">
        <v>7267.6777380789699</v>
      </c>
      <c r="M409" s="3432"/>
      <c r="N409" s="3432"/>
      <c r="O409" s="3432"/>
      <c r="P409" s="3432"/>
      <c r="Q409" s="3432"/>
      <c r="R409" s="3472">
        <v>7649.5503067684103</v>
      </c>
      <c r="S409" s="3432"/>
      <c r="T409" s="3432"/>
      <c r="U409" s="3472">
        <v>7355.3228361166402</v>
      </c>
      <c r="V409" s="3432"/>
      <c r="W409" s="3451">
        <v>0.110227584470491</v>
      </c>
      <c r="X409" s="3472">
        <v>7258.9845108050004</v>
      </c>
      <c r="Y409" s="3432"/>
      <c r="Z409" s="3432"/>
      <c r="AA409" s="3432"/>
      <c r="AB409" s="3432"/>
      <c r="AC409" s="3432"/>
      <c r="AD409" s="3432"/>
      <c r="AE409" s="3432"/>
      <c r="AF409" s="3451">
        <v>0.110227584470491</v>
      </c>
      <c r="AG409" s="3432"/>
      <c r="AH409" s="3432"/>
      <c r="AI409" s="3432"/>
      <c r="AJ409" s="3432"/>
      <c r="AK409" s="3472">
        <v>7403.8178908558502</v>
      </c>
      <c r="AL409" s="3472">
        <v>7355.24825581398</v>
      </c>
      <c r="AM409" s="3472">
        <v>7647.5876760495303</v>
      </c>
      <c r="AN409" s="3778">
        <v>12436.4816038965</v>
      </c>
      <c r="AO409" s="3426"/>
    </row>
    <row r="410" spans="1:41" ht="13" thickBot="1">
      <c r="A410" s="3474" t="s">
        <v>433</v>
      </c>
      <c r="B410" s="3490" t="s">
        <v>434</v>
      </c>
      <c r="C410" s="3491">
        <v>4560.9774446315996</v>
      </c>
      <c r="D410" s="3491">
        <v>4568.7995658870104</v>
      </c>
      <c r="E410" s="3494"/>
      <c r="F410" s="3749">
        <v>7696.6641962875101</v>
      </c>
      <c r="G410" s="3491">
        <v>2012.15726531978</v>
      </c>
      <c r="H410" s="3494"/>
      <c r="I410" s="3494"/>
      <c r="J410" s="3509">
        <v>50.968401290314503</v>
      </c>
      <c r="K410" s="3491">
        <v>7985.2188248353796</v>
      </c>
      <c r="L410" s="3491">
        <v>7767.3013961635697</v>
      </c>
      <c r="M410" s="3494"/>
      <c r="N410" s="3494"/>
      <c r="O410" s="3494"/>
      <c r="P410" s="3494"/>
      <c r="Q410" s="3494"/>
      <c r="R410" s="3491">
        <v>8171.9315524895101</v>
      </c>
      <c r="S410" s="3494"/>
      <c r="T410" s="3494"/>
      <c r="U410" s="3491">
        <v>7860.1866252846903</v>
      </c>
      <c r="V410" s="3494"/>
      <c r="W410" s="3478">
        <v>50.4251012227815</v>
      </c>
      <c r="X410" s="3491">
        <v>7758.0873563233199</v>
      </c>
      <c r="Y410" s="3494"/>
      <c r="Z410" s="3494"/>
      <c r="AA410" s="3494"/>
      <c r="AB410" s="3494"/>
      <c r="AC410" s="3494"/>
      <c r="AD410" s="3494"/>
      <c r="AE410" s="3494"/>
      <c r="AF410" s="3478">
        <v>50.4251012227815</v>
      </c>
      <c r="AG410" s="3494"/>
      <c r="AH410" s="3494"/>
      <c r="AI410" s="3494"/>
      <c r="AJ410" s="3494"/>
      <c r="AK410" s="3491">
        <v>7911.59979927529</v>
      </c>
      <c r="AL410" s="3491">
        <v>7860.1075731688097</v>
      </c>
      <c r="AM410" s="3491">
        <v>8169.8512187832403</v>
      </c>
      <c r="AN410" s="3779">
        <v>13235.856942242801</v>
      </c>
      <c r="AO410" s="3426"/>
    </row>
    <row r="411" spans="1:41" ht="13" thickTop="1">
      <c r="A411" s="3426"/>
      <c r="B411" s="3426"/>
      <c r="C411" s="3426"/>
      <c r="D411" s="3426"/>
      <c r="E411" s="3426"/>
      <c r="F411" s="3727"/>
      <c r="G411" s="3426"/>
      <c r="H411" s="3426"/>
      <c r="I411" s="3426"/>
      <c r="J411" s="3426"/>
      <c r="K411" s="3426"/>
      <c r="L411" s="3426"/>
      <c r="M411" s="3426"/>
      <c r="N411" s="3426"/>
      <c r="O411" s="3426"/>
      <c r="P411" s="3426"/>
      <c r="Q411" s="3426"/>
      <c r="R411" s="3426"/>
      <c r="S411" s="3426"/>
      <c r="T411" s="3426"/>
      <c r="U411" s="3426"/>
      <c r="V411" s="3426"/>
      <c r="W411" s="3426"/>
      <c r="X411" s="3426"/>
      <c r="Y411" s="3426"/>
      <c r="Z411" s="3426"/>
      <c r="AA411" s="3426"/>
      <c r="AB411" s="3426"/>
      <c r="AC411" s="3426"/>
      <c r="AD411" s="3426"/>
      <c r="AE411" s="3426"/>
      <c r="AF411" s="3426"/>
      <c r="AG411" s="3426"/>
      <c r="AH411" s="3426"/>
      <c r="AI411" s="3426"/>
      <c r="AJ411" s="3426"/>
      <c r="AK411" s="3426"/>
      <c r="AL411" s="3426"/>
      <c r="AM411" s="3426"/>
      <c r="AN411" s="3760"/>
      <c r="AO411" s="3426"/>
    </row>
    <row r="412" spans="1:41" ht="13" thickBot="1">
      <c r="A412" s="3426"/>
      <c r="B412" s="3426"/>
      <c r="C412" s="3426"/>
      <c r="D412" s="3426"/>
      <c r="E412" s="3426"/>
      <c r="F412" s="3426"/>
      <c r="G412" s="3426"/>
      <c r="H412" s="3426"/>
      <c r="I412" s="3426"/>
      <c r="J412" s="3426"/>
      <c r="K412" s="3426"/>
      <c r="L412" s="3426"/>
      <c r="M412" s="3426"/>
      <c r="N412" s="3426"/>
      <c r="O412" s="3426"/>
      <c r="P412" s="3426"/>
      <c r="Q412" s="3426"/>
      <c r="R412" s="3426"/>
      <c r="S412" s="3426"/>
      <c r="T412" s="3426"/>
      <c r="U412" s="3426"/>
      <c r="V412" s="3426"/>
      <c r="W412" s="3426"/>
      <c r="X412" s="3426"/>
      <c r="Y412" s="3426"/>
      <c r="Z412" s="3426"/>
      <c r="AA412" s="3426"/>
      <c r="AB412" s="3426"/>
      <c r="AC412" s="3426"/>
      <c r="AD412" s="3426"/>
      <c r="AE412" s="3426"/>
      <c r="AF412" s="3426"/>
      <c r="AG412" s="3426"/>
      <c r="AH412" s="3426"/>
      <c r="AI412" s="3426"/>
      <c r="AJ412" s="3426"/>
      <c r="AK412" s="3426"/>
      <c r="AL412" s="3426"/>
      <c r="AM412" s="3426"/>
      <c r="AN412" s="3426"/>
      <c r="AO412" s="3426"/>
    </row>
    <row r="413" spans="1:41" ht="14" thickTop="1" thickBot="1">
      <c r="A413" s="3434" t="s">
        <v>389</v>
      </c>
      <c r="B413" s="3435"/>
      <c r="C413" s="3436" t="s">
        <v>821</v>
      </c>
      <c r="D413" s="3436" t="s">
        <v>822</v>
      </c>
      <c r="E413" s="3436" t="s">
        <v>741</v>
      </c>
      <c r="F413" s="3436" t="s">
        <v>823</v>
      </c>
      <c r="G413" s="3436" t="s">
        <v>1304</v>
      </c>
      <c r="H413" s="3436" t="s">
        <v>737</v>
      </c>
      <c r="I413" s="3436" t="s">
        <v>742</v>
      </c>
      <c r="J413" s="3437" t="s">
        <v>1305</v>
      </c>
      <c r="K413" s="3436" t="s">
        <v>824</v>
      </c>
      <c r="L413" s="3436" t="s">
        <v>825</v>
      </c>
      <c r="M413" s="3436" t="s">
        <v>743</v>
      </c>
      <c r="N413" s="3436" t="s">
        <v>827</v>
      </c>
      <c r="O413" s="3436" t="s">
        <v>390</v>
      </c>
      <c r="P413" s="3436" t="s">
        <v>391</v>
      </c>
      <c r="Q413" s="3436" t="s">
        <v>392</v>
      </c>
      <c r="R413" s="3436" t="s">
        <v>393</v>
      </c>
      <c r="S413" s="3436" t="s">
        <v>394</v>
      </c>
      <c r="T413" s="3436" t="s">
        <v>395</v>
      </c>
      <c r="U413" s="3436" t="s">
        <v>396</v>
      </c>
      <c r="V413" s="3436" t="s">
        <v>397</v>
      </c>
      <c r="W413" s="3436" t="s">
        <v>398</v>
      </c>
      <c r="X413" s="3436" t="s">
        <v>399</v>
      </c>
      <c r="Y413" s="3436" t="s">
        <v>400</v>
      </c>
      <c r="Z413" s="3436" t="s">
        <v>401</v>
      </c>
      <c r="AA413" s="3436" t="s">
        <v>402</v>
      </c>
      <c r="AB413" s="3436" t="s">
        <v>403</v>
      </c>
      <c r="AC413" s="3436" t="s">
        <v>404</v>
      </c>
      <c r="AD413" s="3436" t="s">
        <v>405</v>
      </c>
      <c r="AE413" s="3436" t="s">
        <v>406</v>
      </c>
      <c r="AF413" s="3436" t="s">
        <v>407</v>
      </c>
      <c r="AG413" s="3436" t="s">
        <v>408</v>
      </c>
      <c r="AH413" s="3436" t="s">
        <v>409</v>
      </c>
      <c r="AI413" s="3436" t="s">
        <v>410</v>
      </c>
      <c r="AJ413" s="3436" t="s">
        <v>411</v>
      </c>
      <c r="AK413" s="3436" t="s">
        <v>412</v>
      </c>
      <c r="AL413" s="3436" t="s">
        <v>439</v>
      </c>
      <c r="AM413" s="3436" t="s">
        <v>440</v>
      </c>
      <c r="AN413" s="3437" t="s">
        <v>828</v>
      </c>
      <c r="AO413" s="3426"/>
    </row>
    <row r="414" spans="1:41" ht="13">
      <c r="A414" s="3438" t="s">
        <v>96</v>
      </c>
      <c r="B414" s="3427" t="s">
        <v>413</v>
      </c>
      <c r="C414" s="3428" t="s">
        <v>414</v>
      </c>
      <c r="D414" s="3428" t="s">
        <v>414</v>
      </c>
      <c r="E414" s="3428" t="s">
        <v>414</v>
      </c>
      <c r="F414" s="3428" t="s">
        <v>414</v>
      </c>
      <c r="G414" s="3428" t="s">
        <v>414</v>
      </c>
      <c r="H414" s="3428" t="s">
        <v>414</v>
      </c>
      <c r="I414" s="3428" t="s">
        <v>414</v>
      </c>
      <c r="J414" s="3439" t="s">
        <v>414</v>
      </c>
      <c r="K414" s="3428" t="s">
        <v>414</v>
      </c>
      <c r="L414" s="3428" t="s">
        <v>414</v>
      </c>
      <c r="M414" s="3428" t="s">
        <v>414</v>
      </c>
      <c r="N414" s="3428" t="s">
        <v>414</v>
      </c>
      <c r="O414" s="3428" t="s">
        <v>414</v>
      </c>
      <c r="P414" s="3428" t="s">
        <v>414</v>
      </c>
      <c r="Q414" s="3428" t="s">
        <v>414</v>
      </c>
      <c r="R414" s="3428" t="s">
        <v>414</v>
      </c>
      <c r="S414" s="3428" t="s">
        <v>414</v>
      </c>
      <c r="T414" s="3428" t="s">
        <v>414</v>
      </c>
      <c r="U414" s="3428" t="s">
        <v>414</v>
      </c>
      <c r="V414" s="3428" t="s">
        <v>414</v>
      </c>
      <c r="W414" s="3428" t="s">
        <v>414</v>
      </c>
      <c r="X414" s="3428" t="s">
        <v>414</v>
      </c>
      <c r="Y414" s="3428" t="s">
        <v>414</v>
      </c>
      <c r="Z414" s="3428" t="s">
        <v>414</v>
      </c>
      <c r="AA414" s="3428" t="s">
        <v>414</v>
      </c>
      <c r="AB414" s="3428" t="s">
        <v>414</v>
      </c>
      <c r="AC414" s="3428" t="s">
        <v>414</v>
      </c>
      <c r="AD414" s="3428" t="s">
        <v>414</v>
      </c>
      <c r="AE414" s="3428" t="s">
        <v>414</v>
      </c>
      <c r="AF414" s="3428" t="s">
        <v>414</v>
      </c>
      <c r="AG414" s="3428" t="s">
        <v>414</v>
      </c>
      <c r="AH414" s="3428" t="s">
        <v>414</v>
      </c>
      <c r="AI414" s="3428" t="s">
        <v>414</v>
      </c>
      <c r="AJ414" s="3428" t="s">
        <v>414</v>
      </c>
      <c r="AK414" s="3428" t="s">
        <v>414</v>
      </c>
      <c r="AL414" s="3428" t="s">
        <v>414</v>
      </c>
      <c r="AM414" s="3428" t="s">
        <v>414</v>
      </c>
      <c r="AN414" s="3439" t="s">
        <v>414</v>
      </c>
      <c r="AO414" s="3426"/>
    </row>
    <row r="415" spans="1:41" ht="13">
      <c r="A415" s="3440" t="s">
        <v>437</v>
      </c>
      <c r="B415" s="3429" t="s">
        <v>416</v>
      </c>
      <c r="C415" s="3429" t="s">
        <v>445</v>
      </c>
      <c r="D415" s="3429" t="s">
        <v>445</v>
      </c>
      <c r="E415" s="3429" t="s">
        <v>445</v>
      </c>
      <c r="F415" s="3429" t="s">
        <v>445</v>
      </c>
      <c r="G415" s="3429" t="s">
        <v>445</v>
      </c>
      <c r="H415" s="3429" t="s">
        <v>445</v>
      </c>
      <c r="I415" s="3429" t="s">
        <v>445</v>
      </c>
      <c r="J415" s="3441" t="s">
        <v>445</v>
      </c>
      <c r="K415" s="3429" t="s">
        <v>829</v>
      </c>
      <c r="L415" s="3429" t="s">
        <v>445</v>
      </c>
      <c r="M415" s="3429" t="s">
        <v>445</v>
      </c>
      <c r="N415" s="3429" t="s">
        <v>445</v>
      </c>
      <c r="O415" s="3429" t="s">
        <v>445</v>
      </c>
      <c r="P415" s="3429" t="s">
        <v>829</v>
      </c>
      <c r="Q415" s="3429" t="s">
        <v>830</v>
      </c>
      <c r="R415" s="3429" t="s">
        <v>830</v>
      </c>
      <c r="S415" s="3429" t="s">
        <v>445</v>
      </c>
      <c r="T415" s="3429" t="s">
        <v>631</v>
      </c>
      <c r="U415" s="3429" t="s">
        <v>631</v>
      </c>
      <c r="V415" s="3429" t="s">
        <v>831</v>
      </c>
      <c r="W415" s="3429" t="s">
        <v>831</v>
      </c>
      <c r="X415" s="3429" t="s">
        <v>418</v>
      </c>
      <c r="Y415" s="3429" t="s">
        <v>419</v>
      </c>
      <c r="Z415" s="3429" t="s">
        <v>445</v>
      </c>
      <c r="AA415" s="3429" t="s">
        <v>445</v>
      </c>
      <c r="AB415" s="3429" t="s">
        <v>447</v>
      </c>
      <c r="AC415" s="3429" t="s">
        <v>445</v>
      </c>
      <c r="AD415" s="3429" t="s">
        <v>445</v>
      </c>
      <c r="AE415" s="3429" t="s">
        <v>448</v>
      </c>
      <c r="AF415" s="3429" t="s">
        <v>896</v>
      </c>
      <c r="AG415" s="3429" t="s">
        <v>896</v>
      </c>
      <c r="AH415" s="3429" t="s">
        <v>445</v>
      </c>
      <c r="AI415" s="3429" t="s">
        <v>445</v>
      </c>
      <c r="AJ415" s="3429" t="s">
        <v>449</v>
      </c>
      <c r="AK415" s="3429" t="s">
        <v>896</v>
      </c>
      <c r="AL415" s="3429" t="s">
        <v>450</v>
      </c>
      <c r="AM415" s="3429" t="s">
        <v>826</v>
      </c>
      <c r="AN415" s="3441" t="s">
        <v>445</v>
      </c>
      <c r="AO415" s="3426"/>
    </row>
    <row r="416" spans="1:41">
      <c r="A416" s="3442"/>
      <c r="B416" s="3429" t="s">
        <v>421</v>
      </c>
      <c r="C416" s="3430" t="s">
        <v>450</v>
      </c>
      <c r="D416" s="3430" t="s">
        <v>418</v>
      </c>
      <c r="E416" s="3430" t="s">
        <v>445</v>
      </c>
      <c r="F416" s="3430" t="s">
        <v>829</v>
      </c>
      <c r="G416" s="3430" t="s">
        <v>445</v>
      </c>
      <c r="H416" s="3430" t="s">
        <v>445</v>
      </c>
      <c r="I416" s="3430" t="s">
        <v>445</v>
      </c>
      <c r="J416" s="3443" t="s">
        <v>445</v>
      </c>
      <c r="K416" s="3430" t="s">
        <v>445</v>
      </c>
      <c r="L416" s="3430" t="s">
        <v>418</v>
      </c>
      <c r="M416" s="3430" t="s">
        <v>445</v>
      </c>
      <c r="N416" s="3430" t="s">
        <v>445</v>
      </c>
      <c r="O416" s="3430" t="s">
        <v>419</v>
      </c>
      <c r="P416" s="3430" t="s">
        <v>445</v>
      </c>
      <c r="Q416" s="3430" t="s">
        <v>445</v>
      </c>
      <c r="R416" s="3430" t="s">
        <v>445</v>
      </c>
      <c r="S416" s="3430" t="s">
        <v>419</v>
      </c>
      <c r="T416" s="3430" t="s">
        <v>445</v>
      </c>
      <c r="U416" s="3430" t="s">
        <v>445</v>
      </c>
      <c r="V416" s="3430" t="s">
        <v>445</v>
      </c>
      <c r="W416" s="3430" t="s">
        <v>445</v>
      </c>
      <c r="X416" s="3430" t="s">
        <v>896</v>
      </c>
      <c r="Y416" s="3430" t="s">
        <v>445</v>
      </c>
      <c r="Z416" s="3430" t="s">
        <v>447</v>
      </c>
      <c r="AA416" s="3430" t="s">
        <v>447</v>
      </c>
      <c r="AB416" s="3430" t="s">
        <v>445</v>
      </c>
      <c r="AC416" s="3430" t="s">
        <v>448</v>
      </c>
      <c r="AD416" s="3430" t="s">
        <v>448</v>
      </c>
      <c r="AE416" s="3430" t="s">
        <v>445</v>
      </c>
      <c r="AF416" s="3430" t="s">
        <v>831</v>
      </c>
      <c r="AG416" s="3430" t="s">
        <v>445</v>
      </c>
      <c r="AH416" s="3430" t="s">
        <v>449</v>
      </c>
      <c r="AI416" s="3430" t="s">
        <v>449</v>
      </c>
      <c r="AJ416" s="3430" t="s">
        <v>445</v>
      </c>
      <c r="AK416" s="3430" t="s">
        <v>450</v>
      </c>
      <c r="AL416" s="3430" t="s">
        <v>631</v>
      </c>
      <c r="AM416" s="3430" t="s">
        <v>830</v>
      </c>
      <c r="AN416" s="3443" t="s">
        <v>445</v>
      </c>
      <c r="AO416" s="3426"/>
    </row>
    <row r="417" spans="1:41" ht="13" thickBot="1">
      <c r="A417" s="5055" t="s">
        <v>49</v>
      </c>
      <c r="B417" s="5056"/>
      <c r="C417" s="3433" t="s">
        <v>296</v>
      </c>
      <c r="D417" s="3433" t="s">
        <v>296</v>
      </c>
      <c r="E417" s="3433" t="s">
        <v>296</v>
      </c>
      <c r="F417" s="3433" t="s">
        <v>296</v>
      </c>
      <c r="G417" s="3433" t="s">
        <v>296</v>
      </c>
      <c r="H417" s="3433" t="s">
        <v>296</v>
      </c>
      <c r="I417" s="3433" t="s">
        <v>296</v>
      </c>
      <c r="J417" s="3418" t="s">
        <v>296</v>
      </c>
      <c r="K417" s="3433" t="s">
        <v>296</v>
      </c>
      <c r="L417" s="3433" t="s">
        <v>296</v>
      </c>
      <c r="M417" s="3433" t="s">
        <v>296</v>
      </c>
      <c r="N417" s="3433" t="s">
        <v>296</v>
      </c>
      <c r="O417" s="3433" t="s">
        <v>296</v>
      </c>
      <c r="P417" s="3433" t="s">
        <v>296</v>
      </c>
      <c r="Q417" s="3433" t="s">
        <v>296</v>
      </c>
      <c r="R417" s="3433" t="s">
        <v>296</v>
      </c>
      <c r="S417" s="3433" t="s">
        <v>296</v>
      </c>
      <c r="T417" s="3433" t="s">
        <v>296</v>
      </c>
      <c r="U417" s="3433" t="s">
        <v>296</v>
      </c>
      <c r="V417" s="3433" t="s">
        <v>296</v>
      </c>
      <c r="W417" s="3433" t="s">
        <v>296</v>
      </c>
      <c r="X417" s="3433" t="s">
        <v>296</v>
      </c>
      <c r="Y417" s="3433" t="s">
        <v>296</v>
      </c>
      <c r="Z417" s="3433" t="s">
        <v>296</v>
      </c>
      <c r="AA417" s="3433" t="s">
        <v>296</v>
      </c>
      <c r="AB417" s="3433" t="s">
        <v>296</v>
      </c>
      <c r="AC417" s="3433" t="s">
        <v>296</v>
      </c>
      <c r="AD417" s="3433" t="s">
        <v>296</v>
      </c>
      <c r="AE417" s="3433" t="s">
        <v>296</v>
      </c>
      <c r="AF417" s="3433" t="s">
        <v>296</v>
      </c>
      <c r="AG417" s="3433" t="s">
        <v>296</v>
      </c>
      <c r="AH417" s="3433" t="s">
        <v>296</v>
      </c>
      <c r="AI417" s="3433" t="s">
        <v>296</v>
      </c>
      <c r="AJ417" s="3433" t="s">
        <v>296</v>
      </c>
      <c r="AK417" s="3433" t="s">
        <v>296</v>
      </c>
      <c r="AL417" s="3433" t="s">
        <v>296</v>
      </c>
      <c r="AM417" s="3433" t="s">
        <v>296</v>
      </c>
      <c r="AN417" s="3444" t="s">
        <v>296</v>
      </c>
      <c r="AO417" s="3426"/>
    </row>
    <row r="418" spans="1:41" ht="13" thickTop="1">
      <c r="A418" s="5051" t="s">
        <v>298</v>
      </c>
      <c r="B418" s="5052"/>
      <c r="C418" s="3432"/>
      <c r="D418" s="3455">
        <v>99.9925464058675</v>
      </c>
      <c r="E418" s="3432"/>
      <c r="F418" s="3432"/>
      <c r="G418" s="3432"/>
      <c r="H418" s="3432"/>
      <c r="I418" s="3432"/>
      <c r="J418" s="3414">
        <v>0.53</v>
      </c>
      <c r="K418" s="3432"/>
      <c r="L418" s="3455">
        <v>99.995617189829204</v>
      </c>
      <c r="M418" s="3432"/>
      <c r="N418" s="3432"/>
      <c r="O418" s="3432"/>
      <c r="P418" s="3432"/>
      <c r="Q418" s="3432"/>
      <c r="R418" s="3432"/>
      <c r="S418" s="3432"/>
      <c r="T418" s="3432"/>
      <c r="U418" s="3432"/>
      <c r="V418" s="3432"/>
      <c r="W418" s="3432"/>
      <c r="X418" s="3455">
        <v>99.995606401199296</v>
      </c>
      <c r="Y418" s="3432"/>
      <c r="Z418" s="3432"/>
      <c r="AA418" s="3432"/>
      <c r="AB418" s="3432"/>
      <c r="AC418" s="3432"/>
      <c r="AD418" s="3432"/>
      <c r="AE418" s="3432"/>
      <c r="AF418" s="3432"/>
      <c r="AG418" s="3432"/>
      <c r="AH418" s="3432"/>
      <c r="AI418" s="3432"/>
      <c r="AJ418" s="3432"/>
      <c r="AK418" s="3432"/>
      <c r="AL418" s="3432"/>
      <c r="AM418" s="3432"/>
      <c r="AN418" s="3497"/>
      <c r="AO418" s="3426"/>
    </row>
    <row r="419" spans="1:41">
      <c r="A419" s="5047" t="s">
        <v>5</v>
      </c>
      <c r="B419" s="5048"/>
      <c r="C419" s="3432"/>
      <c r="D419" s="3447">
        <v>0</v>
      </c>
      <c r="E419" s="3432"/>
      <c r="F419" s="3432"/>
      <c r="G419" s="3432"/>
      <c r="H419" s="3432"/>
      <c r="I419" s="3432"/>
      <c r="J419" s="3414">
        <v>0</v>
      </c>
      <c r="K419" s="3432"/>
      <c r="L419" s="3447">
        <v>0</v>
      </c>
      <c r="M419" s="3432"/>
      <c r="N419" s="3432"/>
      <c r="O419" s="3432"/>
      <c r="P419" s="3432"/>
      <c r="Q419" s="3432"/>
      <c r="R419" s="3432"/>
      <c r="S419" s="3432"/>
      <c r="T419" s="3432"/>
      <c r="U419" s="3432"/>
      <c r="V419" s="3432"/>
      <c r="W419" s="3432"/>
      <c r="X419" s="3447">
        <v>0</v>
      </c>
      <c r="Y419" s="3432"/>
      <c r="Z419" s="3432"/>
      <c r="AA419" s="3432"/>
      <c r="AB419" s="3432"/>
      <c r="AC419" s="3432"/>
      <c r="AD419" s="3432"/>
      <c r="AE419" s="3432"/>
      <c r="AF419" s="3432"/>
      <c r="AG419" s="3432"/>
      <c r="AH419" s="3432"/>
      <c r="AI419" s="3432"/>
      <c r="AJ419" s="3432"/>
      <c r="AK419" s="3432"/>
      <c r="AL419" s="3432"/>
      <c r="AM419" s="3432"/>
      <c r="AN419" s="3497"/>
      <c r="AO419" s="3426"/>
    </row>
    <row r="420" spans="1:41">
      <c r="A420" s="5047" t="s">
        <v>832</v>
      </c>
      <c r="B420" s="5048"/>
      <c r="C420" s="3432"/>
      <c r="D420" s="3447">
        <v>0</v>
      </c>
      <c r="E420" s="3432"/>
      <c r="F420" s="3432"/>
      <c r="G420" s="3432"/>
      <c r="H420" s="3432"/>
      <c r="I420" s="3432"/>
      <c r="J420" s="3414">
        <v>0</v>
      </c>
      <c r="K420" s="3432"/>
      <c r="L420" s="3447">
        <v>0</v>
      </c>
      <c r="M420" s="3432"/>
      <c r="N420" s="3432"/>
      <c r="O420" s="3432"/>
      <c r="P420" s="3432"/>
      <c r="Q420" s="3432"/>
      <c r="R420" s="3432"/>
      <c r="S420" s="3432"/>
      <c r="T420" s="3432"/>
      <c r="U420" s="3432"/>
      <c r="V420" s="3432"/>
      <c r="W420" s="3432"/>
      <c r="X420" s="3447">
        <v>0</v>
      </c>
      <c r="Y420" s="3432"/>
      <c r="Z420" s="3432"/>
      <c r="AA420" s="3432"/>
      <c r="AB420" s="3432"/>
      <c r="AC420" s="3432"/>
      <c r="AD420" s="3432"/>
      <c r="AE420" s="3432"/>
      <c r="AF420" s="3432"/>
      <c r="AG420" s="3432"/>
      <c r="AH420" s="3432"/>
      <c r="AI420" s="3432"/>
      <c r="AJ420" s="3432"/>
      <c r="AK420" s="3432"/>
      <c r="AL420" s="3432"/>
      <c r="AM420" s="3432"/>
      <c r="AN420" s="3497"/>
      <c r="AO420" s="3426"/>
    </row>
    <row r="421" spans="1:41">
      <c r="A421" s="5047" t="s">
        <v>3</v>
      </c>
      <c r="B421" s="5048"/>
      <c r="C421" s="3432"/>
      <c r="D421" s="3447">
        <v>0</v>
      </c>
      <c r="E421" s="3432"/>
      <c r="F421" s="3432"/>
      <c r="G421" s="3432"/>
      <c r="H421" s="3432"/>
      <c r="I421" s="3432"/>
      <c r="J421" s="3414">
        <v>0.05</v>
      </c>
      <c r="K421" s="3432"/>
      <c r="L421" s="3447">
        <v>0</v>
      </c>
      <c r="M421" s="3432"/>
      <c r="N421" s="3432"/>
      <c r="O421" s="3432"/>
      <c r="P421" s="3432"/>
      <c r="Q421" s="3432"/>
      <c r="R421" s="3432"/>
      <c r="S421" s="3432"/>
      <c r="T421" s="3432"/>
      <c r="U421" s="3432"/>
      <c r="V421" s="3432"/>
      <c r="W421" s="3432"/>
      <c r="X421" s="3447">
        <v>0</v>
      </c>
      <c r="Y421" s="3432"/>
      <c r="Z421" s="3432"/>
      <c r="AA421" s="3432"/>
      <c r="AB421" s="3432"/>
      <c r="AC421" s="3432"/>
      <c r="AD421" s="3432"/>
      <c r="AE421" s="3432"/>
      <c r="AF421" s="3432"/>
      <c r="AG421" s="3432"/>
      <c r="AH421" s="3432"/>
      <c r="AI421" s="3432"/>
      <c r="AJ421" s="3432"/>
      <c r="AK421" s="3432"/>
      <c r="AL421" s="3432"/>
      <c r="AM421" s="3432"/>
      <c r="AN421" s="3497"/>
      <c r="AO421" s="3426"/>
    </row>
    <row r="422" spans="1:41">
      <c r="A422" s="5047" t="s">
        <v>6</v>
      </c>
      <c r="B422" s="5048"/>
      <c r="C422" s="3432"/>
      <c r="D422" s="3447">
        <v>0</v>
      </c>
      <c r="E422" s="3432"/>
      <c r="F422" s="3432"/>
      <c r="G422" s="3432"/>
      <c r="H422" s="3432"/>
      <c r="I422" s="3432"/>
      <c r="J422" s="3414">
        <v>0.02</v>
      </c>
      <c r="K422" s="3432"/>
      <c r="L422" s="3447">
        <v>0</v>
      </c>
      <c r="M422" s="3432"/>
      <c r="N422" s="3432"/>
      <c r="O422" s="3432"/>
      <c r="P422" s="3432"/>
      <c r="Q422" s="3432"/>
      <c r="R422" s="3432"/>
      <c r="S422" s="3432"/>
      <c r="T422" s="3432"/>
      <c r="U422" s="3432"/>
      <c r="V422" s="3432"/>
      <c r="W422" s="3432"/>
      <c r="X422" s="3447">
        <v>0</v>
      </c>
      <c r="Y422" s="3432"/>
      <c r="Z422" s="3432"/>
      <c r="AA422" s="3432"/>
      <c r="AB422" s="3432"/>
      <c r="AC422" s="3432"/>
      <c r="AD422" s="3432"/>
      <c r="AE422" s="3432"/>
      <c r="AF422" s="3432"/>
      <c r="AG422" s="3432"/>
      <c r="AH422" s="3432"/>
      <c r="AI422" s="3432"/>
      <c r="AJ422" s="3432"/>
      <c r="AK422" s="3432"/>
      <c r="AL422" s="3432"/>
      <c r="AM422" s="3432"/>
      <c r="AN422" s="3497"/>
      <c r="AO422" s="3426"/>
    </row>
    <row r="423" spans="1:41">
      <c r="A423" s="5047" t="s">
        <v>7</v>
      </c>
      <c r="B423" s="5048"/>
      <c r="C423" s="3432"/>
      <c r="D423" s="3460">
        <v>5.3837912552886699E-4</v>
      </c>
      <c r="E423" s="3432"/>
      <c r="F423" s="3432"/>
      <c r="G423" s="3432"/>
      <c r="H423" s="3432"/>
      <c r="I423" s="3432"/>
      <c r="J423" s="3414">
        <v>15</v>
      </c>
      <c r="K423" s="3432"/>
      <c r="L423" s="3452">
        <v>1.2623193115301201E-3</v>
      </c>
      <c r="M423" s="3432"/>
      <c r="N423" s="3432"/>
      <c r="O423" s="3432"/>
      <c r="P423" s="3432"/>
      <c r="Q423" s="3432"/>
      <c r="R423" s="3432"/>
      <c r="S423" s="3432"/>
      <c r="T423" s="3432"/>
      <c r="U423" s="3432"/>
      <c r="V423" s="3432"/>
      <c r="W423" s="3432"/>
      <c r="X423" s="3452">
        <v>1.25672720504333E-3</v>
      </c>
      <c r="Y423" s="3432"/>
      <c r="Z423" s="3432"/>
      <c r="AA423" s="3432"/>
      <c r="AB423" s="3432"/>
      <c r="AC423" s="3432"/>
      <c r="AD423" s="3432"/>
      <c r="AE423" s="3432"/>
      <c r="AF423" s="3432"/>
      <c r="AG423" s="3432"/>
      <c r="AH423" s="3432"/>
      <c r="AI423" s="3432"/>
      <c r="AJ423" s="3432"/>
      <c r="AK423" s="3432"/>
      <c r="AL423" s="3432"/>
      <c r="AM423" s="3432"/>
      <c r="AN423" s="3497"/>
      <c r="AO423" s="3426"/>
    </row>
    <row r="424" spans="1:41">
      <c r="A424" s="5047" t="s">
        <v>8</v>
      </c>
      <c r="B424" s="5048"/>
      <c r="C424" s="3432"/>
      <c r="D424" s="3452">
        <v>2.6580289387289398E-3</v>
      </c>
      <c r="E424" s="3432"/>
      <c r="F424" s="3432"/>
      <c r="G424" s="3432"/>
      <c r="H424" s="3432"/>
      <c r="I424" s="3432"/>
      <c r="J424" s="3414">
        <v>64.91</v>
      </c>
      <c r="K424" s="3432"/>
      <c r="L424" s="3460">
        <v>9.940221230364801E-4</v>
      </c>
      <c r="M424" s="3432"/>
      <c r="N424" s="3432"/>
      <c r="O424" s="3432"/>
      <c r="P424" s="3432"/>
      <c r="Q424" s="3432"/>
      <c r="R424" s="3432"/>
      <c r="S424" s="3432"/>
      <c r="T424" s="3432"/>
      <c r="U424" s="3432"/>
      <c r="V424" s="3432"/>
      <c r="W424" s="3432"/>
      <c r="X424" s="3460">
        <v>9.9823014598992709E-4</v>
      </c>
      <c r="Y424" s="3432"/>
      <c r="Z424" s="3432"/>
      <c r="AA424" s="3432"/>
      <c r="AB424" s="3432"/>
      <c r="AC424" s="3432"/>
      <c r="AD424" s="3432"/>
      <c r="AE424" s="3432"/>
      <c r="AF424" s="3432"/>
      <c r="AG424" s="3432"/>
      <c r="AH424" s="3432"/>
      <c r="AI424" s="3432"/>
      <c r="AJ424" s="3432"/>
      <c r="AK424" s="3432"/>
      <c r="AL424" s="3432"/>
      <c r="AM424" s="3432"/>
      <c r="AN424" s="3497"/>
      <c r="AO424" s="3426"/>
    </row>
    <row r="425" spans="1:41">
      <c r="A425" s="5047" t="s">
        <v>66</v>
      </c>
      <c r="B425" s="5048"/>
      <c r="C425" s="3432"/>
      <c r="D425" s="3460">
        <v>2.7057432303945498E-4</v>
      </c>
      <c r="E425" s="3432"/>
      <c r="F425" s="3432"/>
      <c r="G425" s="3432"/>
      <c r="H425" s="3432"/>
      <c r="I425" s="3432"/>
      <c r="J425" s="3414">
        <v>5.88</v>
      </c>
      <c r="K425" s="3432"/>
      <c r="L425" s="3460">
        <v>1.02234656365634E-4</v>
      </c>
      <c r="M425" s="3432"/>
      <c r="N425" s="3432"/>
      <c r="O425" s="3432"/>
      <c r="P425" s="3432"/>
      <c r="Q425" s="3432"/>
      <c r="R425" s="3432"/>
      <c r="S425" s="3432"/>
      <c r="T425" s="3432"/>
      <c r="U425" s="3432"/>
      <c r="V425" s="3432"/>
      <c r="W425" s="3432"/>
      <c r="X425" s="3460">
        <v>1.02563259478346E-4</v>
      </c>
      <c r="Y425" s="3432"/>
      <c r="Z425" s="3432"/>
      <c r="AA425" s="3432"/>
      <c r="AB425" s="3432"/>
      <c r="AC425" s="3432"/>
      <c r="AD425" s="3432"/>
      <c r="AE425" s="3432"/>
      <c r="AF425" s="3432"/>
      <c r="AG425" s="3432"/>
      <c r="AH425" s="3432"/>
      <c r="AI425" s="3432"/>
      <c r="AJ425" s="3432"/>
      <c r="AK425" s="3432"/>
      <c r="AL425" s="3432"/>
      <c r="AM425" s="3432"/>
      <c r="AN425" s="3497"/>
      <c r="AO425" s="3426"/>
    </row>
    <row r="426" spans="1:41">
      <c r="A426" s="5047" t="s">
        <v>359</v>
      </c>
      <c r="B426" s="5048"/>
      <c r="C426" s="3432"/>
      <c r="D426" s="3460">
        <v>7.7103935327893904E-4</v>
      </c>
      <c r="E426" s="3432"/>
      <c r="F426" s="3432"/>
      <c r="G426" s="3432"/>
      <c r="H426" s="3432"/>
      <c r="I426" s="3432"/>
      <c r="J426" s="3414">
        <v>9.19</v>
      </c>
      <c r="K426" s="3432"/>
      <c r="L426" s="3460">
        <v>2.9255007249386598E-4</v>
      </c>
      <c r="M426" s="3432"/>
      <c r="N426" s="3432"/>
      <c r="O426" s="3432"/>
      <c r="P426" s="3432"/>
      <c r="Q426" s="3432"/>
      <c r="R426" s="3432"/>
      <c r="S426" s="3432"/>
      <c r="T426" s="3432"/>
      <c r="U426" s="3432"/>
      <c r="V426" s="3432"/>
      <c r="W426" s="3432"/>
      <c r="X426" s="3460">
        <v>2.9400102079525702E-4</v>
      </c>
      <c r="Y426" s="3432"/>
      <c r="Z426" s="3432"/>
      <c r="AA426" s="3432"/>
      <c r="AB426" s="3432"/>
      <c r="AC426" s="3432"/>
      <c r="AD426" s="3432"/>
      <c r="AE426" s="3432"/>
      <c r="AF426" s="3432"/>
      <c r="AG426" s="3432"/>
      <c r="AH426" s="3432"/>
      <c r="AI426" s="3432"/>
      <c r="AJ426" s="3432"/>
      <c r="AK426" s="3432"/>
      <c r="AL426" s="3432"/>
      <c r="AM426" s="3432"/>
      <c r="AN426" s="3497"/>
      <c r="AO426" s="3426"/>
    </row>
    <row r="427" spans="1:41">
      <c r="A427" s="5047" t="s">
        <v>68</v>
      </c>
      <c r="B427" s="5048"/>
      <c r="C427" s="3432"/>
      <c r="D427" s="3449">
        <v>9.1875795638117602E-5</v>
      </c>
      <c r="E427" s="3432"/>
      <c r="F427" s="3432"/>
      <c r="G427" s="3432"/>
      <c r="H427" s="3432"/>
      <c r="I427" s="3432"/>
      <c r="J427" s="3414">
        <v>1.25</v>
      </c>
      <c r="K427" s="3432"/>
      <c r="L427" s="3449">
        <v>4.6597122753723603E-5</v>
      </c>
      <c r="M427" s="3432"/>
      <c r="N427" s="3432"/>
      <c r="O427" s="3432"/>
      <c r="P427" s="3432"/>
      <c r="Q427" s="3432"/>
      <c r="R427" s="3432"/>
      <c r="S427" s="3432"/>
      <c r="T427" s="3432"/>
      <c r="U427" s="3432"/>
      <c r="V427" s="3432"/>
      <c r="W427" s="3432"/>
      <c r="X427" s="3449">
        <v>4.6714331203158297E-5</v>
      </c>
      <c r="Y427" s="3432"/>
      <c r="Z427" s="3432"/>
      <c r="AA427" s="3432"/>
      <c r="AB427" s="3432"/>
      <c r="AC427" s="3432"/>
      <c r="AD427" s="3432"/>
      <c r="AE427" s="3432"/>
      <c r="AF427" s="3432"/>
      <c r="AG427" s="3432"/>
      <c r="AH427" s="3432"/>
      <c r="AI427" s="3432"/>
      <c r="AJ427" s="3432"/>
      <c r="AK427" s="3432"/>
      <c r="AL427" s="3432"/>
      <c r="AM427" s="3432"/>
      <c r="AN427" s="3497"/>
      <c r="AO427" s="3426"/>
    </row>
    <row r="428" spans="1:41">
      <c r="A428" s="5047" t="s">
        <v>669</v>
      </c>
      <c r="B428" s="5048"/>
      <c r="C428" s="3432"/>
      <c r="D428" s="3449">
        <v>4.6948807820370599E-5</v>
      </c>
      <c r="E428" s="3432"/>
      <c r="F428" s="3432"/>
      <c r="G428" s="3432"/>
      <c r="H428" s="3432"/>
      <c r="I428" s="3432"/>
      <c r="J428" s="3414">
        <v>1.2</v>
      </c>
      <c r="K428" s="3432"/>
      <c r="L428" s="3449">
        <v>1.7534935308206598E-5</v>
      </c>
      <c r="M428" s="3432"/>
      <c r="N428" s="3432"/>
      <c r="O428" s="3432"/>
      <c r="P428" s="3432"/>
      <c r="Q428" s="3432"/>
      <c r="R428" s="3432"/>
      <c r="S428" s="3432"/>
      <c r="T428" s="3432"/>
      <c r="U428" s="3432"/>
      <c r="V428" s="3432"/>
      <c r="W428" s="3432"/>
      <c r="X428" s="3449">
        <v>1.7649513286661601E-5</v>
      </c>
      <c r="Y428" s="3432"/>
      <c r="Z428" s="3432"/>
      <c r="AA428" s="3432"/>
      <c r="AB428" s="3432"/>
      <c r="AC428" s="3432"/>
      <c r="AD428" s="3432"/>
      <c r="AE428" s="3432"/>
      <c r="AF428" s="3432"/>
      <c r="AG428" s="3432"/>
      <c r="AH428" s="3432"/>
      <c r="AI428" s="3432"/>
      <c r="AJ428" s="3432"/>
      <c r="AK428" s="3432"/>
      <c r="AL428" s="3432"/>
      <c r="AM428" s="3432"/>
      <c r="AN428" s="3497"/>
      <c r="AO428" s="3426"/>
    </row>
    <row r="429" spans="1:41">
      <c r="A429" s="5047" t="s">
        <v>99</v>
      </c>
      <c r="B429" s="5048"/>
      <c r="C429" s="3432"/>
      <c r="D429" s="3447">
        <v>0</v>
      </c>
      <c r="E429" s="3432"/>
      <c r="F429" s="3432"/>
      <c r="G429" s="3432"/>
      <c r="H429" s="3432"/>
      <c r="I429" s="3432"/>
      <c r="J429" s="3414">
        <v>0</v>
      </c>
      <c r="K429" s="3432"/>
      <c r="L429" s="3447">
        <v>0</v>
      </c>
      <c r="M429" s="3432"/>
      <c r="N429" s="3432"/>
      <c r="O429" s="3432"/>
      <c r="P429" s="3432"/>
      <c r="Q429" s="3432"/>
      <c r="R429" s="3432"/>
      <c r="S429" s="3432"/>
      <c r="T429" s="3432"/>
      <c r="U429" s="3432"/>
      <c r="V429" s="3432"/>
      <c r="W429" s="3432"/>
      <c r="X429" s="3447">
        <v>0</v>
      </c>
      <c r="Y429" s="3432"/>
      <c r="Z429" s="3432"/>
      <c r="AA429" s="3432"/>
      <c r="AB429" s="3432"/>
      <c r="AC429" s="3432"/>
      <c r="AD429" s="3432"/>
      <c r="AE429" s="3432"/>
      <c r="AF429" s="3432"/>
      <c r="AG429" s="3432"/>
      <c r="AH429" s="3432"/>
      <c r="AI429" s="3432"/>
      <c r="AJ429" s="3432"/>
      <c r="AK429" s="3432"/>
      <c r="AL429" s="3432"/>
      <c r="AM429" s="3432"/>
      <c r="AN429" s="3497"/>
      <c r="AO429" s="3426"/>
    </row>
    <row r="430" spans="1:41">
      <c r="A430" s="5047" t="s">
        <v>422</v>
      </c>
      <c r="B430" s="5048"/>
      <c r="C430" s="3432"/>
      <c r="D430" s="3449">
        <v>1.8178002949892701E-5</v>
      </c>
      <c r="E430" s="3432"/>
      <c r="F430" s="3432"/>
      <c r="G430" s="3432"/>
      <c r="H430" s="3432"/>
      <c r="I430" s="3432"/>
      <c r="J430" s="3414">
        <v>0.45</v>
      </c>
      <c r="K430" s="3432"/>
      <c r="L430" s="3449">
        <v>7.4339591442240202E-6</v>
      </c>
      <c r="M430" s="3432"/>
      <c r="N430" s="3432"/>
      <c r="O430" s="3432"/>
      <c r="P430" s="3432"/>
      <c r="Q430" s="3432"/>
      <c r="R430" s="3432"/>
      <c r="S430" s="3432"/>
      <c r="T430" s="3432"/>
      <c r="U430" s="3432"/>
      <c r="V430" s="3432"/>
      <c r="W430" s="3432"/>
      <c r="X430" s="3449">
        <v>7.4735587190650604E-6</v>
      </c>
      <c r="Y430" s="3432"/>
      <c r="Z430" s="3432"/>
      <c r="AA430" s="3432"/>
      <c r="AB430" s="3432"/>
      <c r="AC430" s="3432"/>
      <c r="AD430" s="3432"/>
      <c r="AE430" s="3432"/>
      <c r="AF430" s="3432"/>
      <c r="AG430" s="3432"/>
      <c r="AH430" s="3432"/>
      <c r="AI430" s="3432"/>
      <c r="AJ430" s="3432"/>
      <c r="AK430" s="3432"/>
      <c r="AL430" s="3432"/>
      <c r="AM430" s="3432"/>
      <c r="AN430" s="3497"/>
      <c r="AO430" s="3426"/>
    </row>
    <row r="431" spans="1:41">
      <c r="A431" s="5047" t="s">
        <v>10</v>
      </c>
      <c r="B431" s="5048"/>
      <c r="C431" s="3432"/>
      <c r="D431" s="3449">
        <v>5.1045704358325502E-6</v>
      </c>
      <c r="E431" s="3432"/>
      <c r="F431" s="3432"/>
      <c r="G431" s="3432"/>
      <c r="H431" s="3432"/>
      <c r="I431" s="3432"/>
      <c r="J431" s="3414">
        <v>0.23</v>
      </c>
      <c r="K431" s="3432"/>
      <c r="L431" s="3449">
        <v>2.0738663190388302E-6</v>
      </c>
      <c r="M431" s="3432"/>
      <c r="N431" s="3432"/>
      <c r="O431" s="3432"/>
      <c r="P431" s="3432"/>
      <c r="Q431" s="3432"/>
      <c r="R431" s="3432"/>
      <c r="S431" s="3432"/>
      <c r="T431" s="3432"/>
      <c r="U431" s="3432"/>
      <c r="V431" s="3432"/>
      <c r="W431" s="3432"/>
      <c r="X431" s="3449">
        <v>2.0873815958635001E-6</v>
      </c>
      <c r="Y431" s="3432"/>
      <c r="Z431" s="3432"/>
      <c r="AA431" s="3432"/>
      <c r="AB431" s="3432"/>
      <c r="AC431" s="3432"/>
      <c r="AD431" s="3432"/>
      <c r="AE431" s="3432"/>
      <c r="AF431" s="3432"/>
      <c r="AG431" s="3432"/>
      <c r="AH431" s="3432"/>
      <c r="AI431" s="3432"/>
      <c r="AJ431" s="3432"/>
      <c r="AK431" s="3432"/>
      <c r="AL431" s="3432"/>
      <c r="AM431" s="3432"/>
      <c r="AN431" s="3497"/>
      <c r="AO431" s="3426"/>
    </row>
    <row r="432" spans="1:41">
      <c r="A432" s="5047" t="s">
        <v>9</v>
      </c>
      <c r="B432" s="5048"/>
      <c r="C432" s="3432"/>
      <c r="D432" s="3449">
        <v>3.0074622803336102E-5</v>
      </c>
      <c r="E432" s="3432"/>
      <c r="F432" s="3432"/>
      <c r="G432" s="3432"/>
      <c r="H432" s="3432"/>
      <c r="I432" s="3432"/>
      <c r="J432" s="3414">
        <v>0.18</v>
      </c>
      <c r="K432" s="3432"/>
      <c r="L432" s="3449">
        <v>1.38277631679902E-5</v>
      </c>
      <c r="M432" s="3432"/>
      <c r="N432" s="3432"/>
      <c r="O432" s="3432"/>
      <c r="P432" s="3432"/>
      <c r="Q432" s="3432"/>
      <c r="R432" s="3432"/>
      <c r="S432" s="3432"/>
      <c r="T432" s="3432"/>
      <c r="U432" s="3432"/>
      <c r="V432" s="3432"/>
      <c r="W432" s="3432"/>
      <c r="X432" s="3449">
        <v>1.3911694112694701E-5</v>
      </c>
      <c r="Y432" s="3432"/>
      <c r="Z432" s="3432"/>
      <c r="AA432" s="3432"/>
      <c r="AB432" s="3432"/>
      <c r="AC432" s="3432"/>
      <c r="AD432" s="3432"/>
      <c r="AE432" s="3432"/>
      <c r="AF432" s="3432"/>
      <c r="AG432" s="3432"/>
      <c r="AH432" s="3432"/>
      <c r="AI432" s="3432"/>
      <c r="AJ432" s="3432"/>
      <c r="AK432" s="3432"/>
      <c r="AL432" s="3432"/>
      <c r="AM432" s="3432"/>
      <c r="AN432" s="3497"/>
      <c r="AO432" s="3426"/>
    </row>
    <row r="433" spans="1:41">
      <c r="A433" s="5047" t="s">
        <v>11</v>
      </c>
      <c r="B433" s="5048"/>
      <c r="C433" s="3432"/>
      <c r="D433" s="3452">
        <v>2.0843139589034501E-3</v>
      </c>
      <c r="E433" s="3432"/>
      <c r="F433" s="3432"/>
      <c r="G433" s="3432"/>
      <c r="H433" s="3432"/>
      <c r="I433" s="3432"/>
      <c r="J433" s="3414">
        <v>0.19</v>
      </c>
      <c r="K433" s="3432"/>
      <c r="L433" s="3452">
        <v>1.1348281861880999E-3</v>
      </c>
      <c r="M433" s="3432"/>
      <c r="N433" s="3432"/>
      <c r="O433" s="3432"/>
      <c r="P433" s="3432"/>
      <c r="Q433" s="3432"/>
      <c r="R433" s="3432"/>
      <c r="S433" s="3432"/>
      <c r="T433" s="3432"/>
      <c r="U433" s="3432"/>
      <c r="V433" s="3432"/>
      <c r="W433" s="3432"/>
      <c r="X433" s="3452">
        <v>1.1414240938377399E-3</v>
      </c>
      <c r="Y433" s="3432"/>
      <c r="Z433" s="3432"/>
      <c r="AA433" s="3432"/>
      <c r="AB433" s="3432"/>
      <c r="AC433" s="3432"/>
      <c r="AD433" s="3432"/>
      <c r="AE433" s="3432"/>
      <c r="AF433" s="3432"/>
      <c r="AG433" s="3432"/>
      <c r="AH433" s="3432"/>
      <c r="AI433" s="3432"/>
      <c r="AJ433" s="3432"/>
      <c r="AK433" s="3432"/>
      <c r="AL433" s="3432"/>
      <c r="AM433" s="3432"/>
      <c r="AN433" s="3497"/>
      <c r="AO433" s="3426"/>
    </row>
    <row r="434" spans="1:41">
      <c r="A434" s="5047" t="s">
        <v>12</v>
      </c>
      <c r="B434" s="5048"/>
      <c r="C434" s="3432"/>
      <c r="D434" s="3460">
        <v>1.17301354435325E-4</v>
      </c>
      <c r="E434" s="3432"/>
      <c r="F434" s="3432"/>
      <c r="G434" s="3432"/>
      <c r="H434" s="3432"/>
      <c r="I434" s="3432"/>
      <c r="J434" s="3414">
        <v>0.34</v>
      </c>
      <c r="K434" s="3432"/>
      <c r="L434" s="3449">
        <v>5.3059563607164399E-5</v>
      </c>
      <c r="M434" s="3432"/>
      <c r="N434" s="3432"/>
      <c r="O434" s="3432"/>
      <c r="P434" s="3432"/>
      <c r="Q434" s="3432"/>
      <c r="R434" s="3432"/>
      <c r="S434" s="3432"/>
      <c r="T434" s="3432"/>
      <c r="U434" s="3432"/>
      <c r="V434" s="3432"/>
      <c r="W434" s="3432"/>
      <c r="X434" s="3449">
        <v>5.3399739597319303E-5</v>
      </c>
      <c r="Y434" s="3432"/>
      <c r="Z434" s="3432"/>
      <c r="AA434" s="3432"/>
      <c r="AB434" s="3432"/>
      <c r="AC434" s="3432"/>
      <c r="AD434" s="3432"/>
      <c r="AE434" s="3432"/>
      <c r="AF434" s="3432"/>
      <c r="AG434" s="3432"/>
      <c r="AH434" s="3432"/>
      <c r="AI434" s="3432"/>
      <c r="AJ434" s="3432"/>
      <c r="AK434" s="3432"/>
      <c r="AL434" s="3432"/>
      <c r="AM434" s="3432"/>
      <c r="AN434" s="3497"/>
      <c r="AO434" s="3426"/>
    </row>
    <row r="435" spans="1:41">
      <c r="A435" s="5047" t="s">
        <v>48</v>
      </c>
      <c r="B435" s="5048"/>
      <c r="C435" s="3432"/>
      <c r="D435" s="3447">
        <v>0</v>
      </c>
      <c r="E435" s="3432"/>
      <c r="F435" s="3432"/>
      <c r="G435" s="3432"/>
      <c r="H435" s="3432"/>
      <c r="I435" s="3432"/>
      <c r="J435" s="3414">
        <v>0</v>
      </c>
      <c r="K435" s="3432"/>
      <c r="L435" s="3447">
        <v>0</v>
      </c>
      <c r="M435" s="3432"/>
      <c r="N435" s="3432"/>
      <c r="O435" s="3432"/>
      <c r="P435" s="3432"/>
      <c r="Q435" s="3432"/>
      <c r="R435" s="3432"/>
      <c r="S435" s="3432"/>
      <c r="T435" s="3432"/>
      <c r="U435" s="3432"/>
      <c r="V435" s="3432"/>
      <c r="W435" s="3432"/>
      <c r="X435" s="3447">
        <v>0</v>
      </c>
      <c r="Y435" s="3432"/>
      <c r="Z435" s="3432"/>
      <c r="AA435" s="3432"/>
      <c r="AB435" s="3432"/>
      <c r="AC435" s="3432"/>
      <c r="AD435" s="3432"/>
      <c r="AE435" s="3432"/>
      <c r="AF435" s="3432"/>
      <c r="AG435" s="3432"/>
      <c r="AH435" s="3432"/>
      <c r="AI435" s="3432"/>
      <c r="AJ435" s="3432"/>
      <c r="AK435" s="3432"/>
      <c r="AL435" s="3432"/>
      <c r="AM435" s="3432"/>
      <c r="AN435" s="3497"/>
      <c r="AO435" s="3426"/>
    </row>
    <row r="436" spans="1:41">
      <c r="A436" s="5047" t="s">
        <v>751</v>
      </c>
      <c r="B436" s="5048"/>
      <c r="C436" s="3432"/>
      <c r="D436" s="3449">
        <v>1.60308828721536E-6</v>
      </c>
      <c r="E436" s="3432"/>
      <c r="F436" s="3432"/>
      <c r="G436" s="3432"/>
      <c r="H436" s="3432"/>
      <c r="I436" s="3432"/>
      <c r="J436" s="3414">
        <v>7.0000000000000007E-2</v>
      </c>
      <c r="K436" s="3432"/>
      <c r="L436" s="3449">
        <v>8.6491036461901303E-7</v>
      </c>
      <c r="M436" s="3432"/>
      <c r="N436" s="3432"/>
      <c r="O436" s="3432"/>
      <c r="P436" s="3432"/>
      <c r="Q436" s="3432"/>
      <c r="R436" s="3432"/>
      <c r="S436" s="3432"/>
      <c r="T436" s="3432"/>
      <c r="U436" s="3432"/>
      <c r="V436" s="3432"/>
      <c r="W436" s="3432"/>
      <c r="X436" s="3449">
        <v>8.6678297719685902E-7</v>
      </c>
      <c r="Y436" s="3432"/>
      <c r="Z436" s="3432"/>
      <c r="AA436" s="3432"/>
      <c r="AB436" s="3432"/>
      <c r="AC436" s="3432"/>
      <c r="AD436" s="3432"/>
      <c r="AE436" s="3432"/>
      <c r="AF436" s="3432"/>
      <c r="AG436" s="3432"/>
      <c r="AH436" s="3432"/>
      <c r="AI436" s="3432"/>
      <c r="AJ436" s="3432"/>
      <c r="AK436" s="3432"/>
      <c r="AL436" s="3432"/>
      <c r="AM436" s="3432"/>
      <c r="AN436" s="3497"/>
      <c r="AO436" s="3426"/>
    </row>
    <row r="437" spans="1:41">
      <c r="A437" s="5047" t="s">
        <v>65</v>
      </c>
      <c r="B437" s="5048"/>
      <c r="C437" s="3432"/>
      <c r="D437" s="3449">
        <v>2.2922852828206999E-5</v>
      </c>
      <c r="E437" s="3432"/>
      <c r="F437" s="3432"/>
      <c r="G437" s="3432"/>
      <c r="H437" s="3432"/>
      <c r="I437" s="3432"/>
      <c r="J437" s="3414">
        <v>0.19</v>
      </c>
      <c r="K437" s="3432"/>
      <c r="L437" s="3449">
        <v>1.2205265124789501E-5</v>
      </c>
      <c r="M437" s="3432"/>
      <c r="N437" s="3432"/>
      <c r="O437" s="3432"/>
      <c r="P437" s="3432"/>
      <c r="Q437" s="3432"/>
      <c r="R437" s="3432"/>
      <c r="S437" s="3432"/>
      <c r="T437" s="3432"/>
      <c r="U437" s="3432"/>
      <c r="V437" s="3432"/>
      <c r="W437" s="3432"/>
      <c r="X437" s="3449">
        <v>1.2278372609687999E-5</v>
      </c>
      <c r="Y437" s="3432"/>
      <c r="Z437" s="3432"/>
      <c r="AA437" s="3432"/>
      <c r="AB437" s="3432"/>
      <c r="AC437" s="3432"/>
      <c r="AD437" s="3432"/>
      <c r="AE437" s="3432"/>
      <c r="AF437" s="3432"/>
      <c r="AG437" s="3432"/>
      <c r="AH437" s="3432"/>
      <c r="AI437" s="3432"/>
      <c r="AJ437" s="3432"/>
      <c r="AK437" s="3432"/>
      <c r="AL437" s="3432"/>
      <c r="AM437" s="3432"/>
      <c r="AN437" s="3497"/>
      <c r="AO437" s="3426"/>
    </row>
    <row r="438" spans="1:41">
      <c r="A438" s="5047" t="s">
        <v>13</v>
      </c>
      <c r="B438" s="5048"/>
      <c r="C438" s="3432"/>
      <c r="D438" s="3449">
        <v>1.46443459470749E-6</v>
      </c>
      <c r="E438" s="3432"/>
      <c r="F438" s="3432"/>
      <c r="G438" s="3432"/>
      <c r="H438" s="3432"/>
      <c r="I438" s="3432"/>
      <c r="J438" s="3414">
        <v>0.11</v>
      </c>
      <c r="K438" s="3432"/>
      <c r="L438" s="3449">
        <v>6.9063708363015403E-7</v>
      </c>
      <c r="M438" s="3432"/>
      <c r="N438" s="3432"/>
      <c r="O438" s="3432"/>
      <c r="P438" s="3432"/>
      <c r="Q438" s="3432"/>
      <c r="R438" s="3432"/>
      <c r="S438" s="3432"/>
      <c r="T438" s="3432"/>
      <c r="U438" s="3432"/>
      <c r="V438" s="3432"/>
      <c r="W438" s="3432"/>
      <c r="X438" s="3449">
        <v>6.9443388362542304E-7</v>
      </c>
      <c r="Y438" s="3432"/>
      <c r="Z438" s="3432"/>
      <c r="AA438" s="3432"/>
      <c r="AB438" s="3432"/>
      <c r="AC438" s="3432"/>
      <c r="AD438" s="3432"/>
      <c r="AE438" s="3432"/>
      <c r="AF438" s="3432"/>
      <c r="AG438" s="3432"/>
      <c r="AH438" s="3432"/>
      <c r="AI438" s="3432"/>
      <c r="AJ438" s="3432"/>
      <c r="AK438" s="3432"/>
      <c r="AL438" s="3432"/>
      <c r="AM438" s="3432"/>
      <c r="AN438" s="3497"/>
      <c r="AO438" s="3426"/>
    </row>
    <row r="439" spans="1:41">
      <c r="A439" s="5047" t="s">
        <v>14</v>
      </c>
      <c r="B439" s="5048"/>
      <c r="C439" s="3432"/>
      <c r="D439" s="3460">
        <v>7.2355328511015395E-4</v>
      </c>
      <c r="E439" s="3432"/>
      <c r="F439" s="3432"/>
      <c r="G439" s="3432"/>
      <c r="H439" s="3432"/>
      <c r="I439" s="3432"/>
      <c r="J439" s="3414">
        <v>0.09</v>
      </c>
      <c r="K439" s="3432"/>
      <c r="L439" s="3460">
        <v>4.0612708116017401E-4</v>
      </c>
      <c r="M439" s="3432"/>
      <c r="N439" s="3432"/>
      <c r="O439" s="3432"/>
      <c r="P439" s="3432"/>
      <c r="Q439" s="3432"/>
      <c r="R439" s="3432"/>
      <c r="S439" s="3432"/>
      <c r="T439" s="3432"/>
      <c r="U439" s="3432"/>
      <c r="V439" s="3432"/>
      <c r="W439" s="3432"/>
      <c r="X439" s="3460">
        <v>4.0883506902384997E-4</v>
      </c>
      <c r="Y439" s="3432"/>
      <c r="Z439" s="3432"/>
      <c r="AA439" s="3432"/>
      <c r="AB439" s="3432"/>
      <c r="AC439" s="3432"/>
      <c r="AD439" s="3432"/>
      <c r="AE439" s="3432"/>
      <c r="AF439" s="3432"/>
      <c r="AG439" s="3432"/>
      <c r="AH439" s="3432"/>
      <c r="AI439" s="3432"/>
      <c r="AJ439" s="3432"/>
      <c r="AK439" s="3432"/>
      <c r="AL439" s="3432"/>
      <c r="AM439" s="3432"/>
      <c r="AN439" s="3497"/>
      <c r="AO439" s="3426"/>
    </row>
    <row r="440" spans="1:41">
      <c r="A440" s="5047" t="s">
        <v>424</v>
      </c>
      <c r="B440" s="5048"/>
      <c r="C440" s="3432"/>
      <c r="D440" s="3449">
        <v>3.11331746704914E-7</v>
      </c>
      <c r="E440" s="3432"/>
      <c r="F440" s="3432"/>
      <c r="G440" s="3432"/>
      <c r="H440" s="3432"/>
      <c r="I440" s="3432"/>
      <c r="J440" s="3414">
        <v>7.0000000000000007E-2</v>
      </c>
      <c r="K440" s="3432"/>
      <c r="L440" s="3449">
        <v>1.6342252088452E-7</v>
      </c>
      <c r="M440" s="3432"/>
      <c r="N440" s="3432"/>
      <c r="O440" s="3432"/>
      <c r="P440" s="3432"/>
      <c r="Q440" s="3432"/>
      <c r="R440" s="3432"/>
      <c r="S440" s="3432"/>
      <c r="T440" s="3432"/>
      <c r="U440" s="3432"/>
      <c r="V440" s="3432"/>
      <c r="W440" s="3432"/>
      <c r="X440" s="3449">
        <v>1.64596529764205E-7</v>
      </c>
      <c r="Y440" s="3432"/>
      <c r="Z440" s="3432"/>
      <c r="AA440" s="3432"/>
      <c r="AB440" s="3432"/>
      <c r="AC440" s="3432"/>
      <c r="AD440" s="3432"/>
      <c r="AE440" s="3432"/>
      <c r="AF440" s="3432"/>
      <c r="AG440" s="3432"/>
      <c r="AH440" s="3432"/>
      <c r="AI440" s="3432"/>
      <c r="AJ440" s="3432"/>
      <c r="AK440" s="3432"/>
      <c r="AL440" s="3432"/>
      <c r="AM440" s="3432"/>
      <c r="AN440" s="3497"/>
      <c r="AO440" s="3426"/>
    </row>
    <row r="441" spans="1:41">
      <c r="A441" s="5047" t="s">
        <v>16</v>
      </c>
      <c r="B441" s="5048"/>
      <c r="C441" s="3432"/>
      <c r="D441" s="3449">
        <v>9.2343753221908104E-6</v>
      </c>
      <c r="E441" s="3432"/>
      <c r="F441" s="3432"/>
      <c r="G441" s="3432"/>
      <c r="H441" s="3432"/>
      <c r="I441" s="3432"/>
      <c r="J441" s="3414">
        <v>0</v>
      </c>
      <c r="K441" s="3432"/>
      <c r="L441" s="3447">
        <v>0</v>
      </c>
      <c r="M441" s="3432"/>
      <c r="N441" s="3432"/>
      <c r="O441" s="3432"/>
      <c r="P441" s="3432"/>
      <c r="Q441" s="3432"/>
      <c r="R441" s="3432"/>
      <c r="S441" s="3432"/>
      <c r="T441" s="3432"/>
      <c r="U441" s="3432"/>
      <c r="V441" s="3432"/>
      <c r="W441" s="3432"/>
      <c r="X441" s="3449">
        <v>1.8353481904877499E-8</v>
      </c>
      <c r="Y441" s="3432"/>
      <c r="Z441" s="3432"/>
      <c r="AA441" s="3432"/>
      <c r="AB441" s="3432"/>
      <c r="AC441" s="3432"/>
      <c r="AD441" s="3432"/>
      <c r="AE441" s="3432"/>
      <c r="AF441" s="3432"/>
      <c r="AG441" s="3432"/>
      <c r="AH441" s="3432"/>
      <c r="AI441" s="3432"/>
      <c r="AJ441" s="3432"/>
      <c r="AK441" s="3432"/>
      <c r="AL441" s="3432"/>
      <c r="AM441" s="3432"/>
      <c r="AN441" s="3497"/>
      <c r="AO441" s="3426"/>
    </row>
    <row r="442" spans="1:41">
      <c r="A442" s="5047" t="s">
        <v>770</v>
      </c>
      <c r="B442" s="5048"/>
      <c r="C442" s="3432"/>
      <c r="D442" s="3449">
        <v>6.2640212900471202E-5</v>
      </c>
      <c r="E442" s="3432"/>
      <c r="F442" s="3432"/>
      <c r="G442" s="3432"/>
      <c r="H442" s="3432"/>
      <c r="I442" s="3432"/>
      <c r="J442" s="3414">
        <v>0.02</v>
      </c>
      <c r="K442" s="3432"/>
      <c r="L442" s="3449">
        <v>3.6225650193123401E-5</v>
      </c>
      <c r="M442" s="3432"/>
      <c r="N442" s="3432"/>
      <c r="O442" s="3432"/>
      <c r="P442" s="3432"/>
      <c r="Q442" s="3432"/>
      <c r="R442" s="3432"/>
      <c r="S442" s="3432"/>
      <c r="T442" s="3432"/>
      <c r="U442" s="3432"/>
      <c r="V442" s="3432"/>
      <c r="W442" s="3432"/>
      <c r="X442" s="3449">
        <v>3.6507829452037302E-5</v>
      </c>
      <c r="Y442" s="3432"/>
      <c r="Z442" s="3432"/>
      <c r="AA442" s="3432"/>
      <c r="AB442" s="3432"/>
      <c r="AC442" s="3432"/>
      <c r="AD442" s="3432"/>
      <c r="AE442" s="3432"/>
      <c r="AF442" s="3432"/>
      <c r="AG442" s="3432"/>
      <c r="AH442" s="3432"/>
      <c r="AI442" s="3432"/>
      <c r="AJ442" s="3432"/>
      <c r="AK442" s="3432"/>
      <c r="AL442" s="3432"/>
      <c r="AM442" s="3432"/>
      <c r="AN442" s="3497"/>
      <c r="AO442" s="3426"/>
    </row>
    <row r="443" spans="1:41">
      <c r="A443" s="5047" t="s">
        <v>833</v>
      </c>
      <c r="B443" s="5048"/>
      <c r="C443" s="3432"/>
      <c r="D443" s="3449">
        <v>4.2598576209491001E-8</v>
      </c>
      <c r="E443" s="3432"/>
      <c r="F443" s="3432"/>
      <c r="G443" s="3432"/>
      <c r="H443" s="3432"/>
      <c r="I443" s="3432"/>
      <c r="J443" s="3414">
        <v>0.02</v>
      </c>
      <c r="K443" s="3432"/>
      <c r="L443" s="3449">
        <v>4.6528320802922099E-8</v>
      </c>
      <c r="M443" s="3432"/>
      <c r="N443" s="3432"/>
      <c r="O443" s="3432"/>
      <c r="P443" s="3432"/>
      <c r="Q443" s="3432"/>
      <c r="R443" s="3432"/>
      <c r="S443" s="3432"/>
      <c r="T443" s="3432"/>
      <c r="U443" s="3432"/>
      <c r="V443" s="3432"/>
      <c r="W443" s="3432"/>
      <c r="X443" s="3449">
        <v>4.6625284042607101E-8</v>
      </c>
      <c r="Y443" s="3432"/>
      <c r="Z443" s="3432"/>
      <c r="AA443" s="3432"/>
      <c r="AB443" s="3432"/>
      <c r="AC443" s="3432"/>
      <c r="AD443" s="3432"/>
      <c r="AE443" s="3432"/>
      <c r="AF443" s="3432"/>
      <c r="AG443" s="3432"/>
      <c r="AH443" s="3432"/>
      <c r="AI443" s="3432"/>
      <c r="AJ443" s="3432"/>
      <c r="AK443" s="3432"/>
      <c r="AL443" s="3432"/>
      <c r="AM443" s="3432"/>
      <c r="AN443" s="3497"/>
      <c r="AO443" s="3426"/>
    </row>
    <row r="444" spans="1:41">
      <c r="A444" s="5047" t="s">
        <v>834</v>
      </c>
      <c r="B444" s="5048"/>
      <c r="C444" s="3432"/>
      <c r="D444" s="3449">
        <v>2.96143977921787E-9</v>
      </c>
      <c r="E444" s="3432"/>
      <c r="F444" s="3432"/>
      <c r="G444" s="3432"/>
      <c r="H444" s="3432"/>
      <c r="I444" s="3432"/>
      <c r="J444" s="3414">
        <v>0.01</v>
      </c>
      <c r="K444" s="3432"/>
      <c r="L444" s="3449">
        <v>4.2303759823282503E-9</v>
      </c>
      <c r="M444" s="3432"/>
      <c r="N444" s="3432"/>
      <c r="O444" s="3432"/>
      <c r="P444" s="3432"/>
      <c r="Q444" s="3432"/>
      <c r="R444" s="3432"/>
      <c r="S444" s="3432"/>
      <c r="T444" s="3432"/>
      <c r="U444" s="3432"/>
      <c r="V444" s="3432"/>
      <c r="W444" s="3432"/>
      <c r="X444" s="3449">
        <v>4.2458031869370096E-9</v>
      </c>
      <c r="Y444" s="3432"/>
      <c r="Z444" s="3432"/>
      <c r="AA444" s="3432"/>
      <c r="AB444" s="3432"/>
      <c r="AC444" s="3432"/>
      <c r="AD444" s="3432"/>
      <c r="AE444" s="3432"/>
      <c r="AF444" s="3432"/>
      <c r="AG444" s="3432"/>
      <c r="AH444" s="3432"/>
      <c r="AI444" s="3432"/>
      <c r="AJ444" s="3432"/>
      <c r="AK444" s="3432"/>
      <c r="AL444" s="3432"/>
      <c r="AM444" s="3432"/>
      <c r="AN444" s="3497"/>
      <c r="AO444" s="3426"/>
    </row>
    <row r="445" spans="1:41">
      <c r="A445" s="5047" t="s">
        <v>752</v>
      </c>
      <c r="B445" s="5048"/>
      <c r="C445" s="3432"/>
      <c r="D445" s="3449">
        <v>1.3814691270225601E-10</v>
      </c>
      <c r="E445" s="3432"/>
      <c r="F445" s="3432"/>
      <c r="G445" s="3432"/>
      <c r="H445" s="3432"/>
      <c r="I445" s="3432"/>
      <c r="J445" s="3414">
        <v>0</v>
      </c>
      <c r="K445" s="3432"/>
      <c r="L445" s="3449">
        <v>8.8570175059395403E-10</v>
      </c>
      <c r="M445" s="3432"/>
      <c r="N445" s="3432"/>
      <c r="O445" s="3432"/>
      <c r="P445" s="3432"/>
      <c r="Q445" s="3432"/>
      <c r="R445" s="3432"/>
      <c r="S445" s="3432"/>
      <c r="T445" s="3432"/>
      <c r="U445" s="3432"/>
      <c r="V445" s="3432"/>
      <c r="W445" s="3432"/>
      <c r="X445" s="3449">
        <v>5.4802788806788303E-10</v>
      </c>
      <c r="Y445" s="3432"/>
      <c r="Z445" s="3432"/>
      <c r="AA445" s="3432"/>
      <c r="AB445" s="3432"/>
      <c r="AC445" s="3432"/>
      <c r="AD445" s="3432"/>
      <c r="AE445" s="3432"/>
      <c r="AF445" s="3432"/>
      <c r="AG445" s="3432"/>
      <c r="AH445" s="3432"/>
      <c r="AI445" s="3432"/>
      <c r="AJ445" s="3432"/>
      <c r="AK445" s="3432"/>
      <c r="AL445" s="3432"/>
      <c r="AM445" s="3432"/>
      <c r="AN445" s="3497"/>
      <c r="AO445" s="3426"/>
    </row>
    <row r="446" spans="1:41" ht="13" thickBot="1">
      <c r="A446" s="5049" t="s">
        <v>58</v>
      </c>
      <c r="B446" s="5050"/>
      <c r="C446" s="3433" t="s">
        <v>296</v>
      </c>
      <c r="D446" s="3433" t="s">
        <v>296</v>
      </c>
      <c r="E446" s="3433" t="s">
        <v>296</v>
      </c>
      <c r="F446" s="3433" t="s">
        <v>296</v>
      </c>
      <c r="G446" s="3433" t="s">
        <v>296</v>
      </c>
      <c r="H446" s="3433" t="s">
        <v>296</v>
      </c>
      <c r="I446" s="3433" t="s">
        <v>296</v>
      </c>
      <c r="J446" s="3418" t="s">
        <v>296</v>
      </c>
      <c r="K446" s="3433" t="s">
        <v>296</v>
      </c>
      <c r="L446" s="3433" t="s">
        <v>296</v>
      </c>
      <c r="M446" s="3433" t="s">
        <v>296</v>
      </c>
      <c r="N446" s="3433" t="s">
        <v>296</v>
      </c>
      <c r="O446" s="3433" t="s">
        <v>296</v>
      </c>
      <c r="P446" s="3433" t="s">
        <v>296</v>
      </c>
      <c r="Q446" s="3433" t="s">
        <v>296</v>
      </c>
      <c r="R446" s="3433" t="s">
        <v>296</v>
      </c>
      <c r="S446" s="3433" t="s">
        <v>296</v>
      </c>
      <c r="T446" s="3433" t="s">
        <v>296</v>
      </c>
      <c r="U446" s="3433" t="s">
        <v>296</v>
      </c>
      <c r="V446" s="3433" t="s">
        <v>296</v>
      </c>
      <c r="W446" s="3433" t="s">
        <v>296</v>
      </c>
      <c r="X446" s="3433" t="s">
        <v>296</v>
      </c>
      <c r="Y446" s="3433" t="s">
        <v>296</v>
      </c>
      <c r="Z446" s="3433" t="s">
        <v>296</v>
      </c>
      <c r="AA446" s="3433" t="s">
        <v>296</v>
      </c>
      <c r="AB446" s="3433" t="s">
        <v>296</v>
      </c>
      <c r="AC446" s="3433" t="s">
        <v>296</v>
      </c>
      <c r="AD446" s="3433" t="s">
        <v>296</v>
      </c>
      <c r="AE446" s="3433" t="s">
        <v>296</v>
      </c>
      <c r="AF446" s="3433" t="s">
        <v>296</v>
      </c>
      <c r="AG446" s="3433" t="s">
        <v>296</v>
      </c>
      <c r="AH446" s="3433" t="s">
        <v>296</v>
      </c>
      <c r="AI446" s="3433" t="s">
        <v>296</v>
      </c>
      <c r="AJ446" s="3433" t="s">
        <v>296</v>
      </c>
      <c r="AK446" s="3433" t="s">
        <v>296</v>
      </c>
      <c r="AL446" s="3433" t="s">
        <v>296</v>
      </c>
      <c r="AM446" s="3433" t="s">
        <v>296</v>
      </c>
      <c r="AN446" s="3444" t="s">
        <v>296</v>
      </c>
      <c r="AO446" s="3426"/>
    </row>
    <row r="447" spans="1:41" ht="13" thickTop="1">
      <c r="A447" s="5051" t="s">
        <v>298</v>
      </c>
      <c r="B447" s="5052"/>
      <c r="C447" s="3432"/>
      <c r="D447" s="3455">
        <v>99.974577868450893</v>
      </c>
      <c r="E447" s="3432"/>
      <c r="F447" s="3432"/>
      <c r="G447" s="3432"/>
      <c r="H447" s="3432"/>
      <c r="I447" s="3432"/>
      <c r="J447" s="3421">
        <v>0.20964960646723799</v>
      </c>
      <c r="K447" s="3432"/>
      <c r="L447" s="3455">
        <v>99.986285193013998</v>
      </c>
      <c r="M447" s="3432"/>
      <c r="N447" s="3432"/>
      <c r="O447" s="3432"/>
      <c r="P447" s="3432"/>
      <c r="Q447" s="3432"/>
      <c r="R447" s="3432"/>
      <c r="S447" s="3432"/>
      <c r="T447" s="3432"/>
      <c r="U447" s="3432"/>
      <c r="V447" s="3432"/>
      <c r="W447" s="3432"/>
      <c r="X447" s="3455">
        <v>99.986230679802802</v>
      </c>
      <c r="Y447" s="3432"/>
      <c r="Z447" s="3432"/>
      <c r="AA447" s="3432"/>
      <c r="AB447" s="3432"/>
      <c r="AC447" s="3432"/>
      <c r="AD447" s="3432"/>
      <c r="AE447" s="3432"/>
      <c r="AF447" s="3432"/>
      <c r="AG447" s="3432"/>
      <c r="AH447" s="3432"/>
      <c r="AI447" s="3432"/>
      <c r="AJ447" s="3432"/>
      <c r="AK447" s="3432"/>
      <c r="AL447" s="3432"/>
      <c r="AM447" s="3432"/>
      <c r="AN447" s="3497"/>
      <c r="AO447" s="3426"/>
    </row>
    <row r="448" spans="1:41">
      <c r="A448" s="5047" t="s">
        <v>5</v>
      </c>
      <c r="B448" s="5048"/>
      <c r="C448" s="3432"/>
      <c r="D448" s="3447">
        <v>0</v>
      </c>
      <c r="E448" s="3432"/>
      <c r="F448" s="3432"/>
      <c r="G448" s="3432"/>
      <c r="H448" s="3432"/>
      <c r="I448" s="3432"/>
      <c r="J448" s="3411">
        <v>0</v>
      </c>
      <c r="K448" s="3432"/>
      <c r="L448" s="3447">
        <v>0</v>
      </c>
      <c r="M448" s="3432"/>
      <c r="N448" s="3432"/>
      <c r="O448" s="3432"/>
      <c r="P448" s="3432"/>
      <c r="Q448" s="3432"/>
      <c r="R448" s="3432"/>
      <c r="S448" s="3432"/>
      <c r="T448" s="3432"/>
      <c r="U448" s="3432"/>
      <c r="V448" s="3432"/>
      <c r="W448" s="3432"/>
      <c r="X448" s="3447">
        <v>0</v>
      </c>
      <c r="Y448" s="3432"/>
      <c r="Z448" s="3432"/>
      <c r="AA448" s="3432"/>
      <c r="AB448" s="3432"/>
      <c r="AC448" s="3432"/>
      <c r="AD448" s="3432"/>
      <c r="AE448" s="3432"/>
      <c r="AF448" s="3432"/>
      <c r="AG448" s="3432"/>
      <c r="AH448" s="3432"/>
      <c r="AI448" s="3432"/>
      <c r="AJ448" s="3432"/>
      <c r="AK448" s="3432"/>
      <c r="AL448" s="3432"/>
      <c r="AM448" s="3432"/>
      <c r="AN448" s="3497"/>
      <c r="AO448" s="3426"/>
    </row>
    <row r="449" spans="1:41">
      <c r="A449" s="5047" t="s">
        <v>832</v>
      </c>
      <c r="B449" s="5048"/>
      <c r="C449" s="3432"/>
      <c r="D449" s="3447">
        <v>0</v>
      </c>
      <c r="E449" s="3432"/>
      <c r="F449" s="3432"/>
      <c r="G449" s="3432"/>
      <c r="H449" s="3432"/>
      <c r="I449" s="3432"/>
      <c r="J449" s="3411">
        <v>0</v>
      </c>
      <c r="K449" s="3432"/>
      <c r="L449" s="3447">
        <v>0</v>
      </c>
      <c r="M449" s="3432"/>
      <c r="N449" s="3432"/>
      <c r="O449" s="3432"/>
      <c r="P449" s="3432"/>
      <c r="Q449" s="3432"/>
      <c r="R449" s="3432"/>
      <c r="S449" s="3432"/>
      <c r="T449" s="3432"/>
      <c r="U449" s="3432"/>
      <c r="V449" s="3432"/>
      <c r="W449" s="3432"/>
      <c r="X449" s="3447">
        <v>0</v>
      </c>
      <c r="Y449" s="3432"/>
      <c r="Z449" s="3432"/>
      <c r="AA449" s="3432"/>
      <c r="AB449" s="3432"/>
      <c r="AC449" s="3432"/>
      <c r="AD449" s="3432"/>
      <c r="AE449" s="3432"/>
      <c r="AF449" s="3432"/>
      <c r="AG449" s="3432"/>
      <c r="AH449" s="3432"/>
      <c r="AI449" s="3432"/>
      <c r="AJ449" s="3432"/>
      <c r="AK449" s="3432"/>
      <c r="AL449" s="3432"/>
      <c r="AM449" s="3432"/>
      <c r="AN449" s="3497"/>
      <c r="AO449" s="3426"/>
    </row>
    <row r="450" spans="1:41">
      <c r="A450" s="5047" t="s">
        <v>3</v>
      </c>
      <c r="B450" s="5048"/>
      <c r="C450" s="3432"/>
      <c r="D450" s="3447">
        <v>0</v>
      </c>
      <c r="E450" s="3432"/>
      <c r="F450" s="3432"/>
      <c r="G450" s="3432"/>
      <c r="H450" s="3432"/>
      <c r="I450" s="3432"/>
      <c r="J450" s="3419">
        <v>4.83162927804551E-2</v>
      </c>
      <c r="K450" s="3432"/>
      <c r="L450" s="3447">
        <v>0</v>
      </c>
      <c r="M450" s="3432"/>
      <c r="N450" s="3432"/>
      <c r="O450" s="3432"/>
      <c r="P450" s="3432"/>
      <c r="Q450" s="3432"/>
      <c r="R450" s="3432"/>
      <c r="S450" s="3432"/>
      <c r="T450" s="3432"/>
      <c r="U450" s="3432"/>
      <c r="V450" s="3432"/>
      <c r="W450" s="3432"/>
      <c r="X450" s="3447">
        <v>0</v>
      </c>
      <c r="Y450" s="3432"/>
      <c r="Z450" s="3432"/>
      <c r="AA450" s="3432"/>
      <c r="AB450" s="3432"/>
      <c r="AC450" s="3432"/>
      <c r="AD450" s="3432"/>
      <c r="AE450" s="3432"/>
      <c r="AF450" s="3432"/>
      <c r="AG450" s="3432"/>
      <c r="AH450" s="3432"/>
      <c r="AI450" s="3432"/>
      <c r="AJ450" s="3432"/>
      <c r="AK450" s="3432"/>
      <c r="AL450" s="3432"/>
      <c r="AM450" s="3432"/>
      <c r="AN450" s="3497"/>
      <c r="AO450" s="3426"/>
    </row>
    <row r="451" spans="1:41">
      <c r="A451" s="5047" t="s">
        <v>6</v>
      </c>
      <c r="B451" s="5048"/>
      <c r="C451" s="3432"/>
      <c r="D451" s="3447">
        <v>0</v>
      </c>
      <c r="E451" s="3432"/>
      <c r="F451" s="3432"/>
      <c r="G451" s="3432"/>
      <c r="H451" s="3432"/>
      <c r="I451" s="3432"/>
      <c r="J451" s="3422">
        <v>7.0449534239538196E-3</v>
      </c>
      <c r="K451" s="3432"/>
      <c r="L451" s="3447">
        <v>0</v>
      </c>
      <c r="M451" s="3432"/>
      <c r="N451" s="3432"/>
      <c r="O451" s="3432"/>
      <c r="P451" s="3432"/>
      <c r="Q451" s="3432"/>
      <c r="R451" s="3432"/>
      <c r="S451" s="3432"/>
      <c r="T451" s="3432"/>
      <c r="U451" s="3432"/>
      <c r="V451" s="3432"/>
      <c r="W451" s="3432"/>
      <c r="X451" s="3447">
        <v>0</v>
      </c>
      <c r="Y451" s="3432"/>
      <c r="Z451" s="3432"/>
      <c r="AA451" s="3432"/>
      <c r="AB451" s="3432"/>
      <c r="AC451" s="3432"/>
      <c r="AD451" s="3432"/>
      <c r="AE451" s="3432"/>
      <c r="AF451" s="3432"/>
      <c r="AG451" s="3432"/>
      <c r="AH451" s="3432"/>
      <c r="AI451" s="3432"/>
      <c r="AJ451" s="3432"/>
      <c r="AK451" s="3432"/>
      <c r="AL451" s="3432"/>
      <c r="AM451" s="3432"/>
      <c r="AN451" s="3497"/>
      <c r="AO451" s="3426"/>
    </row>
    <row r="452" spans="1:41">
      <c r="A452" s="5047" t="s">
        <v>7</v>
      </c>
      <c r="B452" s="5048"/>
      <c r="C452" s="3432"/>
      <c r="D452" s="3460">
        <v>8.9843923599155703E-4</v>
      </c>
      <c r="E452" s="3432"/>
      <c r="F452" s="3432"/>
      <c r="G452" s="3432"/>
      <c r="H452" s="3432"/>
      <c r="I452" s="3432"/>
      <c r="J452" s="3413">
        <v>9.9034836133144992</v>
      </c>
      <c r="K452" s="3432"/>
      <c r="L452" s="3452">
        <v>2.1067220490104898E-3</v>
      </c>
      <c r="M452" s="3432"/>
      <c r="N452" s="3432"/>
      <c r="O452" s="3432"/>
      <c r="P452" s="3432"/>
      <c r="Q452" s="3432"/>
      <c r="R452" s="3432"/>
      <c r="S452" s="3432"/>
      <c r="T452" s="3432"/>
      <c r="U452" s="3432"/>
      <c r="V452" s="3432"/>
      <c r="W452" s="3432"/>
      <c r="X452" s="3452">
        <v>2.09738829981159E-3</v>
      </c>
      <c r="Y452" s="3432"/>
      <c r="Z452" s="3432"/>
      <c r="AA452" s="3432"/>
      <c r="AB452" s="3432"/>
      <c r="AC452" s="3432"/>
      <c r="AD452" s="3432"/>
      <c r="AE452" s="3432"/>
      <c r="AF452" s="3432"/>
      <c r="AG452" s="3432"/>
      <c r="AH452" s="3432"/>
      <c r="AI452" s="3432"/>
      <c r="AJ452" s="3432"/>
      <c r="AK452" s="3432"/>
      <c r="AL452" s="3432"/>
      <c r="AM452" s="3432"/>
      <c r="AN452" s="3497"/>
      <c r="AO452" s="3426"/>
    </row>
    <row r="453" spans="1:41">
      <c r="A453" s="5047" t="s">
        <v>8</v>
      </c>
      <c r="B453" s="5048"/>
      <c r="C453" s="3432"/>
      <c r="D453" s="3452">
        <v>6.5048321202710903E-3</v>
      </c>
      <c r="E453" s="3432"/>
      <c r="F453" s="3432"/>
      <c r="G453" s="3432"/>
      <c r="H453" s="3432"/>
      <c r="I453" s="3432"/>
      <c r="J453" s="3412">
        <v>62.846953174590404</v>
      </c>
      <c r="K453" s="3432"/>
      <c r="L453" s="3452">
        <v>2.4328198743981799E-3</v>
      </c>
      <c r="M453" s="3432"/>
      <c r="N453" s="3432"/>
      <c r="O453" s="3432"/>
      <c r="P453" s="3432"/>
      <c r="Q453" s="3432"/>
      <c r="R453" s="3432"/>
      <c r="S453" s="3432"/>
      <c r="T453" s="3432"/>
      <c r="U453" s="3432"/>
      <c r="V453" s="3432"/>
      <c r="W453" s="3432"/>
      <c r="X453" s="3452">
        <v>2.4431177335785602E-3</v>
      </c>
      <c r="Y453" s="3432"/>
      <c r="Z453" s="3432"/>
      <c r="AA453" s="3432"/>
      <c r="AB453" s="3432"/>
      <c r="AC453" s="3432"/>
      <c r="AD453" s="3432"/>
      <c r="AE453" s="3432"/>
      <c r="AF453" s="3432"/>
      <c r="AG453" s="3432"/>
      <c r="AH453" s="3432"/>
      <c r="AI453" s="3432"/>
      <c r="AJ453" s="3432"/>
      <c r="AK453" s="3432"/>
      <c r="AL453" s="3432"/>
      <c r="AM453" s="3432"/>
      <c r="AN453" s="3497"/>
      <c r="AO453" s="3426"/>
    </row>
    <row r="454" spans="1:41">
      <c r="A454" s="5047" t="s">
        <v>66</v>
      </c>
      <c r="B454" s="5048"/>
      <c r="C454" s="3432"/>
      <c r="D454" s="3460">
        <v>8.7278959352077702E-4</v>
      </c>
      <c r="E454" s="3432"/>
      <c r="F454" s="3432"/>
      <c r="G454" s="3432"/>
      <c r="H454" s="3432"/>
      <c r="I454" s="3432"/>
      <c r="J454" s="3413">
        <v>7.5040641159729997</v>
      </c>
      <c r="K454" s="3432"/>
      <c r="L454" s="3460">
        <v>3.2980606479799301E-4</v>
      </c>
      <c r="M454" s="3432"/>
      <c r="N454" s="3432"/>
      <c r="O454" s="3432"/>
      <c r="P454" s="3432"/>
      <c r="Q454" s="3432"/>
      <c r="R454" s="3432"/>
      <c r="S454" s="3432"/>
      <c r="T454" s="3432"/>
      <c r="U454" s="3432"/>
      <c r="V454" s="3432"/>
      <c r="W454" s="3432"/>
      <c r="X454" s="3460">
        <v>3.3086598430762701E-4</v>
      </c>
      <c r="Y454" s="3432"/>
      <c r="Z454" s="3432"/>
      <c r="AA454" s="3432"/>
      <c r="AB454" s="3432"/>
      <c r="AC454" s="3432"/>
      <c r="AD454" s="3432"/>
      <c r="AE454" s="3432"/>
      <c r="AF454" s="3432"/>
      <c r="AG454" s="3432"/>
      <c r="AH454" s="3432"/>
      <c r="AI454" s="3432"/>
      <c r="AJ454" s="3432"/>
      <c r="AK454" s="3432"/>
      <c r="AL454" s="3432"/>
      <c r="AM454" s="3432"/>
      <c r="AN454" s="3497"/>
      <c r="AO454" s="3426"/>
    </row>
    <row r="455" spans="1:41">
      <c r="A455" s="5047" t="s">
        <v>359</v>
      </c>
      <c r="B455" s="5048"/>
      <c r="C455" s="3432"/>
      <c r="D455" s="3452">
        <v>2.4871359417157901E-3</v>
      </c>
      <c r="E455" s="3432"/>
      <c r="F455" s="3432"/>
      <c r="G455" s="3432"/>
      <c r="H455" s="3432"/>
      <c r="I455" s="3432"/>
      <c r="J455" s="3412">
        <v>11.7282906846585</v>
      </c>
      <c r="K455" s="3432"/>
      <c r="L455" s="3460">
        <v>9.4375813051593199E-4</v>
      </c>
      <c r="M455" s="3432"/>
      <c r="N455" s="3432"/>
      <c r="O455" s="3432"/>
      <c r="P455" s="3432"/>
      <c r="Q455" s="3432"/>
      <c r="R455" s="3432"/>
      <c r="S455" s="3432"/>
      <c r="T455" s="3432"/>
      <c r="U455" s="3432"/>
      <c r="V455" s="3432"/>
      <c r="W455" s="3432"/>
      <c r="X455" s="3460">
        <v>9.4843843329108998E-4</v>
      </c>
      <c r="Y455" s="3432"/>
      <c r="Z455" s="3432"/>
      <c r="AA455" s="3432"/>
      <c r="AB455" s="3432"/>
      <c r="AC455" s="3432"/>
      <c r="AD455" s="3432"/>
      <c r="AE455" s="3432"/>
      <c r="AF455" s="3432"/>
      <c r="AG455" s="3432"/>
      <c r="AH455" s="3432"/>
      <c r="AI455" s="3432"/>
      <c r="AJ455" s="3432"/>
      <c r="AK455" s="3432"/>
      <c r="AL455" s="3432"/>
      <c r="AM455" s="3432"/>
      <c r="AN455" s="3497"/>
      <c r="AO455" s="3426"/>
    </row>
    <row r="456" spans="1:41">
      <c r="A456" s="5047" t="s">
        <v>68</v>
      </c>
      <c r="B456" s="5048"/>
      <c r="C456" s="3432"/>
      <c r="D456" s="3460">
        <v>3.6788411797212303E-4</v>
      </c>
      <c r="E456" s="3432"/>
      <c r="F456" s="3432"/>
      <c r="G456" s="3432"/>
      <c r="H456" s="3432"/>
      <c r="I456" s="3432"/>
      <c r="J456" s="3413">
        <v>1.9802324374468201</v>
      </c>
      <c r="K456" s="3432"/>
      <c r="L456" s="3460">
        <v>1.86597810839153E-4</v>
      </c>
      <c r="M456" s="3432"/>
      <c r="N456" s="3432"/>
      <c r="O456" s="3432"/>
      <c r="P456" s="3432"/>
      <c r="Q456" s="3432"/>
      <c r="R456" s="3432"/>
      <c r="S456" s="3432"/>
      <c r="T456" s="3432"/>
      <c r="U456" s="3432"/>
      <c r="V456" s="3432"/>
      <c r="W456" s="3432"/>
      <c r="X456" s="3460">
        <v>1.8706708934375501E-4</v>
      </c>
      <c r="Y456" s="3432"/>
      <c r="Z456" s="3432"/>
      <c r="AA456" s="3432"/>
      <c r="AB456" s="3432"/>
      <c r="AC456" s="3432"/>
      <c r="AD456" s="3432"/>
      <c r="AE456" s="3432"/>
      <c r="AF456" s="3432"/>
      <c r="AG456" s="3432"/>
      <c r="AH456" s="3432"/>
      <c r="AI456" s="3432"/>
      <c r="AJ456" s="3432"/>
      <c r="AK456" s="3432"/>
      <c r="AL456" s="3432"/>
      <c r="AM456" s="3432"/>
      <c r="AN456" s="3497"/>
      <c r="AO456" s="3426"/>
    </row>
    <row r="457" spans="1:41">
      <c r="A457" s="5047" t="s">
        <v>669</v>
      </c>
      <c r="B457" s="5048"/>
      <c r="C457" s="3432"/>
      <c r="D457" s="3460">
        <v>1.8798989042631E-4</v>
      </c>
      <c r="E457" s="3432"/>
      <c r="F457" s="3432"/>
      <c r="G457" s="3432"/>
      <c r="H457" s="3432"/>
      <c r="I457" s="3432"/>
      <c r="J457" s="3413">
        <v>1.9010231399489499</v>
      </c>
      <c r="K457" s="3432"/>
      <c r="L457" s="3449">
        <v>7.0218510250314803E-5</v>
      </c>
      <c r="M457" s="3432"/>
      <c r="N457" s="3432"/>
      <c r="O457" s="3432"/>
      <c r="P457" s="3432"/>
      <c r="Q457" s="3432"/>
      <c r="R457" s="3432"/>
      <c r="S457" s="3432"/>
      <c r="T457" s="3432"/>
      <c r="U457" s="3432"/>
      <c r="V457" s="3432"/>
      <c r="W457" s="3432"/>
      <c r="X457" s="3449">
        <v>7.0677305953734394E-5</v>
      </c>
      <c r="Y457" s="3432"/>
      <c r="Z457" s="3432"/>
      <c r="AA457" s="3432"/>
      <c r="AB457" s="3432"/>
      <c r="AC457" s="3432"/>
      <c r="AD457" s="3432"/>
      <c r="AE457" s="3432"/>
      <c r="AF457" s="3432"/>
      <c r="AG457" s="3432"/>
      <c r="AH457" s="3432"/>
      <c r="AI457" s="3432"/>
      <c r="AJ457" s="3432"/>
      <c r="AK457" s="3432"/>
      <c r="AL457" s="3432"/>
      <c r="AM457" s="3432"/>
      <c r="AN457" s="3497"/>
      <c r="AO457" s="3426"/>
    </row>
    <row r="458" spans="1:41">
      <c r="A458" s="5047" t="s">
        <v>99</v>
      </c>
      <c r="B458" s="5048"/>
      <c r="C458" s="3432"/>
      <c r="D458" s="3447">
        <v>0</v>
      </c>
      <c r="E458" s="3432"/>
      <c r="F458" s="3432"/>
      <c r="G458" s="3432"/>
      <c r="H458" s="3432"/>
      <c r="I458" s="3432"/>
      <c r="J458" s="3411">
        <v>0</v>
      </c>
      <c r="K458" s="3432"/>
      <c r="L458" s="3447">
        <v>0</v>
      </c>
      <c r="M458" s="3432"/>
      <c r="N458" s="3432"/>
      <c r="O458" s="3432"/>
      <c r="P458" s="3432"/>
      <c r="Q458" s="3432"/>
      <c r="R458" s="3432"/>
      <c r="S458" s="3432"/>
      <c r="T458" s="3432"/>
      <c r="U458" s="3432"/>
      <c r="V458" s="3432"/>
      <c r="W458" s="3432"/>
      <c r="X458" s="3447">
        <v>0</v>
      </c>
      <c r="Y458" s="3432"/>
      <c r="Z458" s="3432"/>
      <c r="AA458" s="3432"/>
      <c r="AB458" s="3432"/>
      <c r="AC458" s="3432"/>
      <c r="AD458" s="3432"/>
      <c r="AE458" s="3432"/>
      <c r="AF458" s="3432"/>
      <c r="AG458" s="3432"/>
      <c r="AH458" s="3432"/>
      <c r="AI458" s="3432"/>
      <c r="AJ458" s="3432"/>
      <c r="AK458" s="3432"/>
      <c r="AL458" s="3432"/>
      <c r="AM458" s="3432"/>
      <c r="AN458" s="3497"/>
      <c r="AO458" s="3426"/>
    </row>
    <row r="459" spans="1:41">
      <c r="A459" s="5047" t="s">
        <v>422</v>
      </c>
      <c r="B459" s="5048"/>
      <c r="C459" s="3432"/>
      <c r="D459" s="3449">
        <v>8.6938113140389405E-5</v>
      </c>
      <c r="E459" s="3432"/>
      <c r="F459" s="3432"/>
      <c r="G459" s="3432"/>
      <c r="H459" s="3432"/>
      <c r="I459" s="3432"/>
      <c r="J459" s="3421">
        <v>0.85147673384133105</v>
      </c>
      <c r="K459" s="3432"/>
      <c r="L459" s="3449">
        <v>3.5556722950594399E-5</v>
      </c>
      <c r="M459" s="3432"/>
      <c r="N459" s="3432"/>
      <c r="O459" s="3432"/>
      <c r="P459" s="3432"/>
      <c r="Q459" s="3432"/>
      <c r="R459" s="3432"/>
      <c r="S459" s="3432"/>
      <c r="T459" s="3432"/>
      <c r="U459" s="3432"/>
      <c r="V459" s="3432"/>
      <c r="W459" s="3432"/>
      <c r="X459" s="3449">
        <v>3.5746112598023902E-5</v>
      </c>
      <c r="Y459" s="3432"/>
      <c r="Z459" s="3432"/>
      <c r="AA459" s="3432"/>
      <c r="AB459" s="3432"/>
      <c r="AC459" s="3432"/>
      <c r="AD459" s="3432"/>
      <c r="AE459" s="3432"/>
      <c r="AF459" s="3432"/>
      <c r="AG459" s="3432"/>
      <c r="AH459" s="3432"/>
      <c r="AI459" s="3432"/>
      <c r="AJ459" s="3432"/>
      <c r="AK459" s="3432"/>
      <c r="AL459" s="3432"/>
      <c r="AM459" s="3432"/>
      <c r="AN459" s="3497"/>
      <c r="AO459" s="3426"/>
    </row>
    <row r="460" spans="1:41">
      <c r="A460" s="5047" t="s">
        <v>10</v>
      </c>
      <c r="B460" s="5048"/>
      <c r="C460" s="3432"/>
      <c r="D460" s="3449">
        <v>2.4413117508384901E-5</v>
      </c>
      <c r="E460" s="3432"/>
      <c r="F460" s="3432"/>
      <c r="G460" s="3432"/>
      <c r="H460" s="3432"/>
      <c r="I460" s="3432"/>
      <c r="J460" s="3421">
        <v>0.435199219518903</v>
      </c>
      <c r="K460" s="3432"/>
      <c r="L460" s="3449">
        <v>9.9193294867549195E-6</v>
      </c>
      <c r="M460" s="3432"/>
      <c r="N460" s="3432"/>
      <c r="O460" s="3432"/>
      <c r="P460" s="3432"/>
      <c r="Q460" s="3432"/>
      <c r="R460" s="3432"/>
      <c r="S460" s="3432"/>
      <c r="T460" s="3432"/>
      <c r="U460" s="3432"/>
      <c r="V460" s="3432"/>
      <c r="W460" s="3432"/>
      <c r="X460" s="3449">
        <v>9.9839688648507397E-6</v>
      </c>
      <c r="Y460" s="3432"/>
      <c r="Z460" s="3432"/>
      <c r="AA460" s="3432"/>
      <c r="AB460" s="3432"/>
      <c r="AC460" s="3432"/>
      <c r="AD460" s="3432"/>
      <c r="AE460" s="3432"/>
      <c r="AF460" s="3432"/>
      <c r="AG460" s="3432"/>
      <c r="AH460" s="3432"/>
      <c r="AI460" s="3432"/>
      <c r="AJ460" s="3432"/>
      <c r="AK460" s="3432"/>
      <c r="AL460" s="3432"/>
      <c r="AM460" s="3432"/>
      <c r="AN460" s="3497"/>
      <c r="AO460" s="3426"/>
    </row>
    <row r="461" spans="1:41">
      <c r="A461" s="5047" t="s">
        <v>9</v>
      </c>
      <c r="B461" s="5048"/>
      <c r="C461" s="3432"/>
      <c r="D461" s="3460">
        <v>1.4047018903570499E-4</v>
      </c>
      <c r="E461" s="3432"/>
      <c r="F461" s="3432"/>
      <c r="G461" s="3432"/>
      <c r="H461" s="3432"/>
      <c r="I461" s="3432"/>
      <c r="J461" s="3421">
        <v>0.33262333526513799</v>
      </c>
      <c r="K461" s="3432"/>
      <c r="L461" s="3449">
        <v>6.4591211076824902E-5</v>
      </c>
      <c r="M461" s="3432"/>
      <c r="N461" s="3432"/>
      <c r="O461" s="3432"/>
      <c r="P461" s="3432"/>
      <c r="Q461" s="3432"/>
      <c r="R461" s="3432"/>
      <c r="S461" s="3432"/>
      <c r="T461" s="3432"/>
      <c r="U461" s="3432"/>
      <c r="V461" s="3432"/>
      <c r="W461" s="3432"/>
      <c r="X461" s="3449">
        <v>6.4983234597845203E-5</v>
      </c>
      <c r="Y461" s="3432"/>
      <c r="Z461" s="3432"/>
      <c r="AA461" s="3432"/>
      <c r="AB461" s="3432"/>
      <c r="AC461" s="3432"/>
      <c r="AD461" s="3432"/>
      <c r="AE461" s="3432"/>
      <c r="AF461" s="3432"/>
      <c r="AG461" s="3432"/>
      <c r="AH461" s="3432"/>
      <c r="AI461" s="3432"/>
      <c r="AJ461" s="3432"/>
      <c r="AK461" s="3432"/>
      <c r="AL461" s="3432"/>
      <c r="AM461" s="3432"/>
      <c r="AN461" s="3497"/>
      <c r="AO461" s="3426"/>
    </row>
    <row r="462" spans="1:41">
      <c r="A462" s="5047" t="s">
        <v>11</v>
      </c>
      <c r="B462" s="5048"/>
      <c r="C462" s="3432"/>
      <c r="D462" s="3452">
        <v>9.0356820312168205E-3</v>
      </c>
      <c r="E462" s="3432"/>
      <c r="F462" s="3432"/>
      <c r="G462" s="3432"/>
      <c r="H462" s="3432"/>
      <c r="I462" s="3432"/>
      <c r="J462" s="3421">
        <v>0.32587244158711698</v>
      </c>
      <c r="K462" s="3432"/>
      <c r="L462" s="3452">
        <v>4.9200037487174397E-3</v>
      </c>
      <c r="M462" s="3432"/>
      <c r="N462" s="3432"/>
      <c r="O462" s="3432"/>
      <c r="P462" s="3432"/>
      <c r="Q462" s="3432"/>
      <c r="R462" s="3432"/>
      <c r="S462" s="3432"/>
      <c r="T462" s="3432"/>
      <c r="U462" s="3432"/>
      <c r="V462" s="3432"/>
      <c r="W462" s="3432"/>
      <c r="X462" s="3452">
        <v>4.9485978873491697E-3</v>
      </c>
      <c r="Y462" s="3432"/>
      <c r="Z462" s="3432"/>
      <c r="AA462" s="3432"/>
      <c r="AB462" s="3432"/>
      <c r="AC462" s="3432"/>
      <c r="AD462" s="3432"/>
      <c r="AE462" s="3432"/>
      <c r="AF462" s="3432"/>
      <c r="AG462" s="3432"/>
      <c r="AH462" s="3432"/>
      <c r="AI462" s="3432"/>
      <c r="AJ462" s="3432"/>
      <c r="AK462" s="3432"/>
      <c r="AL462" s="3432"/>
      <c r="AM462" s="3432"/>
      <c r="AN462" s="3497"/>
      <c r="AO462" s="3426"/>
    </row>
    <row r="463" spans="1:41">
      <c r="A463" s="5047" t="s">
        <v>12</v>
      </c>
      <c r="B463" s="5048"/>
      <c r="C463" s="3432"/>
      <c r="D463" s="3460">
        <v>5.4788196478549505E-4</v>
      </c>
      <c r="E463" s="3432"/>
      <c r="F463" s="3432"/>
      <c r="G463" s="3432"/>
      <c r="H463" s="3432"/>
      <c r="I463" s="3432"/>
      <c r="J463" s="3421">
        <v>0.62828852216748199</v>
      </c>
      <c r="K463" s="3432"/>
      <c r="L463" s="3460">
        <v>2.47847857311307E-4</v>
      </c>
      <c r="M463" s="3432"/>
      <c r="N463" s="3432"/>
      <c r="O463" s="3432"/>
      <c r="P463" s="3432"/>
      <c r="Q463" s="3432"/>
      <c r="R463" s="3432"/>
      <c r="S463" s="3432"/>
      <c r="T463" s="3432"/>
      <c r="U463" s="3432"/>
      <c r="V463" s="3432"/>
      <c r="W463" s="3432"/>
      <c r="X463" s="3460">
        <v>2.4943675282149201E-4</v>
      </c>
      <c r="Y463" s="3432"/>
      <c r="Z463" s="3432"/>
      <c r="AA463" s="3432"/>
      <c r="AB463" s="3432"/>
      <c r="AC463" s="3432"/>
      <c r="AD463" s="3432"/>
      <c r="AE463" s="3432"/>
      <c r="AF463" s="3432"/>
      <c r="AG463" s="3432"/>
      <c r="AH463" s="3432"/>
      <c r="AI463" s="3432"/>
      <c r="AJ463" s="3432"/>
      <c r="AK463" s="3432"/>
      <c r="AL463" s="3432"/>
      <c r="AM463" s="3432"/>
      <c r="AN463" s="3497"/>
      <c r="AO463" s="3426"/>
    </row>
    <row r="464" spans="1:41">
      <c r="A464" s="5047" t="s">
        <v>48</v>
      </c>
      <c r="B464" s="5048"/>
      <c r="C464" s="3432"/>
      <c r="D464" s="3447">
        <v>0</v>
      </c>
      <c r="E464" s="3432"/>
      <c r="F464" s="3432"/>
      <c r="G464" s="3432"/>
      <c r="H464" s="3432"/>
      <c r="I464" s="3432"/>
      <c r="J464" s="3411">
        <v>0</v>
      </c>
      <c r="K464" s="3432"/>
      <c r="L464" s="3447">
        <v>0</v>
      </c>
      <c r="M464" s="3432"/>
      <c r="N464" s="3432"/>
      <c r="O464" s="3432"/>
      <c r="P464" s="3432"/>
      <c r="Q464" s="3432"/>
      <c r="R464" s="3432"/>
      <c r="S464" s="3432"/>
      <c r="T464" s="3432"/>
      <c r="U464" s="3432"/>
      <c r="V464" s="3432"/>
      <c r="W464" s="3432"/>
      <c r="X464" s="3447">
        <v>0</v>
      </c>
      <c r="Y464" s="3432"/>
      <c r="Z464" s="3432"/>
      <c r="AA464" s="3432"/>
      <c r="AB464" s="3432"/>
      <c r="AC464" s="3432"/>
      <c r="AD464" s="3432"/>
      <c r="AE464" s="3432"/>
      <c r="AF464" s="3432"/>
      <c r="AG464" s="3432"/>
      <c r="AH464" s="3432"/>
      <c r="AI464" s="3432"/>
      <c r="AJ464" s="3432"/>
      <c r="AK464" s="3432"/>
      <c r="AL464" s="3432"/>
      <c r="AM464" s="3432"/>
      <c r="AN464" s="3497"/>
      <c r="AO464" s="3426"/>
    </row>
    <row r="465" spans="1:41">
      <c r="A465" s="5047" t="s">
        <v>751</v>
      </c>
      <c r="B465" s="5048"/>
      <c r="C465" s="3432"/>
      <c r="D465" s="3449">
        <v>8.9148595468816702E-6</v>
      </c>
      <c r="E465" s="3432"/>
      <c r="F465" s="3432"/>
      <c r="G465" s="3432"/>
      <c r="H465" s="3432"/>
      <c r="I465" s="3432"/>
      <c r="J465" s="3421">
        <v>0.15401085625361399</v>
      </c>
      <c r="K465" s="3432"/>
      <c r="L465" s="3449">
        <v>4.8102282321683199E-6</v>
      </c>
      <c r="M465" s="3432"/>
      <c r="N465" s="3432"/>
      <c r="O465" s="3432"/>
      <c r="P465" s="3432"/>
      <c r="Q465" s="3432"/>
      <c r="R465" s="3432"/>
      <c r="S465" s="3432"/>
      <c r="T465" s="3432"/>
      <c r="U465" s="3432"/>
      <c r="V465" s="3432"/>
      <c r="W465" s="3432"/>
      <c r="X465" s="3449">
        <v>4.8206407221821597E-6</v>
      </c>
      <c r="Y465" s="3432"/>
      <c r="Z465" s="3432"/>
      <c r="AA465" s="3432"/>
      <c r="AB465" s="3432"/>
      <c r="AC465" s="3432"/>
      <c r="AD465" s="3432"/>
      <c r="AE465" s="3432"/>
      <c r="AF465" s="3432"/>
      <c r="AG465" s="3432"/>
      <c r="AH465" s="3432"/>
      <c r="AI465" s="3432"/>
      <c r="AJ465" s="3432"/>
      <c r="AK465" s="3432"/>
      <c r="AL465" s="3432"/>
      <c r="AM465" s="3432"/>
      <c r="AN465" s="3497"/>
      <c r="AO465" s="3426"/>
    </row>
    <row r="466" spans="1:41">
      <c r="A466" s="5047" t="s">
        <v>65</v>
      </c>
      <c r="B466" s="5048"/>
      <c r="C466" s="3432"/>
      <c r="D466" s="3460">
        <v>1.24910639985433E-4</v>
      </c>
      <c r="E466" s="3432"/>
      <c r="F466" s="3432"/>
      <c r="G466" s="3432"/>
      <c r="H466" s="3432"/>
      <c r="I466" s="3432"/>
      <c r="J466" s="3421">
        <v>0.40961947768762302</v>
      </c>
      <c r="K466" s="3432"/>
      <c r="L466" s="3449">
        <v>6.6514373106055702E-5</v>
      </c>
      <c r="M466" s="3432"/>
      <c r="N466" s="3432"/>
      <c r="O466" s="3432"/>
      <c r="P466" s="3432"/>
      <c r="Q466" s="3432"/>
      <c r="R466" s="3432"/>
      <c r="S466" s="3432"/>
      <c r="T466" s="3432"/>
      <c r="U466" s="3432"/>
      <c r="V466" s="3432"/>
      <c r="W466" s="3432"/>
      <c r="X466" s="3449">
        <v>6.6912753749728796E-5</v>
      </c>
      <c r="Y466" s="3432"/>
      <c r="Z466" s="3432"/>
      <c r="AA466" s="3432"/>
      <c r="AB466" s="3432"/>
      <c r="AC466" s="3432"/>
      <c r="AD466" s="3432"/>
      <c r="AE466" s="3432"/>
      <c r="AF466" s="3432"/>
      <c r="AG466" s="3432"/>
      <c r="AH466" s="3432"/>
      <c r="AI466" s="3432"/>
      <c r="AJ466" s="3432"/>
      <c r="AK466" s="3432"/>
      <c r="AL466" s="3432"/>
      <c r="AM466" s="3432"/>
      <c r="AN466" s="3497"/>
      <c r="AO466" s="3426"/>
    </row>
    <row r="467" spans="1:41">
      <c r="A467" s="5047" t="s">
        <v>13</v>
      </c>
      <c r="B467" s="5048"/>
      <c r="C467" s="3432"/>
      <c r="D467" s="3449">
        <v>8.1437989607480905E-6</v>
      </c>
      <c r="E467" s="3432"/>
      <c r="F467" s="3432"/>
      <c r="G467" s="3432"/>
      <c r="H467" s="3432"/>
      <c r="I467" s="3432"/>
      <c r="J467" s="3421">
        <v>0.242017059827108</v>
      </c>
      <c r="K467" s="3432"/>
      <c r="L467" s="3449">
        <v>3.8410014884300001E-6</v>
      </c>
      <c r="M467" s="3432"/>
      <c r="N467" s="3432"/>
      <c r="O467" s="3432"/>
      <c r="P467" s="3432"/>
      <c r="Q467" s="3432"/>
      <c r="R467" s="3432"/>
      <c r="S467" s="3432"/>
      <c r="T467" s="3432"/>
      <c r="U467" s="3432"/>
      <c r="V467" s="3432"/>
      <c r="W467" s="3432"/>
      <c r="X467" s="3449">
        <v>3.8621158309936796E-6</v>
      </c>
      <c r="Y467" s="3432"/>
      <c r="Z467" s="3432"/>
      <c r="AA467" s="3432"/>
      <c r="AB467" s="3432"/>
      <c r="AC467" s="3432"/>
      <c r="AD467" s="3432"/>
      <c r="AE467" s="3432"/>
      <c r="AF467" s="3432"/>
      <c r="AG467" s="3432"/>
      <c r="AH467" s="3432"/>
      <c r="AI467" s="3432"/>
      <c r="AJ467" s="3432"/>
      <c r="AK467" s="3432"/>
      <c r="AL467" s="3432"/>
      <c r="AM467" s="3432"/>
      <c r="AN467" s="3497"/>
      <c r="AO467" s="3426"/>
    </row>
    <row r="468" spans="1:41">
      <c r="A468" s="5047" t="s">
        <v>14</v>
      </c>
      <c r="B468" s="5048"/>
      <c r="C468" s="3432"/>
      <c r="D468" s="3452">
        <v>3.6999189847691499E-3</v>
      </c>
      <c r="E468" s="3432"/>
      <c r="F468" s="3432"/>
      <c r="G468" s="3432"/>
      <c r="H468" s="3432"/>
      <c r="I468" s="3432"/>
      <c r="J468" s="3421">
        <v>0.18207924149757099</v>
      </c>
      <c r="K468" s="3432"/>
      <c r="L468" s="3452">
        <v>2.07692666445769E-3</v>
      </c>
      <c r="M468" s="3432"/>
      <c r="N468" s="3432"/>
      <c r="O468" s="3432"/>
      <c r="P468" s="3432"/>
      <c r="Q468" s="3432"/>
      <c r="R468" s="3432"/>
      <c r="S468" s="3432"/>
      <c r="T468" s="3432"/>
      <c r="U468" s="3432"/>
      <c r="V468" s="3432"/>
      <c r="W468" s="3432"/>
      <c r="X468" s="3452">
        <v>2.0907743518641798E-3</v>
      </c>
      <c r="Y468" s="3432"/>
      <c r="Z468" s="3432"/>
      <c r="AA468" s="3432"/>
      <c r="AB468" s="3432"/>
      <c r="AC468" s="3432"/>
      <c r="AD468" s="3432"/>
      <c r="AE468" s="3432"/>
      <c r="AF468" s="3432"/>
      <c r="AG468" s="3432"/>
      <c r="AH468" s="3432"/>
      <c r="AI468" s="3432"/>
      <c r="AJ468" s="3432"/>
      <c r="AK468" s="3432"/>
      <c r="AL468" s="3432"/>
      <c r="AM468" s="3432"/>
      <c r="AN468" s="3497"/>
      <c r="AO468" s="3426"/>
    </row>
    <row r="469" spans="1:41">
      <c r="A469" s="5047" t="s">
        <v>424</v>
      </c>
      <c r="B469" s="5048"/>
      <c r="C469" s="3432"/>
      <c r="D469" s="3449">
        <v>1.97368978079584E-6</v>
      </c>
      <c r="E469" s="3432"/>
      <c r="F469" s="3432"/>
      <c r="G469" s="3432"/>
      <c r="H469" s="3432"/>
      <c r="I469" s="3432"/>
      <c r="J469" s="3421">
        <v>0.17556977613190999</v>
      </c>
      <c r="K469" s="3432"/>
      <c r="L469" s="3449">
        <v>1.03610771341125E-6</v>
      </c>
      <c r="M469" s="3432"/>
      <c r="N469" s="3432"/>
      <c r="O469" s="3432"/>
      <c r="P469" s="3432"/>
      <c r="Q469" s="3432"/>
      <c r="R469" s="3432"/>
      <c r="S469" s="3432"/>
      <c r="T469" s="3432"/>
      <c r="U469" s="3432"/>
      <c r="V469" s="3432"/>
      <c r="W469" s="3432"/>
      <c r="X469" s="3449">
        <v>1.04355053750632E-6</v>
      </c>
      <c r="Y469" s="3432"/>
      <c r="Z469" s="3432"/>
      <c r="AA469" s="3432"/>
      <c r="AB469" s="3432"/>
      <c r="AC469" s="3432"/>
      <c r="AD469" s="3432"/>
      <c r="AE469" s="3432"/>
      <c r="AF469" s="3432"/>
      <c r="AG469" s="3432"/>
      <c r="AH469" s="3432"/>
      <c r="AI469" s="3432"/>
      <c r="AJ469" s="3432"/>
      <c r="AK469" s="3432"/>
      <c r="AL469" s="3432"/>
      <c r="AM469" s="3432"/>
      <c r="AN469" s="3497"/>
      <c r="AO469" s="3426"/>
    </row>
    <row r="470" spans="1:41">
      <c r="A470" s="5047" t="s">
        <v>16</v>
      </c>
      <c r="B470" s="5048"/>
      <c r="C470" s="3432"/>
      <c r="D470" s="3449">
        <v>5.44088843057762E-5</v>
      </c>
      <c r="E470" s="3432"/>
      <c r="F470" s="3432"/>
      <c r="G470" s="3432"/>
      <c r="H470" s="3432"/>
      <c r="I470" s="3432"/>
      <c r="J470" s="3411">
        <v>0</v>
      </c>
      <c r="K470" s="3432"/>
      <c r="L470" s="3447">
        <v>0</v>
      </c>
      <c r="M470" s="3432"/>
      <c r="N470" s="3432"/>
      <c r="O470" s="3432"/>
      <c r="P470" s="3432"/>
      <c r="Q470" s="3432"/>
      <c r="R470" s="3432"/>
      <c r="S470" s="3432"/>
      <c r="T470" s="3432"/>
      <c r="U470" s="3432"/>
      <c r="V470" s="3432"/>
      <c r="W470" s="3432"/>
      <c r="X470" s="3449">
        <v>1.08147900710744E-7</v>
      </c>
      <c r="Y470" s="3432"/>
      <c r="Z470" s="3432"/>
      <c r="AA470" s="3432"/>
      <c r="AB470" s="3432"/>
      <c r="AC470" s="3432"/>
      <c r="AD470" s="3432"/>
      <c r="AE470" s="3432"/>
      <c r="AF470" s="3432"/>
      <c r="AG470" s="3432"/>
      <c r="AH470" s="3432"/>
      <c r="AI470" s="3432"/>
      <c r="AJ470" s="3432"/>
      <c r="AK470" s="3432"/>
      <c r="AL470" s="3432"/>
      <c r="AM470" s="3432"/>
      <c r="AN470" s="3497"/>
      <c r="AO470" s="3426"/>
    </row>
    <row r="471" spans="1:41">
      <c r="A471" s="5047" t="s">
        <v>770</v>
      </c>
      <c r="B471" s="5048"/>
      <c r="C471" s="3432"/>
      <c r="D471" s="3460">
        <v>3.69075760696106E-4</v>
      </c>
      <c r="E471" s="3432"/>
      <c r="F471" s="3432"/>
      <c r="G471" s="3432"/>
      <c r="H471" s="3432"/>
      <c r="I471" s="3432"/>
      <c r="J471" s="3419">
        <v>4.66217450599258E-2</v>
      </c>
      <c r="K471" s="3432"/>
      <c r="L471" s="3460">
        <v>2.1345975405966E-4</v>
      </c>
      <c r="M471" s="3432"/>
      <c r="N471" s="3432"/>
      <c r="O471" s="3432"/>
      <c r="P471" s="3432"/>
      <c r="Q471" s="3432"/>
      <c r="R471" s="3432"/>
      <c r="S471" s="3432"/>
      <c r="T471" s="3432"/>
      <c r="U471" s="3432"/>
      <c r="V471" s="3432"/>
      <c r="W471" s="3432"/>
      <c r="X471" s="3460">
        <v>2.15122402125475E-4</v>
      </c>
      <c r="Y471" s="3432"/>
      <c r="Z471" s="3432"/>
      <c r="AA471" s="3432"/>
      <c r="AB471" s="3432"/>
      <c r="AC471" s="3432"/>
      <c r="AD471" s="3432"/>
      <c r="AE471" s="3432"/>
      <c r="AF471" s="3432"/>
      <c r="AG471" s="3432"/>
      <c r="AH471" s="3432"/>
      <c r="AI471" s="3432"/>
      <c r="AJ471" s="3432"/>
      <c r="AK471" s="3432"/>
      <c r="AL471" s="3432"/>
      <c r="AM471" s="3432"/>
      <c r="AN471" s="3497"/>
      <c r="AO471" s="3426"/>
    </row>
    <row r="472" spans="1:41">
      <c r="A472" s="5047" t="s">
        <v>833</v>
      </c>
      <c r="B472" s="5048"/>
      <c r="C472" s="3432"/>
      <c r="D472" s="3449">
        <v>3.0321498584224102E-7</v>
      </c>
      <c r="E472" s="3432"/>
      <c r="F472" s="3432"/>
      <c r="G472" s="3432"/>
      <c r="H472" s="3432"/>
      <c r="I472" s="3432"/>
      <c r="J472" s="3419">
        <v>5.6322484574344599E-2</v>
      </c>
      <c r="K472" s="3432"/>
      <c r="L472" s="3449">
        <v>3.3121536421369301E-7</v>
      </c>
      <c r="M472" s="3432"/>
      <c r="N472" s="3432"/>
      <c r="O472" s="3432"/>
      <c r="P472" s="3432"/>
      <c r="Q472" s="3432"/>
      <c r="R472" s="3432"/>
      <c r="S472" s="3432"/>
      <c r="T472" s="3432"/>
      <c r="U472" s="3432"/>
      <c r="V472" s="3432"/>
      <c r="W472" s="3432"/>
      <c r="X472" s="3449">
        <v>3.3190545920786898E-7</v>
      </c>
      <c r="Y472" s="3432"/>
      <c r="Z472" s="3432"/>
      <c r="AA472" s="3432"/>
      <c r="AB472" s="3432"/>
      <c r="AC472" s="3432"/>
      <c r="AD472" s="3432"/>
      <c r="AE472" s="3432"/>
      <c r="AF472" s="3432"/>
      <c r="AG472" s="3432"/>
      <c r="AH472" s="3432"/>
      <c r="AI472" s="3432"/>
      <c r="AJ472" s="3432"/>
      <c r="AK472" s="3432"/>
      <c r="AL472" s="3432"/>
      <c r="AM472" s="3432"/>
      <c r="AN472" s="3497"/>
      <c r="AO472" s="3426"/>
    </row>
    <row r="473" spans="1:41">
      <c r="A473" s="5047" t="s">
        <v>834</v>
      </c>
      <c r="B473" s="5048"/>
      <c r="C473" s="3432"/>
      <c r="D473" s="3449">
        <v>2.3384755017946499E-8</v>
      </c>
      <c r="E473" s="3432"/>
      <c r="F473" s="3432"/>
      <c r="G473" s="3432"/>
      <c r="H473" s="3432"/>
      <c r="I473" s="3432"/>
      <c r="J473" s="3419">
        <v>3.12410879840717E-2</v>
      </c>
      <c r="K473" s="3432"/>
      <c r="L473" s="3449">
        <v>3.3407686673745401E-8</v>
      </c>
      <c r="M473" s="3432"/>
      <c r="N473" s="3432"/>
      <c r="O473" s="3432"/>
      <c r="P473" s="3432"/>
      <c r="Q473" s="3432"/>
      <c r="R473" s="3432"/>
      <c r="S473" s="3432"/>
      <c r="T473" s="3432"/>
      <c r="U473" s="3432"/>
      <c r="V473" s="3432"/>
      <c r="W473" s="3432"/>
      <c r="X473" s="3449">
        <v>3.3529502131758903E-8</v>
      </c>
      <c r="Y473" s="3432"/>
      <c r="Z473" s="3432"/>
      <c r="AA473" s="3432"/>
      <c r="AB473" s="3432"/>
      <c r="AC473" s="3432"/>
      <c r="AD473" s="3432"/>
      <c r="AE473" s="3432"/>
      <c r="AF473" s="3432"/>
      <c r="AG473" s="3432"/>
      <c r="AH473" s="3432"/>
      <c r="AI473" s="3432"/>
      <c r="AJ473" s="3432"/>
      <c r="AK473" s="3432"/>
      <c r="AL473" s="3432"/>
      <c r="AM473" s="3432"/>
      <c r="AN473" s="3497"/>
      <c r="AO473" s="3426"/>
    </row>
    <row r="474" spans="1:41">
      <c r="A474" s="5047" t="s">
        <v>752</v>
      </c>
      <c r="B474" s="5048"/>
      <c r="C474" s="3432"/>
      <c r="D474" s="3449">
        <v>2.0157307777986199E-9</v>
      </c>
      <c r="E474" s="3432"/>
      <c r="F474" s="3432"/>
      <c r="G474" s="3432"/>
      <c r="H474" s="3432"/>
      <c r="I474" s="3432"/>
      <c r="J474" s="3411">
        <v>0</v>
      </c>
      <c r="K474" s="3432"/>
      <c r="L474" s="3449">
        <v>1.2924577750713099E-8</v>
      </c>
      <c r="M474" s="3432"/>
      <c r="N474" s="3432"/>
      <c r="O474" s="3432"/>
      <c r="P474" s="3432"/>
      <c r="Q474" s="3432"/>
      <c r="R474" s="3432"/>
      <c r="S474" s="3432"/>
      <c r="T474" s="3432"/>
      <c r="U474" s="3432"/>
      <c r="V474" s="3432"/>
      <c r="W474" s="3432"/>
      <c r="X474" s="3449">
        <v>7.9970779628935897E-9</v>
      </c>
      <c r="Y474" s="3432"/>
      <c r="Z474" s="3432"/>
      <c r="AA474" s="3432"/>
      <c r="AB474" s="3432"/>
      <c r="AC474" s="3432"/>
      <c r="AD474" s="3432"/>
      <c r="AE474" s="3432"/>
      <c r="AF474" s="3432"/>
      <c r="AG474" s="3432"/>
      <c r="AH474" s="3432"/>
      <c r="AI474" s="3432"/>
      <c r="AJ474" s="3432"/>
      <c r="AK474" s="3432"/>
      <c r="AL474" s="3432"/>
      <c r="AM474" s="3432"/>
      <c r="AN474" s="3497"/>
      <c r="AO474" s="3426"/>
    </row>
    <row r="475" spans="1:41" ht="13" thickBot="1">
      <c r="A475" s="5049" t="s">
        <v>425</v>
      </c>
      <c r="B475" s="5050"/>
      <c r="C475" s="3433" t="s">
        <v>426</v>
      </c>
      <c r="D475" s="3433" t="s">
        <v>426</v>
      </c>
      <c r="E475" s="3433" t="s">
        <v>426</v>
      </c>
      <c r="F475" s="3433" t="s">
        <v>426</v>
      </c>
      <c r="G475" s="3433" t="s">
        <v>426</v>
      </c>
      <c r="H475" s="3433" t="s">
        <v>426</v>
      </c>
      <c r="I475" s="3433" t="s">
        <v>426</v>
      </c>
      <c r="J475" s="3418" t="s">
        <v>426</v>
      </c>
      <c r="K475" s="3433" t="s">
        <v>426</v>
      </c>
      <c r="L475" s="3433" t="s">
        <v>426</v>
      </c>
      <c r="M475" s="3433" t="s">
        <v>426</v>
      </c>
      <c r="N475" s="3433" t="s">
        <v>426</v>
      </c>
      <c r="O475" s="3433" t="s">
        <v>426</v>
      </c>
      <c r="P475" s="3433" t="s">
        <v>426</v>
      </c>
      <c r="Q475" s="3433" t="s">
        <v>426</v>
      </c>
      <c r="R475" s="3433" t="s">
        <v>426</v>
      </c>
      <c r="S475" s="3433" t="s">
        <v>426</v>
      </c>
      <c r="T475" s="3433" t="s">
        <v>426</v>
      </c>
      <c r="U475" s="3433" t="s">
        <v>426</v>
      </c>
      <c r="V475" s="3433" t="s">
        <v>426</v>
      </c>
      <c r="W475" s="3433" t="s">
        <v>426</v>
      </c>
      <c r="X475" s="3433" t="s">
        <v>426</v>
      </c>
      <c r="Y475" s="3433" t="s">
        <v>426</v>
      </c>
      <c r="Z475" s="3433" t="s">
        <v>426</v>
      </c>
      <c r="AA475" s="3433" t="s">
        <v>426</v>
      </c>
      <c r="AB475" s="3433" t="s">
        <v>426</v>
      </c>
      <c r="AC475" s="3433" t="s">
        <v>426</v>
      </c>
      <c r="AD475" s="3433" t="s">
        <v>426</v>
      </c>
      <c r="AE475" s="3433" t="s">
        <v>426</v>
      </c>
      <c r="AF475" s="3433" t="s">
        <v>426</v>
      </c>
      <c r="AG475" s="3433" t="s">
        <v>426</v>
      </c>
      <c r="AH475" s="3433" t="s">
        <v>426</v>
      </c>
      <c r="AI475" s="3433" t="s">
        <v>426</v>
      </c>
      <c r="AJ475" s="3433" t="s">
        <v>426</v>
      </c>
      <c r="AK475" s="3433" t="s">
        <v>426</v>
      </c>
      <c r="AL475" s="3433" t="s">
        <v>426</v>
      </c>
      <c r="AM475" s="3433" t="s">
        <v>426</v>
      </c>
      <c r="AN475" s="3444" t="s">
        <v>426</v>
      </c>
      <c r="AO475" s="3426"/>
    </row>
    <row r="476" spans="1:41" ht="13" thickTop="1">
      <c r="A476" s="5051" t="s">
        <v>298</v>
      </c>
      <c r="B476" s="5052"/>
      <c r="C476" s="3432"/>
      <c r="D476" s="3472">
        <v>1693.10358743287</v>
      </c>
      <c r="E476" s="3432"/>
      <c r="F476" s="3432"/>
      <c r="G476" s="3432"/>
      <c r="H476" s="3432"/>
      <c r="I476" s="3432"/>
      <c r="J476" s="3412">
        <v>47.176393695448297</v>
      </c>
      <c r="K476" s="3432"/>
      <c r="L476" s="3467">
        <v>144604.836581098</v>
      </c>
      <c r="M476" s="3432"/>
      <c r="N476" s="3432"/>
      <c r="O476" s="3432"/>
      <c r="P476" s="3432"/>
      <c r="Q476" s="3432"/>
      <c r="R476" s="3432"/>
      <c r="S476" s="3432"/>
      <c r="T476" s="3432"/>
      <c r="U476" s="3432"/>
      <c r="V476" s="3432"/>
      <c r="W476" s="3432"/>
      <c r="X476" s="3467">
        <v>146297.92907567299</v>
      </c>
      <c r="Y476" s="3432"/>
      <c r="Z476" s="3432"/>
      <c r="AA476" s="3432"/>
      <c r="AB476" s="3432"/>
      <c r="AC476" s="3432"/>
      <c r="AD476" s="3432"/>
      <c r="AE476" s="3432"/>
      <c r="AF476" s="3432"/>
      <c r="AG476" s="3432"/>
      <c r="AH476" s="3432"/>
      <c r="AI476" s="3432"/>
      <c r="AJ476" s="3432"/>
      <c r="AK476" s="3432"/>
      <c r="AL476" s="3432"/>
      <c r="AM476" s="3432"/>
      <c r="AN476" s="3497"/>
      <c r="AO476" s="3426"/>
    </row>
    <row r="477" spans="1:41">
      <c r="A477" s="5047" t="s">
        <v>5</v>
      </c>
      <c r="B477" s="5048"/>
      <c r="C477" s="3432"/>
      <c r="D477" s="3447">
        <v>0</v>
      </c>
      <c r="E477" s="3432"/>
      <c r="F477" s="3432"/>
      <c r="G477" s="3432"/>
      <c r="H477" s="3432"/>
      <c r="I477" s="3432"/>
      <c r="J477" s="3411">
        <v>0</v>
      </c>
      <c r="K477" s="3432"/>
      <c r="L477" s="3447">
        <v>0</v>
      </c>
      <c r="M477" s="3432"/>
      <c r="N477" s="3432"/>
      <c r="O477" s="3432"/>
      <c r="P477" s="3432"/>
      <c r="Q477" s="3432"/>
      <c r="R477" s="3432"/>
      <c r="S477" s="3432"/>
      <c r="T477" s="3432"/>
      <c r="U477" s="3432"/>
      <c r="V477" s="3432"/>
      <c r="W477" s="3432"/>
      <c r="X477" s="3447">
        <v>0</v>
      </c>
      <c r="Y477" s="3432"/>
      <c r="Z477" s="3432"/>
      <c r="AA477" s="3432"/>
      <c r="AB477" s="3432"/>
      <c r="AC477" s="3432"/>
      <c r="AD477" s="3432"/>
      <c r="AE477" s="3432"/>
      <c r="AF477" s="3432"/>
      <c r="AG477" s="3432"/>
      <c r="AH477" s="3432"/>
      <c r="AI477" s="3432"/>
      <c r="AJ477" s="3432"/>
      <c r="AK477" s="3432"/>
      <c r="AL477" s="3432"/>
      <c r="AM477" s="3432"/>
      <c r="AN477" s="3497"/>
      <c r="AO477" s="3426"/>
    </row>
    <row r="478" spans="1:41">
      <c r="A478" s="5047" t="s">
        <v>832</v>
      </c>
      <c r="B478" s="5048"/>
      <c r="C478" s="3432"/>
      <c r="D478" s="3447">
        <v>0</v>
      </c>
      <c r="E478" s="3432"/>
      <c r="F478" s="3432"/>
      <c r="G478" s="3432"/>
      <c r="H478" s="3432"/>
      <c r="I478" s="3432"/>
      <c r="J478" s="3411">
        <v>0</v>
      </c>
      <c r="K478" s="3432"/>
      <c r="L478" s="3447">
        <v>0</v>
      </c>
      <c r="M478" s="3432"/>
      <c r="N478" s="3432"/>
      <c r="O478" s="3432"/>
      <c r="P478" s="3432"/>
      <c r="Q478" s="3432"/>
      <c r="R478" s="3432"/>
      <c r="S478" s="3432"/>
      <c r="T478" s="3432"/>
      <c r="U478" s="3432"/>
      <c r="V478" s="3432"/>
      <c r="W478" s="3432"/>
      <c r="X478" s="3447">
        <v>0</v>
      </c>
      <c r="Y478" s="3432"/>
      <c r="Z478" s="3432"/>
      <c r="AA478" s="3432"/>
      <c r="AB478" s="3432"/>
      <c r="AC478" s="3432"/>
      <c r="AD478" s="3432"/>
      <c r="AE478" s="3432"/>
      <c r="AF478" s="3432"/>
      <c r="AG478" s="3432"/>
      <c r="AH478" s="3432"/>
      <c r="AI478" s="3432"/>
      <c r="AJ478" s="3432"/>
      <c r="AK478" s="3432"/>
      <c r="AL478" s="3432"/>
      <c r="AM478" s="3432"/>
      <c r="AN478" s="3497"/>
      <c r="AO478" s="3426"/>
    </row>
    <row r="479" spans="1:41">
      <c r="A479" s="5047" t="s">
        <v>3</v>
      </c>
      <c r="B479" s="5048"/>
      <c r="C479" s="3432"/>
      <c r="D479" s="3447">
        <v>0</v>
      </c>
      <c r="E479" s="3432"/>
      <c r="F479" s="3432"/>
      <c r="G479" s="3432"/>
      <c r="H479" s="3432"/>
      <c r="I479" s="3432"/>
      <c r="J479" s="3412">
        <v>10.872371708799299</v>
      </c>
      <c r="K479" s="3432"/>
      <c r="L479" s="3447">
        <v>0</v>
      </c>
      <c r="M479" s="3432"/>
      <c r="N479" s="3432"/>
      <c r="O479" s="3432"/>
      <c r="P479" s="3432"/>
      <c r="Q479" s="3432"/>
      <c r="R479" s="3432"/>
      <c r="S479" s="3432"/>
      <c r="T479" s="3432"/>
      <c r="U479" s="3432"/>
      <c r="V479" s="3432"/>
      <c r="W479" s="3432"/>
      <c r="X479" s="3447">
        <v>0</v>
      </c>
      <c r="Y479" s="3432"/>
      <c r="Z479" s="3432"/>
      <c r="AA479" s="3432"/>
      <c r="AB479" s="3432"/>
      <c r="AC479" s="3432"/>
      <c r="AD479" s="3432"/>
      <c r="AE479" s="3432"/>
      <c r="AF479" s="3432"/>
      <c r="AG479" s="3432"/>
      <c r="AH479" s="3432"/>
      <c r="AI479" s="3432"/>
      <c r="AJ479" s="3432"/>
      <c r="AK479" s="3432"/>
      <c r="AL479" s="3432"/>
      <c r="AM479" s="3432"/>
      <c r="AN479" s="3497"/>
      <c r="AO479" s="3426"/>
    </row>
    <row r="480" spans="1:41">
      <c r="A480" s="5047" t="s">
        <v>6</v>
      </c>
      <c r="B480" s="5048"/>
      <c r="C480" s="3432"/>
      <c r="D480" s="3447">
        <v>0</v>
      </c>
      <c r="E480" s="3432"/>
      <c r="F480" s="3432"/>
      <c r="G480" s="3432"/>
      <c r="H480" s="3432"/>
      <c r="I480" s="3432"/>
      <c r="J480" s="3413">
        <v>1.58529034179933</v>
      </c>
      <c r="K480" s="3432"/>
      <c r="L480" s="3447">
        <v>0</v>
      </c>
      <c r="M480" s="3432"/>
      <c r="N480" s="3432"/>
      <c r="O480" s="3432"/>
      <c r="P480" s="3432"/>
      <c r="Q480" s="3432"/>
      <c r="R480" s="3432"/>
      <c r="S480" s="3432"/>
      <c r="T480" s="3432"/>
      <c r="U480" s="3432"/>
      <c r="V480" s="3432"/>
      <c r="W480" s="3432"/>
      <c r="X480" s="3447">
        <v>0</v>
      </c>
      <c r="Y480" s="3432"/>
      <c r="Z480" s="3432"/>
      <c r="AA480" s="3432"/>
      <c r="AB480" s="3432"/>
      <c r="AC480" s="3432"/>
      <c r="AD480" s="3432"/>
      <c r="AE480" s="3432"/>
      <c r="AF480" s="3432"/>
      <c r="AG480" s="3432"/>
      <c r="AH480" s="3432"/>
      <c r="AI480" s="3432"/>
      <c r="AJ480" s="3432"/>
      <c r="AK480" s="3432"/>
      <c r="AL480" s="3432"/>
      <c r="AM480" s="3432"/>
      <c r="AN480" s="3497"/>
      <c r="AO480" s="3426"/>
    </row>
    <row r="481" spans="1:41">
      <c r="A481" s="5047" t="s">
        <v>7</v>
      </c>
      <c r="B481" s="5048"/>
      <c r="C481" s="3432"/>
      <c r="D481" s="3454">
        <v>1.52153750081278E-2</v>
      </c>
      <c r="E481" s="3432"/>
      <c r="F481" s="3432"/>
      <c r="G481" s="3432"/>
      <c r="H481" s="3432"/>
      <c r="I481" s="3432"/>
      <c r="J481" s="3424">
        <v>2228.5309749491798</v>
      </c>
      <c r="K481" s="3432"/>
      <c r="L481" s="3453">
        <v>3.0468398443934102</v>
      </c>
      <c r="M481" s="3432"/>
      <c r="N481" s="3432"/>
      <c r="O481" s="3432"/>
      <c r="P481" s="3432"/>
      <c r="Q481" s="3432"/>
      <c r="R481" s="3432"/>
      <c r="S481" s="3432"/>
      <c r="T481" s="3432"/>
      <c r="U481" s="3432"/>
      <c r="V481" s="3432"/>
      <c r="W481" s="3432"/>
      <c r="X481" s="3453">
        <v>3.0688582082129101</v>
      </c>
      <c r="Y481" s="3432"/>
      <c r="Z481" s="3432"/>
      <c r="AA481" s="3432"/>
      <c r="AB481" s="3432"/>
      <c r="AC481" s="3432"/>
      <c r="AD481" s="3432"/>
      <c r="AE481" s="3432"/>
      <c r="AF481" s="3432"/>
      <c r="AG481" s="3432"/>
      <c r="AH481" s="3432"/>
      <c r="AI481" s="3432"/>
      <c r="AJ481" s="3432"/>
      <c r="AK481" s="3432"/>
      <c r="AL481" s="3432"/>
      <c r="AM481" s="3432"/>
      <c r="AN481" s="3497"/>
      <c r="AO481" s="3426"/>
    </row>
    <row r="482" spans="1:41">
      <c r="A482" s="5047" t="s">
        <v>8</v>
      </c>
      <c r="B482" s="5048"/>
      <c r="C482" s="3432"/>
      <c r="D482" s="3451">
        <v>0.110161551399309</v>
      </c>
      <c r="E482" s="3432"/>
      <c r="F482" s="3432"/>
      <c r="G482" s="3432"/>
      <c r="H482" s="3432"/>
      <c r="I482" s="3432"/>
      <c r="J482" s="3415">
        <v>14142.1329402171</v>
      </c>
      <c r="K482" s="3432"/>
      <c r="L482" s="3453">
        <v>3.5184577533757202</v>
      </c>
      <c r="M482" s="3432"/>
      <c r="N482" s="3432"/>
      <c r="O482" s="3432"/>
      <c r="P482" s="3432"/>
      <c r="Q482" s="3432"/>
      <c r="R482" s="3432"/>
      <c r="S482" s="3432"/>
      <c r="T482" s="3432"/>
      <c r="U482" s="3432"/>
      <c r="V482" s="3432"/>
      <c r="W482" s="3432"/>
      <c r="X482" s="3453">
        <v>3.57472286414328</v>
      </c>
      <c r="Y482" s="3432"/>
      <c r="Z482" s="3432"/>
      <c r="AA482" s="3432"/>
      <c r="AB482" s="3432"/>
      <c r="AC482" s="3432"/>
      <c r="AD482" s="3432"/>
      <c r="AE482" s="3432"/>
      <c r="AF482" s="3432"/>
      <c r="AG482" s="3432"/>
      <c r="AH482" s="3432"/>
      <c r="AI482" s="3432"/>
      <c r="AJ482" s="3432"/>
      <c r="AK482" s="3432"/>
      <c r="AL482" s="3432"/>
      <c r="AM482" s="3432"/>
      <c r="AN482" s="3497"/>
      <c r="AO482" s="3426"/>
    </row>
    <row r="483" spans="1:41">
      <c r="A483" s="5047" t="s">
        <v>66</v>
      </c>
      <c r="B483" s="5048"/>
      <c r="C483" s="3432"/>
      <c r="D483" s="3454">
        <v>1.47809895612516E-2</v>
      </c>
      <c r="E483" s="3432"/>
      <c r="F483" s="3432"/>
      <c r="G483" s="3432"/>
      <c r="H483" s="3432"/>
      <c r="I483" s="3432"/>
      <c r="J483" s="3424">
        <v>1688.6017055622301</v>
      </c>
      <c r="K483" s="3432"/>
      <c r="L483" s="3451">
        <v>0.47698093805070102</v>
      </c>
      <c r="M483" s="3432"/>
      <c r="N483" s="3432"/>
      <c r="O483" s="3432"/>
      <c r="P483" s="3432"/>
      <c r="Q483" s="3432"/>
      <c r="R483" s="3432"/>
      <c r="S483" s="3432"/>
      <c r="T483" s="3432"/>
      <c r="U483" s="3432"/>
      <c r="V483" s="3432"/>
      <c r="W483" s="3432"/>
      <c r="X483" s="3451">
        <v>0.48411674264232202</v>
      </c>
      <c r="Y483" s="3432"/>
      <c r="Z483" s="3432"/>
      <c r="AA483" s="3432"/>
      <c r="AB483" s="3432"/>
      <c r="AC483" s="3432"/>
      <c r="AD483" s="3432"/>
      <c r="AE483" s="3432"/>
      <c r="AF483" s="3432"/>
      <c r="AG483" s="3432"/>
      <c r="AH483" s="3432"/>
      <c r="AI483" s="3432"/>
      <c r="AJ483" s="3432"/>
      <c r="AK483" s="3432"/>
      <c r="AL483" s="3432"/>
      <c r="AM483" s="3432"/>
      <c r="AN483" s="3497"/>
      <c r="AO483" s="3426"/>
    </row>
    <row r="484" spans="1:41">
      <c r="A484" s="5047" t="s">
        <v>359</v>
      </c>
      <c r="B484" s="5048"/>
      <c r="C484" s="3432"/>
      <c r="D484" s="3454">
        <v>4.2120495781368998E-2</v>
      </c>
      <c r="E484" s="3432"/>
      <c r="F484" s="3432"/>
      <c r="G484" s="3432"/>
      <c r="H484" s="3432"/>
      <c r="I484" s="3432"/>
      <c r="J484" s="3424">
        <v>2639.1581078430099</v>
      </c>
      <c r="K484" s="3432"/>
      <c r="L484" s="3453">
        <v>1.3649070967272401</v>
      </c>
      <c r="M484" s="3432"/>
      <c r="N484" s="3432"/>
      <c r="O484" s="3432"/>
      <c r="P484" s="3432"/>
      <c r="Q484" s="3432"/>
      <c r="R484" s="3432"/>
      <c r="S484" s="3432"/>
      <c r="T484" s="3432"/>
      <c r="U484" s="3432"/>
      <c r="V484" s="3432"/>
      <c r="W484" s="3432"/>
      <c r="X484" s="3453">
        <v>1.38773686839553</v>
      </c>
      <c r="Y484" s="3432"/>
      <c r="Z484" s="3432"/>
      <c r="AA484" s="3432"/>
      <c r="AB484" s="3432"/>
      <c r="AC484" s="3432"/>
      <c r="AD484" s="3432"/>
      <c r="AE484" s="3432"/>
      <c r="AF484" s="3432"/>
      <c r="AG484" s="3432"/>
      <c r="AH484" s="3432"/>
      <c r="AI484" s="3432"/>
      <c r="AJ484" s="3432"/>
      <c r="AK484" s="3432"/>
      <c r="AL484" s="3432"/>
      <c r="AM484" s="3432"/>
      <c r="AN484" s="3497"/>
      <c r="AO484" s="3426"/>
    </row>
    <row r="485" spans="1:41">
      <c r="A485" s="5047" t="s">
        <v>68</v>
      </c>
      <c r="B485" s="5048"/>
      <c r="C485" s="3432"/>
      <c r="D485" s="3452">
        <v>6.23024305956822E-3</v>
      </c>
      <c r="E485" s="3432"/>
      <c r="F485" s="3432"/>
      <c r="G485" s="3432"/>
      <c r="H485" s="3432"/>
      <c r="I485" s="3432"/>
      <c r="J485" s="3417">
        <v>445.60171922901998</v>
      </c>
      <c r="K485" s="3432"/>
      <c r="L485" s="3451">
        <v>0.26986647109349299</v>
      </c>
      <c r="M485" s="3432"/>
      <c r="N485" s="3432"/>
      <c r="O485" s="3432"/>
      <c r="P485" s="3432"/>
      <c r="Q485" s="3432"/>
      <c r="R485" s="3432"/>
      <c r="S485" s="3432"/>
      <c r="T485" s="3432"/>
      <c r="U485" s="3432"/>
      <c r="V485" s="3432"/>
      <c r="W485" s="3432"/>
      <c r="X485" s="3451">
        <v>0.27371296610677698</v>
      </c>
      <c r="Y485" s="3432"/>
      <c r="Z485" s="3432"/>
      <c r="AA485" s="3432"/>
      <c r="AB485" s="3432"/>
      <c r="AC485" s="3432"/>
      <c r="AD485" s="3432"/>
      <c r="AE485" s="3432"/>
      <c r="AF485" s="3432"/>
      <c r="AG485" s="3432"/>
      <c r="AH485" s="3432"/>
      <c r="AI485" s="3432"/>
      <c r="AJ485" s="3432"/>
      <c r="AK485" s="3432"/>
      <c r="AL485" s="3432"/>
      <c r="AM485" s="3432"/>
      <c r="AN485" s="3497"/>
      <c r="AO485" s="3426"/>
    </row>
    <row r="486" spans="1:41">
      <c r="A486" s="5047" t="s">
        <v>669</v>
      </c>
      <c r="B486" s="5048"/>
      <c r="C486" s="3432"/>
      <c r="D486" s="3452">
        <v>3.1836729363409399E-3</v>
      </c>
      <c r="E486" s="3432"/>
      <c r="F486" s="3432"/>
      <c r="G486" s="3432"/>
      <c r="H486" s="3432"/>
      <c r="I486" s="3432"/>
      <c r="J486" s="3417">
        <v>427.77765045985899</v>
      </c>
      <c r="K486" s="3432"/>
      <c r="L486" s="3451">
        <v>0.101553289834838</v>
      </c>
      <c r="M486" s="3432"/>
      <c r="N486" s="3432"/>
      <c r="O486" s="3432"/>
      <c r="P486" s="3432"/>
      <c r="Q486" s="3432"/>
      <c r="R486" s="3432"/>
      <c r="S486" s="3432"/>
      <c r="T486" s="3432"/>
      <c r="U486" s="3432"/>
      <c r="V486" s="3432"/>
      <c r="W486" s="3432"/>
      <c r="X486" s="3451">
        <v>0.103413674296732</v>
      </c>
      <c r="Y486" s="3432"/>
      <c r="Z486" s="3432"/>
      <c r="AA486" s="3432"/>
      <c r="AB486" s="3432"/>
      <c r="AC486" s="3432"/>
      <c r="AD486" s="3432"/>
      <c r="AE486" s="3432"/>
      <c r="AF486" s="3432"/>
      <c r="AG486" s="3432"/>
      <c r="AH486" s="3432"/>
      <c r="AI486" s="3432"/>
      <c r="AJ486" s="3432"/>
      <c r="AK486" s="3432"/>
      <c r="AL486" s="3432"/>
      <c r="AM486" s="3432"/>
      <c r="AN486" s="3497"/>
      <c r="AO486" s="3426"/>
    </row>
    <row r="487" spans="1:41">
      <c r="A487" s="5047" t="s">
        <v>99</v>
      </c>
      <c r="B487" s="5048"/>
      <c r="C487" s="3432"/>
      <c r="D487" s="3447">
        <v>0</v>
      </c>
      <c r="E487" s="3432"/>
      <c r="F487" s="3432"/>
      <c r="G487" s="3432"/>
      <c r="H487" s="3432"/>
      <c r="I487" s="3432"/>
      <c r="J487" s="3411">
        <v>0</v>
      </c>
      <c r="K487" s="3432"/>
      <c r="L487" s="3447">
        <v>0</v>
      </c>
      <c r="M487" s="3432"/>
      <c r="N487" s="3432"/>
      <c r="O487" s="3432"/>
      <c r="P487" s="3432"/>
      <c r="Q487" s="3432"/>
      <c r="R487" s="3432"/>
      <c r="S487" s="3432"/>
      <c r="T487" s="3432"/>
      <c r="U487" s="3432"/>
      <c r="V487" s="3432"/>
      <c r="W487" s="3432"/>
      <c r="X487" s="3447">
        <v>0</v>
      </c>
      <c r="Y487" s="3432"/>
      <c r="Z487" s="3432"/>
      <c r="AA487" s="3432"/>
      <c r="AB487" s="3432"/>
      <c r="AC487" s="3432"/>
      <c r="AD487" s="3432"/>
      <c r="AE487" s="3432"/>
      <c r="AF487" s="3432"/>
      <c r="AG487" s="3432"/>
      <c r="AH487" s="3432"/>
      <c r="AI487" s="3432"/>
      <c r="AJ487" s="3432"/>
      <c r="AK487" s="3432"/>
      <c r="AL487" s="3432"/>
      <c r="AM487" s="3432"/>
      <c r="AN487" s="3497"/>
      <c r="AO487" s="3426"/>
    </row>
    <row r="488" spans="1:41">
      <c r="A488" s="5047" t="s">
        <v>422</v>
      </c>
      <c r="B488" s="5048"/>
      <c r="C488" s="3432"/>
      <c r="D488" s="3452">
        <v>1.47232660923381E-3</v>
      </c>
      <c r="E488" s="3432"/>
      <c r="F488" s="3432"/>
      <c r="G488" s="3432"/>
      <c r="H488" s="3432"/>
      <c r="I488" s="3432"/>
      <c r="J488" s="3417">
        <v>191.60351548043801</v>
      </c>
      <c r="K488" s="3432"/>
      <c r="L488" s="3454">
        <v>5.1423793790363999E-2</v>
      </c>
      <c r="M488" s="3432"/>
      <c r="N488" s="3432"/>
      <c r="O488" s="3432"/>
      <c r="P488" s="3432"/>
      <c r="Q488" s="3432"/>
      <c r="R488" s="3432"/>
      <c r="S488" s="3432"/>
      <c r="T488" s="3432"/>
      <c r="U488" s="3432"/>
      <c r="V488" s="3432"/>
      <c r="W488" s="3432"/>
      <c r="X488" s="3454">
        <v>5.2303024226845803E-2</v>
      </c>
      <c r="Y488" s="3432"/>
      <c r="Z488" s="3432"/>
      <c r="AA488" s="3432"/>
      <c r="AB488" s="3432"/>
      <c r="AC488" s="3432"/>
      <c r="AD488" s="3432"/>
      <c r="AE488" s="3432"/>
      <c r="AF488" s="3432"/>
      <c r="AG488" s="3432"/>
      <c r="AH488" s="3432"/>
      <c r="AI488" s="3432"/>
      <c r="AJ488" s="3432"/>
      <c r="AK488" s="3432"/>
      <c r="AL488" s="3432"/>
      <c r="AM488" s="3432"/>
      <c r="AN488" s="3497"/>
      <c r="AO488" s="3426"/>
    </row>
    <row r="489" spans="1:41">
      <c r="A489" s="5047" t="s">
        <v>10</v>
      </c>
      <c r="B489" s="5048"/>
      <c r="C489" s="3432"/>
      <c r="D489" s="3460">
        <v>4.1344447473691602E-4</v>
      </c>
      <c r="E489" s="3432"/>
      <c r="F489" s="3432"/>
      <c r="G489" s="3432"/>
      <c r="H489" s="3432"/>
      <c r="I489" s="3432"/>
      <c r="J489" s="3412">
        <v>97.930685690001496</v>
      </c>
      <c r="K489" s="3432"/>
      <c r="L489" s="3454">
        <v>1.43457976927268E-2</v>
      </c>
      <c r="M489" s="3432"/>
      <c r="N489" s="3432"/>
      <c r="O489" s="3432"/>
      <c r="P489" s="3432"/>
      <c r="Q489" s="3432"/>
      <c r="R489" s="3432"/>
      <c r="S489" s="3432"/>
      <c r="T489" s="3432"/>
      <c r="U489" s="3432"/>
      <c r="V489" s="3432"/>
      <c r="W489" s="3432"/>
      <c r="X489" s="3454">
        <v>1.46083511594833E-2</v>
      </c>
      <c r="Y489" s="3432"/>
      <c r="Z489" s="3432"/>
      <c r="AA489" s="3432"/>
      <c r="AB489" s="3432"/>
      <c r="AC489" s="3432"/>
      <c r="AD489" s="3432"/>
      <c r="AE489" s="3432"/>
      <c r="AF489" s="3432"/>
      <c r="AG489" s="3432"/>
      <c r="AH489" s="3432"/>
      <c r="AI489" s="3432"/>
      <c r="AJ489" s="3432"/>
      <c r="AK489" s="3432"/>
      <c r="AL489" s="3432"/>
      <c r="AM489" s="3432"/>
      <c r="AN489" s="3497"/>
      <c r="AO489" s="3426"/>
    </row>
    <row r="490" spans="1:41">
      <c r="A490" s="5047" t="s">
        <v>9</v>
      </c>
      <c r="B490" s="5048"/>
      <c r="C490" s="3432"/>
      <c r="D490" s="3452">
        <v>2.37891057961425E-3</v>
      </c>
      <c r="E490" s="3432"/>
      <c r="F490" s="3432"/>
      <c r="G490" s="3432"/>
      <c r="H490" s="3432"/>
      <c r="I490" s="3432"/>
      <c r="J490" s="3412">
        <v>74.848551739177395</v>
      </c>
      <c r="K490" s="3432"/>
      <c r="L490" s="3454">
        <v>9.3414826886598398E-2</v>
      </c>
      <c r="M490" s="3432"/>
      <c r="N490" s="3432"/>
      <c r="O490" s="3432"/>
      <c r="P490" s="3432"/>
      <c r="Q490" s="3432"/>
      <c r="R490" s="3432"/>
      <c r="S490" s="3432"/>
      <c r="T490" s="3432"/>
      <c r="U490" s="3432"/>
      <c r="V490" s="3432"/>
      <c r="W490" s="3432"/>
      <c r="X490" s="3454">
        <v>9.5082218638168695E-2</v>
      </c>
      <c r="Y490" s="3432"/>
      <c r="Z490" s="3432"/>
      <c r="AA490" s="3432"/>
      <c r="AB490" s="3432"/>
      <c r="AC490" s="3432"/>
      <c r="AD490" s="3432"/>
      <c r="AE490" s="3432"/>
      <c r="AF490" s="3432"/>
      <c r="AG490" s="3432"/>
      <c r="AH490" s="3432"/>
      <c r="AI490" s="3432"/>
      <c r="AJ490" s="3432"/>
      <c r="AK490" s="3432"/>
      <c r="AL490" s="3432"/>
      <c r="AM490" s="3432"/>
      <c r="AN490" s="3497"/>
      <c r="AO490" s="3426"/>
    </row>
    <row r="491" spans="1:41">
      <c r="A491" s="5047" t="s">
        <v>11</v>
      </c>
      <c r="B491" s="5048"/>
      <c r="C491" s="3432"/>
      <c r="D491" s="3451">
        <v>0.15302235816475099</v>
      </c>
      <c r="E491" s="3432"/>
      <c r="F491" s="3432"/>
      <c r="G491" s="3432"/>
      <c r="H491" s="3432"/>
      <c r="I491" s="3432"/>
      <c r="J491" s="3412">
        <v>73.329432179083398</v>
      </c>
      <c r="K491" s="3432"/>
      <c r="L491" s="3453">
        <v>7.1155392630926801</v>
      </c>
      <c r="M491" s="3432"/>
      <c r="N491" s="3432"/>
      <c r="O491" s="3432"/>
      <c r="P491" s="3432"/>
      <c r="Q491" s="3432"/>
      <c r="R491" s="3432"/>
      <c r="S491" s="3432"/>
      <c r="T491" s="3432"/>
      <c r="U491" s="3432"/>
      <c r="V491" s="3432"/>
      <c r="W491" s="3432"/>
      <c r="X491" s="3453">
        <v>7.2406932217085398</v>
      </c>
      <c r="Y491" s="3432"/>
      <c r="Z491" s="3432"/>
      <c r="AA491" s="3432"/>
      <c r="AB491" s="3432"/>
      <c r="AC491" s="3432"/>
      <c r="AD491" s="3432"/>
      <c r="AE491" s="3432"/>
      <c r="AF491" s="3432"/>
      <c r="AG491" s="3432"/>
      <c r="AH491" s="3432"/>
      <c r="AI491" s="3432"/>
      <c r="AJ491" s="3432"/>
      <c r="AK491" s="3432"/>
      <c r="AL491" s="3432"/>
      <c r="AM491" s="3432"/>
      <c r="AN491" s="3497"/>
      <c r="AO491" s="3426"/>
    </row>
    <row r="492" spans="1:41">
      <c r="A492" s="5047" t="s">
        <v>12</v>
      </c>
      <c r="B492" s="5048"/>
      <c r="C492" s="3432"/>
      <c r="D492" s="3452">
        <v>9.2785680104463895E-3</v>
      </c>
      <c r="E492" s="3432"/>
      <c r="F492" s="3432"/>
      <c r="G492" s="3432"/>
      <c r="H492" s="3432"/>
      <c r="I492" s="3432"/>
      <c r="J492" s="3417">
        <v>141.380597729557</v>
      </c>
      <c r="K492" s="3432"/>
      <c r="L492" s="3451">
        <v>0.35844914964378399</v>
      </c>
      <c r="M492" s="3432"/>
      <c r="N492" s="3432"/>
      <c r="O492" s="3432"/>
      <c r="P492" s="3432"/>
      <c r="Q492" s="3432"/>
      <c r="R492" s="3432"/>
      <c r="S492" s="3432"/>
      <c r="T492" s="3432"/>
      <c r="U492" s="3432"/>
      <c r="V492" s="3432"/>
      <c r="W492" s="3432"/>
      <c r="X492" s="3451">
        <v>0.36497105776501898</v>
      </c>
      <c r="Y492" s="3432"/>
      <c r="Z492" s="3432"/>
      <c r="AA492" s="3432"/>
      <c r="AB492" s="3432"/>
      <c r="AC492" s="3432"/>
      <c r="AD492" s="3432"/>
      <c r="AE492" s="3432"/>
      <c r="AF492" s="3432"/>
      <c r="AG492" s="3432"/>
      <c r="AH492" s="3432"/>
      <c r="AI492" s="3432"/>
      <c r="AJ492" s="3432"/>
      <c r="AK492" s="3432"/>
      <c r="AL492" s="3432"/>
      <c r="AM492" s="3432"/>
      <c r="AN492" s="3497"/>
      <c r="AO492" s="3426"/>
    </row>
    <row r="493" spans="1:41">
      <c r="A493" s="5047" t="s">
        <v>48</v>
      </c>
      <c r="B493" s="5048"/>
      <c r="C493" s="3432"/>
      <c r="D493" s="3447">
        <v>0</v>
      </c>
      <c r="E493" s="3432"/>
      <c r="F493" s="3432"/>
      <c r="G493" s="3432"/>
      <c r="H493" s="3432"/>
      <c r="I493" s="3432"/>
      <c r="J493" s="3411">
        <v>0</v>
      </c>
      <c r="K493" s="3432"/>
      <c r="L493" s="3447">
        <v>0</v>
      </c>
      <c r="M493" s="3432"/>
      <c r="N493" s="3432"/>
      <c r="O493" s="3432"/>
      <c r="P493" s="3432"/>
      <c r="Q493" s="3432"/>
      <c r="R493" s="3432"/>
      <c r="S493" s="3432"/>
      <c r="T493" s="3432"/>
      <c r="U493" s="3432"/>
      <c r="V493" s="3432"/>
      <c r="W493" s="3432"/>
      <c r="X493" s="3447">
        <v>0</v>
      </c>
      <c r="Y493" s="3432"/>
      <c r="Z493" s="3432"/>
      <c r="AA493" s="3432"/>
      <c r="AB493" s="3432"/>
      <c r="AC493" s="3432"/>
      <c r="AD493" s="3432"/>
      <c r="AE493" s="3432"/>
      <c r="AF493" s="3432"/>
      <c r="AG493" s="3432"/>
      <c r="AH493" s="3432"/>
      <c r="AI493" s="3432"/>
      <c r="AJ493" s="3432"/>
      <c r="AK493" s="3432"/>
      <c r="AL493" s="3432"/>
      <c r="AM493" s="3432"/>
      <c r="AN493" s="3497"/>
      <c r="AO493" s="3426"/>
    </row>
    <row r="494" spans="1:41">
      <c r="A494" s="5047" t="s">
        <v>751</v>
      </c>
      <c r="B494" s="5048"/>
      <c r="C494" s="3432"/>
      <c r="D494" s="3460">
        <v>1.5097618816801899E-4</v>
      </c>
      <c r="E494" s="3432"/>
      <c r="F494" s="3432"/>
      <c r="G494" s="3432"/>
      <c r="H494" s="3432"/>
      <c r="I494" s="3432"/>
      <c r="J494" s="3412">
        <v>34.656286317088899</v>
      </c>
      <c r="K494" s="3432"/>
      <c r="L494" s="3452">
        <v>6.9567767828130397E-3</v>
      </c>
      <c r="M494" s="3432"/>
      <c r="N494" s="3432"/>
      <c r="O494" s="3432"/>
      <c r="P494" s="3432"/>
      <c r="Q494" s="3432"/>
      <c r="R494" s="3432"/>
      <c r="S494" s="3432"/>
      <c r="T494" s="3432"/>
      <c r="U494" s="3432"/>
      <c r="V494" s="3432"/>
      <c r="W494" s="3432"/>
      <c r="X494" s="3452">
        <v>7.0534687594295698E-3</v>
      </c>
      <c r="Y494" s="3432"/>
      <c r="Z494" s="3432"/>
      <c r="AA494" s="3432"/>
      <c r="AB494" s="3432"/>
      <c r="AC494" s="3432"/>
      <c r="AD494" s="3432"/>
      <c r="AE494" s="3432"/>
      <c r="AF494" s="3432"/>
      <c r="AG494" s="3432"/>
      <c r="AH494" s="3432"/>
      <c r="AI494" s="3432"/>
      <c r="AJ494" s="3432"/>
      <c r="AK494" s="3432"/>
      <c r="AL494" s="3432"/>
      <c r="AM494" s="3432"/>
      <c r="AN494" s="3497"/>
      <c r="AO494" s="3426"/>
    </row>
    <row r="495" spans="1:41">
      <c r="A495" s="5047" t="s">
        <v>65</v>
      </c>
      <c r="B495" s="5048"/>
      <c r="C495" s="3432"/>
      <c r="D495" s="3452">
        <v>2.1154043075445801E-3</v>
      </c>
      <c r="E495" s="3432"/>
      <c r="F495" s="3432"/>
      <c r="G495" s="3432"/>
      <c r="H495" s="3432"/>
      <c r="I495" s="3432"/>
      <c r="J495" s="3412">
        <v>92.174605382505504</v>
      </c>
      <c r="K495" s="3432"/>
      <c r="L495" s="3454">
        <v>9.6196193655241194E-2</v>
      </c>
      <c r="M495" s="3432"/>
      <c r="N495" s="3432"/>
      <c r="O495" s="3432"/>
      <c r="P495" s="3432"/>
      <c r="Q495" s="3432"/>
      <c r="R495" s="3432"/>
      <c r="S495" s="3432"/>
      <c r="T495" s="3432"/>
      <c r="U495" s="3432"/>
      <c r="V495" s="3432"/>
      <c r="W495" s="3432"/>
      <c r="X495" s="3454">
        <v>9.7905453938801304E-2</v>
      </c>
      <c r="Y495" s="3432"/>
      <c r="Z495" s="3432"/>
      <c r="AA495" s="3432"/>
      <c r="AB495" s="3432"/>
      <c r="AC495" s="3432"/>
      <c r="AD495" s="3432"/>
      <c r="AE495" s="3432"/>
      <c r="AF495" s="3432"/>
      <c r="AG495" s="3432"/>
      <c r="AH495" s="3432"/>
      <c r="AI495" s="3432"/>
      <c r="AJ495" s="3432"/>
      <c r="AK495" s="3432"/>
      <c r="AL495" s="3432"/>
      <c r="AM495" s="3432"/>
      <c r="AN495" s="3497"/>
      <c r="AO495" s="3426"/>
    </row>
    <row r="496" spans="1:41">
      <c r="A496" s="5047" t="s">
        <v>13</v>
      </c>
      <c r="B496" s="5048"/>
      <c r="C496" s="3432"/>
      <c r="D496" s="3460">
        <v>1.3791801405671001E-4</v>
      </c>
      <c r="E496" s="3432"/>
      <c r="F496" s="3432"/>
      <c r="G496" s="3432"/>
      <c r="H496" s="3432"/>
      <c r="I496" s="3432"/>
      <c r="J496" s="3412">
        <v>54.459878498282499</v>
      </c>
      <c r="K496" s="3432"/>
      <c r="L496" s="3452">
        <v>5.5550357878580399E-3</v>
      </c>
      <c r="M496" s="3432"/>
      <c r="N496" s="3432"/>
      <c r="O496" s="3432"/>
      <c r="P496" s="3432"/>
      <c r="Q496" s="3432"/>
      <c r="R496" s="3432"/>
      <c r="S496" s="3432"/>
      <c r="T496" s="3432"/>
      <c r="U496" s="3432"/>
      <c r="V496" s="3432"/>
      <c r="W496" s="3432"/>
      <c r="X496" s="3452">
        <v>5.6509735798939498E-3</v>
      </c>
      <c r="Y496" s="3432"/>
      <c r="Z496" s="3432"/>
      <c r="AA496" s="3432"/>
      <c r="AB496" s="3432"/>
      <c r="AC496" s="3432"/>
      <c r="AD496" s="3432"/>
      <c r="AE496" s="3432"/>
      <c r="AF496" s="3432"/>
      <c r="AG496" s="3432"/>
      <c r="AH496" s="3432"/>
      <c r="AI496" s="3432"/>
      <c r="AJ496" s="3432"/>
      <c r="AK496" s="3432"/>
      <c r="AL496" s="3432"/>
      <c r="AM496" s="3432"/>
      <c r="AN496" s="3497"/>
      <c r="AO496" s="3426"/>
    </row>
    <row r="497" spans="1:41">
      <c r="A497" s="5047" t="s">
        <v>14</v>
      </c>
      <c r="B497" s="5048"/>
      <c r="C497" s="3432"/>
      <c r="D497" s="3454">
        <v>6.2659390415895799E-2</v>
      </c>
      <c r="E497" s="3432"/>
      <c r="F497" s="3432"/>
      <c r="G497" s="3432"/>
      <c r="H497" s="3432"/>
      <c r="I497" s="3432"/>
      <c r="J497" s="3412">
        <v>40.9723735016902</v>
      </c>
      <c r="K497" s="3432"/>
      <c r="L497" s="3453">
        <v>3.00374836733921</v>
      </c>
      <c r="M497" s="3432"/>
      <c r="N497" s="3432"/>
      <c r="O497" s="3432"/>
      <c r="P497" s="3432"/>
      <c r="Q497" s="3432"/>
      <c r="R497" s="3432"/>
      <c r="S497" s="3432"/>
      <c r="T497" s="3432"/>
      <c r="U497" s="3432"/>
      <c r="V497" s="3432"/>
      <c r="W497" s="3432"/>
      <c r="X497" s="3453">
        <v>3.0591808068233202</v>
      </c>
      <c r="Y497" s="3432"/>
      <c r="Z497" s="3432"/>
      <c r="AA497" s="3432"/>
      <c r="AB497" s="3432"/>
      <c r="AC497" s="3432"/>
      <c r="AD497" s="3432"/>
      <c r="AE497" s="3432"/>
      <c r="AF497" s="3432"/>
      <c r="AG497" s="3432"/>
      <c r="AH497" s="3432"/>
      <c r="AI497" s="3432"/>
      <c r="AJ497" s="3432"/>
      <c r="AK497" s="3432"/>
      <c r="AL497" s="3432"/>
      <c r="AM497" s="3432"/>
      <c r="AN497" s="3497"/>
      <c r="AO497" s="3426"/>
    </row>
    <row r="498" spans="1:41">
      <c r="A498" s="5047" t="s">
        <v>424</v>
      </c>
      <c r="B498" s="5048"/>
      <c r="C498" s="3432"/>
      <c r="D498" s="3449">
        <v>3.3425109858849102E-5</v>
      </c>
      <c r="E498" s="3432"/>
      <c r="F498" s="3432"/>
      <c r="G498" s="3432"/>
      <c r="H498" s="3432"/>
      <c r="I498" s="3432"/>
      <c r="J498" s="3412">
        <v>39.507581337220699</v>
      </c>
      <c r="K498" s="3432"/>
      <c r="L498" s="3452">
        <v>1.4984673776910801E-3</v>
      </c>
      <c r="M498" s="3432"/>
      <c r="N498" s="3432"/>
      <c r="O498" s="3432"/>
      <c r="P498" s="3432"/>
      <c r="Q498" s="3432"/>
      <c r="R498" s="3432"/>
      <c r="S498" s="3432"/>
      <c r="T498" s="3432"/>
      <c r="U498" s="3432"/>
      <c r="V498" s="3432"/>
      <c r="W498" s="3432"/>
      <c r="X498" s="3452">
        <v>1.52690306940253E-3</v>
      </c>
      <c r="Y498" s="3432"/>
      <c r="Z498" s="3432"/>
      <c r="AA498" s="3432"/>
      <c r="AB498" s="3432"/>
      <c r="AC498" s="3432"/>
      <c r="AD498" s="3432"/>
      <c r="AE498" s="3432"/>
      <c r="AF498" s="3432"/>
      <c r="AG498" s="3432"/>
      <c r="AH498" s="3432"/>
      <c r="AI498" s="3432"/>
      <c r="AJ498" s="3432"/>
      <c r="AK498" s="3432"/>
      <c r="AL498" s="3432"/>
      <c r="AM498" s="3432"/>
      <c r="AN498" s="3497"/>
      <c r="AO498" s="3426"/>
    </row>
    <row r="499" spans="1:41">
      <c r="A499" s="5047" t="s">
        <v>16</v>
      </c>
      <c r="B499" s="5048"/>
      <c r="C499" s="3432"/>
      <c r="D499" s="3460">
        <v>9.21433019977771E-4</v>
      </c>
      <c r="E499" s="3432"/>
      <c r="F499" s="3432"/>
      <c r="G499" s="3432"/>
      <c r="H499" s="3432"/>
      <c r="I499" s="3432"/>
      <c r="J499" s="3411">
        <v>0</v>
      </c>
      <c r="K499" s="3432"/>
      <c r="L499" s="3447">
        <v>0</v>
      </c>
      <c r="M499" s="3432"/>
      <c r="N499" s="3432"/>
      <c r="O499" s="3432"/>
      <c r="P499" s="3432"/>
      <c r="Q499" s="3432"/>
      <c r="R499" s="3432"/>
      <c r="S499" s="3432"/>
      <c r="T499" s="3432"/>
      <c r="U499" s="3432"/>
      <c r="V499" s="3432"/>
      <c r="W499" s="3432"/>
      <c r="X499" s="3460">
        <v>1.5823992764094999E-4</v>
      </c>
      <c r="Y499" s="3432"/>
      <c r="Z499" s="3432"/>
      <c r="AA499" s="3432"/>
      <c r="AB499" s="3432"/>
      <c r="AC499" s="3432"/>
      <c r="AD499" s="3432"/>
      <c r="AE499" s="3432"/>
      <c r="AF499" s="3432"/>
      <c r="AG499" s="3432"/>
      <c r="AH499" s="3432"/>
      <c r="AI499" s="3432"/>
      <c r="AJ499" s="3432"/>
      <c r="AK499" s="3432"/>
      <c r="AL499" s="3432"/>
      <c r="AM499" s="3432"/>
      <c r="AN499" s="3497"/>
      <c r="AO499" s="3426"/>
    </row>
    <row r="500" spans="1:41">
      <c r="A500" s="5047" t="s">
        <v>770</v>
      </c>
      <c r="B500" s="5048"/>
      <c r="C500" s="3432"/>
      <c r="D500" s="3452">
        <v>6.2504239356862296E-3</v>
      </c>
      <c r="E500" s="3432"/>
      <c r="F500" s="3432"/>
      <c r="G500" s="3432"/>
      <c r="H500" s="3432"/>
      <c r="I500" s="3432"/>
      <c r="J500" s="3412">
        <v>10.4910561807307</v>
      </c>
      <c r="K500" s="3432"/>
      <c r="L500" s="3451">
        <v>0.30871546825499102</v>
      </c>
      <c r="M500" s="3432"/>
      <c r="N500" s="3432"/>
      <c r="O500" s="3432"/>
      <c r="P500" s="3432"/>
      <c r="Q500" s="3432"/>
      <c r="R500" s="3432"/>
      <c r="S500" s="3432"/>
      <c r="T500" s="3432"/>
      <c r="U500" s="3432"/>
      <c r="V500" s="3432"/>
      <c r="W500" s="3432"/>
      <c r="X500" s="3451">
        <v>0.31476296000723702</v>
      </c>
      <c r="Y500" s="3432"/>
      <c r="Z500" s="3432"/>
      <c r="AA500" s="3432"/>
      <c r="AB500" s="3432"/>
      <c r="AC500" s="3432"/>
      <c r="AD500" s="3432"/>
      <c r="AE500" s="3432"/>
      <c r="AF500" s="3432"/>
      <c r="AG500" s="3432"/>
      <c r="AH500" s="3432"/>
      <c r="AI500" s="3432"/>
      <c r="AJ500" s="3432"/>
      <c r="AK500" s="3432"/>
      <c r="AL500" s="3432"/>
      <c r="AM500" s="3432"/>
      <c r="AN500" s="3497"/>
      <c r="AO500" s="3426"/>
    </row>
    <row r="501" spans="1:41">
      <c r="A501" s="5047" t="s">
        <v>833</v>
      </c>
      <c r="B501" s="5048"/>
      <c r="C501" s="3432"/>
      <c r="D501" s="3449">
        <v>5.1350492419024401E-6</v>
      </c>
      <c r="E501" s="3432"/>
      <c r="F501" s="3432"/>
      <c r="G501" s="3432"/>
      <c r="H501" s="3432"/>
      <c r="I501" s="3432"/>
      <c r="J501" s="3412">
        <v>12.6739646735293</v>
      </c>
      <c r="K501" s="3432"/>
      <c r="L501" s="3460">
        <v>4.79019132702175E-4</v>
      </c>
      <c r="M501" s="3432"/>
      <c r="N501" s="3432"/>
      <c r="O501" s="3432"/>
      <c r="P501" s="3432"/>
      <c r="Q501" s="3432"/>
      <c r="R501" s="3432"/>
      <c r="S501" s="3432"/>
      <c r="T501" s="3432"/>
      <c r="U501" s="3432"/>
      <c r="V501" s="3432"/>
      <c r="W501" s="3432"/>
      <c r="X501" s="3460">
        <v>4.8563768231769201E-4</v>
      </c>
      <c r="Y501" s="3432"/>
      <c r="Z501" s="3432"/>
      <c r="AA501" s="3432"/>
      <c r="AB501" s="3432"/>
      <c r="AC501" s="3432"/>
      <c r="AD501" s="3432"/>
      <c r="AE501" s="3432"/>
      <c r="AF501" s="3432"/>
      <c r="AG501" s="3432"/>
      <c r="AH501" s="3432"/>
      <c r="AI501" s="3432"/>
      <c r="AJ501" s="3432"/>
      <c r="AK501" s="3432"/>
      <c r="AL501" s="3432"/>
      <c r="AM501" s="3432"/>
      <c r="AN501" s="3497"/>
      <c r="AO501" s="3426"/>
    </row>
    <row r="502" spans="1:41">
      <c r="A502" s="5047" t="s">
        <v>834</v>
      </c>
      <c r="B502" s="5048"/>
      <c r="C502" s="3432"/>
      <c r="D502" s="3449">
        <v>3.9602880508504098E-7</v>
      </c>
      <c r="E502" s="3432"/>
      <c r="F502" s="3432"/>
      <c r="G502" s="3432"/>
      <c r="H502" s="3432"/>
      <c r="I502" s="3432"/>
      <c r="J502" s="3413">
        <v>7.0300244824977796</v>
      </c>
      <c r="K502" s="3432"/>
      <c r="L502" s="3449">
        <v>4.8315757132929398E-5</v>
      </c>
      <c r="M502" s="3432"/>
      <c r="N502" s="3432"/>
      <c r="O502" s="3432"/>
      <c r="P502" s="3432"/>
      <c r="Q502" s="3432"/>
      <c r="R502" s="3432"/>
      <c r="S502" s="3432"/>
      <c r="T502" s="3432"/>
      <c r="U502" s="3432"/>
      <c r="V502" s="3432"/>
      <c r="W502" s="3432"/>
      <c r="X502" s="3449">
        <v>4.9059722438417302E-5</v>
      </c>
      <c r="Y502" s="3432"/>
      <c r="Z502" s="3432"/>
      <c r="AA502" s="3432"/>
      <c r="AB502" s="3432"/>
      <c r="AC502" s="3432"/>
      <c r="AD502" s="3432"/>
      <c r="AE502" s="3432"/>
      <c r="AF502" s="3432"/>
      <c r="AG502" s="3432"/>
      <c r="AH502" s="3432"/>
      <c r="AI502" s="3432"/>
      <c r="AJ502" s="3432"/>
      <c r="AK502" s="3432"/>
      <c r="AL502" s="3432"/>
      <c r="AM502" s="3432"/>
      <c r="AN502" s="3497"/>
      <c r="AO502" s="3426"/>
    </row>
    <row r="503" spans="1:41">
      <c r="A503" s="5047" t="s">
        <v>752</v>
      </c>
      <c r="B503" s="5048"/>
      <c r="C503" s="3432"/>
      <c r="D503" s="3449">
        <v>3.4137088487439203E-8</v>
      </c>
      <c r="E503" s="3432"/>
      <c r="F503" s="3432"/>
      <c r="G503" s="3432"/>
      <c r="H503" s="3432"/>
      <c r="I503" s="3432"/>
      <c r="J503" s="3411">
        <v>0</v>
      </c>
      <c r="K503" s="3432"/>
      <c r="L503" s="3449">
        <v>1.86921281245095E-5</v>
      </c>
      <c r="M503" s="3432"/>
      <c r="N503" s="3432"/>
      <c r="O503" s="3432"/>
      <c r="P503" s="3432"/>
      <c r="Q503" s="3432"/>
      <c r="R503" s="3432"/>
      <c r="S503" s="3432"/>
      <c r="T503" s="3432"/>
      <c r="U503" s="3432"/>
      <c r="V503" s="3432"/>
      <c r="W503" s="3432"/>
      <c r="X503" s="3449">
        <v>1.17011706179295E-5</v>
      </c>
      <c r="Y503" s="3432"/>
      <c r="Z503" s="3432"/>
      <c r="AA503" s="3432"/>
      <c r="AB503" s="3432"/>
      <c r="AC503" s="3432"/>
      <c r="AD503" s="3432"/>
      <c r="AE503" s="3432"/>
      <c r="AF503" s="3432"/>
      <c r="AG503" s="3432"/>
      <c r="AH503" s="3432"/>
      <c r="AI503" s="3432"/>
      <c r="AJ503" s="3432"/>
      <c r="AK503" s="3432"/>
      <c r="AL503" s="3432"/>
      <c r="AM503" s="3432"/>
      <c r="AN503" s="3497"/>
      <c r="AO503" s="3426"/>
    </row>
    <row r="504" spans="1:41" ht="13" thickBot="1">
      <c r="A504" s="5049" t="s">
        <v>430</v>
      </c>
      <c r="B504" s="5050"/>
      <c r="C504" s="3433" t="s">
        <v>57</v>
      </c>
      <c r="D504" s="3433" t="s">
        <v>57</v>
      </c>
      <c r="E504" s="3433" t="s">
        <v>57</v>
      </c>
      <c r="F504" s="3433" t="s">
        <v>57</v>
      </c>
      <c r="G504" s="3433" t="s">
        <v>57</v>
      </c>
      <c r="H504" s="3433" t="s">
        <v>57</v>
      </c>
      <c r="I504" s="3433" t="s">
        <v>57</v>
      </c>
      <c r="J504" s="3418" t="s">
        <v>57</v>
      </c>
      <c r="K504" s="3433" t="s">
        <v>57</v>
      </c>
      <c r="L504" s="3433" t="s">
        <v>57</v>
      </c>
      <c r="M504" s="3433" t="s">
        <v>57</v>
      </c>
      <c r="N504" s="3433" t="s">
        <v>57</v>
      </c>
      <c r="O504" s="3433" t="s">
        <v>57</v>
      </c>
      <c r="P504" s="3433" t="s">
        <v>57</v>
      </c>
      <c r="Q504" s="3433" t="s">
        <v>57</v>
      </c>
      <c r="R504" s="3433" t="s">
        <v>57</v>
      </c>
      <c r="S504" s="3433" t="s">
        <v>57</v>
      </c>
      <c r="T504" s="3433" t="s">
        <v>57</v>
      </c>
      <c r="U504" s="3433" t="s">
        <v>57</v>
      </c>
      <c r="V504" s="3433" t="s">
        <v>57</v>
      </c>
      <c r="W504" s="3433" t="s">
        <v>57</v>
      </c>
      <c r="X504" s="3433" t="s">
        <v>57</v>
      </c>
      <c r="Y504" s="3433" t="s">
        <v>57</v>
      </c>
      <c r="Z504" s="3433" t="s">
        <v>57</v>
      </c>
      <c r="AA504" s="3433" t="s">
        <v>57</v>
      </c>
      <c r="AB504" s="3433" t="s">
        <v>57</v>
      </c>
      <c r="AC504" s="3433" t="s">
        <v>57</v>
      </c>
      <c r="AD504" s="3433" t="s">
        <v>57</v>
      </c>
      <c r="AE504" s="3433" t="s">
        <v>57</v>
      </c>
      <c r="AF504" s="3433" t="s">
        <v>57</v>
      </c>
      <c r="AG504" s="3433" t="s">
        <v>57</v>
      </c>
      <c r="AH504" s="3433" t="s">
        <v>57</v>
      </c>
      <c r="AI504" s="3433" t="s">
        <v>57</v>
      </c>
      <c r="AJ504" s="3433" t="s">
        <v>57</v>
      </c>
      <c r="AK504" s="3433" t="s">
        <v>57</v>
      </c>
      <c r="AL504" s="3433" t="s">
        <v>57</v>
      </c>
      <c r="AM504" s="3433" t="s">
        <v>57</v>
      </c>
      <c r="AN504" s="3444" t="s">
        <v>57</v>
      </c>
      <c r="AO504" s="3426"/>
    </row>
    <row r="505" spans="1:41" ht="13" thickTop="1">
      <c r="A505" s="5051" t="s">
        <v>298</v>
      </c>
      <c r="B505" s="5052"/>
      <c r="C505" s="3432"/>
      <c r="D505" s="3451">
        <v>0.85594759152118005</v>
      </c>
      <c r="E505" s="3432"/>
      <c r="F505" s="3432"/>
      <c r="G505" s="3432"/>
      <c r="H505" s="3432"/>
      <c r="I505" s="3432"/>
      <c r="J505" s="3414">
        <v>2.385E-2</v>
      </c>
      <c r="K505" s="3432"/>
      <c r="L505" s="3455">
        <v>73.104895951212498</v>
      </c>
      <c r="M505" s="3432"/>
      <c r="N505" s="3432"/>
      <c r="O505" s="3432"/>
      <c r="P505" s="3432"/>
      <c r="Q505" s="3432"/>
      <c r="R505" s="3432"/>
      <c r="S505" s="3432"/>
      <c r="T505" s="3432"/>
      <c r="U505" s="3432"/>
      <c r="V505" s="3432"/>
      <c r="W505" s="3432"/>
      <c r="X505" s="3455">
        <v>73.960837934745499</v>
      </c>
      <c r="Y505" s="3432"/>
      <c r="Z505" s="3432"/>
      <c r="AA505" s="3432"/>
      <c r="AB505" s="3432"/>
      <c r="AC505" s="3432"/>
      <c r="AD505" s="3432"/>
      <c r="AE505" s="3432"/>
      <c r="AF505" s="3432"/>
      <c r="AG505" s="3432"/>
      <c r="AH505" s="3432"/>
      <c r="AI505" s="3432"/>
      <c r="AJ505" s="3432"/>
      <c r="AK505" s="3432"/>
      <c r="AL505" s="3432"/>
      <c r="AM505" s="3432"/>
      <c r="AN505" s="3497"/>
      <c r="AO505" s="3426"/>
    </row>
    <row r="506" spans="1:41">
      <c r="A506" s="5047" t="s">
        <v>5</v>
      </c>
      <c r="B506" s="5048"/>
      <c r="C506" s="3432"/>
      <c r="D506" s="3447">
        <v>0</v>
      </c>
      <c r="E506" s="3432"/>
      <c r="F506" s="3432"/>
      <c r="G506" s="3432"/>
      <c r="H506" s="3432"/>
      <c r="I506" s="3432"/>
      <c r="J506" s="3414">
        <v>0</v>
      </c>
      <c r="K506" s="3432"/>
      <c r="L506" s="3447">
        <v>0</v>
      </c>
      <c r="M506" s="3432"/>
      <c r="N506" s="3432"/>
      <c r="O506" s="3432"/>
      <c r="P506" s="3432"/>
      <c r="Q506" s="3432"/>
      <c r="R506" s="3432"/>
      <c r="S506" s="3432"/>
      <c r="T506" s="3432"/>
      <c r="U506" s="3432"/>
      <c r="V506" s="3432"/>
      <c r="W506" s="3432"/>
      <c r="X506" s="3447">
        <v>0</v>
      </c>
      <c r="Y506" s="3432"/>
      <c r="Z506" s="3432"/>
      <c r="AA506" s="3432"/>
      <c r="AB506" s="3432"/>
      <c r="AC506" s="3432"/>
      <c r="AD506" s="3432"/>
      <c r="AE506" s="3432"/>
      <c r="AF506" s="3432"/>
      <c r="AG506" s="3432"/>
      <c r="AH506" s="3432"/>
      <c r="AI506" s="3432"/>
      <c r="AJ506" s="3432"/>
      <c r="AK506" s="3432"/>
      <c r="AL506" s="3432"/>
      <c r="AM506" s="3432"/>
      <c r="AN506" s="3497"/>
      <c r="AO506" s="3426"/>
    </row>
    <row r="507" spans="1:41">
      <c r="A507" s="5047" t="s">
        <v>832</v>
      </c>
      <c r="B507" s="5048"/>
      <c r="C507" s="3432"/>
      <c r="D507" s="3447">
        <v>0</v>
      </c>
      <c r="E507" s="3432"/>
      <c r="F507" s="3432"/>
      <c r="G507" s="3432"/>
      <c r="H507" s="3432"/>
      <c r="I507" s="3432"/>
      <c r="J507" s="3414">
        <v>0</v>
      </c>
      <c r="K507" s="3432"/>
      <c r="L507" s="3447">
        <v>0</v>
      </c>
      <c r="M507" s="3432"/>
      <c r="N507" s="3432"/>
      <c r="O507" s="3432"/>
      <c r="P507" s="3432"/>
      <c r="Q507" s="3432"/>
      <c r="R507" s="3432"/>
      <c r="S507" s="3432"/>
      <c r="T507" s="3432"/>
      <c r="U507" s="3432"/>
      <c r="V507" s="3432"/>
      <c r="W507" s="3432"/>
      <c r="X507" s="3447">
        <v>0</v>
      </c>
      <c r="Y507" s="3432"/>
      <c r="Z507" s="3432"/>
      <c r="AA507" s="3432"/>
      <c r="AB507" s="3432"/>
      <c r="AC507" s="3432"/>
      <c r="AD507" s="3432"/>
      <c r="AE507" s="3432"/>
      <c r="AF507" s="3432"/>
      <c r="AG507" s="3432"/>
      <c r="AH507" s="3432"/>
      <c r="AI507" s="3432"/>
      <c r="AJ507" s="3432"/>
      <c r="AK507" s="3432"/>
      <c r="AL507" s="3432"/>
      <c r="AM507" s="3432"/>
      <c r="AN507" s="3497"/>
      <c r="AO507" s="3426"/>
    </row>
    <row r="508" spans="1:41">
      <c r="A508" s="5047" t="s">
        <v>3</v>
      </c>
      <c r="B508" s="5048"/>
      <c r="C508" s="3432"/>
      <c r="D508" s="3447">
        <v>0</v>
      </c>
      <c r="E508" s="3432"/>
      <c r="F508" s="3432"/>
      <c r="G508" s="3432"/>
      <c r="H508" s="3432"/>
      <c r="I508" s="3432"/>
      <c r="J508" s="3414">
        <v>2.2499999999999998E-3</v>
      </c>
      <c r="K508" s="3432"/>
      <c r="L508" s="3447">
        <v>0</v>
      </c>
      <c r="M508" s="3432"/>
      <c r="N508" s="3432"/>
      <c r="O508" s="3432"/>
      <c r="P508" s="3432"/>
      <c r="Q508" s="3432"/>
      <c r="R508" s="3432"/>
      <c r="S508" s="3432"/>
      <c r="T508" s="3432"/>
      <c r="U508" s="3432"/>
      <c r="V508" s="3432"/>
      <c r="W508" s="3432"/>
      <c r="X508" s="3447">
        <v>0</v>
      </c>
      <c r="Y508" s="3432"/>
      <c r="Z508" s="3432"/>
      <c r="AA508" s="3432"/>
      <c r="AB508" s="3432"/>
      <c r="AC508" s="3432"/>
      <c r="AD508" s="3432"/>
      <c r="AE508" s="3432"/>
      <c r="AF508" s="3432"/>
      <c r="AG508" s="3432"/>
      <c r="AH508" s="3432"/>
      <c r="AI508" s="3432"/>
      <c r="AJ508" s="3432"/>
      <c r="AK508" s="3432"/>
      <c r="AL508" s="3432"/>
      <c r="AM508" s="3432"/>
      <c r="AN508" s="3497"/>
      <c r="AO508" s="3426"/>
    </row>
    <row r="509" spans="1:41">
      <c r="A509" s="5047" t="s">
        <v>6</v>
      </c>
      <c r="B509" s="5048"/>
      <c r="C509" s="3432"/>
      <c r="D509" s="3447">
        <v>0</v>
      </c>
      <c r="E509" s="3432"/>
      <c r="F509" s="3432"/>
      <c r="G509" s="3432"/>
      <c r="H509" s="3432"/>
      <c r="I509" s="3432"/>
      <c r="J509" s="3414">
        <v>8.9999999999999998E-4</v>
      </c>
      <c r="K509" s="3432"/>
      <c r="L509" s="3447">
        <v>0</v>
      </c>
      <c r="M509" s="3432"/>
      <c r="N509" s="3432"/>
      <c r="O509" s="3432"/>
      <c r="P509" s="3432"/>
      <c r="Q509" s="3432"/>
      <c r="R509" s="3432"/>
      <c r="S509" s="3432"/>
      <c r="T509" s="3432"/>
      <c r="U509" s="3432"/>
      <c r="V509" s="3432"/>
      <c r="W509" s="3432"/>
      <c r="X509" s="3447">
        <v>0</v>
      </c>
      <c r="Y509" s="3432"/>
      <c r="Z509" s="3432"/>
      <c r="AA509" s="3432"/>
      <c r="AB509" s="3432"/>
      <c r="AC509" s="3432"/>
      <c r="AD509" s="3432"/>
      <c r="AE509" s="3432"/>
      <c r="AF509" s="3432"/>
      <c r="AG509" s="3432"/>
      <c r="AH509" s="3432"/>
      <c r="AI509" s="3432"/>
      <c r="AJ509" s="3432"/>
      <c r="AK509" s="3432"/>
      <c r="AL509" s="3432"/>
      <c r="AM509" s="3432"/>
      <c r="AN509" s="3497"/>
      <c r="AO509" s="3426"/>
    </row>
    <row r="510" spans="1:41">
      <c r="A510" s="5047" t="s">
        <v>7</v>
      </c>
      <c r="B510" s="5048"/>
      <c r="C510" s="3432"/>
      <c r="D510" s="3449">
        <v>4.6085866635622798E-6</v>
      </c>
      <c r="E510" s="3432"/>
      <c r="F510" s="3432"/>
      <c r="G510" s="3432"/>
      <c r="H510" s="3432"/>
      <c r="I510" s="3432"/>
      <c r="J510" s="3414">
        <v>0.67500000000000004</v>
      </c>
      <c r="K510" s="3432"/>
      <c r="L510" s="3460">
        <v>9.2285766636582202E-4</v>
      </c>
      <c r="M510" s="3432"/>
      <c r="N510" s="3432"/>
      <c r="O510" s="3432"/>
      <c r="P510" s="3432"/>
      <c r="Q510" s="3432"/>
      <c r="R510" s="3432"/>
      <c r="S510" s="3432"/>
      <c r="T510" s="3432"/>
      <c r="U510" s="3432"/>
      <c r="V510" s="3432"/>
      <c r="W510" s="3432"/>
      <c r="X510" s="3460">
        <v>9.2952681108278304E-4</v>
      </c>
      <c r="Y510" s="3432"/>
      <c r="Z510" s="3432"/>
      <c r="AA510" s="3432"/>
      <c r="AB510" s="3432"/>
      <c r="AC510" s="3432"/>
      <c r="AD510" s="3432"/>
      <c r="AE510" s="3432"/>
      <c r="AF510" s="3432"/>
      <c r="AG510" s="3432"/>
      <c r="AH510" s="3432"/>
      <c r="AI510" s="3432"/>
      <c r="AJ510" s="3432"/>
      <c r="AK510" s="3432"/>
      <c r="AL510" s="3432"/>
      <c r="AM510" s="3432"/>
      <c r="AN510" s="3497"/>
      <c r="AO510" s="3426"/>
    </row>
    <row r="511" spans="1:41">
      <c r="A511" s="5047" t="s">
        <v>8</v>
      </c>
      <c r="B511" s="5048"/>
      <c r="C511" s="3432"/>
      <c r="D511" s="3449">
        <v>2.27530306015402E-5</v>
      </c>
      <c r="E511" s="3432"/>
      <c r="F511" s="3432"/>
      <c r="G511" s="3432"/>
      <c r="H511" s="3432"/>
      <c r="I511" s="3432"/>
      <c r="J511" s="3414">
        <v>2.9209499999999999</v>
      </c>
      <c r="K511" s="3432"/>
      <c r="L511" s="3460">
        <v>7.26710689127847E-4</v>
      </c>
      <c r="M511" s="3432"/>
      <c r="N511" s="3432"/>
      <c r="O511" s="3432"/>
      <c r="P511" s="3432"/>
      <c r="Q511" s="3432"/>
      <c r="R511" s="3432"/>
      <c r="S511" s="3432"/>
      <c r="T511" s="3432"/>
      <c r="U511" s="3432"/>
      <c r="V511" s="3432"/>
      <c r="W511" s="3432"/>
      <c r="X511" s="3460">
        <v>7.3833181982936504E-4</v>
      </c>
      <c r="Y511" s="3432"/>
      <c r="Z511" s="3432"/>
      <c r="AA511" s="3432"/>
      <c r="AB511" s="3432"/>
      <c r="AC511" s="3432"/>
      <c r="AD511" s="3432"/>
      <c r="AE511" s="3432"/>
      <c r="AF511" s="3432"/>
      <c r="AG511" s="3432"/>
      <c r="AH511" s="3432"/>
      <c r="AI511" s="3432"/>
      <c r="AJ511" s="3432"/>
      <c r="AK511" s="3432"/>
      <c r="AL511" s="3432"/>
      <c r="AM511" s="3432"/>
      <c r="AN511" s="3497"/>
      <c r="AO511" s="3426"/>
    </row>
    <row r="512" spans="1:41">
      <c r="A512" s="5047" t="s">
        <v>66</v>
      </c>
      <c r="B512" s="5048"/>
      <c r="C512" s="3432"/>
      <c r="D512" s="3449">
        <v>2.31614703753065E-6</v>
      </c>
      <c r="E512" s="3432"/>
      <c r="F512" s="3432"/>
      <c r="G512" s="3432"/>
      <c r="H512" s="3432"/>
      <c r="I512" s="3432"/>
      <c r="J512" s="3414">
        <v>0.2646</v>
      </c>
      <c r="K512" s="3432"/>
      <c r="L512" s="3449">
        <v>7.4741814954044103E-5</v>
      </c>
      <c r="M512" s="3432"/>
      <c r="N512" s="3432"/>
      <c r="O512" s="3432"/>
      <c r="P512" s="3432"/>
      <c r="Q512" s="3432"/>
      <c r="R512" s="3432"/>
      <c r="S512" s="3432"/>
      <c r="T512" s="3432"/>
      <c r="U512" s="3432"/>
      <c r="V512" s="3432"/>
      <c r="W512" s="3432"/>
      <c r="X512" s="3449">
        <v>7.58599791065042E-5</v>
      </c>
      <c r="Y512" s="3432"/>
      <c r="Z512" s="3432"/>
      <c r="AA512" s="3432"/>
      <c r="AB512" s="3432"/>
      <c r="AC512" s="3432"/>
      <c r="AD512" s="3432"/>
      <c r="AE512" s="3432"/>
      <c r="AF512" s="3432"/>
      <c r="AG512" s="3432"/>
      <c r="AH512" s="3432"/>
      <c r="AI512" s="3432"/>
      <c r="AJ512" s="3432"/>
      <c r="AK512" s="3432"/>
      <c r="AL512" s="3432"/>
      <c r="AM512" s="3432"/>
      <c r="AN512" s="3497"/>
      <c r="AO512" s="3426"/>
    </row>
    <row r="513" spans="1:41">
      <c r="A513" s="5047" t="s">
        <v>359</v>
      </c>
      <c r="B513" s="5048"/>
      <c r="C513" s="3432"/>
      <c r="D513" s="3449">
        <v>6.6001847250529704E-6</v>
      </c>
      <c r="E513" s="3432"/>
      <c r="F513" s="3432"/>
      <c r="G513" s="3432"/>
      <c r="H513" s="3432"/>
      <c r="I513" s="3432"/>
      <c r="J513" s="3414">
        <v>0.41354999999999997</v>
      </c>
      <c r="K513" s="3432"/>
      <c r="L513" s="3460">
        <v>2.1387779995980701E-4</v>
      </c>
      <c r="M513" s="3432"/>
      <c r="N513" s="3432"/>
      <c r="O513" s="3432"/>
      <c r="P513" s="3432"/>
      <c r="Q513" s="3432"/>
      <c r="R513" s="3432"/>
      <c r="S513" s="3432"/>
      <c r="T513" s="3432"/>
      <c r="U513" s="3432"/>
      <c r="V513" s="3432"/>
      <c r="W513" s="3432"/>
      <c r="X513" s="3460">
        <v>2.17455172624734E-4</v>
      </c>
      <c r="Y513" s="3432"/>
      <c r="Z513" s="3432"/>
      <c r="AA513" s="3432"/>
      <c r="AB513" s="3432"/>
      <c r="AC513" s="3432"/>
      <c r="AD513" s="3432"/>
      <c r="AE513" s="3432"/>
      <c r="AF513" s="3432"/>
      <c r="AG513" s="3432"/>
      <c r="AH513" s="3432"/>
      <c r="AI513" s="3432"/>
      <c r="AJ513" s="3432"/>
      <c r="AK513" s="3432"/>
      <c r="AL513" s="3432"/>
      <c r="AM513" s="3432"/>
      <c r="AN513" s="3497"/>
      <c r="AO513" s="3426"/>
    </row>
    <row r="514" spans="1:41">
      <c r="A514" s="5047" t="s">
        <v>68</v>
      </c>
      <c r="B514" s="5048"/>
      <c r="C514" s="3432"/>
      <c r="D514" s="3449">
        <v>7.8646728003442798E-7</v>
      </c>
      <c r="E514" s="3432"/>
      <c r="F514" s="3432"/>
      <c r="G514" s="3432"/>
      <c r="H514" s="3432"/>
      <c r="I514" s="3432"/>
      <c r="J514" s="3414">
        <v>5.6250000000000001E-2</v>
      </c>
      <c r="K514" s="3432"/>
      <c r="L514" s="3449">
        <v>3.4066271165365799E-5</v>
      </c>
      <c r="M514" s="3432"/>
      <c r="N514" s="3432"/>
      <c r="O514" s="3432"/>
      <c r="P514" s="3432"/>
      <c r="Q514" s="3432"/>
      <c r="R514" s="3432"/>
      <c r="S514" s="3432"/>
      <c r="T514" s="3432"/>
      <c r="U514" s="3432"/>
      <c r="V514" s="3432"/>
      <c r="W514" s="3432"/>
      <c r="X514" s="3449">
        <v>3.4551828862206702E-5</v>
      </c>
      <c r="Y514" s="3432"/>
      <c r="Z514" s="3432"/>
      <c r="AA514" s="3432"/>
      <c r="AB514" s="3432"/>
      <c r="AC514" s="3432"/>
      <c r="AD514" s="3432"/>
      <c r="AE514" s="3432"/>
      <c r="AF514" s="3432"/>
      <c r="AG514" s="3432"/>
      <c r="AH514" s="3432"/>
      <c r="AI514" s="3432"/>
      <c r="AJ514" s="3432"/>
      <c r="AK514" s="3432"/>
      <c r="AL514" s="3432"/>
      <c r="AM514" s="3432"/>
      <c r="AN514" s="3497"/>
      <c r="AO514" s="3426"/>
    </row>
    <row r="515" spans="1:41">
      <c r="A515" s="5047" t="s">
        <v>669</v>
      </c>
      <c r="B515" s="5048"/>
      <c r="C515" s="3432"/>
      <c r="D515" s="3449">
        <v>4.0188714482301498E-7</v>
      </c>
      <c r="E515" s="3432"/>
      <c r="F515" s="3432"/>
      <c r="G515" s="3432"/>
      <c r="H515" s="3432"/>
      <c r="I515" s="3432"/>
      <c r="J515" s="3414">
        <v>5.3999999999999999E-2</v>
      </c>
      <c r="K515" s="3432"/>
      <c r="L515" s="3449">
        <v>1.2819458064688801E-5</v>
      </c>
      <c r="M515" s="3432"/>
      <c r="N515" s="3432"/>
      <c r="O515" s="3432"/>
      <c r="P515" s="3432"/>
      <c r="Q515" s="3432"/>
      <c r="R515" s="3432"/>
      <c r="S515" s="3432"/>
      <c r="T515" s="3432"/>
      <c r="U515" s="3432"/>
      <c r="V515" s="3432"/>
      <c r="W515" s="3432"/>
      <c r="X515" s="3449">
        <v>1.3054301471852E-5</v>
      </c>
      <c r="Y515" s="3432"/>
      <c r="Z515" s="3432"/>
      <c r="AA515" s="3432"/>
      <c r="AB515" s="3432"/>
      <c r="AC515" s="3432"/>
      <c r="AD515" s="3432"/>
      <c r="AE515" s="3432"/>
      <c r="AF515" s="3432"/>
      <c r="AG515" s="3432"/>
      <c r="AH515" s="3432"/>
      <c r="AI515" s="3432"/>
      <c r="AJ515" s="3432"/>
      <c r="AK515" s="3432"/>
      <c r="AL515" s="3432"/>
      <c r="AM515" s="3432"/>
      <c r="AN515" s="3497"/>
      <c r="AO515" s="3426"/>
    </row>
    <row r="516" spans="1:41">
      <c r="A516" s="5047" t="s">
        <v>99</v>
      </c>
      <c r="B516" s="5048"/>
      <c r="C516" s="3432"/>
      <c r="D516" s="3447">
        <v>0</v>
      </c>
      <c r="E516" s="3432"/>
      <c r="F516" s="3432"/>
      <c r="G516" s="3432"/>
      <c r="H516" s="3432"/>
      <c r="I516" s="3432"/>
      <c r="J516" s="3414">
        <v>0</v>
      </c>
      <c r="K516" s="3432"/>
      <c r="L516" s="3447">
        <v>0</v>
      </c>
      <c r="M516" s="3432"/>
      <c r="N516" s="3432"/>
      <c r="O516" s="3432"/>
      <c r="P516" s="3432"/>
      <c r="Q516" s="3432"/>
      <c r="R516" s="3432"/>
      <c r="S516" s="3432"/>
      <c r="T516" s="3432"/>
      <c r="U516" s="3432"/>
      <c r="V516" s="3432"/>
      <c r="W516" s="3432"/>
      <c r="X516" s="3447">
        <v>0</v>
      </c>
      <c r="Y516" s="3432"/>
      <c r="Z516" s="3432"/>
      <c r="AA516" s="3432"/>
      <c r="AB516" s="3432"/>
      <c r="AC516" s="3432"/>
      <c r="AD516" s="3432"/>
      <c r="AE516" s="3432"/>
      <c r="AF516" s="3432"/>
      <c r="AG516" s="3432"/>
      <c r="AH516" s="3432"/>
      <c r="AI516" s="3432"/>
      <c r="AJ516" s="3432"/>
      <c r="AK516" s="3432"/>
      <c r="AL516" s="3432"/>
      <c r="AM516" s="3432"/>
      <c r="AN516" s="3497"/>
      <c r="AO516" s="3426"/>
    </row>
    <row r="517" spans="1:41">
      <c r="A517" s="5047" t="s">
        <v>422</v>
      </c>
      <c r="B517" s="5048"/>
      <c r="C517" s="3432"/>
      <c r="D517" s="3449">
        <v>1.5560577665929501E-7</v>
      </c>
      <c r="E517" s="3432"/>
      <c r="F517" s="3432"/>
      <c r="G517" s="3432"/>
      <c r="H517" s="3432"/>
      <c r="I517" s="3432"/>
      <c r="J517" s="3414">
        <v>2.0250000000000001E-2</v>
      </c>
      <c r="K517" s="3432"/>
      <c r="L517" s="3449">
        <v>5.43482629556026E-6</v>
      </c>
      <c r="M517" s="3432"/>
      <c r="N517" s="3432"/>
      <c r="O517" s="3432"/>
      <c r="P517" s="3432"/>
      <c r="Q517" s="3432"/>
      <c r="R517" s="3432"/>
      <c r="S517" s="3432"/>
      <c r="T517" s="3432"/>
      <c r="U517" s="3432"/>
      <c r="V517" s="3432"/>
      <c r="W517" s="3432"/>
      <c r="X517" s="3449">
        <v>5.5277495193023401E-6</v>
      </c>
      <c r="Y517" s="3432"/>
      <c r="Z517" s="3432"/>
      <c r="AA517" s="3432"/>
      <c r="AB517" s="3432"/>
      <c r="AC517" s="3432"/>
      <c r="AD517" s="3432"/>
      <c r="AE517" s="3432"/>
      <c r="AF517" s="3432"/>
      <c r="AG517" s="3432"/>
      <c r="AH517" s="3432"/>
      <c r="AI517" s="3432"/>
      <c r="AJ517" s="3432"/>
      <c r="AK517" s="3432"/>
      <c r="AL517" s="3432"/>
      <c r="AM517" s="3432"/>
      <c r="AN517" s="3497"/>
      <c r="AO517" s="3426"/>
    </row>
    <row r="518" spans="1:41">
      <c r="A518" s="5047" t="s">
        <v>10</v>
      </c>
      <c r="B518" s="5048"/>
      <c r="C518" s="3432"/>
      <c r="D518" s="3449">
        <v>4.36957046034854E-8</v>
      </c>
      <c r="E518" s="3432"/>
      <c r="F518" s="3432"/>
      <c r="G518" s="3432"/>
      <c r="H518" s="3432"/>
      <c r="I518" s="3432"/>
      <c r="J518" s="3414">
        <v>1.035E-2</v>
      </c>
      <c r="K518" s="3432"/>
      <c r="L518" s="3449">
        <v>1.5161642653022E-6</v>
      </c>
      <c r="M518" s="3432"/>
      <c r="N518" s="3432"/>
      <c r="O518" s="3432"/>
      <c r="P518" s="3432"/>
      <c r="Q518" s="3432"/>
      <c r="R518" s="3432"/>
      <c r="S518" s="3432"/>
      <c r="T518" s="3432"/>
      <c r="U518" s="3432"/>
      <c r="V518" s="3432"/>
      <c r="W518" s="3432"/>
      <c r="X518" s="3449">
        <v>1.54391275252848E-6</v>
      </c>
      <c r="Y518" s="3432"/>
      <c r="Z518" s="3432"/>
      <c r="AA518" s="3432"/>
      <c r="AB518" s="3432"/>
      <c r="AC518" s="3432"/>
      <c r="AD518" s="3432"/>
      <c r="AE518" s="3432"/>
      <c r="AF518" s="3432"/>
      <c r="AG518" s="3432"/>
      <c r="AH518" s="3432"/>
      <c r="AI518" s="3432"/>
      <c r="AJ518" s="3432"/>
      <c r="AK518" s="3432"/>
      <c r="AL518" s="3432"/>
      <c r="AM518" s="3432"/>
      <c r="AN518" s="3497"/>
      <c r="AO518" s="3426"/>
    </row>
    <row r="519" spans="1:41">
      <c r="A519" s="5047" t="s">
        <v>9</v>
      </c>
      <c r="B519" s="5048"/>
      <c r="C519" s="3432"/>
      <c r="D519" s="3449">
        <v>2.5744219824081802E-7</v>
      </c>
      <c r="E519" s="3432"/>
      <c r="F519" s="3432"/>
      <c r="G519" s="3432"/>
      <c r="H519" s="3432"/>
      <c r="I519" s="3432"/>
      <c r="J519" s="3414">
        <v>8.0999999999999996E-3</v>
      </c>
      <c r="K519" s="3432"/>
      <c r="L519" s="3449">
        <v>1.01092149440401E-5</v>
      </c>
      <c r="M519" s="3432"/>
      <c r="N519" s="3432"/>
      <c r="O519" s="3432"/>
      <c r="P519" s="3432"/>
      <c r="Q519" s="3432"/>
      <c r="R519" s="3432"/>
      <c r="S519" s="3432"/>
      <c r="T519" s="3432"/>
      <c r="U519" s="3432"/>
      <c r="V519" s="3432"/>
      <c r="W519" s="3432"/>
      <c r="X519" s="3449">
        <v>1.0289657622941601E-5</v>
      </c>
      <c r="Y519" s="3432"/>
      <c r="Z519" s="3432"/>
      <c r="AA519" s="3432"/>
      <c r="AB519" s="3432"/>
      <c r="AC519" s="3432"/>
      <c r="AD519" s="3432"/>
      <c r="AE519" s="3432"/>
      <c r="AF519" s="3432"/>
      <c r="AG519" s="3432"/>
      <c r="AH519" s="3432"/>
      <c r="AI519" s="3432"/>
      <c r="AJ519" s="3432"/>
      <c r="AK519" s="3432"/>
      <c r="AL519" s="3432"/>
      <c r="AM519" s="3432"/>
      <c r="AN519" s="3497"/>
      <c r="AO519" s="3426"/>
    </row>
    <row r="520" spans="1:41">
      <c r="A520" s="5047" t="s">
        <v>11</v>
      </c>
      <c r="B520" s="5048"/>
      <c r="C520" s="3432"/>
      <c r="D520" s="3449">
        <v>1.7841964998630101E-5</v>
      </c>
      <c r="E520" s="3432"/>
      <c r="F520" s="3432"/>
      <c r="G520" s="3432"/>
      <c r="H520" s="3432"/>
      <c r="I520" s="3432"/>
      <c r="J520" s="3414">
        <v>8.5500000000000003E-3</v>
      </c>
      <c r="K520" s="3432"/>
      <c r="L520" s="3460">
        <v>8.2965132678057205E-4</v>
      </c>
      <c r="M520" s="3432"/>
      <c r="N520" s="3432"/>
      <c r="O520" s="3432"/>
      <c r="P520" s="3432"/>
      <c r="Q520" s="3432"/>
      <c r="R520" s="3432"/>
      <c r="S520" s="3432"/>
      <c r="T520" s="3432"/>
      <c r="U520" s="3432"/>
      <c r="V520" s="3432"/>
      <c r="W520" s="3432"/>
      <c r="X520" s="3460">
        <v>8.4424391688207802E-4</v>
      </c>
      <c r="Y520" s="3432"/>
      <c r="Z520" s="3432"/>
      <c r="AA520" s="3432"/>
      <c r="AB520" s="3432"/>
      <c r="AC520" s="3432"/>
      <c r="AD520" s="3432"/>
      <c r="AE520" s="3432"/>
      <c r="AF520" s="3432"/>
      <c r="AG520" s="3432"/>
      <c r="AH520" s="3432"/>
      <c r="AI520" s="3432"/>
      <c r="AJ520" s="3432"/>
      <c r="AK520" s="3432"/>
      <c r="AL520" s="3432"/>
      <c r="AM520" s="3432"/>
      <c r="AN520" s="3497"/>
      <c r="AO520" s="3426"/>
    </row>
    <row r="521" spans="1:41">
      <c r="A521" s="5047" t="s">
        <v>12</v>
      </c>
      <c r="B521" s="5048"/>
      <c r="C521" s="3432"/>
      <c r="D521" s="3449">
        <v>1.00411296061561E-6</v>
      </c>
      <c r="E521" s="3432"/>
      <c r="F521" s="3432"/>
      <c r="G521" s="3432"/>
      <c r="H521" s="3432"/>
      <c r="I521" s="3432"/>
      <c r="J521" s="3414">
        <v>1.5299999999999999E-2</v>
      </c>
      <c r="K521" s="3432"/>
      <c r="L521" s="3449">
        <v>3.8790838896017403E-5</v>
      </c>
      <c r="M521" s="3432"/>
      <c r="N521" s="3432"/>
      <c r="O521" s="3432"/>
      <c r="P521" s="3432"/>
      <c r="Q521" s="3432"/>
      <c r="R521" s="3432"/>
      <c r="S521" s="3432"/>
      <c r="T521" s="3432"/>
      <c r="U521" s="3432"/>
      <c r="V521" s="3432"/>
      <c r="W521" s="3432"/>
      <c r="X521" s="3449">
        <v>3.9496630184619599E-5</v>
      </c>
      <c r="Y521" s="3432"/>
      <c r="Z521" s="3432"/>
      <c r="AA521" s="3432"/>
      <c r="AB521" s="3432"/>
      <c r="AC521" s="3432"/>
      <c r="AD521" s="3432"/>
      <c r="AE521" s="3432"/>
      <c r="AF521" s="3432"/>
      <c r="AG521" s="3432"/>
      <c r="AH521" s="3432"/>
      <c r="AI521" s="3432"/>
      <c r="AJ521" s="3432"/>
      <c r="AK521" s="3432"/>
      <c r="AL521" s="3432"/>
      <c r="AM521" s="3432"/>
      <c r="AN521" s="3497"/>
      <c r="AO521" s="3426"/>
    </row>
    <row r="522" spans="1:41">
      <c r="A522" s="5047" t="s">
        <v>48</v>
      </c>
      <c r="B522" s="5048"/>
      <c r="C522" s="3432"/>
      <c r="D522" s="3447">
        <v>0</v>
      </c>
      <c r="E522" s="3432"/>
      <c r="F522" s="3432"/>
      <c r="G522" s="3432"/>
      <c r="H522" s="3432"/>
      <c r="I522" s="3432"/>
      <c r="J522" s="3414">
        <v>0</v>
      </c>
      <c r="K522" s="3432"/>
      <c r="L522" s="3447">
        <v>0</v>
      </c>
      <c r="M522" s="3432"/>
      <c r="N522" s="3432"/>
      <c r="O522" s="3432"/>
      <c r="P522" s="3432"/>
      <c r="Q522" s="3432"/>
      <c r="R522" s="3432"/>
      <c r="S522" s="3432"/>
      <c r="T522" s="3432"/>
      <c r="U522" s="3432"/>
      <c r="V522" s="3432"/>
      <c r="W522" s="3432"/>
      <c r="X522" s="3447">
        <v>0</v>
      </c>
      <c r="Y522" s="3432"/>
      <c r="Z522" s="3432"/>
      <c r="AA522" s="3432"/>
      <c r="AB522" s="3432"/>
      <c r="AC522" s="3432"/>
      <c r="AD522" s="3432"/>
      <c r="AE522" s="3432"/>
      <c r="AF522" s="3432"/>
      <c r="AG522" s="3432"/>
      <c r="AH522" s="3432"/>
      <c r="AI522" s="3432"/>
      <c r="AJ522" s="3432"/>
      <c r="AK522" s="3432"/>
      <c r="AL522" s="3432"/>
      <c r="AM522" s="3432"/>
      <c r="AN522" s="3497"/>
      <c r="AO522" s="3426"/>
    </row>
    <row r="523" spans="1:41">
      <c r="A523" s="5047" t="s">
        <v>751</v>
      </c>
      <c r="B523" s="5048"/>
      <c r="C523" s="3432"/>
      <c r="D523" s="3449">
        <v>1.3722618412658801E-8</v>
      </c>
      <c r="E523" s="3432"/>
      <c r="F523" s="3432"/>
      <c r="G523" s="3432"/>
      <c r="H523" s="3432"/>
      <c r="I523" s="3432"/>
      <c r="J523" s="3414">
        <v>3.15E-3</v>
      </c>
      <c r="K523" s="3432"/>
      <c r="L523" s="3449">
        <v>6.3231953549089497E-7</v>
      </c>
      <c r="M523" s="3432"/>
      <c r="N523" s="3432"/>
      <c r="O523" s="3432"/>
      <c r="P523" s="3432"/>
      <c r="Q523" s="3432"/>
      <c r="R523" s="3432"/>
      <c r="S523" s="3432"/>
      <c r="T523" s="3432"/>
      <c r="U523" s="3432"/>
      <c r="V523" s="3432"/>
      <c r="W523" s="3432"/>
      <c r="X523" s="3449">
        <v>6.4110812072923503E-7</v>
      </c>
      <c r="Y523" s="3432"/>
      <c r="Z523" s="3432"/>
      <c r="AA523" s="3432"/>
      <c r="AB523" s="3432"/>
      <c r="AC523" s="3432"/>
      <c r="AD523" s="3432"/>
      <c r="AE523" s="3432"/>
      <c r="AF523" s="3432"/>
      <c r="AG523" s="3432"/>
      <c r="AH523" s="3432"/>
      <c r="AI523" s="3432"/>
      <c r="AJ523" s="3432"/>
      <c r="AK523" s="3432"/>
      <c r="AL523" s="3432"/>
      <c r="AM523" s="3432"/>
      <c r="AN523" s="3497"/>
      <c r="AO523" s="3426"/>
    </row>
    <row r="524" spans="1:41">
      <c r="A524" s="5047" t="s">
        <v>65</v>
      </c>
      <c r="B524" s="5048"/>
      <c r="C524" s="3432"/>
      <c r="D524" s="3449">
        <v>1.9622223229977599E-7</v>
      </c>
      <c r="E524" s="3432"/>
      <c r="F524" s="3432"/>
      <c r="G524" s="3432"/>
      <c r="H524" s="3432"/>
      <c r="I524" s="3432"/>
      <c r="J524" s="3414">
        <v>8.5500000000000003E-3</v>
      </c>
      <c r="K524" s="3432"/>
      <c r="L524" s="3449">
        <v>8.9230374498399202E-6</v>
      </c>
      <c r="M524" s="3432"/>
      <c r="N524" s="3432"/>
      <c r="O524" s="3432"/>
      <c r="P524" s="3432"/>
      <c r="Q524" s="3432"/>
      <c r="R524" s="3432"/>
      <c r="S524" s="3432"/>
      <c r="T524" s="3432"/>
      <c r="U524" s="3432"/>
      <c r="V524" s="3432"/>
      <c r="W524" s="3432"/>
      <c r="X524" s="3449">
        <v>9.0815862753411797E-6</v>
      </c>
      <c r="Y524" s="3432"/>
      <c r="Z524" s="3432"/>
      <c r="AA524" s="3432"/>
      <c r="AB524" s="3432"/>
      <c r="AC524" s="3432"/>
      <c r="AD524" s="3432"/>
      <c r="AE524" s="3432"/>
      <c r="AF524" s="3432"/>
      <c r="AG524" s="3432"/>
      <c r="AH524" s="3432"/>
      <c r="AI524" s="3432"/>
      <c r="AJ524" s="3432"/>
      <c r="AK524" s="3432"/>
      <c r="AL524" s="3432"/>
      <c r="AM524" s="3432"/>
      <c r="AN524" s="3497"/>
      <c r="AO524" s="3426"/>
    </row>
    <row r="525" spans="1:41">
      <c r="A525" s="5047" t="s">
        <v>13</v>
      </c>
      <c r="B525" s="5048"/>
      <c r="C525" s="3432"/>
      <c r="D525" s="3449">
        <v>1.2535727005014301E-8</v>
      </c>
      <c r="E525" s="3432"/>
      <c r="F525" s="3432"/>
      <c r="G525" s="3432"/>
      <c r="H525" s="3432"/>
      <c r="I525" s="3432"/>
      <c r="J525" s="3414">
        <v>4.9500000000000004E-3</v>
      </c>
      <c r="K525" s="3432"/>
      <c r="L525" s="3449">
        <v>5.0491165070749299E-7</v>
      </c>
      <c r="M525" s="3432"/>
      <c r="N525" s="3432"/>
      <c r="O525" s="3432"/>
      <c r="P525" s="3432"/>
      <c r="Q525" s="3432"/>
      <c r="R525" s="3432"/>
      <c r="S525" s="3432"/>
      <c r="T525" s="3432"/>
      <c r="U525" s="3432"/>
      <c r="V525" s="3432"/>
      <c r="W525" s="3432"/>
      <c r="X525" s="3449">
        <v>5.1363168614776098E-7</v>
      </c>
      <c r="Y525" s="3432"/>
      <c r="Z525" s="3432"/>
      <c r="AA525" s="3432"/>
      <c r="AB525" s="3432"/>
      <c r="AC525" s="3432"/>
      <c r="AD525" s="3432"/>
      <c r="AE525" s="3432"/>
      <c r="AF525" s="3432"/>
      <c r="AG525" s="3432"/>
      <c r="AH525" s="3432"/>
      <c r="AI525" s="3432"/>
      <c r="AJ525" s="3432"/>
      <c r="AK525" s="3432"/>
      <c r="AL525" s="3432"/>
      <c r="AM525" s="3432"/>
      <c r="AN525" s="3497"/>
      <c r="AO525" s="3426"/>
    </row>
    <row r="526" spans="1:41">
      <c r="A526" s="5047" t="s">
        <v>14</v>
      </c>
      <c r="B526" s="5048"/>
      <c r="C526" s="3432"/>
      <c r="D526" s="3449">
        <v>6.1936985704259697E-6</v>
      </c>
      <c r="E526" s="3432"/>
      <c r="F526" s="3432"/>
      <c r="G526" s="3432"/>
      <c r="H526" s="3432"/>
      <c r="I526" s="3432"/>
      <c r="J526" s="3414">
        <v>4.0499999999999998E-3</v>
      </c>
      <c r="K526" s="3432"/>
      <c r="L526" s="3460">
        <v>2.96911793192112E-4</v>
      </c>
      <c r="M526" s="3432"/>
      <c r="N526" s="3432"/>
      <c r="O526" s="3432"/>
      <c r="P526" s="3432"/>
      <c r="Q526" s="3432"/>
      <c r="R526" s="3432"/>
      <c r="S526" s="3432"/>
      <c r="T526" s="3432"/>
      <c r="U526" s="3432"/>
      <c r="V526" s="3432"/>
      <c r="W526" s="3432"/>
      <c r="X526" s="3460">
        <v>3.0239112867413802E-4</v>
      </c>
      <c r="Y526" s="3432"/>
      <c r="Z526" s="3432"/>
      <c r="AA526" s="3432"/>
      <c r="AB526" s="3432"/>
      <c r="AC526" s="3432"/>
      <c r="AD526" s="3432"/>
      <c r="AE526" s="3432"/>
      <c r="AF526" s="3432"/>
      <c r="AG526" s="3432"/>
      <c r="AH526" s="3432"/>
      <c r="AI526" s="3432"/>
      <c r="AJ526" s="3432"/>
      <c r="AK526" s="3432"/>
      <c r="AL526" s="3432"/>
      <c r="AM526" s="3432"/>
      <c r="AN526" s="3497"/>
      <c r="AO526" s="3426"/>
    </row>
    <row r="527" spans="1:41">
      <c r="A527" s="5047" t="s">
        <v>424</v>
      </c>
      <c r="B527" s="5048"/>
      <c r="C527" s="3432"/>
      <c r="D527" s="3449">
        <v>2.6650352284709498E-9</v>
      </c>
      <c r="E527" s="3432"/>
      <c r="F527" s="3432"/>
      <c r="G527" s="3432"/>
      <c r="H527" s="3432"/>
      <c r="I527" s="3432"/>
      <c r="J527" s="3414">
        <v>3.15E-3</v>
      </c>
      <c r="K527" s="3432"/>
      <c r="L527" s="3449">
        <v>1.1947510022032099E-7</v>
      </c>
      <c r="M527" s="3432"/>
      <c r="N527" s="3432"/>
      <c r="O527" s="3432"/>
      <c r="P527" s="3432"/>
      <c r="Q527" s="3432"/>
      <c r="R527" s="3432"/>
      <c r="S527" s="3432"/>
      <c r="T527" s="3432"/>
      <c r="U527" s="3432"/>
      <c r="V527" s="3432"/>
      <c r="W527" s="3432"/>
      <c r="X527" s="3449">
        <v>1.2174232149429601E-7</v>
      </c>
      <c r="Y527" s="3432"/>
      <c r="Z527" s="3432"/>
      <c r="AA527" s="3432"/>
      <c r="AB527" s="3432"/>
      <c r="AC527" s="3432"/>
      <c r="AD527" s="3432"/>
      <c r="AE527" s="3432"/>
      <c r="AF527" s="3432"/>
      <c r="AG527" s="3432"/>
      <c r="AH527" s="3432"/>
      <c r="AI527" s="3432"/>
      <c r="AJ527" s="3432"/>
      <c r="AK527" s="3432"/>
      <c r="AL527" s="3432"/>
      <c r="AM527" s="3432"/>
      <c r="AN527" s="3497"/>
      <c r="AO527" s="3426"/>
    </row>
    <row r="528" spans="1:41">
      <c r="A528" s="5047" t="s">
        <v>16</v>
      </c>
      <c r="B528" s="5048"/>
      <c r="C528" s="3432"/>
      <c r="D528" s="3449">
        <v>7.9047305027607902E-8</v>
      </c>
      <c r="E528" s="3432"/>
      <c r="F528" s="3432"/>
      <c r="G528" s="3432"/>
      <c r="H528" s="3432"/>
      <c r="I528" s="3432"/>
      <c r="J528" s="3414">
        <v>0</v>
      </c>
      <c r="K528" s="3432"/>
      <c r="L528" s="3447">
        <v>0</v>
      </c>
      <c r="M528" s="3432"/>
      <c r="N528" s="3432"/>
      <c r="O528" s="3432"/>
      <c r="P528" s="3432"/>
      <c r="Q528" s="3432"/>
      <c r="R528" s="3432"/>
      <c r="S528" s="3432"/>
      <c r="T528" s="3432"/>
      <c r="U528" s="3432"/>
      <c r="V528" s="3432"/>
      <c r="W528" s="3432"/>
      <c r="X528" s="3449">
        <v>1.3574985437446701E-8</v>
      </c>
      <c r="Y528" s="3432"/>
      <c r="Z528" s="3432"/>
      <c r="AA528" s="3432"/>
      <c r="AB528" s="3432"/>
      <c r="AC528" s="3432"/>
      <c r="AD528" s="3432"/>
      <c r="AE528" s="3432"/>
      <c r="AF528" s="3432"/>
      <c r="AG528" s="3432"/>
      <c r="AH528" s="3432"/>
      <c r="AI528" s="3432"/>
      <c r="AJ528" s="3432"/>
      <c r="AK528" s="3432"/>
      <c r="AL528" s="3432"/>
      <c r="AM528" s="3432"/>
      <c r="AN528" s="3497"/>
      <c r="AO528" s="3426"/>
    </row>
    <row r="529" spans="1:41">
      <c r="A529" s="5047" t="s">
        <v>770</v>
      </c>
      <c r="B529" s="5048"/>
      <c r="C529" s="3432"/>
      <c r="D529" s="3449">
        <v>5.3620736036567298E-7</v>
      </c>
      <c r="E529" s="3432"/>
      <c r="F529" s="3432"/>
      <c r="G529" s="3432"/>
      <c r="H529" s="3432"/>
      <c r="I529" s="3432"/>
      <c r="J529" s="3414">
        <v>8.9999999999999998E-4</v>
      </c>
      <c r="K529" s="3432"/>
      <c r="L529" s="3449">
        <v>2.6483884619721798E-5</v>
      </c>
      <c r="M529" s="3432"/>
      <c r="N529" s="3432"/>
      <c r="O529" s="3432"/>
      <c r="P529" s="3432"/>
      <c r="Q529" s="3432"/>
      <c r="R529" s="3432"/>
      <c r="S529" s="3432"/>
      <c r="T529" s="3432"/>
      <c r="U529" s="3432"/>
      <c r="V529" s="3432"/>
      <c r="W529" s="3432"/>
      <c r="X529" s="3449">
        <v>2.7002682964069501E-5</v>
      </c>
      <c r="Y529" s="3432"/>
      <c r="Z529" s="3432"/>
      <c r="AA529" s="3432"/>
      <c r="AB529" s="3432"/>
      <c r="AC529" s="3432"/>
      <c r="AD529" s="3432"/>
      <c r="AE529" s="3432"/>
      <c r="AF529" s="3432"/>
      <c r="AG529" s="3432"/>
      <c r="AH529" s="3432"/>
      <c r="AI529" s="3432"/>
      <c r="AJ529" s="3432"/>
      <c r="AK529" s="3432"/>
      <c r="AL529" s="3432"/>
      <c r="AM529" s="3432"/>
      <c r="AN529" s="3497"/>
      <c r="AO529" s="3426"/>
    </row>
    <row r="530" spans="1:41">
      <c r="A530" s="5047" t="s">
        <v>833</v>
      </c>
      <c r="B530" s="5048"/>
      <c r="C530" s="3432"/>
      <c r="D530" s="3449">
        <v>3.6464866651906501E-10</v>
      </c>
      <c r="E530" s="3432"/>
      <c r="F530" s="3432"/>
      <c r="G530" s="3432"/>
      <c r="H530" s="3432"/>
      <c r="I530" s="3432"/>
      <c r="J530" s="3414">
        <v>8.9999999999999998E-4</v>
      </c>
      <c r="K530" s="3432"/>
      <c r="L530" s="3449">
        <v>3.4015971366275303E-8</v>
      </c>
      <c r="M530" s="3432"/>
      <c r="N530" s="3432"/>
      <c r="O530" s="3432"/>
      <c r="P530" s="3432"/>
      <c r="Q530" s="3432"/>
      <c r="R530" s="3432"/>
      <c r="S530" s="3432"/>
      <c r="T530" s="3432"/>
      <c r="U530" s="3432"/>
      <c r="V530" s="3432"/>
      <c r="W530" s="3432"/>
      <c r="X530" s="3449">
        <v>3.4485965942353503E-8</v>
      </c>
      <c r="Y530" s="3432"/>
      <c r="Z530" s="3432"/>
      <c r="AA530" s="3432"/>
      <c r="AB530" s="3432"/>
      <c r="AC530" s="3432"/>
      <c r="AD530" s="3432"/>
      <c r="AE530" s="3432"/>
      <c r="AF530" s="3432"/>
      <c r="AG530" s="3432"/>
      <c r="AH530" s="3432"/>
      <c r="AI530" s="3432"/>
      <c r="AJ530" s="3432"/>
      <c r="AK530" s="3432"/>
      <c r="AL530" s="3432"/>
      <c r="AM530" s="3432"/>
      <c r="AN530" s="3497"/>
      <c r="AO530" s="3426"/>
    </row>
    <row r="531" spans="1:41">
      <c r="A531" s="5047" t="s">
        <v>834</v>
      </c>
      <c r="B531" s="5048"/>
      <c r="C531" s="3432"/>
      <c r="D531" s="3449">
        <v>2.5350261970204299E-11</v>
      </c>
      <c r="E531" s="3432"/>
      <c r="F531" s="3432"/>
      <c r="G531" s="3432"/>
      <c r="H531" s="3432"/>
      <c r="I531" s="3432"/>
      <c r="J531" s="3414">
        <v>4.4999999999999999E-4</v>
      </c>
      <c r="K531" s="3432"/>
      <c r="L531" s="3449">
        <v>3.0927475094785499E-9</v>
      </c>
      <c r="M531" s="3432"/>
      <c r="N531" s="3432"/>
      <c r="O531" s="3432"/>
      <c r="P531" s="3432"/>
      <c r="Q531" s="3432"/>
      <c r="R531" s="3432"/>
      <c r="S531" s="3432"/>
      <c r="T531" s="3432"/>
      <c r="U531" s="3432"/>
      <c r="V531" s="3432"/>
      <c r="W531" s="3432"/>
      <c r="X531" s="3449">
        <v>3.1403695893593598E-9</v>
      </c>
      <c r="Y531" s="3432"/>
      <c r="Z531" s="3432"/>
      <c r="AA531" s="3432"/>
      <c r="AB531" s="3432"/>
      <c r="AC531" s="3432"/>
      <c r="AD531" s="3432"/>
      <c r="AE531" s="3432"/>
      <c r="AF531" s="3432"/>
      <c r="AG531" s="3432"/>
      <c r="AH531" s="3432"/>
      <c r="AI531" s="3432"/>
      <c r="AJ531" s="3432"/>
      <c r="AK531" s="3432"/>
      <c r="AL531" s="3432"/>
      <c r="AM531" s="3432"/>
      <c r="AN531" s="3497"/>
      <c r="AO531" s="3426"/>
    </row>
    <row r="532" spans="1:41" ht="13" thickBot="1">
      <c r="A532" s="5053" t="s">
        <v>752</v>
      </c>
      <c r="B532" s="5054"/>
      <c r="C532" s="3494"/>
      <c r="D532" s="3481">
        <v>1.1825533147603099E-12</v>
      </c>
      <c r="E532" s="3494"/>
      <c r="F532" s="3494"/>
      <c r="G532" s="3494"/>
      <c r="H532" s="3494"/>
      <c r="I532" s="3494"/>
      <c r="J532" s="3510">
        <v>0</v>
      </c>
      <c r="K532" s="3494"/>
      <c r="L532" s="3481">
        <v>6.4751972277004501E-10</v>
      </c>
      <c r="M532" s="3494"/>
      <c r="N532" s="3494"/>
      <c r="O532" s="3494"/>
      <c r="P532" s="3494"/>
      <c r="Q532" s="3494"/>
      <c r="R532" s="3494"/>
      <c r="S532" s="3494"/>
      <c r="T532" s="3494"/>
      <c r="U532" s="3494"/>
      <c r="V532" s="3494"/>
      <c r="W532" s="3494"/>
      <c r="X532" s="3481">
        <v>4.0534382731263099E-10</v>
      </c>
      <c r="Y532" s="3494"/>
      <c r="Z532" s="3494"/>
      <c r="AA532" s="3494"/>
      <c r="AB532" s="3494"/>
      <c r="AC532" s="3494"/>
      <c r="AD532" s="3494"/>
      <c r="AE532" s="3494"/>
      <c r="AF532" s="3494"/>
      <c r="AG532" s="3494"/>
      <c r="AH532" s="3494"/>
      <c r="AI532" s="3494"/>
      <c r="AJ532" s="3494"/>
      <c r="AK532" s="3494"/>
      <c r="AL532" s="3494"/>
      <c r="AM532" s="3494"/>
      <c r="AN532" s="3498"/>
      <c r="AO532" s="3426"/>
    </row>
    <row r="533" spans="1:41" ht="13" thickTop="1">
      <c r="A533" s="3426"/>
      <c r="B533" s="3426"/>
      <c r="C533" s="3426"/>
      <c r="D533" s="3426"/>
      <c r="E533" s="3426"/>
      <c r="F533" s="3426"/>
      <c r="G533" s="3426"/>
      <c r="H533" s="3426"/>
      <c r="I533" s="3426"/>
      <c r="J533" s="3426"/>
      <c r="K533" s="3426"/>
      <c r="L533" s="3426"/>
      <c r="M533" s="3426"/>
      <c r="N533" s="3426"/>
      <c r="O533" s="3426"/>
      <c r="P533" s="3426"/>
      <c r="Q533" s="3426"/>
      <c r="R533" s="3426"/>
      <c r="S533" s="3426"/>
      <c r="T533" s="3426"/>
      <c r="U533" s="3426"/>
      <c r="V533" s="3426"/>
      <c r="W533" s="3426"/>
      <c r="X533" s="3426"/>
      <c r="Y533" s="3426"/>
      <c r="Z533" s="3426"/>
      <c r="AA533" s="3426"/>
      <c r="AB533" s="3426"/>
      <c r="AC533" s="3426"/>
      <c r="AD533" s="3426"/>
      <c r="AE533" s="3426"/>
      <c r="AF533" s="3426"/>
      <c r="AG533" s="3426"/>
      <c r="AH533" s="3426"/>
      <c r="AI533" s="3426"/>
      <c r="AJ533" s="3426"/>
      <c r="AK533" s="3426"/>
      <c r="AL533" s="3426"/>
      <c r="AM533" s="3426"/>
      <c r="AN533" s="3426"/>
      <c r="AO533" s="3426"/>
    </row>
    <row r="534" spans="1:41" ht="13" thickBot="1">
      <c r="A534" s="3426"/>
      <c r="B534" s="3426"/>
      <c r="C534" s="3426"/>
      <c r="D534" s="3426"/>
      <c r="E534" s="3426"/>
      <c r="F534" s="3426"/>
      <c r="G534" s="3426"/>
      <c r="H534" s="3426"/>
      <c r="I534" s="3426"/>
      <c r="J534" s="3426"/>
      <c r="K534" s="3426"/>
      <c r="L534" s="3426"/>
      <c r="M534" s="3426"/>
      <c r="N534" s="3426"/>
      <c r="O534" s="3426"/>
      <c r="P534" s="3426"/>
      <c r="Q534" s="3426"/>
      <c r="R534" s="3426"/>
      <c r="S534" s="3426"/>
      <c r="T534" s="3426"/>
      <c r="U534" s="3426"/>
      <c r="V534" s="3426"/>
      <c r="W534" s="3426"/>
      <c r="X534" s="3426"/>
      <c r="Y534" s="3426"/>
      <c r="Z534" s="3426"/>
      <c r="AA534" s="3426"/>
      <c r="AB534" s="3426"/>
      <c r="AC534" s="3426"/>
      <c r="AD534" s="3426"/>
      <c r="AE534" s="3426"/>
      <c r="AF534" s="3426"/>
      <c r="AG534" s="3426"/>
      <c r="AH534" s="3426"/>
      <c r="AI534" s="3426"/>
      <c r="AJ534" s="3426"/>
      <c r="AK534" s="3426"/>
      <c r="AL534" s="3426"/>
      <c r="AM534" s="3426"/>
      <c r="AN534" s="3426"/>
      <c r="AO534" s="3426"/>
    </row>
    <row r="535" spans="1:41" ht="14" thickTop="1" thickBot="1">
      <c r="A535" s="3434" t="s">
        <v>389</v>
      </c>
      <c r="B535" s="3435"/>
      <c r="C535" s="3436" t="s">
        <v>821</v>
      </c>
      <c r="D535" s="3436" t="s">
        <v>822</v>
      </c>
      <c r="E535" s="3436" t="s">
        <v>741</v>
      </c>
      <c r="F535" s="3436" t="s">
        <v>823</v>
      </c>
      <c r="G535" s="3436" t="s">
        <v>1304</v>
      </c>
      <c r="H535" s="3436" t="s">
        <v>737</v>
      </c>
      <c r="I535" s="3436" t="s">
        <v>742</v>
      </c>
      <c r="J535" s="3437" t="s">
        <v>1305</v>
      </c>
      <c r="K535" s="3436" t="s">
        <v>824</v>
      </c>
      <c r="L535" s="3436" t="s">
        <v>825</v>
      </c>
      <c r="M535" s="3436" t="s">
        <v>743</v>
      </c>
      <c r="N535" s="3436" t="s">
        <v>827</v>
      </c>
      <c r="O535" s="3436" t="s">
        <v>390</v>
      </c>
      <c r="P535" s="3436" t="s">
        <v>391</v>
      </c>
      <c r="Q535" s="3436" t="s">
        <v>392</v>
      </c>
      <c r="R535" s="3436" t="s">
        <v>393</v>
      </c>
      <c r="S535" s="3436" t="s">
        <v>394</v>
      </c>
      <c r="T535" s="3436" t="s">
        <v>395</v>
      </c>
      <c r="U535" s="3436" t="s">
        <v>396</v>
      </c>
      <c r="V535" s="3436" t="s">
        <v>397</v>
      </c>
      <c r="W535" s="3436" t="s">
        <v>398</v>
      </c>
      <c r="X535" s="3436" t="s">
        <v>399</v>
      </c>
      <c r="Y535" s="3436" t="s">
        <v>400</v>
      </c>
      <c r="Z535" s="3436" t="s">
        <v>401</v>
      </c>
      <c r="AA535" s="3436" t="s">
        <v>402</v>
      </c>
      <c r="AB535" s="3436" t="s">
        <v>403</v>
      </c>
      <c r="AC535" s="3436" t="s">
        <v>404</v>
      </c>
      <c r="AD535" s="3436" t="s">
        <v>405</v>
      </c>
      <c r="AE535" s="3436" t="s">
        <v>406</v>
      </c>
      <c r="AF535" s="3436" t="s">
        <v>407</v>
      </c>
      <c r="AG535" s="3436" t="s">
        <v>408</v>
      </c>
      <c r="AH535" s="3436" t="s">
        <v>409</v>
      </c>
      <c r="AI535" s="3436" t="s">
        <v>410</v>
      </c>
      <c r="AJ535" s="3436" t="s">
        <v>411</v>
      </c>
      <c r="AK535" s="3436" t="s">
        <v>412</v>
      </c>
      <c r="AL535" s="3436" t="s">
        <v>439</v>
      </c>
      <c r="AM535" s="3436" t="s">
        <v>440</v>
      </c>
      <c r="AN535" s="3437" t="s">
        <v>828</v>
      </c>
      <c r="AO535" s="3426"/>
    </row>
    <row r="536" spans="1:41" ht="13">
      <c r="A536" s="3438" t="s">
        <v>427</v>
      </c>
      <c r="B536" s="3427" t="s">
        <v>413</v>
      </c>
      <c r="C536" s="3428" t="s">
        <v>414</v>
      </c>
      <c r="D536" s="3428" t="s">
        <v>414</v>
      </c>
      <c r="E536" s="3428" t="s">
        <v>414</v>
      </c>
      <c r="F536" s="3428" t="s">
        <v>414</v>
      </c>
      <c r="G536" s="3428" t="s">
        <v>414</v>
      </c>
      <c r="H536" s="3428" t="s">
        <v>414</v>
      </c>
      <c r="I536" s="3428" t="s">
        <v>414</v>
      </c>
      <c r="J536" s="3439" t="s">
        <v>414</v>
      </c>
      <c r="K536" s="3428" t="s">
        <v>414</v>
      </c>
      <c r="L536" s="3428" t="s">
        <v>414</v>
      </c>
      <c r="M536" s="3428" t="s">
        <v>414</v>
      </c>
      <c r="N536" s="3428" t="s">
        <v>414</v>
      </c>
      <c r="O536" s="3428" t="s">
        <v>414</v>
      </c>
      <c r="P536" s="3428" t="s">
        <v>414</v>
      </c>
      <c r="Q536" s="3428" t="s">
        <v>414</v>
      </c>
      <c r="R536" s="3428" t="s">
        <v>414</v>
      </c>
      <c r="S536" s="3428" t="s">
        <v>414</v>
      </c>
      <c r="T536" s="3428" t="s">
        <v>414</v>
      </c>
      <c r="U536" s="3428" t="s">
        <v>414</v>
      </c>
      <c r="V536" s="3428" t="s">
        <v>414</v>
      </c>
      <c r="W536" s="3428" t="s">
        <v>414</v>
      </c>
      <c r="X536" s="3428" t="s">
        <v>414</v>
      </c>
      <c r="Y536" s="3428" t="s">
        <v>414</v>
      </c>
      <c r="Z536" s="3428" t="s">
        <v>414</v>
      </c>
      <c r="AA536" s="3428" t="s">
        <v>414</v>
      </c>
      <c r="AB536" s="3428" t="s">
        <v>414</v>
      </c>
      <c r="AC536" s="3428" t="s">
        <v>414</v>
      </c>
      <c r="AD536" s="3428" t="s">
        <v>414</v>
      </c>
      <c r="AE536" s="3428" t="s">
        <v>414</v>
      </c>
      <c r="AF536" s="3428" t="s">
        <v>414</v>
      </c>
      <c r="AG536" s="3428" t="s">
        <v>414</v>
      </c>
      <c r="AH536" s="3428" t="s">
        <v>414</v>
      </c>
      <c r="AI536" s="3428" t="s">
        <v>414</v>
      </c>
      <c r="AJ536" s="3428" t="s">
        <v>414</v>
      </c>
      <c r="AK536" s="3428" t="s">
        <v>414</v>
      </c>
      <c r="AL536" s="3428" t="s">
        <v>414</v>
      </c>
      <c r="AM536" s="3428" t="s">
        <v>414</v>
      </c>
      <c r="AN536" s="3439" t="s">
        <v>414</v>
      </c>
      <c r="AO536" s="3426"/>
    </row>
    <row r="537" spans="1:41" ht="13">
      <c r="A537" s="3440" t="s">
        <v>437</v>
      </c>
      <c r="B537" s="3429" t="s">
        <v>416</v>
      </c>
      <c r="C537" s="3429" t="s">
        <v>445</v>
      </c>
      <c r="D537" s="3429" t="s">
        <v>445</v>
      </c>
      <c r="E537" s="3429" t="s">
        <v>445</v>
      </c>
      <c r="F537" s="3429" t="s">
        <v>445</v>
      </c>
      <c r="G537" s="3429" t="s">
        <v>445</v>
      </c>
      <c r="H537" s="3429" t="s">
        <v>445</v>
      </c>
      <c r="I537" s="3429" t="s">
        <v>445</v>
      </c>
      <c r="J537" s="3441" t="s">
        <v>445</v>
      </c>
      <c r="K537" s="3429" t="s">
        <v>829</v>
      </c>
      <c r="L537" s="3429" t="s">
        <v>445</v>
      </c>
      <c r="M537" s="3429" t="s">
        <v>445</v>
      </c>
      <c r="N537" s="3429" t="s">
        <v>445</v>
      </c>
      <c r="O537" s="3429" t="s">
        <v>445</v>
      </c>
      <c r="P537" s="3429" t="s">
        <v>829</v>
      </c>
      <c r="Q537" s="3429" t="s">
        <v>830</v>
      </c>
      <c r="R537" s="3429" t="s">
        <v>830</v>
      </c>
      <c r="S537" s="3429" t="s">
        <v>445</v>
      </c>
      <c r="T537" s="3429" t="s">
        <v>631</v>
      </c>
      <c r="U537" s="3429" t="s">
        <v>631</v>
      </c>
      <c r="V537" s="3429" t="s">
        <v>831</v>
      </c>
      <c r="W537" s="3429" t="s">
        <v>831</v>
      </c>
      <c r="X537" s="3429" t="s">
        <v>418</v>
      </c>
      <c r="Y537" s="3429" t="s">
        <v>419</v>
      </c>
      <c r="Z537" s="3429" t="s">
        <v>445</v>
      </c>
      <c r="AA537" s="3429" t="s">
        <v>445</v>
      </c>
      <c r="AB537" s="3429" t="s">
        <v>447</v>
      </c>
      <c r="AC537" s="3429" t="s">
        <v>445</v>
      </c>
      <c r="AD537" s="3429" t="s">
        <v>445</v>
      </c>
      <c r="AE537" s="3429" t="s">
        <v>448</v>
      </c>
      <c r="AF537" s="3429" t="s">
        <v>896</v>
      </c>
      <c r="AG537" s="3429" t="s">
        <v>896</v>
      </c>
      <c r="AH537" s="3429" t="s">
        <v>445</v>
      </c>
      <c r="AI537" s="3429" t="s">
        <v>445</v>
      </c>
      <c r="AJ537" s="3429" t="s">
        <v>449</v>
      </c>
      <c r="AK537" s="3429" t="s">
        <v>896</v>
      </c>
      <c r="AL537" s="3429" t="s">
        <v>450</v>
      </c>
      <c r="AM537" s="3429" t="s">
        <v>826</v>
      </c>
      <c r="AN537" s="3441" t="s">
        <v>445</v>
      </c>
      <c r="AO537" s="3426"/>
    </row>
    <row r="538" spans="1:41">
      <c r="A538" s="3488"/>
      <c r="B538" s="3430" t="s">
        <v>421</v>
      </c>
      <c r="C538" s="3430" t="s">
        <v>450</v>
      </c>
      <c r="D538" s="3430" t="s">
        <v>418</v>
      </c>
      <c r="E538" s="3430" t="s">
        <v>445</v>
      </c>
      <c r="F538" s="3430" t="s">
        <v>829</v>
      </c>
      <c r="G538" s="3430" t="s">
        <v>445</v>
      </c>
      <c r="H538" s="3430" t="s">
        <v>445</v>
      </c>
      <c r="I538" s="3430" t="s">
        <v>445</v>
      </c>
      <c r="J538" s="3443" t="s">
        <v>445</v>
      </c>
      <c r="K538" s="3430" t="s">
        <v>445</v>
      </c>
      <c r="L538" s="3430" t="s">
        <v>418</v>
      </c>
      <c r="M538" s="3430" t="s">
        <v>445</v>
      </c>
      <c r="N538" s="3430" t="s">
        <v>445</v>
      </c>
      <c r="O538" s="3430" t="s">
        <v>419</v>
      </c>
      <c r="P538" s="3430" t="s">
        <v>445</v>
      </c>
      <c r="Q538" s="3430" t="s">
        <v>445</v>
      </c>
      <c r="R538" s="3430" t="s">
        <v>445</v>
      </c>
      <c r="S538" s="3430" t="s">
        <v>419</v>
      </c>
      <c r="T538" s="3430" t="s">
        <v>445</v>
      </c>
      <c r="U538" s="3430" t="s">
        <v>445</v>
      </c>
      <c r="V538" s="3430" t="s">
        <v>445</v>
      </c>
      <c r="W538" s="3430" t="s">
        <v>445</v>
      </c>
      <c r="X538" s="3430" t="s">
        <v>896</v>
      </c>
      <c r="Y538" s="3430" t="s">
        <v>445</v>
      </c>
      <c r="Z538" s="3430" t="s">
        <v>447</v>
      </c>
      <c r="AA538" s="3430" t="s">
        <v>447</v>
      </c>
      <c r="AB538" s="3430" t="s">
        <v>445</v>
      </c>
      <c r="AC538" s="3430" t="s">
        <v>448</v>
      </c>
      <c r="AD538" s="3430" t="s">
        <v>448</v>
      </c>
      <c r="AE538" s="3430" t="s">
        <v>445</v>
      </c>
      <c r="AF538" s="3430" t="s">
        <v>831</v>
      </c>
      <c r="AG538" s="3430" t="s">
        <v>445</v>
      </c>
      <c r="AH538" s="3430" t="s">
        <v>449</v>
      </c>
      <c r="AI538" s="3430" t="s">
        <v>449</v>
      </c>
      <c r="AJ538" s="3430" t="s">
        <v>445</v>
      </c>
      <c r="AK538" s="3430" t="s">
        <v>450</v>
      </c>
      <c r="AL538" s="3430" t="s">
        <v>631</v>
      </c>
      <c r="AM538" s="3430" t="s">
        <v>830</v>
      </c>
      <c r="AN538" s="3443" t="s">
        <v>445</v>
      </c>
      <c r="AO538" s="3426"/>
    </row>
    <row r="539" spans="1:41" ht="13" thickBot="1">
      <c r="A539" s="3462" t="s">
        <v>71</v>
      </c>
      <c r="B539" s="3485" t="s">
        <v>72</v>
      </c>
      <c r="C539" s="3433"/>
      <c r="D539" s="3433"/>
      <c r="E539" s="3433"/>
      <c r="F539" s="3433"/>
      <c r="G539" s="3433"/>
      <c r="H539" s="3433"/>
      <c r="I539" s="3433"/>
      <c r="J539" s="3444"/>
      <c r="K539" s="3433"/>
      <c r="L539" s="3433"/>
      <c r="M539" s="3433"/>
      <c r="N539" s="3433"/>
      <c r="O539" s="3433"/>
      <c r="P539" s="3433"/>
      <c r="Q539" s="3433"/>
      <c r="R539" s="3433"/>
      <c r="S539" s="3433"/>
      <c r="T539" s="3433"/>
      <c r="U539" s="3433"/>
      <c r="V539" s="3433"/>
      <c r="W539" s="3433"/>
      <c r="X539" s="3433"/>
      <c r="Y539" s="3433"/>
      <c r="Z539" s="3433"/>
      <c r="AA539" s="3433"/>
      <c r="AB539" s="3433"/>
      <c r="AC539" s="3433"/>
      <c r="AD539" s="3433"/>
      <c r="AE539" s="3433"/>
      <c r="AF539" s="3433"/>
      <c r="AG539" s="3433"/>
      <c r="AH539" s="3433"/>
      <c r="AI539" s="3433"/>
      <c r="AJ539" s="3433"/>
      <c r="AK539" s="3433"/>
      <c r="AL539" s="3433"/>
      <c r="AM539" s="3433"/>
      <c r="AN539" s="3444"/>
      <c r="AO539" s="3426"/>
    </row>
    <row r="540" spans="1:41" ht="13" thickTop="1">
      <c r="A540" s="3445" t="s">
        <v>428</v>
      </c>
      <c r="B540" s="3486" t="s">
        <v>299</v>
      </c>
      <c r="C540" s="3432"/>
      <c r="D540" s="3447">
        <v>105</v>
      </c>
      <c r="E540" s="3432"/>
      <c r="F540" s="3432"/>
      <c r="G540" s="3432"/>
      <c r="H540" s="3432"/>
      <c r="I540" s="3432"/>
      <c r="J540" s="3411">
        <v>65</v>
      </c>
      <c r="K540" s="3432"/>
      <c r="L540" s="3447">
        <v>70</v>
      </c>
      <c r="M540" s="3432"/>
      <c r="N540" s="3432"/>
      <c r="O540" s="3432"/>
      <c r="P540" s="3432"/>
      <c r="Q540" s="3432"/>
      <c r="R540" s="3432"/>
      <c r="S540" s="3432"/>
      <c r="T540" s="3432"/>
      <c r="U540" s="3432"/>
      <c r="V540" s="3432"/>
      <c r="W540" s="3432"/>
      <c r="X540" s="3455">
        <v>70.378349195815602</v>
      </c>
      <c r="Y540" s="3432"/>
      <c r="Z540" s="3432"/>
      <c r="AA540" s="3432"/>
      <c r="AB540" s="3432"/>
      <c r="AC540" s="3432"/>
      <c r="AD540" s="3432"/>
      <c r="AE540" s="3432"/>
      <c r="AF540" s="3432"/>
      <c r="AG540" s="3432"/>
      <c r="AH540" s="3432"/>
      <c r="AI540" s="3432"/>
      <c r="AJ540" s="3432"/>
      <c r="AK540" s="3432"/>
      <c r="AL540" s="3432"/>
      <c r="AM540" s="3432"/>
      <c r="AN540" s="3497"/>
      <c r="AO540" s="3426"/>
    </row>
    <row r="541" spans="1:41">
      <c r="A541" s="3456" t="s">
        <v>730</v>
      </c>
      <c r="B541" s="3487" t="s">
        <v>297</v>
      </c>
      <c r="C541" s="3432"/>
      <c r="D541" s="3447">
        <v>30</v>
      </c>
      <c r="E541" s="3432"/>
      <c r="F541" s="3432"/>
      <c r="G541" s="3432"/>
      <c r="H541" s="3432"/>
      <c r="I541" s="3432"/>
      <c r="J541" s="3411">
        <v>1150</v>
      </c>
      <c r="K541" s="3432"/>
      <c r="L541" s="3447">
        <v>5</v>
      </c>
      <c r="M541" s="3432"/>
      <c r="N541" s="3432"/>
      <c r="O541" s="3432"/>
      <c r="P541" s="3432"/>
      <c r="Q541" s="3432"/>
      <c r="R541" s="3432"/>
      <c r="S541" s="3432"/>
      <c r="T541" s="3432"/>
      <c r="U541" s="3432"/>
      <c r="V541" s="3432"/>
      <c r="W541" s="3432"/>
      <c r="X541" s="3447">
        <v>5</v>
      </c>
      <c r="Y541" s="3432"/>
      <c r="Z541" s="3432"/>
      <c r="AA541" s="3432"/>
      <c r="AB541" s="3432"/>
      <c r="AC541" s="3432"/>
      <c r="AD541" s="3432"/>
      <c r="AE541" s="3432"/>
      <c r="AF541" s="3432"/>
      <c r="AG541" s="3432"/>
      <c r="AH541" s="3432"/>
      <c r="AI541" s="3432"/>
      <c r="AJ541" s="3432"/>
      <c r="AK541" s="3432"/>
      <c r="AL541" s="3432"/>
      <c r="AM541" s="3432"/>
      <c r="AN541" s="3497"/>
      <c r="AO541" s="3426"/>
    </row>
    <row r="542" spans="1:41">
      <c r="A542" s="3456" t="s">
        <v>20</v>
      </c>
      <c r="B542" s="3487" t="s">
        <v>429</v>
      </c>
      <c r="C542" s="3432"/>
      <c r="D542" s="3455">
        <v>18.018517905472098</v>
      </c>
      <c r="E542" s="3432"/>
      <c r="F542" s="3432"/>
      <c r="G542" s="3432"/>
      <c r="H542" s="3432"/>
      <c r="I542" s="3432"/>
      <c r="J542" s="3412">
        <v>45.543125793999998</v>
      </c>
      <c r="K542" s="3432"/>
      <c r="L542" s="3455">
        <v>18.0169614159588</v>
      </c>
      <c r="M542" s="3432"/>
      <c r="N542" s="3432"/>
      <c r="O542" s="3432"/>
      <c r="P542" s="3432"/>
      <c r="Q542" s="3432"/>
      <c r="R542" s="3432"/>
      <c r="S542" s="3432"/>
      <c r="T542" s="3432"/>
      <c r="U542" s="3432"/>
      <c r="V542" s="3432"/>
      <c r="W542" s="3432"/>
      <c r="X542" s="3455">
        <v>18.016969295066001</v>
      </c>
      <c r="Y542" s="3432"/>
      <c r="Z542" s="3432"/>
      <c r="AA542" s="3432"/>
      <c r="AB542" s="3432"/>
      <c r="AC542" s="3432"/>
      <c r="AD542" s="3432"/>
      <c r="AE542" s="3432"/>
      <c r="AF542" s="3432"/>
      <c r="AG542" s="3432"/>
      <c r="AH542" s="3432"/>
      <c r="AI542" s="3432"/>
      <c r="AJ542" s="3432"/>
      <c r="AK542" s="3432"/>
      <c r="AL542" s="3432"/>
      <c r="AM542" s="3432"/>
      <c r="AN542" s="3497"/>
      <c r="AO542" s="3426"/>
    </row>
    <row r="543" spans="1:41">
      <c r="A543" s="3456" t="s">
        <v>425</v>
      </c>
      <c r="B543" s="3487" t="s">
        <v>426</v>
      </c>
      <c r="C543" s="3432"/>
      <c r="D543" s="3472">
        <v>1693.53411990466</v>
      </c>
      <c r="E543" s="3432"/>
      <c r="F543" s="3432"/>
      <c r="G543" s="3432"/>
      <c r="H543" s="3432"/>
      <c r="I543" s="3432"/>
      <c r="J543" s="3415">
        <v>22502.495707198301</v>
      </c>
      <c r="K543" s="3432"/>
      <c r="L543" s="3467">
        <v>144624.67157565901</v>
      </c>
      <c r="M543" s="3432"/>
      <c r="N543" s="3432"/>
      <c r="O543" s="3432"/>
      <c r="P543" s="3432"/>
      <c r="Q543" s="3432"/>
      <c r="R543" s="3432"/>
      <c r="S543" s="3432"/>
      <c r="T543" s="3432"/>
      <c r="U543" s="3432"/>
      <c r="V543" s="3432"/>
      <c r="W543" s="3432"/>
      <c r="X543" s="3467">
        <v>146318.076080075</v>
      </c>
      <c r="Y543" s="3432"/>
      <c r="Z543" s="3432"/>
      <c r="AA543" s="3432"/>
      <c r="AB543" s="3432"/>
      <c r="AC543" s="3432"/>
      <c r="AD543" s="3432"/>
      <c r="AE543" s="3432"/>
      <c r="AF543" s="3432"/>
      <c r="AG543" s="3432"/>
      <c r="AH543" s="3432"/>
      <c r="AI543" s="3432"/>
      <c r="AJ543" s="3432"/>
      <c r="AK543" s="3432"/>
      <c r="AL543" s="3432"/>
      <c r="AM543" s="3432"/>
      <c r="AN543" s="3497"/>
      <c r="AO543" s="3426"/>
    </row>
    <row r="544" spans="1:41">
      <c r="A544" s="3456" t="s">
        <v>430</v>
      </c>
      <c r="B544" s="3487" t="s">
        <v>57</v>
      </c>
      <c r="C544" s="3432"/>
      <c r="D544" s="3451">
        <v>0.85601139513630198</v>
      </c>
      <c r="E544" s="3432"/>
      <c r="F544" s="3432"/>
      <c r="G544" s="3432"/>
      <c r="H544" s="3432"/>
      <c r="I544" s="3432"/>
      <c r="J544" s="3411">
        <v>4.5</v>
      </c>
      <c r="K544" s="3432"/>
      <c r="L544" s="3455">
        <v>73.108100140461104</v>
      </c>
      <c r="M544" s="3432"/>
      <c r="N544" s="3432"/>
      <c r="O544" s="3432"/>
      <c r="P544" s="3432"/>
      <c r="Q544" s="3432"/>
      <c r="R544" s="3432"/>
      <c r="S544" s="3432"/>
      <c r="T544" s="3432"/>
      <c r="U544" s="3432"/>
      <c r="V544" s="3432"/>
      <c r="W544" s="3432"/>
      <c r="X544" s="3455">
        <v>73.964087620012194</v>
      </c>
      <c r="Y544" s="3432"/>
      <c r="Z544" s="3432"/>
      <c r="AA544" s="3432"/>
      <c r="AB544" s="3432"/>
      <c r="AC544" s="3432"/>
      <c r="AD544" s="3432"/>
      <c r="AE544" s="3432"/>
      <c r="AF544" s="3432"/>
      <c r="AG544" s="3432"/>
      <c r="AH544" s="3432"/>
      <c r="AI544" s="3432"/>
      <c r="AJ544" s="3432"/>
      <c r="AK544" s="3432"/>
      <c r="AL544" s="3432"/>
      <c r="AM544" s="3432"/>
      <c r="AN544" s="3497"/>
      <c r="AO544" s="3426"/>
    </row>
    <row r="545" spans="1:41">
      <c r="A545" s="3456" t="s">
        <v>431</v>
      </c>
      <c r="B545" s="3487" t="s">
        <v>432</v>
      </c>
      <c r="C545" s="3432"/>
      <c r="D545" s="3453">
        <v>3.3859310684924799</v>
      </c>
      <c r="E545" s="3432"/>
      <c r="F545" s="3432"/>
      <c r="G545" s="3432"/>
      <c r="H545" s="3432"/>
      <c r="I545" s="3432"/>
      <c r="J545" s="3412">
        <v>88.569819728985607</v>
      </c>
      <c r="K545" s="3432"/>
      <c r="L545" s="3471">
        <v>289.13938790479699</v>
      </c>
      <c r="M545" s="3432"/>
      <c r="N545" s="3432"/>
      <c r="O545" s="3432"/>
      <c r="P545" s="3432"/>
      <c r="Q545" s="3432"/>
      <c r="R545" s="3432"/>
      <c r="S545" s="3432"/>
      <c r="T545" s="3432"/>
      <c r="U545" s="3432"/>
      <c r="V545" s="3432"/>
      <c r="W545" s="3432"/>
      <c r="X545" s="3471">
        <v>292.52492324568902</v>
      </c>
      <c r="Y545" s="3432"/>
      <c r="Z545" s="3432"/>
      <c r="AA545" s="3432"/>
      <c r="AB545" s="3432"/>
      <c r="AC545" s="3432"/>
      <c r="AD545" s="3432"/>
      <c r="AE545" s="3432"/>
      <c r="AF545" s="3432"/>
      <c r="AG545" s="3432"/>
      <c r="AH545" s="3432"/>
      <c r="AI545" s="3432"/>
      <c r="AJ545" s="3432"/>
      <c r="AK545" s="3432"/>
      <c r="AL545" s="3432"/>
      <c r="AM545" s="3432"/>
      <c r="AN545" s="3497"/>
      <c r="AO545" s="3426"/>
    </row>
    <row r="546" spans="1:41">
      <c r="A546" s="3456" t="s">
        <v>731</v>
      </c>
      <c r="B546" s="3487" t="s">
        <v>434</v>
      </c>
      <c r="C546" s="3432"/>
      <c r="D546" s="3451">
        <v>0.22449961265697899</v>
      </c>
      <c r="E546" s="3432"/>
      <c r="F546" s="3432"/>
      <c r="G546" s="3432"/>
      <c r="H546" s="3432"/>
      <c r="I546" s="3432"/>
      <c r="J546" s="3424">
        <v>2377.3161799999998</v>
      </c>
      <c r="K546" s="3432"/>
      <c r="L546" s="3451">
        <v>0.12148219117605299</v>
      </c>
      <c r="M546" s="3432"/>
      <c r="N546" s="3432"/>
      <c r="O546" s="3432"/>
      <c r="P546" s="3432"/>
      <c r="Q546" s="3432"/>
      <c r="R546" s="3432"/>
      <c r="S546" s="3432"/>
      <c r="T546" s="3432"/>
      <c r="U546" s="3432"/>
      <c r="V546" s="3432"/>
      <c r="W546" s="3432"/>
      <c r="X546" s="3451">
        <v>0.121942479326451</v>
      </c>
      <c r="Y546" s="3432"/>
      <c r="Z546" s="3432"/>
      <c r="AA546" s="3432"/>
      <c r="AB546" s="3432"/>
      <c r="AC546" s="3432"/>
      <c r="AD546" s="3432"/>
      <c r="AE546" s="3432"/>
      <c r="AF546" s="3432"/>
      <c r="AG546" s="3432"/>
      <c r="AH546" s="3432"/>
      <c r="AI546" s="3432"/>
      <c r="AJ546" s="3432"/>
      <c r="AK546" s="3432"/>
      <c r="AL546" s="3432"/>
      <c r="AM546" s="3432"/>
      <c r="AN546" s="3497"/>
      <c r="AO546" s="3426"/>
    </row>
    <row r="547" spans="1:41" ht="13" thickBot="1">
      <c r="A547" s="3474" t="s">
        <v>433</v>
      </c>
      <c r="B547" s="3490" t="s">
        <v>434</v>
      </c>
      <c r="C547" s="3494"/>
      <c r="D547" s="3478">
        <v>50.545349493083201</v>
      </c>
      <c r="E547" s="3494"/>
      <c r="F547" s="3494"/>
      <c r="G547" s="3494"/>
      <c r="H547" s="3494"/>
      <c r="I547" s="3494"/>
      <c r="J547" s="3425">
        <v>2582.3917329999999</v>
      </c>
      <c r="K547" s="3494"/>
      <c r="L547" s="3478">
        <v>50.437272056026799</v>
      </c>
      <c r="M547" s="3494"/>
      <c r="N547" s="3494"/>
      <c r="O547" s="3494"/>
      <c r="P547" s="3494"/>
      <c r="Q547" s="3494"/>
      <c r="R547" s="3494"/>
      <c r="S547" s="3494"/>
      <c r="T547" s="3494"/>
      <c r="U547" s="3494"/>
      <c r="V547" s="3494"/>
      <c r="W547" s="3494"/>
      <c r="X547" s="3478">
        <v>50.437750040510998</v>
      </c>
      <c r="Y547" s="3494"/>
      <c r="Z547" s="3494"/>
      <c r="AA547" s="3494"/>
      <c r="AB547" s="3494"/>
      <c r="AC547" s="3494"/>
      <c r="AD547" s="3494"/>
      <c r="AE547" s="3494"/>
      <c r="AF547" s="3494"/>
      <c r="AG547" s="3494"/>
      <c r="AH547" s="3494"/>
      <c r="AI547" s="3494"/>
      <c r="AJ547" s="3494"/>
      <c r="AK547" s="3494"/>
      <c r="AL547" s="3494"/>
      <c r="AM547" s="3494"/>
      <c r="AN547" s="3498"/>
      <c r="AO547" s="3426"/>
    </row>
    <row r="548" spans="1:41" ht="13" thickTop="1">
      <c r="A548" s="3426"/>
      <c r="B548" s="3426"/>
      <c r="C548" s="3426"/>
      <c r="D548" s="3426"/>
      <c r="E548" s="3426"/>
      <c r="F548" s="3426"/>
      <c r="G548" s="3426"/>
      <c r="H548" s="3426"/>
      <c r="I548" s="3426"/>
      <c r="J548" s="3426"/>
      <c r="K548" s="3426"/>
      <c r="L548" s="3426"/>
      <c r="M548" s="3426"/>
      <c r="N548" s="3426"/>
      <c r="O548" s="3426"/>
      <c r="P548" s="3426"/>
      <c r="Q548" s="3426"/>
      <c r="R548" s="3426"/>
      <c r="S548" s="3426"/>
      <c r="T548" s="3426"/>
      <c r="U548" s="3426"/>
      <c r="V548" s="3426"/>
      <c r="W548" s="3426"/>
      <c r="X548" s="3426"/>
      <c r="Y548" s="3426"/>
      <c r="Z548" s="3426"/>
      <c r="AA548" s="3426"/>
      <c r="AB548" s="3426"/>
      <c r="AC548" s="3426"/>
      <c r="AD548" s="3426"/>
      <c r="AE548" s="3426"/>
      <c r="AF548" s="3426"/>
      <c r="AG548" s="3426"/>
      <c r="AH548" s="3426"/>
      <c r="AI548" s="3426"/>
      <c r="AJ548" s="3426"/>
      <c r="AK548" s="3426"/>
      <c r="AL548" s="3426"/>
      <c r="AM548" s="3426"/>
      <c r="AN548" s="3426"/>
      <c r="AO548" s="3426"/>
    </row>
    <row r="549" spans="1:41" ht="13" thickBot="1">
      <c r="A549" s="3426"/>
      <c r="B549" s="3426"/>
      <c r="C549" s="3426"/>
      <c r="D549" s="3426"/>
      <c r="E549" s="3426"/>
      <c r="F549" s="3426"/>
      <c r="G549" s="3426"/>
      <c r="H549" s="3426"/>
      <c r="I549" s="3426"/>
      <c r="K549" s="3426"/>
      <c r="L549" s="3426"/>
      <c r="M549" s="3426"/>
      <c r="N549" s="3426"/>
      <c r="O549" s="3426"/>
      <c r="P549" s="3426"/>
      <c r="Q549" s="3426"/>
      <c r="R549" s="3426"/>
      <c r="S549" s="3426"/>
      <c r="T549" s="3426"/>
      <c r="U549" s="3426"/>
      <c r="V549" s="3426"/>
      <c r="W549" s="3426"/>
      <c r="X549" s="3426"/>
      <c r="Y549" s="3426"/>
      <c r="Z549" s="3426"/>
      <c r="AA549" s="3426"/>
      <c r="AB549" s="3426"/>
      <c r="AC549" s="3426"/>
      <c r="AD549" s="3426"/>
      <c r="AE549" s="3426"/>
      <c r="AF549" s="3426"/>
      <c r="AG549" s="3426"/>
      <c r="AH549" s="3426"/>
      <c r="AI549" s="3426"/>
      <c r="AJ549" s="3426"/>
      <c r="AK549" s="3426"/>
      <c r="AL549" s="3426"/>
      <c r="AM549" s="3426"/>
      <c r="AN549" s="3426"/>
      <c r="AO549" s="3426"/>
    </row>
    <row r="550" spans="1:41" ht="14" thickTop="1" thickBot="1">
      <c r="A550" s="3434" t="s">
        <v>389</v>
      </c>
      <c r="B550" s="3435"/>
      <c r="C550" s="3436" t="s">
        <v>821</v>
      </c>
      <c r="D550" s="3436" t="s">
        <v>822</v>
      </c>
      <c r="E550" s="3436" t="s">
        <v>741</v>
      </c>
      <c r="F550" s="3436" t="s">
        <v>823</v>
      </c>
      <c r="G550" s="3436" t="s">
        <v>1304</v>
      </c>
      <c r="H550" s="3436" t="s">
        <v>737</v>
      </c>
      <c r="I550" s="3436" t="s">
        <v>742</v>
      </c>
      <c r="K550" s="3436" t="s">
        <v>824</v>
      </c>
      <c r="L550" s="3436" t="s">
        <v>825</v>
      </c>
      <c r="M550" s="3436" t="s">
        <v>743</v>
      </c>
      <c r="N550" s="3436" t="s">
        <v>827</v>
      </c>
      <c r="O550" s="3436" t="s">
        <v>390</v>
      </c>
      <c r="P550" s="3436" t="s">
        <v>391</v>
      </c>
      <c r="Q550" s="3436" t="s">
        <v>392</v>
      </c>
      <c r="R550" s="3436" t="s">
        <v>393</v>
      </c>
      <c r="S550" s="3436" t="s">
        <v>394</v>
      </c>
      <c r="T550" s="3436" t="s">
        <v>395</v>
      </c>
      <c r="U550" s="3436" t="s">
        <v>396</v>
      </c>
      <c r="V550" s="3436" t="s">
        <v>397</v>
      </c>
      <c r="W550" s="3436" t="s">
        <v>398</v>
      </c>
      <c r="X550" s="3436" t="s">
        <v>399</v>
      </c>
      <c r="Y550" s="3436" t="s">
        <v>400</v>
      </c>
      <c r="Z550" s="3436" t="s">
        <v>401</v>
      </c>
      <c r="AA550" s="3436" t="s">
        <v>402</v>
      </c>
      <c r="AB550" s="3436" t="s">
        <v>403</v>
      </c>
      <c r="AC550" s="3436" t="s">
        <v>404</v>
      </c>
      <c r="AD550" s="3436" t="s">
        <v>405</v>
      </c>
      <c r="AE550" s="3436" t="s">
        <v>406</v>
      </c>
      <c r="AF550" s="3436" t="s">
        <v>407</v>
      </c>
      <c r="AG550" s="3436" t="s">
        <v>408</v>
      </c>
      <c r="AH550" s="3436" t="s">
        <v>409</v>
      </c>
      <c r="AI550" s="3436" t="s">
        <v>410</v>
      </c>
      <c r="AJ550" s="3436" t="s">
        <v>411</v>
      </c>
      <c r="AK550" s="3436" t="s">
        <v>412</v>
      </c>
      <c r="AL550" s="3436" t="s">
        <v>439</v>
      </c>
      <c r="AM550" s="3436" t="s">
        <v>440</v>
      </c>
      <c r="AN550" s="3437" t="s">
        <v>828</v>
      </c>
      <c r="AO550" s="3426"/>
    </row>
    <row r="551" spans="1:41" ht="13">
      <c r="A551" s="3438" t="s">
        <v>96</v>
      </c>
      <c r="B551" s="3427" t="s">
        <v>413</v>
      </c>
      <c r="C551" s="3428" t="s">
        <v>414</v>
      </c>
      <c r="D551" s="3428" t="s">
        <v>414</v>
      </c>
      <c r="E551" s="3428" t="s">
        <v>414</v>
      </c>
      <c r="F551" s="3428" t="s">
        <v>414</v>
      </c>
      <c r="G551" s="3428" t="s">
        <v>414</v>
      </c>
      <c r="H551" s="3428" t="s">
        <v>414</v>
      </c>
      <c r="I551" s="3428" t="s">
        <v>414</v>
      </c>
      <c r="K551" s="3428" t="s">
        <v>414</v>
      </c>
      <c r="L551" s="3428" t="s">
        <v>414</v>
      </c>
      <c r="M551" s="3428" t="s">
        <v>414</v>
      </c>
      <c r="N551" s="3428" t="s">
        <v>414</v>
      </c>
      <c r="O551" s="3428" t="s">
        <v>414</v>
      </c>
      <c r="P551" s="3428" t="s">
        <v>414</v>
      </c>
      <c r="Q551" s="3428" t="s">
        <v>414</v>
      </c>
      <c r="R551" s="3428" t="s">
        <v>414</v>
      </c>
      <c r="S551" s="3428" t="s">
        <v>414</v>
      </c>
      <c r="T551" s="3428" t="s">
        <v>414</v>
      </c>
      <c r="U551" s="3428" t="s">
        <v>414</v>
      </c>
      <c r="V551" s="3428" t="s">
        <v>414</v>
      </c>
      <c r="W551" s="3428" t="s">
        <v>414</v>
      </c>
      <c r="X551" s="3428" t="s">
        <v>414</v>
      </c>
      <c r="Y551" s="3428" t="s">
        <v>414</v>
      </c>
      <c r="Z551" s="3428" t="s">
        <v>414</v>
      </c>
      <c r="AA551" s="3428" t="s">
        <v>414</v>
      </c>
      <c r="AB551" s="3428" t="s">
        <v>414</v>
      </c>
      <c r="AC551" s="3428" t="s">
        <v>414</v>
      </c>
      <c r="AD551" s="3428" t="s">
        <v>414</v>
      </c>
      <c r="AE551" s="3428" t="s">
        <v>414</v>
      </c>
      <c r="AF551" s="3428" t="s">
        <v>414</v>
      </c>
      <c r="AG551" s="3428" t="s">
        <v>414</v>
      </c>
      <c r="AH551" s="3428" t="s">
        <v>414</v>
      </c>
      <c r="AI551" s="3428" t="s">
        <v>414</v>
      </c>
      <c r="AJ551" s="3428" t="s">
        <v>414</v>
      </c>
      <c r="AK551" s="3428" t="s">
        <v>414</v>
      </c>
      <c r="AL551" s="3428" t="s">
        <v>414</v>
      </c>
      <c r="AM551" s="3428" t="s">
        <v>414</v>
      </c>
      <c r="AN551" s="3439" t="s">
        <v>414</v>
      </c>
      <c r="AO551" s="3426"/>
    </row>
    <row r="552" spans="1:41" ht="13">
      <c r="A552" s="3440" t="s">
        <v>438</v>
      </c>
      <c r="B552" s="3429" t="s">
        <v>416</v>
      </c>
      <c r="C552" s="3429" t="s">
        <v>445</v>
      </c>
      <c r="D552" s="3429" t="s">
        <v>445</v>
      </c>
      <c r="E552" s="3429" t="s">
        <v>445</v>
      </c>
      <c r="F552" s="3429" t="s">
        <v>445</v>
      </c>
      <c r="G552" s="3429" t="s">
        <v>445</v>
      </c>
      <c r="H552" s="3429" t="s">
        <v>445</v>
      </c>
      <c r="I552" s="3429" t="s">
        <v>445</v>
      </c>
      <c r="K552" s="3429" t="s">
        <v>829</v>
      </c>
      <c r="L552" s="3429" t="s">
        <v>445</v>
      </c>
      <c r="M552" s="3429" t="s">
        <v>445</v>
      </c>
      <c r="N552" s="3429" t="s">
        <v>445</v>
      </c>
      <c r="O552" s="3429" t="s">
        <v>445</v>
      </c>
      <c r="P552" s="3429" t="s">
        <v>829</v>
      </c>
      <c r="Q552" s="3429" t="s">
        <v>830</v>
      </c>
      <c r="R552" s="3429" t="s">
        <v>830</v>
      </c>
      <c r="S552" s="3429" t="s">
        <v>445</v>
      </c>
      <c r="T552" s="3429" t="s">
        <v>631</v>
      </c>
      <c r="U552" s="3429" t="s">
        <v>631</v>
      </c>
      <c r="V552" s="3429" t="s">
        <v>831</v>
      </c>
      <c r="W552" s="3429" t="s">
        <v>831</v>
      </c>
      <c r="X552" s="3429" t="s">
        <v>418</v>
      </c>
      <c r="Y552" s="3429" t="s">
        <v>419</v>
      </c>
      <c r="Z552" s="3429" t="s">
        <v>445</v>
      </c>
      <c r="AA552" s="3429" t="s">
        <v>445</v>
      </c>
      <c r="AB552" s="3429" t="s">
        <v>447</v>
      </c>
      <c r="AC552" s="3429" t="s">
        <v>445</v>
      </c>
      <c r="AD552" s="3429" t="s">
        <v>445</v>
      </c>
      <c r="AE552" s="3429" t="s">
        <v>448</v>
      </c>
      <c r="AF552" s="3429" t="s">
        <v>896</v>
      </c>
      <c r="AG552" s="3429" t="s">
        <v>896</v>
      </c>
      <c r="AH552" s="3429" t="s">
        <v>445</v>
      </c>
      <c r="AI552" s="3429" t="s">
        <v>445</v>
      </c>
      <c r="AJ552" s="3429" t="s">
        <v>449</v>
      </c>
      <c r="AK552" s="3429" t="s">
        <v>896</v>
      </c>
      <c r="AL552" s="3429" t="s">
        <v>450</v>
      </c>
      <c r="AM552" s="3429" t="s">
        <v>826</v>
      </c>
      <c r="AN552" s="3441" t="s">
        <v>445</v>
      </c>
      <c r="AO552" s="3426"/>
    </row>
    <row r="553" spans="1:41">
      <c r="A553" s="3442"/>
      <c r="B553" s="3429" t="s">
        <v>421</v>
      </c>
      <c r="C553" s="3430" t="s">
        <v>450</v>
      </c>
      <c r="D553" s="3430" t="s">
        <v>418</v>
      </c>
      <c r="E553" s="3430" t="s">
        <v>445</v>
      </c>
      <c r="F553" s="3430" t="s">
        <v>829</v>
      </c>
      <c r="G553" s="3430" t="s">
        <v>445</v>
      </c>
      <c r="H553" s="3430" t="s">
        <v>445</v>
      </c>
      <c r="I553" s="3430" t="s">
        <v>445</v>
      </c>
      <c r="K553" s="3430" t="s">
        <v>445</v>
      </c>
      <c r="L553" s="3430" t="s">
        <v>418</v>
      </c>
      <c r="M553" s="3430" t="s">
        <v>445</v>
      </c>
      <c r="N553" s="3430" t="s">
        <v>445</v>
      </c>
      <c r="O553" s="3430" t="s">
        <v>419</v>
      </c>
      <c r="P553" s="3430" t="s">
        <v>445</v>
      </c>
      <c r="Q553" s="3430" t="s">
        <v>445</v>
      </c>
      <c r="R553" s="3430" t="s">
        <v>445</v>
      </c>
      <c r="S553" s="3430" t="s">
        <v>419</v>
      </c>
      <c r="T553" s="3430" t="s">
        <v>445</v>
      </c>
      <c r="U553" s="3430" t="s">
        <v>445</v>
      </c>
      <c r="V553" s="3430" t="s">
        <v>445</v>
      </c>
      <c r="W553" s="3430" t="s">
        <v>445</v>
      </c>
      <c r="X553" s="3430" t="s">
        <v>896</v>
      </c>
      <c r="Y553" s="3430" t="s">
        <v>445</v>
      </c>
      <c r="Z553" s="3430" t="s">
        <v>447</v>
      </c>
      <c r="AA553" s="3430" t="s">
        <v>447</v>
      </c>
      <c r="AB553" s="3430" t="s">
        <v>445</v>
      </c>
      <c r="AC553" s="3430" t="s">
        <v>448</v>
      </c>
      <c r="AD553" s="3430" t="s">
        <v>448</v>
      </c>
      <c r="AE553" s="3430" t="s">
        <v>445</v>
      </c>
      <c r="AF553" s="3430" t="s">
        <v>831</v>
      </c>
      <c r="AG553" s="3430" t="s">
        <v>445</v>
      </c>
      <c r="AH553" s="3430" t="s">
        <v>449</v>
      </c>
      <c r="AI553" s="3430" t="s">
        <v>449</v>
      </c>
      <c r="AJ553" s="3430" t="s">
        <v>445</v>
      </c>
      <c r="AK553" s="3430" t="s">
        <v>450</v>
      </c>
      <c r="AL553" s="3430" t="s">
        <v>631</v>
      </c>
      <c r="AM553" s="3430" t="s">
        <v>830</v>
      </c>
      <c r="AN553" s="3443" t="s">
        <v>445</v>
      </c>
      <c r="AO553" s="3426"/>
    </row>
    <row r="554" spans="1:41" ht="13" thickBot="1">
      <c r="A554" s="5055" t="s">
        <v>49</v>
      </c>
      <c r="B554" s="5056"/>
      <c r="C554" s="3433" t="s">
        <v>296</v>
      </c>
      <c r="D554" s="3433" t="s">
        <v>296</v>
      </c>
      <c r="E554" s="3433" t="s">
        <v>296</v>
      </c>
      <c r="F554" s="3433" t="s">
        <v>296</v>
      </c>
      <c r="G554" s="3433" t="s">
        <v>296</v>
      </c>
      <c r="H554" s="3433" t="s">
        <v>296</v>
      </c>
      <c r="I554" s="3433" t="s">
        <v>296</v>
      </c>
      <c r="K554" s="3433" t="s">
        <v>296</v>
      </c>
      <c r="L554" s="3433" t="s">
        <v>296</v>
      </c>
      <c r="M554" s="3433" t="s">
        <v>296</v>
      </c>
      <c r="N554" s="3433" t="s">
        <v>296</v>
      </c>
      <c r="O554" s="3433" t="s">
        <v>296</v>
      </c>
      <c r="P554" s="3433" t="s">
        <v>296</v>
      </c>
      <c r="Q554" s="3433" t="s">
        <v>296</v>
      </c>
      <c r="R554" s="3433" t="s">
        <v>296</v>
      </c>
      <c r="S554" s="3433" t="s">
        <v>296</v>
      </c>
      <c r="T554" s="3433" t="s">
        <v>296</v>
      </c>
      <c r="U554" s="3433" t="s">
        <v>296</v>
      </c>
      <c r="V554" s="3433" t="s">
        <v>296</v>
      </c>
      <c r="W554" s="3433" t="s">
        <v>296</v>
      </c>
      <c r="X554" s="3433" t="s">
        <v>296</v>
      </c>
      <c r="Y554" s="3433" t="s">
        <v>296</v>
      </c>
      <c r="Z554" s="3433" t="s">
        <v>296</v>
      </c>
      <c r="AA554" s="3433" t="s">
        <v>296</v>
      </c>
      <c r="AB554" s="3433" t="s">
        <v>296</v>
      </c>
      <c r="AC554" s="3433" t="s">
        <v>296</v>
      </c>
      <c r="AD554" s="3433" t="s">
        <v>296</v>
      </c>
      <c r="AE554" s="3433" t="s">
        <v>296</v>
      </c>
      <c r="AF554" s="3433" t="s">
        <v>296</v>
      </c>
      <c r="AG554" s="3433" t="s">
        <v>296</v>
      </c>
      <c r="AH554" s="3433" t="s">
        <v>296</v>
      </c>
      <c r="AI554" s="3433" t="s">
        <v>296</v>
      </c>
      <c r="AJ554" s="3433" t="s">
        <v>296</v>
      </c>
      <c r="AK554" s="3433" t="s">
        <v>296</v>
      </c>
      <c r="AL554" s="3433" t="s">
        <v>296</v>
      </c>
      <c r="AM554" s="3433" t="s">
        <v>296</v>
      </c>
      <c r="AN554" s="3444" t="s">
        <v>296</v>
      </c>
      <c r="AO554" s="3426"/>
    </row>
    <row r="555" spans="1:41" ht="13" thickTop="1">
      <c r="A555" s="5051" t="s">
        <v>298</v>
      </c>
      <c r="B555" s="5052"/>
      <c r="C555" s="3432"/>
      <c r="D555" s="3447">
        <v>99.5</v>
      </c>
      <c r="E555" s="3432"/>
      <c r="F555" s="3432"/>
      <c r="G555" s="3432"/>
      <c r="H555" s="3432"/>
      <c r="I555" s="3432"/>
      <c r="K555" s="3432"/>
      <c r="L555" s="3455">
        <v>98.009800980098007</v>
      </c>
      <c r="M555" s="3432"/>
      <c r="N555" s="3432"/>
      <c r="O555" s="3432"/>
      <c r="P555" s="3432"/>
      <c r="Q555" s="3432"/>
      <c r="R555" s="3432"/>
      <c r="S555" s="3432"/>
      <c r="T555" s="3432"/>
      <c r="U555" s="3432"/>
      <c r="V555" s="3432"/>
      <c r="W555" s="3432"/>
      <c r="X555" s="3455">
        <v>98.026791584076506</v>
      </c>
      <c r="Y555" s="3432"/>
      <c r="Z555" s="3432"/>
      <c r="AA555" s="3432"/>
      <c r="AB555" s="3432"/>
      <c r="AC555" s="3432"/>
      <c r="AD555" s="3432"/>
      <c r="AE555" s="3432"/>
      <c r="AF555" s="3432"/>
      <c r="AG555" s="3432"/>
      <c r="AH555" s="3432"/>
      <c r="AI555" s="3432"/>
      <c r="AJ555" s="3432"/>
      <c r="AK555" s="3432"/>
      <c r="AL555" s="3432"/>
      <c r="AM555" s="3432"/>
      <c r="AN555" s="3497"/>
      <c r="AO555" s="3426"/>
    </row>
    <row r="556" spans="1:41">
      <c r="A556" s="5047" t="s">
        <v>5</v>
      </c>
      <c r="B556" s="5048"/>
      <c r="C556" s="3432"/>
      <c r="D556" s="3447">
        <v>0</v>
      </c>
      <c r="E556" s="3432"/>
      <c r="F556" s="3432"/>
      <c r="G556" s="3432"/>
      <c r="H556" s="3432"/>
      <c r="I556" s="3432"/>
      <c r="K556" s="3432"/>
      <c r="L556" s="3447">
        <v>0</v>
      </c>
      <c r="M556" s="3432"/>
      <c r="N556" s="3432"/>
      <c r="O556" s="3432"/>
      <c r="P556" s="3432"/>
      <c r="Q556" s="3432"/>
      <c r="R556" s="3432"/>
      <c r="S556" s="3432"/>
      <c r="T556" s="3432"/>
      <c r="U556" s="3432"/>
      <c r="V556" s="3432"/>
      <c r="W556" s="3432"/>
      <c r="X556" s="3447">
        <v>0</v>
      </c>
      <c r="Y556" s="3432"/>
      <c r="Z556" s="3432"/>
      <c r="AA556" s="3432"/>
      <c r="AB556" s="3432"/>
      <c r="AC556" s="3432"/>
      <c r="AD556" s="3432"/>
      <c r="AE556" s="3432"/>
      <c r="AF556" s="3432"/>
      <c r="AG556" s="3432"/>
      <c r="AH556" s="3432"/>
      <c r="AI556" s="3432"/>
      <c r="AJ556" s="3432"/>
      <c r="AK556" s="3432"/>
      <c r="AL556" s="3432"/>
      <c r="AM556" s="3432"/>
      <c r="AN556" s="3497"/>
      <c r="AO556" s="3426"/>
    </row>
    <row r="557" spans="1:41">
      <c r="A557" s="5047" t="s">
        <v>832</v>
      </c>
      <c r="B557" s="5048"/>
      <c r="C557" s="3432"/>
      <c r="D557" s="3447">
        <v>0</v>
      </c>
      <c r="E557" s="3432"/>
      <c r="F557" s="3432"/>
      <c r="G557" s="3432"/>
      <c r="H557" s="3432"/>
      <c r="I557" s="3432"/>
      <c r="K557" s="3432"/>
      <c r="L557" s="3447">
        <v>0</v>
      </c>
      <c r="M557" s="3432"/>
      <c r="N557" s="3432"/>
      <c r="O557" s="3432"/>
      <c r="P557" s="3432"/>
      <c r="Q557" s="3432"/>
      <c r="R557" s="3432"/>
      <c r="S557" s="3432"/>
      <c r="T557" s="3432"/>
      <c r="U557" s="3432"/>
      <c r="V557" s="3432"/>
      <c r="W557" s="3432"/>
      <c r="X557" s="3447">
        <v>0</v>
      </c>
      <c r="Y557" s="3432"/>
      <c r="Z557" s="3432"/>
      <c r="AA557" s="3432"/>
      <c r="AB557" s="3432"/>
      <c r="AC557" s="3432"/>
      <c r="AD557" s="3432"/>
      <c r="AE557" s="3432"/>
      <c r="AF557" s="3432"/>
      <c r="AG557" s="3432"/>
      <c r="AH557" s="3432"/>
      <c r="AI557" s="3432"/>
      <c r="AJ557" s="3432"/>
      <c r="AK557" s="3432"/>
      <c r="AL557" s="3432"/>
      <c r="AM557" s="3432"/>
      <c r="AN557" s="3497"/>
      <c r="AO557" s="3426"/>
    </row>
    <row r="558" spans="1:41">
      <c r="A558" s="5047" t="s">
        <v>3</v>
      </c>
      <c r="B558" s="5048"/>
      <c r="C558" s="3432"/>
      <c r="D558" s="3447">
        <v>0</v>
      </c>
      <c r="E558" s="3432"/>
      <c r="F558" s="3432"/>
      <c r="G558" s="3432"/>
      <c r="H558" s="3432"/>
      <c r="I558" s="3432"/>
      <c r="K558" s="3432"/>
      <c r="L558" s="3447">
        <v>0</v>
      </c>
      <c r="M558" s="3432"/>
      <c r="N558" s="3432"/>
      <c r="O558" s="3432"/>
      <c r="P558" s="3432"/>
      <c r="Q558" s="3432"/>
      <c r="R558" s="3432"/>
      <c r="S558" s="3432"/>
      <c r="T558" s="3432"/>
      <c r="U558" s="3432"/>
      <c r="V558" s="3432"/>
      <c r="W558" s="3432"/>
      <c r="X558" s="3447">
        <v>0</v>
      </c>
      <c r="Y558" s="3432"/>
      <c r="Z558" s="3432"/>
      <c r="AA558" s="3432"/>
      <c r="AB558" s="3432"/>
      <c r="AC558" s="3432"/>
      <c r="AD558" s="3432"/>
      <c r="AE558" s="3432"/>
      <c r="AF558" s="3432"/>
      <c r="AG558" s="3432"/>
      <c r="AH558" s="3432"/>
      <c r="AI558" s="3432"/>
      <c r="AJ558" s="3432"/>
      <c r="AK558" s="3432"/>
      <c r="AL558" s="3432"/>
      <c r="AM558" s="3432"/>
      <c r="AN558" s="3497"/>
      <c r="AO558" s="3426"/>
    </row>
    <row r="559" spans="1:41">
      <c r="A559" s="5047" t="s">
        <v>6</v>
      </c>
      <c r="B559" s="5048"/>
      <c r="C559" s="3432"/>
      <c r="D559" s="3447">
        <v>0</v>
      </c>
      <c r="E559" s="3432"/>
      <c r="F559" s="3432"/>
      <c r="G559" s="3432"/>
      <c r="H559" s="3432"/>
      <c r="I559" s="3432"/>
      <c r="K559" s="3432"/>
      <c r="L559" s="3447">
        <v>0</v>
      </c>
      <c r="M559" s="3432"/>
      <c r="N559" s="3432"/>
      <c r="O559" s="3432"/>
      <c r="P559" s="3432"/>
      <c r="Q559" s="3432"/>
      <c r="R559" s="3432"/>
      <c r="S559" s="3432"/>
      <c r="T559" s="3432"/>
      <c r="U559" s="3432"/>
      <c r="V559" s="3432"/>
      <c r="W559" s="3432"/>
      <c r="X559" s="3447">
        <v>0</v>
      </c>
      <c r="Y559" s="3432"/>
      <c r="Z559" s="3432"/>
      <c r="AA559" s="3432"/>
      <c r="AB559" s="3432"/>
      <c r="AC559" s="3432"/>
      <c r="AD559" s="3432"/>
      <c r="AE559" s="3432"/>
      <c r="AF559" s="3432"/>
      <c r="AG559" s="3432"/>
      <c r="AH559" s="3432"/>
      <c r="AI559" s="3432"/>
      <c r="AJ559" s="3432"/>
      <c r="AK559" s="3432"/>
      <c r="AL559" s="3432"/>
      <c r="AM559" s="3432"/>
      <c r="AN559" s="3497"/>
      <c r="AO559" s="3426"/>
    </row>
    <row r="560" spans="1:41">
      <c r="A560" s="5047" t="s">
        <v>7</v>
      </c>
      <c r="B560" s="5048"/>
      <c r="C560" s="3432"/>
      <c r="D560" s="3447">
        <v>3.00000000000002E-3</v>
      </c>
      <c r="E560" s="3432"/>
      <c r="F560" s="3432"/>
      <c r="G560" s="3432"/>
      <c r="H560" s="3432"/>
      <c r="I560" s="3432"/>
      <c r="K560" s="3432"/>
      <c r="L560" s="3454">
        <v>2.000200020002E-2</v>
      </c>
      <c r="M560" s="3432"/>
      <c r="N560" s="3432"/>
      <c r="O560" s="3432"/>
      <c r="P560" s="3432"/>
      <c r="Q560" s="3432"/>
      <c r="R560" s="3432"/>
      <c r="S560" s="3432"/>
      <c r="T560" s="3432"/>
      <c r="U560" s="3432"/>
      <c r="V560" s="3432"/>
      <c r="W560" s="3432"/>
      <c r="X560" s="3454">
        <v>1.98081507554938E-2</v>
      </c>
      <c r="Y560" s="3432"/>
      <c r="Z560" s="3432"/>
      <c r="AA560" s="3432"/>
      <c r="AB560" s="3432"/>
      <c r="AC560" s="3432"/>
      <c r="AD560" s="3432"/>
      <c r="AE560" s="3432"/>
      <c r="AF560" s="3432"/>
      <c r="AG560" s="3432"/>
      <c r="AH560" s="3432"/>
      <c r="AI560" s="3432"/>
      <c r="AJ560" s="3432"/>
      <c r="AK560" s="3432"/>
      <c r="AL560" s="3432"/>
      <c r="AM560" s="3432"/>
      <c r="AN560" s="3497"/>
      <c r="AO560" s="3426"/>
    </row>
    <row r="561" spans="1:41">
      <c r="A561" s="5047" t="s">
        <v>8</v>
      </c>
      <c r="B561" s="5048"/>
      <c r="C561" s="3432"/>
      <c r="D561" s="3447">
        <v>5.9000000000000399E-2</v>
      </c>
      <c r="E561" s="3432"/>
      <c r="F561" s="3432"/>
      <c r="G561" s="3432"/>
      <c r="H561" s="3432"/>
      <c r="I561" s="3432"/>
      <c r="K561" s="3432"/>
      <c r="L561" s="3454">
        <v>8.0008000800079998E-2</v>
      </c>
      <c r="M561" s="3432"/>
      <c r="N561" s="3432"/>
      <c r="O561" s="3432"/>
      <c r="P561" s="3432"/>
      <c r="Q561" s="3432"/>
      <c r="R561" s="3432"/>
      <c r="S561" s="3432"/>
      <c r="T561" s="3432"/>
      <c r="U561" s="3432"/>
      <c r="V561" s="3432"/>
      <c r="W561" s="3432"/>
      <c r="X561" s="3454">
        <v>7.9768476671283603E-2</v>
      </c>
      <c r="Y561" s="3432"/>
      <c r="Z561" s="3432"/>
      <c r="AA561" s="3432"/>
      <c r="AB561" s="3432"/>
      <c r="AC561" s="3432"/>
      <c r="AD561" s="3432"/>
      <c r="AE561" s="3432"/>
      <c r="AF561" s="3432"/>
      <c r="AG561" s="3432"/>
      <c r="AH561" s="3432"/>
      <c r="AI561" s="3432"/>
      <c r="AJ561" s="3432"/>
      <c r="AK561" s="3432"/>
      <c r="AL561" s="3432"/>
      <c r="AM561" s="3432"/>
      <c r="AN561" s="3497"/>
      <c r="AO561" s="3426"/>
    </row>
    <row r="562" spans="1:41">
      <c r="A562" s="5047" t="s">
        <v>66</v>
      </c>
      <c r="B562" s="5048"/>
      <c r="C562" s="3432"/>
      <c r="D562" s="3447">
        <v>2.3000000000000201E-2</v>
      </c>
      <c r="E562" s="3432"/>
      <c r="F562" s="3432"/>
      <c r="G562" s="3432"/>
      <c r="H562" s="3432"/>
      <c r="I562" s="3432"/>
      <c r="K562" s="3432"/>
      <c r="L562" s="3454">
        <v>3.0003000300029999E-2</v>
      </c>
      <c r="M562" s="3432"/>
      <c r="N562" s="3432"/>
      <c r="O562" s="3432"/>
      <c r="P562" s="3432"/>
      <c r="Q562" s="3432"/>
      <c r="R562" s="3432"/>
      <c r="S562" s="3432"/>
      <c r="T562" s="3432"/>
      <c r="U562" s="3432"/>
      <c r="V562" s="3432"/>
      <c r="W562" s="3432"/>
      <c r="X562" s="3454">
        <v>2.9923155122862099E-2</v>
      </c>
      <c r="Y562" s="3432"/>
      <c r="Z562" s="3432"/>
      <c r="AA562" s="3432"/>
      <c r="AB562" s="3432"/>
      <c r="AC562" s="3432"/>
      <c r="AD562" s="3432"/>
      <c r="AE562" s="3432"/>
      <c r="AF562" s="3432"/>
      <c r="AG562" s="3432"/>
      <c r="AH562" s="3432"/>
      <c r="AI562" s="3432"/>
      <c r="AJ562" s="3432"/>
      <c r="AK562" s="3432"/>
      <c r="AL562" s="3432"/>
      <c r="AM562" s="3432"/>
      <c r="AN562" s="3497"/>
      <c r="AO562" s="3426"/>
    </row>
    <row r="563" spans="1:41">
      <c r="A563" s="5047" t="s">
        <v>359</v>
      </c>
      <c r="B563" s="5048"/>
      <c r="C563" s="3432"/>
      <c r="D563" s="3447">
        <v>6.1000000000000401E-2</v>
      </c>
      <c r="E563" s="3432"/>
      <c r="F563" s="3432"/>
      <c r="G563" s="3432"/>
      <c r="H563" s="3432"/>
      <c r="I563" s="3432"/>
      <c r="K563" s="3432"/>
      <c r="L563" s="3451">
        <v>0.1000100010001</v>
      </c>
      <c r="M563" s="3432"/>
      <c r="N563" s="3432"/>
      <c r="O563" s="3432"/>
      <c r="P563" s="3432"/>
      <c r="Q563" s="3432"/>
      <c r="R563" s="3432"/>
      <c r="S563" s="3432"/>
      <c r="T563" s="3432"/>
      <c r="U563" s="3432"/>
      <c r="V563" s="3432"/>
      <c r="W563" s="3432"/>
      <c r="X563" s="3454">
        <v>9.9565225859770706E-2</v>
      </c>
      <c r="Y563" s="3432"/>
      <c r="Z563" s="3432"/>
      <c r="AA563" s="3432"/>
      <c r="AB563" s="3432"/>
      <c r="AC563" s="3432"/>
      <c r="AD563" s="3432"/>
      <c r="AE563" s="3432"/>
      <c r="AF563" s="3432"/>
      <c r="AG563" s="3432"/>
      <c r="AH563" s="3432"/>
      <c r="AI563" s="3432"/>
      <c r="AJ563" s="3432"/>
      <c r="AK563" s="3432"/>
      <c r="AL563" s="3432"/>
      <c r="AM563" s="3432"/>
      <c r="AN563" s="3497"/>
      <c r="AO563" s="3426"/>
    </row>
    <row r="564" spans="1:41">
      <c r="A564" s="5047" t="s">
        <v>68</v>
      </c>
      <c r="B564" s="5048"/>
      <c r="C564" s="3432"/>
      <c r="D564" s="3447">
        <v>2.7000000000000201E-2</v>
      </c>
      <c r="E564" s="3432"/>
      <c r="F564" s="3432"/>
      <c r="G564" s="3432"/>
      <c r="H564" s="3432"/>
      <c r="I564" s="3432"/>
      <c r="K564" s="3432"/>
      <c r="L564" s="3454">
        <v>6.0006000600059999E-2</v>
      </c>
      <c r="M564" s="3432"/>
      <c r="N564" s="3432"/>
      <c r="O564" s="3432"/>
      <c r="P564" s="3432"/>
      <c r="Q564" s="3432"/>
      <c r="R564" s="3432"/>
      <c r="S564" s="3432"/>
      <c r="T564" s="3432"/>
      <c r="U564" s="3432"/>
      <c r="V564" s="3432"/>
      <c r="W564" s="3432"/>
      <c r="X564" s="3454">
        <v>5.9629680472599401E-2</v>
      </c>
      <c r="Y564" s="3432"/>
      <c r="Z564" s="3432"/>
      <c r="AA564" s="3432"/>
      <c r="AB564" s="3432"/>
      <c r="AC564" s="3432"/>
      <c r="AD564" s="3432"/>
      <c r="AE564" s="3432"/>
      <c r="AF564" s="3432"/>
      <c r="AG564" s="3432"/>
      <c r="AH564" s="3432"/>
      <c r="AI564" s="3432"/>
      <c r="AJ564" s="3432"/>
      <c r="AK564" s="3432"/>
      <c r="AL564" s="3432"/>
      <c r="AM564" s="3432"/>
      <c r="AN564" s="3497"/>
      <c r="AO564" s="3426"/>
    </row>
    <row r="565" spans="1:41">
      <c r="A565" s="5047" t="s">
        <v>669</v>
      </c>
      <c r="B565" s="5048"/>
      <c r="C565" s="3432"/>
      <c r="D565" s="3447">
        <v>3.5000000000000198E-2</v>
      </c>
      <c r="E565" s="3432"/>
      <c r="F565" s="3432"/>
      <c r="G565" s="3432"/>
      <c r="H565" s="3432"/>
      <c r="I565" s="3432"/>
      <c r="K565" s="3432"/>
      <c r="L565" s="3454">
        <v>8.0008000800079998E-2</v>
      </c>
      <c r="M565" s="3432"/>
      <c r="N565" s="3432"/>
      <c r="O565" s="3432"/>
      <c r="P565" s="3432"/>
      <c r="Q565" s="3432"/>
      <c r="R565" s="3432"/>
      <c r="S565" s="3432"/>
      <c r="T565" s="3432"/>
      <c r="U565" s="3432"/>
      <c r="V565" s="3432"/>
      <c r="W565" s="3432"/>
      <c r="X565" s="3454">
        <v>7.9494839063126002E-2</v>
      </c>
      <c r="Y565" s="3432"/>
      <c r="Z565" s="3432"/>
      <c r="AA565" s="3432"/>
      <c r="AB565" s="3432"/>
      <c r="AC565" s="3432"/>
      <c r="AD565" s="3432"/>
      <c r="AE565" s="3432"/>
      <c r="AF565" s="3432"/>
      <c r="AG565" s="3432"/>
      <c r="AH565" s="3432"/>
      <c r="AI565" s="3432"/>
      <c r="AJ565" s="3432"/>
      <c r="AK565" s="3432"/>
      <c r="AL565" s="3432"/>
      <c r="AM565" s="3432"/>
      <c r="AN565" s="3497"/>
      <c r="AO565" s="3426"/>
    </row>
    <row r="566" spans="1:41">
      <c r="A566" s="5047" t="s">
        <v>99</v>
      </c>
      <c r="B566" s="5048"/>
      <c r="C566" s="3432"/>
      <c r="D566" s="3447">
        <v>0</v>
      </c>
      <c r="E566" s="3432"/>
      <c r="F566" s="3432"/>
      <c r="G566" s="3432"/>
      <c r="H566" s="3432"/>
      <c r="I566" s="3432"/>
      <c r="K566" s="3432"/>
      <c r="L566" s="3447">
        <v>0</v>
      </c>
      <c r="M566" s="3432"/>
      <c r="N566" s="3432"/>
      <c r="O566" s="3432"/>
      <c r="P566" s="3432"/>
      <c r="Q566" s="3432"/>
      <c r="R566" s="3432"/>
      <c r="S566" s="3432"/>
      <c r="T566" s="3432"/>
      <c r="U566" s="3432"/>
      <c r="V566" s="3432"/>
      <c r="W566" s="3432"/>
      <c r="X566" s="3447">
        <v>0</v>
      </c>
      <c r="Y566" s="3432"/>
      <c r="Z566" s="3432"/>
      <c r="AA566" s="3432"/>
      <c r="AB566" s="3432"/>
      <c r="AC566" s="3432"/>
      <c r="AD566" s="3432"/>
      <c r="AE566" s="3432"/>
      <c r="AF566" s="3432"/>
      <c r="AG566" s="3432"/>
      <c r="AH566" s="3432"/>
      <c r="AI566" s="3432"/>
      <c r="AJ566" s="3432"/>
      <c r="AK566" s="3432"/>
      <c r="AL566" s="3432"/>
      <c r="AM566" s="3432"/>
      <c r="AN566" s="3497"/>
      <c r="AO566" s="3426"/>
    </row>
    <row r="567" spans="1:41">
      <c r="A567" s="5047" t="s">
        <v>422</v>
      </c>
      <c r="B567" s="5048"/>
      <c r="C567" s="3432"/>
      <c r="D567" s="3447">
        <v>2.60000000000002E-2</v>
      </c>
      <c r="E567" s="3432"/>
      <c r="F567" s="3432"/>
      <c r="G567" s="3432"/>
      <c r="H567" s="3432"/>
      <c r="I567" s="3432"/>
      <c r="K567" s="3432"/>
      <c r="L567" s="3454">
        <v>6.0006000600059999E-2</v>
      </c>
      <c r="M567" s="3432"/>
      <c r="N567" s="3432"/>
      <c r="O567" s="3432"/>
      <c r="P567" s="3432"/>
      <c r="Q567" s="3432"/>
      <c r="R567" s="3432"/>
      <c r="S567" s="3432"/>
      <c r="T567" s="3432"/>
      <c r="U567" s="3432"/>
      <c r="V567" s="3432"/>
      <c r="W567" s="3432"/>
      <c r="X567" s="3454">
        <v>5.9618278905592799E-2</v>
      </c>
      <c r="Y567" s="3432"/>
      <c r="Z567" s="3432"/>
      <c r="AA567" s="3432"/>
      <c r="AB567" s="3432"/>
      <c r="AC567" s="3432"/>
      <c r="AD567" s="3432"/>
      <c r="AE567" s="3432"/>
      <c r="AF567" s="3432"/>
      <c r="AG567" s="3432"/>
      <c r="AH567" s="3432"/>
      <c r="AI567" s="3432"/>
      <c r="AJ567" s="3432"/>
      <c r="AK567" s="3432"/>
      <c r="AL567" s="3432"/>
      <c r="AM567" s="3432"/>
      <c r="AN567" s="3497"/>
      <c r="AO567" s="3426"/>
    </row>
    <row r="568" spans="1:41">
      <c r="A568" s="5047" t="s">
        <v>10</v>
      </c>
      <c r="B568" s="5048"/>
      <c r="C568" s="3432"/>
      <c r="D568" s="3447">
        <v>1.90000000000001E-2</v>
      </c>
      <c r="E568" s="3432"/>
      <c r="F568" s="3432"/>
      <c r="G568" s="3432"/>
      <c r="H568" s="3432"/>
      <c r="I568" s="3432"/>
      <c r="K568" s="3432"/>
      <c r="L568" s="3454">
        <v>5.0005000500050002E-2</v>
      </c>
      <c r="M568" s="3432"/>
      <c r="N568" s="3432"/>
      <c r="O568" s="3432"/>
      <c r="P568" s="3432"/>
      <c r="Q568" s="3432"/>
      <c r="R568" s="3432"/>
      <c r="S568" s="3432"/>
      <c r="T568" s="3432"/>
      <c r="U568" s="3432"/>
      <c r="V568" s="3432"/>
      <c r="W568" s="3432"/>
      <c r="X568" s="3454">
        <v>4.9651494909309903E-2</v>
      </c>
      <c r="Y568" s="3432"/>
      <c r="Z568" s="3432"/>
      <c r="AA568" s="3432"/>
      <c r="AB568" s="3432"/>
      <c r="AC568" s="3432"/>
      <c r="AD568" s="3432"/>
      <c r="AE568" s="3432"/>
      <c r="AF568" s="3432"/>
      <c r="AG568" s="3432"/>
      <c r="AH568" s="3432"/>
      <c r="AI568" s="3432"/>
      <c r="AJ568" s="3432"/>
      <c r="AK568" s="3432"/>
      <c r="AL568" s="3432"/>
      <c r="AM568" s="3432"/>
      <c r="AN568" s="3497"/>
      <c r="AO568" s="3426"/>
    </row>
    <row r="569" spans="1:41">
      <c r="A569" s="5047" t="s">
        <v>9</v>
      </c>
      <c r="B569" s="5048"/>
      <c r="C569" s="3432"/>
      <c r="D569" s="3447">
        <v>1.6000000000000101E-2</v>
      </c>
      <c r="E569" s="3432"/>
      <c r="F569" s="3432"/>
      <c r="G569" s="3432"/>
      <c r="H569" s="3432"/>
      <c r="I569" s="3432"/>
      <c r="K569" s="3432"/>
      <c r="L569" s="3454">
        <v>4.0004000400039999E-2</v>
      </c>
      <c r="M569" s="3432"/>
      <c r="N569" s="3432"/>
      <c r="O569" s="3432"/>
      <c r="P569" s="3432"/>
      <c r="Q569" s="3432"/>
      <c r="R569" s="3432"/>
      <c r="S569" s="3432"/>
      <c r="T569" s="3432"/>
      <c r="U569" s="3432"/>
      <c r="V569" s="3432"/>
      <c r="W569" s="3432"/>
      <c r="X569" s="3454">
        <v>3.9730317181053201E-2</v>
      </c>
      <c r="Y569" s="3432"/>
      <c r="Z569" s="3432"/>
      <c r="AA569" s="3432"/>
      <c r="AB569" s="3432"/>
      <c r="AC569" s="3432"/>
      <c r="AD569" s="3432"/>
      <c r="AE569" s="3432"/>
      <c r="AF569" s="3432"/>
      <c r="AG569" s="3432"/>
      <c r="AH569" s="3432"/>
      <c r="AI569" s="3432"/>
      <c r="AJ569" s="3432"/>
      <c r="AK569" s="3432"/>
      <c r="AL569" s="3432"/>
      <c r="AM569" s="3432"/>
      <c r="AN569" s="3497"/>
      <c r="AO569" s="3426"/>
    </row>
    <row r="570" spans="1:41">
      <c r="A570" s="5047" t="s">
        <v>11</v>
      </c>
      <c r="B570" s="5048"/>
      <c r="C570" s="3432"/>
      <c r="D570" s="3447">
        <v>1.7000000000000098E-2</v>
      </c>
      <c r="E570" s="3432"/>
      <c r="F570" s="3432"/>
      <c r="G570" s="3432"/>
      <c r="H570" s="3432"/>
      <c r="I570" s="3432"/>
      <c r="K570" s="3432"/>
      <c r="L570" s="3454">
        <v>4.0004000400039999E-2</v>
      </c>
      <c r="M570" s="3432"/>
      <c r="N570" s="3432"/>
      <c r="O570" s="3432"/>
      <c r="P570" s="3432"/>
      <c r="Q570" s="3432"/>
      <c r="R570" s="3432"/>
      <c r="S570" s="3432"/>
      <c r="T570" s="3432"/>
      <c r="U570" s="3432"/>
      <c r="V570" s="3432"/>
      <c r="W570" s="3432"/>
      <c r="X570" s="3454">
        <v>3.97417187480597E-2</v>
      </c>
      <c r="Y570" s="3432"/>
      <c r="Z570" s="3432"/>
      <c r="AA570" s="3432"/>
      <c r="AB570" s="3432"/>
      <c r="AC570" s="3432"/>
      <c r="AD570" s="3432"/>
      <c r="AE570" s="3432"/>
      <c r="AF570" s="3432"/>
      <c r="AG570" s="3432"/>
      <c r="AH570" s="3432"/>
      <c r="AI570" s="3432"/>
      <c r="AJ570" s="3432"/>
      <c r="AK570" s="3432"/>
      <c r="AL570" s="3432"/>
      <c r="AM570" s="3432"/>
      <c r="AN570" s="3497"/>
      <c r="AO570" s="3426"/>
    </row>
    <row r="571" spans="1:41">
      <c r="A571" s="5047" t="s">
        <v>12</v>
      </c>
      <c r="B571" s="5048"/>
      <c r="C571" s="3432"/>
      <c r="D571" s="3447">
        <v>3.7000000000000199E-2</v>
      </c>
      <c r="E571" s="3432"/>
      <c r="F571" s="3432"/>
      <c r="G571" s="3432"/>
      <c r="H571" s="3432"/>
      <c r="I571" s="3432"/>
      <c r="K571" s="3432"/>
      <c r="L571" s="3454">
        <v>9.0009000900089994E-2</v>
      </c>
      <c r="M571" s="3432"/>
      <c r="N571" s="3432"/>
      <c r="O571" s="3432"/>
      <c r="P571" s="3432"/>
      <c r="Q571" s="3432"/>
      <c r="R571" s="3432"/>
      <c r="S571" s="3432"/>
      <c r="T571" s="3432"/>
      <c r="U571" s="3432"/>
      <c r="V571" s="3432"/>
      <c r="W571" s="3432"/>
      <c r="X571" s="3454">
        <v>8.9404615224376205E-2</v>
      </c>
      <c r="Y571" s="3432"/>
      <c r="Z571" s="3432"/>
      <c r="AA571" s="3432"/>
      <c r="AB571" s="3432"/>
      <c r="AC571" s="3432"/>
      <c r="AD571" s="3432"/>
      <c r="AE571" s="3432"/>
      <c r="AF571" s="3432"/>
      <c r="AG571" s="3432"/>
      <c r="AH571" s="3432"/>
      <c r="AI571" s="3432"/>
      <c r="AJ571" s="3432"/>
      <c r="AK571" s="3432"/>
      <c r="AL571" s="3432"/>
      <c r="AM571" s="3432"/>
      <c r="AN571" s="3497"/>
      <c r="AO571" s="3426"/>
    </row>
    <row r="572" spans="1:41">
      <c r="A572" s="5047" t="s">
        <v>48</v>
      </c>
      <c r="B572" s="5048"/>
      <c r="C572" s="3432"/>
      <c r="D572" s="3447">
        <v>0</v>
      </c>
      <c r="E572" s="3432"/>
      <c r="F572" s="3432"/>
      <c r="G572" s="3432"/>
      <c r="H572" s="3432"/>
      <c r="I572" s="3432"/>
      <c r="K572" s="3432"/>
      <c r="L572" s="3447">
        <v>0</v>
      </c>
      <c r="M572" s="3432"/>
      <c r="N572" s="3432"/>
      <c r="O572" s="3432"/>
      <c r="P572" s="3432"/>
      <c r="Q572" s="3432"/>
      <c r="R572" s="3432"/>
      <c r="S572" s="3432"/>
      <c r="T572" s="3432"/>
      <c r="U572" s="3432"/>
      <c r="V572" s="3432"/>
      <c r="W572" s="3432"/>
      <c r="X572" s="3447">
        <v>0</v>
      </c>
      <c r="Y572" s="3432"/>
      <c r="Z572" s="3432"/>
      <c r="AA572" s="3432"/>
      <c r="AB572" s="3432"/>
      <c r="AC572" s="3432"/>
      <c r="AD572" s="3432"/>
      <c r="AE572" s="3432"/>
      <c r="AF572" s="3432"/>
      <c r="AG572" s="3432"/>
      <c r="AH572" s="3432"/>
      <c r="AI572" s="3432"/>
      <c r="AJ572" s="3432"/>
      <c r="AK572" s="3432"/>
      <c r="AL572" s="3432"/>
      <c r="AM572" s="3432"/>
      <c r="AN572" s="3497"/>
      <c r="AO572" s="3426"/>
    </row>
    <row r="573" spans="1:41">
      <c r="A573" s="5047" t="s">
        <v>751</v>
      </c>
      <c r="B573" s="5048"/>
      <c r="C573" s="3432"/>
      <c r="D573" s="3447">
        <v>1.2000000000000101E-2</v>
      </c>
      <c r="E573" s="3432"/>
      <c r="F573" s="3432"/>
      <c r="G573" s="3432"/>
      <c r="H573" s="3432"/>
      <c r="I573" s="3432"/>
      <c r="K573" s="3432"/>
      <c r="L573" s="3454">
        <v>3.0003000300029999E-2</v>
      </c>
      <c r="M573" s="3432"/>
      <c r="N573" s="3432"/>
      <c r="O573" s="3432"/>
      <c r="P573" s="3432"/>
      <c r="Q573" s="3432"/>
      <c r="R573" s="3432"/>
      <c r="S573" s="3432"/>
      <c r="T573" s="3432"/>
      <c r="U573" s="3432"/>
      <c r="V573" s="3432"/>
      <c r="W573" s="3432"/>
      <c r="X573" s="3454">
        <v>2.9797737885789901E-2</v>
      </c>
      <c r="Y573" s="3432"/>
      <c r="Z573" s="3432"/>
      <c r="AA573" s="3432"/>
      <c r="AB573" s="3432"/>
      <c r="AC573" s="3432"/>
      <c r="AD573" s="3432"/>
      <c r="AE573" s="3432"/>
      <c r="AF573" s="3432"/>
      <c r="AG573" s="3432"/>
      <c r="AH573" s="3432"/>
      <c r="AI573" s="3432"/>
      <c r="AJ573" s="3432"/>
      <c r="AK573" s="3432"/>
      <c r="AL573" s="3432"/>
      <c r="AM573" s="3432"/>
      <c r="AN573" s="3497"/>
      <c r="AO573" s="3426"/>
    </row>
    <row r="574" spans="1:41">
      <c r="A574" s="5047" t="s">
        <v>65</v>
      </c>
      <c r="B574" s="5048"/>
      <c r="C574" s="3432"/>
      <c r="D574" s="3447">
        <v>3.8000000000000297E-2</v>
      </c>
      <c r="E574" s="3432"/>
      <c r="F574" s="3432"/>
      <c r="G574" s="3432"/>
      <c r="H574" s="3432"/>
      <c r="I574" s="3432"/>
      <c r="K574" s="3432"/>
      <c r="L574" s="3451">
        <v>0.11001100110011</v>
      </c>
      <c r="M574" s="3432"/>
      <c r="N574" s="3432"/>
      <c r="O574" s="3432"/>
      <c r="P574" s="3432"/>
      <c r="Q574" s="3432"/>
      <c r="R574" s="3432"/>
      <c r="S574" s="3432"/>
      <c r="T574" s="3432"/>
      <c r="U574" s="3432"/>
      <c r="V574" s="3432"/>
      <c r="W574" s="3432"/>
      <c r="X574" s="3451">
        <v>0.109189962845857</v>
      </c>
      <c r="Y574" s="3432"/>
      <c r="Z574" s="3432"/>
      <c r="AA574" s="3432"/>
      <c r="AB574" s="3432"/>
      <c r="AC574" s="3432"/>
      <c r="AD574" s="3432"/>
      <c r="AE574" s="3432"/>
      <c r="AF574" s="3432"/>
      <c r="AG574" s="3432"/>
      <c r="AH574" s="3432"/>
      <c r="AI574" s="3432"/>
      <c r="AJ574" s="3432"/>
      <c r="AK574" s="3432"/>
      <c r="AL574" s="3432"/>
      <c r="AM574" s="3432"/>
      <c r="AN574" s="3497"/>
      <c r="AO574" s="3426"/>
    </row>
    <row r="575" spans="1:41">
      <c r="A575" s="5047" t="s">
        <v>13</v>
      </c>
      <c r="B575" s="5048"/>
      <c r="C575" s="3432"/>
      <c r="D575" s="3447">
        <v>2.3000000000000201E-2</v>
      </c>
      <c r="E575" s="3432"/>
      <c r="F575" s="3432"/>
      <c r="G575" s="3432"/>
      <c r="H575" s="3432"/>
      <c r="I575" s="3432"/>
      <c r="K575" s="3432"/>
      <c r="L575" s="3454">
        <v>7.0007000700070002E-2</v>
      </c>
      <c r="M575" s="3432"/>
      <c r="N575" s="3432"/>
      <c r="O575" s="3432"/>
      <c r="P575" s="3432"/>
      <c r="Q575" s="3432"/>
      <c r="R575" s="3432"/>
      <c r="S575" s="3432"/>
      <c r="T575" s="3432"/>
      <c r="U575" s="3432"/>
      <c r="V575" s="3432"/>
      <c r="W575" s="3432"/>
      <c r="X575" s="3454">
        <v>6.9471047231810204E-2</v>
      </c>
      <c r="Y575" s="3432"/>
      <c r="Z575" s="3432"/>
      <c r="AA575" s="3432"/>
      <c r="AB575" s="3432"/>
      <c r="AC575" s="3432"/>
      <c r="AD575" s="3432"/>
      <c r="AE575" s="3432"/>
      <c r="AF575" s="3432"/>
      <c r="AG575" s="3432"/>
      <c r="AH575" s="3432"/>
      <c r="AI575" s="3432"/>
      <c r="AJ575" s="3432"/>
      <c r="AK575" s="3432"/>
      <c r="AL575" s="3432"/>
      <c r="AM575" s="3432"/>
      <c r="AN575" s="3497"/>
      <c r="AO575" s="3426"/>
    </row>
    <row r="576" spans="1:41">
      <c r="A576" s="5047" t="s">
        <v>14</v>
      </c>
      <c r="B576" s="5048"/>
      <c r="C576" s="3432"/>
      <c r="D576" s="3447">
        <v>2.2000000000000099E-2</v>
      </c>
      <c r="E576" s="3432"/>
      <c r="F576" s="3432"/>
      <c r="G576" s="3432"/>
      <c r="H576" s="3432"/>
      <c r="I576" s="3432"/>
      <c r="K576" s="3432"/>
      <c r="L576" s="3454">
        <v>7.0007000700070002E-2</v>
      </c>
      <c r="M576" s="3432"/>
      <c r="N576" s="3432"/>
      <c r="O576" s="3432"/>
      <c r="P576" s="3432"/>
      <c r="Q576" s="3432"/>
      <c r="R576" s="3432"/>
      <c r="S576" s="3432"/>
      <c r="T576" s="3432"/>
      <c r="U576" s="3432"/>
      <c r="V576" s="3432"/>
      <c r="W576" s="3432"/>
      <c r="X576" s="3454">
        <v>6.9459645664803601E-2</v>
      </c>
      <c r="Y576" s="3432"/>
      <c r="Z576" s="3432"/>
      <c r="AA576" s="3432"/>
      <c r="AB576" s="3432"/>
      <c r="AC576" s="3432"/>
      <c r="AD576" s="3432"/>
      <c r="AE576" s="3432"/>
      <c r="AF576" s="3432"/>
      <c r="AG576" s="3432"/>
      <c r="AH576" s="3432"/>
      <c r="AI576" s="3432"/>
      <c r="AJ576" s="3432"/>
      <c r="AK576" s="3432"/>
      <c r="AL576" s="3432"/>
      <c r="AM576" s="3432"/>
      <c r="AN576" s="3497"/>
      <c r="AO576" s="3426"/>
    </row>
    <row r="577" spans="1:41">
      <c r="A577" s="5047" t="s">
        <v>424</v>
      </c>
      <c r="B577" s="5048"/>
      <c r="C577" s="3432"/>
      <c r="D577" s="3447">
        <v>3.2000000000000202E-2</v>
      </c>
      <c r="E577" s="3432"/>
      <c r="F577" s="3432"/>
      <c r="G577" s="3432"/>
      <c r="H577" s="3432"/>
      <c r="I577" s="3432"/>
      <c r="K577" s="3432"/>
      <c r="L577" s="3451">
        <v>0.14001400140014</v>
      </c>
      <c r="M577" s="3432"/>
      <c r="N577" s="3432"/>
      <c r="O577" s="3432"/>
      <c r="P577" s="3432"/>
      <c r="Q577" s="3432"/>
      <c r="R577" s="3432"/>
      <c r="S577" s="3432"/>
      <c r="T577" s="3432"/>
      <c r="U577" s="3432"/>
      <c r="V577" s="3432"/>
      <c r="W577" s="3432"/>
      <c r="X577" s="3451">
        <v>0.138782472525528</v>
      </c>
      <c r="Y577" s="3432"/>
      <c r="Z577" s="3432"/>
      <c r="AA577" s="3432"/>
      <c r="AB577" s="3432"/>
      <c r="AC577" s="3432"/>
      <c r="AD577" s="3432"/>
      <c r="AE577" s="3432"/>
      <c r="AF577" s="3432"/>
      <c r="AG577" s="3432"/>
      <c r="AH577" s="3432"/>
      <c r="AI577" s="3432"/>
      <c r="AJ577" s="3432"/>
      <c r="AK577" s="3432"/>
      <c r="AL577" s="3432"/>
      <c r="AM577" s="3432"/>
      <c r="AN577" s="3497"/>
      <c r="AO577" s="3426"/>
    </row>
    <row r="578" spans="1:41">
      <c r="A578" s="5047" t="s">
        <v>16</v>
      </c>
      <c r="B578" s="5048"/>
      <c r="C578" s="3432"/>
      <c r="D578" s="3447">
        <v>1.00000000000001E-3</v>
      </c>
      <c r="E578" s="3432"/>
      <c r="F578" s="3432"/>
      <c r="G578" s="3432"/>
      <c r="H578" s="3432"/>
      <c r="I578" s="3432"/>
      <c r="K578" s="3432"/>
      <c r="L578" s="3447">
        <v>0</v>
      </c>
      <c r="M578" s="3432"/>
      <c r="N578" s="3432"/>
      <c r="O578" s="3432"/>
      <c r="P578" s="3432"/>
      <c r="Q578" s="3432"/>
      <c r="R578" s="3432"/>
      <c r="S578" s="3432"/>
      <c r="T578" s="3432"/>
      <c r="U578" s="3432"/>
      <c r="V578" s="3432"/>
      <c r="W578" s="3432"/>
      <c r="X578" s="3449">
        <v>1.1401567006564399E-5</v>
      </c>
      <c r="Y578" s="3432"/>
      <c r="Z578" s="3432"/>
      <c r="AA578" s="3432"/>
      <c r="AB578" s="3432"/>
      <c r="AC578" s="3432"/>
      <c r="AD578" s="3432"/>
      <c r="AE578" s="3432"/>
      <c r="AF578" s="3432"/>
      <c r="AG578" s="3432"/>
      <c r="AH578" s="3432"/>
      <c r="AI578" s="3432"/>
      <c r="AJ578" s="3432"/>
      <c r="AK578" s="3432"/>
      <c r="AL578" s="3432"/>
      <c r="AM578" s="3432"/>
      <c r="AN578" s="3497"/>
      <c r="AO578" s="3426"/>
    </row>
    <row r="579" spans="1:41">
      <c r="A579" s="5047" t="s">
        <v>770</v>
      </c>
      <c r="B579" s="5048"/>
      <c r="C579" s="3432"/>
      <c r="D579" s="3454">
        <v>1.0000000000000101E-2</v>
      </c>
      <c r="E579" s="3432"/>
      <c r="F579" s="3432"/>
      <c r="G579" s="3432"/>
      <c r="H579" s="3432"/>
      <c r="I579" s="3432"/>
      <c r="K579" s="3432"/>
      <c r="L579" s="3454">
        <v>4.0004000400039999E-2</v>
      </c>
      <c r="M579" s="3432"/>
      <c r="N579" s="3432"/>
      <c r="O579" s="3432"/>
      <c r="P579" s="3432"/>
      <c r="Q579" s="3432"/>
      <c r="R579" s="3432"/>
      <c r="S579" s="3432"/>
      <c r="T579" s="3432"/>
      <c r="U579" s="3432"/>
      <c r="V579" s="3432"/>
      <c r="W579" s="3432"/>
      <c r="X579" s="3454">
        <v>3.9661907779013801E-2</v>
      </c>
      <c r="Y579" s="3432"/>
      <c r="Z579" s="3432"/>
      <c r="AA579" s="3432"/>
      <c r="AB579" s="3432"/>
      <c r="AC579" s="3432"/>
      <c r="AD579" s="3432"/>
      <c r="AE579" s="3432"/>
      <c r="AF579" s="3432"/>
      <c r="AG579" s="3432"/>
      <c r="AH579" s="3432"/>
      <c r="AI579" s="3432"/>
      <c r="AJ579" s="3432"/>
      <c r="AK579" s="3432"/>
      <c r="AL579" s="3432"/>
      <c r="AM579" s="3432"/>
      <c r="AN579" s="3497"/>
      <c r="AO579" s="3426"/>
    </row>
    <row r="580" spans="1:41">
      <c r="A580" s="5047" t="s">
        <v>833</v>
      </c>
      <c r="B580" s="5048"/>
      <c r="C580" s="3432"/>
      <c r="D580" s="3447">
        <v>1.90000000000001E-2</v>
      </c>
      <c r="E580" s="3432"/>
      <c r="F580" s="3432"/>
      <c r="G580" s="3432"/>
      <c r="H580" s="3432"/>
      <c r="I580" s="3432"/>
      <c r="K580" s="3432"/>
      <c r="L580" s="3451">
        <v>0.12001200120012</v>
      </c>
      <c r="M580" s="3432"/>
      <c r="N580" s="3432"/>
      <c r="O580" s="3432"/>
      <c r="P580" s="3432"/>
      <c r="Q580" s="3432"/>
      <c r="R580" s="3432"/>
      <c r="S580" s="3432"/>
      <c r="T580" s="3432"/>
      <c r="U580" s="3432"/>
      <c r="V580" s="3432"/>
      <c r="W580" s="3432"/>
      <c r="X580" s="3451">
        <v>0.118860306099969</v>
      </c>
      <c r="Y580" s="3432"/>
      <c r="Z580" s="3432"/>
      <c r="AA580" s="3432"/>
      <c r="AB580" s="3432"/>
      <c r="AC580" s="3432"/>
      <c r="AD580" s="3432"/>
      <c r="AE580" s="3432"/>
      <c r="AF580" s="3432"/>
      <c r="AG580" s="3432"/>
      <c r="AH580" s="3432"/>
      <c r="AI580" s="3432"/>
      <c r="AJ580" s="3432"/>
      <c r="AK580" s="3432"/>
      <c r="AL580" s="3432"/>
      <c r="AM580" s="3432"/>
      <c r="AN580" s="3497"/>
      <c r="AO580" s="3426"/>
    </row>
    <row r="581" spans="1:41">
      <c r="A581" s="5047" t="s">
        <v>834</v>
      </c>
      <c r="B581" s="5048"/>
      <c r="C581" s="3432"/>
      <c r="D581" s="3447">
        <v>1.10000000000001E-2</v>
      </c>
      <c r="E581" s="3432"/>
      <c r="F581" s="3432"/>
      <c r="G581" s="3432"/>
      <c r="H581" s="3432"/>
      <c r="I581" s="3432"/>
      <c r="K581" s="3432"/>
      <c r="L581" s="3451">
        <v>0.12001200120012</v>
      </c>
      <c r="M581" s="3432"/>
      <c r="N581" s="3432"/>
      <c r="O581" s="3432"/>
      <c r="P581" s="3432"/>
      <c r="Q581" s="3432"/>
      <c r="R581" s="3432"/>
      <c r="S581" s="3432"/>
      <c r="T581" s="3432"/>
      <c r="U581" s="3432"/>
      <c r="V581" s="3432"/>
      <c r="W581" s="3432"/>
      <c r="X581" s="3451">
        <v>0.118769093563917</v>
      </c>
      <c r="Y581" s="3432"/>
      <c r="Z581" s="3432"/>
      <c r="AA581" s="3432"/>
      <c r="AB581" s="3432"/>
      <c r="AC581" s="3432"/>
      <c r="AD581" s="3432"/>
      <c r="AE581" s="3432"/>
      <c r="AF581" s="3432"/>
      <c r="AG581" s="3432"/>
      <c r="AH581" s="3432"/>
      <c r="AI581" s="3432"/>
      <c r="AJ581" s="3432"/>
      <c r="AK581" s="3432"/>
      <c r="AL581" s="3432"/>
      <c r="AM581" s="3432"/>
      <c r="AN581" s="3497"/>
      <c r="AO581" s="3426"/>
    </row>
    <row r="582" spans="1:41">
      <c r="A582" s="5047" t="s">
        <v>752</v>
      </c>
      <c r="B582" s="5048"/>
      <c r="C582" s="3432"/>
      <c r="D582" s="3447">
        <v>9.00000000000006E-3</v>
      </c>
      <c r="E582" s="3432"/>
      <c r="F582" s="3432"/>
      <c r="G582" s="3432"/>
      <c r="H582" s="3432"/>
      <c r="I582" s="3432"/>
      <c r="K582" s="3432"/>
      <c r="L582" s="3451">
        <v>0.64006400640063998</v>
      </c>
      <c r="M582" s="3432"/>
      <c r="N582" s="3432"/>
      <c r="O582" s="3432"/>
      <c r="P582" s="3432"/>
      <c r="Q582" s="3432"/>
      <c r="R582" s="3432"/>
      <c r="S582" s="3432"/>
      <c r="T582" s="3432"/>
      <c r="U582" s="3432"/>
      <c r="V582" s="3432"/>
      <c r="W582" s="3432"/>
      <c r="X582" s="3451">
        <v>0.63286888784622897</v>
      </c>
      <c r="Y582" s="3432"/>
      <c r="Z582" s="3432"/>
      <c r="AA582" s="3432"/>
      <c r="AB582" s="3432"/>
      <c r="AC582" s="3432"/>
      <c r="AD582" s="3432"/>
      <c r="AE582" s="3432"/>
      <c r="AF582" s="3432"/>
      <c r="AG582" s="3432"/>
      <c r="AH582" s="3432"/>
      <c r="AI582" s="3432"/>
      <c r="AJ582" s="3432"/>
      <c r="AK582" s="3432"/>
      <c r="AL582" s="3432"/>
      <c r="AM582" s="3432"/>
      <c r="AN582" s="3497"/>
      <c r="AO582" s="3426"/>
    </row>
    <row r="583" spans="1:41" ht="13" thickBot="1">
      <c r="A583" s="5049" t="s">
        <v>58</v>
      </c>
      <c r="B583" s="5050"/>
      <c r="C583" s="3433" t="s">
        <v>296</v>
      </c>
      <c r="D583" s="3433" t="s">
        <v>296</v>
      </c>
      <c r="E583" s="3433" t="s">
        <v>296</v>
      </c>
      <c r="F583" s="3433" t="s">
        <v>296</v>
      </c>
      <c r="G583" s="3433" t="s">
        <v>296</v>
      </c>
      <c r="H583" s="3433" t="s">
        <v>296</v>
      </c>
      <c r="I583" s="3433" t="s">
        <v>296</v>
      </c>
      <c r="K583" s="3433" t="s">
        <v>296</v>
      </c>
      <c r="L583" s="3433" t="s">
        <v>296</v>
      </c>
      <c r="M583" s="3433" t="s">
        <v>296</v>
      </c>
      <c r="N583" s="3433" t="s">
        <v>296</v>
      </c>
      <c r="O583" s="3433" t="s">
        <v>296</v>
      </c>
      <c r="P583" s="3433" t="s">
        <v>296</v>
      </c>
      <c r="Q583" s="3433" t="s">
        <v>296</v>
      </c>
      <c r="R583" s="3433" t="s">
        <v>296</v>
      </c>
      <c r="S583" s="3433" t="s">
        <v>296</v>
      </c>
      <c r="T583" s="3433" t="s">
        <v>296</v>
      </c>
      <c r="U583" s="3433" t="s">
        <v>296</v>
      </c>
      <c r="V583" s="3433" t="s">
        <v>296</v>
      </c>
      <c r="W583" s="3433" t="s">
        <v>296</v>
      </c>
      <c r="X583" s="3433" t="s">
        <v>296</v>
      </c>
      <c r="Y583" s="3433" t="s">
        <v>296</v>
      </c>
      <c r="Z583" s="3433" t="s">
        <v>296</v>
      </c>
      <c r="AA583" s="3433" t="s">
        <v>296</v>
      </c>
      <c r="AB583" s="3433" t="s">
        <v>296</v>
      </c>
      <c r="AC583" s="3433" t="s">
        <v>296</v>
      </c>
      <c r="AD583" s="3433" t="s">
        <v>296</v>
      </c>
      <c r="AE583" s="3433" t="s">
        <v>296</v>
      </c>
      <c r="AF583" s="3433" t="s">
        <v>296</v>
      </c>
      <c r="AG583" s="3433" t="s">
        <v>296</v>
      </c>
      <c r="AH583" s="3433" t="s">
        <v>296</v>
      </c>
      <c r="AI583" s="3433" t="s">
        <v>296</v>
      </c>
      <c r="AJ583" s="3433" t="s">
        <v>296</v>
      </c>
      <c r="AK583" s="3433" t="s">
        <v>296</v>
      </c>
      <c r="AL583" s="3433" t="s">
        <v>296</v>
      </c>
      <c r="AM583" s="3433" t="s">
        <v>296</v>
      </c>
      <c r="AN583" s="3444" t="s">
        <v>296</v>
      </c>
      <c r="AO583" s="3426"/>
    </row>
    <row r="584" spans="1:41" ht="13" thickTop="1">
      <c r="A584" s="5051" t="s">
        <v>298</v>
      </c>
      <c r="B584" s="5052"/>
      <c r="C584" s="3432"/>
      <c r="D584" s="3455">
        <v>97.701516994145194</v>
      </c>
      <c r="E584" s="3432"/>
      <c r="F584" s="3432"/>
      <c r="G584" s="3432"/>
      <c r="H584" s="3432"/>
      <c r="I584" s="3432"/>
      <c r="K584" s="3432"/>
      <c r="L584" s="3455">
        <v>85.742688168530407</v>
      </c>
      <c r="M584" s="3432"/>
      <c r="N584" s="3432"/>
      <c r="O584" s="3432"/>
      <c r="P584" s="3432"/>
      <c r="Q584" s="3432"/>
      <c r="R584" s="3432"/>
      <c r="S584" s="3432"/>
      <c r="T584" s="3432"/>
      <c r="U584" s="3432"/>
      <c r="V584" s="3432"/>
      <c r="W584" s="3432"/>
      <c r="X584" s="3455">
        <v>85.864318784914701</v>
      </c>
      <c r="Y584" s="3432"/>
      <c r="Z584" s="3432"/>
      <c r="AA584" s="3432"/>
      <c r="AB584" s="3432"/>
      <c r="AC584" s="3432"/>
      <c r="AD584" s="3432"/>
      <c r="AE584" s="3432"/>
      <c r="AF584" s="3432"/>
      <c r="AG584" s="3432"/>
      <c r="AH584" s="3432"/>
      <c r="AI584" s="3432"/>
      <c r="AJ584" s="3432"/>
      <c r="AK584" s="3432"/>
      <c r="AL584" s="3432"/>
      <c r="AM584" s="3432"/>
      <c r="AN584" s="3497"/>
      <c r="AO584" s="3426"/>
    </row>
    <row r="585" spans="1:41">
      <c r="A585" s="5047" t="s">
        <v>5</v>
      </c>
      <c r="B585" s="5048"/>
      <c r="C585" s="3432"/>
      <c r="D585" s="3447">
        <v>0</v>
      </c>
      <c r="E585" s="3432"/>
      <c r="F585" s="3432"/>
      <c r="G585" s="3432"/>
      <c r="H585" s="3432"/>
      <c r="I585" s="3432"/>
      <c r="K585" s="3432"/>
      <c r="L585" s="3447">
        <v>0</v>
      </c>
      <c r="M585" s="3432"/>
      <c r="N585" s="3432"/>
      <c r="O585" s="3432"/>
      <c r="P585" s="3432"/>
      <c r="Q585" s="3432"/>
      <c r="R585" s="3432"/>
      <c r="S585" s="3432"/>
      <c r="T585" s="3432"/>
      <c r="U585" s="3432"/>
      <c r="V585" s="3432"/>
      <c r="W585" s="3432"/>
      <c r="X585" s="3447">
        <v>0</v>
      </c>
      <c r="Y585" s="3432"/>
      <c r="Z585" s="3432"/>
      <c r="AA585" s="3432"/>
      <c r="AB585" s="3432"/>
      <c r="AC585" s="3432"/>
      <c r="AD585" s="3432"/>
      <c r="AE585" s="3432"/>
      <c r="AF585" s="3432"/>
      <c r="AG585" s="3432"/>
      <c r="AH585" s="3432"/>
      <c r="AI585" s="3432"/>
      <c r="AJ585" s="3432"/>
      <c r="AK585" s="3432"/>
      <c r="AL585" s="3432"/>
      <c r="AM585" s="3432"/>
      <c r="AN585" s="3497"/>
      <c r="AO585" s="3426"/>
    </row>
    <row r="586" spans="1:41">
      <c r="A586" s="5047" t="s">
        <v>832</v>
      </c>
      <c r="B586" s="5048"/>
      <c r="C586" s="3432"/>
      <c r="D586" s="3447">
        <v>0</v>
      </c>
      <c r="E586" s="3432"/>
      <c r="F586" s="3432"/>
      <c r="G586" s="3432"/>
      <c r="H586" s="3432"/>
      <c r="I586" s="3432"/>
      <c r="K586" s="3432"/>
      <c r="L586" s="3447">
        <v>0</v>
      </c>
      <c r="M586" s="3432"/>
      <c r="N586" s="3432"/>
      <c r="O586" s="3432"/>
      <c r="P586" s="3432"/>
      <c r="Q586" s="3432"/>
      <c r="R586" s="3432"/>
      <c r="S586" s="3432"/>
      <c r="T586" s="3432"/>
      <c r="U586" s="3432"/>
      <c r="V586" s="3432"/>
      <c r="W586" s="3432"/>
      <c r="X586" s="3447">
        <v>0</v>
      </c>
      <c r="Y586" s="3432"/>
      <c r="Z586" s="3432"/>
      <c r="AA586" s="3432"/>
      <c r="AB586" s="3432"/>
      <c r="AC586" s="3432"/>
      <c r="AD586" s="3432"/>
      <c r="AE586" s="3432"/>
      <c r="AF586" s="3432"/>
      <c r="AG586" s="3432"/>
      <c r="AH586" s="3432"/>
      <c r="AI586" s="3432"/>
      <c r="AJ586" s="3432"/>
      <c r="AK586" s="3432"/>
      <c r="AL586" s="3432"/>
      <c r="AM586" s="3432"/>
      <c r="AN586" s="3497"/>
      <c r="AO586" s="3426"/>
    </row>
    <row r="587" spans="1:41">
      <c r="A587" s="5047" t="s">
        <v>3</v>
      </c>
      <c r="B587" s="5048"/>
      <c r="C587" s="3432"/>
      <c r="D587" s="3447">
        <v>0</v>
      </c>
      <c r="E587" s="3432"/>
      <c r="F587" s="3432"/>
      <c r="G587" s="3432"/>
      <c r="H587" s="3432"/>
      <c r="I587" s="3432"/>
      <c r="K587" s="3432"/>
      <c r="L587" s="3447">
        <v>0</v>
      </c>
      <c r="M587" s="3432"/>
      <c r="N587" s="3432"/>
      <c r="O587" s="3432"/>
      <c r="P587" s="3432"/>
      <c r="Q587" s="3432"/>
      <c r="R587" s="3432"/>
      <c r="S587" s="3432"/>
      <c r="T587" s="3432"/>
      <c r="U587" s="3432"/>
      <c r="V587" s="3432"/>
      <c r="W587" s="3432"/>
      <c r="X587" s="3447">
        <v>0</v>
      </c>
      <c r="Y587" s="3432"/>
      <c r="Z587" s="3432"/>
      <c r="AA587" s="3432"/>
      <c r="AB587" s="3432"/>
      <c r="AC587" s="3432"/>
      <c r="AD587" s="3432"/>
      <c r="AE587" s="3432"/>
      <c r="AF587" s="3432"/>
      <c r="AG587" s="3432"/>
      <c r="AH587" s="3432"/>
      <c r="AI587" s="3432"/>
      <c r="AJ587" s="3432"/>
      <c r="AK587" s="3432"/>
      <c r="AL587" s="3432"/>
      <c r="AM587" s="3432"/>
      <c r="AN587" s="3497"/>
      <c r="AO587" s="3426"/>
    </row>
    <row r="588" spans="1:41">
      <c r="A588" s="5047" t="s">
        <v>6</v>
      </c>
      <c r="B588" s="5048"/>
      <c r="C588" s="3432"/>
      <c r="D588" s="3447">
        <v>0</v>
      </c>
      <c r="E588" s="3432"/>
      <c r="F588" s="3432"/>
      <c r="G588" s="3432"/>
      <c r="H588" s="3432"/>
      <c r="I588" s="3432"/>
      <c r="K588" s="3432"/>
      <c r="L588" s="3447">
        <v>0</v>
      </c>
      <c r="M588" s="3432"/>
      <c r="N588" s="3432"/>
      <c r="O588" s="3432"/>
      <c r="P588" s="3432"/>
      <c r="Q588" s="3432"/>
      <c r="R588" s="3432"/>
      <c r="S588" s="3432"/>
      <c r="T588" s="3432"/>
      <c r="U588" s="3432"/>
      <c r="V588" s="3432"/>
      <c r="W588" s="3432"/>
      <c r="X588" s="3447">
        <v>0</v>
      </c>
      <c r="Y588" s="3432"/>
      <c r="Z588" s="3432"/>
      <c r="AA588" s="3432"/>
      <c r="AB588" s="3432"/>
      <c r="AC588" s="3432"/>
      <c r="AD588" s="3432"/>
      <c r="AE588" s="3432"/>
      <c r="AF588" s="3432"/>
      <c r="AG588" s="3432"/>
      <c r="AH588" s="3432"/>
      <c r="AI588" s="3432"/>
      <c r="AJ588" s="3432"/>
      <c r="AK588" s="3432"/>
      <c r="AL588" s="3432"/>
      <c r="AM588" s="3432"/>
      <c r="AN588" s="3497"/>
      <c r="AO588" s="3426"/>
    </row>
    <row r="589" spans="1:41">
      <c r="A589" s="5047" t="s">
        <v>7</v>
      </c>
      <c r="B589" s="5048"/>
      <c r="C589" s="3432"/>
      <c r="D589" s="3452">
        <v>4.9167488773588803E-3</v>
      </c>
      <c r="E589" s="3432"/>
      <c r="F589" s="3432"/>
      <c r="G589" s="3432"/>
      <c r="H589" s="3432"/>
      <c r="I589" s="3432"/>
      <c r="K589" s="3432"/>
      <c r="L589" s="3454">
        <v>2.9206503071984798E-2</v>
      </c>
      <c r="M589" s="3432"/>
      <c r="N589" s="3432"/>
      <c r="O589" s="3432"/>
      <c r="P589" s="3432"/>
      <c r="Q589" s="3432"/>
      <c r="R589" s="3432"/>
      <c r="S589" s="3432"/>
      <c r="T589" s="3432"/>
      <c r="U589" s="3432"/>
      <c r="V589" s="3432"/>
      <c r="W589" s="3432"/>
      <c r="X589" s="3454">
        <v>2.89594573271552E-2</v>
      </c>
      <c r="Y589" s="3432"/>
      <c r="Z589" s="3432"/>
      <c r="AA589" s="3432"/>
      <c r="AB589" s="3432"/>
      <c r="AC589" s="3432"/>
      <c r="AD589" s="3432"/>
      <c r="AE589" s="3432"/>
      <c r="AF589" s="3432"/>
      <c r="AG589" s="3432"/>
      <c r="AH589" s="3432"/>
      <c r="AI589" s="3432"/>
      <c r="AJ589" s="3432"/>
      <c r="AK589" s="3432"/>
      <c r="AL589" s="3432"/>
      <c r="AM589" s="3432"/>
      <c r="AN589" s="3497"/>
      <c r="AO589" s="3426"/>
    </row>
    <row r="590" spans="1:41">
      <c r="A590" s="5047" t="s">
        <v>8</v>
      </c>
      <c r="B590" s="5048"/>
      <c r="C590" s="3432"/>
      <c r="D590" s="3451">
        <v>0.14180275700804101</v>
      </c>
      <c r="E590" s="3432"/>
      <c r="F590" s="3432"/>
      <c r="G590" s="3432"/>
      <c r="H590" s="3432"/>
      <c r="I590" s="3432"/>
      <c r="K590" s="3432"/>
      <c r="L590" s="3451">
        <v>0.171322910341145</v>
      </c>
      <c r="M590" s="3432"/>
      <c r="N590" s="3432"/>
      <c r="O590" s="3432"/>
      <c r="P590" s="3432"/>
      <c r="Q590" s="3432"/>
      <c r="R590" s="3432"/>
      <c r="S590" s="3432"/>
      <c r="T590" s="3432"/>
      <c r="U590" s="3432"/>
      <c r="V590" s="3432"/>
      <c r="W590" s="3432"/>
      <c r="X590" s="3451">
        <v>0.17102266735765301</v>
      </c>
      <c r="Y590" s="3432"/>
      <c r="Z590" s="3432"/>
      <c r="AA590" s="3432"/>
      <c r="AB590" s="3432"/>
      <c r="AC590" s="3432"/>
      <c r="AD590" s="3432"/>
      <c r="AE590" s="3432"/>
      <c r="AF590" s="3432"/>
      <c r="AG590" s="3432"/>
      <c r="AH590" s="3432"/>
      <c r="AI590" s="3432"/>
      <c r="AJ590" s="3432"/>
      <c r="AK590" s="3432"/>
      <c r="AL590" s="3432"/>
      <c r="AM590" s="3432"/>
      <c r="AN590" s="3497"/>
      <c r="AO590" s="3426"/>
    </row>
    <row r="591" spans="1:41">
      <c r="A591" s="5047" t="s">
        <v>66</v>
      </c>
      <c r="B591" s="5048"/>
      <c r="C591" s="3432"/>
      <c r="D591" s="3454">
        <v>7.2863007008664799E-2</v>
      </c>
      <c r="E591" s="3432"/>
      <c r="F591" s="3432"/>
      <c r="G591" s="3432"/>
      <c r="H591" s="3432"/>
      <c r="I591" s="3432"/>
      <c r="K591" s="3432"/>
      <c r="L591" s="3454">
        <v>8.4682428147881503E-2</v>
      </c>
      <c r="M591" s="3432"/>
      <c r="N591" s="3432"/>
      <c r="O591" s="3432"/>
      <c r="P591" s="3432"/>
      <c r="Q591" s="3432"/>
      <c r="R591" s="3432"/>
      <c r="S591" s="3432"/>
      <c r="T591" s="3432"/>
      <c r="U591" s="3432"/>
      <c r="V591" s="3432"/>
      <c r="W591" s="3432"/>
      <c r="X591" s="3454">
        <v>8.4562215416397996E-2</v>
      </c>
      <c r="Y591" s="3432"/>
      <c r="Z591" s="3432"/>
      <c r="AA591" s="3432"/>
      <c r="AB591" s="3432"/>
      <c r="AC591" s="3432"/>
      <c r="AD591" s="3432"/>
      <c r="AE591" s="3432"/>
      <c r="AF591" s="3432"/>
      <c r="AG591" s="3432"/>
      <c r="AH591" s="3432"/>
      <c r="AI591" s="3432"/>
      <c r="AJ591" s="3432"/>
      <c r="AK591" s="3432"/>
      <c r="AL591" s="3432"/>
      <c r="AM591" s="3432"/>
      <c r="AN591" s="3497"/>
      <c r="AO591" s="3426"/>
    </row>
    <row r="592" spans="1:41">
      <c r="A592" s="5047" t="s">
        <v>359</v>
      </c>
      <c r="B592" s="5048"/>
      <c r="C592" s="3432"/>
      <c r="D592" s="3451">
        <v>0.193245366414285</v>
      </c>
      <c r="E592" s="3432"/>
      <c r="F592" s="3432"/>
      <c r="G592" s="3432"/>
      <c r="H592" s="3432"/>
      <c r="I592" s="3432"/>
      <c r="K592" s="3432"/>
      <c r="L592" s="3451">
        <v>0.28227476049293798</v>
      </c>
      <c r="M592" s="3432"/>
      <c r="N592" s="3432"/>
      <c r="O592" s="3432"/>
      <c r="P592" s="3432"/>
      <c r="Q592" s="3432"/>
      <c r="R592" s="3432"/>
      <c r="S592" s="3432"/>
      <c r="T592" s="3432"/>
      <c r="U592" s="3432"/>
      <c r="V592" s="3432"/>
      <c r="W592" s="3432"/>
      <c r="X592" s="3451">
        <v>0.28136926211713398</v>
      </c>
      <c r="Y592" s="3432"/>
      <c r="Z592" s="3432"/>
      <c r="AA592" s="3432"/>
      <c r="AB592" s="3432"/>
      <c r="AC592" s="3432"/>
      <c r="AD592" s="3432"/>
      <c r="AE592" s="3432"/>
      <c r="AF592" s="3432"/>
      <c r="AG592" s="3432"/>
      <c r="AH592" s="3432"/>
      <c r="AI592" s="3432"/>
      <c r="AJ592" s="3432"/>
      <c r="AK592" s="3432"/>
      <c r="AL592" s="3432"/>
      <c r="AM592" s="3432"/>
      <c r="AN592" s="3497"/>
      <c r="AO592" s="3426"/>
    </row>
    <row r="593" spans="1:41">
      <c r="A593" s="5047" t="s">
        <v>68</v>
      </c>
      <c r="B593" s="5048"/>
      <c r="C593" s="3432"/>
      <c r="D593" s="3451">
        <v>0.106176881523664</v>
      </c>
      <c r="E593" s="3432"/>
      <c r="F593" s="3432"/>
      <c r="G593" s="3432"/>
      <c r="H593" s="3432"/>
      <c r="I593" s="3432"/>
      <c r="K593" s="3432"/>
      <c r="L593" s="3451">
        <v>0.21023752983566699</v>
      </c>
      <c r="M593" s="3432"/>
      <c r="N593" s="3432"/>
      <c r="O593" s="3432"/>
      <c r="P593" s="3432"/>
      <c r="Q593" s="3432"/>
      <c r="R593" s="3432"/>
      <c r="S593" s="3432"/>
      <c r="T593" s="3432"/>
      <c r="U593" s="3432"/>
      <c r="V593" s="3432"/>
      <c r="W593" s="3432"/>
      <c r="X593" s="3451">
        <v>0.20917915188076</v>
      </c>
      <c r="Y593" s="3432"/>
      <c r="Z593" s="3432"/>
      <c r="AA593" s="3432"/>
      <c r="AB593" s="3432"/>
      <c r="AC593" s="3432"/>
      <c r="AD593" s="3432"/>
      <c r="AE593" s="3432"/>
      <c r="AF593" s="3432"/>
      <c r="AG593" s="3432"/>
      <c r="AH593" s="3432"/>
      <c r="AI593" s="3432"/>
      <c r="AJ593" s="3432"/>
      <c r="AK593" s="3432"/>
      <c r="AL593" s="3432"/>
      <c r="AM593" s="3432"/>
      <c r="AN593" s="3497"/>
      <c r="AO593" s="3426"/>
    </row>
    <row r="594" spans="1:41">
      <c r="A594" s="5047" t="s">
        <v>669</v>
      </c>
      <c r="B594" s="5048"/>
      <c r="C594" s="3432"/>
      <c r="D594" s="3451">
        <v>0.137636698271417</v>
      </c>
      <c r="E594" s="3432"/>
      <c r="F594" s="3432"/>
      <c r="G594" s="3432"/>
      <c r="H594" s="3432"/>
      <c r="I594" s="3432"/>
      <c r="K594" s="3432"/>
      <c r="L594" s="3451">
        <v>0.28031670644755602</v>
      </c>
      <c r="M594" s="3432"/>
      <c r="N594" s="3432"/>
      <c r="O594" s="3432"/>
      <c r="P594" s="3432"/>
      <c r="Q594" s="3432"/>
      <c r="R594" s="3432"/>
      <c r="S594" s="3432"/>
      <c r="T594" s="3432"/>
      <c r="U594" s="3432"/>
      <c r="V594" s="3432"/>
      <c r="W594" s="3432"/>
      <c r="X594" s="3451">
        <v>0.27886553948185699</v>
      </c>
      <c r="Y594" s="3432"/>
      <c r="Z594" s="3432"/>
      <c r="AA594" s="3432"/>
      <c r="AB594" s="3432"/>
      <c r="AC594" s="3432"/>
      <c r="AD594" s="3432"/>
      <c r="AE594" s="3432"/>
      <c r="AF594" s="3432"/>
      <c r="AG594" s="3432"/>
      <c r="AH594" s="3432"/>
      <c r="AI594" s="3432"/>
      <c r="AJ594" s="3432"/>
      <c r="AK594" s="3432"/>
      <c r="AL594" s="3432"/>
      <c r="AM594" s="3432"/>
      <c r="AN594" s="3497"/>
      <c r="AO594" s="3426"/>
    </row>
    <row r="595" spans="1:41">
      <c r="A595" s="5047" t="s">
        <v>99</v>
      </c>
      <c r="B595" s="5048"/>
      <c r="C595" s="3432"/>
      <c r="D595" s="3447">
        <v>0</v>
      </c>
      <c r="E595" s="3432"/>
      <c r="F595" s="3432"/>
      <c r="G595" s="3432"/>
      <c r="H595" s="3432"/>
      <c r="I595" s="3432"/>
      <c r="K595" s="3432"/>
      <c r="L595" s="3447">
        <v>0</v>
      </c>
      <c r="M595" s="3432"/>
      <c r="N595" s="3432"/>
      <c r="O595" s="3432"/>
      <c r="P595" s="3432"/>
      <c r="Q595" s="3432"/>
      <c r="R595" s="3432"/>
      <c r="S595" s="3432"/>
      <c r="T595" s="3432"/>
      <c r="U595" s="3432"/>
      <c r="V595" s="3432"/>
      <c r="W595" s="3432"/>
      <c r="X595" s="3447">
        <v>0</v>
      </c>
      <c r="Y595" s="3432"/>
      <c r="Z595" s="3432"/>
      <c r="AA595" s="3432"/>
      <c r="AB595" s="3432"/>
      <c r="AC595" s="3432"/>
      <c r="AD595" s="3432"/>
      <c r="AE595" s="3432"/>
      <c r="AF595" s="3432"/>
      <c r="AG595" s="3432"/>
      <c r="AH595" s="3432"/>
      <c r="AI595" s="3432"/>
      <c r="AJ595" s="3432"/>
      <c r="AK595" s="3432"/>
      <c r="AL595" s="3432"/>
      <c r="AM595" s="3432"/>
      <c r="AN595" s="3497"/>
      <c r="AO595" s="3426"/>
    </row>
    <row r="596" spans="1:41">
      <c r="A596" s="5047" t="s">
        <v>422</v>
      </c>
      <c r="B596" s="5048"/>
      <c r="C596" s="3432"/>
      <c r="D596" s="3451">
        <v>0.122121931372335</v>
      </c>
      <c r="E596" s="3432"/>
      <c r="F596" s="3432"/>
      <c r="G596" s="3432"/>
      <c r="H596" s="3432"/>
      <c r="I596" s="3432"/>
      <c r="K596" s="3432"/>
      <c r="L596" s="3451">
        <v>0.251110203375571</v>
      </c>
      <c r="M596" s="3432"/>
      <c r="N596" s="3432"/>
      <c r="O596" s="3432"/>
      <c r="P596" s="3432"/>
      <c r="Q596" s="3432"/>
      <c r="R596" s="3432"/>
      <c r="S596" s="3432"/>
      <c r="T596" s="3432"/>
      <c r="U596" s="3432"/>
      <c r="V596" s="3432"/>
      <c r="W596" s="3432"/>
      <c r="X596" s="3451">
        <v>0.24979829204555101</v>
      </c>
      <c r="Y596" s="3432"/>
      <c r="Z596" s="3432"/>
      <c r="AA596" s="3432"/>
      <c r="AB596" s="3432"/>
      <c r="AC596" s="3432"/>
      <c r="AD596" s="3432"/>
      <c r="AE596" s="3432"/>
      <c r="AF596" s="3432"/>
      <c r="AG596" s="3432"/>
      <c r="AH596" s="3432"/>
      <c r="AI596" s="3432"/>
      <c r="AJ596" s="3432"/>
      <c r="AK596" s="3432"/>
      <c r="AL596" s="3432"/>
      <c r="AM596" s="3432"/>
      <c r="AN596" s="3497"/>
      <c r="AO596" s="3426"/>
    </row>
    <row r="597" spans="1:41">
      <c r="A597" s="5047" t="s">
        <v>10</v>
      </c>
      <c r="B597" s="5048"/>
      <c r="C597" s="3432"/>
      <c r="D597" s="3454">
        <v>8.9242949849013806E-2</v>
      </c>
      <c r="E597" s="3432"/>
      <c r="F597" s="3432"/>
      <c r="G597" s="3432"/>
      <c r="H597" s="3432"/>
      <c r="I597" s="3432"/>
      <c r="K597" s="3432"/>
      <c r="L597" s="3451">
        <v>0.209258502812976</v>
      </c>
      <c r="M597" s="3432"/>
      <c r="N597" s="3432"/>
      <c r="O597" s="3432"/>
      <c r="P597" s="3432"/>
      <c r="Q597" s="3432"/>
      <c r="R597" s="3432"/>
      <c r="S597" s="3432"/>
      <c r="T597" s="3432"/>
      <c r="U597" s="3432"/>
      <c r="V597" s="3432"/>
      <c r="W597" s="3432"/>
      <c r="X597" s="3451">
        <v>0.208037851033812</v>
      </c>
      <c r="Y597" s="3432"/>
      <c r="Z597" s="3432"/>
      <c r="AA597" s="3432"/>
      <c r="AB597" s="3432"/>
      <c r="AC597" s="3432"/>
      <c r="AD597" s="3432"/>
      <c r="AE597" s="3432"/>
      <c r="AF597" s="3432"/>
      <c r="AG597" s="3432"/>
      <c r="AH597" s="3432"/>
      <c r="AI597" s="3432"/>
      <c r="AJ597" s="3432"/>
      <c r="AK597" s="3432"/>
      <c r="AL597" s="3432"/>
      <c r="AM597" s="3432"/>
      <c r="AN597" s="3497"/>
      <c r="AO597" s="3426"/>
    </row>
    <row r="598" spans="1:41">
      <c r="A598" s="5047" t="s">
        <v>9</v>
      </c>
      <c r="B598" s="5048"/>
      <c r="C598" s="3432"/>
      <c r="D598" s="3454">
        <v>7.3393945632514695E-2</v>
      </c>
      <c r="E598" s="3432"/>
      <c r="F598" s="3432"/>
      <c r="G598" s="3432"/>
      <c r="H598" s="3432"/>
      <c r="I598" s="3432"/>
      <c r="K598" s="3432"/>
      <c r="L598" s="3451">
        <v>0.16349069415961701</v>
      </c>
      <c r="M598" s="3432"/>
      <c r="N598" s="3432"/>
      <c r="O598" s="3432"/>
      <c r="P598" s="3432"/>
      <c r="Q598" s="3432"/>
      <c r="R598" s="3432"/>
      <c r="S598" s="3432"/>
      <c r="T598" s="3432"/>
      <c r="U598" s="3432"/>
      <c r="V598" s="3432"/>
      <c r="W598" s="3432"/>
      <c r="X598" s="3451">
        <v>0.16257433995659501</v>
      </c>
      <c r="Y598" s="3432"/>
      <c r="Z598" s="3432"/>
      <c r="AA598" s="3432"/>
      <c r="AB598" s="3432"/>
      <c r="AC598" s="3432"/>
      <c r="AD598" s="3432"/>
      <c r="AE598" s="3432"/>
      <c r="AF598" s="3432"/>
      <c r="AG598" s="3432"/>
      <c r="AH598" s="3432"/>
      <c r="AI598" s="3432"/>
      <c r="AJ598" s="3432"/>
      <c r="AK598" s="3432"/>
      <c r="AL598" s="3432"/>
      <c r="AM598" s="3432"/>
      <c r="AN598" s="3497"/>
      <c r="AO598" s="3426"/>
    </row>
    <row r="599" spans="1:41">
      <c r="A599" s="5047" t="s">
        <v>11</v>
      </c>
      <c r="B599" s="5048"/>
      <c r="C599" s="3432"/>
      <c r="D599" s="3454">
        <v>7.2377403553992498E-2</v>
      </c>
      <c r="E599" s="3432"/>
      <c r="F599" s="3432"/>
      <c r="G599" s="3432"/>
      <c r="H599" s="3432"/>
      <c r="I599" s="3432"/>
      <c r="K599" s="3432"/>
      <c r="L599" s="3451">
        <v>0.15174236988732501</v>
      </c>
      <c r="M599" s="3432"/>
      <c r="N599" s="3432"/>
      <c r="O599" s="3432"/>
      <c r="P599" s="3432"/>
      <c r="Q599" s="3432"/>
      <c r="R599" s="3432"/>
      <c r="S599" s="3432"/>
      <c r="T599" s="3432"/>
      <c r="U599" s="3432"/>
      <c r="V599" s="3432"/>
      <c r="W599" s="3432"/>
      <c r="X599" s="3451">
        <v>0.150935166279413</v>
      </c>
      <c r="Y599" s="3432"/>
      <c r="Z599" s="3432"/>
      <c r="AA599" s="3432"/>
      <c r="AB599" s="3432"/>
      <c r="AC599" s="3432"/>
      <c r="AD599" s="3432"/>
      <c r="AE599" s="3432"/>
      <c r="AF599" s="3432"/>
      <c r="AG599" s="3432"/>
      <c r="AH599" s="3432"/>
      <c r="AI599" s="3432"/>
      <c r="AJ599" s="3432"/>
      <c r="AK599" s="3432"/>
      <c r="AL599" s="3432"/>
      <c r="AM599" s="3432"/>
      <c r="AN599" s="3497"/>
      <c r="AO599" s="3426"/>
    </row>
    <row r="600" spans="1:41">
      <c r="A600" s="5047" t="s">
        <v>12</v>
      </c>
      <c r="B600" s="5048"/>
      <c r="C600" s="3432"/>
      <c r="D600" s="3451">
        <v>0.16972349927519001</v>
      </c>
      <c r="E600" s="3432"/>
      <c r="F600" s="3432"/>
      <c r="G600" s="3432"/>
      <c r="H600" s="3432"/>
      <c r="I600" s="3432"/>
      <c r="K600" s="3432"/>
      <c r="L600" s="3451">
        <v>0.36785406185913799</v>
      </c>
      <c r="M600" s="3432"/>
      <c r="N600" s="3432"/>
      <c r="O600" s="3432"/>
      <c r="P600" s="3432"/>
      <c r="Q600" s="3432"/>
      <c r="R600" s="3432"/>
      <c r="S600" s="3432"/>
      <c r="T600" s="3432"/>
      <c r="U600" s="3432"/>
      <c r="V600" s="3432"/>
      <c r="W600" s="3432"/>
      <c r="X600" s="3451">
        <v>0.36583891950673397</v>
      </c>
      <c r="Y600" s="3432"/>
      <c r="Z600" s="3432"/>
      <c r="AA600" s="3432"/>
      <c r="AB600" s="3432"/>
      <c r="AC600" s="3432"/>
      <c r="AD600" s="3432"/>
      <c r="AE600" s="3432"/>
      <c r="AF600" s="3432"/>
      <c r="AG600" s="3432"/>
      <c r="AH600" s="3432"/>
      <c r="AI600" s="3432"/>
      <c r="AJ600" s="3432"/>
      <c r="AK600" s="3432"/>
      <c r="AL600" s="3432"/>
      <c r="AM600" s="3432"/>
      <c r="AN600" s="3497"/>
      <c r="AO600" s="3426"/>
    </row>
    <row r="601" spans="1:41">
      <c r="A601" s="5047" t="s">
        <v>48</v>
      </c>
      <c r="B601" s="5048"/>
      <c r="C601" s="3432"/>
      <c r="D601" s="3447">
        <v>0</v>
      </c>
      <c r="E601" s="3432"/>
      <c r="F601" s="3432"/>
      <c r="G601" s="3432"/>
      <c r="H601" s="3432"/>
      <c r="I601" s="3432"/>
      <c r="K601" s="3432"/>
      <c r="L601" s="3447">
        <v>0</v>
      </c>
      <c r="M601" s="3432"/>
      <c r="N601" s="3432"/>
      <c r="O601" s="3432"/>
      <c r="P601" s="3432"/>
      <c r="Q601" s="3432"/>
      <c r="R601" s="3432"/>
      <c r="S601" s="3432"/>
      <c r="T601" s="3432"/>
      <c r="U601" s="3432"/>
      <c r="V601" s="3432"/>
      <c r="W601" s="3432"/>
      <c r="X601" s="3447">
        <v>0</v>
      </c>
      <c r="Y601" s="3432"/>
      <c r="Z601" s="3432"/>
      <c r="AA601" s="3432"/>
      <c r="AB601" s="3432"/>
      <c r="AC601" s="3432"/>
      <c r="AD601" s="3432"/>
      <c r="AE601" s="3432"/>
      <c r="AF601" s="3432"/>
      <c r="AG601" s="3432"/>
      <c r="AH601" s="3432"/>
      <c r="AI601" s="3432"/>
      <c r="AJ601" s="3432"/>
      <c r="AK601" s="3432"/>
      <c r="AL601" s="3432"/>
      <c r="AM601" s="3432"/>
      <c r="AN601" s="3497"/>
      <c r="AO601" s="3426"/>
    </row>
    <row r="602" spans="1:41">
      <c r="A602" s="5047" t="s">
        <v>751</v>
      </c>
      <c r="B602" s="5048"/>
      <c r="C602" s="3432"/>
      <c r="D602" s="3454">
        <v>6.5538211529757306E-2</v>
      </c>
      <c r="E602" s="3432"/>
      <c r="F602" s="3432"/>
      <c r="G602" s="3432"/>
      <c r="H602" s="3432"/>
      <c r="I602" s="3432"/>
      <c r="K602" s="3432"/>
      <c r="L602" s="3451">
        <v>0.14599143845773799</v>
      </c>
      <c r="M602" s="3432"/>
      <c r="N602" s="3432"/>
      <c r="O602" s="3432"/>
      <c r="P602" s="3432"/>
      <c r="Q602" s="3432"/>
      <c r="R602" s="3432"/>
      <c r="S602" s="3432"/>
      <c r="T602" s="3432"/>
      <c r="U602" s="3432"/>
      <c r="V602" s="3432"/>
      <c r="W602" s="3432"/>
      <c r="X602" s="3451">
        <v>0.145173166390795</v>
      </c>
      <c r="Y602" s="3432"/>
      <c r="Z602" s="3432"/>
      <c r="AA602" s="3432"/>
      <c r="AB602" s="3432"/>
      <c r="AC602" s="3432"/>
      <c r="AD602" s="3432"/>
      <c r="AE602" s="3432"/>
      <c r="AF602" s="3432"/>
      <c r="AG602" s="3432"/>
      <c r="AH602" s="3432"/>
      <c r="AI602" s="3432"/>
      <c r="AJ602" s="3432"/>
      <c r="AK602" s="3432"/>
      <c r="AL602" s="3432"/>
      <c r="AM602" s="3432"/>
      <c r="AN602" s="3497"/>
      <c r="AO602" s="3426"/>
    </row>
    <row r="603" spans="1:41">
      <c r="A603" s="5047" t="s">
        <v>65</v>
      </c>
      <c r="B603" s="5048"/>
      <c r="C603" s="3432"/>
      <c r="D603" s="3451">
        <v>0.20336239102342599</v>
      </c>
      <c r="E603" s="3432"/>
      <c r="F603" s="3432"/>
      <c r="G603" s="3432"/>
      <c r="H603" s="3432"/>
      <c r="I603" s="3432"/>
      <c r="K603" s="3432"/>
      <c r="L603" s="3451">
        <v>0.52453264376210496</v>
      </c>
      <c r="M603" s="3432"/>
      <c r="N603" s="3432"/>
      <c r="O603" s="3432"/>
      <c r="P603" s="3432"/>
      <c r="Q603" s="3432"/>
      <c r="R603" s="3432"/>
      <c r="S603" s="3432"/>
      <c r="T603" s="3432"/>
      <c r="U603" s="3432"/>
      <c r="V603" s="3432"/>
      <c r="W603" s="3432"/>
      <c r="X603" s="3451">
        <v>0.52126609179664496</v>
      </c>
      <c r="Y603" s="3432"/>
      <c r="Z603" s="3432"/>
      <c r="AA603" s="3432"/>
      <c r="AB603" s="3432"/>
      <c r="AC603" s="3432"/>
      <c r="AD603" s="3432"/>
      <c r="AE603" s="3432"/>
      <c r="AF603" s="3432"/>
      <c r="AG603" s="3432"/>
      <c r="AH603" s="3432"/>
      <c r="AI603" s="3432"/>
      <c r="AJ603" s="3432"/>
      <c r="AK603" s="3432"/>
      <c r="AL603" s="3432"/>
      <c r="AM603" s="3432"/>
      <c r="AN603" s="3497"/>
      <c r="AO603" s="3426"/>
    </row>
    <row r="604" spans="1:41">
      <c r="A604" s="5047" t="s">
        <v>13</v>
      </c>
      <c r="B604" s="5048"/>
      <c r="C604" s="3432"/>
      <c r="D604" s="3451">
        <v>0.12561490543203499</v>
      </c>
      <c r="E604" s="3432"/>
      <c r="F604" s="3432"/>
      <c r="G604" s="3432"/>
      <c r="H604" s="3432"/>
      <c r="I604" s="3432"/>
      <c r="K604" s="3432"/>
      <c r="L604" s="3451">
        <v>0.34064668973472201</v>
      </c>
      <c r="M604" s="3432"/>
      <c r="N604" s="3432"/>
      <c r="O604" s="3432"/>
      <c r="P604" s="3432"/>
      <c r="Q604" s="3432"/>
      <c r="R604" s="3432"/>
      <c r="S604" s="3432"/>
      <c r="T604" s="3432"/>
      <c r="U604" s="3432"/>
      <c r="V604" s="3432"/>
      <c r="W604" s="3432"/>
      <c r="X604" s="3451">
        <v>0.33845964877541601</v>
      </c>
      <c r="Y604" s="3432"/>
      <c r="Z604" s="3432"/>
      <c r="AA604" s="3432"/>
      <c r="AB604" s="3432"/>
      <c r="AC604" s="3432"/>
      <c r="AD604" s="3432"/>
      <c r="AE604" s="3432"/>
      <c r="AF604" s="3432"/>
      <c r="AG604" s="3432"/>
      <c r="AH604" s="3432"/>
      <c r="AI604" s="3432"/>
      <c r="AJ604" s="3432"/>
      <c r="AK604" s="3432"/>
      <c r="AL604" s="3432"/>
      <c r="AM604" s="3432"/>
      <c r="AN604" s="3497"/>
      <c r="AO604" s="3426"/>
    </row>
    <row r="605" spans="1:41">
      <c r="A605" s="5047" t="s">
        <v>14</v>
      </c>
      <c r="B605" s="5048"/>
      <c r="C605" s="3432"/>
      <c r="D605" s="3451">
        <v>0.110484321061638</v>
      </c>
      <c r="E605" s="3432"/>
      <c r="F605" s="3432"/>
      <c r="G605" s="3432"/>
      <c r="H605" s="3432"/>
      <c r="I605" s="3432"/>
      <c r="K605" s="3432"/>
      <c r="L605" s="3451">
        <v>0.31323393309937397</v>
      </c>
      <c r="M605" s="3432"/>
      <c r="N605" s="3432"/>
      <c r="O605" s="3432"/>
      <c r="P605" s="3432"/>
      <c r="Q605" s="3432"/>
      <c r="R605" s="3432"/>
      <c r="S605" s="3432"/>
      <c r="T605" s="3432"/>
      <c r="U605" s="3432"/>
      <c r="V605" s="3432"/>
      <c r="W605" s="3432"/>
      <c r="X605" s="3451">
        <v>0.31117181141141997</v>
      </c>
      <c r="Y605" s="3432"/>
      <c r="Z605" s="3432"/>
      <c r="AA605" s="3432"/>
      <c r="AB605" s="3432"/>
      <c r="AC605" s="3432"/>
      <c r="AD605" s="3432"/>
      <c r="AE605" s="3432"/>
      <c r="AF605" s="3432"/>
      <c r="AG605" s="3432"/>
      <c r="AH605" s="3432"/>
      <c r="AI605" s="3432"/>
      <c r="AJ605" s="3432"/>
      <c r="AK605" s="3432"/>
      <c r="AL605" s="3432"/>
      <c r="AM605" s="3432"/>
      <c r="AN605" s="3497"/>
      <c r="AO605" s="3426"/>
    </row>
    <row r="606" spans="1:41">
      <c r="A606" s="5047" t="s">
        <v>424</v>
      </c>
      <c r="B606" s="5048"/>
      <c r="C606" s="3432"/>
      <c r="D606" s="3451">
        <v>0.199233212623524</v>
      </c>
      <c r="E606" s="3432"/>
      <c r="F606" s="3432"/>
      <c r="G606" s="3432"/>
      <c r="H606" s="3432"/>
      <c r="I606" s="3432"/>
      <c r="K606" s="3432"/>
      <c r="L606" s="3451">
        <v>0.77666295106255401</v>
      </c>
      <c r="M606" s="3432"/>
      <c r="N606" s="3432"/>
      <c r="O606" s="3432"/>
      <c r="P606" s="3432"/>
      <c r="Q606" s="3432"/>
      <c r="R606" s="3432"/>
      <c r="S606" s="3432"/>
      <c r="T606" s="3432"/>
      <c r="U606" s="3432"/>
      <c r="V606" s="3432"/>
      <c r="W606" s="3432"/>
      <c r="X606" s="3451">
        <v>0.77079004025923803</v>
      </c>
      <c r="Y606" s="3432"/>
      <c r="Z606" s="3432"/>
      <c r="AA606" s="3432"/>
      <c r="AB606" s="3432"/>
      <c r="AC606" s="3432"/>
      <c r="AD606" s="3432"/>
      <c r="AE606" s="3432"/>
      <c r="AF606" s="3432"/>
      <c r="AG606" s="3432"/>
      <c r="AH606" s="3432"/>
      <c r="AI606" s="3432"/>
      <c r="AJ606" s="3432"/>
      <c r="AK606" s="3432"/>
      <c r="AL606" s="3432"/>
      <c r="AM606" s="3432"/>
      <c r="AN606" s="3497"/>
      <c r="AO606" s="3426"/>
    </row>
    <row r="607" spans="1:41">
      <c r="A607" s="5047" t="s">
        <v>16</v>
      </c>
      <c r="B607" s="5048"/>
      <c r="C607" s="3432"/>
      <c r="D607" s="3452">
        <v>5.7865348607161696E-3</v>
      </c>
      <c r="E607" s="3432"/>
      <c r="F607" s="3432"/>
      <c r="G607" s="3432"/>
      <c r="H607" s="3432"/>
      <c r="I607" s="3432"/>
      <c r="K607" s="3432"/>
      <c r="L607" s="3447">
        <v>0</v>
      </c>
      <c r="M607" s="3432"/>
      <c r="N607" s="3432"/>
      <c r="O607" s="3432"/>
      <c r="P607" s="3432"/>
      <c r="Q607" s="3432"/>
      <c r="R607" s="3432"/>
      <c r="S607" s="3432"/>
      <c r="T607" s="3432"/>
      <c r="U607" s="3432"/>
      <c r="V607" s="3432"/>
      <c r="W607" s="3432"/>
      <c r="X607" s="3449">
        <v>5.8853572711915497E-5</v>
      </c>
      <c r="Y607" s="3432"/>
      <c r="Z607" s="3432"/>
      <c r="AA607" s="3432"/>
      <c r="AB607" s="3432"/>
      <c r="AC607" s="3432"/>
      <c r="AD607" s="3432"/>
      <c r="AE607" s="3432"/>
      <c r="AF607" s="3432"/>
      <c r="AG607" s="3432"/>
      <c r="AH607" s="3432"/>
      <c r="AI607" s="3432"/>
      <c r="AJ607" s="3432"/>
      <c r="AK607" s="3432"/>
      <c r="AL607" s="3432"/>
      <c r="AM607" s="3432"/>
      <c r="AN607" s="3497"/>
      <c r="AO607" s="3426"/>
    </row>
    <row r="608" spans="1:41">
      <c r="A608" s="5047" t="s">
        <v>770</v>
      </c>
      <c r="B608" s="5048"/>
      <c r="C608" s="3432"/>
      <c r="D608" s="3454">
        <v>5.78653486071617E-2</v>
      </c>
      <c r="E608" s="3432"/>
      <c r="F608" s="3432"/>
      <c r="G608" s="3432"/>
      <c r="H608" s="3432"/>
      <c r="I608" s="3432"/>
      <c r="K608" s="3432"/>
      <c r="L608" s="3451">
        <v>0.20623926794053099</v>
      </c>
      <c r="M608" s="3432"/>
      <c r="N608" s="3432"/>
      <c r="O608" s="3432"/>
      <c r="P608" s="3432"/>
      <c r="Q608" s="3432"/>
      <c r="R608" s="3432"/>
      <c r="S608" s="3432"/>
      <c r="T608" s="3432"/>
      <c r="U608" s="3432"/>
      <c r="V608" s="3432"/>
      <c r="W608" s="3432"/>
      <c r="X608" s="3451">
        <v>0.20473018945742599</v>
      </c>
      <c r="Y608" s="3432"/>
      <c r="Z608" s="3432"/>
      <c r="AA608" s="3432"/>
      <c r="AB608" s="3432"/>
      <c r="AC608" s="3432"/>
      <c r="AD608" s="3432"/>
      <c r="AE608" s="3432"/>
      <c r="AF608" s="3432"/>
      <c r="AG608" s="3432"/>
      <c r="AH608" s="3432"/>
      <c r="AI608" s="3432"/>
      <c r="AJ608" s="3432"/>
      <c r="AK608" s="3432"/>
      <c r="AL608" s="3432"/>
      <c r="AM608" s="3432"/>
      <c r="AN608" s="3497"/>
      <c r="AO608" s="3426"/>
    </row>
    <row r="609" spans="1:41">
      <c r="A609" s="5047" t="s">
        <v>833</v>
      </c>
      <c r="B609" s="5048"/>
      <c r="C609" s="3432"/>
      <c r="D609" s="3451">
        <v>0.132820605068319</v>
      </c>
      <c r="E609" s="3432"/>
      <c r="F609" s="3432"/>
      <c r="G609" s="3432"/>
      <c r="H609" s="3432"/>
      <c r="I609" s="3432"/>
      <c r="K609" s="3432"/>
      <c r="L609" s="3451">
        <v>0.74745644799056798</v>
      </c>
      <c r="M609" s="3432"/>
      <c r="N609" s="3432"/>
      <c r="O609" s="3432"/>
      <c r="P609" s="3432"/>
      <c r="Q609" s="3432"/>
      <c r="R609" s="3432"/>
      <c r="S609" s="3432"/>
      <c r="T609" s="3432"/>
      <c r="U609" s="3432"/>
      <c r="V609" s="3432"/>
      <c r="W609" s="3432"/>
      <c r="X609" s="3451">
        <v>0.74120512208594702</v>
      </c>
      <c r="Y609" s="3432"/>
      <c r="Z609" s="3432"/>
      <c r="AA609" s="3432"/>
      <c r="AB609" s="3432"/>
      <c r="AC609" s="3432"/>
      <c r="AD609" s="3432"/>
      <c r="AE609" s="3432"/>
      <c r="AF609" s="3432"/>
      <c r="AG609" s="3432"/>
      <c r="AH609" s="3432"/>
      <c r="AI609" s="3432"/>
      <c r="AJ609" s="3432"/>
      <c r="AK609" s="3432"/>
      <c r="AL609" s="3432"/>
      <c r="AM609" s="3432"/>
      <c r="AN609" s="3497"/>
      <c r="AO609" s="3426"/>
    </row>
    <row r="610" spans="1:41">
      <c r="A610" s="5047" t="s">
        <v>834</v>
      </c>
      <c r="B610" s="5048"/>
      <c r="C610" s="3432"/>
      <c r="D610" s="3454">
        <v>8.5305862713454403E-2</v>
      </c>
      <c r="E610" s="3432"/>
      <c r="F610" s="3432"/>
      <c r="G610" s="3432"/>
      <c r="H610" s="3432"/>
      <c r="I610" s="3432"/>
      <c r="K610" s="3432"/>
      <c r="L610" s="3451">
        <v>0.82920179507037695</v>
      </c>
      <c r="M610" s="3432"/>
      <c r="N610" s="3432"/>
      <c r="O610" s="3432"/>
      <c r="P610" s="3432"/>
      <c r="Q610" s="3432"/>
      <c r="R610" s="3432"/>
      <c r="S610" s="3432"/>
      <c r="T610" s="3432"/>
      <c r="U610" s="3432"/>
      <c r="V610" s="3432"/>
      <c r="W610" s="3432"/>
      <c r="X610" s="3451">
        <v>0.82163579324045599</v>
      </c>
      <c r="Y610" s="3432"/>
      <c r="Z610" s="3432"/>
      <c r="AA610" s="3432"/>
      <c r="AB610" s="3432"/>
      <c r="AC610" s="3432"/>
      <c r="AD610" s="3432"/>
      <c r="AE610" s="3432"/>
      <c r="AF610" s="3432"/>
      <c r="AG610" s="3432"/>
      <c r="AH610" s="3432"/>
      <c r="AI610" s="3432"/>
      <c r="AJ610" s="3432"/>
      <c r="AK610" s="3432"/>
      <c r="AL610" s="3432"/>
      <c r="AM610" s="3432"/>
      <c r="AN610" s="3497"/>
      <c r="AO610" s="3426"/>
    </row>
    <row r="611" spans="1:41">
      <c r="A611" s="5047" t="s">
        <v>752</v>
      </c>
      <c r="B611" s="5048"/>
      <c r="C611" s="3432"/>
      <c r="D611" s="3451">
        <v>0.128970424148311</v>
      </c>
      <c r="E611" s="3432"/>
      <c r="F611" s="3432"/>
      <c r="G611" s="3432"/>
      <c r="H611" s="3432"/>
      <c r="I611" s="3432"/>
      <c r="K611" s="3432"/>
      <c r="L611" s="3453">
        <v>8.1718499939197802</v>
      </c>
      <c r="M611" s="3432"/>
      <c r="N611" s="3432"/>
      <c r="O611" s="3432"/>
      <c r="P611" s="3432"/>
      <c r="Q611" s="3432"/>
      <c r="R611" s="3432"/>
      <c r="S611" s="3432"/>
      <c r="T611" s="3432"/>
      <c r="U611" s="3432"/>
      <c r="V611" s="3432"/>
      <c r="W611" s="3432"/>
      <c r="X611" s="3453">
        <v>8.0900476356921605</v>
      </c>
      <c r="Y611" s="3432"/>
      <c r="Z611" s="3432"/>
      <c r="AA611" s="3432"/>
      <c r="AB611" s="3432"/>
      <c r="AC611" s="3432"/>
      <c r="AD611" s="3432"/>
      <c r="AE611" s="3432"/>
      <c r="AF611" s="3432"/>
      <c r="AG611" s="3432"/>
      <c r="AH611" s="3432"/>
      <c r="AI611" s="3432"/>
      <c r="AJ611" s="3432"/>
      <c r="AK611" s="3432"/>
      <c r="AL611" s="3432"/>
      <c r="AM611" s="3432"/>
      <c r="AN611" s="3497"/>
      <c r="AO611" s="3426"/>
    </row>
    <row r="612" spans="1:41" ht="13" thickBot="1">
      <c r="A612" s="5049" t="s">
        <v>425</v>
      </c>
      <c r="B612" s="5050"/>
      <c r="C612" s="3433" t="s">
        <v>426</v>
      </c>
      <c r="D612" s="3433" t="s">
        <v>426</v>
      </c>
      <c r="E612" s="3433" t="s">
        <v>426</v>
      </c>
      <c r="F612" s="3433" t="s">
        <v>426</v>
      </c>
      <c r="G612" s="3433" t="s">
        <v>426</v>
      </c>
      <c r="H612" s="3433" t="s">
        <v>426</v>
      </c>
      <c r="I612" s="3433" t="s">
        <v>426</v>
      </c>
      <c r="K612" s="3433" t="s">
        <v>426</v>
      </c>
      <c r="L612" s="3433" t="s">
        <v>426</v>
      </c>
      <c r="M612" s="3433" t="s">
        <v>426</v>
      </c>
      <c r="N612" s="3433" t="s">
        <v>426</v>
      </c>
      <c r="O612" s="3433" t="s">
        <v>426</v>
      </c>
      <c r="P612" s="3433" t="s">
        <v>426</v>
      </c>
      <c r="Q612" s="3433" t="s">
        <v>426</v>
      </c>
      <c r="R612" s="3433" t="s">
        <v>426</v>
      </c>
      <c r="S612" s="3433" t="s">
        <v>426</v>
      </c>
      <c r="T612" s="3433" t="s">
        <v>426</v>
      </c>
      <c r="U612" s="3433" t="s">
        <v>426</v>
      </c>
      <c r="V612" s="3433" t="s">
        <v>426</v>
      </c>
      <c r="W612" s="3433" t="s">
        <v>426</v>
      </c>
      <c r="X612" s="3433" t="s">
        <v>426</v>
      </c>
      <c r="Y612" s="3433" t="s">
        <v>426</v>
      </c>
      <c r="Z612" s="3433" t="s">
        <v>426</v>
      </c>
      <c r="AA612" s="3433" t="s">
        <v>426</v>
      </c>
      <c r="AB612" s="3433" t="s">
        <v>426</v>
      </c>
      <c r="AC612" s="3433" t="s">
        <v>426</v>
      </c>
      <c r="AD612" s="3433" t="s">
        <v>426</v>
      </c>
      <c r="AE612" s="3433" t="s">
        <v>426</v>
      </c>
      <c r="AF612" s="3433" t="s">
        <v>426</v>
      </c>
      <c r="AG612" s="3433" t="s">
        <v>426</v>
      </c>
      <c r="AH612" s="3433" t="s">
        <v>426</v>
      </c>
      <c r="AI612" s="3433" t="s">
        <v>426</v>
      </c>
      <c r="AJ612" s="3433" t="s">
        <v>426</v>
      </c>
      <c r="AK612" s="3433" t="s">
        <v>426</v>
      </c>
      <c r="AL612" s="3433" t="s">
        <v>426</v>
      </c>
      <c r="AM612" s="3433" t="s">
        <v>426</v>
      </c>
      <c r="AN612" s="3444" t="s">
        <v>426</v>
      </c>
      <c r="AO612" s="3426"/>
    </row>
    <row r="613" spans="1:41" ht="13" thickTop="1">
      <c r="A613" s="5051" t="s">
        <v>298</v>
      </c>
      <c r="B613" s="5052"/>
      <c r="C613" s="3432"/>
      <c r="D613" s="3472">
        <v>1693.1125555440201</v>
      </c>
      <c r="E613" s="3432"/>
      <c r="F613" s="3432"/>
      <c r="G613" s="3432"/>
      <c r="H613" s="3432"/>
      <c r="I613" s="3432"/>
      <c r="K613" s="3432"/>
      <c r="L613" s="3467">
        <v>144606.438710571</v>
      </c>
      <c r="M613" s="3432"/>
      <c r="N613" s="3432"/>
      <c r="O613" s="3432"/>
      <c r="P613" s="3432"/>
      <c r="Q613" s="3432"/>
      <c r="R613" s="3432"/>
      <c r="S613" s="3432"/>
      <c r="T613" s="3432"/>
      <c r="U613" s="3432"/>
      <c r="V613" s="3432"/>
      <c r="W613" s="3432"/>
      <c r="X613" s="3467">
        <v>146299.55126611501</v>
      </c>
      <c r="Y613" s="3432"/>
      <c r="Z613" s="3432"/>
      <c r="AA613" s="3432"/>
      <c r="AB613" s="3432"/>
      <c r="AC613" s="3432"/>
      <c r="AD613" s="3432"/>
      <c r="AE613" s="3432"/>
      <c r="AF613" s="3432"/>
      <c r="AG613" s="3432"/>
      <c r="AH613" s="3432"/>
      <c r="AI613" s="3432"/>
      <c r="AJ613" s="3432"/>
      <c r="AK613" s="3432"/>
      <c r="AL613" s="3432"/>
      <c r="AM613" s="3432"/>
      <c r="AN613" s="3497"/>
      <c r="AO613" s="3426"/>
    </row>
    <row r="614" spans="1:41">
      <c r="A614" s="5047" t="s">
        <v>5</v>
      </c>
      <c r="B614" s="5048"/>
      <c r="C614" s="3432"/>
      <c r="D614" s="3447">
        <v>0</v>
      </c>
      <c r="E614" s="3432"/>
      <c r="F614" s="3432"/>
      <c r="G614" s="3432"/>
      <c r="H614" s="3432"/>
      <c r="I614" s="3432"/>
      <c r="K614" s="3432"/>
      <c r="L614" s="3447">
        <v>0</v>
      </c>
      <c r="M614" s="3432"/>
      <c r="N614" s="3432"/>
      <c r="O614" s="3432"/>
      <c r="P614" s="3432"/>
      <c r="Q614" s="3432"/>
      <c r="R614" s="3432"/>
      <c r="S614" s="3432"/>
      <c r="T614" s="3432"/>
      <c r="U614" s="3432"/>
      <c r="V614" s="3432"/>
      <c r="W614" s="3432"/>
      <c r="X614" s="3447">
        <v>0</v>
      </c>
      <c r="Y614" s="3432"/>
      <c r="Z614" s="3432"/>
      <c r="AA614" s="3432"/>
      <c r="AB614" s="3432"/>
      <c r="AC614" s="3432"/>
      <c r="AD614" s="3432"/>
      <c r="AE614" s="3432"/>
      <c r="AF614" s="3432"/>
      <c r="AG614" s="3432"/>
      <c r="AH614" s="3432"/>
      <c r="AI614" s="3432"/>
      <c r="AJ614" s="3432"/>
      <c r="AK614" s="3432"/>
      <c r="AL614" s="3432"/>
      <c r="AM614" s="3432"/>
      <c r="AN614" s="3497"/>
      <c r="AO614" s="3426"/>
    </row>
    <row r="615" spans="1:41">
      <c r="A615" s="5047" t="s">
        <v>832</v>
      </c>
      <c r="B615" s="5048"/>
      <c r="C615" s="3432"/>
      <c r="D615" s="3447">
        <v>0</v>
      </c>
      <c r="E615" s="3432"/>
      <c r="F615" s="3432"/>
      <c r="G615" s="3432"/>
      <c r="H615" s="3432"/>
      <c r="I615" s="3432"/>
      <c r="K615" s="3432"/>
      <c r="L615" s="3447">
        <v>0</v>
      </c>
      <c r="M615" s="3432"/>
      <c r="N615" s="3432"/>
      <c r="O615" s="3432"/>
      <c r="P615" s="3432"/>
      <c r="Q615" s="3432"/>
      <c r="R615" s="3432"/>
      <c r="S615" s="3432"/>
      <c r="T615" s="3432"/>
      <c r="U615" s="3432"/>
      <c r="V615" s="3432"/>
      <c r="W615" s="3432"/>
      <c r="X615" s="3447">
        <v>0</v>
      </c>
      <c r="Y615" s="3432"/>
      <c r="Z615" s="3432"/>
      <c r="AA615" s="3432"/>
      <c r="AB615" s="3432"/>
      <c r="AC615" s="3432"/>
      <c r="AD615" s="3432"/>
      <c r="AE615" s="3432"/>
      <c r="AF615" s="3432"/>
      <c r="AG615" s="3432"/>
      <c r="AH615" s="3432"/>
      <c r="AI615" s="3432"/>
      <c r="AJ615" s="3432"/>
      <c r="AK615" s="3432"/>
      <c r="AL615" s="3432"/>
      <c r="AM615" s="3432"/>
      <c r="AN615" s="3497"/>
      <c r="AO615" s="3426"/>
    </row>
    <row r="616" spans="1:41">
      <c r="A616" s="5047" t="s">
        <v>3</v>
      </c>
      <c r="B616" s="5048"/>
      <c r="C616" s="3432"/>
      <c r="D616" s="3447">
        <v>0</v>
      </c>
      <c r="E616" s="3432"/>
      <c r="F616" s="3432"/>
      <c r="G616" s="3432"/>
      <c r="H616" s="3432"/>
      <c r="I616" s="3432"/>
      <c r="K616" s="3432"/>
      <c r="L616" s="3447">
        <v>0</v>
      </c>
      <c r="M616" s="3432"/>
      <c r="N616" s="3432"/>
      <c r="O616" s="3432"/>
      <c r="P616" s="3432"/>
      <c r="Q616" s="3432"/>
      <c r="R616" s="3432"/>
      <c r="S616" s="3432"/>
      <c r="T616" s="3432"/>
      <c r="U616" s="3432"/>
      <c r="V616" s="3432"/>
      <c r="W616" s="3432"/>
      <c r="X616" s="3447">
        <v>0</v>
      </c>
      <c r="Y616" s="3432"/>
      <c r="Z616" s="3432"/>
      <c r="AA616" s="3432"/>
      <c r="AB616" s="3432"/>
      <c r="AC616" s="3432"/>
      <c r="AD616" s="3432"/>
      <c r="AE616" s="3432"/>
      <c r="AF616" s="3432"/>
      <c r="AG616" s="3432"/>
      <c r="AH616" s="3432"/>
      <c r="AI616" s="3432"/>
      <c r="AJ616" s="3432"/>
      <c r="AK616" s="3432"/>
      <c r="AL616" s="3432"/>
      <c r="AM616" s="3432"/>
      <c r="AN616" s="3497"/>
      <c r="AO616" s="3426"/>
    </row>
    <row r="617" spans="1:41">
      <c r="A617" s="5047" t="s">
        <v>6</v>
      </c>
      <c r="B617" s="5048"/>
      <c r="C617" s="3432"/>
      <c r="D617" s="3447">
        <v>0</v>
      </c>
      <c r="E617" s="3432"/>
      <c r="F617" s="3432"/>
      <c r="G617" s="3432"/>
      <c r="H617" s="3432"/>
      <c r="I617" s="3432"/>
      <c r="K617" s="3432"/>
      <c r="L617" s="3447">
        <v>0</v>
      </c>
      <c r="M617" s="3432"/>
      <c r="N617" s="3432"/>
      <c r="O617" s="3432"/>
      <c r="P617" s="3432"/>
      <c r="Q617" s="3432"/>
      <c r="R617" s="3432"/>
      <c r="S617" s="3432"/>
      <c r="T617" s="3432"/>
      <c r="U617" s="3432"/>
      <c r="V617" s="3432"/>
      <c r="W617" s="3432"/>
      <c r="X617" s="3447">
        <v>0</v>
      </c>
      <c r="Y617" s="3432"/>
      <c r="Z617" s="3432"/>
      <c r="AA617" s="3432"/>
      <c r="AB617" s="3432"/>
      <c r="AC617" s="3432"/>
      <c r="AD617" s="3432"/>
      <c r="AE617" s="3432"/>
      <c r="AF617" s="3432"/>
      <c r="AG617" s="3432"/>
      <c r="AH617" s="3432"/>
      <c r="AI617" s="3432"/>
      <c r="AJ617" s="3432"/>
      <c r="AK617" s="3432"/>
      <c r="AL617" s="3432"/>
      <c r="AM617" s="3432"/>
      <c r="AN617" s="3497"/>
      <c r="AO617" s="3426"/>
    </row>
    <row r="618" spans="1:41">
      <c r="A618" s="5047" t="s">
        <v>7</v>
      </c>
      <c r="B618" s="5048"/>
      <c r="C618" s="3432"/>
      <c r="D618" s="3454">
        <v>8.5204503602663295E-2</v>
      </c>
      <c r="E618" s="3432"/>
      <c r="F618" s="3432"/>
      <c r="G618" s="3432"/>
      <c r="H618" s="3432"/>
      <c r="I618" s="3432"/>
      <c r="K618" s="3432"/>
      <c r="L618" s="3455">
        <v>49.257242648233003</v>
      </c>
      <c r="M618" s="3432"/>
      <c r="N618" s="3432"/>
      <c r="O618" s="3432"/>
      <c r="P618" s="3432"/>
      <c r="Q618" s="3432"/>
      <c r="R618" s="3432"/>
      <c r="S618" s="3432"/>
      <c r="T618" s="3432"/>
      <c r="U618" s="3432"/>
      <c r="V618" s="3432"/>
      <c r="W618" s="3432"/>
      <c r="X618" s="3455">
        <v>49.342447151835501</v>
      </c>
      <c r="Y618" s="3432"/>
      <c r="Z618" s="3432"/>
      <c r="AA618" s="3432"/>
      <c r="AB618" s="3432"/>
      <c r="AC618" s="3432"/>
      <c r="AD618" s="3432"/>
      <c r="AE618" s="3432"/>
      <c r="AF618" s="3432"/>
      <c r="AG618" s="3432"/>
      <c r="AH618" s="3432"/>
      <c r="AI618" s="3432"/>
      <c r="AJ618" s="3432"/>
      <c r="AK618" s="3432"/>
      <c r="AL618" s="3432"/>
      <c r="AM618" s="3432"/>
      <c r="AN618" s="3497"/>
      <c r="AO618" s="3426"/>
    </row>
    <row r="619" spans="1:41">
      <c r="A619" s="5047" t="s">
        <v>8</v>
      </c>
      <c r="B619" s="5048"/>
      <c r="C619" s="3432"/>
      <c r="D619" s="3453">
        <v>2.4573623387593901</v>
      </c>
      <c r="E619" s="3432"/>
      <c r="F619" s="3432"/>
      <c r="G619" s="3432"/>
      <c r="H619" s="3432"/>
      <c r="I619" s="3432"/>
      <c r="K619" s="3432"/>
      <c r="L619" s="3471">
        <v>288.93887587555503</v>
      </c>
      <c r="M619" s="3432"/>
      <c r="N619" s="3432"/>
      <c r="O619" s="3432"/>
      <c r="P619" s="3432"/>
      <c r="Q619" s="3432"/>
      <c r="R619" s="3432"/>
      <c r="S619" s="3432"/>
      <c r="T619" s="3432"/>
      <c r="U619" s="3432"/>
      <c r="V619" s="3432"/>
      <c r="W619" s="3432"/>
      <c r="X619" s="3471">
        <v>291.39623821431297</v>
      </c>
      <c r="Y619" s="3432"/>
      <c r="Z619" s="3432"/>
      <c r="AA619" s="3432"/>
      <c r="AB619" s="3432"/>
      <c r="AC619" s="3432"/>
      <c r="AD619" s="3432"/>
      <c r="AE619" s="3432"/>
      <c r="AF619" s="3432"/>
      <c r="AG619" s="3432"/>
      <c r="AH619" s="3432"/>
      <c r="AI619" s="3432"/>
      <c r="AJ619" s="3432"/>
      <c r="AK619" s="3432"/>
      <c r="AL619" s="3432"/>
      <c r="AM619" s="3432"/>
      <c r="AN619" s="3497"/>
      <c r="AO619" s="3426"/>
    </row>
    <row r="620" spans="1:41">
      <c r="A620" s="5047" t="s">
        <v>66</v>
      </c>
      <c r="B620" s="5048"/>
      <c r="C620" s="3432"/>
      <c r="D620" s="3453">
        <v>1.26267509242927</v>
      </c>
      <c r="E620" s="3432"/>
      <c r="F620" s="3432"/>
      <c r="G620" s="3432"/>
      <c r="H620" s="3432"/>
      <c r="I620" s="3432"/>
      <c r="K620" s="3432"/>
      <c r="L620" s="3471">
        <v>142.81829293431699</v>
      </c>
      <c r="M620" s="3432"/>
      <c r="N620" s="3432"/>
      <c r="O620" s="3432"/>
      <c r="P620" s="3432"/>
      <c r="Q620" s="3432"/>
      <c r="R620" s="3432"/>
      <c r="S620" s="3432"/>
      <c r="T620" s="3432"/>
      <c r="U620" s="3432"/>
      <c r="V620" s="3432"/>
      <c r="W620" s="3432"/>
      <c r="X620" s="3471">
        <v>144.08096802674501</v>
      </c>
      <c r="Y620" s="3432"/>
      <c r="Z620" s="3432"/>
      <c r="AA620" s="3432"/>
      <c r="AB620" s="3432"/>
      <c r="AC620" s="3432"/>
      <c r="AD620" s="3432"/>
      <c r="AE620" s="3432"/>
      <c r="AF620" s="3432"/>
      <c r="AG620" s="3432"/>
      <c r="AH620" s="3432"/>
      <c r="AI620" s="3432"/>
      <c r="AJ620" s="3432"/>
      <c r="AK620" s="3432"/>
      <c r="AL620" s="3432"/>
      <c r="AM620" s="3432"/>
      <c r="AN620" s="3497"/>
      <c r="AO620" s="3426"/>
    </row>
    <row r="621" spans="1:41">
      <c r="A621" s="5047" t="s">
        <v>359</v>
      </c>
      <c r="B621" s="5048"/>
      <c r="C621" s="3432"/>
      <c r="D621" s="3453">
        <v>3.34883394079068</v>
      </c>
      <c r="E621" s="3432"/>
      <c r="F621" s="3432"/>
      <c r="G621" s="3432"/>
      <c r="H621" s="3432"/>
      <c r="I621" s="3432"/>
      <c r="K621" s="3432"/>
      <c r="L621" s="3471">
        <v>476.06097644772302</v>
      </c>
      <c r="M621" s="3432"/>
      <c r="N621" s="3432"/>
      <c r="O621" s="3432"/>
      <c r="P621" s="3432"/>
      <c r="Q621" s="3432"/>
      <c r="R621" s="3432"/>
      <c r="S621" s="3432"/>
      <c r="T621" s="3432"/>
      <c r="U621" s="3432"/>
      <c r="V621" s="3432"/>
      <c r="W621" s="3432"/>
      <c r="X621" s="3471">
        <v>479.409810388511</v>
      </c>
      <c r="Y621" s="3432"/>
      <c r="Z621" s="3432"/>
      <c r="AA621" s="3432"/>
      <c r="AB621" s="3432"/>
      <c r="AC621" s="3432"/>
      <c r="AD621" s="3432"/>
      <c r="AE621" s="3432"/>
      <c r="AF621" s="3432"/>
      <c r="AG621" s="3432"/>
      <c r="AH621" s="3432"/>
      <c r="AI621" s="3432"/>
      <c r="AJ621" s="3432"/>
      <c r="AK621" s="3432"/>
      <c r="AL621" s="3432"/>
      <c r="AM621" s="3432"/>
      <c r="AN621" s="3497"/>
      <c r="AO621" s="3426"/>
    </row>
    <row r="622" spans="1:41">
      <c r="A622" s="5047" t="s">
        <v>68</v>
      </c>
      <c r="B622" s="5048"/>
      <c r="C622" s="3432"/>
      <c r="D622" s="3453">
        <v>1.8399858748047799</v>
      </c>
      <c r="E622" s="3432"/>
      <c r="F622" s="3432"/>
      <c r="G622" s="3432"/>
      <c r="H622" s="3432"/>
      <c r="I622" s="3432"/>
      <c r="K622" s="3432"/>
      <c r="L622" s="3471">
        <v>354.56901483060102</v>
      </c>
      <c r="M622" s="3432"/>
      <c r="N622" s="3432"/>
      <c r="O622" s="3432"/>
      <c r="P622" s="3432"/>
      <c r="Q622" s="3432"/>
      <c r="R622" s="3432"/>
      <c r="S622" s="3432"/>
      <c r="T622" s="3432"/>
      <c r="U622" s="3432"/>
      <c r="V622" s="3432"/>
      <c r="W622" s="3432"/>
      <c r="X622" s="3471">
        <v>356.40900070540403</v>
      </c>
      <c r="Y622" s="3432"/>
      <c r="Z622" s="3432"/>
      <c r="AA622" s="3432"/>
      <c r="AB622" s="3432"/>
      <c r="AC622" s="3432"/>
      <c r="AD622" s="3432"/>
      <c r="AE622" s="3432"/>
      <c r="AF622" s="3432"/>
      <c r="AG622" s="3432"/>
      <c r="AH622" s="3432"/>
      <c r="AI622" s="3432"/>
      <c r="AJ622" s="3432"/>
      <c r="AK622" s="3432"/>
      <c r="AL622" s="3432"/>
      <c r="AM622" s="3432"/>
      <c r="AN622" s="3497"/>
      <c r="AO622" s="3426"/>
    </row>
    <row r="623" spans="1:41">
      <c r="A623" s="5047" t="s">
        <v>669</v>
      </c>
      <c r="B623" s="5048"/>
      <c r="C623" s="3432"/>
      <c r="D623" s="3453">
        <v>2.3851668747469401</v>
      </c>
      <c r="E623" s="3432"/>
      <c r="F623" s="3432"/>
      <c r="G623" s="3432"/>
      <c r="H623" s="3432"/>
      <c r="I623" s="3432"/>
      <c r="K623" s="3432"/>
      <c r="L623" s="3471">
        <v>472.758686440801</v>
      </c>
      <c r="M623" s="3432"/>
      <c r="N623" s="3432"/>
      <c r="O623" s="3432"/>
      <c r="P623" s="3432"/>
      <c r="Q623" s="3432"/>
      <c r="R623" s="3432"/>
      <c r="S623" s="3432"/>
      <c r="T623" s="3432"/>
      <c r="U623" s="3432"/>
      <c r="V623" s="3432"/>
      <c r="W623" s="3432"/>
      <c r="X623" s="3471">
        <v>475.14385331554598</v>
      </c>
      <c r="Y623" s="3432"/>
      <c r="Z623" s="3432"/>
      <c r="AA623" s="3432"/>
      <c r="AB623" s="3432"/>
      <c r="AC623" s="3432"/>
      <c r="AD623" s="3432"/>
      <c r="AE623" s="3432"/>
      <c r="AF623" s="3432"/>
      <c r="AG623" s="3432"/>
      <c r="AH623" s="3432"/>
      <c r="AI623" s="3432"/>
      <c r="AJ623" s="3432"/>
      <c r="AK623" s="3432"/>
      <c r="AL623" s="3432"/>
      <c r="AM623" s="3432"/>
      <c r="AN623" s="3497"/>
      <c r="AO623" s="3426"/>
    </row>
    <row r="624" spans="1:41">
      <c r="A624" s="5047" t="s">
        <v>99</v>
      </c>
      <c r="B624" s="5048"/>
      <c r="C624" s="3432"/>
      <c r="D624" s="3447">
        <v>0</v>
      </c>
      <c r="E624" s="3432"/>
      <c r="F624" s="3432"/>
      <c r="G624" s="3432"/>
      <c r="H624" s="3432"/>
      <c r="I624" s="3432"/>
      <c r="K624" s="3432"/>
      <c r="L624" s="3447">
        <v>0</v>
      </c>
      <c r="M624" s="3432"/>
      <c r="N624" s="3432"/>
      <c r="O624" s="3432"/>
      <c r="P624" s="3432"/>
      <c r="Q624" s="3432"/>
      <c r="R624" s="3432"/>
      <c r="S624" s="3432"/>
      <c r="T624" s="3432"/>
      <c r="U624" s="3432"/>
      <c r="V624" s="3432"/>
      <c r="W624" s="3432"/>
      <c r="X624" s="3447">
        <v>0</v>
      </c>
      <c r="Y624" s="3432"/>
      <c r="Z624" s="3432"/>
      <c r="AA624" s="3432"/>
      <c r="AB624" s="3432"/>
      <c r="AC624" s="3432"/>
      <c r="AD624" s="3432"/>
      <c r="AE624" s="3432"/>
      <c r="AF624" s="3432"/>
      <c r="AG624" s="3432"/>
      <c r="AH624" s="3432"/>
      <c r="AI624" s="3432"/>
      <c r="AJ624" s="3432"/>
      <c r="AK624" s="3432"/>
      <c r="AL624" s="3432"/>
      <c r="AM624" s="3432"/>
      <c r="AN624" s="3497"/>
      <c r="AO624" s="3426"/>
    </row>
    <row r="625" spans="1:41">
      <c r="A625" s="5047" t="s">
        <v>422</v>
      </c>
      <c r="B625" s="5048"/>
      <c r="C625" s="3432"/>
      <c r="D625" s="3453">
        <v>2.1163046560083201</v>
      </c>
      <c r="E625" s="3432"/>
      <c r="F625" s="3432"/>
      <c r="G625" s="3432"/>
      <c r="H625" s="3432"/>
      <c r="I625" s="3432"/>
      <c r="K625" s="3432"/>
      <c r="L625" s="3471">
        <v>423.50144379256801</v>
      </c>
      <c r="M625" s="3432"/>
      <c r="N625" s="3432"/>
      <c r="O625" s="3432"/>
      <c r="P625" s="3432"/>
      <c r="Q625" s="3432"/>
      <c r="R625" s="3432"/>
      <c r="S625" s="3432"/>
      <c r="T625" s="3432"/>
      <c r="U625" s="3432"/>
      <c r="V625" s="3432"/>
      <c r="W625" s="3432"/>
      <c r="X625" s="3471">
        <v>425.61774844857501</v>
      </c>
      <c r="Y625" s="3432"/>
      <c r="Z625" s="3432"/>
      <c r="AA625" s="3432"/>
      <c r="AB625" s="3432"/>
      <c r="AC625" s="3432"/>
      <c r="AD625" s="3432"/>
      <c r="AE625" s="3432"/>
      <c r="AF625" s="3432"/>
      <c r="AG625" s="3432"/>
      <c r="AH625" s="3432"/>
      <c r="AI625" s="3432"/>
      <c r="AJ625" s="3432"/>
      <c r="AK625" s="3432"/>
      <c r="AL625" s="3432"/>
      <c r="AM625" s="3432"/>
      <c r="AN625" s="3497"/>
      <c r="AO625" s="3426"/>
    </row>
    <row r="626" spans="1:41">
      <c r="A626" s="5047" t="s">
        <v>10</v>
      </c>
      <c r="B626" s="5048"/>
      <c r="C626" s="3432"/>
      <c r="D626" s="3453">
        <v>1.54653032554454</v>
      </c>
      <c r="E626" s="3432"/>
      <c r="F626" s="3432"/>
      <c r="G626" s="3432"/>
      <c r="H626" s="3432"/>
      <c r="I626" s="3432"/>
      <c r="K626" s="3432"/>
      <c r="L626" s="3471">
        <v>352.91786982714001</v>
      </c>
      <c r="M626" s="3432"/>
      <c r="N626" s="3432"/>
      <c r="O626" s="3432"/>
      <c r="P626" s="3432"/>
      <c r="Q626" s="3432"/>
      <c r="R626" s="3432"/>
      <c r="S626" s="3432"/>
      <c r="T626" s="3432"/>
      <c r="U626" s="3432"/>
      <c r="V626" s="3432"/>
      <c r="W626" s="3432"/>
      <c r="X626" s="3471">
        <v>354.46440015268303</v>
      </c>
      <c r="Y626" s="3432"/>
      <c r="Z626" s="3432"/>
      <c r="AA626" s="3432"/>
      <c r="AB626" s="3432"/>
      <c r="AC626" s="3432"/>
      <c r="AD626" s="3432"/>
      <c r="AE626" s="3432"/>
      <c r="AF626" s="3432"/>
      <c r="AG626" s="3432"/>
      <c r="AH626" s="3432"/>
      <c r="AI626" s="3432"/>
      <c r="AJ626" s="3432"/>
      <c r="AK626" s="3432"/>
      <c r="AL626" s="3432"/>
      <c r="AM626" s="3432"/>
      <c r="AN626" s="3497"/>
      <c r="AO626" s="3426"/>
    </row>
    <row r="627" spans="1:41">
      <c r="A627" s="5047" t="s">
        <v>9</v>
      </c>
      <c r="B627" s="5048"/>
      <c r="C627" s="3432"/>
      <c r="D627" s="3453">
        <v>1.27187596134022</v>
      </c>
      <c r="E627" s="3432"/>
      <c r="F627" s="3432"/>
      <c r="G627" s="3432"/>
      <c r="H627" s="3432"/>
      <c r="I627" s="3432"/>
      <c r="K627" s="3432"/>
      <c r="L627" s="3471">
        <v>275.72971584787001</v>
      </c>
      <c r="M627" s="3432"/>
      <c r="N627" s="3432"/>
      <c r="O627" s="3432"/>
      <c r="P627" s="3432"/>
      <c r="Q627" s="3432"/>
      <c r="R627" s="3432"/>
      <c r="S627" s="3432"/>
      <c r="T627" s="3432"/>
      <c r="U627" s="3432"/>
      <c r="V627" s="3432"/>
      <c r="W627" s="3432"/>
      <c r="X627" s="3471">
        <v>277.001591809209</v>
      </c>
      <c r="Y627" s="3432"/>
      <c r="Z627" s="3432"/>
      <c r="AA627" s="3432"/>
      <c r="AB627" s="3432"/>
      <c r="AC627" s="3432"/>
      <c r="AD627" s="3432"/>
      <c r="AE627" s="3432"/>
      <c r="AF627" s="3432"/>
      <c r="AG627" s="3432"/>
      <c r="AH627" s="3432"/>
      <c r="AI627" s="3432"/>
      <c r="AJ627" s="3432"/>
      <c r="AK627" s="3432"/>
      <c r="AL627" s="3432"/>
      <c r="AM627" s="3432"/>
      <c r="AN627" s="3497"/>
      <c r="AO627" s="3426"/>
    </row>
    <row r="628" spans="1:41">
      <c r="A628" s="5047" t="s">
        <v>11</v>
      </c>
      <c r="B628" s="5048"/>
      <c r="C628" s="3432"/>
      <c r="D628" s="3453">
        <v>1.2542598566026899</v>
      </c>
      <c r="E628" s="3432"/>
      <c r="F628" s="3432"/>
      <c r="G628" s="3432"/>
      <c r="H628" s="3432"/>
      <c r="I628" s="3432"/>
      <c r="K628" s="3432"/>
      <c r="L628" s="3471">
        <v>255.91597580634101</v>
      </c>
      <c r="M628" s="3432"/>
      <c r="N628" s="3432"/>
      <c r="O628" s="3432"/>
      <c r="P628" s="3432"/>
      <c r="Q628" s="3432"/>
      <c r="R628" s="3432"/>
      <c r="S628" s="3432"/>
      <c r="T628" s="3432"/>
      <c r="U628" s="3432"/>
      <c r="V628" s="3432"/>
      <c r="W628" s="3432"/>
      <c r="X628" s="3471">
        <v>257.17023566294301</v>
      </c>
      <c r="Y628" s="3432"/>
      <c r="Z628" s="3432"/>
      <c r="AA628" s="3432"/>
      <c r="AB628" s="3432"/>
      <c r="AC628" s="3432"/>
      <c r="AD628" s="3432"/>
      <c r="AE628" s="3432"/>
      <c r="AF628" s="3432"/>
      <c r="AG628" s="3432"/>
      <c r="AH628" s="3432"/>
      <c r="AI628" s="3432"/>
      <c r="AJ628" s="3432"/>
      <c r="AK628" s="3432"/>
      <c r="AL628" s="3432"/>
      <c r="AM628" s="3432"/>
      <c r="AN628" s="3497"/>
      <c r="AO628" s="3426"/>
    </row>
    <row r="629" spans="1:41">
      <c r="A629" s="5047" t="s">
        <v>12</v>
      </c>
      <c r="B629" s="5048"/>
      <c r="C629" s="3432"/>
      <c r="D629" s="3453">
        <v>2.9412131605992502</v>
      </c>
      <c r="E629" s="3432"/>
      <c r="F629" s="3432"/>
      <c r="G629" s="3432"/>
      <c r="H629" s="3432"/>
      <c r="I629" s="3432"/>
      <c r="K629" s="3432"/>
      <c r="L629" s="3471">
        <v>620.39186065770605</v>
      </c>
      <c r="M629" s="3432"/>
      <c r="N629" s="3432"/>
      <c r="O629" s="3432"/>
      <c r="P629" s="3432"/>
      <c r="Q629" s="3432"/>
      <c r="R629" s="3432"/>
      <c r="S629" s="3432"/>
      <c r="T629" s="3432"/>
      <c r="U629" s="3432"/>
      <c r="V629" s="3432"/>
      <c r="W629" s="3432"/>
      <c r="X629" s="3471">
        <v>623.33307381830298</v>
      </c>
      <c r="Y629" s="3432"/>
      <c r="Z629" s="3432"/>
      <c r="AA629" s="3432"/>
      <c r="AB629" s="3432"/>
      <c r="AC629" s="3432"/>
      <c r="AD629" s="3432"/>
      <c r="AE629" s="3432"/>
      <c r="AF629" s="3432"/>
      <c r="AG629" s="3432"/>
      <c r="AH629" s="3432"/>
      <c r="AI629" s="3432"/>
      <c r="AJ629" s="3432"/>
      <c r="AK629" s="3432"/>
      <c r="AL629" s="3432"/>
      <c r="AM629" s="3432"/>
      <c r="AN629" s="3497"/>
      <c r="AO629" s="3426"/>
    </row>
    <row r="630" spans="1:41">
      <c r="A630" s="5047" t="s">
        <v>48</v>
      </c>
      <c r="B630" s="5048"/>
      <c r="C630" s="3432"/>
      <c r="D630" s="3447">
        <v>0</v>
      </c>
      <c r="E630" s="3432"/>
      <c r="F630" s="3432"/>
      <c r="G630" s="3432"/>
      <c r="H630" s="3432"/>
      <c r="I630" s="3432"/>
      <c r="K630" s="3432"/>
      <c r="L630" s="3447">
        <v>0</v>
      </c>
      <c r="M630" s="3432"/>
      <c r="N630" s="3432"/>
      <c r="O630" s="3432"/>
      <c r="P630" s="3432"/>
      <c r="Q630" s="3432"/>
      <c r="R630" s="3432"/>
      <c r="S630" s="3432"/>
      <c r="T630" s="3432"/>
      <c r="U630" s="3432"/>
      <c r="V630" s="3432"/>
      <c r="W630" s="3432"/>
      <c r="X630" s="3447">
        <v>0</v>
      </c>
      <c r="Y630" s="3432"/>
      <c r="Z630" s="3432"/>
      <c r="AA630" s="3432"/>
      <c r="AB630" s="3432"/>
      <c r="AC630" s="3432"/>
      <c r="AD630" s="3432"/>
      <c r="AE630" s="3432"/>
      <c r="AF630" s="3432"/>
      <c r="AG630" s="3432"/>
      <c r="AH630" s="3432"/>
      <c r="AI630" s="3432"/>
      <c r="AJ630" s="3432"/>
      <c r="AK630" s="3432"/>
      <c r="AL630" s="3432"/>
      <c r="AM630" s="3432"/>
      <c r="AN630" s="3497"/>
      <c r="AO630" s="3426"/>
    </row>
    <row r="631" spans="1:41">
      <c r="A631" s="5047" t="s">
        <v>751</v>
      </c>
      <c r="B631" s="5048"/>
      <c r="C631" s="3432"/>
      <c r="D631" s="3453">
        <v>1.1357404902482899</v>
      </c>
      <c r="E631" s="3432"/>
      <c r="F631" s="3432"/>
      <c r="G631" s="3432"/>
      <c r="H631" s="3432"/>
      <c r="I631" s="3432"/>
      <c r="K631" s="3432"/>
      <c r="L631" s="3471">
        <v>246.21693637726801</v>
      </c>
      <c r="M631" s="3432"/>
      <c r="N631" s="3432"/>
      <c r="O631" s="3432"/>
      <c r="P631" s="3432"/>
      <c r="Q631" s="3432"/>
      <c r="R631" s="3432"/>
      <c r="S631" s="3432"/>
      <c r="T631" s="3432"/>
      <c r="U631" s="3432"/>
      <c r="V631" s="3432"/>
      <c r="W631" s="3432"/>
      <c r="X631" s="3471">
        <v>247.35267686751499</v>
      </c>
      <c r="Y631" s="3432"/>
      <c r="Z631" s="3432"/>
      <c r="AA631" s="3432"/>
      <c r="AB631" s="3432"/>
      <c r="AC631" s="3432"/>
      <c r="AD631" s="3432"/>
      <c r="AE631" s="3432"/>
      <c r="AF631" s="3432"/>
      <c r="AG631" s="3432"/>
      <c r="AH631" s="3432"/>
      <c r="AI631" s="3432"/>
      <c r="AJ631" s="3432"/>
      <c r="AK631" s="3432"/>
      <c r="AL631" s="3432"/>
      <c r="AM631" s="3432"/>
      <c r="AN631" s="3497"/>
      <c r="AO631" s="3426"/>
    </row>
    <row r="632" spans="1:41">
      <c r="A632" s="5047" t="s">
        <v>65</v>
      </c>
      <c r="B632" s="5048"/>
      <c r="C632" s="3432"/>
      <c r="D632" s="3453">
        <v>3.5241563095468602</v>
      </c>
      <c r="E632" s="3432"/>
      <c r="F632" s="3432"/>
      <c r="G632" s="3432"/>
      <c r="H632" s="3432"/>
      <c r="I632" s="3432"/>
      <c r="K632" s="3432"/>
      <c r="L632" s="3471">
        <v>884.63283834524805</v>
      </c>
      <c r="M632" s="3432"/>
      <c r="N632" s="3432"/>
      <c r="O632" s="3432"/>
      <c r="P632" s="3432"/>
      <c r="Q632" s="3432"/>
      <c r="R632" s="3432"/>
      <c r="S632" s="3432"/>
      <c r="T632" s="3432"/>
      <c r="U632" s="3432"/>
      <c r="V632" s="3432"/>
      <c r="W632" s="3432"/>
      <c r="X632" s="3471">
        <v>888.15699465479099</v>
      </c>
      <c r="Y632" s="3432"/>
      <c r="Z632" s="3432"/>
      <c r="AA632" s="3432"/>
      <c r="AB632" s="3432"/>
      <c r="AC632" s="3432"/>
      <c r="AD632" s="3432"/>
      <c r="AE632" s="3432"/>
      <c r="AF632" s="3432"/>
      <c r="AG632" s="3432"/>
      <c r="AH632" s="3432"/>
      <c r="AI632" s="3432"/>
      <c r="AJ632" s="3432"/>
      <c r="AK632" s="3432"/>
      <c r="AL632" s="3432"/>
      <c r="AM632" s="3432"/>
      <c r="AN632" s="3497"/>
      <c r="AO632" s="3426"/>
    </row>
    <row r="633" spans="1:41">
      <c r="A633" s="5047" t="s">
        <v>13</v>
      </c>
      <c r="B633" s="5048"/>
      <c r="C633" s="3432"/>
      <c r="D633" s="3453">
        <v>2.1768359396425598</v>
      </c>
      <c r="E633" s="3432"/>
      <c r="F633" s="3432"/>
      <c r="G633" s="3432"/>
      <c r="H633" s="3432"/>
      <c r="I633" s="3432"/>
      <c r="K633" s="3432"/>
      <c r="L633" s="3471">
        <v>574.50618488029204</v>
      </c>
      <c r="M633" s="3432"/>
      <c r="N633" s="3432"/>
      <c r="O633" s="3432"/>
      <c r="P633" s="3432"/>
      <c r="Q633" s="3432"/>
      <c r="R633" s="3432"/>
      <c r="S633" s="3432"/>
      <c r="T633" s="3432"/>
      <c r="U633" s="3432"/>
      <c r="V633" s="3432"/>
      <c r="W633" s="3432"/>
      <c r="X633" s="3471">
        <v>576.68302081993204</v>
      </c>
      <c r="Y633" s="3432"/>
      <c r="Z633" s="3432"/>
      <c r="AA633" s="3432"/>
      <c r="AB633" s="3432"/>
      <c r="AC633" s="3432"/>
      <c r="AD633" s="3432"/>
      <c r="AE633" s="3432"/>
      <c r="AF633" s="3432"/>
      <c r="AG633" s="3432"/>
      <c r="AH633" s="3432"/>
      <c r="AI633" s="3432"/>
      <c r="AJ633" s="3432"/>
      <c r="AK633" s="3432"/>
      <c r="AL633" s="3432"/>
      <c r="AM633" s="3432"/>
      <c r="AN633" s="3497"/>
      <c r="AO633" s="3426"/>
    </row>
    <row r="634" spans="1:41">
      <c r="A634" s="5047" t="s">
        <v>14</v>
      </c>
      <c r="B634" s="5048"/>
      <c r="C634" s="3432"/>
      <c r="D634" s="3453">
        <v>1.91463138890081</v>
      </c>
      <c r="E634" s="3432"/>
      <c r="F634" s="3432"/>
      <c r="G634" s="3432"/>
      <c r="H634" s="3432"/>
      <c r="I634" s="3432"/>
      <c r="K634" s="3432"/>
      <c r="L634" s="3471">
        <v>528.27412478339204</v>
      </c>
      <c r="M634" s="3432"/>
      <c r="N634" s="3432"/>
      <c r="O634" s="3432"/>
      <c r="P634" s="3432"/>
      <c r="Q634" s="3432"/>
      <c r="R634" s="3432"/>
      <c r="S634" s="3432"/>
      <c r="T634" s="3432"/>
      <c r="U634" s="3432"/>
      <c r="V634" s="3432"/>
      <c r="W634" s="3432"/>
      <c r="X634" s="3471">
        <v>530.18875617229105</v>
      </c>
      <c r="Y634" s="3432"/>
      <c r="Z634" s="3432"/>
      <c r="AA634" s="3432"/>
      <c r="AB634" s="3432"/>
      <c r="AC634" s="3432"/>
      <c r="AD634" s="3432"/>
      <c r="AE634" s="3432"/>
      <c r="AF634" s="3432"/>
      <c r="AG634" s="3432"/>
      <c r="AH634" s="3432"/>
      <c r="AI634" s="3432"/>
      <c r="AJ634" s="3432"/>
      <c r="AK634" s="3432"/>
      <c r="AL634" s="3432"/>
      <c r="AM634" s="3432"/>
      <c r="AN634" s="3497"/>
      <c r="AO634" s="3426"/>
    </row>
    <row r="635" spans="1:41">
      <c r="A635" s="5047" t="s">
        <v>424</v>
      </c>
      <c r="B635" s="5048"/>
      <c r="C635" s="3432"/>
      <c r="D635" s="3453">
        <v>3.45259996110885</v>
      </c>
      <c r="E635" s="3432"/>
      <c r="F635" s="3432"/>
      <c r="G635" s="3432"/>
      <c r="H635" s="3432"/>
      <c r="I635" s="3432"/>
      <c r="K635" s="3432"/>
      <c r="L635" s="3472">
        <v>1309.8547040051701</v>
      </c>
      <c r="M635" s="3432"/>
      <c r="N635" s="3432"/>
      <c r="O635" s="3432"/>
      <c r="P635" s="3432"/>
      <c r="Q635" s="3432"/>
      <c r="R635" s="3432"/>
      <c r="S635" s="3432"/>
      <c r="T635" s="3432"/>
      <c r="U635" s="3432"/>
      <c r="V635" s="3432"/>
      <c r="W635" s="3432"/>
      <c r="X635" s="3472">
        <v>1313.30730396628</v>
      </c>
      <c r="Y635" s="3432"/>
      <c r="Z635" s="3432"/>
      <c r="AA635" s="3432"/>
      <c r="AB635" s="3432"/>
      <c r="AC635" s="3432"/>
      <c r="AD635" s="3432"/>
      <c r="AE635" s="3432"/>
      <c r="AF635" s="3432"/>
      <c r="AG635" s="3432"/>
      <c r="AH635" s="3432"/>
      <c r="AI635" s="3432"/>
      <c r="AJ635" s="3432"/>
      <c r="AK635" s="3432"/>
      <c r="AL635" s="3432"/>
      <c r="AM635" s="3432"/>
      <c r="AN635" s="3497"/>
      <c r="AO635" s="3426"/>
    </row>
    <row r="636" spans="1:41">
      <c r="A636" s="5047" t="s">
        <v>16</v>
      </c>
      <c r="B636" s="5048"/>
      <c r="C636" s="3432"/>
      <c r="D636" s="3451">
        <v>0.100277407426119</v>
      </c>
      <c r="E636" s="3432"/>
      <c r="F636" s="3432"/>
      <c r="G636" s="3432"/>
      <c r="H636" s="3432"/>
      <c r="I636" s="3432"/>
      <c r="K636" s="3432"/>
      <c r="L636" s="3447">
        <v>0</v>
      </c>
      <c r="M636" s="3432"/>
      <c r="N636" s="3432"/>
      <c r="O636" s="3432"/>
      <c r="P636" s="3432"/>
      <c r="Q636" s="3432"/>
      <c r="R636" s="3432"/>
      <c r="S636" s="3432"/>
      <c r="T636" s="3432"/>
      <c r="U636" s="3432"/>
      <c r="V636" s="3432"/>
      <c r="W636" s="3432"/>
      <c r="X636" s="3451">
        <v>0.100277407426117</v>
      </c>
      <c r="Y636" s="3432"/>
      <c r="Z636" s="3432"/>
      <c r="AA636" s="3432"/>
      <c r="AB636" s="3432"/>
      <c r="AC636" s="3432"/>
      <c r="AD636" s="3432"/>
      <c r="AE636" s="3432"/>
      <c r="AF636" s="3432"/>
      <c r="AG636" s="3432"/>
      <c r="AH636" s="3432"/>
      <c r="AI636" s="3432"/>
      <c r="AJ636" s="3432"/>
      <c r="AK636" s="3432"/>
      <c r="AL636" s="3432"/>
      <c r="AM636" s="3432"/>
      <c r="AN636" s="3497"/>
      <c r="AO636" s="3426"/>
    </row>
    <row r="637" spans="1:41">
      <c r="A637" s="5047" t="s">
        <v>770</v>
      </c>
      <c r="B637" s="5048"/>
      <c r="C637" s="3432"/>
      <c r="D637" s="3453">
        <v>1.0027740742611799</v>
      </c>
      <c r="E637" s="3432"/>
      <c r="F637" s="3432"/>
      <c r="G637" s="3432"/>
      <c r="H637" s="3432"/>
      <c r="I637" s="3432"/>
      <c r="K637" s="3432"/>
      <c r="L637" s="3471">
        <v>347.82588108896402</v>
      </c>
      <c r="M637" s="3432"/>
      <c r="N637" s="3432"/>
      <c r="O637" s="3432"/>
      <c r="P637" s="3432"/>
      <c r="Q637" s="3432"/>
      <c r="R637" s="3432"/>
      <c r="S637" s="3432"/>
      <c r="T637" s="3432"/>
      <c r="U637" s="3432"/>
      <c r="V637" s="3432"/>
      <c r="W637" s="3432"/>
      <c r="X637" s="3471">
        <v>348.82865516322403</v>
      </c>
      <c r="Y637" s="3432"/>
      <c r="Z637" s="3432"/>
      <c r="AA637" s="3432"/>
      <c r="AB637" s="3432"/>
      <c r="AC637" s="3432"/>
      <c r="AD637" s="3432"/>
      <c r="AE637" s="3432"/>
      <c r="AF637" s="3432"/>
      <c r="AG637" s="3432"/>
      <c r="AH637" s="3432"/>
      <c r="AI637" s="3432"/>
      <c r="AJ637" s="3432"/>
      <c r="AK637" s="3432"/>
      <c r="AL637" s="3432"/>
      <c r="AM637" s="3432"/>
      <c r="AN637" s="3497"/>
      <c r="AO637" s="3426"/>
    </row>
    <row r="638" spans="1:41">
      <c r="A638" s="5047" t="s">
        <v>833</v>
      </c>
      <c r="B638" s="5048"/>
      <c r="C638" s="3432"/>
      <c r="D638" s="3453">
        <v>2.3017066775903001</v>
      </c>
      <c r="E638" s="3432"/>
      <c r="F638" s="3432"/>
      <c r="G638" s="3432"/>
      <c r="H638" s="3432"/>
      <c r="I638" s="3432"/>
      <c r="K638" s="3432"/>
      <c r="L638" s="3472">
        <v>1260.5974613569399</v>
      </c>
      <c r="M638" s="3432"/>
      <c r="N638" s="3432"/>
      <c r="O638" s="3432"/>
      <c r="P638" s="3432"/>
      <c r="Q638" s="3432"/>
      <c r="R638" s="3432"/>
      <c r="S638" s="3432"/>
      <c r="T638" s="3432"/>
      <c r="U638" s="3432"/>
      <c r="V638" s="3432"/>
      <c r="W638" s="3432"/>
      <c r="X638" s="3472">
        <v>1262.89916803453</v>
      </c>
      <c r="Y638" s="3432"/>
      <c r="Z638" s="3432"/>
      <c r="AA638" s="3432"/>
      <c r="AB638" s="3432"/>
      <c r="AC638" s="3432"/>
      <c r="AD638" s="3432"/>
      <c r="AE638" s="3432"/>
      <c r="AF638" s="3432"/>
      <c r="AG638" s="3432"/>
      <c r="AH638" s="3432"/>
      <c r="AI638" s="3432"/>
      <c r="AJ638" s="3432"/>
      <c r="AK638" s="3432"/>
      <c r="AL638" s="3432"/>
      <c r="AM638" s="3432"/>
      <c r="AN638" s="3497"/>
      <c r="AO638" s="3426"/>
    </row>
    <row r="639" spans="1:41">
      <c r="A639" s="5047" t="s">
        <v>834</v>
      </c>
      <c r="B639" s="5048"/>
      <c r="C639" s="3432"/>
      <c r="D639" s="3453">
        <v>1.4783028111049701</v>
      </c>
      <c r="E639" s="3432"/>
      <c r="F639" s="3432"/>
      <c r="G639" s="3432"/>
      <c r="H639" s="3432"/>
      <c r="I639" s="3432"/>
      <c r="K639" s="3432"/>
      <c r="L639" s="3472">
        <v>1398.4623192808799</v>
      </c>
      <c r="M639" s="3432"/>
      <c r="N639" s="3432"/>
      <c r="O639" s="3432"/>
      <c r="P639" s="3432"/>
      <c r="Q639" s="3432"/>
      <c r="R639" s="3432"/>
      <c r="S639" s="3432"/>
      <c r="T639" s="3432"/>
      <c r="U639" s="3432"/>
      <c r="V639" s="3432"/>
      <c r="W639" s="3432"/>
      <c r="X639" s="3472">
        <v>1399.94062209197</v>
      </c>
      <c r="Y639" s="3432"/>
      <c r="Z639" s="3432"/>
      <c r="AA639" s="3432"/>
      <c r="AB639" s="3432"/>
      <c r="AC639" s="3432"/>
      <c r="AD639" s="3432"/>
      <c r="AE639" s="3432"/>
      <c r="AF639" s="3432"/>
      <c r="AG639" s="3432"/>
      <c r="AH639" s="3432"/>
      <c r="AI639" s="3432"/>
      <c r="AJ639" s="3432"/>
      <c r="AK639" s="3432"/>
      <c r="AL639" s="3432"/>
      <c r="AM639" s="3432"/>
      <c r="AN639" s="3497"/>
      <c r="AO639" s="3426"/>
    </row>
    <row r="640" spans="1:41">
      <c r="A640" s="5047" t="s">
        <v>752</v>
      </c>
      <c r="B640" s="5048"/>
      <c r="C640" s="3432"/>
      <c r="D640" s="3453">
        <v>2.2349851991799601</v>
      </c>
      <c r="E640" s="3432"/>
      <c r="F640" s="3432"/>
      <c r="G640" s="3432"/>
      <c r="H640" s="3432"/>
      <c r="I640" s="3432"/>
      <c r="K640" s="3432"/>
      <c r="L640" s="3473">
        <v>13781.9579784466</v>
      </c>
      <c r="M640" s="3432"/>
      <c r="N640" s="3432"/>
      <c r="O640" s="3432"/>
      <c r="P640" s="3432"/>
      <c r="Q640" s="3432"/>
      <c r="R640" s="3432"/>
      <c r="S640" s="3432"/>
      <c r="T640" s="3432"/>
      <c r="U640" s="3432"/>
      <c r="V640" s="3432"/>
      <c r="W640" s="3432"/>
      <c r="X640" s="3473">
        <v>13784.192963645801</v>
      </c>
      <c r="Y640" s="3432"/>
      <c r="Z640" s="3432"/>
      <c r="AA640" s="3432"/>
      <c r="AB640" s="3432"/>
      <c r="AC640" s="3432"/>
      <c r="AD640" s="3432"/>
      <c r="AE640" s="3432"/>
      <c r="AF640" s="3432"/>
      <c r="AG640" s="3432"/>
      <c r="AH640" s="3432"/>
      <c r="AI640" s="3432"/>
      <c r="AJ640" s="3432"/>
      <c r="AK640" s="3432"/>
      <c r="AL640" s="3432"/>
      <c r="AM640" s="3432"/>
      <c r="AN640" s="3497"/>
      <c r="AO640" s="3426"/>
    </row>
    <row r="641" spans="1:41" ht="13" thickBot="1">
      <c r="A641" s="5049" t="s">
        <v>430</v>
      </c>
      <c r="B641" s="5050"/>
      <c r="C641" s="3433" t="s">
        <v>57</v>
      </c>
      <c r="D641" s="3433" t="s">
        <v>57</v>
      </c>
      <c r="E641" s="3433" t="s">
        <v>57</v>
      </c>
      <c r="F641" s="3433" t="s">
        <v>57</v>
      </c>
      <c r="G641" s="3433" t="s">
        <v>57</v>
      </c>
      <c r="H641" s="3433" t="s">
        <v>57</v>
      </c>
      <c r="I641" s="3433" t="s">
        <v>57</v>
      </c>
      <c r="K641" s="3433" t="s">
        <v>57</v>
      </c>
      <c r="L641" s="3433" t="s">
        <v>57</v>
      </c>
      <c r="M641" s="3433" t="s">
        <v>57</v>
      </c>
      <c r="N641" s="3433" t="s">
        <v>57</v>
      </c>
      <c r="O641" s="3433" t="s">
        <v>57</v>
      </c>
      <c r="P641" s="3433" t="s">
        <v>57</v>
      </c>
      <c r="Q641" s="3433" t="s">
        <v>57</v>
      </c>
      <c r="R641" s="3433" t="s">
        <v>57</v>
      </c>
      <c r="S641" s="3433" t="s">
        <v>57</v>
      </c>
      <c r="T641" s="3433" t="s">
        <v>57</v>
      </c>
      <c r="U641" s="3433" t="s">
        <v>57</v>
      </c>
      <c r="V641" s="3433" t="s">
        <v>57</v>
      </c>
      <c r="W641" s="3433" t="s">
        <v>57</v>
      </c>
      <c r="X641" s="3433" t="s">
        <v>57</v>
      </c>
      <c r="Y641" s="3433" t="s">
        <v>57</v>
      </c>
      <c r="Z641" s="3433" t="s">
        <v>57</v>
      </c>
      <c r="AA641" s="3433" t="s">
        <v>57</v>
      </c>
      <c r="AB641" s="3433" t="s">
        <v>57</v>
      </c>
      <c r="AC641" s="3433" t="s">
        <v>57</v>
      </c>
      <c r="AD641" s="3433" t="s">
        <v>57</v>
      </c>
      <c r="AE641" s="3433" t="s">
        <v>57</v>
      </c>
      <c r="AF641" s="3433" t="s">
        <v>57</v>
      </c>
      <c r="AG641" s="3433" t="s">
        <v>57</v>
      </c>
      <c r="AH641" s="3433" t="s">
        <v>57</v>
      </c>
      <c r="AI641" s="3433" t="s">
        <v>57</v>
      </c>
      <c r="AJ641" s="3433" t="s">
        <v>57</v>
      </c>
      <c r="AK641" s="3433" t="s">
        <v>57</v>
      </c>
      <c r="AL641" s="3433" t="s">
        <v>57</v>
      </c>
      <c r="AM641" s="3433" t="s">
        <v>57</v>
      </c>
      <c r="AN641" s="3444" t="s">
        <v>57</v>
      </c>
      <c r="AO641" s="3426"/>
    </row>
    <row r="642" spans="1:41" ht="13" thickTop="1">
      <c r="A642" s="5051" t="s">
        <v>298</v>
      </c>
      <c r="B642" s="5052"/>
      <c r="C642" s="3432"/>
      <c r="D642" s="3451">
        <v>0.85595212534486398</v>
      </c>
      <c r="E642" s="3432"/>
      <c r="F642" s="3432"/>
      <c r="G642" s="3432"/>
      <c r="H642" s="3432"/>
      <c r="I642" s="3432"/>
      <c r="K642" s="3432"/>
      <c r="L642" s="3455">
        <v>73.105705906890407</v>
      </c>
      <c r="M642" s="3432"/>
      <c r="N642" s="3432"/>
      <c r="O642" s="3432"/>
      <c r="P642" s="3432"/>
      <c r="Q642" s="3432"/>
      <c r="R642" s="3432"/>
      <c r="S642" s="3432"/>
      <c r="T642" s="3432"/>
      <c r="U642" s="3432"/>
      <c r="V642" s="3432"/>
      <c r="W642" s="3432"/>
      <c r="X642" s="3455">
        <v>73.961658032235306</v>
      </c>
      <c r="Y642" s="3432"/>
      <c r="Z642" s="3432"/>
      <c r="AA642" s="3432"/>
      <c r="AB642" s="3432"/>
      <c r="AC642" s="3432"/>
      <c r="AD642" s="3432"/>
      <c r="AE642" s="3432"/>
      <c r="AF642" s="3432"/>
      <c r="AG642" s="3432"/>
      <c r="AH642" s="3432"/>
      <c r="AI642" s="3432"/>
      <c r="AJ642" s="3432"/>
      <c r="AK642" s="3432"/>
      <c r="AL642" s="3432"/>
      <c r="AM642" s="3432"/>
      <c r="AN642" s="3497"/>
      <c r="AO642" s="3426"/>
    </row>
    <row r="643" spans="1:41">
      <c r="A643" s="5047" t="s">
        <v>5</v>
      </c>
      <c r="B643" s="5048"/>
      <c r="C643" s="3432"/>
      <c r="D643" s="3447">
        <v>0</v>
      </c>
      <c r="E643" s="3432"/>
      <c r="F643" s="3432"/>
      <c r="G643" s="3432"/>
      <c r="H643" s="3432"/>
      <c r="I643" s="3432"/>
      <c r="K643" s="3432"/>
      <c r="L643" s="3447">
        <v>0</v>
      </c>
      <c r="M643" s="3432"/>
      <c r="N643" s="3432"/>
      <c r="O643" s="3432"/>
      <c r="P643" s="3432"/>
      <c r="Q643" s="3432"/>
      <c r="R643" s="3432"/>
      <c r="S643" s="3432"/>
      <c r="T643" s="3432"/>
      <c r="U643" s="3432"/>
      <c r="V643" s="3432"/>
      <c r="W643" s="3432"/>
      <c r="X643" s="3447">
        <v>0</v>
      </c>
      <c r="Y643" s="3432"/>
      <c r="Z643" s="3432"/>
      <c r="AA643" s="3432"/>
      <c r="AB643" s="3432"/>
      <c r="AC643" s="3432"/>
      <c r="AD643" s="3432"/>
      <c r="AE643" s="3432"/>
      <c r="AF643" s="3432"/>
      <c r="AG643" s="3432"/>
      <c r="AH643" s="3432"/>
      <c r="AI643" s="3432"/>
      <c r="AJ643" s="3432"/>
      <c r="AK643" s="3432"/>
      <c r="AL643" s="3432"/>
      <c r="AM643" s="3432"/>
      <c r="AN643" s="3497"/>
      <c r="AO643" s="3426"/>
    </row>
    <row r="644" spans="1:41">
      <c r="A644" s="5047" t="s">
        <v>832</v>
      </c>
      <c r="B644" s="5048"/>
      <c r="C644" s="3432"/>
      <c r="D644" s="3447">
        <v>0</v>
      </c>
      <c r="E644" s="3432"/>
      <c r="F644" s="3432"/>
      <c r="G644" s="3432"/>
      <c r="H644" s="3432"/>
      <c r="I644" s="3432"/>
      <c r="K644" s="3432"/>
      <c r="L644" s="3447">
        <v>0</v>
      </c>
      <c r="M644" s="3432"/>
      <c r="N644" s="3432"/>
      <c r="O644" s="3432"/>
      <c r="P644" s="3432"/>
      <c r="Q644" s="3432"/>
      <c r="R644" s="3432"/>
      <c r="S644" s="3432"/>
      <c r="T644" s="3432"/>
      <c r="U644" s="3432"/>
      <c r="V644" s="3432"/>
      <c r="W644" s="3432"/>
      <c r="X644" s="3447">
        <v>0</v>
      </c>
      <c r="Y644" s="3432"/>
      <c r="Z644" s="3432"/>
      <c r="AA644" s="3432"/>
      <c r="AB644" s="3432"/>
      <c r="AC644" s="3432"/>
      <c r="AD644" s="3432"/>
      <c r="AE644" s="3432"/>
      <c r="AF644" s="3432"/>
      <c r="AG644" s="3432"/>
      <c r="AH644" s="3432"/>
      <c r="AI644" s="3432"/>
      <c r="AJ644" s="3432"/>
      <c r="AK644" s="3432"/>
      <c r="AL644" s="3432"/>
      <c r="AM644" s="3432"/>
      <c r="AN644" s="3497"/>
      <c r="AO644" s="3426"/>
    </row>
    <row r="645" spans="1:41">
      <c r="A645" s="5047" t="s">
        <v>3</v>
      </c>
      <c r="B645" s="5048"/>
      <c r="C645" s="3432"/>
      <c r="D645" s="3447">
        <v>0</v>
      </c>
      <c r="E645" s="3432"/>
      <c r="F645" s="3432"/>
      <c r="G645" s="3432"/>
      <c r="H645" s="3432"/>
      <c r="I645" s="3432"/>
      <c r="K645" s="3432"/>
      <c r="L645" s="3447">
        <v>0</v>
      </c>
      <c r="M645" s="3432"/>
      <c r="N645" s="3432"/>
      <c r="O645" s="3432"/>
      <c r="P645" s="3432"/>
      <c r="Q645" s="3432"/>
      <c r="R645" s="3432"/>
      <c r="S645" s="3432"/>
      <c r="T645" s="3432"/>
      <c r="U645" s="3432"/>
      <c r="V645" s="3432"/>
      <c r="W645" s="3432"/>
      <c r="X645" s="3447">
        <v>0</v>
      </c>
      <c r="Y645" s="3432"/>
      <c r="Z645" s="3432"/>
      <c r="AA645" s="3432"/>
      <c r="AB645" s="3432"/>
      <c r="AC645" s="3432"/>
      <c r="AD645" s="3432"/>
      <c r="AE645" s="3432"/>
      <c r="AF645" s="3432"/>
      <c r="AG645" s="3432"/>
      <c r="AH645" s="3432"/>
      <c r="AI645" s="3432"/>
      <c r="AJ645" s="3432"/>
      <c r="AK645" s="3432"/>
      <c r="AL645" s="3432"/>
      <c r="AM645" s="3432"/>
      <c r="AN645" s="3497"/>
      <c r="AO645" s="3426"/>
    </row>
    <row r="646" spans="1:41">
      <c r="A646" s="5047" t="s">
        <v>6</v>
      </c>
      <c r="B646" s="5048"/>
      <c r="C646" s="3432"/>
      <c r="D646" s="3447">
        <v>0</v>
      </c>
      <c r="E646" s="3432"/>
      <c r="F646" s="3432"/>
      <c r="G646" s="3432"/>
      <c r="H646" s="3432"/>
      <c r="I646" s="3432"/>
      <c r="K646" s="3432"/>
      <c r="L646" s="3447">
        <v>0</v>
      </c>
      <c r="M646" s="3432"/>
      <c r="N646" s="3432"/>
      <c r="O646" s="3432"/>
      <c r="P646" s="3432"/>
      <c r="Q646" s="3432"/>
      <c r="R646" s="3432"/>
      <c r="S646" s="3432"/>
      <c r="T646" s="3432"/>
      <c r="U646" s="3432"/>
      <c r="V646" s="3432"/>
      <c r="W646" s="3432"/>
      <c r="X646" s="3447">
        <v>0</v>
      </c>
      <c r="Y646" s="3432"/>
      <c r="Z646" s="3432"/>
      <c r="AA646" s="3432"/>
      <c r="AB646" s="3432"/>
      <c r="AC646" s="3432"/>
      <c r="AD646" s="3432"/>
      <c r="AE646" s="3432"/>
      <c r="AF646" s="3432"/>
      <c r="AG646" s="3432"/>
      <c r="AH646" s="3432"/>
      <c r="AI646" s="3432"/>
      <c r="AJ646" s="3432"/>
      <c r="AK646" s="3432"/>
      <c r="AL646" s="3432"/>
      <c r="AM646" s="3432"/>
      <c r="AN646" s="3497"/>
      <c r="AO646" s="3426"/>
    </row>
    <row r="647" spans="1:41">
      <c r="A647" s="5047" t="s">
        <v>7</v>
      </c>
      <c r="B647" s="5048"/>
      <c r="C647" s="3432"/>
      <c r="D647" s="3449">
        <v>2.5807601769192001E-5</v>
      </c>
      <c r="E647" s="3432"/>
      <c r="F647" s="3432"/>
      <c r="G647" s="3432"/>
      <c r="H647" s="3432"/>
      <c r="I647" s="3432"/>
      <c r="K647" s="3432"/>
      <c r="L647" s="3454">
        <v>1.4919531817732701E-2</v>
      </c>
      <c r="M647" s="3432"/>
      <c r="N647" s="3432"/>
      <c r="O647" s="3432"/>
      <c r="P647" s="3432"/>
      <c r="Q647" s="3432"/>
      <c r="R647" s="3432"/>
      <c r="S647" s="3432"/>
      <c r="T647" s="3432"/>
      <c r="U647" s="3432"/>
      <c r="V647" s="3432"/>
      <c r="W647" s="3432"/>
      <c r="X647" s="3454">
        <v>1.49453394195019E-2</v>
      </c>
      <c r="Y647" s="3432"/>
      <c r="Z647" s="3432"/>
      <c r="AA647" s="3432"/>
      <c r="AB647" s="3432"/>
      <c r="AC647" s="3432"/>
      <c r="AD647" s="3432"/>
      <c r="AE647" s="3432"/>
      <c r="AF647" s="3432"/>
      <c r="AG647" s="3432"/>
      <c r="AH647" s="3432"/>
      <c r="AI647" s="3432"/>
      <c r="AJ647" s="3432"/>
      <c r="AK647" s="3432"/>
      <c r="AL647" s="3432"/>
      <c r="AM647" s="3432"/>
      <c r="AN647" s="3497"/>
      <c r="AO647" s="3426"/>
    </row>
    <row r="648" spans="1:41">
      <c r="A648" s="5047" t="s">
        <v>8</v>
      </c>
      <c r="B648" s="5048"/>
      <c r="C648" s="3432"/>
      <c r="D648" s="3460">
        <v>5.0754950146077703E-4</v>
      </c>
      <c r="E648" s="3432"/>
      <c r="F648" s="3432"/>
      <c r="G648" s="3432"/>
      <c r="H648" s="3432"/>
      <c r="I648" s="3432"/>
      <c r="K648" s="3432"/>
      <c r="L648" s="3454">
        <v>5.96781272709309E-2</v>
      </c>
      <c r="M648" s="3432"/>
      <c r="N648" s="3432"/>
      <c r="O648" s="3432"/>
      <c r="P648" s="3432"/>
      <c r="Q648" s="3432"/>
      <c r="R648" s="3432"/>
      <c r="S648" s="3432"/>
      <c r="T648" s="3432"/>
      <c r="U648" s="3432"/>
      <c r="V648" s="3432"/>
      <c r="W648" s="3432"/>
      <c r="X648" s="3454">
        <v>6.0185676772391498E-2</v>
      </c>
      <c r="Y648" s="3432"/>
      <c r="Z648" s="3432"/>
      <c r="AA648" s="3432"/>
      <c r="AB648" s="3432"/>
      <c r="AC648" s="3432"/>
      <c r="AD648" s="3432"/>
      <c r="AE648" s="3432"/>
      <c r="AF648" s="3432"/>
      <c r="AG648" s="3432"/>
      <c r="AH648" s="3432"/>
      <c r="AI648" s="3432"/>
      <c r="AJ648" s="3432"/>
      <c r="AK648" s="3432"/>
      <c r="AL648" s="3432"/>
      <c r="AM648" s="3432"/>
      <c r="AN648" s="3497"/>
      <c r="AO648" s="3426"/>
    </row>
    <row r="649" spans="1:41">
      <c r="A649" s="5047" t="s">
        <v>66</v>
      </c>
      <c r="B649" s="5048"/>
      <c r="C649" s="3432"/>
      <c r="D649" s="3460">
        <v>1.9785828023047199E-4</v>
      </c>
      <c r="E649" s="3432"/>
      <c r="F649" s="3432"/>
      <c r="G649" s="3432"/>
      <c r="H649" s="3432"/>
      <c r="I649" s="3432"/>
      <c r="K649" s="3432"/>
      <c r="L649" s="3454">
        <v>2.23792977265991E-2</v>
      </c>
      <c r="M649" s="3432"/>
      <c r="N649" s="3432"/>
      <c r="O649" s="3432"/>
      <c r="P649" s="3432"/>
      <c r="Q649" s="3432"/>
      <c r="R649" s="3432"/>
      <c r="S649" s="3432"/>
      <c r="T649" s="3432"/>
      <c r="U649" s="3432"/>
      <c r="V649" s="3432"/>
      <c r="W649" s="3432"/>
      <c r="X649" s="3454">
        <v>2.25771560068295E-2</v>
      </c>
      <c r="Y649" s="3432"/>
      <c r="Z649" s="3432"/>
      <c r="AA649" s="3432"/>
      <c r="AB649" s="3432"/>
      <c r="AC649" s="3432"/>
      <c r="AD649" s="3432"/>
      <c r="AE649" s="3432"/>
      <c r="AF649" s="3432"/>
      <c r="AG649" s="3432"/>
      <c r="AH649" s="3432"/>
      <c r="AI649" s="3432"/>
      <c r="AJ649" s="3432"/>
      <c r="AK649" s="3432"/>
      <c r="AL649" s="3432"/>
      <c r="AM649" s="3432"/>
      <c r="AN649" s="3497"/>
      <c r="AO649" s="3426"/>
    </row>
    <row r="650" spans="1:41">
      <c r="A650" s="5047" t="s">
        <v>359</v>
      </c>
      <c r="B650" s="5048"/>
      <c r="C650" s="3432"/>
      <c r="D650" s="3460">
        <v>5.24754569306905E-4</v>
      </c>
      <c r="E650" s="3432"/>
      <c r="F650" s="3432"/>
      <c r="G650" s="3432"/>
      <c r="H650" s="3432"/>
      <c r="I650" s="3432"/>
      <c r="K650" s="3432"/>
      <c r="L650" s="3454">
        <v>7.4597659088663698E-2</v>
      </c>
      <c r="M650" s="3432"/>
      <c r="N650" s="3432"/>
      <c r="O650" s="3432"/>
      <c r="P650" s="3432"/>
      <c r="Q650" s="3432"/>
      <c r="R650" s="3432"/>
      <c r="S650" s="3432"/>
      <c r="T650" s="3432"/>
      <c r="U650" s="3432"/>
      <c r="V650" s="3432"/>
      <c r="W650" s="3432"/>
      <c r="X650" s="3454">
        <v>7.5122413657970205E-2</v>
      </c>
      <c r="Y650" s="3432"/>
      <c r="Z650" s="3432"/>
      <c r="AA650" s="3432"/>
      <c r="AB650" s="3432"/>
      <c r="AC650" s="3432"/>
      <c r="AD650" s="3432"/>
      <c r="AE650" s="3432"/>
      <c r="AF650" s="3432"/>
      <c r="AG650" s="3432"/>
      <c r="AH650" s="3432"/>
      <c r="AI650" s="3432"/>
      <c r="AJ650" s="3432"/>
      <c r="AK650" s="3432"/>
      <c r="AL650" s="3432"/>
      <c r="AM650" s="3432"/>
      <c r="AN650" s="3497"/>
      <c r="AO650" s="3426"/>
    </row>
    <row r="651" spans="1:41">
      <c r="A651" s="5047" t="s">
        <v>68</v>
      </c>
      <c r="B651" s="5048"/>
      <c r="C651" s="3432"/>
      <c r="D651" s="3460">
        <v>2.32268415922728E-4</v>
      </c>
      <c r="E651" s="3432"/>
      <c r="F651" s="3432"/>
      <c r="G651" s="3432"/>
      <c r="H651" s="3432"/>
      <c r="I651" s="3432"/>
      <c r="K651" s="3432"/>
      <c r="L651" s="3454">
        <v>4.4758595453198199E-2</v>
      </c>
      <c r="M651" s="3432"/>
      <c r="N651" s="3432"/>
      <c r="O651" s="3432"/>
      <c r="P651" s="3432"/>
      <c r="Q651" s="3432"/>
      <c r="R651" s="3432"/>
      <c r="S651" s="3432"/>
      <c r="T651" s="3432"/>
      <c r="U651" s="3432"/>
      <c r="V651" s="3432"/>
      <c r="W651" s="3432"/>
      <c r="X651" s="3454">
        <v>4.4990863869120698E-2</v>
      </c>
      <c r="Y651" s="3432"/>
      <c r="Z651" s="3432"/>
      <c r="AA651" s="3432"/>
      <c r="AB651" s="3432"/>
      <c r="AC651" s="3432"/>
      <c r="AD651" s="3432"/>
      <c r="AE651" s="3432"/>
      <c r="AF651" s="3432"/>
      <c r="AG651" s="3432"/>
      <c r="AH651" s="3432"/>
      <c r="AI651" s="3432"/>
      <c r="AJ651" s="3432"/>
      <c r="AK651" s="3432"/>
      <c r="AL651" s="3432"/>
      <c r="AM651" s="3432"/>
      <c r="AN651" s="3497"/>
      <c r="AO651" s="3426"/>
    </row>
    <row r="652" spans="1:41">
      <c r="A652" s="5047" t="s">
        <v>669</v>
      </c>
      <c r="B652" s="5048"/>
      <c r="C652" s="3432"/>
      <c r="D652" s="3460">
        <v>3.0108868730724099E-4</v>
      </c>
      <c r="E652" s="3432"/>
      <c r="F652" s="3432"/>
      <c r="G652" s="3432"/>
      <c r="H652" s="3432"/>
      <c r="I652" s="3432"/>
      <c r="K652" s="3432"/>
      <c r="L652" s="3454">
        <v>5.96781272709309E-2</v>
      </c>
      <c r="M652" s="3432"/>
      <c r="N652" s="3432"/>
      <c r="O652" s="3432"/>
      <c r="P652" s="3432"/>
      <c r="Q652" s="3432"/>
      <c r="R652" s="3432"/>
      <c r="S652" s="3432"/>
      <c r="T652" s="3432"/>
      <c r="U652" s="3432"/>
      <c r="V652" s="3432"/>
      <c r="W652" s="3432"/>
      <c r="X652" s="3454">
        <v>5.9979215958237901E-2</v>
      </c>
      <c r="Y652" s="3432"/>
      <c r="Z652" s="3432"/>
      <c r="AA652" s="3432"/>
      <c r="AB652" s="3432"/>
      <c r="AC652" s="3432"/>
      <c r="AD652" s="3432"/>
      <c r="AE652" s="3432"/>
      <c r="AF652" s="3432"/>
      <c r="AG652" s="3432"/>
      <c r="AH652" s="3432"/>
      <c r="AI652" s="3432"/>
      <c r="AJ652" s="3432"/>
      <c r="AK652" s="3432"/>
      <c r="AL652" s="3432"/>
      <c r="AM652" s="3432"/>
      <c r="AN652" s="3497"/>
      <c r="AO652" s="3426"/>
    </row>
    <row r="653" spans="1:41">
      <c r="A653" s="5047" t="s">
        <v>99</v>
      </c>
      <c r="B653" s="5048"/>
      <c r="C653" s="3432"/>
      <c r="D653" s="3447">
        <v>0</v>
      </c>
      <c r="E653" s="3432"/>
      <c r="F653" s="3432"/>
      <c r="G653" s="3432"/>
      <c r="H653" s="3432"/>
      <c r="I653" s="3432"/>
      <c r="K653" s="3432"/>
      <c r="L653" s="3447">
        <v>0</v>
      </c>
      <c r="M653" s="3432"/>
      <c r="N653" s="3432"/>
      <c r="O653" s="3432"/>
      <c r="P653" s="3432"/>
      <c r="Q653" s="3432"/>
      <c r="R653" s="3432"/>
      <c r="S653" s="3432"/>
      <c r="T653" s="3432"/>
      <c r="U653" s="3432"/>
      <c r="V653" s="3432"/>
      <c r="W653" s="3432"/>
      <c r="X653" s="3447">
        <v>0</v>
      </c>
      <c r="Y653" s="3432"/>
      <c r="Z653" s="3432"/>
      <c r="AA653" s="3432"/>
      <c r="AB653" s="3432"/>
      <c r="AC653" s="3432"/>
      <c r="AD653" s="3432"/>
      <c r="AE653" s="3432"/>
      <c r="AF653" s="3432"/>
      <c r="AG653" s="3432"/>
      <c r="AH653" s="3432"/>
      <c r="AI653" s="3432"/>
      <c r="AJ653" s="3432"/>
      <c r="AK653" s="3432"/>
      <c r="AL653" s="3432"/>
      <c r="AM653" s="3432"/>
      <c r="AN653" s="3497"/>
      <c r="AO653" s="3426"/>
    </row>
    <row r="654" spans="1:41">
      <c r="A654" s="5047" t="s">
        <v>422</v>
      </c>
      <c r="B654" s="5048"/>
      <c r="C654" s="3432"/>
      <c r="D654" s="3460">
        <v>2.2366588199966401E-4</v>
      </c>
      <c r="E654" s="3432"/>
      <c r="F654" s="3432"/>
      <c r="G654" s="3432"/>
      <c r="H654" s="3432"/>
      <c r="I654" s="3432"/>
      <c r="K654" s="3432"/>
      <c r="L654" s="3454">
        <v>4.4758595453198199E-2</v>
      </c>
      <c r="M654" s="3432"/>
      <c r="N654" s="3432"/>
      <c r="O654" s="3432"/>
      <c r="P654" s="3432"/>
      <c r="Q654" s="3432"/>
      <c r="R654" s="3432"/>
      <c r="S654" s="3432"/>
      <c r="T654" s="3432"/>
      <c r="U654" s="3432"/>
      <c r="V654" s="3432"/>
      <c r="W654" s="3432"/>
      <c r="X654" s="3454">
        <v>4.4982261335197601E-2</v>
      </c>
      <c r="Y654" s="3432"/>
      <c r="Z654" s="3432"/>
      <c r="AA654" s="3432"/>
      <c r="AB654" s="3432"/>
      <c r="AC654" s="3432"/>
      <c r="AD654" s="3432"/>
      <c r="AE654" s="3432"/>
      <c r="AF654" s="3432"/>
      <c r="AG654" s="3432"/>
      <c r="AH654" s="3432"/>
      <c r="AI654" s="3432"/>
      <c r="AJ654" s="3432"/>
      <c r="AK654" s="3432"/>
      <c r="AL654" s="3432"/>
      <c r="AM654" s="3432"/>
      <c r="AN654" s="3497"/>
      <c r="AO654" s="3426"/>
    </row>
    <row r="655" spans="1:41">
      <c r="A655" s="5047" t="s">
        <v>10</v>
      </c>
      <c r="B655" s="5048"/>
      <c r="C655" s="3432"/>
      <c r="D655" s="3460">
        <v>1.6344814453821599E-4</v>
      </c>
      <c r="E655" s="3432"/>
      <c r="F655" s="3432"/>
      <c r="G655" s="3432"/>
      <c r="H655" s="3432"/>
      <c r="I655" s="3432"/>
      <c r="K655" s="3432"/>
      <c r="L655" s="3454">
        <v>3.72988295443318E-2</v>
      </c>
      <c r="M655" s="3432"/>
      <c r="N655" s="3432"/>
      <c r="O655" s="3432"/>
      <c r="P655" s="3432"/>
      <c r="Q655" s="3432"/>
      <c r="R655" s="3432"/>
      <c r="S655" s="3432"/>
      <c r="T655" s="3432"/>
      <c r="U655" s="3432"/>
      <c r="V655" s="3432"/>
      <c r="W655" s="3432"/>
      <c r="X655" s="3454">
        <v>3.7462277688869901E-2</v>
      </c>
      <c r="Y655" s="3432"/>
      <c r="Z655" s="3432"/>
      <c r="AA655" s="3432"/>
      <c r="AB655" s="3432"/>
      <c r="AC655" s="3432"/>
      <c r="AD655" s="3432"/>
      <c r="AE655" s="3432"/>
      <c r="AF655" s="3432"/>
      <c r="AG655" s="3432"/>
      <c r="AH655" s="3432"/>
      <c r="AI655" s="3432"/>
      <c r="AJ655" s="3432"/>
      <c r="AK655" s="3432"/>
      <c r="AL655" s="3432"/>
      <c r="AM655" s="3432"/>
      <c r="AN655" s="3497"/>
      <c r="AO655" s="3426"/>
    </row>
    <row r="656" spans="1:41">
      <c r="A656" s="5047" t="s">
        <v>9</v>
      </c>
      <c r="B656" s="5048"/>
      <c r="C656" s="3432"/>
      <c r="D656" s="3460">
        <v>1.37640542769024E-4</v>
      </c>
      <c r="E656" s="3432"/>
      <c r="F656" s="3432"/>
      <c r="G656" s="3432"/>
      <c r="H656" s="3432"/>
      <c r="I656" s="3432"/>
      <c r="K656" s="3432"/>
      <c r="L656" s="3454">
        <v>2.9839063635465499E-2</v>
      </c>
      <c r="M656" s="3432"/>
      <c r="N656" s="3432"/>
      <c r="O656" s="3432"/>
      <c r="P656" s="3432"/>
      <c r="Q656" s="3432"/>
      <c r="R656" s="3432"/>
      <c r="S656" s="3432"/>
      <c r="T656" s="3432"/>
      <c r="U656" s="3432"/>
      <c r="V656" s="3432"/>
      <c r="W656" s="3432"/>
      <c r="X656" s="3454">
        <v>2.9976704178234399E-2</v>
      </c>
      <c r="Y656" s="3432"/>
      <c r="Z656" s="3432"/>
      <c r="AA656" s="3432"/>
      <c r="AB656" s="3432"/>
      <c r="AC656" s="3432"/>
      <c r="AD656" s="3432"/>
      <c r="AE656" s="3432"/>
      <c r="AF656" s="3432"/>
      <c r="AG656" s="3432"/>
      <c r="AH656" s="3432"/>
      <c r="AI656" s="3432"/>
      <c r="AJ656" s="3432"/>
      <c r="AK656" s="3432"/>
      <c r="AL656" s="3432"/>
      <c r="AM656" s="3432"/>
      <c r="AN656" s="3497"/>
      <c r="AO656" s="3426"/>
    </row>
    <row r="657" spans="1:41">
      <c r="A657" s="5047" t="s">
        <v>11</v>
      </c>
      <c r="B657" s="5048"/>
      <c r="C657" s="3432"/>
      <c r="D657" s="3460">
        <v>1.4624307669208801E-4</v>
      </c>
      <c r="E657" s="3432"/>
      <c r="F657" s="3432"/>
      <c r="G657" s="3432"/>
      <c r="H657" s="3432"/>
      <c r="I657" s="3432"/>
      <c r="K657" s="3432"/>
      <c r="L657" s="3454">
        <v>2.9839063635465499E-2</v>
      </c>
      <c r="M657" s="3432"/>
      <c r="N657" s="3432"/>
      <c r="O657" s="3432"/>
      <c r="P657" s="3432"/>
      <c r="Q657" s="3432"/>
      <c r="R657" s="3432"/>
      <c r="S657" s="3432"/>
      <c r="T657" s="3432"/>
      <c r="U657" s="3432"/>
      <c r="V657" s="3432"/>
      <c r="W657" s="3432"/>
      <c r="X657" s="3454">
        <v>2.9985306712157399E-2</v>
      </c>
      <c r="Y657" s="3432"/>
      <c r="Z657" s="3432"/>
      <c r="AA657" s="3432"/>
      <c r="AB657" s="3432"/>
      <c r="AC657" s="3432"/>
      <c r="AD657" s="3432"/>
      <c r="AE657" s="3432"/>
      <c r="AF657" s="3432"/>
      <c r="AG657" s="3432"/>
      <c r="AH657" s="3432"/>
      <c r="AI657" s="3432"/>
      <c r="AJ657" s="3432"/>
      <c r="AK657" s="3432"/>
      <c r="AL657" s="3432"/>
      <c r="AM657" s="3432"/>
      <c r="AN657" s="3497"/>
      <c r="AO657" s="3426"/>
    </row>
    <row r="658" spans="1:41">
      <c r="A658" s="5047" t="s">
        <v>12</v>
      </c>
      <c r="B658" s="5048"/>
      <c r="C658" s="3432"/>
      <c r="D658" s="3460">
        <v>3.1829375515336902E-4</v>
      </c>
      <c r="E658" s="3432"/>
      <c r="F658" s="3432"/>
      <c r="G658" s="3432"/>
      <c r="H658" s="3432"/>
      <c r="I658" s="3432"/>
      <c r="K658" s="3432"/>
      <c r="L658" s="3454">
        <v>6.7137893179797306E-2</v>
      </c>
      <c r="M658" s="3432"/>
      <c r="N658" s="3432"/>
      <c r="O658" s="3432"/>
      <c r="P658" s="3432"/>
      <c r="Q658" s="3432"/>
      <c r="R658" s="3432"/>
      <c r="S658" s="3432"/>
      <c r="T658" s="3432"/>
      <c r="U658" s="3432"/>
      <c r="V658" s="3432"/>
      <c r="W658" s="3432"/>
      <c r="X658" s="3454">
        <v>6.7456186934950396E-2</v>
      </c>
      <c r="Y658" s="3432"/>
      <c r="Z658" s="3432"/>
      <c r="AA658" s="3432"/>
      <c r="AB658" s="3432"/>
      <c r="AC658" s="3432"/>
      <c r="AD658" s="3432"/>
      <c r="AE658" s="3432"/>
      <c r="AF658" s="3432"/>
      <c r="AG658" s="3432"/>
      <c r="AH658" s="3432"/>
      <c r="AI658" s="3432"/>
      <c r="AJ658" s="3432"/>
      <c r="AK658" s="3432"/>
      <c r="AL658" s="3432"/>
      <c r="AM658" s="3432"/>
      <c r="AN658" s="3497"/>
      <c r="AO658" s="3426"/>
    </row>
    <row r="659" spans="1:41">
      <c r="A659" s="5047" t="s">
        <v>48</v>
      </c>
      <c r="B659" s="5048"/>
      <c r="C659" s="3432"/>
      <c r="D659" s="3447">
        <v>0</v>
      </c>
      <c r="E659" s="3432"/>
      <c r="F659" s="3432"/>
      <c r="G659" s="3432"/>
      <c r="H659" s="3432"/>
      <c r="I659" s="3432"/>
      <c r="K659" s="3432"/>
      <c r="L659" s="3447">
        <v>0</v>
      </c>
      <c r="M659" s="3432"/>
      <c r="N659" s="3432"/>
      <c r="O659" s="3432"/>
      <c r="P659" s="3432"/>
      <c r="Q659" s="3432"/>
      <c r="R659" s="3432"/>
      <c r="S659" s="3432"/>
      <c r="T659" s="3432"/>
      <c r="U659" s="3432"/>
      <c r="V659" s="3432"/>
      <c r="W659" s="3432"/>
      <c r="X659" s="3447">
        <v>0</v>
      </c>
      <c r="Y659" s="3432"/>
      <c r="Z659" s="3432"/>
      <c r="AA659" s="3432"/>
      <c r="AB659" s="3432"/>
      <c r="AC659" s="3432"/>
      <c r="AD659" s="3432"/>
      <c r="AE659" s="3432"/>
      <c r="AF659" s="3432"/>
      <c r="AG659" s="3432"/>
      <c r="AH659" s="3432"/>
      <c r="AI659" s="3432"/>
      <c r="AJ659" s="3432"/>
      <c r="AK659" s="3432"/>
      <c r="AL659" s="3432"/>
      <c r="AM659" s="3432"/>
      <c r="AN659" s="3497"/>
      <c r="AO659" s="3426"/>
    </row>
    <row r="660" spans="1:41">
      <c r="A660" s="5047" t="s">
        <v>751</v>
      </c>
      <c r="B660" s="5048"/>
      <c r="C660" s="3432"/>
      <c r="D660" s="3460">
        <v>1.03230407076768E-4</v>
      </c>
      <c r="E660" s="3432"/>
      <c r="F660" s="3432"/>
      <c r="G660" s="3432"/>
      <c r="H660" s="3432"/>
      <c r="I660" s="3432"/>
      <c r="K660" s="3432"/>
      <c r="L660" s="3454">
        <v>2.23792977265991E-2</v>
      </c>
      <c r="M660" s="3432"/>
      <c r="N660" s="3432"/>
      <c r="O660" s="3432"/>
      <c r="P660" s="3432"/>
      <c r="Q660" s="3432"/>
      <c r="R660" s="3432"/>
      <c r="S660" s="3432"/>
      <c r="T660" s="3432"/>
      <c r="U660" s="3432"/>
      <c r="V660" s="3432"/>
      <c r="W660" s="3432"/>
      <c r="X660" s="3454">
        <v>2.2482528133675801E-2</v>
      </c>
      <c r="Y660" s="3432"/>
      <c r="Z660" s="3432"/>
      <c r="AA660" s="3432"/>
      <c r="AB660" s="3432"/>
      <c r="AC660" s="3432"/>
      <c r="AD660" s="3432"/>
      <c r="AE660" s="3432"/>
      <c r="AF660" s="3432"/>
      <c r="AG660" s="3432"/>
      <c r="AH660" s="3432"/>
      <c r="AI660" s="3432"/>
      <c r="AJ660" s="3432"/>
      <c r="AK660" s="3432"/>
      <c r="AL660" s="3432"/>
      <c r="AM660" s="3432"/>
      <c r="AN660" s="3497"/>
      <c r="AO660" s="3426"/>
    </row>
    <row r="661" spans="1:41">
      <c r="A661" s="5047" t="s">
        <v>65</v>
      </c>
      <c r="B661" s="5048"/>
      <c r="C661" s="3432"/>
      <c r="D661" s="3460">
        <v>3.2689628907643301E-4</v>
      </c>
      <c r="E661" s="3432"/>
      <c r="F661" s="3432"/>
      <c r="G661" s="3432"/>
      <c r="H661" s="3432"/>
      <c r="I661" s="3432"/>
      <c r="K661" s="3432"/>
      <c r="L661" s="3454">
        <v>8.2057424997530007E-2</v>
      </c>
      <c r="M661" s="3432"/>
      <c r="N661" s="3432"/>
      <c r="O661" s="3432"/>
      <c r="P661" s="3432"/>
      <c r="Q661" s="3432"/>
      <c r="R661" s="3432"/>
      <c r="S661" s="3432"/>
      <c r="T661" s="3432"/>
      <c r="U661" s="3432"/>
      <c r="V661" s="3432"/>
      <c r="W661" s="3432"/>
      <c r="X661" s="3454">
        <v>8.2384321286606096E-2</v>
      </c>
      <c r="Y661" s="3432"/>
      <c r="Z661" s="3432"/>
      <c r="AA661" s="3432"/>
      <c r="AB661" s="3432"/>
      <c r="AC661" s="3432"/>
      <c r="AD661" s="3432"/>
      <c r="AE661" s="3432"/>
      <c r="AF661" s="3432"/>
      <c r="AG661" s="3432"/>
      <c r="AH661" s="3432"/>
      <c r="AI661" s="3432"/>
      <c r="AJ661" s="3432"/>
      <c r="AK661" s="3432"/>
      <c r="AL661" s="3432"/>
      <c r="AM661" s="3432"/>
      <c r="AN661" s="3497"/>
      <c r="AO661" s="3426"/>
    </row>
    <row r="662" spans="1:41">
      <c r="A662" s="5047" t="s">
        <v>13</v>
      </c>
      <c r="B662" s="5048"/>
      <c r="C662" s="3432"/>
      <c r="D662" s="3460">
        <v>1.9785828023047199E-4</v>
      </c>
      <c r="E662" s="3432"/>
      <c r="F662" s="3432"/>
      <c r="G662" s="3432"/>
      <c r="H662" s="3432"/>
      <c r="I662" s="3432"/>
      <c r="K662" s="3432"/>
      <c r="L662" s="3454">
        <v>5.2218361362064501E-2</v>
      </c>
      <c r="M662" s="3432"/>
      <c r="N662" s="3432"/>
      <c r="O662" s="3432"/>
      <c r="P662" s="3432"/>
      <c r="Q662" s="3432"/>
      <c r="R662" s="3432"/>
      <c r="S662" s="3432"/>
      <c r="T662" s="3432"/>
      <c r="U662" s="3432"/>
      <c r="V662" s="3432"/>
      <c r="W662" s="3432"/>
      <c r="X662" s="3454">
        <v>5.2416219642294801E-2</v>
      </c>
      <c r="Y662" s="3432"/>
      <c r="Z662" s="3432"/>
      <c r="AA662" s="3432"/>
      <c r="AB662" s="3432"/>
      <c r="AC662" s="3432"/>
      <c r="AD662" s="3432"/>
      <c r="AE662" s="3432"/>
      <c r="AF662" s="3432"/>
      <c r="AG662" s="3432"/>
      <c r="AH662" s="3432"/>
      <c r="AI662" s="3432"/>
      <c r="AJ662" s="3432"/>
      <c r="AK662" s="3432"/>
      <c r="AL662" s="3432"/>
      <c r="AM662" s="3432"/>
      <c r="AN662" s="3497"/>
      <c r="AO662" s="3426"/>
    </row>
    <row r="663" spans="1:41">
      <c r="A663" s="5047" t="s">
        <v>14</v>
      </c>
      <c r="B663" s="5048"/>
      <c r="C663" s="3432"/>
      <c r="D663" s="3460">
        <v>1.8925574630740801E-4</v>
      </c>
      <c r="E663" s="3432"/>
      <c r="F663" s="3432"/>
      <c r="G663" s="3432"/>
      <c r="H663" s="3432"/>
      <c r="I663" s="3432"/>
      <c r="K663" s="3432"/>
      <c r="L663" s="3454">
        <v>5.2218361362064598E-2</v>
      </c>
      <c r="M663" s="3432"/>
      <c r="N663" s="3432"/>
      <c r="O663" s="3432"/>
      <c r="P663" s="3432"/>
      <c r="Q663" s="3432"/>
      <c r="R663" s="3432"/>
      <c r="S663" s="3432"/>
      <c r="T663" s="3432"/>
      <c r="U663" s="3432"/>
      <c r="V663" s="3432"/>
      <c r="W663" s="3432"/>
      <c r="X663" s="3454">
        <v>5.2407617108371697E-2</v>
      </c>
      <c r="Y663" s="3432"/>
      <c r="Z663" s="3432"/>
      <c r="AA663" s="3432"/>
      <c r="AB663" s="3432"/>
      <c r="AC663" s="3432"/>
      <c r="AD663" s="3432"/>
      <c r="AE663" s="3432"/>
      <c r="AF663" s="3432"/>
      <c r="AG663" s="3432"/>
      <c r="AH663" s="3432"/>
      <c r="AI663" s="3432"/>
      <c r="AJ663" s="3432"/>
      <c r="AK663" s="3432"/>
      <c r="AL663" s="3432"/>
      <c r="AM663" s="3432"/>
      <c r="AN663" s="3497"/>
      <c r="AO663" s="3426"/>
    </row>
    <row r="664" spans="1:41">
      <c r="A664" s="5047" t="s">
        <v>424</v>
      </c>
      <c r="B664" s="5048"/>
      <c r="C664" s="3432"/>
      <c r="D664" s="3460">
        <v>2.7528108553804902E-4</v>
      </c>
      <c r="E664" s="3432"/>
      <c r="F664" s="3432"/>
      <c r="G664" s="3432"/>
      <c r="H664" s="3432"/>
      <c r="I664" s="3432"/>
      <c r="K664" s="3432"/>
      <c r="L664" s="3451">
        <v>0.104436722724129</v>
      </c>
      <c r="M664" s="3432"/>
      <c r="N664" s="3432"/>
      <c r="O664" s="3432"/>
      <c r="P664" s="3432"/>
      <c r="Q664" s="3432"/>
      <c r="R664" s="3432"/>
      <c r="S664" s="3432"/>
      <c r="T664" s="3432"/>
      <c r="U664" s="3432"/>
      <c r="V664" s="3432"/>
      <c r="W664" s="3432"/>
      <c r="X664" s="3451">
        <v>0.104712003809667</v>
      </c>
      <c r="Y664" s="3432"/>
      <c r="Z664" s="3432"/>
      <c r="AA664" s="3432"/>
      <c r="AB664" s="3432"/>
      <c r="AC664" s="3432"/>
      <c r="AD664" s="3432"/>
      <c r="AE664" s="3432"/>
      <c r="AF664" s="3432"/>
      <c r="AG664" s="3432"/>
      <c r="AH664" s="3432"/>
      <c r="AI664" s="3432"/>
      <c r="AJ664" s="3432"/>
      <c r="AK664" s="3432"/>
      <c r="AL664" s="3432"/>
      <c r="AM664" s="3432"/>
      <c r="AN664" s="3497"/>
      <c r="AO664" s="3426"/>
    </row>
    <row r="665" spans="1:41">
      <c r="A665" s="5047" t="s">
        <v>16</v>
      </c>
      <c r="B665" s="5048"/>
      <c r="C665" s="3432"/>
      <c r="D665" s="3449">
        <v>8.6025339230640202E-6</v>
      </c>
      <c r="E665" s="3432"/>
      <c r="F665" s="3432"/>
      <c r="G665" s="3432"/>
      <c r="H665" s="3432"/>
      <c r="I665" s="3432"/>
      <c r="K665" s="3432"/>
      <c r="L665" s="3447">
        <v>0</v>
      </c>
      <c r="M665" s="3432"/>
      <c r="N665" s="3432"/>
      <c r="O665" s="3432"/>
      <c r="P665" s="3432"/>
      <c r="Q665" s="3432"/>
      <c r="R665" s="3432"/>
      <c r="S665" s="3432"/>
      <c r="T665" s="3432"/>
      <c r="U665" s="3432"/>
      <c r="V665" s="3432"/>
      <c r="W665" s="3432"/>
      <c r="X665" s="3449">
        <v>8.6025339230639202E-6</v>
      </c>
      <c r="Y665" s="3432"/>
      <c r="Z665" s="3432"/>
      <c r="AA665" s="3432"/>
      <c r="AB665" s="3432"/>
      <c r="AC665" s="3432"/>
      <c r="AD665" s="3432"/>
      <c r="AE665" s="3432"/>
      <c r="AF665" s="3432"/>
      <c r="AG665" s="3432"/>
      <c r="AH665" s="3432"/>
      <c r="AI665" s="3432"/>
      <c r="AJ665" s="3432"/>
      <c r="AK665" s="3432"/>
      <c r="AL665" s="3432"/>
      <c r="AM665" s="3432"/>
      <c r="AN665" s="3497"/>
      <c r="AO665" s="3426"/>
    </row>
    <row r="666" spans="1:41">
      <c r="A666" s="5047" t="s">
        <v>770</v>
      </c>
      <c r="B666" s="5048"/>
      <c r="C666" s="3432"/>
      <c r="D666" s="3449">
        <v>8.6025339230640205E-5</v>
      </c>
      <c r="E666" s="3432"/>
      <c r="F666" s="3432"/>
      <c r="G666" s="3432"/>
      <c r="H666" s="3432"/>
      <c r="I666" s="3432"/>
      <c r="K666" s="3432"/>
      <c r="L666" s="3454">
        <v>2.9839063635465499E-2</v>
      </c>
      <c r="M666" s="3432"/>
      <c r="N666" s="3432"/>
      <c r="O666" s="3432"/>
      <c r="P666" s="3432"/>
      <c r="Q666" s="3432"/>
      <c r="R666" s="3432"/>
      <c r="S666" s="3432"/>
      <c r="T666" s="3432"/>
      <c r="U666" s="3432"/>
      <c r="V666" s="3432"/>
      <c r="W666" s="3432"/>
      <c r="X666" s="3454">
        <v>2.9925088974696E-2</v>
      </c>
      <c r="Y666" s="3432"/>
      <c r="Z666" s="3432"/>
      <c r="AA666" s="3432"/>
      <c r="AB666" s="3432"/>
      <c r="AC666" s="3432"/>
      <c r="AD666" s="3432"/>
      <c r="AE666" s="3432"/>
      <c r="AF666" s="3432"/>
      <c r="AG666" s="3432"/>
      <c r="AH666" s="3432"/>
      <c r="AI666" s="3432"/>
      <c r="AJ666" s="3432"/>
      <c r="AK666" s="3432"/>
      <c r="AL666" s="3432"/>
      <c r="AM666" s="3432"/>
      <c r="AN666" s="3497"/>
      <c r="AO666" s="3426"/>
    </row>
    <row r="667" spans="1:41">
      <c r="A667" s="5047" t="s">
        <v>833</v>
      </c>
      <c r="B667" s="5048"/>
      <c r="C667" s="3432"/>
      <c r="D667" s="3460">
        <v>1.6344814453821599E-4</v>
      </c>
      <c r="E667" s="3432"/>
      <c r="F667" s="3432"/>
      <c r="G667" s="3432"/>
      <c r="H667" s="3432"/>
      <c r="I667" s="3432"/>
      <c r="K667" s="3432"/>
      <c r="L667" s="3454">
        <v>8.9517190906396302E-2</v>
      </c>
      <c r="M667" s="3432"/>
      <c r="N667" s="3432"/>
      <c r="O667" s="3432"/>
      <c r="P667" s="3432"/>
      <c r="Q667" s="3432"/>
      <c r="R667" s="3432"/>
      <c r="S667" s="3432"/>
      <c r="T667" s="3432"/>
      <c r="U667" s="3432"/>
      <c r="V667" s="3432"/>
      <c r="W667" s="3432"/>
      <c r="X667" s="3454">
        <v>8.9680639050934194E-2</v>
      </c>
      <c r="Y667" s="3432"/>
      <c r="Z667" s="3432"/>
      <c r="AA667" s="3432"/>
      <c r="AB667" s="3432"/>
      <c r="AC667" s="3432"/>
      <c r="AD667" s="3432"/>
      <c r="AE667" s="3432"/>
      <c r="AF667" s="3432"/>
      <c r="AG667" s="3432"/>
      <c r="AH667" s="3432"/>
      <c r="AI667" s="3432"/>
      <c r="AJ667" s="3432"/>
      <c r="AK667" s="3432"/>
      <c r="AL667" s="3432"/>
      <c r="AM667" s="3432"/>
      <c r="AN667" s="3497"/>
      <c r="AO667" s="3426"/>
    </row>
    <row r="668" spans="1:41">
      <c r="A668" s="5047" t="s">
        <v>834</v>
      </c>
      <c r="B668" s="5048"/>
      <c r="C668" s="3432"/>
      <c r="D668" s="3449">
        <v>9.4627873153704207E-5</v>
      </c>
      <c r="E668" s="3432"/>
      <c r="F668" s="3432"/>
      <c r="G668" s="3432"/>
      <c r="H668" s="3432"/>
      <c r="I668" s="3432"/>
      <c r="K668" s="3432"/>
      <c r="L668" s="3454">
        <v>8.9517190906396399E-2</v>
      </c>
      <c r="M668" s="3432"/>
      <c r="N668" s="3432"/>
      <c r="O668" s="3432"/>
      <c r="P668" s="3432"/>
      <c r="Q668" s="3432"/>
      <c r="R668" s="3432"/>
      <c r="S668" s="3432"/>
      <c r="T668" s="3432"/>
      <c r="U668" s="3432"/>
      <c r="V668" s="3432"/>
      <c r="W668" s="3432"/>
      <c r="X668" s="3454">
        <v>8.9611818779549698E-2</v>
      </c>
      <c r="Y668" s="3432"/>
      <c r="Z668" s="3432"/>
      <c r="AA668" s="3432"/>
      <c r="AB668" s="3432"/>
      <c r="AC668" s="3432"/>
      <c r="AD668" s="3432"/>
      <c r="AE668" s="3432"/>
      <c r="AF668" s="3432"/>
      <c r="AG668" s="3432"/>
      <c r="AH668" s="3432"/>
      <c r="AI668" s="3432"/>
      <c r="AJ668" s="3432"/>
      <c r="AK668" s="3432"/>
      <c r="AL668" s="3432"/>
      <c r="AM668" s="3432"/>
      <c r="AN668" s="3497"/>
      <c r="AO668" s="3426"/>
    </row>
    <row r="669" spans="1:41" ht="13" thickBot="1">
      <c r="A669" s="5053" t="s">
        <v>752</v>
      </c>
      <c r="B669" s="5054"/>
      <c r="C669" s="3494"/>
      <c r="D669" s="3481">
        <v>7.7422805307576203E-5</v>
      </c>
      <c r="E669" s="3494"/>
      <c r="F669" s="3494"/>
      <c r="G669" s="3494"/>
      <c r="H669" s="3494"/>
      <c r="I669" s="3494"/>
      <c r="K669" s="3494"/>
      <c r="L669" s="3484">
        <v>0.47742501816744698</v>
      </c>
      <c r="M669" s="3494"/>
      <c r="N669" s="3494"/>
      <c r="O669" s="3494"/>
      <c r="P669" s="3494"/>
      <c r="Q669" s="3494"/>
      <c r="R669" s="3494"/>
      <c r="S669" s="3494"/>
      <c r="T669" s="3494"/>
      <c r="U669" s="3494"/>
      <c r="V669" s="3494"/>
      <c r="W669" s="3494"/>
      <c r="X669" s="3484">
        <v>0.47750244097275302</v>
      </c>
      <c r="Y669" s="3494"/>
      <c r="Z669" s="3494"/>
      <c r="AA669" s="3494"/>
      <c r="AB669" s="3494"/>
      <c r="AC669" s="3494"/>
      <c r="AD669" s="3494"/>
      <c r="AE669" s="3494"/>
      <c r="AF669" s="3494"/>
      <c r="AG669" s="3494"/>
      <c r="AH669" s="3494"/>
      <c r="AI669" s="3494"/>
      <c r="AJ669" s="3494"/>
      <c r="AK669" s="3494"/>
      <c r="AL669" s="3494"/>
      <c r="AM669" s="3494"/>
      <c r="AN669" s="3498"/>
      <c r="AO669" s="3426"/>
    </row>
    <row r="670" spans="1:41" ht="13" thickTop="1">
      <c r="A670" s="3426"/>
      <c r="B670" s="3426"/>
      <c r="C670" s="3426"/>
      <c r="D670" s="3426"/>
      <c r="E670" s="3426"/>
      <c r="F670" s="3426"/>
      <c r="G670" s="3426"/>
      <c r="H670" s="3426"/>
      <c r="I670" s="3426"/>
      <c r="K670" s="3426"/>
      <c r="L670" s="3426"/>
      <c r="M670" s="3426"/>
      <c r="N670" s="3426"/>
      <c r="O670" s="3426"/>
      <c r="P670" s="3426"/>
      <c r="Q670" s="3426"/>
      <c r="R670" s="3426"/>
      <c r="S670" s="3426"/>
      <c r="T670" s="3426"/>
      <c r="U670" s="3426"/>
      <c r="V670" s="3426"/>
      <c r="W670" s="3426"/>
      <c r="X670" s="3426"/>
      <c r="Y670" s="3426"/>
      <c r="Z670" s="3426"/>
      <c r="AA670" s="3426"/>
      <c r="AB670" s="3426"/>
      <c r="AC670" s="3426"/>
      <c r="AD670" s="3426"/>
      <c r="AE670" s="3426"/>
      <c r="AF670" s="3426"/>
      <c r="AG670" s="3426"/>
      <c r="AH670" s="3426"/>
      <c r="AI670" s="3426"/>
      <c r="AJ670" s="3426"/>
      <c r="AK670" s="3426"/>
      <c r="AL670" s="3426"/>
      <c r="AM670" s="3426"/>
      <c r="AN670" s="3426"/>
      <c r="AO670" s="3426"/>
    </row>
    <row r="671" spans="1:41" ht="13" thickBot="1">
      <c r="A671" s="3426"/>
      <c r="B671" s="3426"/>
      <c r="C671" s="3426"/>
      <c r="D671" s="3426"/>
      <c r="E671" s="3426"/>
      <c r="F671" s="3426"/>
      <c r="G671" s="3426"/>
      <c r="H671" s="3426"/>
      <c r="I671" s="3426"/>
      <c r="K671" s="3426"/>
      <c r="L671" s="3426"/>
      <c r="M671" s="3426"/>
      <c r="N671" s="3426"/>
      <c r="O671" s="3426"/>
      <c r="P671" s="3426"/>
      <c r="Q671" s="3426"/>
      <c r="R671" s="3426"/>
      <c r="S671" s="3426"/>
      <c r="T671" s="3426"/>
      <c r="U671" s="3426"/>
      <c r="V671" s="3426"/>
      <c r="W671" s="3426"/>
      <c r="X671" s="3426"/>
      <c r="Y671" s="3426"/>
      <c r="Z671" s="3426"/>
      <c r="AA671" s="3426"/>
      <c r="AB671" s="3426"/>
      <c r="AC671" s="3426"/>
      <c r="AD671" s="3426"/>
      <c r="AE671" s="3426"/>
      <c r="AF671" s="3426"/>
      <c r="AG671" s="3426"/>
      <c r="AH671" s="3426"/>
      <c r="AI671" s="3426"/>
      <c r="AJ671" s="3426"/>
      <c r="AK671" s="3426"/>
      <c r="AL671" s="3426"/>
      <c r="AM671" s="3426"/>
      <c r="AN671" s="3426"/>
      <c r="AO671" s="3426"/>
    </row>
    <row r="672" spans="1:41" ht="14" thickTop="1" thickBot="1">
      <c r="A672" s="3434" t="s">
        <v>389</v>
      </c>
      <c r="B672" s="3435"/>
      <c r="C672" s="3436" t="s">
        <v>821</v>
      </c>
      <c r="D672" s="3436" t="s">
        <v>822</v>
      </c>
      <c r="E672" s="3436" t="s">
        <v>741</v>
      </c>
      <c r="F672" s="3436" t="s">
        <v>823</v>
      </c>
      <c r="G672" s="3436" t="s">
        <v>1304</v>
      </c>
      <c r="H672" s="3436" t="s">
        <v>737</v>
      </c>
      <c r="I672" s="3436" t="s">
        <v>742</v>
      </c>
      <c r="K672" s="3436" t="s">
        <v>824</v>
      </c>
      <c r="L672" s="3436" t="s">
        <v>825</v>
      </c>
      <c r="M672" s="3436" t="s">
        <v>743</v>
      </c>
      <c r="N672" s="3436" t="s">
        <v>827</v>
      </c>
      <c r="O672" s="3436" t="s">
        <v>390</v>
      </c>
      <c r="P672" s="3436" t="s">
        <v>391</v>
      </c>
      <c r="Q672" s="3436" t="s">
        <v>392</v>
      </c>
      <c r="R672" s="3436" t="s">
        <v>393</v>
      </c>
      <c r="S672" s="3436" t="s">
        <v>394</v>
      </c>
      <c r="T672" s="3436" t="s">
        <v>395</v>
      </c>
      <c r="U672" s="3436" t="s">
        <v>396</v>
      </c>
      <c r="V672" s="3436" t="s">
        <v>397</v>
      </c>
      <c r="W672" s="3436" t="s">
        <v>398</v>
      </c>
      <c r="X672" s="3436" t="s">
        <v>399</v>
      </c>
      <c r="Y672" s="3436" t="s">
        <v>400</v>
      </c>
      <c r="Z672" s="3436" t="s">
        <v>401</v>
      </c>
      <c r="AA672" s="3436" t="s">
        <v>402</v>
      </c>
      <c r="AB672" s="3436" t="s">
        <v>403</v>
      </c>
      <c r="AC672" s="3436" t="s">
        <v>404</v>
      </c>
      <c r="AD672" s="3436" t="s">
        <v>405</v>
      </c>
      <c r="AE672" s="3436" t="s">
        <v>406</v>
      </c>
      <c r="AF672" s="3436" t="s">
        <v>407</v>
      </c>
      <c r="AG672" s="3436" t="s">
        <v>408</v>
      </c>
      <c r="AH672" s="3436" t="s">
        <v>409</v>
      </c>
      <c r="AI672" s="3436" t="s">
        <v>410</v>
      </c>
      <c r="AJ672" s="3436" t="s">
        <v>411</v>
      </c>
      <c r="AK672" s="3436" t="s">
        <v>412</v>
      </c>
      <c r="AL672" s="3436" t="s">
        <v>439</v>
      </c>
      <c r="AM672" s="3436" t="s">
        <v>440</v>
      </c>
      <c r="AN672" s="3437" t="s">
        <v>828</v>
      </c>
      <c r="AO672" s="3426"/>
    </row>
    <row r="673" spans="1:41" ht="13">
      <c r="A673" s="3438" t="s">
        <v>427</v>
      </c>
      <c r="B673" s="3427" t="s">
        <v>413</v>
      </c>
      <c r="C673" s="3428" t="s">
        <v>414</v>
      </c>
      <c r="D673" s="3428" t="s">
        <v>414</v>
      </c>
      <c r="E673" s="3428" t="s">
        <v>414</v>
      </c>
      <c r="F673" s="3428" t="s">
        <v>414</v>
      </c>
      <c r="G673" s="3428" t="s">
        <v>414</v>
      </c>
      <c r="H673" s="3428" t="s">
        <v>414</v>
      </c>
      <c r="I673" s="3428" t="s">
        <v>414</v>
      </c>
      <c r="K673" s="3428" t="s">
        <v>414</v>
      </c>
      <c r="L673" s="3428" t="s">
        <v>414</v>
      </c>
      <c r="M673" s="3428" t="s">
        <v>414</v>
      </c>
      <c r="N673" s="3428" t="s">
        <v>414</v>
      </c>
      <c r="O673" s="3428" t="s">
        <v>414</v>
      </c>
      <c r="P673" s="3428" t="s">
        <v>414</v>
      </c>
      <c r="Q673" s="3428" t="s">
        <v>414</v>
      </c>
      <c r="R673" s="3428" t="s">
        <v>414</v>
      </c>
      <c r="S673" s="3428" t="s">
        <v>414</v>
      </c>
      <c r="T673" s="3428" t="s">
        <v>414</v>
      </c>
      <c r="U673" s="3428" t="s">
        <v>414</v>
      </c>
      <c r="V673" s="3428" t="s">
        <v>414</v>
      </c>
      <c r="W673" s="3428" t="s">
        <v>414</v>
      </c>
      <c r="X673" s="3428" t="s">
        <v>414</v>
      </c>
      <c r="Y673" s="3428" t="s">
        <v>414</v>
      </c>
      <c r="Z673" s="3428" t="s">
        <v>414</v>
      </c>
      <c r="AA673" s="3428" t="s">
        <v>414</v>
      </c>
      <c r="AB673" s="3428" t="s">
        <v>414</v>
      </c>
      <c r="AC673" s="3428" t="s">
        <v>414</v>
      </c>
      <c r="AD673" s="3428" t="s">
        <v>414</v>
      </c>
      <c r="AE673" s="3428" t="s">
        <v>414</v>
      </c>
      <c r="AF673" s="3428" t="s">
        <v>414</v>
      </c>
      <c r="AG673" s="3428" t="s">
        <v>414</v>
      </c>
      <c r="AH673" s="3428" t="s">
        <v>414</v>
      </c>
      <c r="AI673" s="3428" t="s">
        <v>414</v>
      </c>
      <c r="AJ673" s="3428" t="s">
        <v>414</v>
      </c>
      <c r="AK673" s="3428" t="s">
        <v>414</v>
      </c>
      <c r="AL673" s="3428" t="s">
        <v>414</v>
      </c>
      <c r="AM673" s="3428" t="s">
        <v>414</v>
      </c>
      <c r="AN673" s="3439" t="s">
        <v>414</v>
      </c>
      <c r="AO673" s="3426"/>
    </row>
    <row r="674" spans="1:41" ht="13">
      <c r="A674" s="3440" t="s">
        <v>438</v>
      </c>
      <c r="B674" s="3429" t="s">
        <v>416</v>
      </c>
      <c r="C674" s="3429" t="s">
        <v>445</v>
      </c>
      <c r="D674" s="3429" t="s">
        <v>445</v>
      </c>
      <c r="E674" s="3429" t="s">
        <v>445</v>
      </c>
      <c r="F674" s="3429" t="s">
        <v>445</v>
      </c>
      <c r="G674" s="3429" t="s">
        <v>445</v>
      </c>
      <c r="H674" s="3429" t="s">
        <v>445</v>
      </c>
      <c r="I674" s="3429" t="s">
        <v>445</v>
      </c>
      <c r="K674" s="3429" t="s">
        <v>829</v>
      </c>
      <c r="L674" s="3429" t="s">
        <v>445</v>
      </c>
      <c r="M674" s="3429" t="s">
        <v>445</v>
      </c>
      <c r="N674" s="3429" t="s">
        <v>445</v>
      </c>
      <c r="O674" s="3429" t="s">
        <v>445</v>
      </c>
      <c r="P674" s="3429" t="s">
        <v>829</v>
      </c>
      <c r="Q674" s="3429" t="s">
        <v>830</v>
      </c>
      <c r="R674" s="3429" t="s">
        <v>830</v>
      </c>
      <c r="S674" s="3429" t="s">
        <v>445</v>
      </c>
      <c r="T674" s="3429" t="s">
        <v>631</v>
      </c>
      <c r="U674" s="3429" t="s">
        <v>631</v>
      </c>
      <c r="V674" s="3429" t="s">
        <v>831</v>
      </c>
      <c r="W674" s="3429" t="s">
        <v>831</v>
      </c>
      <c r="X674" s="3429" t="s">
        <v>418</v>
      </c>
      <c r="Y674" s="3429" t="s">
        <v>419</v>
      </c>
      <c r="Z674" s="3429" t="s">
        <v>445</v>
      </c>
      <c r="AA674" s="3429" t="s">
        <v>445</v>
      </c>
      <c r="AB674" s="3429" t="s">
        <v>447</v>
      </c>
      <c r="AC674" s="3429" t="s">
        <v>445</v>
      </c>
      <c r="AD674" s="3429" t="s">
        <v>445</v>
      </c>
      <c r="AE674" s="3429" t="s">
        <v>448</v>
      </c>
      <c r="AF674" s="3429" t="s">
        <v>896</v>
      </c>
      <c r="AG674" s="3429" t="s">
        <v>896</v>
      </c>
      <c r="AH674" s="3429" t="s">
        <v>445</v>
      </c>
      <c r="AI674" s="3429" t="s">
        <v>445</v>
      </c>
      <c r="AJ674" s="3429" t="s">
        <v>449</v>
      </c>
      <c r="AK674" s="3429" t="s">
        <v>896</v>
      </c>
      <c r="AL674" s="3429" t="s">
        <v>450</v>
      </c>
      <c r="AM674" s="3429" t="s">
        <v>826</v>
      </c>
      <c r="AN674" s="3441" t="s">
        <v>445</v>
      </c>
      <c r="AO674" s="3426"/>
    </row>
    <row r="675" spans="1:41">
      <c r="A675" s="3488"/>
      <c r="B675" s="3430" t="s">
        <v>421</v>
      </c>
      <c r="C675" s="3430" t="s">
        <v>450</v>
      </c>
      <c r="D675" s="3430" t="s">
        <v>418</v>
      </c>
      <c r="E675" s="3430" t="s">
        <v>445</v>
      </c>
      <c r="F675" s="3430" t="s">
        <v>829</v>
      </c>
      <c r="G675" s="3430" t="s">
        <v>445</v>
      </c>
      <c r="H675" s="3430" t="s">
        <v>445</v>
      </c>
      <c r="I675" s="3430" t="s">
        <v>445</v>
      </c>
      <c r="K675" s="3430" t="s">
        <v>445</v>
      </c>
      <c r="L675" s="3430" t="s">
        <v>418</v>
      </c>
      <c r="M675" s="3430" t="s">
        <v>445</v>
      </c>
      <c r="N675" s="3430" t="s">
        <v>445</v>
      </c>
      <c r="O675" s="3430" t="s">
        <v>419</v>
      </c>
      <c r="P675" s="3430" t="s">
        <v>445</v>
      </c>
      <c r="Q675" s="3430" t="s">
        <v>445</v>
      </c>
      <c r="R675" s="3430" t="s">
        <v>445</v>
      </c>
      <c r="S675" s="3430" t="s">
        <v>419</v>
      </c>
      <c r="T675" s="3430" t="s">
        <v>445</v>
      </c>
      <c r="U675" s="3430" t="s">
        <v>445</v>
      </c>
      <c r="V675" s="3430" t="s">
        <v>445</v>
      </c>
      <c r="W675" s="3430" t="s">
        <v>445</v>
      </c>
      <c r="X675" s="3430" t="s">
        <v>896</v>
      </c>
      <c r="Y675" s="3430" t="s">
        <v>445</v>
      </c>
      <c r="Z675" s="3430" t="s">
        <v>447</v>
      </c>
      <c r="AA675" s="3430" t="s">
        <v>447</v>
      </c>
      <c r="AB675" s="3430" t="s">
        <v>445</v>
      </c>
      <c r="AC675" s="3430" t="s">
        <v>448</v>
      </c>
      <c r="AD675" s="3430" t="s">
        <v>448</v>
      </c>
      <c r="AE675" s="3430" t="s">
        <v>445</v>
      </c>
      <c r="AF675" s="3430" t="s">
        <v>831</v>
      </c>
      <c r="AG675" s="3430" t="s">
        <v>445</v>
      </c>
      <c r="AH675" s="3430" t="s">
        <v>449</v>
      </c>
      <c r="AI675" s="3430" t="s">
        <v>449</v>
      </c>
      <c r="AJ675" s="3430" t="s">
        <v>445</v>
      </c>
      <c r="AK675" s="3430" t="s">
        <v>450</v>
      </c>
      <c r="AL675" s="3430" t="s">
        <v>631</v>
      </c>
      <c r="AM675" s="3430" t="s">
        <v>830</v>
      </c>
      <c r="AN675" s="3443" t="s">
        <v>445</v>
      </c>
      <c r="AO675" s="3426"/>
    </row>
    <row r="676" spans="1:41" ht="13" thickBot="1">
      <c r="A676" s="3462" t="s">
        <v>71</v>
      </c>
      <c r="B676" s="3485" t="s">
        <v>72</v>
      </c>
      <c r="C676" s="3433"/>
      <c r="D676" s="3433"/>
      <c r="E676" s="3433"/>
      <c r="F676" s="3433"/>
      <c r="G676" s="3433"/>
      <c r="H676" s="3433"/>
      <c r="I676" s="3433"/>
      <c r="K676" s="3433"/>
      <c r="L676" s="3433"/>
      <c r="M676" s="3433"/>
      <c r="N676" s="3433"/>
      <c r="O676" s="3433"/>
      <c r="P676" s="3433"/>
      <c r="Q676" s="3433"/>
      <c r="R676" s="3433"/>
      <c r="S676" s="3433"/>
      <c r="T676" s="3433"/>
      <c r="U676" s="3433"/>
      <c r="V676" s="3433"/>
      <c r="W676" s="3433"/>
      <c r="X676" s="3433"/>
      <c r="Y676" s="3433"/>
      <c r="Z676" s="3433"/>
      <c r="AA676" s="3433"/>
      <c r="AB676" s="3433"/>
      <c r="AC676" s="3433"/>
      <c r="AD676" s="3433"/>
      <c r="AE676" s="3433"/>
      <c r="AF676" s="3433"/>
      <c r="AG676" s="3433"/>
      <c r="AH676" s="3433"/>
      <c r="AI676" s="3433"/>
      <c r="AJ676" s="3433"/>
      <c r="AK676" s="3433"/>
      <c r="AL676" s="3433"/>
      <c r="AM676" s="3433"/>
      <c r="AN676" s="3444"/>
      <c r="AO676" s="3426"/>
    </row>
    <row r="677" spans="1:41" ht="13" thickTop="1">
      <c r="A677" s="3445" t="s">
        <v>428</v>
      </c>
      <c r="B677" s="3486" t="s">
        <v>299</v>
      </c>
      <c r="C677" s="3432"/>
      <c r="D677" s="3447">
        <v>105</v>
      </c>
      <c r="E677" s="3432"/>
      <c r="F677" s="3432"/>
      <c r="G677" s="3432"/>
      <c r="H677" s="3432"/>
      <c r="I677" s="3432"/>
      <c r="K677" s="3432"/>
      <c r="L677" s="3447">
        <v>70</v>
      </c>
      <c r="M677" s="3432"/>
      <c r="N677" s="3432"/>
      <c r="O677" s="3432"/>
      <c r="P677" s="3432"/>
      <c r="Q677" s="3432"/>
      <c r="R677" s="3432"/>
      <c r="S677" s="3432"/>
      <c r="T677" s="3432"/>
      <c r="U677" s="3432"/>
      <c r="V677" s="3432"/>
      <c r="W677" s="3432"/>
      <c r="X677" s="3455">
        <v>70.378349195815602</v>
      </c>
      <c r="Y677" s="3432"/>
      <c r="Z677" s="3432"/>
      <c r="AA677" s="3432"/>
      <c r="AB677" s="3432"/>
      <c r="AC677" s="3432"/>
      <c r="AD677" s="3432"/>
      <c r="AE677" s="3432"/>
      <c r="AF677" s="3432"/>
      <c r="AG677" s="3432"/>
      <c r="AH677" s="3432"/>
      <c r="AI677" s="3432"/>
      <c r="AJ677" s="3432"/>
      <c r="AK677" s="3432"/>
      <c r="AL677" s="3432"/>
      <c r="AM677" s="3432"/>
      <c r="AN677" s="3497"/>
      <c r="AO677" s="3426"/>
    </row>
    <row r="678" spans="1:41">
      <c r="A678" s="3456" t="s">
        <v>730</v>
      </c>
      <c r="B678" s="3487" t="s">
        <v>297</v>
      </c>
      <c r="C678" s="3432"/>
      <c r="D678" s="3447">
        <v>30</v>
      </c>
      <c r="E678" s="3432"/>
      <c r="F678" s="3432"/>
      <c r="G678" s="3432"/>
      <c r="H678" s="3432"/>
      <c r="I678" s="3432"/>
      <c r="K678" s="3432"/>
      <c r="L678" s="3447">
        <v>5</v>
      </c>
      <c r="M678" s="3432"/>
      <c r="N678" s="3432"/>
      <c r="O678" s="3432"/>
      <c r="P678" s="3432"/>
      <c r="Q678" s="3432"/>
      <c r="R678" s="3432"/>
      <c r="S678" s="3432"/>
      <c r="T678" s="3432"/>
      <c r="U678" s="3432"/>
      <c r="V678" s="3432"/>
      <c r="W678" s="3432"/>
      <c r="X678" s="3447">
        <v>5</v>
      </c>
      <c r="Y678" s="3432"/>
      <c r="Z678" s="3432"/>
      <c r="AA678" s="3432"/>
      <c r="AB678" s="3432"/>
      <c r="AC678" s="3432"/>
      <c r="AD678" s="3432"/>
      <c r="AE678" s="3432"/>
      <c r="AF678" s="3432"/>
      <c r="AG678" s="3432"/>
      <c r="AH678" s="3432"/>
      <c r="AI678" s="3432"/>
      <c r="AJ678" s="3432"/>
      <c r="AK678" s="3432"/>
      <c r="AL678" s="3432"/>
      <c r="AM678" s="3432"/>
      <c r="AN678" s="3497"/>
      <c r="AO678" s="3426"/>
    </row>
    <row r="679" spans="1:41">
      <c r="A679" s="3456" t="s">
        <v>20</v>
      </c>
      <c r="B679" s="3487" t="s">
        <v>429</v>
      </c>
      <c r="C679" s="3432"/>
      <c r="D679" s="3455">
        <v>18.346904072200001</v>
      </c>
      <c r="E679" s="3432"/>
      <c r="F679" s="3432"/>
      <c r="G679" s="3432"/>
      <c r="H679" s="3432"/>
      <c r="I679" s="3432"/>
      <c r="K679" s="3432"/>
      <c r="L679" s="3455">
        <v>20.592706446644701</v>
      </c>
      <c r="M679" s="3432"/>
      <c r="N679" s="3432"/>
      <c r="O679" s="3432"/>
      <c r="P679" s="3432"/>
      <c r="Q679" s="3432"/>
      <c r="R679" s="3432"/>
      <c r="S679" s="3432"/>
      <c r="T679" s="3432"/>
      <c r="U679" s="3432"/>
      <c r="V679" s="3432"/>
      <c r="W679" s="3432"/>
      <c r="X679" s="3455">
        <v>20.567100780388898</v>
      </c>
      <c r="Y679" s="3432"/>
      <c r="Z679" s="3432"/>
      <c r="AA679" s="3432"/>
      <c r="AB679" s="3432"/>
      <c r="AC679" s="3432"/>
      <c r="AD679" s="3432"/>
      <c r="AE679" s="3432"/>
      <c r="AF679" s="3432"/>
      <c r="AG679" s="3432"/>
      <c r="AH679" s="3432"/>
      <c r="AI679" s="3432"/>
      <c r="AJ679" s="3432"/>
      <c r="AK679" s="3432"/>
      <c r="AL679" s="3432"/>
      <c r="AM679" s="3432"/>
      <c r="AN679" s="3497"/>
      <c r="AO679" s="3426"/>
    </row>
    <row r="680" spans="1:41">
      <c r="A680" s="3456" t="s">
        <v>425</v>
      </c>
      <c r="B680" s="3487" t="s">
        <v>426</v>
      </c>
      <c r="C680" s="3432"/>
      <c r="D680" s="3472">
        <v>1732.9439783882599</v>
      </c>
      <c r="E680" s="3432"/>
      <c r="F680" s="3432"/>
      <c r="G680" s="3432"/>
      <c r="H680" s="3432"/>
      <c r="I680" s="3432"/>
      <c r="K680" s="3432"/>
      <c r="L680" s="3467">
        <v>168651.62709424499</v>
      </c>
      <c r="M680" s="3432"/>
      <c r="N680" s="3432"/>
      <c r="O680" s="3432"/>
      <c r="P680" s="3432"/>
      <c r="Q680" s="3432"/>
      <c r="R680" s="3432"/>
      <c r="S680" s="3432"/>
      <c r="T680" s="3432"/>
      <c r="U680" s="3432"/>
      <c r="V680" s="3432"/>
      <c r="W680" s="3432"/>
      <c r="X680" s="3467">
        <v>170384.571072633</v>
      </c>
      <c r="Y680" s="3432"/>
      <c r="Z680" s="3432"/>
      <c r="AA680" s="3432"/>
      <c r="AB680" s="3432"/>
      <c r="AC680" s="3432"/>
      <c r="AD680" s="3432"/>
      <c r="AE680" s="3432"/>
      <c r="AF680" s="3432"/>
      <c r="AG680" s="3432"/>
      <c r="AH680" s="3432"/>
      <c r="AI680" s="3432"/>
      <c r="AJ680" s="3432"/>
      <c r="AK680" s="3432"/>
      <c r="AL680" s="3432"/>
      <c r="AM680" s="3432"/>
      <c r="AN680" s="3497"/>
      <c r="AO680" s="3426"/>
    </row>
    <row r="681" spans="1:41">
      <c r="A681" s="3456" t="s">
        <v>430</v>
      </c>
      <c r="B681" s="3487" t="s">
        <v>57</v>
      </c>
      <c r="C681" s="3432"/>
      <c r="D681" s="3451">
        <v>0.86025339230639597</v>
      </c>
      <c r="E681" s="3432"/>
      <c r="F681" s="3432"/>
      <c r="G681" s="3432"/>
      <c r="H681" s="3432"/>
      <c r="I681" s="3432"/>
      <c r="K681" s="3432"/>
      <c r="L681" s="3455">
        <v>74.590199322754799</v>
      </c>
      <c r="M681" s="3432"/>
      <c r="N681" s="3432"/>
      <c r="O681" s="3432"/>
      <c r="P681" s="3432"/>
      <c r="Q681" s="3432"/>
      <c r="R681" s="3432"/>
      <c r="S681" s="3432"/>
      <c r="T681" s="3432"/>
      <c r="U681" s="3432"/>
      <c r="V681" s="3432"/>
      <c r="W681" s="3432"/>
      <c r="X681" s="3455">
        <v>75.450452715061203</v>
      </c>
      <c r="Y681" s="3432"/>
      <c r="Z681" s="3432"/>
      <c r="AA681" s="3432"/>
      <c r="AB681" s="3432"/>
      <c r="AC681" s="3432"/>
      <c r="AD681" s="3432"/>
      <c r="AE681" s="3432"/>
      <c r="AF681" s="3432"/>
      <c r="AG681" s="3432"/>
      <c r="AH681" s="3432"/>
      <c r="AI681" s="3432"/>
      <c r="AJ681" s="3432"/>
      <c r="AK681" s="3432"/>
      <c r="AL681" s="3432"/>
      <c r="AM681" s="3432"/>
      <c r="AN681" s="3497"/>
      <c r="AO681" s="3426"/>
    </row>
    <row r="682" spans="1:41">
      <c r="A682" s="3456" t="s">
        <v>431</v>
      </c>
      <c r="B682" s="3487" t="s">
        <v>432</v>
      </c>
      <c r="C682" s="3432"/>
      <c r="D682" s="3447">
        <v>3.5</v>
      </c>
      <c r="E682" s="3432"/>
      <c r="F682" s="3432"/>
      <c r="G682" s="3432"/>
      <c r="H682" s="3432"/>
      <c r="I682" s="3432"/>
      <c r="K682" s="3432"/>
      <c r="L682" s="3447">
        <v>350</v>
      </c>
      <c r="M682" s="3432"/>
      <c r="N682" s="3432"/>
      <c r="O682" s="3432"/>
      <c r="P682" s="3432"/>
      <c r="Q682" s="3432"/>
      <c r="R682" s="3432"/>
      <c r="S682" s="3432"/>
      <c r="T682" s="3432"/>
      <c r="U682" s="3432"/>
      <c r="V682" s="3432"/>
      <c r="W682" s="3432"/>
      <c r="X682" s="3447">
        <v>353.5</v>
      </c>
      <c r="Y682" s="3432"/>
      <c r="Z682" s="3432"/>
      <c r="AA682" s="3432"/>
      <c r="AB682" s="3432"/>
      <c r="AC682" s="3432"/>
      <c r="AD682" s="3432"/>
      <c r="AE682" s="3432"/>
      <c r="AF682" s="3432"/>
      <c r="AG682" s="3432"/>
      <c r="AH682" s="3432"/>
      <c r="AI682" s="3432"/>
      <c r="AJ682" s="3432"/>
      <c r="AK682" s="3432"/>
      <c r="AL682" s="3432"/>
      <c r="AM682" s="3432"/>
      <c r="AN682" s="3497"/>
      <c r="AO682" s="3426"/>
    </row>
    <row r="683" spans="1:41">
      <c r="A683" s="3456" t="s">
        <v>731</v>
      </c>
      <c r="B683" s="3487" t="s">
        <v>434</v>
      </c>
      <c r="C683" s="3432"/>
      <c r="D683" s="3455">
        <v>21.179807916914299</v>
      </c>
      <c r="E683" s="3432"/>
      <c r="F683" s="3432"/>
      <c r="G683" s="3432"/>
      <c r="H683" s="3432"/>
      <c r="I683" s="3432"/>
      <c r="K683" s="3432"/>
      <c r="L683" s="3471">
        <v>144.527037906575</v>
      </c>
      <c r="M683" s="3432"/>
      <c r="N683" s="3432"/>
      <c r="O683" s="3432"/>
      <c r="P683" s="3432"/>
      <c r="Q683" s="3432"/>
      <c r="R683" s="3432"/>
      <c r="S683" s="3432"/>
      <c r="T683" s="3432"/>
      <c r="U683" s="3432"/>
      <c r="V683" s="3432"/>
      <c r="W683" s="3432"/>
      <c r="X683" s="3471">
        <v>143.120686198773</v>
      </c>
      <c r="Y683" s="3432"/>
      <c r="Z683" s="3432"/>
      <c r="AA683" s="3432"/>
      <c r="AB683" s="3432"/>
      <c r="AC683" s="3432"/>
      <c r="AD683" s="3432"/>
      <c r="AE683" s="3432"/>
      <c r="AF683" s="3432"/>
      <c r="AG683" s="3432"/>
      <c r="AH683" s="3432"/>
      <c r="AI683" s="3432"/>
      <c r="AJ683" s="3432"/>
      <c r="AK683" s="3432"/>
      <c r="AL683" s="3432"/>
      <c r="AM683" s="3432"/>
      <c r="AN683" s="3497"/>
      <c r="AO683" s="3426"/>
    </row>
    <row r="684" spans="1:41" ht="13" thickBot="1">
      <c r="A684" s="3474" t="s">
        <v>433</v>
      </c>
      <c r="B684" s="3490" t="s">
        <v>434</v>
      </c>
      <c r="C684" s="3494"/>
      <c r="D684" s="3478">
        <v>72.8253216165553</v>
      </c>
      <c r="E684" s="3494"/>
      <c r="F684" s="3494"/>
      <c r="G684" s="3494"/>
      <c r="H684" s="3494"/>
      <c r="I684" s="3494"/>
      <c r="K684" s="3494"/>
      <c r="L684" s="3492">
        <v>203.770526452122</v>
      </c>
      <c r="M684" s="3494"/>
      <c r="N684" s="3494"/>
      <c r="O684" s="3494"/>
      <c r="P684" s="3494"/>
      <c r="Q684" s="3494"/>
      <c r="R684" s="3494"/>
      <c r="S684" s="3494"/>
      <c r="T684" s="3494"/>
      <c r="U684" s="3494"/>
      <c r="V684" s="3494"/>
      <c r="W684" s="3494"/>
      <c r="X684" s="3492">
        <v>202.27754592500099</v>
      </c>
      <c r="Y684" s="3494"/>
      <c r="Z684" s="3494"/>
      <c r="AA684" s="3494"/>
      <c r="AB684" s="3494"/>
      <c r="AC684" s="3494"/>
      <c r="AD684" s="3494"/>
      <c r="AE684" s="3494"/>
      <c r="AF684" s="3494"/>
      <c r="AG684" s="3494"/>
      <c r="AH684" s="3494"/>
      <c r="AI684" s="3494"/>
      <c r="AJ684" s="3494"/>
      <c r="AK684" s="3494"/>
      <c r="AL684" s="3494"/>
      <c r="AM684" s="3494"/>
      <c r="AN684" s="3498"/>
      <c r="AO684" s="3426"/>
    </row>
    <row r="685" spans="1:41" ht="13" thickTop="1">
      <c r="A685" s="3426"/>
      <c r="B685" s="3426"/>
      <c r="C685" s="3426"/>
      <c r="D685" s="3426"/>
      <c r="E685" s="3426"/>
      <c r="F685" s="3426"/>
      <c r="G685" s="3426"/>
      <c r="H685" s="3426"/>
      <c r="I685" s="3426"/>
      <c r="K685" s="3426"/>
      <c r="L685" s="3426"/>
      <c r="M685" s="3426"/>
      <c r="N685" s="3426"/>
      <c r="O685" s="3426"/>
      <c r="P685" s="3426"/>
      <c r="Q685" s="3426"/>
      <c r="R685" s="3426"/>
      <c r="S685" s="3426"/>
      <c r="T685" s="3426"/>
      <c r="U685" s="3426"/>
      <c r="V685" s="3426"/>
      <c r="W685" s="3426"/>
      <c r="X685" s="3426"/>
      <c r="Y685" s="3426"/>
      <c r="Z685" s="3426"/>
      <c r="AA685" s="3426"/>
      <c r="AB685" s="3426"/>
      <c r="AC685" s="3426"/>
      <c r="AD685" s="3426"/>
      <c r="AE685" s="3426"/>
      <c r="AF685" s="3426"/>
      <c r="AG685" s="3426"/>
      <c r="AH685" s="3426"/>
      <c r="AI685" s="3426"/>
      <c r="AJ685" s="3426"/>
      <c r="AK685" s="3426"/>
      <c r="AL685" s="3426"/>
      <c r="AM685" s="3426"/>
      <c r="AN685" s="3426"/>
      <c r="AO685" s="3426"/>
    </row>
  </sheetData>
  <mergeCells count="580">
    <mergeCell ref="A6:B6"/>
    <mergeCell ref="A7:B7"/>
    <mergeCell ref="A8:B8"/>
    <mergeCell ref="A9:B9"/>
    <mergeCell ref="A10:B10"/>
    <mergeCell ref="A11:B11"/>
    <mergeCell ref="A653:B653"/>
    <mergeCell ref="A642:B642"/>
    <mergeCell ref="A643:B643"/>
    <mergeCell ref="A644:B644"/>
    <mergeCell ref="A645:B645"/>
    <mergeCell ref="A646:B646"/>
    <mergeCell ref="A647:B647"/>
    <mergeCell ref="A636:B636"/>
    <mergeCell ref="A637:B637"/>
    <mergeCell ref="A638:B638"/>
    <mergeCell ref="A639:B639"/>
    <mergeCell ref="A640:B640"/>
    <mergeCell ref="A641:B641"/>
    <mergeCell ref="A18:B18"/>
    <mergeCell ref="A19:B19"/>
    <mergeCell ref="A20:B20"/>
    <mergeCell ref="A21:B21"/>
    <mergeCell ref="A22:B22"/>
    <mergeCell ref="A30:B30"/>
    <mergeCell ref="A31:B31"/>
    <mergeCell ref="A669:B669"/>
    <mergeCell ref="A660:B660"/>
    <mergeCell ref="A661:B661"/>
    <mergeCell ref="A662:B662"/>
    <mergeCell ref="A663:B663"/>
    <mergeCell ref="A664:B664"/>
    <mergeCell ref="A665:B665"/>
    <mergeCell ref="A654:B654"/>
    <mergeCell ref="A655:B655"/>
    <mergeCell ref="A656:B656"/>
    <mergeCell ref="A657:B657"/>
    <mergeCell ref="A658:B658"/>
    <mergeCell ref="A659:B659"/>
    <mergeCell ref="A666:B666"/>
    <mergeCell ref="A667:B667"/>
    <mergeCell ref="A668:B668"/>
    <mergeCell ref="A36:B36"/>
    <mergeCell ref="A37:B37"/>
    <mergeCell ref="A38:B38"/>
    <mergeCell ref="A39:B39"/>
    <mergeCell ref="A40:B40"/>
    <mergeCell ref="A41:B41"/>
    <mergeCell ref="A24:B24"/>
    <mergeCell ref="A25:B25"/>
    <mergeCell ref="A26:B26"/>
    <mergeCell ref="A27:B27"/>
    <mergeCell ref="A28:B28"/>
    <mergeCell ref="A29:B29"/>
    <mergeCell ref="A23:B23"/>
    <mergeCell ref="A12:B12"/>
    <mergeCell ref="A13:B13"/>
    <mergeCell ref="A14:B14"/>
    <mergeCell ref="A15:B15"/>
    <mergeCell ref="A16:B16"/>
    <mergeCell ref="A17:B17"/>
    <mergeCell ref="A32:B32"/>
    <mergeCell ref="A33:B33"/>
    <mergeCell ref="A34:B34"/>
    <mergeCell ref="A35:B35"/>
    <mergeCell ref="A48:B48"/>
    <mergeCell ref="A49:B49"/>
    <mergeCell ref="A50:B50"/>
    <mergeCell ref="A51:B51"/>
    <mergeCell ref="A52:B52"/>
    <mergeCell ref="A53:B53"/>
    <mergeCell ref="A42:B42"/>
    <mergeCell ref="A43:B43"/>
    <mergeCell ref="A44:B44"/>
    <mergeCell ref="A45:B45"/>
    <mergeCell ref="A46:B46"/>
    <mergeCell ref="A47:B47"/>
    <mergeCell ref="A60:B60"/>
    <mergeCell ref="A61:B61"/>
    <mergeCell ref="A62:B62"/>
    <mergeCell ref="A63:B63"/>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8:B108"/>
    <mergeCell ref="A109:B109"/>
    <mergeCell ref="A110:B110"/>
    <mergeCell ref="A111:B111"/>
    <mergeCell ref="A112:B112"/>
    <mergeCell ref="A113:B113"/>
    <mergeCell ref="A102:B102"/>
    <mergeCell ref="A103:B103"/>
    <mergeCell ref="A104:B104"/>
    <mergeCell ref="A105:B105"/>
    <mergeCell ref="A106:B106"/>
    <mergeCell ref="A107:B107"/>
    <mergeCell ref="A120:B120"/>
    <mergeCell ref="A121:B121"/>
    <mergeCell ref="A143:B143"/>
    <mergeCell ref="A144:B144"/>
    <mergeCell ref="A145:B145"/>
    <mergeCell ref="A146:B146"/>
    <mergeCell ref="A114:B114"/>
    <mergeCell ref="A115:B115"/>
    <mergeCell ref="A116:B116"/>
    <mergeCell ref="A117:B117"/>
    <mergeCell ref="A118:B118"/>
    <mergeCell ref="A119:B119"/>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82:B282"/>
    <mergeCell ref="A283:B283"/>
    <mergeCell ref="A284:B284"/>
    <mergeCell ref="A285:B285"/>
    <mergeCell ref="A286:B286"/>
    <mergeCell ref="A287:B287"/>
    <mergeCell ref="A255:B255"/>
    <mergeCell ref="A256:B256"/>
    <mergeCell ref="A257:B257"/>
    <mergeCell ref="A258:B258"/>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1:B311"/>
    <mergeCell ref="A300:B300"/>
    <mergeCell ref="A301:B301"/>
    <mergeCell ref="A302:B302"/>
    <mergeCell ref="A303:B303"/>
    <mergeCell ref="A304:B304"/>
    <mergeCell ref="A305:B305"/>
    <mergeCell ref="A318:B318"/>
    <mergeCell ref="A319:B319"/>
    <mergeCell ref="A320:B320"/>
    <mergeCell ref="A321:B321"/>
    <mergeCell ref="A322:B322"/>
    <mergeCell ref="A323:B323"/>
    <mergeCell ref="A312:B312"/>
    <mergeCell ref="A313:B313"/>
    <mergeCell ref="A314:B314"/>
    <mergeCell ref="A315:B315"/>
    <mergeCell ref="A316:B316"/>
    <mergeCell ref="A317:B317"/>
    <mergeCell ref="A330:B330"/>
    <mergeCell ref="A331:B331"/>
    <mergeCell ref="A332:B332"/>
    <mergeCell ref="A333:B333"/>
    <mergeCell ref="A334:B334"/>
    <mergeCell ref="A335:B335"/>
    <mergeCell ref="A324:B324"/>
    <mergeCell ref="A325:B325"/>
    <mergeCell ref="A326:B326"/>
    <mergeCell ref="A327:B327"/>
    <mergeCell ref="A328:B328"/>
    <mergeCell ref="A329:B329"/>
    <mergeCell ref="A342:B342"/>
    <mergeCell ref="A343:B343"/>
    <mergeCell ref="A344:B344"/>
    <mergeCell ref="A345:B345"/>
    <mergeCell ref="A346:B346"/>
    <mergeCell ref="A347:B347"/>
    <mergeCell ref="A336:B336"/>
    <mergeCell ref="A337:B337"/>
    <mergeCell ref="A338:B338"/>
    <mergeCell ref="A339:B339"/>
    <mergeCell ref="A340:B340"/>
    <mergeCell ref="A341:B341"/>
    <mergeCell ref="A354:B354"/>
    <mergeCell ref="A355:B355"/>
    <mergeCell ref="A356:B356"/>
    <mergeCell ref="A357:B357"/>
    <mergeCell ref="A358:B358"/>
    <mergeCell ref="A359:B359"/>
    <mergeCell ref="A348:B348"/>
    <mergeCell ref="A349:B349"/>
    <mergeCell ref="A350:B350"/>
    <mergeCell ref="A351:B351"/>
    <mergeCell ref="A352:B352"/>
    <mergeCell ref="A353:B353"/>
    <mergeCell ref="A366:B366"/>
    <mergeCell ref="A367:B367"/>
    <mergeCell ref="A368:B368"/>
    <mergeCell ref="A369:B369"/>
    <mergeCell ref="A370:B370"/>
    <mergeCell ref="A371:B371"/>
    <mergeCell ref="A360:B360"/>
    <mergeCell ref="A361:B361"/>
    <mergeCell ref="A362:B362"/>
    <mergeCell ref="A363:B363"/>
    <mergeCell ref="A364:B364"/>
    <mergeCell ref="A365:B365"/>
    <mergeCell ref="A378:B378"/>
    <mergeCell ref="A379:B379"/>
    <mergeCell ref="A380:B380"/>
    <mergeCell ref="A381:B381"/>
    <mergeCell ref="A382:B382"/>
    <mergeCell ref="A383:B383"/>
    <mergeCell ref="A372:B372"/>
    <mergeCell ref="A373:B373"/>
    <mergeCell ref="A374:B374"/>
    <mergeCell ref="A375:B375"/>
    <mergeCell ref="A376:B376"/>
    <mergeCell ref="A377:B377"/>
    <mergeCell ref="A390:B390"/>
    <mergeCell ref="A391:B391"/>
    <mergeCell ref="A392:B392"/>
    <mergeCell ref="A393:B393"/>
    <mergeCell ref="A394:B394"/>
    <mergeCell ref="A395:B395"/>
    <mergeCell ref="A384:B384"/>
    <mergeCell ref="A385:B385"/>
    <mergeCell ref="A386:B386"/>
    <mergeCell ref="A387:B387"/>
    <mergeCell ref="A388:B388"/>
    <mergeCell ref="A389:B389"/>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35:B435"/>
    <mergeCell ref="A436:B436"/>
    <mergeCell ref="A437:B437"/>
    <mergeCell ref="A438:B438"/>
    <mergeCell ref="A439:B439"/>
    <mergeCell ref="A440:B440"/>
    <mergeCell ref="A429:B429"/>
    <mergeCell ref="A430:B430"/>
    <mergeCell ref="A431:B431"/>
    <mergeCell ref="A432:B432"/>
    <mergeCell ref="A433:B433"/>
    <mergeCell ref="A434:B434"/>
    <mergeCell ref="A447:B447"/>
    <mergeCell ref="A448:B448"/>
    <mergeCell ref="A449:B449"/>
    <mergeCell ref="A450:B450"/>
    <mergeCell ref="A451:B451"/>
    <mergeCell ref="A452:B452"/>
    <mergeCell ref="A441:B441"/>
    <mergeCell ref="A442:B442"/>
    <mergeCell ref="A443:B443"/>
    <mergeCell ref="A444:B444"/>
    <mergeCell ref="A445:B445"/>
    <mergeCell ref="A446:B446"/>
    <mergeCell ref="A459:B459"/>
    <mergeCell ref="A460:B460"/>
    <mergeCell ref="A461:B461"/>
    <mergeCell ref="A462:B462"/>
    <mergeCell ref="A463:B463"/>
    <mergeCell ref="A464:B464"/>
    <mergeCell ref="A453:B453"/>
    <mergeCell ref="A454:B454"/>
    <mergeCell ref="A455:B455"/>
    <mergeCell ref="A456:B456"/>
    <mergeCell ref="A457:B457"/>
    <mergeCell ref="A458:B458"/>
    <mergeCell ref="A471:B471"/>
    <mergeCell ref="A472:B472"/>
    <mergeCell ref="A473:B473"/>
    <mergeCell ref="A474:B474"/>
    <mergeCell ref="A475:B475"/>
    <mergeCell ref="A476:B476"/>
    <mergeCell ref="A465:B465"/>
    <mergeCell ref="A466:B466"/>
    <mergeCell ref="A467:B467"/>
    <mergeCell ref="A468:B468"/>
    <mergeCell ref="A469:B469"/>
    <mergeCell ref="A470:B470"/>
    <mergeCell ref="A483:B483"/>
    <mergeCell ref="A484:B484"/>
    <mergeCell ref="A485:B485"/>
    <mergeCell ref="A486:B486"/>
    <mergeCell ref="A487:B487"/>
    <mergeCell ref="A488:B488"/>
    <mergeCell ref="A477:B477"/>
    <mergeCell ref="A478:B478"/>
    <mergeCell ref="A479:B479"/>
    <mergeCell ref="A480:B480"/>
    <mergeCell ref="A481:B481"/>
    <mergeCell ref="A482:B482"/>
    <mergeCell ref="A495:B495"/>
    <mergeCell ref="A496:B496"/>
    <mergeCell ref="A497:B497"/>
    <mergeCell ref="A498:B498"/>
    <mergeCell ref="A499:B499"/>
    <mergeCell ref="A500:B500"/>
    <mergeCell ref="A489:B489"/>
    <mergeCell ref="A490:B490"/>
    <mergeCell ref="A491:B491"/>
    <mergeCell ref="A492:B492"/>
    <mergeCell ref="A493:B493"/>
    <mergeCell ref="A494:B494"/>
    <mergeCell ref="A507:B507"/>
    <mergeCell ref="A508:B508"/>
    <mergeCell ref="A509:B509"/>
    <mergeCell ref="A510:B510"/>
    <mergeCell ref="A511:B511"/>
    <mergeCell ref="A512:B512"/>
    <mergeCell ref="A501:B501"/>
    <mergeCell ref="A502:B502"/>
    <mergeCell ref="A503:B503"/>
    <mergeCell ref="A504:B504"/>
    <mergeCell ref="A505:B505"/>
    <mergeCell ref="A506:B506"/>
    <mergeCell ref="A519:B519"/>
    <mergeCell ref="A520:B520"/>
    <mergeCell ref="A521:B521"/>
    <mergeCell ref="A522:B522"/>
    <mergeCell ref="A523:B523"/>
    <mergeCell ref="A524:B524"/>
    <mergeCell ref="A513:B513"/>
    <mergeCell ref="A514:B514"/>
    <mergeCell ref="A515:B515"/>
    <mergeCell ref="A516:B516"/>
    <mergeCell ref="A517:B517"/>
    <mergeCell ref="A518:B518"/>
    <mergeCell ref="A531:B531"/>
    <mergeCell ref="A532:B532"/>
    <mergeCell ref="A554:B554"/>
    <mergeCell ref="A555:B555"/>
    <mergeCell ref="A556:B556"/>
    <mergeCell ref="A557:B557"/>
    <mergeCell ref="A525:B525"/>
    <mergeCell ref="A526:B526"/>
    <mergeCell ref="A527:B527"/>
    <mergeCell ref="A528:B528"/>
    <mergeCell ref="A529:B529"/>
    <mergeCell ref="A530:B530"/>
    <mergeCell ref="A564:B564"/>
    <mergeCell ref="A565:B565"/>
    <mergeCell ref="A566:B566"/>
    <mergeCell ref="A567:B567"/>
    <mergeCell ref="A568:B568"/>
    <mergeCell ref="A569:B569"/>
    <mergeCell ref="A558:B558"/>
    <mergeCell ref="A559:B559"/>
    <mergeCell ref="A560:B560"/>
    <mergeCell ref="A561:B561"/>
    <mergeCell ref="A562:B562"/>
    <mergeCell ref="A563:B563"/>
    <mergeCell ref="A576:B576"/>
    <mergeCell ref="A577:B577"/>
    <mergeCell ref="A578:B578"/>
    <mergeCell ref="A579:B579"/>
    <mergeCell ref="A580:B580"/>
    <mergeCell ref="A581:B581"/>
    <mergeCell ref="A570:B570"/>
    <mergeCell ref="A571:B571"/>
    <mergeCell ref="A572:B572"/>
    <mergeCell ref="A573:B573"/>
    <mergeCell ref="A574:B574"/>
    <mergeCell ref="A575:B575"/>
    <mergeCell ref="A588:B588"/>
    <mergeCell ref="A589:B589"/>
    <mergeCell ref="A590:B590"/>
    <mergeCell ref="A591:B591"/>
    <mergeCell ref="A592:B592"/>
    <mergeCell ref="A593:B593"/>
    <mergeCell ref="A582:B582"/>
    <mergeCell ref="A583:B583"/>
    <mergeCell ref="A584:B584"/>
    <mergeCell ref="A585:B585"/>
    <mergeCell ref="A586:B586"/>
    <mergeCell ref="A587:B587"/>
    <mergeCell ref="A600:B600"/>
    <mergeCell ref="A601:B601"/>
    <mergeCell ref="A602:B602"/>
    <mergeCell ref="A603:B603"/>
    <mergeCell ref="A604:B604"/>
    <mergeCell ref="A605:B605"/>
    <mergeCell ref="A594:B594"/>
    <mergeCell ref="A595:B595"/>
    <mergeCell ref="A596:B596"/>
    <mergeCell ref="A597:B597"/>
    <mergeCell ref="A598:B598"/>
    <mergeCell ref="A599:B599"/>
    <mergeCell ref="A612:B612"/>
    <mergeCell ref="A613:B613"/>
    <mergeCell ref="A614:B614"/>
    <mergeCell ref="A615:B615"/>
    <mergeCell ref="A616:B616"/>
    <mergeCell ref="A617:B617"/>
    <mergeCell ref="A606:B606"/>
    <mergeCell ref="A607:B607"/>
    <mergeCell ref="A608:B608"/>
    <mergeCell ref="A609:B609"/>
    <mergeCell ref="A610:B610"/>
    <mergeCell ref="A611:B611"/>
    <mergeCell ref="A624:B624"/>
    <mergeCell ref="A625:B625"/>
    <mergeCell ref="A626:B626"/>
    <mergeCell ref="A627:B627"/>
    <mergeCell ref="A628:B628"/>
    <mergeCell ref="A629:B629"/>
    <mergeCell ref="A618:B618"/>
    <mergeCell ref="A619:B619"/>
    <mergeCell ref="A620:B620"/>
    <mergeCell ref="A621:B621"/>
    <mergeCell ref="A622:B622"/>
    <mergeCell ref="A623:B623"/>
    <mergeCell ref="A648:B648"/>
    <mergeCell ref="A649:B649"/>
    <mergeCell ref="A650:B650"/>
    <mergeCell ref="A651:B651"/>
    <mergeCell ref="A652:B652"/>
    <mergeCell ref="A630:B630"/>
    <mergeCell ref="A631:B631"/>
    <mergeCell ref="A632:B632"/>
    <mergeCell ref="A633:B633"/>
    <mergeCell ref="A634:B634"/>
    <mergeCell ref="A635:B635"/>
  </mergeCells>
  <pageMargins left="0.7" right="0.7" top="0.75" bottom="0.75" header="0.3" footer="0.3"/>
  <pageSetup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0">
    <tabColor rgb="FF00FFCC"/>
  </sheetPr>
  <dimension ref="A1:AS429"/>
  <sheetViews>
    <sheetView topLeftCell="A52" workbookViewId="0">
      <selection activeCell="K92" sqref="K92"/>
    </sheetView>
  </sheetViews>
  <sheetFormatPr defaultColWidth="9.36328125" defaultRowHeight="12.5"/>
  <cols>
    <col min="1" max="1" width="22.6328125" style="3084" bestFit="1" customWidth="1"/>
    <col min="2" max="2" width="10.36328125" style="3084" bestFit="1" customWidth="1"/>
    <col min="3" max="3" width="13.36328125" style="3084" bestFit="1" customWidth="1"/>
    <col min="4" max="4" width="11.6328125" style="3084" bestFit="1" customWidth="1"/>
    <col min="5" max="5" width="18.54296875" style="3084" bestFit="1" customWidth="1"/>
    <col min="6" max="6" width="14.54296875" style="3084" bestFit="1" customWidth="1"/>
    <col min="7" max="7" width="13.36328125" style="3084" bestFit="1" customWidth="1"/>
    <col min="8" max="8" width="14.36328125" style="3084" bestFit="1" customWidth="1"/>
    <col min="9" max="9" width="10.453125" style="3084" bestFit="1" customWidth="1"/>
    <col min="10" max="10" width="11.54296875" style="3084" bestFit="1" customWidth="1"/>
    <col min="11" max="12" width="10" style="3084" bestFit="1" customWidth="1"/>
    <col min="13" max="13" width="10.54296875" style="3084" bestFit="1" customWidth="1"/>
    <col min="14" max="14" width="10" style="3084" bestFit="1" customWidth="1"/>
    <col min="15" max="15" width="12.453125" style="3084" bestFit="1" customWidth="1"/>
    <col min="16" max="16" width="10" style="3084" bestFit="1" customWidth="1"/>
    <col min="17" max="17" width="13.36328125" style="3084" bestFit="1" customWidth="1"/>
    <col min="18" max="18" width="8.6328125" style="3084" bestFit="1" customWidth="1"/>
    <col min="19" max="19" width="11.54296875" style="3084" bestFit="1" customWidth="1"/>
    <col min="20" max="21" width="17.453125" style="3084" bestFit="1" customWidth="1"/>
    <col min="22" max="23" width="10.6328125" style="3084" bestFit="1" customWidth="1"/>
    <col min="24" max="24" width="8.453125" style="3084" bestFit="1" customWidth="1"/>
    <col min="25" max="25" width="11.6328125" style="3084" bestFit="1" customWidth="1"/>
    <col min="26" max="27" width="10.6328125" style="3084" bestFit="1" customWidth="1"/>
    <col min="28" max="28" width="10.54296875" style="3084" bestFit="1" customWidth="1"/>
    <col min="29" max="30" width="17.453125" style="3084" bestFit="1" customWidth="1"/>
    <col min="31" max="34" width="10" style="3084" bestFit="1" customWidth="1"/>
    <col min="35" max="35" width="14.54296875" style="3084" bestFit="1" customWidth="1"/>
    <col min="36" max="36" width="10.453125" style="3084" bestFit="1" customWidth="1"/>
    <col min="37" max="37" width="10" style="3084" bestFit="1" customWidth="1"/>
    <col min="38" max="38" width="10.54296875" style="3084" bestFit="1" customWidth="1"/>
    <col min="39" max="41" width="8.36328125" style="3084" bestFit="1" customWidth="1"/>
    <col min="42" max="16384" width="9.36328125" style="3084"/>
  </cols>
  <sheetData>
    <row r="1" spans="1:45" ht="13" thickBot="1">
      <c r="A1" s="3512"/>
      <c r="B1" s="3512"/>
      <c r="C1" s="3512"/>
      <c r="D1" s="3512"/>
      <c r="E1" s="3512"/>
      <c r="F1" s="3512"/>
      <c r="G1" s="3512"/>
      <c r="H1" s="3512"/>
      <c r="I1" s="3512"/>
      <c r="J1" s="3512"/>
      <c r="K1" s="3512"/>
      <c r="L1" s="3512"/>
      <c r="M1" s="3512"/>
      <c r="N1" s="3512"/>
      <c r="O1" s="3512"/>
      <c r="P1" s="3512"/>
      <c r="Q1" s="3512"/>
      <c r="R1" s="3512"/>
      <c r="S1" s="3512"/>
      <c r="T1" s="3512"/>
      <c r="U1" s="3512"/>
      <c r="V1" s="3512"/>
      <c r="W1" s="3512"/>
      <c r="X1" s="3512"/>
      <c r="Y1" s="3512"/>
      <c r="Z1" s="3512"/>
      <c r="AA1" s="3512"/>
      <c r="AB1" s="3512"/>
      <c r="AC1" s="3512"/>
      <c r="AD1" s="3512"/>
      <c r="AE1" s="3512"/>
      <c r="AF1" s="3512"/>
      <c r="AG1" s="3512"/>
      <c r="AH1" s="3512"/>
      <c r="AI1" s="3512"/>
      <c r="AJ1" s="3512"/>
      <c r="AK1" s="3512"/>
      <c r="AL1" s="3512"/>
      <c r="AM1" s="3512"/>
      <c r="AN1" s="3512"/>
      <c r="AO1" s="3512"/>
      <c r="AP1" s="3512"/>
      <c r="AS1" s="3078"/>
    </row>
    <row r="2" spans="1:45" ht="14" thickTop="1" thickBot="1">
      <c r="A2" s="3520" t="s">
        <v>389</v>
      </c>
      <c r="B2" s="3521"/>
      <c r="C2" s="3522" t="s">
        <v>707</v>
      </c>
      <c r="D2" s="3522" t="s">
        <v>561</v>
      </c>
      <c r="E2" s="3522" t="s">
        <v>708</v>
      </c>
      <c r="F2" s="3522" t="s">
        <v>709</v>
      </c>
      <c r="G2" s="3522" t="s">
        <v>710</v>
      </c>
      <c r="H2" s="3522" t="s">
        <v>711</v>
      </c>
      <c r="I2" s="3522" t="s">
        <v>712</v>
      </c>
      <c r="J2" s="3522" t="s">
        <v>713</v>
      </c>
      <c r="K2" s="3522" t="s">
        <v>390</v>
      </c>
      <c r="L2" s="3522" t="s">
        <v>391</v>
      </c>
      <c r="M2" s="3522" t="s">
        <v>392</v>
      </c>
      <c r="N2" s="3522" t="s">
        <v>393</v>
      </c>
      <c r="O2" s="3522" t="s">
        <v>714</v>
      </c>
      <c r="P2" s="3522" t="s">
        <v>394</v>
      </c>
      <c r="Q2" s="3522" t="s">
        <v>715</v>
      </c>
      <c r="R2" s="3522" t="s">
        <v>395</v>
      </c>
      <c r="S2" s="3522" t="s">
        <v>716</v>
      </c>
      <c r="T2" s="3522" t="s">
        <v>396</v>
      </c>
      <c r="U2" s="3522" t="s">
        <v>397</v>
      </c>
      <c r="V2" s="3522" t="s">
        <v>398</v>
      </c>
      <c r="W2" s="3522" t="s">
        <v>399</v>
      </c>
      <c r="X2" s="3522" t="s">
        <v>400</v>
      </c>
      <c r="Y2" s="3522" t="s">
        <v>717</v>
      </c>
      <c r="Z2" s="3522" t="s">
        <v>401</v>
      </c>
      <c r="AA2" s="3522" t="s">
        <v>402</v>
      </c>
      <c r="AB2" s="3522" t="s">
        <v>403</v>
      </c>
      <c r="AC2" s="3522" t="s">
        <v>718</v>
      </c>
      <c r="AD2" s="3522" t="s">
        <v>404</v>
      </c>
      <c r="AE2" s="3522" t="s">
        <v>405</v>
      </c>
      <c r="AF2" s="3522" t="s">
        <v>406</v>
      </c>
      <c r="AG2" s="3522" t="s">
        <v>407</v>
      </c>
      <c r="AH2" s="3522" t="s">
        <v>408</v>
      </c>
      <c r="AI2" s="3522" t="s">
        <v>409</v>
      </c>
      <c r="AJ2" s="3522" t="s">
        <v>410</v>
      </c>
      <c r="AK2" s="3522" t="s">
        <v>411</v>
      </c>
      <c r="AL2" s="3522" t="s">
        <v>412</v>
      </c>
      <c r="AM2" s="3522" t="s">
        <v>439</v>
      </c>
      <c r="AN2" s="3522" t="s">
        <v>440</v>
      </c>
      <c r="AO2" s="3523" t="s">
        <v>441</v>
      </c>
      <c r="AP2" s="3512"/>
      <c r="AS2" s="3079" t="s">
        <v>743</v>
      </c>
    </row>
    <row r="3" spans="1:45" ht="13">
      <c r="A3" s="3524" t="s">
        <v>96</v>
      </c>
      <c r="B3" s="3513" t="s">
        <v>413</v>
      </c>
      <c r="C3" s="3514" t="s">
        <v>414</v>
      </c>
      <c r="D3" s="3514" t="s">
        <v>414</v>
      </c>
      <c r="E3" s="3514" t="s">
        <v>414</v>
      </c>
      <c r="F3" s="3514" t="s">
        <v>414</v>
      </c>
      <c r="G3" s="3514" t="s">
        <v>414</v>
      </c>
      <c r="H3" s="3514" t="s">
        <v>414</v>
      </c>
      <c r="I3" s="3514" t="s">
        <v>414</v>
      </c>
      <c r="J3" s="3514" t="s">
        <v>414</v>
      </c>
      <c r="K3" s="3514" t="s">
        <v>414</v>
      </c>
      <c r="L3" s="3514" t="s">
        <v>414</v>
      </c>
      <c r="M3" s="3514" t="s">
        <v>414</v>
      </c>
      <c r="N3" s="3514" t="s">
        <v>414</v>
      </c>
      <c r="O3" s="3514" t="s">
        <v>414</v>
      </c>
      <c r="P3" s="3514" t="s">
        <v>414</v>
      </c>
      <c r="Q3" s="3514" t="s">
        <v>414</v>
      </c>
      <c r="R3" s="3514" t="s">
        <v>414</v>
      </c>
      <c r="S3" s="3514" t="s">
        <v>414</v>
      </c>
      <c r="T3" s="3514" t="s">
        <v>414</v>
      </c>
      <c r="U3" s="3514" t="s">
        <v>414</v>
      </c>
      <c r="V3" s="3514" t="s">
        <v>414</v>
      </c>
      <c r="W3" s="3514" t="s">
        <v>414</v>
      </c>
      <c r="X3" s="3514" t="s">
        <v>414</v>
      </c>
      <c r="Y3" s="3514" t="s">
        <v>414</v>
      </c>
      <c r="Z3" s="3514" t="s">
        <v>414</v>
      </c>
      <c r="AA3" s="3514" t="s">
        <v>414</v>
      </c>
      <c r="AB3" s="3514" t="s">
        <v>414</v>
      </c>
      <c r="AC3" s="3514" t="s">
        <v>414</v>
      </c>
      <c r="AD3" s="3514" t="s">
        <v>414</v>
      </c>
      <c r="AE3" s="3514" t="s">
        <v>414</v>
      </c>
      <c r="AF3" s="3514" t="s">
        <v>414</v>
      </c>
      <c r="AG3" s="3514" t="s">
        <v>414</v>
      </c>
      <c r="AH3" s="3514" t="s">
        <v>414</v>
      </c>
      <c r="AI3" s="3514" t="s">
        <v>414</v>
      </c>
      <c r="AJ3" s="3514" t="s">
        <v>414</v>
      </c>
      <c r="AK3" s="3514" t="s">
        <v>414</v>
      </c>
      <c r="AL3" s="3514" t="s">
        <v>414</v>
      </c>
      <c r="AM3" s="3514" t="s">
        <v>414</v>
      </c>
      <c r="AN3" s="3514" t="s">
        <v>414</v>
      </c>
      <c r="AO3" s="3525" t="s">
        <v>414</v>
      </c>
      <c r="AP3" s="3512"/>
      <c r="AS3" s="3080" t="s">
        <v>414</v>
      </c>
    </row>
    <row r="4" spans="1:45" ht="13">
      <c r="A4" s="3526" t="s">
        <v>415</v>
      </c>
      <c r="B4" s="3515" t="s">
        <v>416</v>
      </c>
      <c r="C4" s="3515" t="s">
        <v>719</v>
      </c>
      <c r="D4" s="3515" t="s">
        <v>720</v>
      </c>
      <c r="E4" s="3515" t="s">
        <v>445</v>
      </c>
      <c r="F4" s="3515" t="s">
        <v>719</v>
      </c>
      <c r="G4" s="3515" t="s">
        <v>445</v>
      </c>
      <c r="H4" s="3515" t="s">
        <v>721</v>
      </c>
      <c r="I4" s="3515" t="s">
        <v>442</v>
      </c>
      <c r="J4" s="3515" t="s">
        <v>445</v>
      </c>
      <c r="K4" s="3515" t="s">
        <v>722</v>
      </c>
      <c r="L4" s="3515" t="s">
        <v>445</v>
      </c>
      <c r="M4" s="3515" t="s">
        <v>445</v>
      </c>
      <c r="N4" s="3515" t="s">
        <v>444</v>
      </c>
      <c r="O4" s="3515" t="s">
        <v>442</v>
      </c>
      <c r="P4" s="3515" t="s">
        <v>446</v>
      </c>
      <c r="Q4" s="3515" t="s">
        <v>722</v>
      </c>
      <c r="R4" s="3515" t="s">
        <v>445</v>
      </c>
      <c r="S4" s="3515" t="s">
        <v>723</v>
      </c>
      <c r="T4" s="3515" t="s">
        <v>723</v>
      </c>
      <c r="U4" s="3515" t="s">
        <v>724</v>
      </c>
      <c r="V4" s="3515" t="s">
        <v>725</v>
      </c>
      <c r="W4" s="3515" t="s">
        <v>726</v>
      </c>
      <c r="X4" s="3515" t="s">
        <v>443</v>
      </c>
      <c r="Y4" s="3515" t="s">
        <v>726</v>
      </c>
      <c r="Z4" s="3515" t="s">
        <v>725</v>
      </c>
      <c r="AA4" s="3515" t="s">
        <v>291</v>
      </c>
      <c r="AB4" s="3515" t="s">
        <v>445</v>
      </c>
      <c r="AC4" s="3515" t="s">
        <v>291</v>
      </c>
      <c r="AD4" s="3515" t="s">
        <v>724</v>
      </c>
      <c r="AE4" s="3515" t="s">
        <v>443</v>
      </c>
      <c r="AF4" s="3515" t="s">
        <v>420</v>
      </c>
      <c r="AG4" s="3515" t="s">
        <v>420</v>
      </c>
      <c r="AH4" s="3515" t="s">
        <v>418</v>
      </c>
      <c r="AI4" s="3515" t="s">
        <v>727</v>
      </c>
      <c r="AJ4" s="3515" t="s">
        <v>728</v>
      </c>
      <c r="AK4" s="3515" t="s">
        <v>417</v>
      </c>
      <c r="AL4" s="3515" t="s">
        <v>445</v>
      </c>
      <c r="AM4" s="3515" t="s">
        <v>445</v>
      </c>
      <c r="AN4" s="3515" t="s">
        <v>729</v>
      </c>
      <c r="AO4" s="3527" t="s">
        <v>729</v>
      </c>
      <c r="AP4" s="3512"/>
      <c r="AS4" s="3081" t="s">
        <v>445</v>
      </c>
    </row>
    <row r="5" spans="1:45">
      <c r="A5" s="3528"/>
      <c r="B5" s="3515" t="s">
        <v>421</v>
      </c>
      <c r="C5" s="3516" t="s">
        <v>445</v>
      </c>
      <c r="D5" s="3516" t="s">
        <v>445</v>
      </c>
      <c r="E5" s="3516" t="s">
        <v>445</v>
      </c>
      <c r="F5" s="3516" t="s">
        <v>727</v>
      </c>
      <c r="G5" s="3516" t="s">
        <v>719</v>
      </c>
      <c r="H5" s="3516" t="s">
        <v>719</v>
      </c>
      <c r="I5" s="3516" t="s">
        <v>722</v>
      </c>
      <c r="J5" s="3516" t="s">
        <v>720</v>
      </c>
      <c r="K5" s="3516" t="s">
        <v>446</v>
      </c>
      <c r="L5" s="3516" t="s">
        <v>444</v>
      </c>
      <c r="M5" s="3516" t="s">
        <v>420</v>
      </c>
      <c r="N5" s="3516" t="s">
        <v>445</v>
      </c>
      <c r="O5" s="3516" t="s">
        <v>418</v>
      </c>
      <c r="P5" s="3516" t="s">
        <v>442</v>
      </c>
      <c r="Q5" s="3516" t="s">
        <v>723</v>
      </c>
      <c r="R5" s="3516" t="s">
        <v>443</v>
      </c>
      <c r="S5" s="3516" t="s">
        <v>445</v>
      </c>
      <c r="T5" s="3516" t="s">
        <v>724</v>
      </c>
      <c r="U5" s="3516" t="s">
        <v>725</v>
      </c>
      <c r="V5" s="3516" t="s">
        <v>726</v>
      </c>
      <c r="W5" s="3516" t="s">
        <v>725</v>
      </c>
      <c r="X5" s="3516" t="s">
        <v>445</v>
      </c>
      <c r="Y5" s="3516" t="s">
        <v>445</v>
      </c>
      <c r="Z5" s="3516" t="s">
        <v>291</v>
      </c>
      <c r="AA5" s="3516" t="s">
        <v>725</v>
      </c>
      <c r="AB5" s="3516" t="s">
        <v>443</v>
      </c>
      <c r="AC5" s="3516" t="s">
        <v>724</v>
      </c>
      <c r="AD5" s="3516" t="s">
        <v>721</v>
      </c>
      <c r="AE5" s="3516" t="s">
        <v>445</v>
      </c>
      <c r="AF5" s="3516" t="s">
        <v>442</v>
      </c>
      <c r="AG5" s="3516" t="s">
        <v>418</v>
      </c>
      <c r="AH5" s="3516" t="s">
        <v>445</v>
      </c>
      <c r="AI5" s="3516" t="s">
        <v>728</v>
      </c>
      <c r="AJ5" s="3516" t="s">
        <v>722</v>
      </c>
      <c r="AK5" s="3516" t="s">
        <v>445</v>
      </c>
      <c r="AL5" s="3516" t="s">
        <v>417</v>
      </c>
      <c r="AM5" s="3516" t="s">
        <v>729</v>
      </c>
      <c r="AN5" s="3516" t="s">
        <v>445</v>
      </c>
      <c r="AO5" s="3529" t="s">
        <v>445</v>
      </c>
      <c r="AP5" s="3512"/>
      <c r="AS5" s="3082" t="s">
        <v>445</v>
      </c>
    </row>
    <row r="6" spans="1:45" ht="13" thickBot="1">
      <c r="A6" s="5061" t="s">
        <v>49</v>
      </c>
      <c r="B6" s="5062"/>
      <c r="C6" s="3517" t="s">
        <v>296</v>
      </c>
      <c r="D6" s="3519" t="s">
        <v>296</v>
      </c>
      <c r="E6" s="3519" t="s">
        <v>296</v>
      </c>
      <c r="F6" s="3519" t="s">
        <v>296</v>
      </c>
      <c r="G6" s="3519" t="s">
        <v>296</v>
      </c>
      <c r="H6" s="3519" t="s">
        <v>296</v>
      </c>
      <c r="I6" s="3519" t="s">
        <v>296</v>
      </c>
      <c r="J6" s="3519" t="s">
        <v>296</v>
      </c>
      <c r="K6" s="3519" t="s">
        <v>296</v>
      </c>
      <c r="L6" s="3519" t="s">
        <v>296</v>
      </c>
      <c r="M6" s="3519" t="s">
        <v>296</v>
      </c>
      <c r="N6" s="3519" t="s">
        <v>296</v>
      </c>
      <c r="O6" s="3519" t="s">
        <v>296</v>
      </c>
      <c r="P6" s="3519" t="s">
        <v>296</v>
      </c>
      <c r="Q6" s="3519" t="s">
        <v>296</v>
      </c>
      <c r="R6" s="3519" t="s">
        <v>296</v>
      </c>
      <c r="S6" s="3519" t="s">
        <v>296</v>
      </c>
      <c r="T6" s="3519" t="s">
        <v>296</v>
      </c>
      <c r="U6" s="3519" t="s">
        <v>296</v>
      </c>
      <c r="V6" s="3519" t="s">
        <v>296</v>
      </c>
      <c r="W6" s="3519" t="s">
        <v>296</v>
      </c>
      <c r="X6" s="3519" t="s">
        <v>296</v>
      </c>
      <c r="Y6" s="3519" t="s">
        <v>296</v>
      </c>
      <c r="Z6" s="3519" t="s">
        <v>296</v>
      </c>
      <c r="AA6" s="3519" t="s">
        <v>296</v>
      </c>
      <c r="AB6" s="3519" t="s">
        <v>296</v>
      </c>
      <c r="AC6" s="3519" t="s">
        <v>296</v>
      </c>
      <c r="AD6" s="3519" t="s">
        <v>296</v>
      </c>
      <c r="AE6" s="3519" t="s">
        <v>296</v>
      </c>
      <c r="AF6" s="3519" t="s">
        <v>296</v>
      </c>
      <c r="AG6" s="3519" t="s">
        <v>296</v>
      </c>
      <c r="AH6" s="3519" t="s">
        <v>296</v>
      </c>
      <c r="AI6" s="3519" t="s">
        <v>296</v>
      </c>
      <c r="AJ6" s="3519" t="s">
        <v>296</v>
      </c>
      <c r="AK6" s="3519" t="s">
        <v>296</v>
      </c>
      <c r="AL6" s="3519" t="s">
        <v>296</v>
      </c>
      <c r="AM6" s="3519" t="s">
        <v>296</v>
      </c>
      <c r="AN6" s="3519" t="s">
        <v>296</v>
      </c>
      <c r="AO6" s="3530" t="s">
        <v>296</v>
      </c>
      <c r="AP6" s="3512"/>
      <c r="AS6" s="3418" t="s">
        <v>296</v>
      </c>
    </row>
    <row r="7" spans="1:45" ht="13" thickTop="1">
      <c r="A7" s="5059" t="s">
        <v>5</v>
      </c>
      <c r="B7" s="5060"/>
      <c r="C7" s="3532">
        <v>4.2146318600014902E-6</v>
      </c>
      <c r="D7" s="3533">
        <v>0</v>
      </c>
      <c r="E7" s="3534">
        <v>0</v>
      </c>
      <c r="F7" s="3532">
        <v>4.1615166921278697E-6</v>
      </c>
      <c r="G7" s="3535">
        <v>0</v>
      </c>
      <c r="H7" s="3532">
        <v>4.2146318600014902E-6</v>
      </c>
      <c r="I7" s="3532">
        <v>4.9059456627270303E-5</v>
      </c>
      <c r="J7" s="3534">
        <v>0</v>
      </c>
      <c r="K7" s="3532">
        <v>1.75617294748604E-8</v>
      </c>
      <c r="L7" s="3534">
        <v>0</v>
      </c>
      <c r="M7" s="3536">
        <v>4.9059456627270303E-5</v>
      </c>
      <c r="N7" s="3535">
        <v>0</v>
      </c>
      <c r="O7" s="3532">
        <v>1.75617294748604E-8</v>
      </c>
      <c r="P7" s="3532">
        <v>1.75617294748604E-8</v>
      </c>
      <c r="Q7" s="3537">
        <v>1.3822483275649801E-4</v>
      </c>
      <c r="R7" s="3534">
        <v>0</v>
      </c>
      <c r="S7" s="3537">
        <v>2.36475700503263E-4</v>
      </c>
      <c r="T7" s="3537">
        <v>1.38086573157107E-4</v>
      </c>
      <c r="U7" s="3537">
        <v>1.38086573157107E-4</v>
      </c>
      <c r="V7" s="3538">
        <v>1.0991986737813001E-3</v>
      </c>
      <c r="W7" s="3532">
        <v>4.4136313961863696E-6</v>
      </c>
      <c r="X7" s="3535">
        <v>0</v>
      </c>
      <c r="Y7" s="3538">
        <v>2.2153752243605699E-3</v>
      </c>
      <c r="Z7" s="3532">
        <v>4.7953072688911703E-6</v>
      </c>
      <c r="AA7" s="3532">
        <v>6.9891762028554201E-6</v>
      </c>
      <c r="AB7" s="3534">
        <v>0</v>
      </c>
      <c r="AC7" s="3532">
        <v>4.2177176069838499E-6</v>
      </c>
      <c r="AD7" s="3532">
        <v>4.2177176069838499E-6</v>
      </c>
      <c r="AE7" s="3535">
        <v>0</v>
      </c>
      <c r="AF7" s="3532">
        <v>4.9059456627270303E-5</v>
      </c>
      <c r="AG7" s="3532">
        <v>4.9059456627270303E-5</v>
      </c>
      <c r="AH7" s="3532">
        <v>1.75617294748604E-8</v>
      </c>
      <c r="AI7" s="3532">
        <v>4.1615166921278697E-6</v>
      </c>
      <c r="AJ7" s="3532">
        <v>4.1615166921278697E-6</v>
      </c>
      <c r="AK7" s="3535">
        <v>0</v>
      </c>
      <c r="AL7" s="3534">
        <v>0</v>
      </c>
      <c r="AM7" s="3534">
        <v>0</v>
      </c>
      <c r="AN7" s="3539" t="s">
        <v>18</v>
      </c>
      <c r="AO7" s="3540">
        <v>0</v>
      </c>
      <c r="AP7" s="3512"/>
      <c r="AS7" s="3411">
        <v>0</v>
      </c>
    </row>
    <row r="8" spans="1:45">
      <c r="A8" s="5057" t="s">
        <v>674</v>
      </c>
      <c r="B8" s="5058"/>
      <c r="C8" s="3535">
        <v>0</v>
      </c>
      <c r="D8" s="3533">
        <v>0</v>
      </c>
      <c r="E8" s="3542">
        <v>2.29121652772089</v>
      </c>
      <c r="F8" s="3535">
        <v>0</v>
      </c>
      <c r="G8" s="3535">
        <v>0</v>
      </c>
      <c r="H8" s="3535">
        <v>0</v>
      </c>
      <c r="I8" s="3544">
        <v>1.69559293995172</v>
      </c>
      <c r="J8" s="3534">
        <v>0</v>
      </c>
      <c r="K8" s="3544">
        <v>1.7266955171126801</v>
      </c>
      <c r="L8" s="3542">
        <v>2.2880982017750999</v>
      </c>
      <c r="M8" s="3542">
        <v>1.69559293995172</v>
      </c>
      <c r="N8" s="3544">
        <v>2.2880982017750999</v>
      </c>
      <c r="O8" s="3544">
        <v>1.7266955171126801</v>
      </c>
      <c r="P8" s="3544">
        <v>1.7266955171126801</v>
      </c>
      <c r="Q8" s="3537">
        <v>9.8776513625518903E-4</v>
      </c>
      <c r="R8" s="3542">
        <v>2.2896981287590799</v>
      </c>
      <c r="S8" s="3545">
        <v>0.67889008105600301</v>
      </c>
      <c r="T8" s="3532">
        <v>3.3814247325294602E-5</v>
      </c>
      <c r="U8" s="3532">
        <v>3.3814247325294602E-5</v>
      </c>
      <c r="V8" s="3537">
        <v>2.76563446633498E-4</v>
      </c>
      <c r="W8" s="3532">
        <v>9.24650112535114E-9</v>
      </c>
      <c r="X8" s="3544">
        <v>2.2896981287590799</v>
      </c>
      <c r="Y8" s="3537">
        <v>5.5852136640874501E-4</v>
      </c>
      <c r="Z8" s="3535">
        <v>0</v>
      </c>
      <c r="AA8" s="3535">
        <v>0</v>
      </c>
      <c r="AB8" s="3542">
        <v>2.33594526741506</v>
      </c>
      <c r="AC8" s="3535">
        <v>0</v>
      </c>
      <c r="AD8" s="3535">
        <v>0</v>
      </c>
      <c r="AE8" s="3544">
        <v>2.33594526741506</v>
      </c>
      <c r="AF8" s="3544">
        <v>1.69559293995172</v>
      </c>
      <c r="AG8" s="3544">
        <v>1.69559293995172</v>
      </c>
      <c r="AH8" s="3544">
        <v>1.7266955171126801</v>
      </c>
      <c r="AI8" s="3535">
        <v>0</v>
      </c>
      <c r="AJ8" s="3535">
        <v>0</v>
      </c>
      <c r="AK8" s="3544">
        <v>2.3337522312211001</v>
      </c>
      <c r="AL8" s="3542">
        <v>2.3337522312211001</v>
      </c>
      <c r="AM8" s="3534">
        <v>0</v>
      </c>
      <c r="AN8" s="3539" t="s">
        <v>18</v>
      </c>
      <c r="AO8" s="3540">
        <v>0</v>
      </c>
      <c r="AP8" s="3512"/>
      <c r="AS8" s="3419">
        <v>2.2577162044234999E-2</v>
      </c>
    </row>
    <row r="9" spans="1:45">
      <c r="A9" s="5057" t="s">
        <v>3</v>
      </c>
      <c r="B9" s="5058"/>
      <c r="C9" s="3543">
        <v>6.3273879064083202E-2</v>
      </c>
      <c r="D9" s="3533">
        <v>0</v>
      </c>
      <c r="E9" s="3542">
        <v>2.0830988079243902</v>
      </c>
      <c r="F9" s="3543">
        <v>6.2476465951825502E-2</v>
      </c>
      <c r="G9" s="3535">
        <v>0</v>
      </c>
      <c r="H9" s="3543">
        <v>6.3273879064083202E-2</v>
      </c>
      <c r="I9" s="3544">
        <v>2.0604971783453498</v>
      </c>
      <c r="J9" s="3534">
        <v>0</v>
      </c>
      <c r="K9" s="3537">
        <v>9.9133189603769004E-4</v>
      </c>
      <c r="L9" s="3542">
        <v>2.09825599289409</v>
      </c>
      <c r="M9" s="3542">
        <v>2.0604971783453498</v>
      </c>
      <c r="N9" s="3544">
        <v>2.09825599289409</v>
      </c>
      <c r="O9" s="3537">
        <v>9.9133189603769004E-4</v>
      </c>
      <c r="P9" s="3537">
        <v>9.9133189603769004E-4</v>
      </c>
      <c r="Q9" s="3544">
        <v>5.69805654500332</v>
      </c>
      <c r="R9" s="3542">
        <v>2.0997231748440699</v>
      </c>
      <c r="S9" s="3544">
        <v>5.9896159773737097</v>
      </c>
      <c r="T9" s="3544">
        <v>5.6976462596669899</v>
      </c>
      <c r="U9" s="3544">
        <v>5.6976462596669899</v>
      </c>
      <c r="V9" s="3546">
        <v>46.143219722641803</v>
      </c>
      <c r="W9" s="3543">
        <v>5.8772255816574498E-2</v>
      </c>
      <c r="X9" s="3544">
        <v>2.0997231748440699</v>
      </c>
      <c r="Y9" s="3546">
        <v>93.128132392628899</v>
      </c>
      <c r="Z9" s="3545">
        <v>0.10099951564591</v>
      </c>
      <c r="AA9" s="3545">
        <v>0.24429726250584999</v>
      </c>
      <c r="AB9" s="3547">
        <v>4.9026493166811303E-3</v>
      </c>
      <c r="AC9" s="3543">
        <v>6.32728785257263E-2</v>
      </c>
      <c r="AD9" s="3543">
        <v>6.32728785257263E-2</v>
      </c>
      <c r="AE9" s="3538">
        <v>4.9026493166811303E-3</v>
      </c>
      <c r="AF9" s="3544">
        <v>2.0604971783453498</v>
      </c>
      <c r="AG9" s="3544">
        <v>2.0604971783453498</v>
      </c>
      <c r="AH9" s="3537">
        <v>9.9133189603769004E-4</v>
      </c>
      <c r="AI9" s="3543">
        <v>6.2476465951825502E-2</v>
      </c>
      <c r="AJ9" s="3543">
        <v>6.2476465951825502E-2</v>
      </c>
      <c r="AK9" s="3537">
        <v>6.8290002289720796E-4</v>
      </c>
      <c r="AL9" s="3548">
        <v>6.8290002289722899E-4</v>
      </c>
      <c r="AM9" s="3534">
        <v>0</v>
      </c>
      <c r="AN9" s="3539" t="s">
        <v>18</v>
      </c>
      <c r="AO9" s="3540">
        <v>0</v>
      </c>
      <c r="AP9" s="3512"/>
      <c r="AS9" s="3420">
        <v>1.88883737574801E-4</v>
      </c>
    </row>
    <row r="10" spans="1:45">
      <c r="A10" s="5057" t="s">
        <v>6</v>
      </c>
      <c r="B10" s="5058"/>
      <c r="C10" s="3535">
        <v>0</v>
      </c>
      <c r="D10" s="3533">
        <v>0</v>
      </c>
      <c r="E10" s="3549">
        <v>71.588367360432699</v>
      </c>
      <c r="F10" s="3535">
        <v>0</v>
      </c>
      <c r="G10" s="3535">
        <v>0</v>
      </c>
      <c r="H10" s="3535">
        <v>0</v>
      </c>
      <c r="I10" s="3546">
        <v>71.712268249259296</v>
      </c>
      <c r="J10" s="3534">
        <v>0</v>
      </c>
      <c r="K10" s="3546">
        <v>73.002741674753693</v>
      </c>
      <c r="L10" s="3549">
        <v>70.071758467473003</v>
      </c>
      <c r="M10" s="3549">
        <v>71.712268249259296</v>
      </c>
      <c r="N10" s="3546">
        <v>70.071758467473003</v>
      </c>
      <c r="O10" s="3546">
        <v>73.002741674753693</v>
      </c>
      <c r="P10" s="3546">
        <v>73.002741674753693</v>
      </c>
      <c r="Q10" s="3545">
        <v>0.108862560030411</v>
      </c>
      <c r="R10" s="3549">
        <v>70.120755358012502</v>
      </c>
      <c r="S10" s="3546">
        <v>69.697950234662201</v>
      </c>
      <c r="T10" s="3543">
        <v>1.09361029464464E-2</v>
      </c>
      <c r="U10" s="3543">
        <v>1.09361029464464E-2</v>
      </c>
      <c r="V10" s="3543">
        <v>8.9446730179950806E-2</v>
      </c>
      <c r="W10" s="3532">
        <v>5.7749590977101803E-6</v>
      </c>
      <c r="X10" s="3546">
        <v>70.120755358012502</v>
      </c>
      <c r="Y10" s="3545">
        <v>0.18063531333909899</v>
      </c>
      <c r="Z10" s="3535">
        <v>0</v>
      </c>
      <c r="AA10" s="3535">
        <v>0</v>
      </c>
      <c r="AB10" s="3549">
        <v>71.507446762441802</v>
      </c>
      <c r="AC10" s="3535">
        <v>0</v>
      </c>
      <c r="AD10" s="3535">
        <v>0</v>
      </c>
      <c r="AE10" s="3546">
        <v>71.507446762441802</v>
      </c>
      <c r="AF10" s="3546">
        <v>71.712268249259296</v>
      </c>
      <c r="AG10" s="3546">
        <v>71.712268249259296</v>
      </c>
      <c r="AH10" s="3546">
        <v>73.002741674753693</v>
      </c>
      <c r="AI10" s="3535">
        <v>0</v>
      </c>
      <c r="AJ10" s="3535">
        <v>0</v>
      </c>
      <c r="AK10" s="3546">
        <v>71.449834272513002</v>
      </c>
      <c r="AL10" s="3549">
        <v>71.449834272513002</v>
      </c>
      <c r="AM10" s="3534">
        <v>0</v>
      </c>
      <c r="AN10" s="3539" t="s">
        <v>18</v>
      </c>
      <c r="AO10" s="3540">
        <v>0</v>
      </c>
      <c r="AP10" s="3512"/>
      <c r="AS10" s="3412">
        <v>97.497234652139497</v>
      </c>
    </row>
    <row r="11" spans="1:45">
      <c r="A11" s="5057" t="s">
        <v>7</v>
      </c>
      <c r="B11" s="5058"/>
      <c r="C11" s="3535">
        <v>0</v>
      </c>
      <c r="D11" s="3533">
        <v>0</v>
      </c>
      <c r="E11" s="3549">
        <v>13.6332583145859</v>
      </c>
      <c r="F11" s="3535">
        <v>0</v>
      </c>
      <c r="G11" s="3535">
        <v>0</v>
      </c>
      <c r="H11" s="3535">
        <v>0</v>
      </c>
      <c r="I11" s="3546">
        <v>13.9678160152634</v>
      </c>
      <c r="J11" s="3534">
        <v>0</v>
      </c>
      <c r="K11" s="3546">
        <v>14.217995164870301</v>
      </c>
      <c r="L11" s="3549">
        <v>13.149070888800599</v>
      </c>
      <c r="M11" s="3549">
        <v>13.9678160152634</v>
      </c>
      <c r="N11" s="3546">
        <v>13.149070888800599</v>
      </c>
      <c r="O11" s="3546">
        <v>14.217995164870301</v>
      </c>
      <c r="P11" s="3546">
        <v>14.217995164870301</v>
      </c>
      <c r="Q11" s="3543">
        <v>2.43591366355627E-2</v>
      </c>
      <c r="R11" s="3549">
        <v>13.1582652290205</v>
      </c>
      <c r="S11" s="3546">
        <v>14.7368514642106</v>
      </c>
      <c r="T11" s="3538">
        <v>3.6555709378671601E-3</v>
      </c>
      <c r="U11" s="3538">
        <v>3.6555709378671601E-3</v>
      </c>
      <c r="V11" s="3543">
        <v>2.98991414765961E-2</v>
      </c>
      <c r="W11" s="3532">
        <v>2.1516873236624398E-6</v>
      </c>
      <c r="X11" s="3546">
        <v>13.1582652290205</v>
      </c>
      <c r="Y11" s="3543">
        <v>6.0380302292415103E-2</v>
      </c>
      <c r="Z11" s="3535">
        <v>0</v>
      </c>
      <c r="AA11" s="3535">
        <v>0</v>
      </c>
      <c r="AB11" s="3549">
        <v>13.415861713050299</v>
      </c>
      <c r="AC11" s="3535">
        <v>0</v>
      </c>
      <c r="AD11" s="3535">
        <v>0</v>
      </c>
      <c r="AE11" s="3546">
        <v>13.415861713050299</v>
      </c>
      <c r="AF11" s="3546">
        <v>13.9678160152634</v>
      </c>
      <c r="AG11" s="3546">
        <v>13.9678160152634</v>
      </c>
      <c r="AH11" s="3546">
        <v>14.217995164870301</v>
      </c>
      <c r="AI11" s="3535">
        <v>0</v>
      </c>
      <c r="AJ11" s="3535">
        <v>0</v>
      </c>
      <c r="AK11" s="3546">
        <v>13.4068100945106</v>
      </c>
      <c r="AL11" s="3549">
        <v>13.4068100945106</v>
      </c>
      <c r="AM11" s="3534">
        <v>0</v>
      </c>
      <c r="AN11" s="3539" t="s">
        <v>18</v>
      </c>
      <c r="AO11" s="3540">
        <v>0</v>
      </c>
      <c r="AP11" s="3512"/>
      <c r="AS11" s="3413">
        <v>1.9999994371602401</v>
      </c>
    </row>
    <row r="12" spans="1:45">
      <c r="A12" s="5057" t="s">
        <v>8</v>
      </c>
      <c r="B12" s="5058"/>
      <c r="C12" s="3535">
        <v>0</v>
      </c>
      <c r="D12" s="3533">
        <v>0</v>
      </c>
      <c r="E12" s="3542">
        <v>6.6120171481373697</v>
      </c>
      <c r="F12" s="3535">
        <v>0</v>
      </c>
      <c r="G12" s="3535">
        <v>0</v>
      </c>
      <c r="H12" s="3535">
        <v>0</v>
      </c>
      <c r="I12" s="3544">
        <v>6.6724785769617796</v>
      </c>
      <c r="J12" s="3534">
        <v>0</v>
      </c>
      <c r="K12" s="3544">
        <v>6.79357376482477</v>
      </c>
      <c r="L12" s="3542">
        <v>7.7035970024843303</v>
      </c>
      <c r="M12" s="3542">
        <v>6.6724785769617796</v>
      </c>
      <c r="N12" s="3544">
        <v>7.7035970024843303</v>
      </c>
      <c r="O12" s="3544">
        <v>6.79357376482477</v>
      </c>
      <c r="P12" s="3544">
        <v>6.79357376482477</v>
      </c>
      <c r="Q12" s="3538">
        <v>7.3796089650764903E-3</v>
      </c>
      <c r="R12" s="3542">
        <v>7.7089836562142704</v>
      </c>
      <c r="S12" s="3544">
        <v>4.5896907029149201</v>
      </c>
      <c r="T12" s="3537">
        <v>9.3133516696150803E-4</v>
      </c>
      <c r="U12" s="3537">
        <v>9.3133516696150803E-4</v>
      </c>
      <c r="V12" s="3538">
        <v>7.6173837445102999E-3</v>
      </c>
      <c r="W12" s="3532">
        <v>4.2069797597949399E-7</v>
      </c>
      <c r="X12" s="3544">
        <v>7.7089836562142704</v>
      </c>
      <c r="Y12" s="3543">
        <v>1.53831781333779E-2</v>
      </c>
      <c r="Z12" s="3535">
        <v>0</v>
      </c>
      <c r="AA12" s="3535">
        <v>0</v>
      </c>
      <c r="AB12" s="3542">
        <v>7.8627717041922001</v>
      </c>
      <c r="AC12" s="3535">
        <v>0</v>
      </c>
      <c r="AD12" s="3535">
        <v>0</v>
      </c>
      <c r="AE12" s="3544">
        <v>7.8627717041922001</v>
      </c>
      <c r="AF12" s="3544">
        <v>6.6724785769617796</v>
      </c>
      <c r="AG12" s="3544">
        <v>6.6724785769617796</v>
      </c>
      <c r="AH12" s="3544">
        <v>6.79357376482477</v>
      </c>
      <c r="AI12" s="3535">
        <v>0</v>
      </c>
      <c r="AJ12" s="3535">
        <v>0</v>
      </c>
      <c r="AK12" s="3544">
        <v>7.85615447208533</v>
      </c>
      <c r="AL12" s="3542">
        <v>7.85615447208533</v>
      </c>
      <c r="AM12" s="3534">
        <v>0</v>
      </c>
      <c r="AN12" s="3539" t="s">
        <v>18</v>
      </c>
      <c r="AO12" s="3540">
        <v>0</v>
      </c>
      <c r="AP12" s="3512"/>
      <c r="AS12" s="3421">
        <v>0.47999986491845897</v>
      </c>
    </row>
    <row r="13" spans="1:45">
      <c r="A13" s="5057" t="s">
        <v>678</v>
      </c>
      <c r="B13" s="5058"/>
      <c r="C13" s="3535">
        <v>0</v>
      </c>
      <c r="D13" s="3533">
        <v>0</v>
      </c>
      <c r="E13" s="3550">
        <v>0.59601629553785695</v>
      </c>
      <c r="F13" s="3535">
        <v>0</v>
      </c>
      <c r="G13" s="3535">
        <v>0</v>
      </c>
      <c r="H13" s="3535">
        <v>0</v>
      </c>
      <c r="I13" s="3545">
        <v>0.78799299234721498</v>
      </c>
      <c r="J13" s="3534">
        <v>0</v>
      </c>
      <c r="K13" s="3545">
        <v>0.80242138580415401</v>
      </c>
      <c r="L13" s="3550">
        <v>0.859285787566337</v>
      </c>
      <c r="M13" s="3550">
        <v>0.78799299234721498</v>
      </c>
      <c r="N13" s="3545">
        <v>0.859285787566337</v>
      </c>
      <c r="O13" s="3545">
        <v>0.80242138580415401</v>
      </c>
      <c r="P13" s="3545">
        <v>0.80242138580415401</v>
      </c>
      <c r="Q13" s="3537">
        <v>5.2868634700632699E-4</v>
      </c>
      <c r="R13" s="3550">
        <v>0.85988663350762995</v>
      </c>
      <c r="S13" s="3545">
        <v>0.33906961609506098</v>
      </c>
      <c r="T13" s="3532">
        <v>5.2288179765750298E-5</v>
      </c>
      <c r="U13" s="3532">
        <v>5.2288179765750298E-5</v>
      </c>
      <c r="V13" s="3537">
        <v>4.2766024219645198E-4</v>
      </c>
      <c r="W13" s="3532">
        <v>1.48832019988741E-8</v>
      </c>
      <c r="X13" s="3545">
        <v>0.85988663350762995</v>
      </c>
      <c r="Y13" s="3537">
        <v>8.6366156044039803E-4</v>
      </c>
      <c r="Z13" s="3535">
        <v>0</v>
      </c>
      <c r="AA13" s="3535">
        <v>0</v>
      </c>
      <c r="AB13" s="3550">
        <v>0.87722620787842198</v>
      </c>
      <c r="AC13" s="3535">
        <v>0</v>
      </c>
      <c r="AD13" s="3535">
        <v>0</v>
      </c>
      <c r="AE13" s="3545">
        <v>0.87722620787842198</v>
      </c>
      <c r="AF13" s="3545">
        <v>0.78799299234721498</v>
      </c>
      <c r="AG13" s="3545">
        <v>0.78799299234721498</v>
      </c>
      <c r="AH13" s="3545">
        <v>0.80242138580415401</v>
      </c>
      <c r="AI13" s="3535">
        <v>0</v>
      </c>
      <c r="AJ13" s="3535">
        <v>0</v>
      </c>
      <c r="AK13" s="3545">
        <v>0.87641948154123706</v>
      </c>
      <c r="AL13" s="3550">
        <v>0.87641948154123706</v>
      </c>
      <c r="AM13" s="3534">
        <v>0</v>
      </c>
      <c r="AN13" s="3539" t="s">
        <v>18</v>
      </c>
      <c r="AO13" s="3540">
        <v>0</v>
      </c>
      <c r="AP13" s="3512"/>
      <c r="AS13" s="3411">
        <v>0</v>
      </c>
    </row>
    <row r="14" spans="1:45">
      <c r="A14" s="5057" t="s">
        <v>67</v>
      </c>
      <c r="B14" s="5058"/>
      <c r="C14" s="3535">
        <v>0</v>
      </c>
      <c r="D14" s="3533">
        <v>0</v>
      </c>
      <c r="E14" s="3542">
        <v>2.2513692837604902</v>
      </c>
      <c r="F14" s="3535">
        <v>0</v>
      </c>
      <c r="G14" s="3535">
        <v>0</v>
      </c>
      <c r="H14" s="3535">
        <v>0</v>
      </c>
      <c r="I14" s="3544">
        <v>1.75161883942006</v>
      </c>
      <c r="J14" s="3534">
        <v>0</v>
      </c>
      <c r="K14" s="3544">
        <v>1.78349932038337</v>
      </c>
      <c r="L14" s="3542">
        <v>2.2481314209580998</v>
      </c>
      <c r="M14" s="3542">
        <v>1.75161883942006</v>
      </c>
      <c r="N14" s="3544">
        <v>2.2481314209580998</v>
      </c>
      <c r="O14" s="3544">
        <v>1.78349932038337</v>
      </c>
      <c r="P14" s="3544">
        <v>1.78349932038337</v>
      </c>
      <c r="Q14" s="3538">
        <v>1.69183160404945E-3</v>
      </c>
      <c r="R14" s="3542">
        <v>2.24970340161908</v>
      </c>
      <c r="S14" s="3544">
        <v>1.0351811549944601</v>
      </c>
      <c r="T14" s="3537">
        <v>2.37495137577552E-4</v>
      </c>
      <c r="U14" s="3537">
        <v>2.37495137577552E-4</v>
      </c>
      <c r="V14" s="3538">
        <v>1.94246831034373E-3</v>
      </c>
      <c r="W14" s="3532">
        <v>1.01851808560221E-7</v>
      </c>
      <c r="X14" s="3544">
        <v>2.24970340161908</v>
      </c>
      <c r="Y14" s="3538">
        <v>3.9227875599795996E-3</v>
      </c>
      <c r="Z14" s="3535">
        <v>0</v>
      </c>
      <c r="AA14" s="3535">
        <v>0</v>
      </c>
      <c r="AB14" s="3542">
        <v>2.2948438676770602</v>
      </c>
      <c r="AC14" s="3535">
        <v>0</v>
      </c>
      <c r="AD14" s="3535">
        <v>0</v>
      </c>
      <c r="AE14" s="3544">
        <v>2.2948438676770602</v>
      </c>
      <c r="AF14" s="3544">
        <v>1.75161883942006</v>
      </c>
      <c r="AG14" s="3544">
        <v>1.75161883942006</v>
      </c>
      <c r="AH14" s="3544">
        <v>1.78349932038337</v>
      </c>
      <c r="AI14" s="3535">
        <v>0</v>
      </c>
      <c r="AJ14" s="3535">
        <v>0</v>
      </c>
      <c r="AK14" s="3544">
        <v>2.2927639536180999</v>
      </c>
      <c r="AL14" s="3542">
        <v>2.2927639536180999</v>
      </c>
      <c r="AM14" s="3534">
        <v>0</v>
      </c>
      <c r="AN14" s="3539" t="s">
        <v>18</v>
      </c>
      <c r="AO14" s="3540">
        <v>0</v>
      </c>
      <c r="AP14" s="3512"/>
      <c r="AS14" s="3411">
        <v>0</v>
      </c>
    </row>
    <row r="15" spans="1:45">
      <c r="A15" s="5057" t="s">
        <v>679</v>
      </c>
      <c r="B15" s="5058"/>
      <c r="C15" s="3535">
        <v>0</v>
      </c>
      <c r="D15" s="3533">
        <v>0</v>
      </c>
      <c r="E15" s="3550">
        <v>0.168126685339409</v>
      </c>
      <c r="F15" s="3535">
        <v>0</v>
      </c>
      <c r="G15" s="3535">
        <v>0</v>
      </c>
      <c r="H15" s="3535">
        <v>0</v>
      </c>
      <c r="I15" s="3545">
        <v>0.36598354643943598</v>
      </c>
      <c r="J15" s="3534">
        <v>0</v>
      </c>
      <c r="K15" s="3545">
        <v>0.37272187982600202</v>
      </c>
      <c r="L15" s="3550">
        <v>0.43963458898741897</v>
      </c>
      <c r="M15" s="3550">
        <v>0.36598354643943598</v>
      </c>
      <c r="N15" s="3545">
        <v>0.43963458898741897</v>
      </c>
      <c r="O15" s="3545">
        <v>0.37272187982600202</v>
      </c>
      <c r="P15" s="3545">
        <v>0.37272187982600202</v>
      </c>
      <c r="Q15" s="3537">
        <v>1.4592577945036399E-4</v>
      </c>
      <c r="R15" s="3550">
        <v>0.43994199853881599</v>
      </c>
      <c r="S15" s="3543">
        <v>9.5548218326161102E-2</v>
      </c>
      <c r="T15" s="3532">
        <v>1.1674723444738899E-5</v>
      </c>
      <c r="U15" s="3532">
        <v>1.1674723444738899E-5</v>
      </c>
      <c r="V15" s="3532">
        <v>9.5486092131752599E-5</v>
      </c>
      <c r="W15" s="3532">
        <v>2.52353097247112E-9</v>
      </c>
      <c r="X15" s="3545">
        <v>0.43994199853881599</v>
      </c>
      <c r="Y15" s="3537">
        <v>1.9283535807132799E-4</v>
      </c>
      <c r="Z15" s="3535">
        <v>0</v>
      </c>
      <c r="AA15" s="3535">
        <v>0</v>
      </c>
      <c r="AB15" s="3550">
        <v>0.44884760567321103</v>
      </c>
      <c r="AC15" s="3535">
        <v>0</v>
      </c>
      <c r="AD15" s="3535">
        <v>0</v>
      </c>
      <c r="AE15" s="3545">
        <v>0.44884760567321103</v>
      </c>
      <c r="AF15" s="3545">
        <v>0.36598354643943598</v>
      </c>
      <c r="AG15" s="3545">
        <v>0.36598354643943598</v>
      </c>
      <c r="AH15" s="3545">
        <v>0.37272187982600202</v>
      </c>
      <c r="AI15" s="3535">
        <v>0</v>
      </c>
      <c r="AJ15" s="3535">
        <v>0</v>
      </c>
      <c r="AK15" s="3545">
        <v>0.44843480368731897</v>
      </c>
      <c r="AL15" s="3550">
        <v>0.44843480368731897</v>
      </c>
      <c r="AM15" s="3534">
        <v>0</v>
      </c>
      <c r="AN15" s="3539" t="s">
        <v>18</v>
      </c>
      <c r="AO15" s="3540">
        <v>0</v>
      </c>
      <c r="AP15" s="3512"/>
      <c r="AS15" s="3411">
        <v>0</v>
      </c>
    </row>
    <row r="16" spans="1:45">
      <c r="A16" s="5057" t="s">
        <v>69</v>
      </c>
      <c r="B16" s="5058"/>
      <c r="C16" s="3535">
        <v>0</v>
      </c>
      <c r="D16" s="3533">
        <v>0</v>
      </c>
      <c r="E16" s="3550">
        <v>0.15977144705363899</v>
      </c>
      <c r="F16" s="3535">
        <v>0</v>
      </c>
      <c r="G16" s="3535">
        <v>0</v>
      </c>
      <c r="H16" s="3535">
        <v>0</v>
      </c>
      <c r="I16" s="3545">
        <v>0.369025232750327</v>
      </c>
      <c r="J16" s="3534">
        <v>0</v>
      </c>
      <c r="K16" s="3545">
        <v>0.37580504891003802</v>
      </c>
      <c r="L16" s="3550">
        <v>0.46960967460022002</v>
      </c>
      <c r="M16" s="3550">
        <v>0.369025232750327</v>
      </c>
      <c r="N16" s="3545">
        <v>0.46960967460022002</v>
      </c>
      <c r="O16" s="3545">
        <v>0.37580504891003802</v>
      </c>
      <c r="P16" s="3545">
        <v>0.37580504891003802</v>
      </c>
      <c r="Q16" s="3537">
        <v>1.86166526794871E-4</v>
      </c>
      <c r="R16" s="3550">
        <v>0.46993804389371702</v>
      </c>
      <c r="S16" s="3545">
        <v>0.119368978983922</v>
      </c>
      <c r="T16" s="3532">
        <v>1.8451286385365299E-5</v>
      </c>
      <c r="U16" s="3532">
        <v>1.8451286385365299E-5</v>
      </c>
      <c r="V16" s="3537">
        <v>1.50911218660334E-4</v>
      </c>
      <c r="W16" s="3532">
        <v>4.9233218653172397E-9</v>
      </c>
      <c r="X16" s="3545">
        <v>0.46993804389371702</v>
      </c>
      <c r="Y16" s="3537">
        <v>3.0476614147205601E-4</v>
      </c>
      <c r="Z16" s="3535">
        <v>0</v>
      </c>
      <c r="AA16" s="3535">
        <v>0</v>
      </c>
      <c r="AB16" s="3550">
        <v>0.47942653474541203</v>
      </c>
      <c r="AC16" s="3535">
        <v>0</v>
      </c>
      <c r="AD16" s="3535">
        <v>0</v>
      </c>
      <c r="AE16" s="3545">
        <v>0.47942653474541203</v>
      </c>
      <c r="AF16" s="3545">
        <v>0.369025232750327</v>
      </c>
      <c r="AG16" s="3545">
        <v>0.369025232750327</v>
      </c>
      <c r="AH16" s="3545">
        <v>0.37580504891003802</v>
      </c>
      <c r="AI16" s="3535">
        <v>0</v>
      </c>
      <c r="AJ16" s="3535">
        <v>0</v>
      </c>
      <c r="AK16" s="3545">
        <v>0.47899527829911998</v>
      </c>
      <c r="AL16" s="3550">
        <v>0.47899527829911998</v>
      </c>
      <c r="AM16" s="3534">
        <v>0</v>
      </c>
      <c r="AN16" s="3539" t="s">
        <v>18</v>
      </c>
      <c r="AO16" s="3540">
        <v>0</v>
      </c>
      <c r="AP16" s="3512"/>
      <c r="AS16" s="3411">
        <v>0</v>
      </c>
    </row>
    <row r="17" spans="1:45">
      <c r="A17" s="5057" t="s">
        <v>10</v>
      </c>
      <c r="B17" s="5058"/>
      <c r="C17" s="3535">
        <v>0</v>
      </c>
      <c r="D17" s="3533">
        <v>0</v>
      </c>
      <c r="E17" s="3550">
        <v>0.59770865940544704</v>
      </c>
      <c r="F17" s="3535">
        <v>0</v>
      </c>
      <c r="G17" s="3535">
        <v>0</v>
      </c>
      <c r="H17" s="3535">
        <v>0</v>
      </c>
      <c r="I17" s="3545">
        <v>0.61667736980478705</v>
      </c>
      <c r="J17" s="3534">
        <v>0</v>
      </c>
      <c r="K17" s="3545">
        <v>0.62805331610447701</v>
      </c>
      <c r="L17" s="3550">
        <v>0.57951832184702501</v>
      </c>
      <c r="M17" s="3550">
        <v>0.61667736980478705</v>
      </c>
      <c r="N17" s="3545">
        <v>0.57951832184702501</v>
      </c>
      <c r="O17" s="3545">
        <v>0.62805331610447701</v>
      </c>
      <c r="P17" s="3545">
        <v>0.62805331610447701</v>
      </c>
      <c r="Q17" s="3537">
        <v>1.8689570649962301E-4</v>
      </c>
      <c r="R17" s="3550">
        <v>0.57992354352842002</v>
      </c>
      <c r="S17" s="3545">
        <v>0.122642811233342</v>
      </c>
      <c r="T17" s="3532">
        <v>1.45745228596715E-5</v>
      </c>
      <c r="U17" s="3532">
        <v>1.45745228596715E-5</v>
      </c>
      <c r="V17" s="3537">
        <v>1.19202705761911E-4</v>
      </c>
      <c r="W17" s="3532">
        <v>2.19867476555685E-9</v>
      </c>
      <c r="X17" s="3545">
        <v>0.57992354352842002</v>
      </c>
      <c r="Y17" s="3537">
        <v>2.4073232635114501E-4</v>
      </c>
      <c r="Z17" s="3535">
        <v>0</v>
      </c>
      <c r="AA17" s="3535">
        <v>0</v>
      </c>
      <c r="AB17" s="3550">
        <v>0.59169765870111501</v>
      </c>
      <c r="AC17" s="3535">
        <v>0</v>
      </c>
      <c r="AD17" s="3535">
        <v>0</v>
      </c>
      <c r="AE17" s="3545">
        <v>0.59169765870111501</v>
      </c>
      <c r="AF17" s="3545">
        <v>0.61667736980478705</v>
      </c>
      <c r="AG17" s="3545">
        <v>0.61667736980478705</v>
      </c>
      <c r="AH17" s="3545">
        <v>0.62805331610447701</v>
      </c>
      <c r="AI17" s="3535">
        <v>0</v>
      </c>
      <c r="AJ17" s="3535">
        <v>0</v>
      </c>
      <c r="AK17" s="3545">
        <v>0.59113625645072498</v>
      </c>
      <c r="AL17" s="3550">
        <v>0.59113625645072498</v>
      </c>
      <c r="AM17" s="3534">
        <v>0</v>
      </c>
      <c r="AN17" s="3539" t="s">
        <v>18</v>
      </c>
      <c r="AO17" s="3540">
        <v>0</v>
      </c>
      <c r="AP17" s="3512"/>
      <c r="AS17" s="3411">
        <v>0</v>
      </c>
    </row>
    <row r="18" spans="1:45">
      <c r="A18" s="5057" t="s">
        <v>298</v>
      </c>
      <c r="B18" s="5058"/>
      <c r="C18" s="3546">
        <v>85.922930633274902</v>
      </c>
      <c r="D18" s="3533">
        <v>100</v>
      </c>
      <c r="E18" s="3551">
        <v>1.9049470101894901E-2</v>
      </c>
      <c r="F18" s="3546">
        <v>86.097956845463301</v>
      </c>
      <c r="G18" s="3546">
        <v>99.8110736959039</v>
      </c>
      <c r="H18" s="3546">
        <v>85.922930633274902</v>
      </c>
      <c r="I18" s="3535">
        <v>0</v>
      </c>
      <c r="J18" s="3534">
        <v>100</v>
      </c>
      <c r="K18" s="3545">
        <v>0.294660011425605</v>
      </c>
      <c r="L18" s="3551">
        <v>9.3039652613853996E-2</v>
      </c>
      <c r="M18" s="3534">
        <v>0</v>
      </c>
      <c r="N18" s="3543">
        <v>9.3039652613853996E-2</v>
      </c>
      <c r="O18" s="3545">
        <v>0.294660011425605</v>
      </c>
      <c r="P18" s="3545">
        <v>0.294660011425605</v>
      </c>
      <c r="Q18" s="3546">
        <v>81.0106124602638</v>
      </c>
      <c r="R18" s="3551">
        <v>2.31808320619608E-2</v>
      </c>
      <c r="S18" s="3544">
        <v>2.5947370148568898</v>
      </c>
      <c r="T18" s="3546">
        <v>81.120960060988295</v>
      </c>
      <c r="U18" s="3546">
        <v>81.120960060988295</v>
      </c>
      <c r="V18" s="3546">
        <v>53.725662837680702</v>
      </c>
      <c r="W18" s="3546">
        <v>99.941130278629103</v>
      </c>
      <c r="X18" s="3543">
        <v>2.31808320619608E-2</v>
      </c>
      <c r="Y18" s="3544">
        <v>6.6071701340688502</v>
      </c>
      <c r="Z18" s="3546">
        <v>88.756822236123696</v>
      </c>
      <c r="AA18" s="3546">
        <v>99.520847050605994</v>
      </c>
      <c r="AB18" s="3550">
        <v>0.18054252900340501</v>
      </c>
      <c r="AC18" s="3546">
        <v>85.922929400910107</v>
      </c>
      <c r="AD18" s="3546">
        <v>85.922929400910107</v>
      </c>
      <c r="AE18" s="3545">
        <v>0.18054252900340501</v>
      </c>
      <c r="AF18" s="3535">
        <v>0</v>
      </c>
      <c r="AG18" s="3535">
        <v>0</v>
      </c>
      <c r="AH18" s="3545">
        <v>0.294660011425605</v>
      </c>
      <c r="AI18" s="3546">
        <v>86.097956845463301</v>
      </c>
      <c r="AJ18" s="3546">
        <v>86.097956845463301</v>
      </c>
      <c r="AK18" s="3545">
        <v>0.26374930100890198</v>
      </c>
      <c r="AL18" s="3550">
        <v>0.26374930100891097</v>
      </c>
      <c r="AM18" s="3549">
        <v>86.172902726736396</v>
      </c>
      <c r="AN18" s="3539" t="s">
        <v>18</v>
      </c>
      <c r="AO18" s="3552">
        <v>86.172902726736396</v>
      </c>
      <c r="AP18" s="3512"/>
      <c r="AS18" s="3411">
        <v>0</v>
      </c>
    </row>
    <row r="19" spans="1:45">
      <c r="A19" s="5057" t="s">
        <v>680</v>
      </c>
      <c r="B19" s="5058"/>
      <c r="C19" s="3546">
        <v>11.0925334720365</v>
      </c>
      <c r="D19" s="3533">
        <v>0</v>
      </c>
      <c r="E19" s="3534">
        <v>0</v>
      </c>
      <c r="F19" s="3546">
        <v>10.9532697517597</v>
      </c>
      <c r="G19" s="3543">
        <v>4.2105959172657401E-2</v>
      </c>
      <c r="H19" s="3546">
        <v>11.0925334720365</v>
      </c>
      <c r="I19" s="3535">
        <v>0</v>
      </c>
      <c r="J19" s="3534">
        <v>0</v>
      </c>
      <c r="K19" s="3537">
        <v>1.8752543848253499E-4</v>
      </c>
      <c r="L19" s="3534">
        <v>0</v>
      </c>
      <c r="M19" s="3534">
        <v>0</v>
      </c>
      <c r="N19" s="3535">
        <v>0</v>
      </c>
      <c r="O19" s="3537">
        <v>1.8752543848253499E-4</v>
      </c>
      <c r="P19" s="3537">
        <v>1.8752543848253499E-4</v>
      </c>
      <c r="Q19" s="3546">
        <v>10.4063225335445</v>
      </c>
      <c r="R19" s="3534">
        <v>0</v>
      </c>
      <c r="S19" s="3537">
        <v>1.9221355598110301E-4</v>
      </c>
      <c r="T19" s="3546">
        <v>10.420966143746099</v>
      </c>
      <c r="U19" s="3546">
        <v>10.420966143746099</v>
      </c>
      <c r="V19" s="3532">
        <v>1.6054630373969701E-5</v>
      </c>
      <c r="W19" s="3532">
        <v>3.1801573825815799E-5</v>
      </c>
      <c r="X19" s="3535">
        <v>0</v>
      </c>
      <c r="Y19" s="3532">
        <v>1.5545995794240601E-13</v>
      </c>
      <c r="Z19" s="3544">
        <v>8.79401990253678</v>
      </c>
      <c r="AA19" s="3543">
        <v>6.3528634065143502E-2</v>
      </c>
      <c r="AB19" s="3548">
        <v>1.4608797400830401E-4</v>
      </c>
      <c r="AC19" s="3546">
        <v>11.092535288745101</v>
      </c>
      <c r="AD19" s="3546">
        <v>11.092535288745101</v>
      </c>
      <c r="AE19" s="3537">
        <v>1.4608797400830401E-4</v>
      </c>
      <c r="AF19" s="3535">
        <v>0</v>
      </c>
      <c r="AG19" s="3535">
        <v>0</v>
      </c>
      <c r="AH19" s="3537">
        <v>1.8752543848253499E-4</v>
      </c>
      <c r="AI19" s="3546">
        <v>10.9532697517597</v>
      </c>
      <c r="AJ19" s="3546">
        <v>10.9532697517597</v>
      </c>
      <c r="AK19" s="3537">
        <v>1.99277255840388E-4</v>
      </c>
      <c r="AL19" s="3548">
        <v>1.9927725584040801E-4</v>
      </c>
      <c r="AM19" s="3549">
        <v>10.9434041734816</v>
      </c>
      <c r="AN19" s="3539" t="s">
        <v>18</v>
      </c>
      <c r="AO19" s="3552">
        <v>10.9434041734816</v>
      </c>
      <c r="AP19" s="3512"/>
      <c r="AS19" s="3411">
        <v>0</v>
      </c>
    </row>
    <row r="20" spans="1:45">
      <c r="A20" s="5057" t="s">
        <v>681</v>
      </c>
      <c r="B20" s="5058"/>
      <c r="C20" s="3544">
        <v>2.9212578009926098</v>
      </c>
      <c r="D20" s="3533">
        <v>0</v>
      </c>
      <c r="E20" s="3534">
        <v>0</v>
      </c>
      <c r="F20" s="3544">
        <v>2.8862927753085099</v>
      </c>
      <c r="G20" s="3545">
        <v>0.14682034492344301</v>
      </c>
      <c r="H20" s="3544">
        <v>2.9212578009926098</v>
      </c>
      <c r="I20" s="3535">
        <v>0</v>
      </c>
      <c r="J20" s="3534">
        <v>0</v>
      </c>
      <c r="K20" s="3537">
        <v>6.5404108861769495E-4</v>
      </c>
      <c r="L20" s="3534">
        <v>0</v>
      </c>
      <c r="M20" s="3534">
        <v>0</v>
      </c>
      <c r="N20" s="3535">
        <v>0</v>
      </c>
      <c r="O20" s="3537">
        <v>6.5404108861769495E-4</v>
      </c>
      <c r="P20" s="3537">
        <v>6.5404108861769495E-4</v>
      </c>
      <c r="Q20" s="3544">
        <v>2.74054165962455</v>
      </c>
      <c r="R20" s="3534">
        <v>0</v>
      </c>
      <c r="S20" s="3532">
        <v>2.5056036244289402E-5</v>
      </c>
      <c r="T20" s="3544">
        <v>2.74439814187682</v>
      </c>
      <c r="U20" s="3544">
        <v>2.74439814187682</v>
      </c>
      <c r="V20" s="3532">
        <v>2.6638956526521701E-5</v>
      </c>
      <c r="W20" s="3532">
        <v>5.27673777229354E-5</v>
      </c>
      <c r="X20" s="3535">
        <v>0</v>
      </c>
      <c r="Y20" s="3532">
        <v>9.7633648317473697E-14</v>
      </c>
      <c r="Z20" s="3544">
        <v>2.3481535503863502</v>
      </c>
      <c r="AA20" s="3545">
        <v>0.171320063646758</v>
      </c>
      <c r="AB20" s="3548">
        <v>3.4141193127810901E-4</v>
      </c>
      <c r="AC20" s="3544">
        <v>2.9212582141014001</v>
      </c>
      <c r="AD20" s="3544">
        <v>2.9212582141014001</v>
      </c>
      <c r="AE20" s="3537">
        <v>3.4141193127810901E-4</v>
      </c>
      <c r="AF20" s="3535">
        <v>0</v>
      </c>
      <c r="AG20" s="3535">
        <v>0</v>
      </c>
      <c r="AH20" s="3537">
        <v>6.5404108861769495E-4</v>
      </c>
      <c r="AI20" s="3544">
        <v>2.8862927753085099</v>
      </c>
      <c r="AJ20" s="3544">
        <v>2.8862927753085099</v>
      </c>
      <c r="AK20" s="3538">
        <v>1.0676777858849499E-3</v>
      </c>
      <c r="AL20" s="3547">
        <v>1.0676777858850399E-3</v>
      </c>
      <c r="AM20" s="3542">
        <v>2.8836930997820498</v>
      </c>
      <c r="AN20" s="3539" t="s">
        <v>18</v>
      </c>
      <c r="AO20" s="3553">
        <v>2.8836930997820498</v>
      </c>
      <c r="AP20" s="3512"/>
      <c r="AS20" s="3411">
        <v>0</v>
      </c>
    </row>
    <row r="21" spans="1:45">
      <c r="A21" s="5057" t="s">
        <v>675</v>
      </c>
      <c r="B21" s="5058"/>
      <c r="C21" s="3535">
        <v>0</v>
      </c>
      <c r="D21" s="3533">
        <v>0</v>
      </c>
      <c r="E21" s="3534">
        <v>0</v>
      </c>
      <c r="F21" s="3535">
        <v>0</v>
      </c>
      <c r="G21" s="3535">
        <v>0</v>
      </c>
      <c r="H21" s="3535">
        <v>0</v>
      </c>
      <c r="I21" s="3535">
        <v>0</v>
      </c>
      <c r="J21" s="3534">
        <v>0</v>
      </c>
      <c r="K21" s="3535">
        <v>0</v>
      </c>
      <c r="L21" s="3534">
        <v>0</v>
      </c>
      <c r="M21" s="3534">
        <v>0</v>
      </c>
      <c r="N21" s="3535">
        <v>0</v>
      </c>
      <c r="O21" s="3535">
        <v>0</v>
      </c>
      <c r="P21" s="3535">
        <v>0</v>
      </c>
      <c r="Q21" s="3535">
        <v>0</v>
      </c>
      <c r="R21" s="3534">
        <v>0</v>
      </c>
      <c r="S21" s="3535">
        <v>0</v>
      </c>
      <c r="T21" s="3535">
        <v>0</v>
      </c>
      <c r="U21" s="3535">
        <v>0</v>
      </c>
      <c r="V21" s="3535">
        <v>0</v>
      </c>
      <c r="W21" s="3535">
        <v>0</v>
      </c>
      <c r="X21" s="3535">
        <v>0</v>
      </c>
      <c r="Y21" s="3535">
        <v>0</v>
      </c>
      <c r="Z21" s="3535">
        <v>0</v>
      </c>
      <c r="AA21" s="3535">
        <v>0</v>
      </c>
      <c r="AB21" s="3534">
        <v>0</v>
      </c>
      <c r="AC21" s="3535">
        <v>0</v>
      </c>
      <c r="AD21" s="3535">
        <v>0</v>
      </c>
      <c r="AE21" s="3535">
        <v>0</v>
      </c>
      <c r="AF21" s="3535">
        <v>0</v>
      </c>
      <c r="AG21" s="3535">
        <v>0</v>
      </c>
      <c r="AH21" s="3535">
        <v>0</v>
      </c>
      <c r="AI21" s="3535">
        <v>0</v>
      </c>
      <c r="AJ21" s="3535">
        <v>0</v>
      </c>
      <c r="AK21" s="3535">
        <v>0</v>
      </c>
      <c r="AL21" s="3534">
        <v>0</v>
      </c>
      <c r="AM21" s="3534">
        <v>0</v>
      </c>
      <c r="AN21" s="3539" t="s">
        <v>18</v>
      </c>
      <c r="AO21" s="3540">
        <v>0</v>
      </c>
      <c r="AP21" s="3512"/>
      <c r="AS21" s="3411">
        <v>0</v>
      </c>
    </row>
    <row r="22" spans="1:45" ht="13" thickBot="1">
      <c r="A22" s="5055" t="s">
        <v>58</v>
      </c>
      <c r="B22" s="5056"/>
      <c r="C22" s="3517" t="s">
        <v>296</v>
      </c>
      <c r="D22" s="3519" t="s">
        <v>296</v>
      </c>
      <c r="E22" s="3519" t="s">
        <v>296</v>
      </c>
      <c r="F22" s="3519" t="s">
        <v>296</v>
      </c>
      <c r="G22" s="3519" t="s">
        <v>296</v>
      </c>
      <c r="H22" s="3519" t="s">
        <v>296</v>
      </c>
      <c r="I22" s="3519" t="s">
        <v>296</v>
      </c>
      <c r="J22" s="3519" t="s">
        <v>296</v>
      </c>
      <c r="K22" s="3519" t="s">
        <v>296</v>
      </c>
      <c r="L22" s="3519" t="s">
        <v>296</v>
      </c>
      <c r="M22" s="3519" t="s">
        <v>296</v>
      </c>
      <c r="N22" s="3519" t="s">
        <v>296</v>
      </c>
      <c r="O22" s="3519" t="s">
        <v>296</v>
      </c>
      <c r="P22" s="3519" t="s">
        <v>296</v>
      </c>
      <c r="Q22" s="3519" t="s">
        <v>296</v>
      </c>
      <c r="R22" s="3519" t="s">
        <v>296</v>
      </c>
      <c r="S22" s="3519" t="s">
        <v>296</v>
      </c>
      <c r="T22" s="3519" t="s">
        <v>296</v>
      </c>
      <c r="U22" s="3519" t="s">
        <v>296</v>
      </c>
      <c r="V22" s="3519" t="s">
        <v>296</v>
      </c>
      <c r="W22" s="3519" t="s">
        <v>296</v>
      </c>
      <c r="X22" s="3519" t="s">
        <v>296</v>
      </c>
      <c r="Y22" s="3519" t="s">
        <v>296</v>
      </c>
      <c r="Z22" s="3519" t="s">
        <v>296</v>
      </c>
      <c r="AA22" s="3519" t="s">
        <v>296</v>
      </c>
      <c r="AB22" s="3519" t="s">
        <v>296</v>
      </c>
      <c r="AC22" s="3519" t="s">
        <v>296</v>
      </c>
      <c r="AD22" s="3519" t="s">
        <v>296</v>
      </c>
      <c r="AE22" s="3519" t="s">
        <v>296</v>
      </c>
      <c r="AF22" s="3519" t="s">
        <v>296</v>
      </c>
      <c r="AG22" s="3519" t="s">
        <v>296</v>
      </c>
      <c r="AH22" s="3519" t="s">
        <v>296</v>
      </c>
      <c r="AI22" s="3519" t="s">
        <v>296</v>
      </c>
      <c r="AJ22" s="3519" t="s">
        <v>296</v>
      </c>
      <c r="AK22" s="3519" t="s">
        <v>296</v>
      </c>
      <c r="AL22" s="3519" t="s">
        <v>296</v>
      </c>
      <c r="AM22" s="3519" t="s">
        <v>296</v>
      </c>
      <c r="AN22" s="3519" t="s">
        <v>296</v>
      </c>
      <c r="AO22" s="3530" t="s">
        <v>296</v>
      </c>
      <c r="AP22" s="3512"/>
      <c r="AS22" s="3418" t="s">
        <v>296</v>
      </c>
    </row>
    <row r="23" spans="1:45" ht="13" thickTop="1">
      <c r="A23" s="5059" t="s">
        <v>5</v>
      </c>
      <c r="B23" s="5060"/>
      <c r="C23" s="3532">
        <v>4.59768456575458E-6</v>
      </c>
      <c r="D23" s="3533">
        <v>0</v>
      </c>
      <c r="E23" s="3534">
        <v>0</v>
      </c>
      <c r="F23" s="3532">
        <v>4.5638289880641796E-6</v>
      </c>
      <c r="G23" s="3535">
        <v>0</v>
      </c>
      <c r="H23" s="3532">
        <v>4.59768456575458E-6</v>
      </c>
      <c r="I23" s="3532">
        <v>7.40923253588398E-5</v>
      </c>
      <c r="J23" s="3534">
        <v>0</v>
      </c>
      <c r="K23" s="3532">
        <v>2.70766732011369E-8</v>
      </c>
      <c r="L23" s="3534">
        <v>0</v>
      </c>
      <c r="M23" s="3536">
        <v>7.40923253588398E-5</v>
      </c>
      <c r="N23" s="3535">
        <v>0</v>
      </c>
      <c r="O23" s="3532">
        <v>2.70766732011369E-8</v>
      </c>
      <c r="P23" s="3532">
        <v>2.70766732011369E-8</v>
      </c>
      <c r="Q23" s="3537">
        <v>1.4770705224369799E-4</v>
      </c>
      <c r="R23" s="3534">
        <v>0</v>
      </c>
      <c r="S23" s="3537">
        <v>3.6650171511526999E-4</v>
      </c>
      <c r="T23" s="3537">
        <v>1.47494858994168E-4</v>
      </c>
      <c r="U23" s="3537">
        <v>1.47494858994168E-4</v>
      </c>
      <c r="V23" s="3538">
        <v>1.24809456586055E-3</v>
      </c>
      <c r="W23" s="3532">
        <v>8.3424966859853694E-6</v>
      </c>
      <c r="X23" s="3535">
        <v>0</v>
      </c>
      <c r="Y23" s="3538">
        <v>1.7877176715669801E-3</v>
      </c>
      <c r="Z23" s="3532">
        <v>5.7270944982607201E-6</v>
      </c>
      <c r="AA23" s="3532">
        <v>1.30449396248083E-5</v>
      </c>
      <c r="AB23" s="3534">
        <v>0</v>
      </c>
      <c r="AC23" s="3532">
        <v>4.6010504913265701E-6</v>
      </c>
      <c r="AD23" s="3532">
        <v>4.6010504913265701E-6</v>
      </c>
      <c r="AE23" s="3535">
        <v>0</v>
      </c>
      <c r="AF23" s="3532">
        <v>7.40923253588398E-5</v>
      </c>
      <c r="AG23" s="3532">
        <v>7.40923253588398E-5</v>
      </c>
      <c r="AH23" s="3532">
        <v>2.70766732011369E-8</v>
      </c>
      <c r="AI23" s="3532">
        <v>4.5638289880641796E-6</v>
      </c>
      <c r="AJ23" s="3532">
        <v>4.5638289880641796E-6</v>
      </c>
      <c r="AK23" s="3535">
        <v>0</v>
      </c>
      <c r="AL23" s="3534">
        <v>0</v>
      </c>
      <c r="AM23" s="3534">
        <v>0</v>
      </c>
      <c r="AN23" s="3539" t="s">
        <v>18</v>
      </c>
      <c r="AO23" s="3555">
        <v>0</v>
      </c>
      <c r="AP23" s="3512"/>
      <c r="AS23" s="3411">
        <v>0</v>
      </c>
    </row>
    <row r="24" spans="1:45">
      <c r="A24" s="5057" t="s">
        <v>674</v>
      </c>
      <c r="B24" s="5058"/>
      <c r="C24" s="3535">
        <v>0</v>
      </c>
      <c r="D24" s="3533">
        <v>0</v>
      </c>
      <c r="E24" s="3542">
        <v>2.85669481528641</v>
      </c>
      <c r="F24" s="3535">
        <v>0</v>
      </c>
      <c r="G24" s="3535">
        <v>0</v>
      </c>
      <c r="H24" s="3535">
        <v>0</v>
      </c>
      <c r="I24" s="3544">
        <v>2.1048788943061201</v>
      </c>
      <c r="J24" s="3534">
        <v>0</v>
      </c>
      <c r="K24" s="3544">
        <v>2.1882594081816902</v>
      </c>
      <c r="L24" s="3542">
        <v>2.7706226013977999</v>
      </c>
      <c r="M24" s="3542">
        <v>2.1048788943061201</v>
      </c>
      <c r="N24" s="3544">
        <v>2.7706226013977999</v>
      </c>
      <c r="O24" s="3544">
        <v>2.1882594081816902</v>
      </c>
      <c r="P24" s="3544">
        <v>2.1882594081816902</v>
      </c>
      <c r="Q24" s="3537">
        <v>8.6760865113177596E-4</v>
      </c>
      <c r="R24" s="3542">
        <v>2.7721309912044001</v>
      </c>
      <c r="S24" s="3545">
        <v>0.86485634625664498</v>
      </c>
      <c r="T24" s="3532">
        <v>2.96879478392499E-5</v>
      </c>
      <c r="U24" s="3532">
        <v>2.96879478392499E-5</v>
      </c>
      <c r="V24" s="3537">
        <v>2.5811966804091503E-4</v>
      </c>
      <c r="W24" s="3532">
        <v>1.43658865296615E-8</v>
      </c>
      <c r="X24" s="3544">
        <v>2.7721309912044001</v>
      </c>
      <c r="Y24" s="3537">
        <v>3.70464376479742E-4</v>
      </c>
      <c r="Z24" s="3535">
        <v>0</v>
      </c>
      <c r="AA24" s="3535">
        <v>0</v>
      </c>
      <c r="AB24" s="3542">
        <v>2.88455680534988</v>
      </c>
      <c r="AC24" s="3535">
        <v>0</v>
      </c>
      <c r="AD24" s="3535">
        <v>0</v>
      </c>
      <c r="AE24" s="3544">
        <v>2.88455680534988</v>
      </c>
      <c r="AF24" s="3544">
        <v>2.1048788943061201</v>
      </c>
      <c r="AG24" s="3544">
        <v>2.1048788943061201</v>
      </c>
      <c r="AH24" s="3544">
        <v>2.1882594081816902</v>
      </c>
      <c r="AI24" s="3535">
        <v>0</v>
      </c>
      <c r="AJ24" s="3535">
        <v>0</v>
      </c>
      <c r="AK24" s="3544">
        <v>2.8824135251355298</v>
      </c>
      <c r="AL24" s="3542">
        <v>2.8824135251355298</v>
      </c>
      <c r="AM24" s="3534">
        <v>0</v>
      </c>
      <c r="AN24" s="3539" t="s">
        <v>18</v>
      </c>
      <c r="AO24" s="3555">
        <v>0</v>
      </c>
      <c r="AP24" s="3512"/>
      <c r="AS24" s="3419">
        <v>3.84233060948855E-2</v>
      </c>
    </row>
    <row r="25" spans="1:45">
      <c r="A25" s="5057" t="s">
        <v>3</v>
      </c>
      <c r="B25" s="5058"/>
      <c r="C25" s="3543">
        <v>8.9133225104080699E-2</v>
      </c>
      <c r="D25" s="3533">
        <v>0</v>
      </c>
      <c r="E25" s="3542">
        <v>4.0802633600105302</v>
      </c>
      <c r="F25" s="3543">
        <v>8.8476882376747099E-2</v>
      </c>
      <c r="G25" s="3535">
        <v>0</v>
      </c>
      <c r="H25" s="3543">
        <v>8.9133225104080699E-2</v>
      </c>
      <c r="I25" s="3544">
        <v>4.0184461228980597</v>
      </c>
      <c r="J25" s="3534">
        <v>0</v>
      </c>
      <c r="K25" s="3538">
        <v>1.9737072417610902E-3</v>
      </c>
      <c r="L25" s="3542">
        <v>3.9915520512133198</v>
      </c>
      <c r="M25" s="3542">
        <v>4.0184461228980597</v>
      </c>
      <c r="N25" s="3544">
        <v>3.9915520512133198</v>
      </c>
      <c r="O25" s="3538">
        <v>1.9737072417610902E-3</v>
      </c>
      <c r="P25" s="3538">
        <v>1.9737072417610902E-3</v>
      </c>
      <c r="Q25" s="3544">
        <v>7.8628057575684798</v>
      </c>
      <c r="R25" s="3542">
        <v>3.9937251427132101</v>
      </c>
      <c r="S25" s="3546">
        <v>11.987375335250199</v>
      </c>
      <c r="T25" s="3544">
        <v>7.8588056333875898</v>
      </c>
      <c r="U25" s="3544">
        <v>7.8588056333875898</v>
      </c>
      <c r="V25" s="3546">
        <v>67.657325458420502</v>
      </c>
      <c r="W25" s="3545">
        <v>0.14345245239766499</v>
      </c>
      <c r="X25" s="3544">
        <v>3.9937251427132101</v>
      </c>
      <c r="Y25" s="3546">
        <v>97.043883251412794</v>
      </c>
      <c r="Z25" s="3545">
        <v>0.15576605965425899</v>
      </c>
      <c r="AA25" s="3545">
        <v>0.58880341300491201</v>
      </c>
      <c r="AB25" s="3547">
        <v>9.5110370752767501E-3</v>
      </c>
      <c r="AC25" s="3543">
        <v>8.9131810351803606E-2</v>
      </c>
      <c r="AD25" s="3543">
        <v>8.9131810351803606E-2</v>
      </c>
      <c r="AE25" s="3538">
        <v>9.5110370752767501E-3</v>
      </c>
      <c r="AF25" s="3544">
        <v>4.0184461228980597</v>
      </c>
      <c r="AG25" s="3544">
        <v>4.0184461228980597</v>
      </c>
      <c r="AH25" s="3538">
        <v>1.9737072417610902E-3</v>
      </c>
      <c r="AI25" s="3543">
        <v>8.8476882376747099E-2</v>
      </c>
      <c r="AJ25" s="3543">
        <v>8.8476882376747099E-2</v>
      </c>
      <c r="AK25" s="3538">
        <v>1.3250713988505101E-3</v>
      </c>
      <c r="AL25" s="3547">
        <v>1.32507139885055E-3</v>
      </c>
      <c r="AM25" s="3534">
        <v>0</v>
      </c>
      <c r="AN25" s="3539" t="s">
        <v>18</v>
      </c>
      <c r="AO25" s="3555">
        <v>0</v>
      </c>
      <c r="AP25" s="3512"/>
      <c r="AS25" s="3420">
        <v>5.05010677168556E-4</v>
      </c>
    </row>
    <row r="26" spans="1:45">
      <c r="A26" s="5057" t="s">
        <v>6</v>
      </c>
      <c r="B26" s="5058"/>
      <c r="C26" s="3535">
        <v>0</v>
      </c>
      <c r="D26" s="3533">
        <v>0</v>
      </c>
      <c r="E26" s="3549">
        <v>51.1146408617278</v>
      </c>
      <c r="F26" s="3535">
        <v>0</v>
      </c>
      <c r="G26" s="3535">
        <v>0</v>
      </c>
      <c r="H26" s="3535">
        <v>0</v>
      </c>
      <c r="I26" s="3546">
        <v>50.980502960433199</v>
      </c>
      <c r="J26" s="3534">
        <v>0</v>
      </c>
      <c r="K26" s="3546">
        <v>52.981878955191299</v>
      </c>
      <c r="L26" s="3549">
        <v>48.590444478730099</v>
      </c>
      <c r="M26" s="3549">
        <v>50.980502960433199</v>
      </c>
      <c r="N26" s="3546">
        <v>48.590444478730099</v>
      </c>
      <c r="O26" s="3546">
        <v>52.981878955191299</v>
      </c>
      <c r="P26" s="3546">
        <v>52.981878955191299</v>
      </c>
      <c r="Q26" s="3543">
        <v>5.4758792898160498E-2</v>
      </c>
      <c r="R26" s="3549">
        <v>48.616898219152901</v>
      </c>
      <c r="S26" s="3546">
        <v>50.847506638661599</v>
      </c>
      <c r="T26" s="3538">
        <v>5.49855009102042E-3</v>
      </c>
      <c r="U26" s="3538">
        <v>5.49855009102042E-3</v>
      </c>
      <c r="V26" s="3543">
        <v>4.78074886550467E-2</v>
      </c>
      <c r="W26" s="3532">
        <v>5.1381769918578202E-6</v>
      </c>
      <c r="X26" s="3546">
        <v>48.616898219152901</v>
      </c>
      <c r="Y26" s="3543">
        <v>6.8614272097005602E-2</v>
      </c>
      <c r="Z26" s="3535">
        <v>0</v>
      </c>
      <c r="AA26" s="3535">
        <v>0</v>
      </c>
      <c r="AB26" s="3549">
        <v>50.5676588163848</v>
      </c>
      <c r="AC26" s="3535">
        <v>0</v>
      </c>
      <c r="AD26" s="3535">
        <v>0</v>
      </c>
      <c r="AE26" s="3546">
        <v>50.5676588163848</v>
      </c>
      <c r="AF26" s="3546">
        <v>50.980502960433199</v>
      </c>
      <c r="AG26" s="3546">
        <v>50.980502960433199</v>
      </c>
      <c r="AH26" s="3546">
        <v>52.981878955191299</v>
      </c>
      <c r="AI26" s="3535">
        <v>0</v>
      </c>
      <c r="AJ26" s="3535">
        <v>0</v>
      </c>
      <c r="AK26" s="3546">
        <v>50.5368198139291</v>
      </c>
      <c r="AL26" s="3549">
        <v>50.5368198139291</v>
      </c>
      <c r="AM26" s="3534">
        <v>0</v>
      </c>
      <c r="AN26" s="3539" t="s">
        <v>18</v>
      </c>
      <c r="AO26" s="3555">
        <v>0</v>
      </c>
      <c r="AP26" s="3512"/>
      <c r="AS26" s="3412">
        <v>95.021705448084106</v>
      </c>
    </row>
    <row r="27" spans="1:45">
      <c r="A27" s="5057" t="s">
        <v>7</v>
      </c>
      <c r="B27" s="5058"/>
      <c r="C27" s="3535">
        <v>0</v>
      </c>
      <c r="D27" s="3533">
        <v>0</v>
      </c>
      <c r="E27" s="3549">
        <v>18.2453045474772</v>
      </c>
      <c r="F27" s="3535">
        <v>0</v>
      </c>
      <c r="G27" s="3535">
        <v>0</v>
      </c>
      <c r="H27" s="3535">
        <v>0</v>
      </c>
      <c r="I27" s="3546">
        <v>18.611773555772</v>
      </c>
      <c r="J27" s="3534">
        <v>0</v>
      </c>
      <c r="K27" s="3546">
        <v>19.340831678179999</v>
      </c>
      <c r="L27" s="3549">
        <v>17.0903721533751</v>
      </c>
      <c r="M27" s="3549">
        <v>18.611773555772</v>
      </c>
      <c r="N27" s="3546">
        <v>17.0903721533751</v>
      </c>
      <c r="O27" s="3546">
        <v>19.340831678179999</v>
      </c>
      <c r="P27" s="3546">
        <v>19.340831678179999</v>
      </c>
      <c r="Q27" s="3543">
        <v>2.2966023882820302E-2</v>
      </c>
      <c r="R27" s="3549">
        <v>17.099676539733998</v>
      </c>
      <c r="S27" s="3546">
        <v>20.1512949431579</v>
      </c>
      <c r="T27" s="3538">
        <v>3.4450014550453101E-3</v>
      </c>
      <c r="U27" s="3538">
        <v>3.4450014550453101E-3</v>
      </c>
      <c r="V27" s="3543">
        <v>2.99528931622021E-2</v>
      </c>
      <c r="W27" s="3532">
        <v>3.5882930710120901E-6</v>
      </c>
      <c r="X27" s="3546">
        <v>17.099676539733998</v>
      </c>
      <c r="Y27" s="3543">
        <v>4.2988835839022799E-2</v>
      </c>
      <c r="Z27" s="3535">
        <v>0</v>
      </c>
      <c r="AA27" s="3535">
        <v>0</v>
      </c>
      <c r="AB27" s="3549">
        <v>17.782333312431899</v>
      </c>
      <c r="AC27" s="3535">
        <v>0</v>
      </c>
      <c r="AD27" s="3535">
        <v>0</v>
      </c>
      <c r="AE27" s="3546">
        <v>17.782333312431899</v>
      </c>
      <c r="AF27" s="3546">
        <v>18.611773555772</v>
      </c>
      <c r="AG27" s="3546">
        <v>18.611773555772</v>
      </c>
      <c r="AH27" s="3546">
        <v>19.340831678179999</v>
      </c>
      <c r="AI27" s="3535">
        <v>0</v>
      </c>
      <c r="AJ27" s="3535">
        <v>0</v>
      </c>
      <c r="AK27" s="3546">
        <v>17.773818408010499</v>
      </c>
      <c r="AL27" s="3549">
        <v>17.773818408010499</v>
      </c>
      <c r="AM27" s="3534">
        <v>0</v>
      </c>
      <c r="AN27" s="3539" t="s">
        <v>18</v>
      </c>
      <c r="AO27" s="3555">
        <v>0</v>
      </c>
      <c r="AP27" s="3512"/>
      <c r="AS27" s="3413">
        <v>3.6534990115708701</v>
      </c>
    </row>
    <row r="28" spans="1:45">
      <c r="A28" s="5057" t="s">
        <v>8</v>
      </c>
      <c r="B28" s="5058"/>
      <c r="C28" s="3535">
        <v>0</v>
      </c>
      <c r="D28" s="3533">
        <v>0</v>
      </c>
      <c r="E28" s="3549">
        <v>12.976611871308</v>
      </c>
      <c r="F28" s="3535">
        <v>0</v>
      </c>
      <c r="G28" s="3535">
        <v>0</v>
      </c>
      <c r="H28" s="3535">
        <v>0</v>
      </c>
      <c r="I28" s="3546">
        <v>13.0383409240606</v>
      </c>
      <c r="J28" s="3534">
        <v>0</v>
      </c>
      <c r="K28" s="3546">
        <v>13.552236407789801</v>
      </c>
      <c r="L28" s="3549">
        <v>14.6833752947382</v>
      </c>
      <c r="M28" s="3549">
        <v>13.0383409240606</v>
      </c>
      <c r="N28" s="3546">
        <v>14.6833752947382</v>
      </c>
      <c r="O28" s="3546">
        <v>13.552236407789801</v>
      </c>
      <c r="P28" s="3546">
        <v>13.552236407789801</v>
      </c>
      <c r="Q28" s="3543">
        <v>1.0203123911214701E-2</v>
      </c>
      <c r="R28" s="3549">
        <v>14.6913692573943</v>
      </c>
      <c r="S28" s="3544">
        <v>9.20359635707287</v>
      </c>
      <c r="T28" s="3538">
        <v>1.2871112500718799E-3</v>
      </c>
      <c r="U28" s="3538">
        <v>1.2871112500718799E-3</v>
      </c>
      <c r="V28" s="3543">
        <v>1.11908167590546E-2</v>
      </c>
      <c r="W28" s="3532">
        <v>1.0288570984721E-6</v>
      </c>
      <c r="X28" s="3546">
        <v>14.6913692573943</v>
      </c>
      <c r="Y28" s="3543">
        <v>1.6061361644589801E-2</v>
      </c>
      <c r="Z28" s="3535">
        <v>0</v>
      </c>
      <c r="AA28" s="3535">
        <v>0</v>
      </c>
      <c r="AB28" s="3549">
        <v>15.283461594934099</v>
      </c>
      <c r="AC28" s="3535">
        <v>0</v>
      </c>
      <c r="AD28" s="3535">
        <v>0</v>
      </c>
      <c r="AE28" s="3546">
        <v>15.283461594934099</v>
      </c>
      <c r="AF28" s="3546">
        <v>13.0383409240606</v>
      </c>
      <c r="AG28" s="3546">
        <v>13.0383409240606</v>
      </c>
      <c r="AH28" s="3546">
        <v>13.552236407789801</v>
      </c>
      <c r="AI28" s="3535">
        <v>0</v>
      </c>
      <c r="AJ28" s="3535">
        <v>0</v>
      </c>
      <c r="AK28" s="3546">
        <v>15.273592018909399</v>
      </c>
      <c r="AL28" s="3549">
        <v>15.273592018909399</v>
      </c>
      <c r="AM28" s="3534">
        <v>0</v>
      </c>
      <c r="AN28" s="3539" t="s">
        <v>18</v>
      </c>
      <c r="AO28" s="3555">
        <v>0</v>
      </c>
      <c r="AP28" s="3512"/>
      <c r="AS28" s="3413">
        <v>1.28586722357299</v>
      </c>
    </row>
    <row r="29" spans="1:45">
      <c r="A29" s="5057" t="s">
        <v>678</v>
      </c>
      <c r="B29" s="5058"/>
      <c r="C29" s="3535">
        <v>0</v>
      </c>
      <c r="D29" s="3533">
        <v>0</v>
      </c>
      <c r="E29" s="3542">
        <v>1.5418142986899099</v>
      </c>
      <c r="F29" s="3535">
        <v>0</v>
      </c>
      <c r="G29" s="3535">
        <v>0</v>
      </c>
      <c r="H29" s="3535">
        <v>0</v>
      </c>
      <c r="I29" s="3544">
        <v>2.02957026352105</v>
      </c>
      <c r="J29" s="3534">
        <v>0</v>
      </c>
      <c r="K29" s="3544">
        <v>2.10989945354001</v>
      </c>
      <c r="L29" s="3542">
        <v>2.1588206496836402</v>
      </c>
      <c r="M29" s="3542">
        <v>2.02957026352105</v>
      </c>
      <c r="N29" s="3544">
        <v>2.1588206496836402</v>
      </c>
      <c r="O29" s="3544">
        <v>2.10989945354001</v>
      </c>
      <c r="P29" s="3544">
        <v>2.10989945354001</v>
      </c>
      <c r="Q29" s="3537">
        <v>9.6348397907251805E-4</v>
      </c>
      <c r="R29" s="3542">
        <v>2.1599959606258898</v>
      </c>
      <c r="S29" s="3545">
        <v>0.89620963716059399</v>
      </c>
      <c r="T29" s="3532">
        <v>9.5248950485494802E-5</v>
      </c>
      <c r="U29" s="3532">
        <v>9.5248950485494802E-5</v>
      </c>
      <c r="V29" s="3537">
        <v>8.2813553137008901E-4</v>
      </c>
      <c r="W29" s="3532">
        <v>4.7976394071864299E-8</v>
      </c>
      <c r="X29" s="3544">
        <v>2.1599959606258898</v>
      </c>
      <c r="Y29" s="3538">
        <v>1.1885746782960801E-3</v>
      </c>
      <c r="Z29" s="3535">
        <v>0</v>
      </c>
      <c r="AA29" s="3535">
        <v>0</v>
      </c>
      <c r="AB29" s="3542">
        <v>2.2475235612427098</v>
      </c>
      <c r="AC29" s="3535">
        <v>0</v>
      </c>
      <c r="AD29" s="3535">
        <v>0</v>
      </c>
      <c r="AE29" s="3544">
        <v>2.2475235612427098</v>
      </c>
      <c r="AF29" s="3544">
        <v>2.02957026352105</v>
      </c>
      <c r="AG29" s="3544">
        <v>2.02957026352105</v>
      </c>
      <c r="AH29" s="3544">
        <v>2.10989945354001</v>
      </c>
      <c r="AI29" s="3535">
        <v>0</v>
      </c>
      <c r="AJ29" s="3535">
        <v>0</v>
      </c>
      <c r="AK29" s="3544">
        <v>2.2458967439273501</v>
      </c>
      <c r="AL29" s="3542">
        <v>2.2458967439273398</v>
      </c>
      <c r="AM29" s="3534">
        <v>0</v>
      </c>
      <c r="AN29" s="3539" t="s">
        <v>18</v>
      </c>
      <c r="AO29" s="3555">
        <v>0</v>
      </c>
      <c r="AP29" s="3512"/>
      <c r="AS29" s="3411">
        <v>0</v>
      </c>
    </row>
    <row r="30" spans="1:45">
      <c r="A30" s="5057" t="s">
        <v>67</v>
      </c>
      <c r="B30" s="5058"/>
      <c r="C30" s="3535">
        <v>0</v>
      </c>
      <c r="D30" s="3533">
        <v>0</v>
      </c>
      <c r="E30" s="3542">
        <v>5.8239906850209797</v>
      </c>
      <c r="F30" s="3535">
        <v>0</v>
      </c>
      <c r="G30" s="3535">
        <v>0</v>
      </c>
      <c r="H30" s="3535">
        <v>0</v>
      </c>
      <c r="I30" s="3544">
        <v>4.5115039651821398</v>
      </c>
      <c r="J30" s="3534">
        <v>0</v>
      </c>
      <c r="K30" s="3544">
        <v>4.6895612555175497</v>
      </c>
      <c r="L30" s="3542">
        <v>5.6480772811481996</v>
      </c>
      <c r="M30" s="3542">
        <v>4.5115039651821398</v>
      </c>
      <c r="N30" s="3544">
        <v>5.6480772811481996</v>
      </c>
      <c r="O30" s="3544">
        <v>4.6895612555175497</v>
      </c>
      <c r="P30" s="3544">
        <v>4.6895612555175497</v>
      </c>
      <c r="Q30" s="3538">
        <v>3.0832130525411399E-3</v>
      </c>
      <c r="R30" s="3542">
        <v>5.6511522225684203</v>
      </c>
      <c r="S30" s="3544">
        <v>2.7361322963629102</v>
      </c>
      <c r="T30" s="3537">
        <v>4.3262478634774202E-4</v>
      </c>
      <c r="U30" s="3537">
        <v>4.3262478634774202E-4</v>
      </c>
      <c r="V30" s="3538">
        <v>3.76146030805715E-3</v>
      </c>
      <c r="W30" s="3532">
        <v>3.2832199044176801E-7</v>
      </c>
      <c r="X30" s="3544">
        <v>5.6511522225684203</v>
      </c>
      <c r="Y30" s="3538">
        <v>5.3985567677101304E-3</v>
      </c>
      <c r="Z30" s="3535">
        <v>0</v>
      </c>
      <c r="AA30" s="3535">
        <v>0</v>
      </c>
      <c r="AB30" s="3542">
        <v>5.8795731541713803</v>
      </c>
      <c r="AC30" s="3535">
        <v>0</v>
      </c>
      <c r="AD30" s="3535">
        <v>0</v>
      </c>
      <c r="AE30" s="3544">
        <v>5.8795731541713803</v>
      </c>
      <c r="AF30" s="3544">
        <v>4.5115039651821398</v>
      </c>
      <c r="AG30" s="3544">
        <v>4.5115039651821398</v>
      </c>
      <c r="AH30" s="3544">
        <v>4.6895612555175497</v>
      </c>
      <c r="AI30" s="3535">
        <v>0</v>
      </c>
      <c r="AJ30" s="3535">
        <v>0</v>
      </c>
      <c r="AK30" s="3544">
        <v>5.8753955228944603</v>
      </c>
      <c r="AL30" s="3542">
        <v>5.8753955228944603</v>
      </c>
      <c r="AM30" s="3534">
        <v>0</v>
      </c>
      <c r="AN30" s="3539" t="s">
        <v>18</v>
      </c>
      <c r="AO30" s="3555">
        <v>0</v>
      </c>
      <c r="AP30" s="3512"/>
      <c r="AS30" s="3411">
        <v>0</v>
      </c>
    </row>
    <row r="31" spans="1:45">
      <c r="A31" s="5057" t="s">
        <v>679</v>
      </c>
      <c r="B31" s="5058"/>
      <c r="C31" s="3535">
        <v>0</v>
      </c>
      <c r="D31" s="3533">
        <v>0</v>
      </c>
      <c r="E31" s="3550">
        <v>0.53988036547304097</v>
      </c>
      <c r="F31" s="3535">
        <v>0</v>
      </c>
      <c r="G31" s="3535">
        <v>0</v>
      </c>
      <c r="H31" s="3535">
        <v>0</v>
      </c>
      <c r="I31" s="3544">
        <v>1.17011957378287</v>
      </c>
      <c r="J31" s="3534">
        <v>0</v>
      </c>
      <c r="K31" s="3544">
        <v>1.2165531845416899</v>
      </c>
      <c r="L31" s="3542">
        <v>1.37106402624868</v>
      </c>
      <c r="M31" s="3542">
        <v>1.17011957378287</v>
      </c>
      <c r="N31" s="3544">
        <v>1.37106402624868</v>
      </c>
      <c r="O31" s="3544">
        <v>1.2165531845416899</v>
      </c>
      <c r="P31" s="3544">
        <v>1.2165531845416899</v>
      </c>
      <c r="Q31" s="3537">
        <v>3.3011508574578397E-4</v>
      </c>
      <c r="R31" s="3542">
        <v>1.37181046461217</v>
      </c>
      <c r="S31" s="3545">
        <v>0.31349475243973501</v>
      </c>
      <c r="T31" s="3532">
        <v>2.6399167057715801E-5</v>
      </c>
      <c r="U31" s="3532">
        <v>2.6399167057715801E-5</v>
      </c>
      <c r="V31" s="3537">
        <v>2.2952479489843101E-4</v>
      </c>
      <c r="W31" s="3532">
        <v>1.0097801136759499E-8</v>
      </c>
      <c r="X31" s="3544">
        <v>1.37181046461217</v>
      </c>
      <c r="Y31" s="3537">
        <v>3.2942495778775398E-4</v>
      </c>
      <c r="Z31" s="3535">
        <v>0</v>
      </c>
      <c r="AA31" s="3535">
        <v>0</v>
      </c>
      <c r="AB31" s="3542">
        <v>1.4275078829882799</v>
      </c>
      <c r="AC31" s="3535">
        <v>0</v>
      </c>
      <c r="AD31" s="3535">
        <v>0</v>
      </c>
      <c r="AE31" s="3544">
        <v>1.4275078829882799</v>
      </c>
      <c r="AF31" s="3544">
        <v>1.17011957378287</v>
      </c>
      <c r="AG31" s="3544">
        <v>1.17011957378287</v>
      </c>
      <c r="AH31" s="3544">
        <v>1.2165531845416899</v>
      </c>
      <c r="AI31" s="3535">
        <v>0</v>
      </c>
      <c r="AJ31" s="3535">
        <v>0</v>
      </c>
      <c r="AK31" s="3544">
        <v>1.42647452947926</v>
      </c>
      <c r="AL31" s="3542">
        <v>1.42647452947926</v>
      </c>
      <c r="AM31" s="3534">
        <v>0</v>
      </c>
      <c r="AN31" s="3539" t="s">
        <v>18</v>
      </c>
      <c r="AO31" s="3555">
        <v>0</v>
      </c>
      <c r="AP31" s="3512"/>
      <c r="AS31" s="3411">
        <v>0</v>
      </c>
    </row>
    <row r="32" spans="1:45">
      <c r="A32" s="5057" t="s">
        <v>69</v>
      </c>
      <c r="B32" s="5058"/>
      <c r="C32" s="3535">
        <v>0</v>
      </c>
      <c r="D32" s="3533">
        <v>0</v>
      </c>
      <c r="E32" s="3550">
        <v>0.51305042416878299</v>
      </c>
      <c r="F32" s="3535">
        <v>0</v>
      </c>
      <c r="G32" s="3535">
        <v>0</v>
      </c>
      <c r="H32" s="3535">
        <v>0</v>
      </c>
      <c r="I32" s="3544">
        <v>1.17984442814943</v>
      </c>
      <c r="J32" s="3534">
        <v>0</v>
      </c>
      <c r="K32" s="3544">
        <v>1.2266165571814001</v>
      </c>
      <c r="L32" s="3542">
        <v>1.46454566440207</v>
      </c>
      <c r="M32" s="3542">
        <v>1.17984442814943</v>
      </c>
      <c r="N32" s="3544">
        <v>1.46454566440207</v>
      </c>
      <c r="O32" s="3544">
        <v>1.2266165571814001</v>
      </c>
      <c r="P32" s="3544">
        <v>1.2266165571814001</v>
      </c>
      <c r="Q32" s="3537">
        <v>4.21148197305247E-4</v>
      </c>
      <c r="R32" s="3542">
        <v>1.46534299629022</v>
      </c>
      <c r="S32" s="3545">
        <v>0.39165092945853902</v>
      </c>
      <c r="T32" s="3532">
        <v>4.1722495100003399E-5</v>
      </c>
      <c r="U32" s="3532">
        <v>4.1722495100003399E-5</v>
      </c>
      <c r="V32" s="3537">
        <v>3.6275300138047202E-4</v>
      </c>
      <c r="W32" s="3532">
        <v>1.9700461643056901E-8</v>
      </c>
      <c r="X32" s="3544">
        <v>1.46534299629022</v>
      </c>
      <c r="Y32" s="3537">
        <v>5.2063882004685304E-4</v>
      </c>
      <c r="Z32" s="3535">
        <v>0</v>
      </c>
      <c r="AA32" s="3535">
        <v>0</v>
      </c>
      <c r="AB32" s="3542">
        <v>1.5247606292481899</v>
      </c>
      <c r="AC32" s="3535">
        <v>0</v>
      </c>
      <c r="AD32" s="3535">
        <v>0</v>
      </c>
      <c r="AE32" s="3544">
        <v>1.5247606292481899</v>
      </c>
      <c r="AF32" s="3544">
        <v>1.17984442814943</v>
      </c>
      <c r="AG32" s="3544">
        <v>1.17984442814943</v>
      </c>
      <c r="AH32" s="3544">
        <v>1.2266165571814001</v>
      </c>
      <c r="AI32" s="3535">
        <v>0</v>
      </c>
      <c r="AJ32" s="3535">
        <v>0</v>
      </c>
      <c r="AK32" s="3544">
        <v>1.5236876322181201</v>
      </c>
      <c r="AL32" s="3542">
        <v>1.5236876322181101</v>
      </c>
      <c r="AM32" s="3534">
        <v>0</v>
      </c>
      <c r="AN32" s="3539" t="s">
        <v>18</v>
      </c>
      <c r="AO32" s="3555">
        <v>0</v>
      </c>
      <c r="AP32" s="3512"/>
      <c r="AS32" s="3411">
        <v>0</v>
      </c>
    </row>
    <row r="33" spans="1:45">
      <c r="A33" s="5057" t="s">
        <v>10</v>
      </c>
      <c r="B33" s="5058"/>
      <c r="C33" s="3535">
        <v>0</v>
      </c>
      <c r="D33" s="3533">
        <v>0</v>
      </c>
      <c r="E33" s="3542">
        <v>2.29247466461646</v>
      </c>
      <c r="F33" s="3535">
        <v>0</v>
      </c>
      <c r="G33" s="3535">
        <v>0</v>
      </c>
      <c r="H33" s="3535">
        <v>0</v>
      </c>
      <c r="I33" s="3544">
        <v>2.3549452195692102</v>
      </c>
      <c r="J33" s="3534">
        <v>0</v>
      </c>
      <c r="K33" s="3544">
        <v>2.4484815716949799</v>
      </c>
      <c r="L33" s="3542">
        <v>2.1586745316765099</v>
      </c>
      <c r="M33" s="3542">
        <v>2.3549452195692102</v>
      </c>
      <c r="N33" s="3544">
        <v>2.1586745316765099</v>
      </c>
      <c r="O33" s="3544">
        <v>2.4484815716949799</v>
      </c>
      <c r="P33" s="3544">
        <v>2.4484815716949799</v>
      </c>
      <c r="Q33" s="3537">
        <v>5.0499466351612099E-4</v>
      </c>
      <c r="R33" s="3542">
        <v>2.1598497630690101</v>
      </c>
      <c r="S33" s="3545">
        <v>0.48062227393460799</v>
      </c>
      <c r="T33" s="3532">
        <v>3.9363352829507902E-5</v>
      </c>
      <c r="U33" s="3532">
        <v>3.9363352829507902E-5</v>
      </c>
      <c r="V33" s="3537">
        <v>3.4223917183126801E-4</v>
      </c>
      <c r="W33" s="3532">
        <v>1.05083197885178E-8</v>
      </c>
      <c r="X33" s="3544">
        <v>2.1598497630690101</v>
      </c>
      <c r="Y33" s="3537">
        <v>4.9119999944963601E-4</v>
      </c>
      <c r="Z33" s="3535">
        <v>0</v>
      </c>
      <c r="AA33" s="3535">
        <v>0</v>
      </c>
      <c r="AB33" s="3542">
        <v>2.24767527233496</v>
      </c>
      <c r="AC33" s="3535">
        <v>0</v>
      </c>
      <c r="AD33" s="3535">
        <v>0</v>
      </c>
      <c r="AE33" s="3544">
        <v>2.24767527233496</v>
      </c>
      <c r="AF33" s="3544">
        <v>2.3549452195692102</v>
      </c>
      <c r="AG33" s="3544">
        <v>2.3549452195692102</v>
      </c>
      <c r="AH33" s="3544">
        <v>2.4484815716949799</v>
      </c>
      <c r="AI33" s="3535">
        <v>0</v>
      </c>
      <c r="AJ33" s="3535">
        <v>0</v>
      </c>
      <c r="AK33" s="3544">
        <v>2.2459827766991598</v>
      </c>
      <c r="AL33" s="3542">
        <v>2.2459827766991598</v>
      </c>
      <c r="AM33" s="3534">
        <v>0</v>
      </c>
      <c r="AN33" s="3539" t="s">
        <v>18</v>
      </c>
      <c r="AO33" s="3555">
        <v>0</v>
      </c>
      <c r="AP33" s="3512"/>
      <c r="AS33" s="3411">
        <v>0</v>
      </c>
    </row>
    <row r="34" spans="1:45">
      <c r="A34" s="5057" t="s">
        <v>298</v>
      </c>
      <c r="B34" s="5058"/>
      <c r="C34" s="3546">
        <v>49.547166615364901</v>
      </c>
      <c r="D34" s="3533">
        <v>100</v>
      </c>
      <c r="E34" s="3551">
        <v>1.52741062208443E-2</v>
      </c>
      <c r="F34" s="3546">
        <v>49.911518553794302</v>
      </c>
      <c r="G34" s="3546">
        <v>99.027205004863802</v>
      </c>
      <c r="H34" s="3546">
        <v>49.547166615364901</v>
      </c>
      <c r="I34" s="3535">
        <v>0</v>
      </c>
      <c r="J34" s="3534">
        <v>100</v>
      </c>
      <c r="K34" s="3545">
        <v>0.24014825659310199</v>
      </c>
      <c r="L34" s="3551">
        <v>7.2451267386429097E-2</v>
      </c>
      <c r="M34" s="3534">
        <v>0</v>
      </c>
      <c r="N34" s="3543">
        <v>7.2451267386429097E-2</v>
      </c>
      <c r="O34" s="3545">
        <v>0.24014825659310199</v>
      </c>
      <c r="P34" s="3545">
        <v>0.24014825659310199</v>
      </c>
      <c r="Q34" s="3546">
        <v>45.760134246135401</v>
      </c>
      <c r="R34" s="3551">
        <v>1.8048442635419899E-2</v>
      </c>
      <c r="S34" s="3544">
        <v>2.1257542415089499</v>
      </c>
      <c r="T34" s="3546">
        <v>45.802452101438199</v>
      </c>
      <c r="U34" s="3546">
        <v>45.802452101438199</v>
      </c>
      <c r="V34" s="3546">
        <v>32.2465528308309</v>
      </c>
      <c r="W34" s="3546">
        <v>99.856066766657506</v>
      </c>
      <c r="X34" s="3543">
        <v>1.8048442635419899E-2</v>
      </c>
      <c r="Y34" s="3544">
        <v>2.81836570173461</v>
      </c>
      <c r="Z34" s="3546">
        <v>56.033773406932802</v>
      </c>
      <c r="AA34" s="3546">
        <v>98.188440884227205</v>
      </c>
      <c r="AB34" s="3550">
        <v>0.14337424657471401</v>
      </c>
      <c r="AC34" s="3546">
        <v>49.547162955871698</v>
      </c>
      <c r="AD34" s="3546">
        <v>49.547162955871698</v>
      </c>
      <c r="AE34" s="3545">
        <v>0.14337424657471401</v>
      </c>
      <c r="AF34" s="3535">
        <v>0</v>
      </c>
      <c r="AG34" s="3535">
        <v>0</v>
      </c>
      <c r="AH34" s="3545">
        <v>0.24014825659310199</v>
      </c>
      <c r="AI34" s="3546">
        <v>49.911518553794302</v>
      </c>
      <c r="AJ34" s="3546">
        <v>49.911518553794302</v>
      </c>
      <c r="AK34" s="3545">
        <v>0.209492293809282</v>
      </c>
      <c r="AL34" s="3550">
        <v>0.20949229380928899</v>
      </c>
      <c r="AM34" s="3534">
        <v>50</v>
      </c>
      <c r="AN34" s="3539" t="s">
        <v>18</v>
      </c>
      <c r="AO34" s="3555">
        <v>50</v>
      </c>
      <c r="AP34" s="3512"/>
      <c r="AS34" s="3411">
        <v>0</v>
      </c>
    </row>
    <row r="35" spans="1:45">
      <c r="A35" s="5057" t="s">
        <v>680</v>
      </c>
      <c r="B35" s="5058"/>
      <c r="C35" s="3546">
        <v>42.3095162404652</v>
      </c>
      <c r="D35" s="3533">
        <v>0</v>
      </c>
      <c r="E35" s="3534">
        <v>0</v>
      </c>
      <c r="F35" s="3535">
        <v>42</v>
      </c>
      <c r="G35" s="3545">
        <v>0.27632293179661799</v>
      </c>
      <c r="H35" s="3546">
        <v>42.3095162404652</v>
      </c>
      <c r="I35" s="3535">
        <v>0</v>
      </c>
      <c r="J35" s="3534">
        <v>0</v>
      </c>
      <c r="K35" s="3538">
        <v>1.0109181536303101E-3</v>
      </c>
      <c r="L35" s="3534">
        <v>0</v>
      </c>
      <c r="M35" s="3534">
        <v>0</v>
      </c>
      <c r="N35" s="3535">
        <v>0</v>
      </c>
      <c r="O35" s="3538">
        <v>1.0109181536303101E-3</v>
      </c>
      <c r="P35" s="3538">
        <v>1.0109181536303101E-3</v>
      </c>
      <c r="Q35" s="3546">
        <v>38.881250626646803</v>
      </c>
      <c r="R35" s="3534">
        <v>0</v>
      </c>
      <c r="S35" s="3538">
        <v>1.0416007631985399E-3</v>
      </c>
      <c r="T35" s="3546">
        <v>38.918957752530602</v>
      </c>
      <c r="U35" s="3546">
        <v>38.918957752530602</v>
      </c>
      <c r="V35" s="3532">
        <v>6.3738141095229906E-5</v>
      </c>
      <c r="W35" s="3537">
        <v>2.1017273762888401E-4</v>
      </c>
      <c r="X35" s="3535">
        <v>0</v>
      </c>
      <c r="Y35" s="3532">
        <v>4.3862963454962898E-13</v>
      </c>
      <c r="Z35" s="3546">
        <v>36.722575977459599</v>
      </c>
      <c r="AA35" s="3545">
        <v>0.41458481099274302</v>
      </c>
      <c r="AB35" s="3548">
        <v>7.6736796039246296E-4</v>
      </c>
      <c r="AC35" s="3546">
        <v>42.309520651718799</v>
      </c>
      <c r="AD35" s="3546">
        <v>42.309520651718799</v>
      </c>
      <c r="AE35" s="3537">
        <v>7.6736796039246296E-4</v>
      </c>
      <c r="AF35" s="3535">
        <v>0</v>
      </c>
      <c r="AG35" s="3535">
        <v>0</v>
      </c>
      <c r="AH35" s="3538">
        <v>1.0109181536303101E-3</v>
      </c>
      <c r="AI35" s="3535">
        <v>42</v>
      </c>
      <c r="AJ35" s="3535">
        <v>42</v>
      </c>
      <c r="AK35" s="3538">
        <v>1.0469646972151999E-3</v>
      </c>
      <c r="AL35" s="3547">
        <v>1.0469646972153101E-3</v>
      </c>
      <c r="AM35" s="3534">
        <v>42</v>
      </c>
      <c r="AN35" s="3539" t="s">
        <v>18</v>
      </c>
      <c r="AO35" s="3555">
        <v>42</v>
      </c>
      <c r="AP35" s="3512"/>
      <c r="AS35" s="3411">
        <v>0</v>
      </c>
    </row>
    <row r="36" spans="1:45">
      <c r="A36" s="5057" t="s">
        <v>681</v>
      </c>
      <c r="B36" s="5058"/>
      <c r="C36" s="3544">
        <v>8.0541793213812891</v>
      </c>
      <c r="D36" s="3533">
        <v>0</v>
      </c>
      <c r="E36" s="3534">
        <v>0</v>
      </c>
      <c r="F36" s="3535">
        <v>8</v>
      </c>
      <c r="G36" s="3545">
        <v>0.69647206333954503</v>
      </c>
      <c r="H36" s="3544">
        <v>8.0541793213812891</v>
      </c>
      <c r="I36" s="3535">
        <v>0</v>
      </c>
      <c r="J36" s="3534">
        <v>0</v>
      </c>
      <c r="K36" s="3538">
        <v>2.5486191163826498E-3</v>
      </c>
      <c r="L36" s="3534">
        <v>0</v>
      </c>
      <c r="M36" s="3534">
        <v>0</v>
      </c>
      <c r="N36" s="3535">
        <v>0</v>
      </c>
      <c r="O36" s="3538">
        <v>2.5486191163826498E-3</v>
      </c>
      <c r="P36" s="3538">
        <v>2.5486191163826498E-3</v>
      </c>
      <c r="Q36" s="3544">
        <v>7.4015631582756001</v>
      </c>
      <c r="R36" s="3534">
        <v>0</v>
      </c>
      <c r="S36" s="3532">
        <v>9.8146257193645794E-5</v>
      </c>
      <c r="T36" s="3544">
        <v>7.4087413082888203</v>
      </c>
      <c r="U36" s="3544">
        <v>7.4087413082888203</v>
      </c>
      <c r="V36" s="3532">
        <v>7.6446989734523999E-5</v>
      </c>
      <c r="W36" s="3537">
        <v>2.5207941254304199E-4</v>
      </c>
      <c r="X36" s="3535">
        <v>0</v>
      </c>
      <c r="Y36" s="3532">
        <v>1.9912373962085199E-13</v>
      </c>
      <c r="Z36" s="3544">
        <v>7.0878788288588703</v>
      </c>
      <c r="AA36" s="3545">
        <v>0.80815784683554304</v>
      </c>
      <c r="AB36" s="3547">
        <v>1.2963193033160699E-3</v>
      </c>
      <c r="AC36" s="3544">
        <v>8.0541799810072092</v>
      </c>
      <c r="AD36" s="3544">
        <v>8.0541799810072092</v>
      </c>
      <c r="AE36" s="3538">
        <v>1.2963193033160699E-3</v>
      </c>
      <c r="AF36" s="3535">
        <v>0</v>
      </c>
      <c r="AG36" s="3535">
        <v>0</v>
      </c>
      <c r="AH36" s="3538">
        <v>2.5486191163826498E-3</v>
      </c>
      <c r="AI36" s="3535">
        <v>8</v>
      </c>
      <c r="AJ36" s="3535">
        <v>8</v>
      </c>
      <c r="AK36" s="3538">
        <v>4.0546988918161503E-3</v>
      </c>
      <c r="AL36" s="3547">
        <v>4.0546988918165102E-3</v>
      </c>
      <c r="AM36" s="3534">
        <v>8</v>
      </c>
      <c r="AN36" s="3539" t="s">
        <v>18</v>
      </c>
      <c r="AO36" s="3555">
        <v>8</v>
      </c>
      <c r="AP36" s="3512"/>
      <c r="AS36" s="3411">
        <v>0</v>
      </c>
    </row>
    <row r="37" spans="1:45">
      <c r="A37" s="5057" t="s">
        <v>675</v>
      </c>
      <c r="B37" s="5058"/>
      <c r="C37" s="3535">
        <v>0</v>
      </c>
      <c r="D37" s="3533">
        <v>0</v>
      </c>
      <c r="E37" s="3534">
        <v>0</v>
      </c>
      <c r="F37" s="3535">
        <v>0</v>
      </c>
      <c r="G37" s="3535">
        <v>0</v>
      </c>
      <c r="H37" s="3535">
        <v>0</v>
      </c>
      <c r="I37" s="3535">
        <v>0</v>
      </c>
      <c r="J37" s="3534">
        <v>0</v>
      </c>
      <c r="K37" s="3535">
        <v>0</v>
      </c>
      <c r="L37" s="3534">
        <v>0</v>
      </c>
      <c r="M37" s="3534">
        <v>0</v>
      </c>
      <c r="N37" s="3535">
        <v>0</v>
      </c>
      <c r="O37" s="3535">
        <v>0</v>
      </c>
      <c r="P37" s="3535">
        <v>0</v>
      </c>
      <c r="Q37" s="3535">
        <v>0</v>
      </c>
      <c r="R37" s="3534">
        <v>0</v>
      </c>
      <c r="S37" s="3535">
        <v>0</v>
      </c>
      <c r="T37" s="3535">
        <v>0</v>
      </c>
      <c r="U37" s="3535">
        <v>0</v>
      </c>
      <c r="V37" s="3535">
        <v>0</v>
      </c>
      <c r="W37" s="3535">
        <v>0</v>
      </c>
      <c r="X37" s="3535">
        <v>0</v>
      </c>
      <c r="Y37" s="3535">
        <v>0</v>
      </c>
      <c r="Z37" s="3535">
        <v>0</v>
      </c>
      <c r="AA37" s="3535">
        <v>0</v>
      </c>
      <c r="AB37" s="3534">
        <v>0</v>
      </c>
      <c r="AC37" s="3535">
        <v>0</v>
      </c>
      <c r="AD37" s="3535">
        <v>0</v>
      </c>
      <c r="AE37" s="3535">
        <v>0</v>
      </c>
      <c r="AF37" s="3535">
        <v>0</v>
      </c>
      <c r="AG37" s="3535">
        <v>0</v>
      </c>
      <c r="AH37" s="3535">
        <v>0</v>
      </c>
      <c r="AI37" s="3535">
        <v>0</v>
      </c>
      <c r="AJ37" s="3535">
        <v>0</v>
      </c>
      <c r="AK37" s="3535">
        <v>0</v>
      </c>
      <c r="AL37" s="3534">
        <v>0</v>
      </c>
      <c r="AM37" s="3534">
        <v>0</v>
      </c>
      <c r="AN37" s="3539" t="s">
        <v>18</v>
      </c>
      <c r="AO37" s="3555">
        <v>0</v>
      </c>
      <c r="AP37" s="3512"/>
      <c r="AS37" s="3411">
        <v>0</v>
      </c>
    </row>
    <row r="38" spans="1:45" ht="13" thickBot="1">
      <c r="A38" s="5055" t="s">
        <v>425</v>
      </c>
      <c r="B38" s="5056"/>
      <c r="C38" s="3517" t="s">
        <v>426</v>
      </c>
      <c r="D38" s="3519" t="s">
        <v>426</v>
      </c>
      <c r="E38" s="3519" t="s">
        <v>426</v>
      </c>
      <c r="F38" s="3519" t="s">
        <v>426</v>
      </c>
      <c r="G38" s="3519" t="s">
        <v>426</v>
      </c>
      <c r="H38" s="3519" t="s">
        <v>426</v>
      </c>
      <c r="I38" s="3519" t="s">
        <v>426</v>
      </c>
      <c r="J38" s="3519" t="s">
        <v>426</v>
      </c>
      <c r="K38" s="3519" t="s">
        <v>426</v>
      </c>
      <c r="L38" s="3519" t="s">
        <v>426</v>
      </c>
      <c r="M38" s="3519" t="s">
        <v>426</v>
      </c>
      <c r="N38" s="3519" t="s">
        <v>426</v>
      </c>
      <c r="O38" s="3519" t="s">
        <v>426</v>
      </c>
      <c r="P38" s="3519" t="s">
        <v>426</v>
      </c>
      <c r="Q38" s="3519" t="s">
        <v>426</v>
      </c>
      <c r="R38" s="3519" t="s">
        <v>426</v>
      </c>
      <c r="S38" s="3519" t="s">
        <v>426</v>
      </c>
      <c r="T38" s="3519" t="s">
        <v>426</v>
      </c>
      <c r="U38" s="3519" t="s">
        <v>426</v>
      </c>
      <c r="V38" s="3519" t="s">
        <v>426</v>
      </c>
      <c r="W38" s="3519" t="s">
        <v>426</v>
      </c>
      <c r="X38" s="3519" t="s">
        <v>426</v>
      </c>
      <c r="Y38" s="3519" t="s">
        <v>426</v>
      </c>
      <c r="Z38" s="3519" t="s">
        <v>426</v>
      </c>
      <c r="AA38" s="3519" t="s">
        <v>426</v>
      </c>
      <c r="AB38" s="3519" t="s">
        <v>426</v>
      </c>
      <c r="AC38" s="3519" t="s">
        <v>426</v>
      </c>
      <c r="AD38" s="3519" t="s">
        <v>426</v>
      </c>
      <c r="AE38" s="3519" t="s">
        <v>426</v>
      </c>
      <c r="AF38" s="3519" t="s">
        <v>426</v>
      </c>
      <c r="AG38" s="3519" t="s">
        <v>426</v>
      </c>
      <c r="AH38" s="3519" t="s">
        <v>426</v>
      </c>
      <c r="AI38" s="3519" t="s">
        <v>426</v>
      </c>
      <c r="AJ38" s="3519" t="s">
        <v>426</v>
      </c>
      <c r="AK38" s="3519" t="s">
        <v>426</v>
      </c>
      <c r="AL38" s="3519" t="s">
        <v>426</v>
      </c>
      <c r="AM38" s="3519" t="s">
        <v>426</v>
      </c>
      <c r="AN38" s="3519" t="s">
        <v>426</v>
      </c>
      <c r="AO38" s="3530" t="s">
        <v>426</v>
      </c>
      <c r="AP38" s="3512"/>
      <c r="AS38" s="3418" t="s">
        <v>426</v>
      </c>
    </row>
    <row r="39" spans="1:45" ht="13" thickTop="1">
      <c r="A39" s="5059" t="s">
        <v>5</v>
      </c>
      <c r="B39" s="5060"/>
      <c r="C39" s="3533">
        <v>0</v>
      </c>
      <c r="D39" s="3533">
        <v>0</v>
      </c>
      <c r="E39" s="3534">
        <v>0</v>
      </c>
      <c r="F39" s="3543">
        <v>1.35101573922514E-2</v>
      </c>
      <c r="G39" s="3535">
        <v>0</v>
      </c>
      <c r="H39" s="3543">
        <v>1.35101573922514E-2</v>
      </c>
      <c r="I39" s="3545">
        <v>0.45895370668779101</v>
      </c>
      <c r="J39" s="3534">
        <v>0</v>
      </c>
      <c r="K39" s="3537">
        <v>1.61297208851423E-4</v>
      </c>
      <c r="L39" s="3534">
        <v>0</v>
      </c>
      <c r="M39" s="3550">
        <v>0.45895370668779101</v>
      </c>
      <c r="N39" s="3535">
        <v>0</v>
      </c>
      <c r="O39" s="3537">
        <v>1.61297208851423E-4</v>
      </c>
      <c r="P39" s="3537">
        <v>1.61297208851423E-4</v>
      </c>
      <c r="Q39" s="3545">
        <v>0.47230256687118999</v>
      </c>
      <c r="R39" s="3534">
        <v>0</v>
      </c>
      <c r="S39" s="3538">
        <v>1.1354524164582699E-3</v>
      </c>
      <c r="T39" s="3545">
        <v>0.47116711445473197</v>
      </c>
      <c r="U39" s="3545">
        <v>0.47116711445473197</v>
      </c>
      <c r="V39" s="3545">
        <v>0.458576706450817</v>
      </c>
      <c r="W39" s="3537">
        <v>9.2957310786095904E-4</v>
      </c>
      <c r="X39" s="3535">
        <v>0</v>
      </c>
      <c r="Y39" s="3545">
        <v>0.45764713334295498</v>
      </c>
      <c r="Z39" s="3543">
        <v>1.9418462551714401E-2</v>
      </c>
      <c r="AA39" s="3538">
        <v>5.8984161117740398E-3</v>
      </c>
      <c r="AB39" s="3534">
        <v>0</v>
      </c>
      <c r="AC39" s="3543">
        <v>1.3520046439940399E-2</v>
      </c>
      <c r="AD39" s="3543">
        <v>1.3520046439940399E-2</v>
      </c>
      <c r="AE39" s="3535">
        <v>0</v>
      </c>
      <c r="AF39" s="3545">
        <v>0.45895370668779101</v>
      </c>
      <c r="AG39" s="3533">
        <v>0</v>
      </c>
      <c r="AH39" s="3537">
        <v>1.61297208851423E-4</v>
      </c>
      <c r="AI39" s="3543">
        <v>1.35101573922514E-2</v>
      </c>
      <c r="AJ39" s="3543">
        <v>1.35101573922514E-2</v>
      </c>
      <c r="AK39" s="3535">
        <v>0</v>
      </c>
      <c r="AL39" s="3534">
        <v>0</v>
      </c>
      <c r="AM39" s="3534">
        <v>0</v>
      </c>
      <c r="AN39" s="3539" t="s">
        <v>18</v>
      </c>
      <c r="AO39" s="3540">
        <v>0</v>
      </c>
      <c r="AP39" s="3512"/>
      <c r="AS39" s="3411">
        <v>0</v>
      </c>
    </row>
    <row r="40" spans="1:45">
      <c r="A40" s="5057" t="s">
        <v>674</v>
      </c>
      <c r="B40" s="5058"/>
      <c r="C40" s="3533">
        <v>0</v>
      </c>
      <c r="D40" s="3533">
        <v>0</v>
      </c>
      <c r="E40" s="3556">
        <v>17618.433998877499</v>
      </c>
      <c r="F40" s="3535">
        <v>0</v>
      </c>
      <c r="G40" s="3535">
        <v>0</v>
      </c>
      <c r="H40" s="3535">
        <v>0</v>
      </c>
      <c r="I40" s="3557">
        <v>13038.3540534328</v>
      </c>
      <c r="J40" s="3534">
        <v>0</v>
      </c>
      <c r="K40" s="3557">
        <v>13035.579820335999</v>
      </c>
      <c r="L40" s="3556">
        <v>14075.564369649301</v>
      </c>
      <c r="M40" s="3556">
        <v>13038.3540534328</v>
      </c>
      <c r="N40" s="3557">
        <v>14075.564369649301</v>
      </c>
      <c r="O40" s="3557">
        <v>13035.579820335999</v>
      </c>
      <c r="P40" s="3557">
        <v>13035.579820335999</v>
      </c>
      <c r="Q40" s="3544">
        <v>2.7742330968267801</v>
      </c>
      <c r="R40" s="3556">
        <v>14188.376281802201</v>
      </c>
      <c r="S40" s="3544">
        <v>2.67939599665318</v>
      </c>
      <c r="T40" s="3543">
        <v>9.4837100173471994E-2</v>
      </c>
      <c r="U40" s="3543">
        <v>9.4837100173471994E-2</v>
      </c>
      <c r="V40" s="3543">
        <v>9.48387009110708E-2</v>
      </c>
      <c r="W40" s="3532">
        <v>1.60073684068572E-6</v>
      </c>
      <c r="X40" s="3557">
        <v>14188.376281802201</v>
      </c>
      <c r="Y40" s="3543">
        <v>9.4837100174229902E-2</v>
      </c>
      <c r="Z40" s="3535">
        <v>0</v>
      </c>
      <c r="AA40" s="3535">
        <v>0</v>
      </c>
      <c r="AB40" s="3556">
        <v>14355.8911544333</v>
      </c>
      <c r="AC40" s="3535">
        <v>0</v>
      </c>
      <c r="AD40" s="3535">
        <v>0</v>
      </c>
      <c r="AE40" s="3557">
        <v>14355.8911544333</v>
      </c>
      <c r="AF40" s="3557">
        <v>13038.3540534328</v>
      </c>
      <c r="AG40" s="3533">
        <v>0</v>
      </c>
      <c r="AH40" s="3557">
        <v>13035.579820335999</v>
      </c>
      <c r="AI40" s="3535">
        <v>0</v>
      </c>
      <c r="AJ40" s="3535">
        <v>0</v>
      </c>
      <c r="AK40" s="3557">
        <v>14356.411681929199</v>
      </c>
      <c r="AL40" s="3556">
        <v>14356.411681929199</v>
      </c>
      <c r="AM40" s="3534">
        <v>0</v>
      </c>
      <c r="AN40" s="3539" t="s">
        <v>18</v>
      </c>
      <c r="AO40" s="3540">
        <v>0</v>
      </c>
      <c r="AP40" s="3512"/>
      <c r="AS40" s="3421">
        <v>0.384677009433323</v>
      </c>
    </row>
    <row r="41" spans="1:45">
      <c r="A41" s="5057" t="s">
        <v>3</v>
      </c>
      <c r="B41" s="5058"/>
      <c r="C41" s="3533">
        <v>0</v>
      </c>
      <c r="D41" s="3533">
        <v>0</v>
      </c>
      <c r="E41" s="3556">
        <v>25164.693939900699</v>
      </c>
      <c r="F41" s="3558">
        <v>261.91529297257603</v>
      </c>
      <c r="G41" s="3535">
        <v>0</v>
      </c>
      <c r="H41" s="3558">
        <v>261.91529297257603</v>
      </c>
      <c r="I41" s="3557">
        <v>24891.656919891899</v>
      </c>
      <c r="J41" s="3534">
        <v>0</v>
      </c>
      <c r="K41" s="3546">
        <v>11.757480943875199</v>
      </c>
      <c r="L41" s="3556">
        <v>20278.2391955202</v>
      </c>
      <c r="M41" s="3556">
        <v>24891.656919891899</v>
      </c>
      <c r="N41" s="3557">
        <v>20278.2391955202</v>
      </c>
      <c r="O41" s="3546">
        <v>11.757480943875199</v>
      </c>
      <c r="P41" s="3546">
        <v>11.757480943875199</v>
      </c>
      <c r="Q41" s="3557">
        <v>25141.8147319206</v>
      </c>
      <c r="R41" s="3556">
        <v>20440.763899937599</v>
      </c>
      <c r="S41" s="3546">
        <v>37.137873385179802</v>
      </c>
      <c r="T41" s="3557">
        <v>25104.6768585354</v>
      </c>
      <c r="U41" s="3557">
        <v>25104.6768585354</v>
      </c>
      <c r="V41" s="3557">
        <v>24858.752152807701</v>
      </c>
      <c r="W41" s="3546">
        <v>15.984368591909501</v>
      </c>
      <c r="X41" s="3557">
        <v>20440.763899937599</v>
      </c>
      <c r="Y41" s="3557">
        <v>24842.767784215801</v>
      </c>
      <c r="Z41" s="3558">
        <v>528.14518725733205</v>
      </c>
      <c r="AA41" s="3558">
        <v>266.23408293365401</v>
      </c>
      <c r="AB41" s="3549">
        <v>47.334624426608102</v>
      </c>
      <c r="AC41" s="3558">
        <v>261.91110432367799</v>
      </c>
      <c r="AD41" s="3558">
        <v>261.91110432367799</v>
      </c>
      <c r="AE41" s="3546">
        <v>47.334624426608102</v>
      </c>
      <c r="AF41" s="3557">
        <v>24891.656919891899</v>
      </c>
      <c r="AG41" s="3533">
        <v>0</v>
      </c>
      <c r="AH41" s="3546">
        <v>11.757480943875199</v>
      </c>
      <c r="AI41" s="3558">
        <v>261.91529297257603</v>
      </c>
      <c r="AJ41" s="3558">
        <v>261.91529297257603</v>
      </c>
      <c r="AK41" s="3544">
        <v>6.5997714567875301</v>
      </c>
      <c r="AL41" s="3542">
        <v>6.5997714567877299</v>
      </c>
      <c r="AM41" s="3534">
        <v>0</v>
      </c>
      <c r="AN41" s="3539" t="s">
        <v>18</v>
      </c>
      <c r="AO41" s="3540">
        <v>0</v>
      </c>
      <c r="AP41" s="3512"/>
      <c r="AS41" s="3422">
        <v>5.0559417387291503E-3</v>
      </c>
    </row>
    <row r="42" spans="1:45">
      <c r="A42" s="5057" t="s">
        <v>6</v>
      </c>
      <c r="B42" s="5058"/>
      <c r="C42" s="3533">
        <v>0</v>
      </c>
      <c r="D42" s="3533">
        <v>0</v>
      </c>
      <c r="E42" s="3559">
        <v>315245.409337989</v>
      </c>
      <c r="F42" s="3535">
        <v>0</v>
      </c>
      <c r="G42" s="3535">
        <v>0</v>
      </c>
      <c r="H42" s="3535">
        <v>0</v>
      </c>
      <c r="I42" s="3560">
        <v>315791.01734464802</v>
      </c>
      <c r="J42" s="3534">
        <v>0</v>
      </c>
      <c r="K42" s="3560">
        <v>315615.92266872199</v>
      </c>
      <c r="L42" s="3559">
        <v>246853.51540306699</v>
      </c>
      <c r="M42" s="3559">
        <v>315791.01734464802</v>
      </c>
      <c r="N42" s="3560">
        <v>246853.51540306699</v>
      </c>
      <c r="O42" s="3560">
        <v>315615.92266872199</v>
      </c>
      <c r="P42" s="3560">
        <v>315615.92266872199</v>
      </c>
      <c r="Q42" s="3558">
        <v>175.09467592582499</v>
      </c>
      <c r="R42" s="3559">
        <v>248831.98080323299</v>
      </c>
      <c r="S42" s="3558">
        <v>157.52975198380099</v>
      </c>
      <c r="T42" s="3546">
        <v>17.564923942015799</v>
      </c>
      <c r="U42" s="3546">
        <v>17.564923942015799</v>
      </c>
      <c r="V42" s="3546">
        <v>17.5654964702135</v>
      </c>
      <c r="W42" s="3537">
        <v>5.7252778572687004E-4</v>
      </c>
      <c r="X42" s="3560">
        <v>248831.98080323299</v>
      </c>
      <c r="Y42" s="3546">
        <v>17.5649239424278</v>
      </c>
      <c r="Z42" s="3535">
        <v>0</v>
      </c>
      <c r="AA42" s="3535">
        <v>0</v>
      </c>
      <c r="AB42" s="3559">
        <v>251665.63007397199</v>
      </c>
      <c r="AC42" s="3535">
        <v>0</v>
      </c>
      <c r="AD42" s="3535">
        <v>0</v>
      </c>
      <c r="AE42" s="3560">
        <v>251665.63007397199</v>
      </c>
      <c r="AF42" s="3560">
        <v>315791.01734464802</v>
      </c>
      <c r="AG42" s="3533">
        <v>0</v>
      </c>
      <c r="AH42" s="3560">
        <v>315615.92266872199</v>
      </c>
      <c r="AI42" s="3535">
        <v>0</v>
      </c>
      <c r="AJ42" s="3535">
        <v>0</v>
      </c>
      <c r="AK42" s="3560">
        <v>251708.29376750599</v>
      </c>
      <c r="AL42" s="3559">
        <v>251708.29376750599</v>
      </c>
      <c r="AM42" s="3534">
        <v>0</v>
      </c>
      <c r="AN42" s="3539" t="s">
        <v>18</v>
      </c>
      <c r="AO42" s="3540">
        <v>0</v>
      </c>
      <c r="AP42" s="3512"/>
      <c r="AS42" s="3417">
        <v>951.31494912897904</v>
      </c>
    </row>
    <row r="43" spans="1:45">
      <c r="A43" s="5057" t="s">
        <v>7</v>
      </c>
      <c r="B43" s="5058"/>
      <c r="C43" s="3533">
        <v>0</v>
      </c>
      <c r="D43" s="3533">
        <v>0</v>
      </c>
      <c r="E43" s="3559">
        <v>112526.438679771</v>
      </c>
      <c r="F43" s="3535">
        <v>0</v>
      </c>
      <c r="G43" s="3535">
        <v>0</v>
      </c>
      <c r="H43" s="3535">
        <v>0</v>
      </c>
      <c r="I43" s="3560">
        <v>115287.817194095</v>
      </c>
      <c r="J43" s="3534">
        <v>0</v>
      </c>
      <c r="K43" s="3560">
        <v>115214.381891813</v>
      </c>
      <c r="L43" s="3556">
        <v>86824.034866650705</v>
      </c>
      <c r="M43" s="3559">
        <v>115287.817194095</v>
      </c>
      <c r="N43" s="3557">
        <v>86824.034866650705</v>
      </c>
      <c r="O43" s="3560">
        <v>115214.381891813</v>
      </c>
      <c r="P43" s="3560">
        <v>115214.381891813</v>
      </c>
      <c r="Q43" s="3546">
        <v>73.435302281877995</v>
      </c>
      <c r="R43" s="3556">
        <v>87519.906459197504</v>
      </c>
      <c r="S43" s="3546">
        <v>62.4303668832097</v>
      </c>
      <c r="T43" s="3546">
        <v>11.0049353986652</v>
      </c>
      <c r="U43" s="3546">
        <v>11.0049353986652</v>
      </c>
      <c r="V43" s="3546">
        <v>11.0053352291661</v>
      </c>
      <c r="W43" s="3537">
        <v>3.9983003499900998E-4</v>
      </c>
      <c r="X43" s="3557">
        <v>87519.906459197504</v>
      </c>
      <c r="Y43" s="3546">
        <v>11.004935399131099</v>
      </c>
      <c r="Z43" s="3535">
        <v>0</v>
      </c>
      <c r="AA43" s="3535">
        <v>0</v>
      </c>
      <c r="AB43" s="3556">
        <v>88499.294252644395</v>
      </c>
      <c r="AC43" s="3535">
        <v>0</v>
      </c>
      <c r="AD43" s="3535">
        <v>0</v>
      </c>
      <c r="AE43" s="3557">
        <v>88499.294252644395</v>
      </c>
      <c r="AF43" s="3560">
        <v>115287.817194095</v>
      </c>
      <c r="AG43" s="3533">
        <v>0</v>
      </c>
      <c r="AH43" s="3560">
        <v>115214.381891813</v>
      </c>
      <c r="AI43" s="3535">
        <v>0</v>
      </c>
      <c r="AJ43" s="3535">
        <v>0</v>
      </c>
      <c r="AK43" s="3557">
        <v>88525.900950750103</v>
      </c>
      <c r="AL43" s="3556">
        <v>88525.900950750103</v>
      </c>
      <c r="AM43" s="3534">
        <v>0</v>
      </c>
      <c r="AN43" s="3539" t="s">
        <v>18</v>
      </c>
      <c r="AO43" s="3540">
        <v>0</v>
      </c>
      <c r="AP43" s="3512"/>
      <c r="AS43" s="3412">
        <v>36.577203176323202</v>
      </c>
    </row>
    <row r="44" spans="1:45">
      <c r="A44" s="5057" t="s">
        <v>8</v>
      </c>
      <c r="B44" s="5058"/>
      <c r="C44" s="3533">
        <v>0</v>
      </c>
      <c r="D44" s="3533">
        <v>0</v>
      </c>
      <c r="E44" s="3556">
        <v>80032.203146197397</v>
      </c>
      <c r="F44" s="3535">
        <v>0</v>
      </c>
      <c r="G44" s="3535">
        <v>0</v>
      </c>
      <c r="H44" s="3535">
        <v>0</v>
      </c>
      <c r="I44" s="3557">
        <v>80764.031459066595</v>
      </c>
      <c r="J44" s="3534">
        <v>0</v>
      </c>
      <c r="K44" s="3557">
        <v>80731.406330204001</v>
      </c>
      <c r="L44" s="3556">
        <v>74595.794468916996</v>
      </c>
      <c r="M44" s="3556">
        <v>80764.031459066595</v>
      </c>
      <c r="N44" s="3557">
        <v>74595.794468916996</v>
      </c>
      <c r="O44" s="3557">
        <v>80731.406330204001</v>
      </c>
      <c r="P44" s="3557">
        <v>80731.406330204001</v>
      </c>
      <c r="Q44" s="3546">
        <v>32.625128862641198</v>
      </c>
      <c r="R44" s="3556">
        <v>75193.659960580699</v>
      </c>
      <c r="S44" s="3546">
        <v>28.513497461964601</v>
      </c>
      <c r="T44" s="3544">
        <v>4.1116314006752601</v>
      </c>
      <c r="U44" s="3544">
        <v>4.1116314006752601</v>
      </c>
      <c r="V44" s="3544">
        <v>4.1117460425152297</v>
      </c>
      <c r="W44" s="3537">
        <v>1.14641686604225E-4</v>
      </c>
      <c r="X44" s="3557">
        <v>75193.659960580699</v>
      </c>
      <c r="Y44" s="3544">
        <v>4.1116314008286201</v>
      </c>
      <c r="Z44" s="3535">
        <v>0</v>
      </c>
      <c r="AA44" s="3535">
        <v>0</v>
      </c>
      <c r="AB44" s="3556">
        <v>76062.884500283893</v>
      </c>
      <c r="AC44" s="3535">
        <v>0</v>
      </c>
      <c r="AD44" s="3535">
        <v>0</v>
      </c>
      <c r="AE44" s="3557">
        <v>76062.884500283893</v>
      </c>
      <c r="AF44" s="3557">
        <v>80764.031459066595</v>
      </c>
      <c r="AG44" s="3533">
        <v>0</v>
      </c>
      <c r="AH44" s="3557">
        <v>80731.406330204001</v>
      </c>
      <c r="AI44" s="3535">
        <v>0</v>
      </c>
      <c r="AJ44" s="3535">
        <v>0</v>
      </c>
      <c r="AK44" s="3557">
        <v>76073.045374355701</v>
      </c>
      <c r="AL44" s="3556">
        <v>76073.045374355599</v>
      </c>
      <c r="AM44" s="3534">
        <v>0</v>
      </c>
      <c r="AN44" s="3539" t="s">
        <v>18</v>
      </c>
      <c r="AO44" s="3540">
        <v>0</v>
      </c>
      <c r="AP44" s="3512"/>
      <c r="AS44" s="3412">
        <v>12.8735293332353</v>
      </c>
    </row>
    <row r="45" spans="1:45">
      <c r="A45" s="5057" t="s">
        <v>678</v>
      </c>
      <c r="B45" s="5058"/>
      <c r="C45" s="3533">
        <v>0</v>
      </c>
      <c r="D45" s="3533">
        <v>0</v>
      </c>
      <c r="E45" s="3561">
        <v>9509.0148638332394</v>
      </c>
      <c r="F45" s="3535">
        <v>0</v>
      </c>
      <c r="G45" s="3535">
        <v>0</v>
      </c>
      <c r="H45" s="3535">
        <v>0</v>
      </c>
      <c r="I45" s="3557">
        <v>12571.866126687401</v>
      </c>
      <c r="J45" s="3534">
        <v>0</v>
      </c>
      <c r="K45" s="3557">
        <v>12568.7853262142</v>
      </c>
      <c r="L45" s="3556">
        <v>10967.433457671201</v>
      </c>
      <c r="M45" s="3556">
        <v>12571.866126687401</v>
      </c>
      <c r="N45" s="3557">
        <v>10967.433457671201</v>
      </c>
      <c r="O45" s="3557">
        <v>12568.7853262142</v>
      </c>
      <c r="P45" s="3557">
        <v>12568.7853262142</v>
      </c>
      <c r="Q45" s="3544">
        <v>3.0808004732532002</v>
      </c>
      <c r="R45" s="3556">
        <v>11055.334525594601</v>
      </c>
      <c r="S45" s="3544">
        <v>2.7765310671114798</v>
      </c>
      <c r="T45" s="3545">
        <v>0.30426940614158499</v>
      </c>
      <c r="U45" s="3545">
        <v>0.30426940614158499</v>
      </c>
      <c r="V45" s="3545">
        <v>0.30427475197662601</v>
      </c>
      <c r="W45" s="3532">
        <v>5.3458296023377401E-6</v>
      </c>
      <c r="X45" s="3557">
        <v>11055.334525594601</v>
      </c>
      <c r="Y45" s="3545">
        <v>0.30426940614702302</v>
      </c>
      <c r="Z45" s="3535">
        <v>0</v>
      </c>
      <c r="AA45" s="3535">
        <v>0</v>
      </c>
      <c r="AB45" s="3556">
        <v>11185.497734828299</v>
      </c>
      <c r="AC45" s="3535">
        <v>0</v>
      </c>
      <c r="AD45" s="3535">
        <v>0</v>
      </c>
      <c r="AE45" s="3557">
        <v>11185.497734828299</v>
      </c>
      <c r="AF45" s="3557">
        <v>12571.866126687401</v>
      </c>
      <c r="AG45" s="3533">
        <v>0</v>
      </c>
      <c r="AH45" s="3557">
        <v>12568.7853262142</v>
      </c>
      <c r="AI45" s="3535">
        <v>0</v>
      </c>
      <c r="AJ45" s="3535">
        <v>0</v>
      </c>
      <c r="AK45" s="3557">
        <v>11186.1181505556</v>
      </c>
      <c r="AL45" s="3556">
        <v>11186.1181505556</v>
      </c>
      <c r="AM45" s="3534">
        <v>0</v>
      </c>
      <c r="AN45" s="3539" t="s">
        <v>18</v>
      </c>
      <c r="AO45" s="3540">
        <v>0</v>
      </c>
      <c r="AP45" s="3512"/>
      <c r="AS45" s="3411">
        <v>0</v>
      </c>
    </row>
    <row r="46" spans="1:45">
      <c r="A46" s="5057" t="s">
        <v>67</v>
      </c>
      <c r="B46" s="5058"/>
      <c r="C46" s="3533">
        <v>0</v>
      </c>
      <c r="D46" s="3533">
        <v>0</v>
      </c>
      <c r="E46" s="3556">
        <v>35918.991046942399</v>
      </c>
      <c r="F46" s="3535">
        <v>0</v>
      </c>
      <c r="G46" s="3535">
        <v>0</v>
      </c>
      <c r="H46" s="3535">
        <v>0</v>
      </c>
      <c r="I46" s="3557">
        <v>27945.829173655002</v>
      </c>
      <c r="J46" s="3534">
        <v>0</v>
      </c>
      <c r="K46" s="3557">
        <v>27935.970406475</v>
      </c>
      <c r="L46" s="3556">
        <v>28693.866604367999</v>
      </c>
      <c r="M46" s="3556">
        <v>27945.829173655002</v>
      </c>
      <c r="N46" s="3557">
        <v>28693.866604367999</v>
      </c>
      <c r="O46" s="3557">
        <v>27935.970406475</v>
      </c>
      <c r="P46" s="3557">
        <v>27935.970406475</v>
      </c>
      <c r="Q46" s="3544">
        <v>9.85876718007599</v>
      </c>
      <c r="R46" s="3556">
        <v>28923.8403285942</v>
      </c>
      <c r="S46" s="3544">
        <v>8.4767625894401792</v>
      </c>
      <c r="T46" s="3544">
        <v>1.3820045906353999</v>
      </c>
      <c r="U46" s="3544">
        <v>1.3820045906353999</v>
      </c>
      <c r="V46" s="3544">
        <v>1.38204117436006</v>
      </c>
      <c r="W46" s="3532">
        <v>3.6583687656329298E-5</v>
      </c>
      <c r="X46" s="3557">
        <v>28923.8403285942</v>
      </c>
      <c r="Y46" s="3544">
        <v>1.3820045906723999</v>
      </c>
      <c r="Z46" s="3535">
        <v>0</v>
      </c>
      <c r="AA46" s="3535">
        <v>0</v>
      </c>
      <c r="AB46" s="3556">
        <v>29261.518469411702</v>
      </c>
      <c r="AC46" s="3535">
        <v>0</v>
      </c>
      <c r="AD46" s="3535">
        <v>0</v>
      </c>
      <c r="AE46" s="3557">
        <v>29261.518469411702</v>
      </c>
      <c r="AF46" s="3557">
        <v>27945.829173655002</v>
      </c>
      <c r="AG46" s="3533">
        <v>0</v>
      </c>
      <c r="AH46" s="3557">
        <v>27935.970406475</v>
      </c>
      <c r="AI46" s="3535">
        <v>0</v>
      </c>
      <c r="AJ46" s="3535">
        <v>0</v>
      </c>
      <c r="AK46" s="3557">
        <v>29263.530782548201</v>
      </c>
      <c r="AL46" s="3556">
        <v>29263.530782548201</v>
      </c>
      <c r="AM46" s="3534">
        <v>0</v>
      </c>
      <c r="AN46" s="3539" t="s">
        <v>18</v>
      </c>
      <c r="AO46" s="3540">
        <v>0</v>
      </c>
      <c r="AP46" s="3512"/>
      <c r="AS46" s="3411">
        <v>0</v>
      </c>
    </row>
    <row r="47" spans="1:45">
      <c r="A47" s="5057" t="s">
        <v>679</v>
      </c>
      <c r="B47" s="5058"/>
      <c r="C47" s="3533">
        <v>0</v>
      </c>
      <c r="D47" s="3533">
        <v>0</v>
      </c>
      <c r="E47" s="3561">
        <v>3329.6684460229899</v>
      </c>
      <c r="F47" s="3535">
        <v>0</v>
      </c>
      <c r="G47" s="3535">
        <v>0</v>
      </c>
      <c r="H47" s="3535">
        <v>0</v>
      </c>
      <c r="I47" s="3562">
        <v>7248.1287779087397</v>
      </c>
      <c r="J47" s="3534">
        <v>0</v>
      </c>
      <c r="K47" s="3562">
        <v>7247.0732142102497</v>
      </c>
      <c r="L47" s="3561">
        <v>6965.4019088120003</v>
      </c>
      <c r="M47" s="3561">
        <v>7248.1287779087397</v>
      </c>
      <c r="N47" s="3562">
        <v>6965.4019088120003</v>
      </c>
      <c r="O47" s="3562">
        <v>7247.0732142102497</v>
      </c>
      <c r="P47" s="3562">
        <v>7247.0732142102497</v>
      </c>
      <c r="Q47" s="3544">
        <v>1.0555636984982899</v>
      </c>
      <c r="R47" s="3561">
        <v>7021.2277561872997</v>
      </c>
      <c r="S47" s="3545">
        <v>0.971232492302881</v>
      </c>
      <c r="T47" s="3543">
        <v>8.4331206195357694E-2</v>
      </c>
      <c r="U47" s="3543">
        <v>8.4331206195357694E-2</v>
      </c>
      <c r="V47" s="3543">
        <v>8.4332331357239707E-2</v>
      </c>
      <c r="W47" s="3532">
        <v>1.12516009757944E-6</v>
      </c>
      <c r="X47" s="3562">
        <v>7021.2277561872997</v>
      </c>
      <c r="Y47" s="3543">
        <v>8.4331206197142003E-2</v>
      </c>
      <c r="Z47" s="3535">
        <v>0</v>
      </c>
      <c r="AA47" s="3535">
        <v>0</v>
      </c>
      <c r="AB47" s="3561">
        <v>7104.43550713491</v>
      </c>
      <c r="AC47" s="3535">
        <v>0</v>
      </c>
      <c r="AD47" s="3535">
        <v>0</v>
      </c>
      <c r="AE47" s="3562">
        <v>7104.43550713491</v>
      </c>
      <c r="AF47" s="3562">
        <v>7248.1287779087397</v>
      </c>
      <c r="AG47" s="3533">
        <v>0</v>
      </c>
      <c r="AH47" s="3562">
        <v>7247.0732142102497</v>
      </c>
      <c r="AI47" s="3535">
        <v>0</v>
      </c>
      <c r="AJ47" s="3535">
        <v>0</v>
      </c>
      <c r="AK47" s="3562">
        <v>7104.8291372514605</v>
      </c>
      <c r="AL47" s="3561">
        <v>7104.8291372514605</v>
      </c>
      <c r="AM47" s="3534">
        <v>0</v>
      </c>
      <c r="AN47" s="3539" t="s">
        <v>18</v>
      </c>
      <c r="AO47" s="3540">
        <v>0</v>
      </c>
      <c r="AP47" s="3512"/>
      <c r="AS47" s="3411">
        <v>0</v>
      </c>
    </row>
    <row r="48" spans="1:45">
      <c r="A48" s="5057" t="s">
        <v>69</v>
      </c>
      <c r="B48" s="5058"/>
      <c r="C48" s="3533">
        <v>0</v>
      </c>
      <c r="D48" s="3533">
        <v>0</v>
      </c>
      <c r="E48" s="3561">
        <v>3164.1969551471102</v>
      </c>
      <c r="F48" s="3535">
        <v>0</v>
      </c>
      <c r="G48" s="3535">
        <v>0</v>
      </c>
      <c r="H48" s="3535">
        <v>0</v>
      </c>
      <c r="I48" s="3562">
        <v>7308.3679178860002</v>
      </c>
      <c r="J48" s="3534">
        <v>0</v>
      </c>
      <c r="K48" s="3562">
        <v>7307.0212701017699</v>
      </c>
      <c r="L48" s="3561">
        <v>7440.3156753222602</v>
      </c>
      <c r="M48" s="3561">
        <v>7308.3679178860002</v>
      </c>
      <c r="N48" s="3562">
        <v>7440.3156753222602</v>
      </c>
      <c r="O48" s="3562">
        <v>7307.0212701017699</v>
      </c>
      <c r="P48" s="3562">
        <v>7307.0212701017699</v>
      </c>
      <c r="Q48" s="3544">
        <v>1.3466477842389499</v>
      </c>
      <c r="R48" s="3561">
        <v>7499.9478304725098</v>
      </c>
      <c r="S48" s="3544">
        <v>1.2133667481527599</v>
      </c>
      <c r="T48" s="3545">
        <v>0.13328103608613001</v>
      </c>
      <c r="U48" s="3545">
        <v>0.13328103608613001</v>
      </c>
      <c r="V48" s="3545">
        <v>0.13328323123777799</v>
      </c>
      <c r="W48" s="3532">
        <v>2.1951485322848498E-6</v>
      </c>
      <c r="X48" s="3562">
        <v>7499.9478304725098</v>
      </c>
      <c r="Y48" s="3545">
        <v>0.13328103608924599</v>
      </c>
      <c r="Z48" s="3535">
        <v>0</v>
      </c>
      <c r="AA48" s="3535">
        <v>0</v>
      </c>
      <c r="AB48" s="3561">
        <v>7588.4439472487002</v>
      </c>
      <c r="AC48" s="3535">
        <v>0</v>
      </c>
      <c r="AD48" s="3535">
        <v>0</v>
      </c>
      <c r="AE48" s="3562">
        <v>7588.4439472487002</v>
      </c>
      <c r="AF48" s="3562">
        <v>7308.3679178860002</v>
      </c>
      <c r="AG48" s="3533">
        <v>0</v>
      </c>
      <c r="AH48" s="3562">
        <v>7307.0212701017699</v>
      </c>
      <c r="AI48" s="3535">
        <v>0</v>
      </c>
      <c r="AJ48" s="3535">
        <v>0</v>
      </c>
      <c r="AK48" s="3562">
        <v>7589.01758267274</v>
      </c>
      <c r="AL48" s="3561">
        <v>7589.01758267274</v>
      </c>
      <c r="AM48" s="3534">
        <v>0</v>
      </c>
      <c r="AN48" s="3539" t="s">
        <v>18</v>
      </c>
      <c r="AO48" s="3540">
        <v>0</v>
      </c>
      <c r="AP48" s="3512"/>
      <c r="AS48" s="3411">
        <v>0</v>
      </c>
    </row>
    <row r="49" spans="1:45">
      <c r="A49" s="5057" t="s">
        <v>10</v>
      </c>
      <c r="B49" s="5058"/>
      <c r="C49" s="3533">
        <v>0</v>
      </c>
      <c r="D49" s="3533">
        <v>0</v>
      </c>
      <c r="E49" s="3556">
        <v>14138.6518981708</v>
      </c>
      <c r="F49" s="3535">
        <v>0</v>
      </c>
      <c r="G49" s="3535">
        <v>0</v>
      </c>
      <c r="H49" s="3535">
        <v>0</v>
      </c>
      <c r="I49" s="3557">
        <v>14587.3520952873</v>
      </c>
      <c r="J49" s="3534">
        <v>0</v>
      </c>
      <c r="K49" s="3557">
        <v>14585.7373431667</v>
      </c>
      <c r="L49" s="3556">
        <v>10966.6911359223</v>
      </c>
      <c r="M49" s="3556">
        <v>14587.3520952873</v>
      </c>
      <c r="N49" s="3557">
        <v>10966.6911359223</v>
      </c>
      <c r="O49" s="3557">
        <v>14585.7373431667</v>
      </c>
      <c r="P49" s="3557">
        <v>14585.7373431667</v>
      </c>
      <c r="Q49" s="3544">
        <v>1.61475212057854</v>
      </c>
      <c r="R49" s="3556">
        <v>11054.5862543351</v>
      </c>
      <c r="S49" s="3544">
        <v>1.4890072811012101</v>
      </c>
      <c r="T49" s="3545">
        <v>0.12574483947726001</v>
      </c>
      <c r="U49" s="3545">
        <v>0.12574483947726001</v>
      </c>
      <c r="V49" s="3545">
        <v>0.12574601038233599</v>
      </c>
      <c r="W49" s="3532">
        <v>1.1709026508358201E-6</v>
      </c>
      <c r="X49" s="3557">
        <v>11054.5862543351</v>
      </c>
      <c r="Y49" s="3545">
        <v>0.12574483947968501</v>
      </c>
      <c r="Z49" s="3535">
        <v>0</v>
      </c>
      <c r="AA49" s="3535">
        <v>0</v>
      </c>
      <c r="AB49" s="3556">
        <v>11186.252772109299</v>
      </c>
      <c r="AC49" s="3535">
        <v>0</v>
      </c>
      <c r="AD49" s="3535">
        <v>0</v>
      </c>
      <c r="AE49" s="3557">
        <v>11186.252772109299</v>
      </c>
      <c r="AF49" s="3557">
        <v>14587.3520952873</v>
      </c>
      <c r="AG49" s="3533">
        <v>0</v>
      </c>
      <c r="AH49" s="3557">
        <v>14585.7373431667</v>
      </c>
      <c r="AI49" s="3535">
        <v>0</v>
      </c>
      <c r="AJ49" s="3535">
        <v>0</v>
      </c>
      <c r="AK49" s="3557">
        <v>11186.546653225099</v>
      </c>
      <c r="AL49" s="3556">
        <v>11186.546653225099</v>
      </c>
      <c r="AM49" s="3534">
        <v>0</v>
      </c>
      <c r="AN49" s="3539" t="s">
        <v>18</v>
      </c>
      <c r="AO49" s="3540">
        <v>0</v>
      </c>
      <c r="AP49" s="3512"/>
      <c r="AS49" s="3411">
        <v>0</v>
      </c>
    </row>
    <row r="50" spans="1:45">
      <c r="A50" s="5057" t="s">
        <v>298</v>
      </c>
      <c r="B50" s="5058"/>
      <c r="C50" s="3533">
        <v>0</v>
      </c>
      <c r="D50" s="3533">
        <v>46800</v>
      </c>
      <c r="E50" s="3549">
        <v>94.201813544723805</v>
      </c>
      <c r="F50" s="3560">
        <v>147751.47647108801</v>
      </c>
      <c r="G50" s="3562">
        <v>2158.6221244523299</v>
      </c>
      <c r="H50" s="3560">
        <v>145592.85434663601</v>
      </c>
      <c r="I50" s="3535">
        <v>0</v>
      </c>
      <c r="J50" s="3534">
        <v>46800</v>
      </c>
      <c r="K50" s="3562">
        <v>1430.5761720157</v>
      </c>
      <c r="L50" s="3563">
        <v>368.07339882590497</v>
      </c>
      <c r="M50" s="3534">
        <v>0</v>
      </c>
      <c r="N50" s="3558">
        <v>368.07339882590497</v>
      </c>
      <c r="O50" s="3562">
        <v>1430.5761720157</v>
      </c>
      <c r="P50" s="3562">
        <v>1430.5761720157</v>
      </c>
      <c r="Q50" s="3560">
        <v>146320.90029907299</v>
      </c>
      <c r="R50" s="3549">
        <v>92.375900065458595</v>
      </c>
      <c r="S50" s="3544">
        <v>6.5857612414136204</v>
      </c>
      <c r="T50" s="3560">
        <v>146314.314537831</v>
      </c>
      <c r="U50" s="3560">
        <v>146314.314537831</v>
      </c>
      <c r="V50" s="3557">
        <v>11848.074974478301</v>
      </c>
      <c r="W50" s="3557">
        <v>11126.586898019201</v>
      </c>
      <c r="X50" s="3546">
        <v>92.375900065458595</v>
      </c>
      <c r="Y50" s="3558">
        <v>721.48807645918203</v>
      </c>
      <c r="Z50" s="3560">
        <v>189989.833564684</v>
      </c>
      <c r="AA50" s="3557">
        <v>44397.007449546501</v>
      </c>
      <c r="AB50" s="3563">
        <v>713.546384095505</v>
      </c>
      <c r="AC50" s="3560">
        <v>145592.82611513801</v>
      </c>
      <c r="AD50" s="3560">
        <v>145592.82611513801</v>
      </c>
      <c r="AE50" s="3558">
        <v>713.546384095505</v>
      </c>
      <c r="AF50" s="3535">
        <v>0</v>
      </c>
      <c r="AG50" s="3533">
        <v>0</v>
      </c>
      <c r="AH50" s="3562">
        <v>1430.5761720157</v>
      </c>
      <c r="AI50" s="3560">
        <v>147751.47647108801</v>
      </c>
      <c r="AJ50" s="3560">
        <v>147751.47647108801</v>
      </c>
      <c r="AK50" s="3562">
        <v>1043.4164244272699</v>
      </c>
      <c r="AL50" s="3561">
        <v>1043.4164244273099</v>
      </c>
      <c r="AM50" s="3559">
        <v>135705.451979434</v>
      </c>
      <c r="AN50" s="3539" t="s">
        <v>18</v>
      </c>
      <c r="AO50" s="3564">
        <v>135705.451979434</v>
      </c>
      <c r="AP50" s="3512"/>
      <c r="AS50" s="3411">
        <v>0</v>
      </c>
    </row>
    <row r="51" spans="1:45">
      <c r="A51" s="5057" t="s">
        <v>680</v>
      </c>
      <c r="B51" s="5058"/>
      <c r="C51" s="3533">
        <v>0</v>
      </c>
      <c r="D51" s="3533">
        <v>0</v>
      </c>
      <c r="E51" s="3534">
        <v>0</v>
      </c>
      <c r="F51" s="3560">
        <v>124331.260430343</v>
      </c>
      <c r="G51" s="3544">
        <v>6.0233629136600797</v>
      </c>
      <c r="H51" s="3560">
        <v>124325.23706743</v>
      </c>
      <c r="I51" s="3535">
        <v>0</v>
      </c>
      <c r="J51" s="3534">
        <v>0</v>
      </c>
      <c r="K51" s="3544">
        <v>6.02209419696936</v>
      </c>
      <c r="L51" s="3534">
        <v>0</v>
      </c>
      <c r="M51" s="3534">
        <v>0</v>
      </c>
      <c r="N51" s="3535">
        <v>0</v>
      </c>
      <c r="O51" s="3544">
        <v>6.02209419696936</v>
      </c>
      <c r="P51" s="3544">
        <v>6.02209419696936</v>
      </c>
      <c r="Q51" s="3560">
        <v>124325.23833614599</v>
      </c>
      <c r="R51" s="3534">
        <v>0</v>
      </c>
      <c r="S51" s="3538">
        <v>3.2269647174409102E-3</v>
      </c>
      <c r="T51" s="3560">
        <v>124325.235109182</v>
      </c>
      <c r="U51" s="3560">
        <v>124325.235109182</v>
      </c>
      <c r="V51" s="3543">
        <v>2.3418759778506899E-2</v>
      </c>
      <c r="W51" s="3543">
        <v>2.341875966622E-2</v>
      </c>
      <c r="X51" s="3535">
        <v>0</v>
      </c>
      <c r="Y51" s="3532">
        <v>1.12287078683377E-10</v>
      </c>
      <c r="Z51" s="3560">
        <v>124512.69428806299</v>
      </c>
      <c r="AA51" s="3558">
        <v>187.459183345383</v>
      </c>
      <c r="AB51" s="3542">
        <v>3.8190445389608199</v>
      </c>
      <c r="AC51" s="3560">
        <v>124325.235104718</v>
      </c>
      <c r="AD51" s="3560">
        <v>124325.235104718</v>
      </c>
      <c r="AE51" s="3544">
        <v>3.8190445389608199</v>
      </c>
      <c r="AF51" s="3535">
        <v>0</v>
      </c>
      <c r="AG51" s="3533">
        <v>0</v>
      </c>
      <c r="AH51" s="3544">
        <v>6.02209419696936</v>
      </c>
      <c r="AI51" s="3560">
        <v>124331.260430343</v>
      </c>
      <c r="AJ51" s="3560">
        <v>124331.260430343</v>
      </c>
      <c r="AK51" s="3544">
        <v>5.2146078550478299</v>
      </c>
      <c r="AL51" s="3542">
        <v>5.2146078550483601</v>
      </c>
      <c r="AM51" s="3559">
        <v>113992.57966272401</v>
      </c>
      <c r="AN51" s="3539" t="s">
        <v>18</v>
      </c>
      <c r="AO51" s="3564">
        <v>113992.57966272401</v>
      </c>
      <c r="AP51" s="3512"/>
      <c r="AS51" s="3411">
        <v>0</v>
      </c>
    </row>
    <row r="52" spans="1:45">
      <c r="A52" s="5057" t="s">
        <v>681</v>
      </c>
      <c r="B52" s="5058"/>
      <c r="C52" s="3533">
        <v>0</v>
      </c>
      <c r="D52" s="3533">
        <v>0</v>
      </c>
      <c r="E52" s="3534">
        <v>0</v>
      </c>
      <c r="F52" s="3557">
        <v>23682.144843874899</v>
      </c>
      <c r="G52" s="3546">
        <v>15.181888703350401</v>
      </c>
      <c r="H52" s="3557">
        <v>23666.962955171599</v>
      </c>
      <c r="I52" s="3535">
        <v>0</v>
      </c>
      <c r="J52" s="3534">
        <v>0</v>
      </c>
      <c r="K52" s="3546">
        <v>15.182262120762999</v>
      </c>
      <c r="L52" s="3534">
        <v>0</v>
      </c>
      <c r="M52" s="3534">
        <v>0</v>
      </c>
      <c r="N52" s="3535">
        <v>0</v>
      </c>
      <c r="O52" s="3546">
        <v>15.182262120762999</v>
      </c>
      <c r="P52" s="3546">
        <v>15.182262120762999</v>
      </c>
      <c r="Q52" s="3557">
        <v>23666.9625817542</v>
      </c>
      <c r="R52" s="3534">
        <v>0</v>
      </c>
      <c r="S52" s="3537">
        <v>3.04065166139292E-4</v>
      </c>
      <c r="T52" s="3557">
        <v>23666.962277688999</v>
      </c>
      <c r="U52" s="3557">
        <v>23666.962277688999</v>
      </c>
      <c r="V52" s="3543">
        <v>2.8088263285054999E-2</v>
      </c>
      <c r="W52" s="3543">
        <v>2.80882632340804E-2</v>
      </c>
      <c r="X52" s="3535">
        <v>0</v>
      </c>
      <c r="Y52" s="3532">
        <v>5.0974720487120101E-11</v>
      </c>
      <c r="Z52" s="3557">
        <v>24032.3797086087</v>
      </c>
      <c r="AA52" s="3558">
        <v>365.417656327516</v>
      </c>
      <c r="AB52" s="3542">
        <v>6.4515348719364498</v>
      </c>
      <c r="AC52" s="3557">
        <v>23666.9620522812</v>
      </c>
      <c r="AD52" s="3557">
        <v>23666.9620522812</v>
      </c>
      <c r="AE52" s="3544">
        <v>6.4515348719364498</v>
      </c>
      <c r="AF52" s="3535">
        <v>0</v>
      </c>
      <c r="AG52" s="3533">
        <v>0</v>
      </c>
      <c r="AH52" s="3546">
        <v>15.182262120762999</v>
      </c>
      <c r="AI52" s="3557">
        <v>23682.144843874899</v>
      </c>
      <c r="AJ52" s="3557">
        <v>23682.144843874899</v>
      </c>
      <c r="AK52" s="3546">
        <v>20.195203092671399</v>
      </c>
      <c r="AL52" s="3549">
        <v>20.1952030926732</v>
      </c>
      <c r="AM52" s="3556">
        <v>21712.872316709399</v>
      </c>
      <c r="AN52" s="3539" t="s">
        <v>18</v>
      </c>
      <c r="AO52" s="3565">
        <v>21712.872316709399</v>
      </c>
      <c r="AP52" s="3512"/>
      <c r="AS52" s="3411">
        <v>0</v>
      </c>
    </row>
    <row r="53" spans="1:45">
      <c r="A53" s="5057" t="s">
        <v>675</v>
      </c>
      <c r="B53" s="5058"/>
      <c r="C53" s="3533">
        <v>0</v>
      </c>
      <c r="D53" s="3533">
        <v>0</v>
      </c>
      <c r="E53" s="3534">
        <v>0</v>
      </c>
      <c r="F53" s="3535">
        <v>0</v>
      </c>
      <c r="G53" s="3535">
        <v>0</v>
      </c>
      <c r="H53" s="3535">
        <v>0</v>
      </c>
      <c r="I53" s="3535">
        <v>0</v>
      </c>
      <c r="J53" s="3534">
        <v>0</v>
      </c>
      <c r="K53" s="3535">
        <v>0</v>
      </c>
      <c r="L53" s="3534">
        <v>0</v>
      </c>
      <c r="M53" s="3534">
        <v>0</v>
      </c>
      <c r="N53" s="3535">
        <v>0</v>
      </c>
      <c r="O53" s="3535">
        <v>0</v>
      </c>
      <c r="P53" s="3535">
        <v>0</v>
      </c>
      <c r="Q53" s="3535">
        <v>0</v>
      </c>
      <c r="R53" s="3534">
        <v>0</v>
      </c>
      <c r="S53" s="3535">
        <v>0</v>
      </c>
      <c r="T53" s="3535">
        <v>0</v>
      </c>
      <c r="U53" s="3535">
        <v>0</v>
      </c>
      <c r="V53" s="3535">
        <v>0</v>
      </c>
      <c r="W53" s="3535">
        <v>0</v>
      </c>
      <c r="X53" s="3535">
        <v>0</v>
      </c>
      <c r="Y53" s="3535">
        <v>0</v>
      </c>
      <c r="Z53" s="3535">
        <v>0</v>
      </c>
      <c r="AA53" s="3535">
        <v>0</v>
      </c>
      <c r="AB53" s="3534">
        <v>0</v>
      </c>
      <c r="AC53" s="3535">
        <v>0</v>
      </c>
      <c r="AD53" s="3535">
        <v>0</v>
      </c>
      <c r="AE53" s="3535">
        <v>0</v>
      </c>
      <c r="AF53" s="3535">
        <v>0</v>
      </c>
      <c r="AG53" s="3533">
        <v>0</v>
      </c>
      <c r="AH53" s="3535">
        <v>0</v>
      </c>
      <c r="AI53" s="3535">
        <v>0</v>
      </c>
      <c r="AJ53" s="3535">
        <v>0</v>
      </c>
      <c r="AK53" s="3535">
        <v>0</v>
      </c>
      <c r="AL53" s="3534">
        <v>0</v>
      </c>
      <c r="AM53" s="3534">
        <v>0</v>
      </c>
      <c r="AN53" s="3539" t="s">
        <v>18</v>
      </c>
      <c r="AO53" s="3540">
        <v>0</v>
      </c>
      <c r="AP53" s="3512"/>
      <c r="AS53" s="3411">
        <v>0</v>
      </c>
    </row>
    <row r="54" spans="1:45" ht="13" thickBot="1">
      <c r="A54" s="5055" t="s">
        <v>430</v>
      </c>
      <c r="B54" s="5056"/>
      <c r="C54" s="3517" t="s">
        <v>57</v>
      </c>
      <c r="D54" s="3519" t="s">
        <v>57</v>
      </c>
      <c r="E54" s="3519" t="s">
        <v>57</v>
      </c>
      <c r="F54" s="3519" t="s">
        <v>57</v>
      </c>
      <c r="G54" s="3519" t="s">
        <v>57</v>
      </c>
      <c r="H54" s="3519" t="s">
        <v>57</v>
      </c>
      <c r="I54" s="3519" t="s">
        <v>57</v>
      </c>
      <c r="J54" s="3519" t="s">
        <v>57</v>
      </c>
      <c r="K54" s="3519" t="s">
        <v>57</v>
      </c>
      <c r="L54" s="3519" t="s">
        <v>57</v>
      </c>
      <c r="M54" s="3519" t="s">
        <v>57</v>
      </c>
      <c r="N54" s="3519" t="s">
        <v>57</v>
      </c>
      <c r="O54" s="3519" t="s">
        <v>57</v>
      </c>
      <c r="P54" s="3519" t="s">
        <v>57</v>
      </c>
      <c r="Q54" s="3519" t="s">
        <v>57</v>
      </c>
      <c r="R54" s="3519" t="s">
        <v>57</v>
      </c>
      <c r="S54" s="3519" t="s">
        <v>57</v>
      </c>
      <c r="T54" s="3519" t="s">
        <v>57</v>
      </c>
      <c r="U54" s="3519" t="s">
        <v>57</v>
      </c>
      <c r="V54" s="3519" t="s">
        <v>57</v>
      </c>
      <c r="W54" s="3519" t="s">
        <v>57</v>
      </c>
      <c r="X54" s="3519" t="s">
        <v>57</v>
      </c>
      <c r="Y54" s="3519" t="s">
        <v>57</v>
      </c>
      <c r="Z54" s="3519" t="s">
        <v>57</v>
      </c>
      <c r="AA54" s="3519" t="s">
        <v>57</v>
      </c>
      <c r="AB54" s="3519" t="s">
        <v>57</v>
      </c>
      <c r="AC54" s="3519" t="s">
        <v>57</v>
      </c>
      <c r="AD54" s="3519" t="s">
        <v>57</v>
      </c>
      <c r="AE54" s="3519" t="s">
        <v>57</v>
      </c>
      <c r="AF54" s="3519" t="s">
        <v>57</v>
      </c>
      <c r="AG54" s="3519" t="s">
        <v>57</v>
      </c>
      <c r="AH54" s="3519" t="s">
        <v>57</v>
      </c>
      <c r="AI54" s="3519" t="s">
        <v>57</v>
      </c>
      <c r="AJ54" s="3519" t="s">
        <v>57</v>
      </c>
      <c r="AK54" s="3519" t="s">
        <v>57</v>
      </c>
      <c r="AL54" s="3519" t="s">
        <v>57</v>
      </c>
      <c r="AM54" s="3519" t="s">
        <v>57</v>
      </c>
      <c r="AN54" s="3519" t="s">
        <v>57</v>
      </c>
      <c r="AO54" s="3530" t="s">
        <v>57</v>
      </c>
      <c r="AP54" s="3512"/>
      <c r="AS54" s="3418" t="s">
        <v>57</v>
      </c>
    </row>
    <row r="55" spans="1:45" ht="13" thickTop="1">
      <c r="A55" s="5059" t="s">
        <v>5</v>
      </c>
      <c r="B55" s="5060"/>
      <c r="C55" s="3533">
        <v>0</v>
      </c>
      <c r="D55" s="3535">
        <v>0</v>
      </c>
      <c r="E55" s="3534">
        <v>0</v>
      </c>
      <c r="F55" s="3532">
        <v>3.6103912603522698E-6</v>
      </c>
      <c r="G55" s="3535">
        <v>0</v>
      </c>
      <c r="H55" s="3532">
        <v>3.6103912603522698E-6</v>
      </c>
      <c r="I55" s="3537">
        <v>1.2264864156817599E-4</v>
      </c>
      <c r="J55" s="3534">
        <v>0</v>
      </c>
      <c r="K55" s="3532">
        <v>4.3104311537509602E-8</v>
      </c>
      <c r="L55" s="3534">
        <v>0</v>
      </c>
      <c r="M55" s="3548">
        <v>1.2264864156817599E-4</v>
      </c>
      <c r="N55" s="3535">
        <v>0</v>
      </c>
      <c r="O55" s="3532">
        <v>4.3104311537509602E-8</v>
      </c>
      <c r="P55" s="3532">
        <v>4.3104311537509602E-8</v>
      </c>
      <c r="Q55" s="3537">
        <v>1.2621592851698999E-4</v>
      </c>
      <c r="R55" s="3534">
        <v>0</v>
      </c>
      <c r="S55" s="3532">
        <v>3.0343299207439301E-7</v>
      </c>
      <c r="T55" s="3537">
        <v>1.2591249552491599E-4</v>
      </c>
      <c r="U55" s="3537">
        <v>1.2591249552491599E-4</v>
      </c>
      <c r="V55" s="3537">
        <v>1.22547893788472E-4</v>
      </c>
      <c r="W55" s="3532">
        <v>2.4841476875795502E-7</v>
      </c>
      <c r="X55" s="3535">
        <v>0</v>
      </c>
      <c r="Y55" s="3537">
        <v>1.2229947901971401E-4</v>
      </c>
      <c r="Z55" s="3532">
        <v>5.1892990918371902E-6</v>
      </c>
      <c r="AA55" s="3532">
        <v>1.57626512864194E-6</v>
      </c>
      <c r="AB55" s="3534">
        <v>0</v>
      </c>
      <c r="AC55" s="3532">
        <v>3.61303396319525E-6</v>
      </c>
      <c r="AD55" s="3532">
        <v>3.61303396319525E-6</v>
      </c>
      <c r="AE55" s="3535">
        <v>0</v>
      </c>
      <c r="AF55" s="3537">
        <v>1.2264864156817599E-4</v>
      </c>
      <c r="AG55" s="3533">
        <v>0</v>
      </c>
      <c r="AH55" s="3532">
        <v>4.3104311537509602E-8</v>
      </c>
      <c r="AI55" s="3532">
        <v>3.6103912603522698E-6</v>
      </c>
      <c r="AJ55" s="3532">
        <v>3.6103912603522698E-6</v>
      </c>
      <c r="AK55" s="3535">
        <v>0</v>
      </c>
      <c r="AL55" s="3534">
        <v>0</v>
      </c>
      <c r="AM55" s="3534">
        <v>0</v>
      </c>
      <c r="AN55" s="3539" t="s">
        <v>18</v>
      </c>
      <c r="AO55" s="3540">
        <v>0</v>
      </c>
      <c r="AP55" s="3512"/>
      <c r="AS55" s="3411">
        <v>0</v>
      </c>
    </row>
    <row r="56" spans="1:45">
      <c r="A56" s="5057" t="s">
        <v>674</v>
      </c>
      <c r="B56" s="5058"/>
      <c r="C56" s="3533">
        <v>0</v>
      </c>
      <c r="D56" s="3535">
        <v>0</v>
      </c>
      <c r="E56" s="3542">
        <v>5.7280413193022204</v>
      </c>
      <c r="F56" s="3535">
        <v>0</v>
      </c>
      <c r="G56" s="3535">
        <v>0</v>
      </c>
      <c r="H56" s="3535">
        <v>0</v>
      </c>
      <c r="I56" s="3544">
        <v>4.23898234987929</v>
      </c>
      <c r="J56" s="3534">
        <v>0</v>
      </c>
      <c r="K56" s="3544">
        <v>4.2380804012833497</v>
      </c>
      <c r="L56" s="3542">
        <v>4.5761964035501999</v>
      </c>
      <c r="M56" s="3542">
        <v>4.23898234987929</v>
      </c>
      <c r="N56" s="3544">
        <v>4.5761964035501999</v>
      </c>
      <c r="O56" s="3544">
        <v>4.2380804012833497</v>
      </c>
      <c r="P56" s="3544">
        <v>4.2380804012833497</v>
      </c>
      <c r="Q56" s="3537">
        <v>9.0194859594286501E-4</v>
      </c>
      <c r="R56" s="3542">
        <v>4.6128734030021503</v>
      </c>
      <c r="S56" s="3537">
        <v>8.7111550212579699E-4</v>
      </c>
      <c r="T56" s="3532">
        <v>3.0833093817024998E-5</v>
      </c>
      <c r="U56" s="3532">
        <v>3.0833093817024998E-5</v>
      </c>
      <c r="V56" s="3532">
        <v>3.0833614243023599E-5</v>
      </c>
      <c r="W56" s="3532">
        <v>5.2042575210494204E-10</v>
      </c>
      <c r="X56" s="3544">
        <v>4.6128734030021503</v>
      </c>
      <c r="Y56" s="3532">
        <v>3.0833093817271403E-5</v>
      </c>
      <c r="Z56" s="3535">
        <v>0</v>
      </c>
      <c r="AA56" s="3535">
        <v>0</v>
      </c>
      <c r="AB56" s="3542">
        <v>4.6673352304318696</v>
      </c>
      <c r="AC56" s="3535">
        <v>0</v>
      </c>
      <c r="AD56" s="3535">
        <v>0</v>
      </c>
      <c r="AE56" s="3544">
        <v>4.6673352304318696</v>
      </c>
      <c r="AF56" s="3544">
        <v>4.23898234987929</v>
      </c>
      <c r="AG56" s="3533">
        <v>0</v>
      </c>
      <c r="AH56" s="3544">
        <v>4.2380804012833497</v>
      </c>
      <c r="AI56" s="3535">
        <v>0</v>
      </c>
      <c r="AJ56" s="3535">
        <v>0</v>
      </c>
      <c r="AK56" s="3544">
        <v>4.6675044624422002</v>
      </c>
      <c r="AL56" s="3542">
        <v>4.6675044624422002</v>
      </c>
      <c r="AM56" s="3534">
        <v>0</v>
      </c>
      <c r="AN56" s="3539" t="s">
        <v>18</v>
      </c>
      <c r="AO56" s="3540">
        <v>0</v>
      </c>
      <c r="AP56" s="3512"/>
      <c r="AS56" s="3420">
        <v>1.25064793202397E-4</v>
      </c>
    </row>
    <row r="57" spans="1:45">
      <c r="A57" s="5057" t="s">
        <v>3</v>
      </c>
      <c r="B57" s="5058"/>
      <c r="C57" s="3533">
        <v>0</v>
      </c>
      <c r="D57" s="3535">
        <v>0</v>
      </c>
      <c r="E57" s="3542">
        <v>5.2077470198109799</v>
      </c>
      <c r="F57" s="3543">
        <v>5.4202470718634002E-2</v>
      </c>
      <c r="G57" s="3535">
        <v>0</v>
      </c>
      <c r="H57" s="3543">
        <v>5.4202470718634002E-2</v>
      </c>
      <c r="I57" s="3544">
        <v>5.1512429458633804</v>
      </c>
      <c r="J57" s="3534">
        <v>0</v>
      </c>
      <c r="K57" s="3538">
        <v>2.4331703175958499E-3</v>
      </c>
      <c r="L57" s="3542">
        <v>4.1965119857881801</v>
      </c>
      <c r="M57" s="3542">
        <v>5.1512429458633804</v>
      </c>
      <c r="N57" s="3544">
        <v>4.1965119857881801</v>
      </c>
      <c r="O57" s="3538">
        <v>2.4331703175958499E-3</v>
      </c>
      <c r="P57" s="3538">
        <v>2.4331703175958499E-3</v>
      </c>
      <c r="Q57" s="3544">
        <v>5.2030122462644197</v>
      </c>
      <c r="R57" s="3542">
        <v>4.2301459154158101</v>
      </c>
      <c r="S57" s="3538">
        <v>7.6855554017737802E-3</v>
      </c>
      <c r="T57" s="3544">
        <v>5.1953266908626503</v>
      </c>
      <c r="U57" s="3544">
        <v>5.1953266908626503</v>
      </c>
      <c r="V57" s="3544">
        <v>5.1444334172782398</v>
      </c>
      <c r="W57" s="3538">
        <v>3.30791020534087E-3</v>
      </c>
      <c r="X57" s="3544">
        <v>4.2301459154158101</v>
      </c>
      <c r="Y57" s="3544">
        <v>5.1411255070728803</v>
      </c>
      <c r="Z57" s="3545">
        <v>0.109297833366684</v>
      </c>
      <c r="AA57" s="3543">
        <v>5.5096229474560297E-2</v>
      </c>
      <c r="AB57" s="3547">
        <v>9.7957380240847498E-3</v>
      </c>
      <c r="AC57" s="3543">
        <v>5.4201603892124202E-2</v>
      </c>
      <c r="AD57" s="3543">
        <v>5.4201603892124202E-2</v>
      </c>
      <c r="AE57" s="3538">
        <v>9.7957380240847498E-3</v>
      </c>
      <c r="AF57" s="3544">
        <v>5.1512429458633804</v>
      </c>
      <c r="AG57" s="3533">
        <v>0</v>
      </c>
      <c r="AH57" s="3538">
        <v>2.4331703175958499E-3</v>
      </c>
      <c r="AI57" s="3543">
        <v>5.4202470718634002E-2</v>
      </c>
      <c r="AJ57" s="3543">
        <v>5.4202470718634002E-2</v>
      </c>
      <c r="AK57" s="3538">
        <v>1.36580004579442E-3</v>
      </c>
      <c r="AL57" s="3547">
        <v>1.3658000457944599E-3</v>
      </c>
      <c r="AM57" s="3534">
        <v>0</v>
      </c>
      <c r="AN57" s="3539" t="s">
        <v>18</v>
      </c>
      <c r="AO57" s="3540">
        <v>0</v>
      </c>
      <c r="AP57" s="3512"/>
      <c r="AS57" s="3423">
        <v>1.04630978564997E-6</v>
      </c>
    </row>
    <row r="58" spans="1:45">
      <c r="A58" s="5057" t="s">
        <v>6</v>
      </c>
      <c r="B58" s="5058"/>
      <c r="C58" s="3533">
        <v>0</v>
      </c>
      <c r="D58" s="3535">
        <v>0</v>
      </c>
      <c r="E58" s="3563">
        <v>178.970918401082</v>
      </c>
      <c r="F58" s="3535">
        <v>0</v>
      </c>
      <c r="G58" s="3535">
        <v>0</v>
      </c>
      <c r="H58" s="3535">
        <v>0</v>
      </c>
      <c r="I58" s="3558">
        <v>179.28067062314801</v>
      </c>
      <c r="J58" s="3534">
        <v>0</v>
      </c>
      <c r="K58" s="3558">
        <v>179.18126598780901</v>
      </c>
      <c r="L58" s="3563">
        <v>140.14351693494601</v>
      </c>
      <c r="M58" s="3563">
        <v>179.28067062314801</v>
      </c>
      <c r="N58" s="3558">
        <v>140.14351693494601</v>
      </c>
      <c r="O58" s="3558">
        <v>179.18126598780901</v>
      </c>
      <c r="P58" s="3558">
        <v>179.18126598780901</v>
      </c>
      <c r="Q58" s="3543">
        <v>9.9404635339152198E-2</v>
      </c>
      <c r="R58" s="3563">
        <v>141.266730022921</v>
      </c>
      <c r="S58" s="3543">
        <v>8.9432688162663199E-2</v>
      </c>
      <c r="T58" s="3538">
        <v>9.9719471764846499E-3</v>
      </c>
      <c r="U58" s="3538">
        <v>9.9719471764846499E-3</v>
      </c>
      <c r="V58" s="3538">
        <v>9.9722722118200692E-3</v>
      </c>
      <c r="W58" s="3532">
        <v>3.25035101500295E-7</v>
      </c>
      <c r="X58" s="3558">
        <v>141.266730022921</v>
      </c>
      <c r="Y58" s="3538">
        <v>9.9719471767185496E-3</v>
      </c>
      <c r="Z58" s="3535">
        <v>0</v>
      </c>
      <c r="AA58" s="3535">
        <v>0</v>
      </c>
      <c r="AB58" s="3563">
        <v>142.875447540729</v>
      </c>
      <c r="AC58" s="3535">
        <v>0</v>
      </c>
      <c r="AD58" s="3535">
        <v>0</v>
      </c>
      <c r="AE58" s="3558">
        <v>142.875447540729</v>
      </c>
      <c r="AF58" s="3558">
        <v>179.28067062314801</v>
      </c>
      <c r="AG58" s="3533">
        <v>0</v>
      </c>
      <c r="AH58" s="3558">
        <v>179.18126598780901</v>
      </c>
      <c r="AI58" s="3535">
        <v>0</v>
      </c>
      <c r="AJ58" s="3535">
        <v>0</v>
      </c>
      <c r="AK58" s="3558">
        <v>142.899668545026</v>
      </c>
      <c r="AL58" s="3563">
        <v>142.899668545026</v>
      </c>
      <c r="AM58" s="3534">
        <v>0</v>
      </c>
      <c r="AN58" s="3539" t="s">
        <v>18</v>
      </c>
      <c r="AO58" s="3540">
        <v>0</v>
      </c>
      <c r="AP58" s="3512"/>
      <c r="AS58" s="3421">
        <v>0.54007990312001797</v>
      </c>
    </row>
    <row r="59" spans="1:45">
      <c r="A59" s="5057" t="s">
        <v>7</v>
      </c>
      <c r="B59" s="5058"/>
      <c r="C59" s="3533">
        <v>0</v>
      </c>
      <c r="D59" s="3535">
        <v>0</v>
      </c>
      <c r="E59" s="3549">
        <v>34.083145786464797</v>
      </c>
      <c r="F59" s="3535">
        <v>0</v>
      </c>
      <c r="G59" s="3535">
        <v>0</v>
      </c>
      <c r="H59" s="3535">
        <v>0</v>
      </c>
      <c r="I59" s="3546">
        <v>34.919540038158402</v>
      </c>
      <c r="J59" s="3534">
        <v>0</v>
      </c>
      <c r="K59" s="3546">
        <v>34.897297211113397</v>
      </c>
      <c r="L59" s="3549">
        <v>26.298141777601099</v>
      </c>
      <c r="M59" s="3549">
        <v>34.919540038158402</v>
      </c>
      <c r="N59" s="3546">
        <v>26.298141777601099</v>
      </c>
      <c r="O59" s="3546">
        <v>34.897297211113397</v>
      </c>
      <c r="P59" s="3546">
        <v>34.897297211113397</v>
      </c>
      <c r="Q59" s="3543">
        <v>2.22428270450214E-2</v>
      </c>
      <c r="R59" s="3549">
        <v>26.5089144032676</v>
      </c>
      <c r="S59" s="3543">
        <v>1.89095409127654E-2</v>
      </c>
      <c r="T59" s="3538">
        <v>3.3332861322550901E-3</v>
      </c>
      <c r="U59" s="3538">
        <v>3.3332861322550901E-3</v>
      </c>
      <c r="V59" s="3538">
        <v>3.3334072369608902E-3</v>
      </c>
      <c r="W59" s="3532">
        <v>1.2110456469221201E-7</v>
      </c>
      <c r="X59" s="3546">
        <v>26.5089144032676</v>
      </c>
      <c r="Y59" s="3538">
        <v>3.3332861323961899E-3</v>
      </c>
      <c r="Z59" s="3535">
        <v>0</v>
      </c>
      <c r="AA59" s="3535">
        <v>0</v>
      </c>
      <c r="AB59" s="3549">
        <v>26.805561283211301</v>
      </c>
      <c r="AC59" s="3535">
        <v>0</v>
      </c>
      <c r="AD59" s="3535">
        <v>0</v>
      </c>
      <c r="AE59" s="3546">
        <v>26.805561283211301</v>
      </c>
      <c r="AF59" s="3546">
        <v>34.919540038158402</v>
      </c>
      <c r="AG59" s="3533">
        <v>0</v>
      </c>
      <c r="AH59" s="3546">
        <v>34.897297211113397</v>
      </c>
      <c r="AI59" s="3535">
        <v>0</v>
      </c>
      <c r="AJ59" s="3535">
        <v>0</v>
      </c>
      <c r="AK59" s="3546">
        <v>26.813620189021101</v>
      </c>
      <c r="AL59" s="3549">
        <v>26.813620189021101</v>
      </c>
      <c r="AM59" s="3534">
        <v>0</v>
      </c>
      <c r="AN59" s="3539" t="s">
        <v>18</v>
      </c>
      <c r="AO59" s="3540">
        <v>0</v>
      </c>
      <c r="AP59" s="3512"/>
      <c r="AS59" s="3419">
        <v>1.10788732225637E-2</v>
      </c>
    </row>
    <row r="60" spans="1:45">
      <c r="A60" s="5057" t="s">
        <v>8</v>
      </c>
      <c r="B60" s="5058"/>
      <c r="C60" s="3533">
        <v>0</v>
      </c>
      <c r="D60" s="3535">
        <v>0</v>
      </c>
      <c r="E60" s="3549">
        <v>16.530042870343401</v>
      </c>
      <c r="F60" s="3535">
        <v>0</v>
      </c>
      <c r="G60" s="3535">
        <v>0</v>
      </c>
      <c r="H60" s="3535">
        <v>0</v>
      </c>
      <c r="I60" s="3546">
        <v>16.681196442404399</v>
      </c>
      <c r="J60" s="3534">
        <v>0</v>
      </c>
      <c r="K60" s="3546">
        <v>16.674457970170099</v>
      </c>
      <c r="L60" s="3549">
        <v>15.4071940049687</v>
      </c>
      <c r="M60" s="3549">
        <v>16.681196442404399</v>
      </c>
      <c r="N60" s="3546">
        <v>15.4071940049687</v>
      </c>
      <c r="O60" s="3546">
        <v>16.674457970170099</v>
      </c>
      <c r="P60" s="3546">
        <v>16.674457970170099</v>
      </c>
      <c r="Q60" s="3538">
        <v>6.7384722342928799E-3</v>
      </c>
      <c r="R60" s="3549">
        <v>15.530678575171599</v>
      </c>
      <c r="S60" s="3538">
        <v>5.8892460397311696E-3</v>
      </c>
      <c r="T60" s="3537">
        <v>8.4922619456142602E-4</v>
      </c>
      <c r="U60" s="3537">
        <v>8.4922619456142602E-4</v>
      </c>
      <c r="V60" s="3537">
        <v>8.49249872961559E-4</v>
      </c>
      <c r="W60" s="3532">
        <v>2.3678368454190898E-8</v>
      </c>
      <c r="X60" s="3546">
        <v>15.530678575171599</v>
      </c>
      <c r="Y60" s="3537">
        <v>8.4922619459310196E-4</v>
      </c>
      <c r="Z60" s="3535">
        <v>0</v>
      </c>
      <c r="AA60" s="3535">
        <v>0</v>
      </c>
      <c r="AB60" s="3549">
        <v>15.710210292910199</v>
      </c>
      <c r="AC60" s="3535">
        <v>0</v>
      </c>
      <c r="AD60" s="3535">
        <v>0</v>
      </c>
      <c r="AE60" s="3546">
        <v>15.710210292910199</v>
      </c>
      <c r="AF60" s="3546">
        <v>16.681196442404399</v>
      </c>
      <c r="AG60" s="3533">
        <v>0</v>
      </c>
      <c r="AH60" s="3546">
        <v>16.674457970170099</v>
      </c>
      <c r="AI60" s="3535">
        <v>0</v>
      </c>
      <c r="AJ60" s="3535">
        <v>0</v>
      </c>
      <c r="AK60" s="3546">
        <v>15.712308944170699</v>
      </c>
      <c r="AL60" s="3549">
        <v>15.712308944170699</v>
      </c>
      <c r="AM60" s="3534">
        <v>0</v>
      </c>
      <c r="AN60" s="3539" t="s">
        <v>18</v>
      </c>
      <c r="AO60" s="3540">
        <v>0</v>
      </c>
      <c r="AP60" s="3512"/>
      <c r="AS60" s="3422">
        <v>2.6589295734152801E-3</v>
      </c>
    </row>
    <row r="61" spans="1:45">
      <c r="A61" s="5057" t="s">
        <v>678</v>
      </c>
      <c r="B61" s="5058"/>
      <c r="C61" s="3533">
        <v>0</v>
      </c>
      <c r="D61" s="3535">
        <v>0</v>
      </c>
      <c r="E61" s="3542">
        <v>1.4900407388446399</v>
      </c>
      <c r="F61" s="3535">
        <v>0</v>
      </c>
      <c r="G61" s="3535">
        <v>0</v>
      </c>
      <c r="H61" s="3535">
        <v>0</v>
      </c>
      <c r="I61" s="3544">
        <v>1.96998248086804</v>
      </c>
      <c r="J61" s="3534">
        <v>0</v>
      </c>
      <c r="K61" s="3544">
        <v>1.9694997265260701</v>
      </c>
      <c r="L61" s="3542">
        <v>1.71857157513267</v>
      </c>
      <c r="M61" s="3542">
        <v>1.96998248086804</v>
      </c>
      <c r="N61" s="3544">
        <v>1.71857157513267</v>
      </c>
      <c r="O61" s="3544">
        <v>1.9694997265260701</v>
      </c>
      <c r="P61" s="3544">
        <v>1.9694997265260701</v>
      </c>
      <c r="Q61" s="3537">
        <v>4.8275434197277199E-4</v>
      </c>
      <c r="R61" s="3542">
        <v>1.7323454701227801</v>
      </c>
      <c r="S61" s="3537">
        <v>4.3507602647664201E-4</v>
      </c>
      <c r="T61" s="3532">
        <v>4.7678315496108703E-5</v>
      </c>
      <c r="U61" s="3532">
        <v>4.7678315496108703E-5</v>
      </c>
      <c r="V61" s="3532">
        <v>4.7679153176153201E-5</v>
      </c>
      <c r="W61" s="3532">
        <v>8.3767919226848902E-10</v>
      </c>
      <c r="X61" s="3544">
        <v>1.7323454701227801</v>
      </c>
      <c r="Y61" s="3532">
        <v>4.7678315496960798E-5</v>
      </c>
      <c r="Z61" s="3535">
        <v>0</v>
      </c>
      <c r="AA61" s="3535">
        <v>0</v>
      </c>
      <c r="AB61" s="3542">
        <v>1.7527417453662499</v>
      </c>
      <c r="AC61" s="3535">
        <v>0</v>
      </c>
      <c r="AD61" s="3535">
        <v>0</v>
      </c>
      <c r="AE61" s="3544">
        <v>1.7527417453662499</v>
      </c>
      <c r="AF61" s="3544">
        <v>1.96998248086804</v>
      </c>
      <c r="AG61" s="3533">
        <v>0</v>
      </c>
      <c r="AH61" s="3544">
        <v>1.9694997265260701</v>
      </c>
      <c r="AI61" s="3535">
        <v>0</v>
      </c>
      <c r="AJ61" s="3535">
        <v>0</v>
      </c>
      <c r="AK61" s="3544">
        <v>1.7528389630824699</v>
      </c>
      <c r="AL61" s="3542">
        <v>1.7528389630824699</v>
      </c>
      <c r="AM61" s="3534">
        <v>0</v>
      </c>
      <c r="AN61" s="3539" t="s">
        <v>18</v>
      </c>
      <c r="AO61" s="3540">
        <v>0</v>
      </c>
      <c r="AP61" s="3512"/>
      <c r="AS61" s="3411">
        <v>0</v>
      </c>
    </row>
    <row r="62" spans="1:45">
      <c r="A62" s="5057" t="s">
        <v>67</v>
      </c>
      <c r="B62" s="5058"/>
      <c r="C62" s="3533">
        <v>0</v>
      </c>
      <c r="D62" s="3535">
        <v>0</v>
      </c>
      <c r="E62" s="3542">
        <v>5.6284232094012303</v>
      </c>
      <c r="F62" s="3535">
        <v>0</v>
      </c>
      <c r="G62" s="3535">
        <v>0</v>
      </c>
      <c r="H62" s="3535">
        <v>0</v>
      </c>
      <c r="I62" s="3544">
        <v>4.3790470985501502</v>
      </c>
      <c r="J62" s="3534">
        <v>0</v>
      </c>
      <c r="K62" s="3544">
        <v>4.3775022524284903</v>
      </c>
      <c r="L62" s="3542">
        <v>4.4962628419161899</v>
      </c>
      <c r="M62" s="3542">
        <v>4.3790470985501502</v>
      </c>
      <c r="N62" s="3544">
        <v>4.4962628419161899</v>
      </c>
      <c r="O62" s="3544">
        <v>4.3775022524284903</v>
      </c>
      <c r="P62" s="3544">
        <v>4.3775022524284903</v>
      </c>
      <c r="Q62" s="3538">
        <v>1.5448461216492401E-3</v>
      </c>
      <c r="R62" s="3542">
        <v>4.5322991950892302</v>
      </c>
      <c r="S62" s="3538">
        <v>1.3282891837534099E-3</v>
      </c>
      <c r="T62" s="3537">
        <v>2.1655693789576701E-4</v>
      </c>
      <c r="U62" s="3537">
        <v>2.1655693789576701E-4</v>
      </c>
      <c r="V62" s="3537">
        <v>2.1656267048120401E-4</v>
      </c>
      <c r="W62" s="3532">
        <v>5.7325796379209999E-9</v>
      </c>
      <c r="X62" s="3544">
        <v>4.5322991950892302</v>
      </c>
      <c r="Y62" s="3537">
        <v>2.16556937901566E-4</v>
      </c>
      <c r="Z62" s="3535">
        <v>0</v>
      </c>
      <c r="AA62" s="3535">
        <v>0</v>
      </c>
      <c r="AB62" s="3542">
        <v>4.5852125824001702</v>
      </c>
      <c r="AC62" s="3535">
        <v>0</v>
      </c>
      <c r="AD62" s="3535">
        <v>0</v>
      </c>
      <c r="AE62" s="3544">
        <v>4.5852125824001702</v>
      </c>
      <c r="AF62" s="3544">
        <v>4.3790470985501502</v>
      </c>
      <c r="AG62" s="3533">
        <v>0</v>
      </c>
      <c r="AH62" s="3544">
        <v>4.3775022524284903</v>
      </c>
      <c r="AI62" s="3535">
        <v>0</v>
      </c>
      <c r="AJ62" s="3535">
        <v>0</v>
      </c>
      <c r="AK62" s="3544">
        <v>4.5855279072361901</v>
      </c>
      <c r="AL62" s="3542">
        <v>4.5855279072361901</v>
      </c>
      <c r="AM62" s="3534">
        <v>0</v>
      </c>
      <c r="AN62" s="3539" t="s">
        <v>18</v>
      </c>
      <c r="AO62" s="3540">
        <v>0</v>
      </c>
      <c r="AP62" s="3512"/>
      <c r="AS62" s="3411">
        <v>0</v>
      </c>
    </row>
    <row r="63" spans="1:45">
      <c r="A63" s="5057" t="s">
        <v>679</v>
      </c>
      <c r="B63" s="5058"/>
      <c r="C63" s="3533">
        <v>0</v>
      </c>
      <c r="D63" s="3535">
        <v>0</v>
      </c>
      <c r="E63" s="3550">
        <v>0.420316713348523</v>
      </c>
      <c r="F63" s="3535">
        <v>0</v>
      </c>
      <c r="G63" s="3535">
        <v>0</v>
      </c>
      <c r="H63" s="3535">
        <v>0</v>
      </c>
      <c r="I63" s="3545">
        <v>0.91495886609859101</v>
      </c>
      <c r="J63" s="3534">
        <v>0</v>
      </c>
      <c r="K63" s="3545">
        <v>0.91482561827777198</v>
      </c>
      <c r="L63" s="3550">
        <v>0.87926917797483795</v>
      </c>
      <c r="M63" s="3550">
        <v>0.91495886609859101</v>
      </c>
      <c r="N63" s="3545">
        <v>0.87926917797483795</v>
      </c>
      <c r="O63" s="3545">
        <v>0.91482561827777198</v>
      </c>
      <c r="P63" s="3545">
        <v>0.91482561827777198</v>
      </c>
      <c r="Q63" s="3537">
        <v>1.33247820819139E-4</v>
      </c>
      <c r="R63" s="3550">
        <v>0.88631628703961896</v>
      </c>
      <c r="S63" s="3537">
        <v>1.22602371881691E-4</v>
      </c>
      <c r="T63" s="3532">
        <v>1.0645448937441899E-5</v>
      </c>
      <c r="U63" s="3532">
        <v>1.0645448937441899E-5</v>
      </c>
      <c r="V63" s="3532">
        <v>1.0645590970906199E-5</v>
      </c>
      <c r="W63" s="3532">
        <v>1.42033239006233E-10</v>
      </c>
      <c r="X63" s="3545">
        <v>0.88631628703961896</v>
      </c>
      <c r="Y63" s="3532">
        <v>1.06454489376672E-5</v>
      </c>
      <c r="Z63" s="3535">
        <v>0</v>
      </c>
      <c r="AA63" s="3535">
        <v>0</v>
      </c>
      <c r="AB63" s="3550">
        <v>0.89681991794773297</v>
      </c>
      <c r="AC63" s="3535">
        <v>0</v>
      </c>
      <c r="AD63" s="3535">
        <v>0</v>
      </c>
      <c r="AE63" s="3545">
        <v>0.89681991794773297</v>
      </c>
      <c r="AF63" s="3545">
        <v>0.91495886609859101</v>
      </c>
      <c r="AG63" s="3533">
        <v>0</v>
      </c>
      <c r="AH63" s="3545">
        <v>0.91482561827777198</v>
      </c>
      <c r="AI63" s="3535">
        <v>0</v>
      </c>
      <c r="AJ63" s="3535">
        <v>0</v>
      </c>
      <c r="AK63" s="3545">
        <v>0.89686960737463794</v>
      </c>
      <c r="AL63" s="3550">
        <v>0.89686960737463794</v>
      </c>
      <c r="AM63" s="3534">
        <v>0</v>
      </c>
      <c r="AN63" s="3539" t="s">
        <v>18</v>
      </c>
      <c r="AO63" s="3540">
        <v>0</v>
      </c>
      <c r="AP63" s="3512"/>
      <c r="AS63" s="3411">
        <v>0</v>
      </c>
    </row>
    <row r="64" spans="1:45">
      <c r="A64" s="5057" t="s">
        <v>69</v>
      </c>
      <c r="B64" s="5058"/>
      <c r="C64" s="3533">
        <v>0</v>
      </c>
      <c r="D64" s="3535">
        <v>0</v>
      </c>
      <c r="E64" s="3550">
        <v>0.39942861763409798</v>
      </c>
      <c r="F64" s="3535">
        <v>0</v>
      </c>
      <c r="G64" s="3535">
        <v>0</v>
      </c>
      <c r="H64" s="3535">
        <v>0</v>
      </c>
      <c r="I64" s="3545">
        <v>0.92256308187581804</v>
      </c>
      <c r="J64" s="3534">
        <v>0</v>
      </c>
      <c r="K64" s="3545">
        <v>0.92239308940362896</v>
      </c>
      <c r="L64" s="3550">
        <v>0.93921934920044003</v>
      </c>
      <c r="M64" s="3550">
        <v>0.92256308187581804</v>
      </c>
      <c r="N64" s="3545">
        <v>0.93921934920044003</v>
      </c>
      <c r="O64" s="3545">
        <v>0.92239308940362896</v>
      </c>
      <c r="P64" s="3545">
        <v>0.92239308940362896</v>
      </c>
      <c r="Q64" s="3537">
        <v>1.6999247218907001E-4</v>
      </c>
      <c r="R64" s="3550">
        <v>0.946746942974101</v>
      </c>
      <c r="S64" s="3537">
        <v>1.5316790002893699E-4</v>
      </c>
      <c r="T64" s="3532">
        <v>1.6824572160125898E-5</v>
      </c>
      <c r="U64" s="3532">
        <v>1.6824572160125898E-5</v>
      </c>
      <c r="V64" s="3532">
        <v>1.6824849262468401E-5</v>
      </c>
      <c r="W64" s="3532">
        <v>2.7710194914566998E-10</v>
      </c>
      <c r="X64" s="3545">
        <v>0.946746942974101</v>
      </c>
      <c r="Y64" s="3532">
        <v>1.6824572160519199E-5</v>
      </c>
      <c r="Z64" s="3535">
        <v>0</v>
      </c>
      <c r="AA64" s="3535">
        <v>0</v>
      </c>
      <c r="AB64" s="3550">
        <v>0.95791814441666701</v>
      </c>
      <c r="AC64" s="3535">
        <v>0</v>
      </c>
      <c r="AD64" s="3535">
        <v>0</v>
      </c>
      <c r="AE64" s="3545">
        <v>0.95791814441666701</v>
      </c>
      <c r="AF64" s="3545">
        <v>0.92256308187581804</v>
      </c>
      <c r="AG64" s="3533">
        <v>0</v>
      </c>
      <c r="AH64" s="3545">
        <v>0.92239308940362896</v>
      </c>
      <c r="AI64" s="3535">
        <v>0</v>
      </c>
      <c r="AJ64" s="3535">
        <v>0</v>
      </c>
      <c r="AK64" s="3545">
        <v>0.95799055659823995</v>
      </c>
      <c r="AL64" s="3550">
        <v>0.95799055659823995</v>
      </c>
      <c r="AM64" s="3534">
        <v>0</v>
      </c>
      <c r="AN64" s="3539" t="s">
        <v>18</v>
      </c>
      <c r="AO64" s="3540">
        <v>0</v>
      </c>
      <c r="AP64" s="3512"/>
      <c r="AS64" s="3411">
        <v>0</v>
      </c>
    </row>
    <row r="65" spans="1:45">
      <c r="A65" s="5057" t="s">
        <v>10</v>
      </c>
      <c r="B65" s="5058"/>
      <c r="C65" s="3533">
        <v>0</v>
      </c>
      <c r="D65" s="3535">
        <v>0</v>
      </c>
      <c r="E65" s="3542">
        <v>1.49427164851362</v>
      </c>
      <c r="F65" s="3535">
        <v>0</v>
      </c>
      <c r="G65" s="3535">
        <v>0</v>
      </c>
      <c r="H65" s="3535">
        <v>0</v>
      </c>
      <c r="I65" s="3544">
        <v>1.54169342451197</v>
      </c>
      <c r="J65" s="3534">
        <v>0</v>
      </c>
      <c r="K65" s="3544">
        <v>1.5415227662108399</v>
      </c>
      <c r="L65" s="3542">
        <v>1.15903664369405</v>
      </c>
      <c r="M65" s="3542">
        <v>1.54169342451197</v>
      </c>
      <c r="N65" s="3544">
        <v>1.15903664369405</v>
      </c>
      <c r="O65" s="3544">
        <v>1.5415227662108399</v>
      </c>
      <c r="P65" s="3544">
        <v>1.5415227662108399</v>
      </c>
      <c r="Q65" s="3537">
        <v>1.7065830112628601E-4</v>
      </c>
      <c r="R65" s="3542">
        <v>1.16832601473401</v>
      </c>
      <c r="S65" s="3537">
        <v>1.5736870676247099E-4</v>
      </c>
      <c r="T65" s="3532">
        <v>1.3289594363807501E-5</v>
      </c>
      <c r="U65" s="3532">
        <v>1.3289594363807501E-5</v>
      </c>
      <c r="V65" s="3532">
        <v>1.32897181132477E-5</v>
      </c>
      <c r="W65" s="3532">
        <v>1.23749183933142E-10</v>
      </c>
      <c r="X65" s="3544">
        <v>1.16832601473401</v>
      </c>
      <c r="Y65" s="3532">
        <v>1.3289594364063799E-5</v>
      </c>
      <c r="Z65" s="3535">
        <v>0</v>
      </c>
      <c r="AA65" s="3535">
        <v>0</v>
      </c>
      <c r="AB65" s="3542">
        <v>1.1822414534890999</v>
      </c>
      <c r="AC65" s="3535">
        <v>0</v>
      </c>
      <c r="AD65" s="3535">
        <v>0</v>
      </c>
      <c r="AE65" s="3544">
        <v>1.1822414534890999</v>
      </c>
      <c r="AF65" s="3544">
        <v>1.54169342451197</v>
      </c>
      <c r="AG65" s="3533">
        <v>0</v>
      </c>
      <c r="AH65" s="3544">
        <v>1.5415227662108399</v>
      </c>
      <c r="AI65" s="3535">
        <v>0</v>
      </c>
      <c r="AJ65" s="3535">
        <v>0</v>
      </c>
      <c r="AK65" s="3544">
        <v>1.18227251290145</v>
      </c>
      <c r="AL65" s="3542">
        <v>1.18227251290145</v>
      </c>
      <c r="AM65" s="3534">
        <v>0</v>
      </c>
      <c r="AN65" s="3539" t="s">
        <v>18</v>
      </c>
      <c r="AO65" s="3540">
        <v>0</v>
      </c>
      <c r="AP65" s="3512"/>
      <c r="AS65" s="3411">
        <v>0</v>
      </c>
    </row>
    <row r="66" spans="1:45">
      <c r="A66" s="5057" t="s">
        <v>298</v>
      </c>
      <c r="B66" s="5058"/>
      <c r="C66" s="3533">
        <v>0</v>
      </c>
      <c r="D66" s="3546">
        <v>23.6597143733709</v>
      </c>
      <c r="E66" s="3551">
        <v>4.7623675254737298E-2</v>
      </c>
      <c r="F66" s="3546">
        <v>74.695678024567798</v>
      </c>
      <c r="G66" s="3544">
        <v>1.0912902330038701</v>
      </c>
      <c r="H66" s="3546">
        <v>73.604387791563994</v>
      </c>
      <c r="I66" s="3535">
        <v>0</v>
      </c>
      <c r="J66" s="3549">
        <v>23.6597143733709</v>
      </c>
      <c r="K66" s="3545">
        <v>0.72322700041114996</v>
      </c>
      <c r="L66" s="3550">
        <v>0.18607930522770799</v>
      </c>
      <c r="M66" s="3534">
        <v>0</v>
      </c>
      <c r="N66" s="3545">
        <v>0.18607930522770799</v>
      </c>
      <c r="O66" s="3545">
        <v>0.72322700041114996</v>
      </c>
      <c r="P66" s="3545">
        <v>0.72322700041114996</v>
      </c>
      <c r="Q66" s="3546">
        <v>73.972451024156697</v>
      </c>
      <c r="R66" s="3551">
        <v>4.6700585695124003E-2</v>
      </c>
      <c r="S66" s="3538">
        <v>3.3294279893816801E-3</v>
      </c>
      <c r="T66" s="3546">
        <v>73.969121596167298</v>
      </c>
      <c r="U66" s="3546">
        <v>73.969121596167298</v>
      </c>
      <c r="V66" s="3544">
        <v>5.9897878156076896</v>
      </c>
      <c r="W66" s="3544">
        <v>5.62503991362445</v>
      </c>
      <c r="X66" s="3543">
        <v>4.6700585695124003E-2</v>
      </c>
      <c r="Y66" s="3545">
        <v>0.36474790198326901</v>
      </c>
      <c r="Z66" s="3546">
        <v>96.049256324459506</v>
      </c>
      <c r="AA66" s="3546">
        <v>22.444882805313899</v>
      </c>
      <c r="AB66" s="3550">
        <v>0.36073298375750501</v>
      </c>
      <c r="AC66" s="3546">
        <v>73.604373519145597</v>
      </c>
      <c r="AD66" s="3546">
        <v>73.604373519145597</v>
      </c>
      <c r="AE66" s="3545">
        <v>0.36073298375750501</v>
      </c>
      <c r="AF66" s="3535">
        <v>0</v>
      </c>
      <c r="AG66" s="3533">
        <v>0</v>
      </c>
      <c r="AH66" s="3545">
        <v>0.72322700041114996</v>
      </c>
      <c r="AI66" s="3546">
        <v>74.695678024567798</v>
      </c>
      <c r="AJ66" s="3546">
        <v>74.695678024567798</v>
      </c>
      <c r="AK66" s="3545">
        <v>0.52749860201780396</v>
      </c>
      <c r="AL66" s="3550">
        <v>0.52749860201782195</v>
      </c>
      <c r="AM66" s="3549">
        <v>68.6058169389444</v>
      </c>
      <c r="AN66" s="3539" t="s">
        <v>18</v>
      </c>
      <c r="AO66" s="3552">
        <v>68.6058169389444</v>
      </c>
      <c r="AP66" s="3512"/>
      <c r="AS66" s="3411">
        <v>0</v>
      </c>
    </row>
    <row r="67" spans="1:45">
      <c r="A67" s="5057" t="s">
        <v>680</v>
      </c>
      <c r="B67" s="5058"/>
      <c r="C67" s="3533">
        <v>0</v>
      </c>
      <c r="D67" s="3535">
        <v>0</v>
      </c>
      <c r="E67" s="3534">
        <v>0</v>
      </c>
      <c r="F67" s="3544">
        <v>9.5026867148798093</v>
      </c>
      <c r="G67" s="3537">
        <v>4.6036797616642102E-4</v>
      </c>
      <c r="H67" s="3544">
        <v>9.5022263469036403</v>
      </c>
      <c r="I67" s="3535">
        <v>0</v>
      </c>
      <c r="J67" s="3534">
        <v>0</v>
      </c>
      <c r="K67" s="3537">
        <v>4.6027100765504099E-4</v>
      </c>
      <c r="L67" s="3534">
        <v>0</v>
      </c>
      <c r="M67" s="3534">
        <v>0</v>
      </c>
      <c r="N67" s="3535">
        <v>0</v>
      </c>
      <c r="O67" s="3537">
        <v>4.6027100765504099E-4</v>
      </c>
      <c r="P67" s="3537">
        <v>4.6027100765504099E-4</v>
      </c>
      <c r="Q67" s="3544">
        <v>9.5022264438721606</v>
      </c>
      <c r="R67" s="3534">
        <v>0</v>
      </c>
      <c r="S67" s="3532">
        <v>2.4663817163658203E-7</v>
      </c>
      <c r="T67" s="3544">
        <v>9.5022261972339894</v>
      </c>
      <c r="U67" s="3544">
        <v>9.5022261972339894</v>
      </c>
      <c r="V67" s="3532">
        <v>1.7899049414918299E-6</v>
      </c>
      <c r="W67" s="3532">
        <v>1.7899049329096999E-6</v>
      </c>
      <c r="X67" s="3535">
        <v>0</v>
      </c>
      <c r="Y67" s="3532">
        <v>8.5821452076004398E-15</v>
      </c>
      <c r="Z67" s="3544">
        <v>9.5165537753714204</v>
      </c>
      <c r="AA67" s="3543">
        <v>1.43275784785951E-2</v>
      </c>
      <c r="AB67" s="3548">
        <v>2.9189106326360601E-4</v>
      </c>
      <c r="AC67" s="3544">
        <v>9.5022261968928294</v>
      </c>
      <c r="AD67" s="3544">
        <v>9.5022261968928294</v>
      </c>
      <c r="AE67" s="3537">
        <v>2.9189106326360601E-4</v>
      </c>
      <c r="AF67" s="3535">
        <v>0</v>
      </c>
      <c r="AG67" s="3533">
        <v>0</v>
      </c>
      <c r="AH67" s="3537">
        <v>4.6027100765504099E-4</v>
      </c>
      <c r="AI67" s="3544">
        <v>9.5026867148798093</v>
      </c>
      <c r="AJ67" s="3544">
        <v>9.5026867148798093</v>
      </c>
      <c r="AK67" s="3537">
        <v>3.9855451168077698E-4</v>
      </c>
      <c r="AL67" s="3548">
        <v>3.9855451168081699E-4</v>
      </c>
      <c r="AM67" s="3542">
        <v>8.7124973124738201</v>
      </c>
      <c r="AN67" s="3539" t="s">
        <v>18</v>
      </c>
      <c r="AO67" s="3553">
        <v>8.7124973124738201</v>
      </c>
      <c r="AP67" s="3512"/>
      <c r="AS67" s="3411">
        <v>0</v>
      </c>
    </row>
    <row r="68" spans="1:45">
      <c r="A68" s="5057" t="s">
        <v>681</v>
      </c>
      <c r="B68" s="5058"/>
      <c r="C68" s="3533">
        <v>0</v>
      </c>
      <c r="D68" s="3535">
        <v>0</v>
      </c>
      <c r="E68" s="3534">
        <v>0</v>
      </c>
      <c r="F68" s="3544">
        <v>2.5040500811888999</v>
      </c>
      <c r="G68" s="3538">
        <v>1.60526885933889E-3</v>
      </c>
      <c r="H68" s="3544">
        <v>2.5024448123295602</v>
      </c>
      <c r="I68" s="3535">
        <v>0</v>
      </c>
      <c r="J68" s="3534">
        <v>0</v>
      </c>
      <c r="K68" s="3538">
        <v>1.6053083429206599E-3</v>
      </c>
      <c r="L68" s="3534">
        <v>0</v>
      </c>
      <c r="M68" s="3534">
        <v>0</v>
      </c>
      <c r="N68" s="3535">
        <v>0</v>
      </c>
      <c r="O68" s="3538">
        <v>1.6053083429206599E-3</v>
      </c>
      <c r="P68" s="3538">
        <v>1.6053083429206599E-3</v>
      </c>
      <c r="Q68" s="3544">
        <v>2.5024447728459802</v>
      </c>
      <c r="R68" s="3534">
        <v>0</v>
      </c>
      <c r="S68" s="3532">
        <v>3.2150567821340498E-8</v>
      </c>
      <c r="T68" s="3544">
        <v>2.50244474069541</v>
      </c>
      <c r="U68" s="3544">
        <v>2.50244474069541</v>
      </c>
      <c r="V68" s="3532">
        <v>2.9699344558137902E-6</v>
      </c>
      <c r="W68" s="3532">
        <v>2.9699344504239599E-6</v>
      </c>
      <c r="X68" s="3535">
        <v>0</v>
      </c>
      <c r="Y68" s="3532">
        <v>5.3898518827515597E-15</v>
      </c>
      <c r="Z68" s="3544">
        <v>2.54108243815037</v>
      </c>
      <c r="AA68" s="3543">
        <v>3.8637721288637003E-2</v>
      </c>
      <c r="AB68" s="3548">
        <v>6.8215807843282098E-4</v>
      </c>
      <c r="AC68" s="3544">
        <v>2.5024447168617399</v>
      </c>
      <c r="AD68" s="3544">
        <v>2.5024447168617399</v>
      </c>
      <c r="AE68" s="3537">
        <v>6.8215807843282098E-4</v>
      </c>
      <c r="AF68" s="3535">
        <v>0</v>
      </c>
      <c r="AG68" s="3533">
        <v>0</v>
      </c>
      <c r="AH68" s="3538">
        <v>1.6053083429206599E-3</v>
      </c>
      <c r="AI68" s="3544">
        <v>2.5040500811888999</v>
      </c>
      <c r="AJ68" s="3544">
        <v>2.5040500811888999</v>
      </c>
      <c r="AK68" s="3538">
        <v>2.1353555717698999E-3</v>
      </c>
      <c r="AL68" s="3547">
        <v>2.1353555717700898E-3</v>
      </c>
      <c r="AM68" s="3542">
        <v>2.2958275124967198</v>
      </c>
      <c r="AN68" s="3539" t="s">
        <v>18</v>
      </c>
      <c r="AO68" s="3553">
        <v>2.2958275124967198</v>
      </c>
      <c r="AP68" s="3512"/>
      <c r="AS68" s="3411">
        <v>0</v>
      </c>
    </row>
    <row r="69" spans="1:45" ht="13" thickBot="1">
      <c r="A69" s="5063" t="s">
        <v>675</v>
      </c>
      <c r="B69" s="5064"/>
      <c r="C69" s="3567">
        <v>0</v>
      </c>
      <c r="D69" s="3568">
        <v>0</v>
      </c>
      <c r="E69" s="3569">
        <v>0</v>
      </c>
      <c r="F69" s="3568">
        <v>0</v>
      </c>
      <c r="G69" s="3568">
        <v>0</v>
      </c>
      <c r="H69" s="3568">
        <v>0</v>
      </c>
      <c r="I69" s="3568">
        <v>0</v>
      </c>
      <c r="J69" s="3569">
        <v>0</v>
      </c>
      <c r="K69" s="3568">
        <v>0</v>
      </c>
      <c r="L69" s="3569">
        <v>0</v>
      </c>
      <c r="M69" s="3569">
        <v>0</v>
      </c>
      <c r="N69" s="3568">
        <v>0</v>
      </c>
      <c r="O69" s="3568">
        <v>0</v>
      </c>
      <c r="P69" s="3568">
        <v>0</v>
      </c>
      <c r="Q69" s="3568">
        <v>0</v>
      </c>
      <c r="R69" s="3569">
        <v>0</v>
      </c>
      <c r="S69" s="3568">
        <v>0</v>
      </c>
      <c r="T69" s="3568">
        <v>0</v>
      </c>
      <c r="U69" s="3568">
        <v>0</v>
      </c>
      <c r="V69" s="3568">
        <v>0</v>
      </c>
      <c r="W69" s="3568">
        <v>0</v>
      </c>
      <c r="X69" s="3568">
        <v>0</v>
      </c>
      <c r="Y69" s="3568">
        <v>0</v>
      </c>
      <c r="Z69" s="3568">
        <v>0</v>
      </c>
      <c r="AA69" s="3568">
        <v>0</v>
      </c>
      <c r="AB69" s="3569">
        <v>0</v>
      </c>
      <c r="AC69" s="3568">
        <v>0</v>
      </c>
      <c r="AD69" s="3568">
        <v>0</v>
      </c>
      <c r="AE69" s="3568">
        <v>0</v>
      </c>
      <c r="AF69" s="3568">
        <v>0</v>
      </c>
      <c r="AG69" s="3567">
        <v>0</v>
      </c>
      <c r="AH69" s="3568">
        <v>0</v>
      </c>
      <c r="AI69" s="3568">
        <v>0</v>
      </c>
      <c r="AJ69" s="3568">
        <v>0</v>
      </c>
      <c r="AK69" s="3568">
        <v>0</v>
      </c>
      <c r="AL69" s="3569">
        <v>0</v>
      </c>
      <c r="AM69" s="3569">
        <v>0</v>
      </c>
      <c r="AN69" s="3570" t="s">
        <v>18</v>
      </c>
      <c r="AO69" s="3571">
        <v>0</v>
      </c>
      <c r="AP69" s="3512"/>
      <c r="AS69" s="3416">
        <v>0</v>
      </c>
    </row>
    <row r="70" spans="1:45" ht="13" thickTop="1">
      <c r="A70" s="3512"/>
      <c r="B70" s="3512"/>
      <c r="C70" s="3512"/>
      <c r="D70" s="3512"/>
      <c r="E70" s="3512"/>
      <c r="F70" s="3512"/>
      <c r="G70" s="3512"/>
      <c r="H70" s="3512"/>
      <c r="I70" s="3512"/>
      <c r="J70" s="3512"/>
      <c r="K70" s="3512"/>
      <c r="L70" s="3512"/>
      <c r="M70" s="3512"/>
      <c r="N70" s="3512"/>
      <c r="O70" s="3512"/>
      <c r="P70" s="3512"/>
      <c r="Q70" s="3512"/>
      <c r="R70" s="3512"/>
      <c r="S70" s="3512"/>
      <c r="T70" s="3512"/>
      <c r="U70" s="3512"/>
      <c r="V70" s="3512"/>
      <c r="W70" s="3512"/>
      <c r="X70" s="3512"/>
      <c r="Y70" s="3512"/>
      <c r="Z70" s="3512"/>
      <c r="AA70" s="3512"/>
      <c r="AB70" s="3512"/>
      <c r="AC70" s="3512"/>
      <c r="AD70" s="3512"/>
      <c r="AE70" s="3512"/>
      <c r="AF70" s="3512"/>
      <c r="AG70" s="3512"/>
      <c r="AH70" s="3512"/>
      <c r="AI70" s="3512"/>
      <c r="AJ70" s="3512"/>
      <c r="AK70" s="3512"/>
      <c r="AL70" s="3512"/>
      <c r="AM70" s="3512"/>
      <c r="AN70" s="3512"/>
      <c r="AO70" s="3512"/>
      <c r="AP70" s="3512"/>
      <c r="AS70" s="3078"/>
    </row>
    <row r="71" spans="1:45" ht="13" thickBot="1">
      <c r="A71" s="3512"/>
      <c r="B71" s="3512"/>
      <c r="C71" s="3512"/>
      <c r="D71" s="3512"/>
      <c r="E71" s="3512"/>
      <c r="F71" s="3512"/>
      <c r="G71" s="3512"/>
      <c r="H71" s="3512"/>
      <c r="I71" s="3512"/>
      <c r="J71" s="3512"/>
      <c r="K71" s="3512"/>
      <c r="L71" s="3512"/>
      <c r="M71" s="3512"/>
      <c r="N71" s="3512"/>
      <c r="O71" s="3512"/>
      <c r="P71" s="3512"/>
      <c r="Q71" s="3512"/>
      <c r="R71" s="3512"/>
      <c r="S71" s="3512"/>
      <c r="T71" s="3512"/>
      <c r="U71" s="3512"/>
      <c r="V71" s="3512"/>
      <c r="W71" s="3512"/>
      <c r="X71" s="3512"/>
      <c r="Y71" s="3512"/>
      <c r="Z71" s="3512"/>
      <c r="AA71" s="3512"/>
      <c r="AB71" s="3512"/>
      <c r="AC71" s="3512"/>
      <c r="AD71" s="3512"/>
      <c r="AE71" s="3512"/>
      <c r="AF71" s="3512"/>
      <c r="AG71" s="3512"/>
      <c r="AH71" s="3512"/>
      <c r="AI71" s="3512"/>
      <c r="AJ71" s="3512"/>
      <c r="AK71" s="3512"/>
      <c r="AL71" s="3512"/>
      <c r="AM71" s="3512"/>
      <c r="AN71" s="3512"/>
      <c r="AO71" s="3512"/>
      <c r="AP71" s="3512"/>
      <c r="AS71" s="3078"/>
    </row>
    <row r="72" spans="1:45" ht="14" thickTop="1" thickBot="1">
      <c r="A72" s="3520" t="s">
        <v>389</v>
      </c>
      <c r="B72" s="3521"/>
      <c r="C72" s="3522" t="s">
        <v>707</v>
      </c>
      <c r="D72" s="3522" t="s">
        <v>561</v>
      </c>
      <c r="E72" s="3522" t="s">
        <v>708</v>
      </c>
      <c r="F72" s="3522" t="s">
        <v>709</v>
      </c>
      <c r="G72" s="3522" t="s">
        <v>710</v>
      </c>
      <c r="H72" s="3522" t="s">
        <v>711</v>
      </c>
      <c r="I72" s="3522" t="s">
        <v>712</v>
      </c>
      <c r="J72" s="3522" t="s">
        <v>713</v>
      </c>
      <c r="K72" s="3522" t="s">
        <v>390</v>
      </c>
      <c r="L72" s="3522" t="s">
        <v>391</v>
      </c>
      <c r="M72" s="3522" t="s">
        <v>392</v>
      </c>
      <c r="N72" s="3522" t="s">
        <v>393</v>
      </c>
      <c r="O72" s="3522" t="s">
        <v>714</v>
      </c>
      <c r="P72" s="3522" t="s">
        <v>394</v>
      </c>
      <c r="Q72" s="3522" t="s">
        <v>715</v>
      </c>
      <c r="R72" s="3522" t="s">
        <v>395</v>
      </c>
      <c r="S72" s="3522" t="s">
        <v>716</v>
      </c>
      <c r="T72" s="3522" t="s">
        <v>396</v>
      </c>
      <c r="U72" s="3522" t="s">
        <v>397</v>
      </c>
      <c r="V72" s="3522" t="s">
        <v>398</v>
      </c>
      <c r="W72" s="3522" t="s">
        <v>399</v>
      </c>
      <c r="X72" s="3522" t="s">
        <v>400</v>
      </c>
      <c r="Y72" s="3522" t="s">
        <v>717</v>
      </c>
      <c r="Z72" s="3522" t="s">
        <v>401</v>
      </c>
      <c r="AA72" s="3522" t="s">
        <v>402</v>
      </c>
      <c r="AB72" s="3522" t="s">
        <v>403</v>
      </c>
      <c r="AC72" s="3522" t="s">
        <v>718</v>
      </c>
      <c r="AD72" s="3522" t="s">
        <v>404</v>
      </c>
      <c r="AE72" s="3522" t="s">
        <v>405</v>
      </c>
      <c r="AF72" s="3522" t="s">
        <v>406</v>
      </c>
      <c r="AG72" s="3522" t="s">
        <v>407</v>
      </c>
      <c r="AH72" s="3522" t="s">
        <v>408</v>
      </c>
      <c r="AI72" s="3522" t="s">
        <v>409</v>
      </c>
      <c r="AJ72" s="3522" t="s">
        <v>410</v>
      </c>
      <c r="AK72" s="3522" t="s">
        <v>411</v>
      </c>
      <c r="AL72" s="3522" t="s">
        <v>412</v>
      </c>
      <c r="AM72" s="3522" t="s">
        <v>439</v>
      </c>
      <c r="AN72" s="3522" t="s">
        <v>440</v>
      </c>
      <c r="AO72" s="3523" t="s">
        <v>441</v>
      </c>
      <c r="AP72" s="3512"/>
      <c r="AS72" s="3079" t="s">
        <v>743</v>
      </c>
    </row>
    <row r="73" spans="1:45" ht="13">
      <c r="A73" s="3524" t="s">
        <v>427</v>
      </c>
      <c r="B73" s="3513" t="s">
        <v>413</v>
      </c>
      <c r="C73" s="3514" t="s">
        <v>414</v>
      </c>
      <c r="D73" s="3514" t="s">
        <v>414</v>
      </c>
      <c r="E73" s="3514" t="s">
        <v>414</v>
      </c>
      <c r="F73" s="3514" t="s">
        <v>414</v>
      </c>
      <c r="G73" s="3514" t="s">
        <v>414</v>
      </c>
      <c r="H73" s="3514" t="s">
        <v>414</v>
      </c>
      <c r="I73" s="3514" t="s">
        <v>414</v>
      </c>
      <c r="J73" s="3514" t="s">
        <v>414</v>
      </c>
      <c r="K73" s="3514" t="s">
        <v>414</v>
      </c>
      <c r="L73" s="3514" t="s">
        <v>414</v>
      </c>
      <c r="M73" s="3514" t="s">
        <v>414</v>
      </c>
      <c r="N73" s="3514" t="s">
        <v>414</v>
      </c>
      <c r="O73" s="3514" t="s">
        <v>414</v>
      </c>
      <c r="P73" s="3514" t="s">
        <v>414</v>
      </c>
      <c r="Q73" s="3514" t="s">
        <v>414</v>
      </c>
      <c r="R73" s="3514" t="s">
        <v>414</v>
      </c>
      <c r="S73" s="3514" t="s">
        <v>414</v>
      </c>
      <c r="T73" s="3514" t="s">
        <v>414</v>
      </c>
      <c r="U73" s="3514" t="s">
        <v>414</v>
      </c>
      <c r="V73" s="3514" t="s">
        <v>414</v>
      </c>
      <c r="W73" s="3514" t="s">
        <v>414</v>
      </c>
      <c r="X73" s="3514" t="s">
        <v>414</v>
      </c>
      <c r="Y73" s="3514" t="s">
        <v>414</v>
      </c>
      <c r="Z73" s="3514" t="s">
        <v>414</v>
      </c>
      <c r="AA73" s="3514" t="s">
        <v>414</v>
      </c>
      <c r="AB73" s="3514" t="s">
        <v>414</v>
      </c>
      <c r="AC73" s="3514" t="s">
        <v>414</v>
      </c>
      <c r="AD73" s="3514" t="s">
        <v>414</v>
      </c>
      <c r="AE73" s="3514" t="s">
        <v>414</v>
      </c>
      <c r="AF73" s="3514" t="s">
        <v>414</v>
      </c>
      <c r="AG73" s="3514" t="s">
        <v>414</v>
      </c>
      <c r="AH73" s="3514" t="s">
        <v>414</v>
      </c>
      <c r="AI73" s="3514" t="s">
        <v>414</v>
      </c>
      <c r="AJ73" s="3514" t="s">
        <v>414</v>
      </c>
      <c r="AK73" s="3514" t="s">
        <v>414</v>
      </c>
      <c r="AL73" s="3514" t="s">
        <v>414</v>
      </c>
      <c r="AM73" s="3514" t="s">
        <v>414</v>
      </c>
      <c r="AN73" s="3514" t="s">
        <v>414</v>
      </c>
      <c r="AO73" s="3525" t="s">
        <v>414</v>
      </c>
      <c r="AP73" s="3512"/>
      <c r="AS73" s="3080" t="s">
        <v>414</v>
      </c>
    </row>
    <row r="74" spans="1:45" ht="13">
      <c r="A74" s="3526" t="s">
        <v>415</v>
      </c>
      <c r="B74" s="3515" t="s">
        <v>416</v>
      </c>
      <c r="C74" s="3515" t="s">
        <v>719</v>
      </c>
      <c r="D74" s="3515" t="s">
        <v>720</v>
      </c>
      <c r="E74" s="3515" t="s">
        <v>445</v>
      </c>
      <c r="F74" s="3515" t="s">
        <v>719</v>
      </c>
      <c r="G74" s="3515" t="s">
        <v>445</v>
      </c>
      <c r="H74" s="3515" t="s">
        <v>721</v>
      </c>
      <c r="I74" s="3515" t="s">
        <v>442</v>
      </c>
      <c r="J74" s="3515" t="s">
        <v>445</v>
      </c>
      <c r="K74" s="3515" t="s">
        <v>722</v>
      </c>
      <c r="L74" s="3515" t="s">
        <v>445</v>
      </c>
      <c r="M74" s="3515" t="s">
        <v>445</v>
      </c>
      <c r="N74" s="3515" t="s">
        <v>444</v>
      </c>
      <c r="O74" s="3515" t="s">
        <v>442</v>
      </c>
      <c r="P74" s="3515" t="s">
        <v>446</v>
      </c>
      <c r="Q74" s="3515" t="s">
        <v>722</v>
      </c>
      <c r="R74" s="3515" t="s">
        <v>445</v>
      </c>
      <c r="S74" s="3515" t="s">
        <v>723</v>
      </c>
      <c r="T74" s="3515" t="s">
        <v>723</v>
      </c>
      <c r="U74" s="3515" t="s">
        <v>724</v>
      </c>
      <c r="V74" s="3515" t="s">
        <v>725</v>
      </c>
      <c r="W74" s="3515" t="s">
        <v>726</v>
      </c>
      <c r="X74" s="3515" t="s">
        <v>443</v>
      </c>
      <c r="Y74" s="3515" t="s">
        <v>726</v>
      </c>
      <c r="Z74" s="3515" t="s">
        <v>725</v>
      </c>
      <c r="AA74" s="3515" t="s">
        <v>291</v>
      </c>
      <c r="AB74" s="3515" t="s">
        <v>445</v>
      </c>
      <c r="AC74" s="3515" t="s">
        <v>291</v>
      </c>
      <c r="AD74" s="3515" t="s">
        <v>724</v>
      </c>
      <c r="AE74" s="3515" t="s">
        <v>443</v>
      </c>
      <c r="AF74" s="3515" t="s">
        <v>420</v>
      </c>
      <c r="AG74" s="3515" t="s">
        <v>420</v>
      </c>
      <c r="AH74" s="3515" t="s">
        <v>418</v>
      </c>
      <c r="AI74" s="3515" t="s">
        <v>727</v>
      </c>
      <c r="AJ74" s="3515" t="s">
        <v>728</v>
      </c>
      <c r="AK74" s="3515" t="s">
        <v>417</v>
      </c>
      <c r="AL74" s="3515" t="s">
        <v>445</v>
      </c>
      <c r="AM74" s="3515" t="s">
        <v>445</v>
      </c>
      <c r="AN74" s="3515" t="s">
        <v>729</v>
      </c>
      <c r="AO74" s="3527" t="s">
        <v>729</v>
      </c>
      <c r="AP74" s="3512"/>
      <c r="AS74" s="3081" t="s">
        <v>445</v>
      </c>
    </row>
    <row r="75" spans="1:45">
      <c r="A75" s="3575"/>
      <c r="B75" s="3516" t="s">
        <v>421</v>
      </c>
      <c r="C75" s="3516" t="s">
        <v>445</v>
      </c>
      <c r="D75" s="3516" t="s">
        <v>445</v>
      </c>
      <c r="E75" s="3516" t="s">
        <v>445</v>
      </c>
      <c r="F75" s="3516" t="s">
        <v>727</v>
      </c>
      <c r="G75" s="3516" t="s">
        <v>719</v>
      </c>
      <c r="H75" s="3516" t="s">
        <v>719</v>
      </c>
      <c r="I75" s="3516" t="s">
        <v>722</v>
      </c>
      <c r="J75" s="3516" t="s">
        <v>720</v>
      </c>
      <c r="K75" s="3516" t="s">
        <v>446</v>
      </c>
      <c r="L75" s="3516" t="s">
        <v>444</v>
      </c>
      <c r="M75" s="3516" t="s">
        <v>420</v>
      </c>
      <c r="N75" s="3516" t="s">
        <v>445</v>
      </c>
      <c r="O75" s="3516" t="s">
        <v>418</v>
      </c>
      <c r="P75" s="3516" t="s">
        <v>442</v>
      </c>
      <c r="Q75" s="3516" t="s">
        <v>723</v>
      </c>
      <c r="R75" s="3516" t="s">
        <v>443</v>
      </c>
      <c r="S75" s="3516" t="s">
        <v>445</v>
      </c>
      <c r="T75" s="3516" t="s">
        <v>724</v>
      </c>
      <c r="U75" s="3516" t="s">
        <v>725</v>
      </c>
      <c r="V75" s="3516" t="s">
        <v>726</v>
      </c>
      <c r="W75" s="3516" t="s">
        <v>725</v>
      </c>
      <c r="X75" s="3516" t="s">
        <v>445</v>
      </c>
      <c r="Y75" s="3516" t="s">
        <v>445</v>
      </c>
      <c r="Z75" s="3516" t="s">
        <v>291</v>
      </c>
      <c r="AA75" s="3516" t="s">
        <v>725</v>
      </c>
      <c r="AB75" s="3516" t="s">
        <v>443</v>
      </c>
      <c r="AC75" s="3516" t="s">
        <v>724</v>
      </c>
      <c r="AD75" s="3516" t="s">
        <v>721</v>
      </c>
      <c r="AE75" s="3516" t="s">
        <v>445</v>
      </c>
      <c r="AF75" s="3516" t="s">
        <v>442</v>
      </c>
      <c r="AG75" s="3516" t="s">
        <v>418</v>
      </c>
      <c r="AH75" s="3516" t="s">
        <v>445</v>
      </c>
      <c r="AI75" s="3516" t="s">
        <v>728</v>
      </c>
      <c r="AJ75" s="3516" t="s">
        <v>722</v>
      </c>
      <c r="AK75" s="3516" t="s">
        <v>445</v>
      </c>
      <c r="AL75" s="3516" t="s">
        <v>417</v>
      </c>
      <c r="AM75" s="3516" t="s">
        <v>729</v>
      </c>
      <c r="AN75" s="3516" t="s">
        <v>445</v>
      </c>
      <c r="AO75" s="3529" t="s">
        <v>445</v>
      </c>
      <c r="AP75" s="3512"/>
      <c r="AS75" s="3082" t="s">
        <v>445</v>
      </c>
    </row>
    <row r="76" spans="1:45" ht="13" thickBot="1">
      <c r="A76" s="3554" t="s">
        <v>71</v>
      </c>
      <c r="B76" s="3572" t="s">
        <v>72</v>
      </c>
      <c r="C76" s="3519"/>
      <c r="D76" s="3519"/>
      <c r="E76" s="3519"/>
      <c r="F76" s="3519"/>
      <c r="G76" s="3519"/>
      <c r="H76" s="3519"/>
      <c r="I76" s="3519"/>
      <c r="J76" s="3519"/>
      <c r="K76" s="3519"/>
      <c r="L76" s="3519"/>
      <c r="M76" s="3519"/>
      <c r="N76" s="3519"/>
      <c r="O76" s="3519"/>
      <c r="P76" s="3519"/>
      <c r="Q76" s="3519"/>
      <c r="R76" s="3519"/>
      <c r="S76" s="3519"/>
      <c r="T76" s="3519"/>
      <c r="U76" s="3519"/>
      <c r="V76" s="3519"/>
      <c r="W76" s="3519"/>
      <c r="X76" s="3519"/>
      <c r="Y76" s="3519"/>
      <c r="Z76" s="3519"/>
      <c r="AA76" s="3519"/>
      <c r="AB76" s="3519"/>
      <c r="AC76" s="3519"/>
      <c r="AD76" s="3519"/>
      <c r="AE76" s="3519"/>
      <c r="AF76" s="3519"/>
      <c r="AG76" s="3519"/>
      <c r="AH76" s="3519"/>
      <c r="AI76" s="3519"/>
      <c r="AJ76" s="3519"/>
      <c r="AK76" s="3519"/>
      <c r="AL76" s="3519"/>
      <c r="AM76" s="3519"/>
      <c r="AN76" s="3519"/>
      <c r="AO76" s="3530"/>
      <c r="AP76" s="3512"/>
      <c r="AS76" s="3083"/>
    </row>
    <row r="77" spans="1:45" ht="13" thickTop="1">
      <c r="A77" s="3531" t="s">
        <v>428</v>
      </c>
      <c r="B77" s="3573" t="s">
        <v>299</v>
      </c>
      <c r="C77" s="3576" t="s">
        <v>18</v>
      </c>
      <c r="D77" s="3558">
        <v>297.79225714807399</v>
      </c>
      <c r="E77" s="3534">
        <v>92</v>
      </c>
      <c r="F77" s="3558">
        <v>189.856273132453</v>
      </c>
      <c r="G77" s="3534">
        <v>80</v>
      </c>
      <c r="H77" s="3558">
        <v>190.76237172382901</v>
      </c>
      <c r="I77" s="3534">
        <v>110</v>
      </c>
      <c r="J77" s="3558">
        <v>297.79225714807399</v>
      </c>
      <c r="K77" s="3558">
        <v>139.17184527620799</v>
      </c>
      <c r="L77" s="3534">
        <v>50</v>
      </c>
      <c r="M77" s="3534">
        <v>90</v>
      </c>
      <c r="N77" s="3534">
        <v>80</v>
      </c>
      <c r="O77" s="3558">
        <v>118.47032866068101</v>
      </c>
      <c r="P77" s="3558">
        <v>139.17184527620699</v>
      </c>
      <c r="Q77" s="3558">
        <v>133.41691737553799</v>
      </c>
      <c r="R77" s="3534">
        <v>100</v>
      </c>
      <c r="S77" s="3558">
        <v>136.37430503778401</v>
      </c>
      <c r="T77" s="3558">
        <v>136.37430503778401</v>
      </c>
      <c r="U77" s="3534">
        <v>210</v>
      </c>
      <c r="V77" s="3558">
        <v>209.22368486519599</v>
      </c>
      <c r="W77" s="3558">
        <v>120.00013064572001</v>
      </c>
      <c r="X77" s="3534">
        <v>120</v>
      </c>
      <c r="Y77" s="3558">
        <v>120.00013064572001</v>
      </c>
      <c r="Z77" s="3558">
        <v>254.56080584638599</v>
      </c>
      <c r="AA77" s="3558">
        <v>256.27177708392298</v>
      </c>
      <c r="AB77" s="3534">
        <v>141</v>
      </c>
      <c r="AC77" s="3558">
        <v>256.27177708392298</v>
      </c>
      <c r="AD77" s="3558">
        <v>190.76237121990499</v>
      </c>
      <c r="AE77" s="3558">
        <v>119.87411291044801</v>
      </c>
      <c r="AF77" s="3535">
        <v>90</v>
      </c>
      <c r="AG77" s="3535">
        <v>90</v>
      </c>
      <c r="AH77" s="3558">
        <v>118.47032866068101</v>
      </c>
      <c r="AI77" s="3558">
        <v>192.686217615331</v>
      </c>
      <c r="AJ77" s="3534">
        <v>122</v>
      </c>
      <c r="AK77" s="3546">
        <v>-16.693717301568601</v>
      </c>
      <c r="AL77" s="3534">
        <v>100</v>
      </c>
      <c r="AM77" s="3534">
        <v>125</v>
      </c>
      <c r="AN77" s="3533">
        <v>125</v>
      </c>
      <c r="AO77" s="3540">
        <v>125</v>
      </c>
      <c r="AP77" s="3512"/>
      <c r="AS77" s="3411">
        <v>100</v>
      </c>
    </row>
    <row r="78" spans="1:45">
      <c r="A78" s="3541" t="s">
        <v>730</v>
      </c>
      <c r="B78" s="3574" t="s">
        <v>295</v>
      </c>
      <c r="C78" s="3535">
        <v>24</v>
      </c>
      <c r="D78" s="3546">
        <v>64.6959487755135</v>
      </c>
      <c r="E78" s="3561">
        <v>1014.69594877551</v>
      </c>
      <c r="F78" s="3535">
        <v>24</v>
      </c>
      <c r="G78" s="3534">
        <v>40</v>
      </c>
      <c r="H78" s="3535">
        <v>24</v>
      </c>
      <c r="I78" s="3535">
        <v>1009.7</v>
      </c>
      <c r="J78" s="3549">
        <v>64.6959487755135</v>
      </c>
      <c r="K78" s="3535">
        <v>1004.7</v>
      </c>
      <c r="L78" s="3534">
        <v>1000</v>
      </c>
      <c r="M78" s="3534">
        <v>1014.7</v>
      </c>
      <c r="N78" s="3535">
        <v>1000</v>
      </c>
      <c r="O78" s="3535">
        <v>999.7</v>
      </c>
      <c r="P78" s="3535">
        <v>1004.7</v>
      </c>
      <c r="Q78" s="3535">
        <v>1009.7</v>
      </c>
      <c r="R78" s="3563">
        <v>958.69594877551299</v>
      </c>
      <c r="S78" s="3549">
        <v>89.695948775513401</v>
      </c>
      <c r="T78" s="3546">
        <v>89.695948775513401</v>
      </c>
      <c r="U78" s="3546">
        <v>84.695948775513401</v>
      </c>
      <c r="V78" s="3535">
        <v>26</v>
      </c>
      <c r="W78" s="3535">
        <v>26</v>
      </c>
      <c r="X78" s="3563">
        <v>954.69594877551401</v>
      </c>
      <c r="Y78" s="3535">
        <v>26</v>
      </c>
      <c r="Z78" s="3535">
        <v>29</v>
      </c>
      <c r="AA78" s="3535">
        <v>29</v>
      </c>
      <c r="AB78" s="3563">
        <v>952.69594877551299</v>
      </c>
      <c r="AC78" s="3535">
        <v>29</v>
      </c>
      <c r="AD78" s="3535">
        <v>24</v>
      </c>
      <c r="AE78" s="3563">
        <v>949.69594877551299</v>
      </c>
      <c r="AF78" s="3535">
        <v>1014.7</v>
      </c>
      <c r="AG78" s="3535">
        <v>1014.7</v>
      </c>
      <c r="AH78" s="3535">
        <v>999.7</v>
      </c>
      <c r="AI78" s="3561">
        <v>1014.69594877551</v>
      </c>
      <c r="AJ78" s="3562">
        <v>1014.69594877551</v>
      </c>
      <c r="AK78" s="3534">
        <v>15</v>
      </c>
      <c r="AL78" s="3561">
        <v>1224.69594877551</v>
      </c>
      <c r="AM78" s="3534">
        <v>100</v>
      </c>
      <c r="AN78" s="3533">
        <v>100</v>
      </c>
      <c r="AO78" s="3540">
        <v>100</v>
      </c>
      <c r="AP78" s="3512"/>
      <c r="AS78" s="3411">
        <v>100</v>
      </c>
    </row>
    <row r="79" spans="1:45">
      <c r="A79" s="3541" t="s">
        <v>20</v>
      </c>
      <c r="B79" s="3574" t="s">
        <v>429</v>
      </c>
      <c r="C79" s="3546">
        <v>31.2414565659342</v>
      </c>
      <c r="D79" s="3546">
        <v>18.015280000000001</v>
      </c>
      <c r="E79" s="3546">
        <v>22.468191118700702</v>
      </c>
      <c r="F79" s="3546">
        <v>31.076569997107899</v>
      </c>
      <c r="G79" s="3546">
        <v>18.157883378047799</v>
      </c>
      <c r="H79" s="3546">
        <v>31.2414565659342</v>
      </c>
      <c r="I79" s="3546">
        <v>22.566297468483</v>
      </c>
      <c r="J79" s="3546">
        <v>18.015280000000001</v>
      </c>
      <c r="K79" s="3546">
        <v>22.104606071031299</v>
      </c>
      <c r="L79" s="3546">
        <v>23.134659384236901</v>
      </c>
      <c r="M79" s="3546">
        <v>22.566297468483</v>
      </c>
      <c r="N79" s="3546">
        <v>23.134659384236901</v>
      </c>
      <c r="O79" s="3546">
        <v>22.104606071031299</v>
      </c>
      <c r="P79" s="3546">
        <v>22.104606071031299</v>
      </c>
      <c r="Q79" s="3546">
        <v>31.893019775535201</v>
      </c>
      <c r="R79" s="3546">
        <v>23.138239052806099</v>
      </c>
      <c r="S79" s="3546">
        <v>21.989801519026699</v>
      </c>
      <c r="T79" s="3546">
        <v>31.906955682873502</v>
      </c>
      <c r="U79" s="3546">
        <v>31.906955682873502</v>
      </c>
      <c r="V79" s="3546">
        <v>30.015079884167399</v>
      </c>
      <c r="W79" s="3546">
        <v>18.030626518599899</v>
      </c>
      <c r="X79" s="3546">
        <v>23.138239052806099</v>
      </c>
      <c r="Y79" s="3546">
        <v>42.233702993060298</v>
      </c>
      <c r="Z79" s="3546">
        <v>28.535986553712299</v>
      </c>
      <c r="AA79" s="3546">
        <v>18.259745335683899</v>
      </c>
      <c r="AB79" s="3546">
        <v>22.6855539931958</v>
      </c>
      <c r="AC79" s="3546">
        <v>31.241458425304</v>
      </c>
      <c r="AD79" s="3546">
        <v>31.241458425304</v>
      </c>
      <c r="AE79" s="3546">
        <v>22.6855539931958</v>
      </c>
      <c r="AF79" s="3546">
        <v>22.566297468483</v>
      </c>
      <c r="AG79" s="3546">
        <v>22.566297468483</v>
      </c>
      <c r="AH79" s="3546">
        <v>22.104606071031299</v>
      </c>
      <c r="AI79" s="3546">
        <v>31.076569997107899</v>
      </c>
      <c r="AJ79" s="3546">
        <v>31.076569997107899</v>
      </c>
      <c r="AK79" s="3546">
        <v>22.681108794413898</v>
      </c>
      <c r="AL79" s="3546">
        <v>22.681108794413898</v>
      </c>
      <c r="AM79" s="3546">
        <v>31.048579420698399</v>
      </c>
      <c r="AN79" s="3539" t="s">
        <v>18</v>
      </c>
      <c r="AO79" s="3552">
        <v>31.048579420698399</v>
      </c>
      <c r="AP79" s="3512"/>
      <c r="AS79" s="3412">
        <v>16.460402174870701</v>
      </c>
    </row>
    <row r="80" spans="1:45">
      <c r="A80" s="3541" t="s">
        <v>425</v>
      </c>
      <c r="B80" s="3574" t="s">
        <v>426</v>
      </c>
      <c r="C80" s="3535">
        <v>0</v>
      </c>
      <c r="D80" s="3535">
        <v>46800</v>
      </c>
      <c r="E80" s="3560">
        <v>616741.90412639698</v>
      </c>
      <c r="F80" s="3560">
        <v>296026.81054843601</v>
      </c>
      <c r="G80" s="3562">
        <v>2179.8273760693401</v>
      </c>
      <c r="H80" s="3560">
        <v>293846.98317236698</v>
      </c>
      <c r="I80" s="3560">
        <v>619434.88001626602</v>
      </c>
      <c r="J80" s="3534">
        <v>46800</v>
      </c>
      <c r="K80" s="3560">
        <v>595705.416441818</v>
      </c>
      <c r="L80" s="3560">
        <v>508028.93048472598</v>
      </c>
      <c r="M80" s="3560">
        <v>619434.88001626602</v>
      </c>
      <c r="N80" s="3560">
        <v>508028.93048472598</v>
      </c>
      <c r="O80" s="3560">
        <v>595705.416441818</v>
      </c>
      <c r="P80" s="3560">
        <v>595705.416441818</v>
      </c>
      <c r="Q80" s="3560">
        <v>319756.27412288397</v>
      </c>
      <c r="R80" s="3534">
        <v>511822</v>
      </c>
      <c r="S80" s="3558">
        <v>309.80821361263099</v>
      </c>
      <c r="T80" s="3560">
        <v>319446.46590927202</v>
      </c>
      <c r="U80" s="3560">
        <v>319446.46590927202</v>
      </c>
      <c r="V80" s="3557">
        <v>36742.144304957699</v>
      </c>
      <c r="W80" s="3557">
        <v>11142.624838228099</v>
      </c>
      <c r="X80" s="3535">
        <v>511822</v>
      </c>
      <c r="Y80" s="3557">
        <v>25599.5194667295</v>
      </c>
      <c r="Z80" s="3560">
        <v>339063.072167076</v>
      </c>
      <c r="AA80" s="3557">
        <v>45216.124270569198</v>
      </c>
      <c r="AB80" s="3534">
        <v>497681</v>
      </c>
      <c r="AC80" s="3560">
        <v>293846.94789650699</v>
      </c>
      <c r="AD80" s="3560">
        <v>293846.94789650699</v>
      </c>
      <c r="AE80" s="3535">
        <v>497681</v>
      </c>
      <c r="AF80" s="3560">
        <v>619434.88001626602</v>
      </c>
      <c r="AG80" s="3535">
        <v>0</v>
      </c>
      <c r="AH80" s="3560">
        <v>595705.416441818</v>
      </c>
      <c r="AI80" s="3560">
        <v>296026.81054843601</v>
      </c>
      <c r="AJ80" s="3560">
        <v>296026.81054843601</v>
      </c>
      <c r="AK80" s="3560">
        <v>498069.12008762499</v>
      </c>
      <c r="AL80" s="3560">
        <v>498069.12008762499</v>
      </c>
      <c r="AM80" s="3560">
        <v>271410.90395886701</v>
      </c>
      <c r="AN80" s="3533">
        <v>0</v>
      </c>
      <c r="AO80" s="3564">
        <v>271410.90395886701</v>
      </c>
      <c r="AP80" s="3512"/>
      <c r="AS80" s="3424">
        <v>1001.1554145897099</v>
      </c>
    </row>
    <row r="81" spans="1:45">
      <c r="A81" s="3541" t="s">
        <v>430</v>
      </c>
      <c r="B81" s="3574" t="s">
        <v>57</v>
      </c>
      <c r="C81" s="3535">
        <v>0</v>
      </c>
      <c r="D81" s="3546">
        <v>23.6597143733709</v>
      </c>
      <c r="E81" s="3534">
        <v>250</v>
      </c>
      <c r="F81" s="3546">
        <v>86.756620901746402</v>
      </c>
      <c r="G81" s="3544">
        <v>1.0933558698393799</v>
      </c>
      <c r="H81" s="3546">
        <v>85.663265031907002</v>
      </c>
      <c r="I81" s="3535">
        <v>250</v>
      </c>
      <c r="J81" s="3546">
        <v>23.6597143733709</v>
      </c>
      <c r="K81" s="3558">
        <v>245.44457081640601</v>
      </c>
      <c r="L81" s="3534">
        <v>200</v>
      </c>
      <c r="M81" s="3534">
        <v>250</v>
      </c>
      <c r="N81" s="3535">
        <v>200</v>
      </c>
      <c r="O81" s="3558">
        <v>245.44457081640601</v>
      </c>
      <c r="P81" s="3558">
        <v>245.44457081640601</v>
      </c>
      <c r="Q81" s="3546">
        <v>91.312050085339905</v>
      </c>
      <c r="R81" s="3558">
        <v>201.46207681543299</v>
      </c>
      <c r="S81" s="3545">
        <v>0.12831466041907599</v>
      </c>
      <c r="T81" s="3546">
        <v>91.183735424920897</v>
      </c>
      <c r="U81" s="3546">
        <v>91.183735424920897</v>
      </c>
      <c r="V81" s="3546">
        <v>11.1488393055371</v>
      </c>
      <c r="W81" s="3544">
        <v>5.6283533095355498</v>
      </c>
      <c r="X81" s="3558">
        <v>201.46207681543299</v>
      </c>
      <c r="Y81" s="3544">
        <v>5.52048599600157</v>
      </c>
      <c r="Z81" s="3558">
        <v>108.21619556064699</v>
      </c>
      <c r="AA81" s="3546">
        <v>22.552945910820799</v>
      </c>
      <c r="AB81" s="3558">
        <v>199.80499096182601</v>
      </c>
      <c r="AC81" s="3546">
        <v>85.663249649826298</v>
      </c>
      <c r="AD81" s="3546">
        <v>85.663249649826298</v>
      </c>
      <c r="AE81" s="3558">
        <v>199.80499096182601</v>
      </c>
      <c r="AF81" s="3535">
        <v>250</v>
      </c>
      <c r="AG81" s="3534">
        <v>0</v>
      </c>
      <c r="AH81" s="3558">
        <v>245.44457081640601</v>
      </c>
      <c r="AI81" s="3546">
        <v>86.756620901746402</v>
      </c>
      <c r="AJ81" s="3546">
        <v>86.756620901746402</v>
      </c>
      <c r="AK81" s="3535">
        <v>200</v>
      </c>
      <c r="AL81" s="3534">
        <v>200</v>
      </c>
      <c r="AM81" s="3546">
        <v>79.614141763914901</v>
      </c>
      <c r="AN81" s="3533">
        <v>0</v>
      </c>
      <c r="AO81" s="3552">
        <v>79.614141763914901</v>
      </c>
      <c r="AP81" s="3512"/>
      <c r="AS81" s="3421">
        <v>0.55394381701898399</v>
      </c>
    </row>
    <row r="82" spans="1:45">
      <c r="A82" s="3541" t="s">
        <v>431</v>
      </c>
      <c r="B82" s="3574" t="s">
        <v>432</v>
      </c>
      <c r="C82" s="3535">
        <v>0</v>
      </c>
      <c r="D82" s="3546">
        <v>93.556589742359606</v>
      </c>
      <c r="E82" s="3562">
        <v>3373.7840798259199</v>
      </c>
      <c r="F82" s="3534">
        <v>600</v>
      </c>
      <c r="G82" s="3544">
        <v>4.3689053460860299</v>
      </c>
      <c r="H82" s="3558">
        <v>595.63109465391403</v>
      </c>
      <c r="I82" s="3562">
        <v>3394.2087209663</v>
      </c>
      <c r="J82" s="3546">
        <v>93.556589742359606</v>
      </c>
      <c r="K82" s="3562">
        <v>3334.4843931400101</v>
      </c>
      <c r="L82" s="3562">
        <v>2728.0994029939998</v>
      </c>
      <c r="M82" s="3562">
        <v>3394.2087209663</v>
      </c>
      <c r="N82" s="3562">
        <v>2728.0994029939998</v>
      </c>
      <c r="O82" s="3562">
        <v>3334.4843931400101</v>
      </c>
      <c r="P82" s="3562">
        <v>3334.4843931400101</v>
      </c>
      <c r="Q82" s="3558">
        <v>659.72432782629596</v>
      </c>
      <c r="R82" s="3562">
        <v>2749.4073589977102</v>
      </c>
      <c r="S82" s="3544">
        <v>1.67384374888942</v>
      </c>
      <c r="T82" s="3558">
        <v>658.05048407740696</v>
      </c>
      <c r="U82" s="3558">
        <v>658.05048407740696</v>
      </c>
      <c r="V82" s="3546">
        <v>84.701554104197101</v>
      </c>
      <c r="W82" s="3546">
        <v>22.2820881149865</v>
      </c>
      <c r="X82" s="3562">
        <v>2749.4073589977102</v>
      </c>
      <c r="Y82" s="3546">
        <v>62.4194659892106</v>
      </c>
      <c r="Z82" s="3558">
        <v>686.40822815768604</v>
      </c>
      <c r="AA82" s="3546">
        <v>90.777206429290501</v>
      </c>
      <c r="AB82" s="3562">
        <v>2731.5731706619199</v>
      </c>
      <c r="AC82" s="3558">
        <v>595.63102172839501</v>
      </c>
      <c r="AD82" s="3558">
        <v>595.63102172839501</v>
      </c>
      <c r="AE82" s="3562">
        <v>2731.5731706619199</v>
      </c>
      <c r="AF82" s="3562">
        <v>3394.2087209663</v>
      </c>
      <c r="AG82" s="3535">
        <v>0</v>
      </c>
      <c r="AH82" s="3562">
        <v>3334.4843931400101</v>
      </c>
      <c r="AI82" s="3535">
        <v>600</v>
      </c>
      <c r="AJ82" s="3535">
        <v>600</v>
      </c>
      <c r="AK82" s="3562">
        <v>2732.66185966178</v>
      </c>
      <c r="AL82" s="3562">
        <v>2732.66185966178</v>
      </c>
      <c r="AM82" s="3534">
        <v>550</v>
      </c>
      <c r="AN82" s="3533">
        <v>0</v>
      </c>
      <c r="AO82" s="3540">
        <v>550</v>
      </c>
      <c r="AP82" s="3512"/>
      <c r="AS82" s="3413">
        <v>6.59903783809174</v>
      </c>
    </row>
    <row r="83" spans="1:45">
      <c r="A83" s="3541" t="s">
        <v>731</v>
      </c>
      <c r="B83" s="3574" t="s">
        <v>434</v>
      </c>
      <c r="C83" s="3558">
        <v>489.85012567014002</v>
      </c>
      <c r="D83" s="3535">
        <v>0</v>
      </c>
      <c r="E83" s="3562">
        <v>1148.94930286166</v>
      </c>
      <c r="F83" s="3558">
        <v>483.75454789752899</v>
      </c>
      <c r="G83" s="3544">
        <v>6.1725376280471904</v>
      </c>
      <c r="H83" s="3558">
        <v>489.85012567014002</v>
      </c>
      <c r="I83" s="3562">
        <v>1163.5154768309401</v>
      </c>
      <c r="J83" s="3535">
        <v>0</v>
      </c>
      <c r="K83" s="3562">
        <v>1184.5263521633301</v>
      </c>
      <c r="L83" s="3562">
        <v>1181.11661149065</v>
      </c>
      <c r="M83" s="3562">
        <v>1163.5154768309401</v>
      </c>
      <c r="N83" s="3562">
        <v>1181.11661149065</v>
      </c>
      <c r="O83" s="3562">
        <v>1184.5263521633301</v>
      </c>
      <c r="P83" s="3562">
        <v>1184.5263521633301</v>
      </c>
      <c r="Q83" s="3558">
        <v>461.190138238781</v>
      </c>
      <c r="R83" s="3562">
        <v>1181.9424940230299</v>
      </c>
      <c r="S83" s="3562">
        <v>1033.38510701171</v>
      </c>
      <c r="T83" s="3558">
        <v>460.38493978129799</v>
      </c>
      <c r="U83" s="3558">
        <v>460.38493978129799</v>
      </c>
      <c r="V83" s="3544">
        <v>1.56740273750346</v>
      </c>
      <c r="W83" s="3538">
        <v>2.9418942239310499E-3</v>
      </c>
      <c r="X83" s="3562">
        <v>1181.9424940230299</v>
      </c>
      <c r="Y83" s="3544">
        <v>3.1624323003514898</v>
      </c>
      <c r="Z83" s="3558">
        <v>389.37074563146302</v>
      </c>
      <c r="AA83" s="3544">
        <v>7.7178588143297997</v>
      </c>
      <c r="AB83" s="3562">
        <v>1205.37887925269</v>
      </c>
      <c r="AC83" s="3558">
        <v>489.850203838813</v>
      </c>
      <c r="AD83" s="3558">
        <v>489.850203838813</v>
      </c>
      <c r="AE83" s="3562">
        <v>1205.37887925269</v>
      </c>
      <c r="AF83" s="3562">
        <v>1163.5154768309401</v>
      </c>
      <c r="AG83" s="3562">
        <v>1163.5154768309401</v>
      </c>
      <c r="AH83" s="3562">
        <v>1184.5263521633301</v>
      </c>
      <c r="AI83" s="3558">
        <v>483.75454789752899</v>
      </c>
      <c r="AJ83" s="3558">
        <v>483.75454789752899</v>
      </c>
      <c r="AK83" s="3562">
        <v>1204.4373904515601</v>
      </c>
      <c r="AL83" s="3562">
        <v>1204.4373904515601</v>
      </c>
      <c r="AM83" s="3558">
        <v>483.318807182765</v>
      </c>
      <c r="AN83" s="3539" t="s">
        <v>18</v>
      </c>
      <c r="AO83" s="3579">
        <v>483.318807182765</v>
      </c>
      <c r="AP83" s="3512"/>
      <c r="AS83" s="3417">
        <v>930.131839687043</v>
      </c>
    </row>
    <row r="84" spans="1:45" ht="13" thickBot="1">
      <c r="A84" s="3566" t="s">
        <v>433</v>
      </c>
      <c r="B84" s="3580" t="s">
        <v>434</v>
      </c>
      <c r="C84" s="3581">
        <v>576.65708555561002</v>
      </c>
      <c r="D84" s="3568">
        <v>50.31</v>
      </c>
      <c r="E84" s="3582">
        <v>1265.07086872945</v>
      </c>
      <c r="F84" s="3581">
        <v>570.10673801672306</v>
      </c>
      <c r="G84" s="3583">
        <v>56.894002114750499</v>
      </c>
      <c r="H84" s="3581">
        <v>576.65708555561002</v>
      </c>
      <c r="I84" s="3582">
        <v>1280.9010101342101</v>
      </c>
      <c r="J84" s="3568">
        <v>50.31</v>
      </c>
      <c r="K84" s="3582">
        <v>1304.1784095957501</v>
      </c>
      <c r="L84" s="3582">
        <v>1299.56068150632</v>
      </c>
      <c r="M84" s="3582">
        <v>1280.9010101342101</v>
      </c>
      <c r="N84" s="3582">
        <v>1299.56068150632</v>
      </c>
      <c r="O84" s="3582">
        <v>1304.1784095957501</v>
      </c>
      <c r="P84" s="3582">
        <v>1304.1784095957501</v>
      </c>
      <c r="Q84" s="3581">
        <v>542.99817624956495</v>
      </c>
      <c r="R84" s="3582">
        <v>1300.4342060223501</v>
      </c>
      <c r="S84" s="3582">
        <v>1140.78147311522</v>
      </c>
      <c r="T84" s="3581">
        <v>542.15696964200401</v>
      </c>
      <c r="U84" s="3581">
        <v>542.15696964200401</v>
      </c>
      <c r="V84" s="3583">
        <v>28.754937830521499</v>
      </c>
      <c r="W84" s="3583">
        <v>50.283573475745598</v>
      </c>
      <c r="X84" s="3582">
        <v>1300.4342060223501</v>
      </c>
      <c r="Y84" s="3584">
        <v>6.8056442771379304</v>
      </c>
      <c r="Z84" s="3581">
        <v>468.65425013237501</v>
      </c>
      <c r="AA84" s="3583">
        <v>58.424866757024297</v>
      </c>
      <c r="AB84" s="3582">
        <v>1326.2976346529399</v>
      </c>
      <c r="AC84" s="3581">
        <v>576.65717007895</v>
      </c>
      <c r="AD84" s="3581">
        <v>576.65717007895</v>
      </c>
      <c r="AE84" s="3582">
        <v>1326.2976346529399</v>
      </c>
      <c r="AF84" s="3582">
        <v>1280.9010101342101</v>
      </c>
      <c r="AG84" s="3582">
        <v>1280.9010101342101</v>
      </c>
      <c r="AH84" s="3582">
        <v>1304.1784095957501</v>
      </c>
      <c r="AI84" s="3581">
        <v>570.10673801672306</v>
      </c>
      <c r="AJ84" s="3581">
        <v>570.10673801672306</v>
      </c>
      <c r="AK84" s="3582">
        <v>1325.3033179405199</v>
      </c>
      <c r="AL84" s="3582">
        <v>1325.3033179405199</v>
      </c>
      <c r="AM84" s="3581">
        <v>569.66993780530697</v>
      </c>
      <c r="AN84" s="3570" t="s">
        <v>18</v>
      </c>
      <c r="AO84" s="3585">
        <v>569.66993780530697</v>
      </c>
      <c r="AP84" s="3512"/>
      <c r="AS84" s="3425">
        <v>1032.1933366272499</v>
      </c>
    </row>
    <row r="85" spans="1:45" ht="13" thickTop="1">
      <c r="A85" s="3512"/>
      <c r="B85" s="3512"/>
      <c r="C85" s="3512"/>
      <c r="D85" s="3512"/>
      <c r="E85" s="3512"/>
      <c r="F85" s="3512"/>
      <c r="G85" s="3512"/>
      <c r="H85" s="3512"/>
      <c r="I85" s="3512"/>
      <c r="J85" s="3512"/>
      <c r="K85" s="3512"/>
      <c r="L85" s="3512"/>
      <c r="M85" s="3512"/>
      <c r="N85" s="3512"/>
      <c r="O85" s="3512"/>
      <c r="P85" s="3512"/>
      <c r="Q85" s="3512"/>
      <c r="R85" s="3512"/>
      <c r="S85" s="3512"/>
      <c r="T85" s="3512"/>
      <c r="U85" s="3512"/>
      <c r="V85" s="3512"/>
      <c r="W85" s="3512"/>
      <c r="X85" s="3512"/>
      <c r="Y85" s="3512"/>
      <c r="Z85" s="3512"/>
      <c r="AA85" s="3512"/>
      <c r="AB85" s="3512"/>
      <c r="AC85" s="3512"/>
      <c r="AD85" s="3512"/>
      <c r="AE85" s="3512"/>
      <c r="AF85" s="3512"/>
      <c r="AG85" s="3512"/>
      <c r="AH85" s="3512"/>
      <c r="AI85" s="3512"/>
      <c r="AJ85" s="3512"/>
      <c r="AK85" s="3512"/>
      <c r="AL85" s="3512"/>
      <c r="AM85" s="3512"/>
      <c r="AN85" s="3512"/>
      <c r="AO85" s="3512"/>
      <c r="AP85" s="3512"/>
      <c r="AS85" s="3078"/>
    </row>
    <row r="86" spans="1:45" ht="13" thickBot="1">
      <c r="A86" s="3512"/>
      <c r="B86" s="3512"/>
      <c r="C86" s="3512"/>
      <c r="D86" s="3512"/>
      <c r="E86" s="3512"/>
      <c r="F86" s="3512"/>
      <c r="G86" s="3512"/>
      <c r="H86" s="3512"/>
      <c r="I86" s="3512"/>
      <c r="J86" s="3512"/>
      <c r="K86" s="3512"/>
      <c r="L86" s="3512"/>
      <c r="M86" s="3512"/>
      <c r="N86" s="3512"/>
      <c r="O86" s="3512"/>
      <c r="P86" s="3512"/>
      <c r="Q86" s="3512"/>
      <c r="R86" s="3512"/>
      <c r="S86" s="3512"/>
      <c r="T86" s="3512"/>
      <c r="U86" s="3512"/>
      <c r="V86" s="3512"/>
      <c r="W86" s="3512"/>
      <c r="X86" s="3512"/>
      <c r="Y86" s="3512"/>
      <c r="Z86" s="3512"/>
      <c r="AA86" s="3512"/>
      <c r="AB86" s="3512"/>
      <c r="AC86" s="3512"/>
      <c r="AD86" s="3512"/>
      <c r="AE86" s="3512"/>
      <c r="AF86" s="3512"/>
      <c r="AG86" s="3512"/>
      <c r="AH86" s="3512"/>
      <c r="AI86" s="3512"/>
      <c r="AJ86" s="3512"/>
      <c r="AK86" s="3512"/>
      <c r="AL86" s="3512"/>
      <c r="AM86" s="3512"/>
      <c r="AN86" s="3512"/>
      <c r="AO86" s="3512"/>
      <c r="AP86" s="3512"/>
      <c r="AS86" s="3078"/>
    </row>
    <row r="87" spans="1:45" ht="14" thickTop="1" thickBot="1">
      <c r="A87" s="3520" t="s">
        <v>389</v>
      </c>
      <c r="B87" s="3521"/>
      <c r="C87" s="3522" t="s">
        <v>707</v>
      </c>
      <c r="D87" s="3522" t="s">
        <v>561</v>
      </c>
      <c r="E87" s="3522" t="s">
        <v>708</v>
      </c>
      <c r="F87" s="3522" t="s">
        <v>709</v>
      </c>
      <c r="G87" s="3522" t="s">
        <v>710</v>
      </c>
      <c r="H87" s="3522" t="s">
        <v>711</v>
      </c>
      <c r="I87" s="3522" t="s">
        <v>712</v>
      </c>
      <c r="J87" s="3522" t="s">
        <v>713</v>
      </c>
      <c r="K87" s="3522" t="s">
        <v>390</v>
      </c>
      <c r="L87" s="3522" t="s">
        <v>391</v>
      </c>
      <c r="M87" s="3522" t="s">
        <v>392</v>
      </c>
      <c r="N87" s="3522" t="s">
        <v>393</v>
      </c>
      <c r="O87" s="3522" t="s">
        <v>714</v>
      </c>
      <c r="P87" s="3522" t="s">
        <v>394</v>
      </c>
      <c r="Q87" s="3522" t="s">
        <v>715</v>
      </c>
      <c r="R87" s="3522" t="s">
        <v>395</v>
      </c>
      <c r="S87" s="3522" t="s">
        <v>716</v>
      </c>
      <c r="T87" s="3522" t="s">
        <v>396</v>
      </c>
      <c r="U87" s="3522" t="s">
        <v>397</v>
      </c>
      <c r="V87" s="3522" t="s">
        <v>398</v>
      </c>
      <c r="W87" s="3522" t="s">
        <v>399</v>
      </c>
      <c r="X87" s="3522" t="s">
        <v>400</v>
      </c>
      <c r="Y87" s="3522" t="s">
        <v>717</v>
      </c>
      <c r="Z87" s="3522" t="s">
        <v>401</v>
      </c>
      <c r="AA87" s="3522" t="s">
        <v>402</v>
      </c>
      <c r="AB87" s="3522" t="s">
        <v>403</v>
      </c>
      <c r="AC87" s="3522" t="s">
        <v>718</v>
      </c>
      <c r="AD87" s="3522" t="s">
        <v>404</v>
      </c>
      <c r="AE87" s="3522" t="s">
        <v>405</v>
      </c>
      <c r="AF87" s="3522" t="s">
        <v>406</v>
      </c>
      <c r="AG87" s="3522" t="s">
        <v>407</v>
      </c>
      <c r="AH87" s="3522" t="s">
        <v>408</v>
      </c>
      <c r="AI87" s="3522" t="s">
        <v>409</v>
      </c>
      <c r="AJ87" s="3522" t="s">
        <v>410</v>
      </c>
      <c r="AK87" s="3522" t="s">
        <v>411</v>
      </c>
      <c r="AL87" s="3522" t="s">
        <v>412</v>
      </c>
      <c r="AM87" s="3522" t="s">
        <v>439</v>
      </c>
      <c r="AN87" s="3522" t="s">
        <v>440</v>
      </c>
      <c r="AO87" s="3523" t="s">
        <v>441</v>
      </c>
      <c r="AP87" s="3512"/>
      <c r="AS87" s="3079" t="s">
        <v>743</v>
      </c>
    </row>
    <row r="88" spans="1:45" ht="13">
      <c r="A88" s="3524" t="s">
        <v>96</v>
      </c>
      <c r="B88" s="3513" t="s">
        <v>413</v>
      </c>
      <c r="C88" s="3514" t="s">
        <v>414</v>
      </c>
      <c r="D88" s="3514" t="s">
        <v>414</v>
      </c>
      <c r="E88" s="3514" t="s">
        <v>414</v>
      </c>
      <c r="F88" s="3514" t="s">
        <v>414</v>
      </c>
      <c r="G88" s="3514" t="s">
        <v>414</v>
      </c>
      <c r="H88" s="3514" t="s">
        <v>414</v>
      </c>
      <c r="I88" s="3514" t="s">
        <v>414</v>
      </c>
      <c r="J88" s="3514" t="s">
        <v>414</v>
      </c>
      <c r="K88" s="3514" t="s">
        <v>414</v>
      </c>
      <c r="L88" s="3514" t="s">
        <v>414</v>
      </c>
      <c r="M88" s="3514" t="s">
        <v>414</v>
      </c>
      <c r="N88" s="3514" t="s">
        <v>414</v>
      </c>
      <c r="O88" s="3514" t="s">
        <v>414</v>
      </c>
      <c r="P88" s="3514" t="s">
        <v>414</v>
      </c>
      <c r="Q88" s="3514" t="s">
        <v>414</v>
      </c>
      <c r="R88" s="3514" t="s">
        <v>414</v>
      </c>
      <c r="S88" s="3514" t="s">
        <v>414</v>
      </c>
      <c r="T88" s="3514" t="s">
        <v>414</v>
      </c>
      <c r="U88" s="3514" t="s">
        <v>414</v>
      </c>
      <c r="V88" s="3514" t="s">
        <v>414</v>
      </c>
      <c r="W88" s="3514" t="s">
        <v>414</v>
      </c>
      <c r="X88" s="3514" t="s">
        <v>414</v>
      </c>
      <c r="Y88" s="3514" t="s">
        <v>414</v>
      </c>
      <c r="Z88" s="3514" t="s">
        <v>414</v>
      </c>
      <c r="AA88" s="3514" t="s">
        <v>414</v>
      </c>
      <c r="AB88" s="3514" t="s">
        <v>414</v>
      </c>
      <c r="AC88" s="3514" t="s">
        <v>414</v>
      </c>
      <c r="AD88" s="3514" t="s">
        <v>414</v>
      </c>
      <c r="AE88" s="3514" t="s">
        <v>414</v>
      </c>
      <c r="AF88" s="3514" t="s">
        <v>414</v>
      </c>
      <c r="AG88" s="3514" t="s">
        <v>414</v>
      </c>
      <c r="AH88" s="3514" t="s">
        <v>414</v>
      </c>
      <c r="AI88" s="3514" t="s">
        <v>414</v>
      </c>
      <c r="AJ88" s="3514" t="s">
        <v>414</v>
      </c>
      <c r="AK88" s="3514" t="s">
        <v>414</v>
      </c>
      <c r="AL88" s="3514" t="s">
        <v>414</v>
      </c>
      <c r="AM88" s="3514" t="s">
        <v>414</v>
      </c>
      <c r="AN88" s="3514" t="s">
        <v>414</v>
      </c>
      <c r="AO88" s="3525" t="s">
        <v>414</v>
      </c>
      <c r="AP88" s="3512"/>
      <c r="AS88" s="3080" t="s">
        <v>414</v>
      </c>
    </row>
    <row r="89" spans="1:45" ht="13">
      <c r="A89" s="3526" t="s">
        <v>435</v>
      </c>
      <c r="B89" s="3515" t="s">
        <v>416</v>
      </c>
      <c r="C89" s="3515" t="s">
        <v>719</v>
      </c>
      <c r="D89" s="3515" t="s">
        <v>720</v>
      </c>
      <c r="E89" s="3515" t="s">
        <v>445</v>
      </c>
      <c r="F89" s="3515" t="s">
        <v>719</v>
      </c>
      <c r="G89" s="3515" t="s">
        <v>445</v>
      </c>
      <c r="H89" s="3515" t="s">
        <v>721</v>
      </c>
      <c r="I89" s="3515" t="s">
        <v>442</v>
      </c>
      <c r="J89" s="3515" t="s">
        <v>445</v>
      </c>
      <c r="K89" s="3515" t="s">
        <v>722</v>
      </c>
      <c r="L89" s="3515" t="s">
        <v>445</v>
      </c>
      <c r="M89" s="3515" t="s">
        <v>445</v>
      </c>
      <c r="N89" s="3515" t="s">
        <v>444</v>
      </c>
      <c r="O89" s="3515" t="s">
        <v>442</v>
      </c>
      <c r="P89" s="3515" t="s">
        <v>446</v>
      </c>
      <c r="Q89" s="3515" t="s">
        <v>722</v>
      </c>
      <c r="R89" s="3515" t="s">
        <v>445</v>
      </c>
      <c r="S89" s="3515" t="s">
        <v>723</v>
      </c>
      <c r="T89" s="3515" t="s">
        <v>723</v>
      </c>
      <c r="U89" s="3515" t="s">
        <v>724</v>
      </c>
      <c r="V89" s="3515" t="s">
        <v>725</v>
      </c>
      <c r="W89" s="3515" t="s">
        <v>726</v>
      </c>
      <c r="X89" s="3515" t="s">
        <v>443</v>
      </c>
      <c r="Y89" s="3515" t="s">
        <v>726</v>
      </c>
      <c r="Z89" s="3515" t="s">
        <v>725</v>
      </c>
      <c r="AA89" s="3515" t="s">
        <v>291</v>
      </c>
      <c r="AB89" s="3515" t="s">
        <v>445</v>
      </c>
      <c r="AC89" s="3515" t="s">
        <v>291</v>
      </c>
      <c r="AD89" s="3515" t="s">
        <v>724</v>
      </c>
      <c r="AE89" s="3515" t="s">
        <v>443</v>
      </c>
      <c r="AF89" s="3515" t="s">
        <v>420</v>
      </c>
      <c r="AG89" s="3515" t="s">
        <v>420</v>
      </c>
      <c r="AH89" s="3515" t="s">
        <v>418</v>
      </c>
      <c r="AI89" s="3515" t="s">
        <v>727</v>
      </c>
      <c r="AJ89" s="3515" t="s">
        <v>728</v>
      </c>
      <c r="AK89" s="3515" t="s">
        <v>417</v>
      </c>
      <c r="AL89" s="3515" t="s">
        <v>445</v>
      </c>
      <c r="AM89" s="3515" t="s">
        <v>445</v>
      </c>
      <c r="AN89" s="3515" t="s">
        <v>729</v>
      </c>
      <c r="AO89" s="3527" t="s">
        <v>729</v>
      </c>
      <c r="AP89" s="3512"/>
      <c r="AS89" s="3081" t="s">
        <v>445</v>
      </c>
    </row>
    <row r="90" spans="1:45">
      <c r="A90" s="3528"/>
      <c r="B90" s="3515" t="s">
        <v>421</v>
      </c>
      <c r="C90" s="3516" t="s">
        <v>445</v>
      </c>
      <c r="D90" s="3516" t="s">
        <v>445</v>
      </c>
      <c r="E90" s="3516" t="s">
        <v>445</v>
      </c>
      <c r="F90" s="3516" t="s">
        <v>727</v>
      </c>
      <c r="G90" s="3516" t="s">
        <v>719</v>
      </c>
      <c r="H90" s="3516" t="s">
        <v>719</v>
      </c>
      <c r="I90" s="3516" t="s">
        <v>722</v>
      </c>
      <c r="J90" s="3516" t="s">
        <v>720</v>
      </c>
      <c r="K90" s="3516" t="s">
        <v>446</v>
      </c>
      <c r="L90" s="3516" t="s">
        <v>444</v>
      </c>
      <c r="M90" s="3516" t="s">
        <v>420</v>
      </c>
      <c r="N90" s="3516" t="s">
        <v>445</v>
      </c>
      <c r="O90" s="3516" t="s">
        <v>418</v>
      </c>
      <c r="P90" s="3516" t="s">
        <v>442</v>
      </c>
      <c r="Q90" s="3516" t="s">
        <v>723</v>
      </c>
      <c r="R90" s="3516" t="s">
        <v>443</v>
      </c>
      <c r="S90" s="3516" t="s">
        <v>445</v>
      </c>
      <c r="T90" s="3516" t="s">
        <v>724</v>
      </c>
      <c r="U90" s="3516" t="s">
        <v>725</v>
      </c>
      <c r="V90" s="3516" t="s">
        <v>726</v>
      </c>
      <c r="W90" s="3516" t="s">
        <v>725</v>
      </c>
      <c r="X90" s="3516" t="s">
        <v>445</v>
      </c>
      <c r="Y90" s="3516" t="s">
        <v>445</v>
      </c>
      <c r="Z90" s="3516" t="s">
        <v>291</v>
      </c>
      <c r="AA90" s="3516" t="s">
        <v>725</v>
      </c>
      <c r="AB90" s="3516" t="s">
        <v>443</v>
      </c>
      <c r="AC90" s="3516" t="s">
        <v>724</v>
      </c>
      <c r="AD90" s="3516" t="s">
        <v>721</v>
      </c>
      <c r="AE90" s="3516" t="s">
        <v>445</v>
      </c>
      <c r="AF90" s="3516" t="s">
        <v>442</v>
      </c>
      <c r="AG90" s="3516" t="s">
        <v>418</v>
      </c>
      <c r="AH90" s="3516" t="s">
        <v>445</v>
      </c>
      <c r="AI90" s="3516" t="s">
        <v>728</v>
      </c>
      <c r="AJ90" s="3516" t="s">
        <v>722</v>
      </c>
      <c r="AK90" s="3516" t="s">
        <v>445</v>
      </c>
      <c r="AL90" s="3516" t="s">
        <v>417</v>
      </c>
      <c r="AM90" s="3516" t="s">
        <v>729</v>
      </c>
      <c r="AN90" s="3516" t="s">
        <v>445</v>
      </c>
      <c r="AO90" s="3529" t="s">
        <v>445</v>
      </c>
      <c r="AP90" s="3512"/>
      <c r="AS90" s="3082" t="s">
        <v>445</v>
      </c>
    </row>
    <row r="91" spans="1:45" ht="13" thickBot="1">
      <c r="A91" s="5061" t="s">
        <v>49</v>
      </c>
      <c r="B91" s="5062"/>
      <c r="C91" s="3519" t="s">
        <v>296</v>
      </c>
      <c r="D91" s="3519" t="s">
        <v>296</v>
      </c>
      <c r="E91" s="3519" t="s">
        <v>296</v>
      </c>
      <c r="F91" s="3519" t="s">
        <v>296</v>
      </c>
      <c r="G91" s="3519" t="s">
        <v>296</v>
      </c>
      <c r="H91" s="3519" t="s">
        <v>296</v>
      </c>
      <c r="I91" s="3519" t="s">
        <v>296</v>
      </c>
      <c r="J91" s="3519" t="s">
        <v>296</v>
      </c>
      <c r="K91" s="3519" t="s">
        <v>296</v>
      </c>
      <c r="L91" s="3519" t="s">
        <v>296</v>
      </c>
      <c r="M91" s="3519" t="s">
        <v>296</v>
      </c>
      <c r="N91" s="3519" t="s">
        <v>296</v>
      </c>
      <c r="O91" s="3519" t="s">
        <v>296</v>
      </c>
      <c r="P91" s="3519" t="s">
        <v>296</v>
      </c>
      <c r="Q91" s="3519" t="s">
        <v>296</v>
      </c>
      <c r="R91" s="3519" t="s">
        <v>296</v>
      </c>
      <c r="S91" s="3519" t="s">
        <v>296</v>
      </c>
      <c r="T91" s="3519" t="s">
        <v>296</v>
      </c>
      <c r="U91" s="3519" t="s">
        <v>296</v>
      </c>
      <c r="V91" s="3519" t="s">
        <v>296</v>
      </c>
      <c r="W91" s="3519" t="s">
        <v>296</v>
      </c>
      <c r="X91" s="3519" t="s">
        <v>296</v>
      </c>
      <c r="Y91" s="3519" t="s">
        <v>296</v>
      </c>
      <c r="Z91" s="3519" t="s">
        <v>296</v>
      </c>
      <c r="AA91" s="3519" t="s">
        <v>296</v>
      </c>
      <c r="AB91" s="3519" t="s">
        <v>296</v>
      </c>
      <c r="AC91" s="3519" t="s">
        <v>296</v>
      </c>
      <c r="AD91" s="3519" t="s">
        <v>296</v>
      </c>
      <c r="AE91" s="3519" t="s">
        <v>296</v>
      </c>
      <c r="AF91" s="3519" t="s">
        <v>296</v>
      </c>
      <c r="AG91" s="3519" t="s">
        <v>296</v>
      </c>
      <c r="AH91" s="3519" t="s">
        <v>296</v>
      </c>
      <c r="AI91" s="3519" t="s">
        <v>296</v>
      </c>
      <c r="AJ91" s="3519" t="s">
        <v>296</v>
      </c>
      <c r="AK91" s="3519" t="s">
        <v>296</v>
      </c>
      <c r="AL91" s="3519" t="s">
        <v>296</v>
      </c>
      <c r="AM91" s="3519" t="s">
        <v>296</v>
      </c>
      <c r="AN91" s="3519" t="s">
        <v>296</v>
      </c>
      <c r="AO91" s="3530" t="s">
        <v>296</v>
      </c>
      <c r="AP91" s="3512"/>
      <c r="AS91" s="3418" t="s">
        <v>296</v>
      </c>
    </row>
    <row r="92" spans="1:45" ht="13" thickTop="1">
      <c r="A92" s="5059" t="s">
        <v>5</v>
      </c>
      <c r="B92" s="5060"/>
      <c r="C92" s="3518"/>
      <c r="D92" s="3518"/>
      <c r="E92" s="3535">
        <v>0</v>
      </c>
      <c r="F92" s="3518"/>
      <c r="G92" s="3518"/>
      <c r="H92" s="3518"/>
      <c r="I92" s="3532">
        <v>4.9059456627270303E-5</v>
      </c>
      <c r="J92" s="3533">
        <v>0</v>
      </c>
      <c r="K92" s="3532">
        <v>1.7561729474860701E-8</v>
      </c>
      <c r="L92" s="3535">
        <v>0</v>
      </c>
      <c r="M92" s="3532">
        <v>4.9059456627270303E-5</v>
      </c>
      <c r="N92" s="3535">
        <v>0</v>
      </c>
      <c r="O92" s="3532">
        <v>1.6689254187742599E-8</v>
      </c>
      <c r="P92" s="3532">
        <v>1.75617294748604E-8</v>
      </c>
      <c r="Q92" s="3518"/>
      <c r="R92" s="3535">
        <v>0</v>
      </c>
      <c r="S92" s="3537">
        <v>2.36475700503244E-4</v>
      </c>
      <c r="T92" s="3518"/>
      <c r="U92" s="3537">
        <v>8.81842039903369E-4</v>
      </c>
      <c r="V92" s="3538">
        <v>1.0991986737813001E-3</v>
      </c>
      <c r="W92" s="3518"/>
      <c r="X92" s="3535">
        <v>0</v>
      </c>
      <c r="Y92" s="3538">
        <v>2.2153752243605799E-3</v>
      </c>
      <c r="Z92" s="3518"/>
      <c r="AA92" s="3532">
        <v>6.9891762028554201E-6</v>
      </c>
      <c r="AB92" s="3535">
        <v>0</v>
      </c>
      <c r="AC92" s="3518"/>
      <c r="AD92" s="3518"/>
      <c r="AE92" s="3535">
        <v>0</v>
      </c>
      <c r="AF92" s="3532">
        <v>4.9059456627270303E-5</v>
      </c>
      <c r="AG92" s="3518"/>
      <c r="AH92" s="3532">
        <v>1.6689254187742599E-8</v>
      </c>
      <c r="AI92" s="3518"/>
      <c r="AJ92" s="3518"/>
      <c r="AK92" s="3535">
        <v>0</v>
      </c>
      <c r="AL92" s="3535">
        <v>0</v>
      </c>
      <c r="AM92" s="3518"/>
      <c r="AN92" s="3518"/>
      <c r="AO92" s="3586"/>
      <c r="AP92" s="3512"/>
      <c r="AS92" s="3411">
        <v>0</v>
      </c>
    </row>
    <row r="93" spans="1:45">
      <c r="A93" s="5057" t="s">
        <v>674</v>
      </c>
      <c r="B93" s="5058"/>
      <c r="C93" s="3518"/>
      <c r="D93" s="3518"/>
      <c r="E93" s="3544">
        <v>2.29121652772089</v>
      </c>
      <c r="F93" s="3518"/>
      <c r="G93" s="3518"/>
      <c r="H93" s="3518"/>
      <c r="I93" s="3544">
        <v>1.69559293995172</v>
      </c>
      <c r="J93" s="3533">
        <v>0</v>
      </c>
      <c r="K93" s="3544">
        <v>1.7266955171126801</v>
      </c>
      <c r="L93" s="3544">
        <v>2.4642868822790698</v>
      </c>
      <c r="M93" s="3544">
        <v>1.69559293995172</v>
      </c>
      <c r="N93" s="3544">
        <v>2.3302401655409799</v>
      </c>
      <c r="O93" s="3544">
        <v>1.7284048340043501</v>
      </c>
      <c r="P93" s="3544">
        <v>1.7266955171126801</v>
      </c>
      <c r="Q93" s="3518"/>
      <c r="R93" s="3544">
        <v>2.2896981287590799</v>
      </c>
      <c r="S93" s="3545">
        <v>0.678890081056019</v>
      </c>
      <c r="T93" s="3518"/>
      <c r="U93" s="3543">
        <v>4.8470470082400803E-2</v>
      </c>
      <c r="V93" s="3537">
        <v>2.76563446633498E-4</v>
      </c>
      <c r="W93" s="3518"/>
      <c r="X93" s="3544">
        <v>2.2896981287590799</v>
      </c>
      <c r="Y93" s="3537">
        <v>5.5852136640874804E-4</v>
      </c>
      <c r="Z93" s="3518"/>
      <c r="AA93" s="3535">
        <v>0</v>
      </c>
      <c r="AB93" s="3544">
        <v>2.33594526741506</v>
      </c>
      <c r="AC93" s="3518"/>
      <c r="AD93" s="3518"/>
      <c r="AE93" s="3544">
        <v>2.3359594278302298</v>
      </c>
      <c r="AF93" s="3544">
        <v>1.69559293995172</v>
      </c>
      <c r="AG93" s="3518"/>
      <c r="AH93" s="3544">
        <v>1.7284048340043501</v>
      </c>
      <c r="AI93" s="3518"/>
      <c r="AJ93" s="3518"/>
      <c r="AK93" s="3544">
        <v>2.33844759813765</v>
      </c>
      <c r="AL93" s="3544">
        <v>2.3376134600921201</v>
      </c>
      <c r="AM93" s="3518"/>
      <c r="AN93" s="3518"/>
      <c r="AO93" s="3586"/>
      <c r="AP93" s="3512"/>
      <c r="AS93" s="3419">
        <v>2.2577162044234999E-2</v>
      </c>
    </row>
    <row r="94" spans="1:45">
      <c r="A94" s="5057" t="s">
        <v>3</v>
      </c>
      <c r="B94" s="5058"/>
      <c r="C94" s="3518"/>
      <c r="D94" s="3518"/>
      <c r="E94" s="3544">
        <v>2.0830988079243902</v>
      </c>
      <c r="F94" s="3518"/>
      <c r="G94" s="3518"/>
      <c r="H94" s="3518"/>
      <c r="I94" s="3544">
        <v>2.0604971783453498</v>
      </c>
      <c r="J94" s="3533">
        <v>0</v>
      </c>
      <c r="K94" s="3537">
        <v>9.9133189603769394E-4</v>
      </c>
      <c r="L94" s="3544">
        <v>2.1344525739360698</v>
      </c>
      <c r="M94" s="3544">
        <v>2.0604971783453498</v>
      </c>
      <c r="N94" s="3544">
        <v>2.1125416764736502</v>
      </c>
      <c r="O94" s="3537">
        <v>8.35114632556567E-4</v>
      </c>
      <c r="P94" s="3537">
        <v>9.9133189603769004E-4</v>
      </c>
      <c r="Q94" s="3518"/>
      <c r="R94" s="3544">
        <v>2.0997231748440699</v>
      </c>
      <c r="S94" s="3544">
        <v>5.9896159773731901</v>
      </c>
      <c r="T94" s="3518"/>
      <c r="U94" s="3546">
        <v>66.318851411072899</v>
      </c>
      <c r="V94" s="3546">
        <v>46.143219722641803</v>
      </c>
      <c r="W94" s="3518"/>
      <c r="X94" s="3544">
        <v>2.0997231748440699</v>
      </c>
      <c r="Y94" s="3546">
        <v>93.128132392629496</v>
      </c>
      <c r="Z94" s="3518"/>
      <c r="AA94" s="3545">
        <v>0.24429726250584999</v>
      </c>
      <c r="AB94" s="3538">
        <v>4.9026493166811303E-3</v>
      </c>
      <c r="AC94" s="3518"/>
      <c r="AD94" s="3518"/>
      <c r="AE94" s="3538">
        <v>4.8844671205122703E-3</v>
      </c>
      <c r="AF94" s="3544">
        <v>2.0604971783453498</v>
      </c>
      <c r="AG94" s="3518"/>
      <c r="AH94" s="3537">
        <v>8.35114632556567E-4</v>
      </c>
      <c r="AI94" s="3518"/>
      <c r="AJ94" s="3518"/>
      <c r="AK94" s="3537">
        <v>1.8418625076360799E-4</v>
      </c>
      <c r="AL94" s="3537">
        <v>3.8784580660832597E-4</v>
      </c>
      <c r="AM94" s="3518"/>
      <c r="AN94" s="3518"/>
      <c r="AO94" s="3586"/>
      <c r="AP94" s="3512"/>
      <c r="AS94" s="3420">
        <v>1.88883737574801E-4</v>
      </c>
    </row>
    <row r="95" spans="1:45">
      <c r="A95" s="5057" t="s">
        <v>6</v>
      </c>
      <c r="B95" s="5058"/>
      <c r="C95" s="3518"/>
      <c r="D95" s="3518"/>
      <c r="E95" s="3546">
        <v>71.588367360432699</v>
      </c>
      <c r="F95" s="3518"/>
      <c r="G95" s="3518"/>
      <c r="H95" s="3518"/>
      <c r="I95" s="3546">
        <v>71.712268249259296</v>
      </c>
      <c r="J95" s="3533">
        <v>0</v>
      </c>
      <c r="K95" s="3546">
        <v>73.002741674753693</v>
      </c>
      <c r="L95" s="3546">
        <v>73.746817668337599</v>
      </c>
      <c r="M95" s="3546">
        <v>71.712268249259296</v>
      </c>
      <c r="N95" s="3546">
        <v>71.026865308844506</v>
      </c>
      <c r="O95" s="3546">
        <v>73.074981922939699</v>
      </c>
      <c r="P95" s="3546">
        <v>73.002741674753693</v>
      </c>
      <c r="Q95" s="3518"/>
      <c r="R95" s="3546">
        <v>70.120755358012502</v>
      </c>
      <c r="S95" s="3546">
        <v>69.697950234663907</v>
      </c>
      <c r="T95" s="3518"/>
      <c r="U95" s="3546">
        <v>13.323876778080701</v>
      </c>
      <c r="V95" s="3543">
        <v>8.9446730179950806E-2</v>
      </c>
      <c r="W95" s="3518"/>
      <c r="X95" s="3546">
        <v>70.120755358012502</v>
      </c>
      <c r="Y95" s="3545">
        <v>0.18063531333909999</v>
      </c>
      <c r="Z95" s="3518"/>
      <c r="AA95" s="3535">
        <v>0</v>
      </c>
      <c r="AB95" s="3546">
        <v>71.507446762441802</v>
      </c>
      <c r="AC95" s="3518"/>
      <c r="AD95" s="3518"/>
      <c r="AE95" s="3546">
        <v>71.507879722739403</v>
      </c>
      <c r="AF95" s="3546">
        <v>71.712268249259296</v>
      </c>
      <c r="AG95" s="3518"/>
      <c r="AH95" s="3546">
        <v>73.074981922939699</v>
      </c>
      <c r="AI95" s="3518"/>
      <c r="AJ95" s="3518"/>
      <c r="AK95" s="3546">
        <v>71.5935720785928</v>
      </c>
      <c r="AL95" s="3546">
        <v>71.567995835916506</v>
      </c>
      <c r="AM95" s="3518"/>
      <c r="AN95" s="3518"/>
      <c r="AO95" s="3586"/>
      <c r="AP95" s="3512"/>
      <c r="AS95" s="3412">
        <v>97.497234652139497</v>
      </c>
    </row>
    <row r="96" spans="1:45">
      <c r="A96" s="5057" t="s">
        <v>7</v>
      </c>
      <c r="B96" s="5058"/>
      <c r="C96" s="3518"/>
      <c r="D96" s="3518"/>
      <c r="E96" s="3546">
        <v>13.6332583145859</v>
      </c>
      <c r="F96" s="3518"/>
      <c r="G96" s="3518"/>
      <c r="H96" s="3518"/>
      <c r="I96" s="3546">
        <v>13.9678160152634</v>
      </c>
      <c r="J96" s="3533">
        <v>0</v>
      </c>
      <c r="K96" s="3546">
        <v>14.217995164870301</v>
      </c>
      <c r="L96" s="3546">
        <v>12.6612222134983</v>
      </c>
      <c r="M96" s="3546">
        <v>13.9678160152634</v>
      </c>
      <c r="N96" s="3546">
        <v>13.087520000755701</v>
      </c>
      <c r="O96" s="3546">
        <v>14.2320678247776</v>
      </c>
      <c r="P96" s="3546">
        <v>14.217995164870301</v>
      </c>
      <c r="Q96" s="3518"/>
      <c r="R96" s="3546">
        <v>13.1582652290205</v>
      </c>
      <c r="S96" s="3546">
        <v>14.736851464211</v>
      </c>
      <c r="T96" s="3518"/>
      <c r="U96" s="3544">
        <v>4.0714750422780703</v>
      </c>
      <c r="V96" s="3543">
        <v>2.98991414765961E-2</v>
      </c>
      <c r="W96" s="3518"/>
      <c r="X96" s="3546">
        <v>13.1582652290205</v>
      </c>
      <c r="Y96" s="3543">
        <v>6.0380302292415401E-2</v>
      </c>
      <c r="Z96" s="3518"/>
      <c r="AA96" s="3535">
        <v>0</v>
      </c>
      <c r="AB96" s="3546">
        <v>13.415861713050299</v>
      </c>
      <c r="AC96" s="3518"/>
      <c r="AD96" s="3518"/>
      <c r="AE96" s="3546">
        <v>13.4159428862021</v>
      </c>
      <c r="AF96" s="3546">
        <v>13.9678160152634</v>
      </c>
      <c r="AG96" s="3518"/>
      <c r="AH96" s="3546">
        <v>14.2320678247776</v>
      </c>
      <c r="AI96" s="3518"/>
      <c r="AJ96" s="3518"/>
      <c r="AK96" s="3546">
        <v>13.433777718238099</v>
      </c>
      <c r="AL96" s="3546">
        <v>13.428990526676699</v>
      </c>
      <c r="AM96" s="3518"/>
      <c r="AN96" s="3518"/>
      <c r="AO96" s="3586"/>
      <c r="AP96" s="3512"/>
      <c r="AS96" s="3413">
        <v>1.9999994371602401</v>
      </c>
    </row>
    <row r="97" spans="1:45">
      <c r="A97" s="5057" t="s">
        <v>8</v>
      </c>
      <c r="B97" s="5058"/>
      <c r="C97" s="3518"/>
      <c r="D97" s="3518"/>
      <c r="E97" s="3544">
        <v>6.6120171481373697</v>
      </c>
      <c r="F97" s="3518"/>
      <c r="G97" s="3518"/>
      <c r="H97" s="3518"/>
      <c r="I97" s="3544">
        <v>6.6724785769617796</v>
      </c>
      <c r="J97" s="3533">
        <v>0</v>
      </c>
      <c r="K97" s="3544">
        <v>6.79357376482477</v>
      </c>
      <c r="L97" s="3544">
        <v>6.4123511497831798</v>
      </c>
      <c r="M97" s="3544">
        <v>6.6724785769617796</v>
      </c>
      <c r="N97" s="3544">
        <v>7.4367638693167999</v>
      </c>
      <c r="O97" s="3544">
        <v>6.8003001998269204</v>
      </c>
      <c r="P97" s="3544">
        <v>6.79357376482477</v>
      </c>
      <c r="Q97" s="3518"/>
      <c r="R97" s="3544">
        <v>7.7089836562142704</v>
      </c>
      <c r="S97" s="3544">
        <v>4.5896907029150302</v>
      </c>
      <c r="T97" s="3518"/>
      <c r="U97" s="3544">
        <v>1.07832405279521</v>
      </c>
      <c r="V97" s="3538">
        <v>7.6173837445102999E-3</v>
      </c>
      <c r="W97" s="3518"/>
      <c r="X97" s="3544">
        <v>7.7089836562142704</v>
      </c>
      <c r="Y97" s="3543">
        <v>1.5383178133378E-2</v>
      </c>
      <c r="Z97" s="3518"/>
      <c r="AA97" s="3535">
        <v>0</v>
      </c>
      <c r="AB97" s="3544">
        <v>7.8627717041922001</v>
      </c>
      <c r="AC97" s="3518"/>
      <c r="AD97" s="3518"/>
      <c r="AE97" s="3544">
        <v>7.8628193189247897</v>
      </c>
      <c r="AF97" s="3544">
        <v>6.6724785769617796</v>
      </c>
      <c r="AG97" s="3518"/>
      <c r="AH97" s="3544">
        <v>6.8003001998269204</v>
      </c>
      <c r="AI97" s="3518"/>
      <c r="AJ97" s="3518"/>
      <c r="AK97" s="3544">
        <v>7.87195624445138</v>
      </c>
      <c r="AL97" s="3544">
        <v>7.8691577607910004</v>
      </c>
      <c r="AM97" s="3518"/>
      <c r="AN97" s="3518"/>
      <c r="AO97" s="3586"/>
      <c r="AP97" s="3512"/>
      <c r="AS97" s="3421">
        <v>0.47999986491845897</v>
      </c>
    </row>
    <row r="98" spans="1:45">
      <c r="A98" s="5057" t="s">
        <v>678</v>
      </c>
      <c r="B98" s="5058"/>
      <c r="C98" s="3518"/>
      <c r="D98" s="3518"/>
      <c r="E98" s="3545">
        <v>0.59601629553785695</v>
      </c>
      <c r="F98" s="3518"/>
      <c r="G98" s="3518"/>
      <c r="H98" s="3518"/>
      <c r="I98" s="3545">
        <v>0.78799299234721498</v>
      </c>
      <c r="J98" s="3533">
        <v>0</v>
      </c>
      <c r="K98" s="3545">
        <v>0.80242138580415301</v>
      </c>
      <c r="L98" s="3545">
        <v>0.59707256586432</v>
      </c>
      <c r="M98" s="3545">
        <v>0.78799299234721498</v>
      </c>
      <c r="N98" s="3545">
        <v>0.79579735726199796</v>
      </c>
      <c r="O98" s="3545">
        <v>0.80321606629444198</v>
      </c>
      <c r="P98" s="3545">
        <v>0.80242138580415401</v>
      </c>
      <c r="Q98" s="3518"/>
      <c r="R98" s="3545">
        <v>0.85988663350762995</v>
      </c>
      <c r="S98" s="3545">
        <v>0.33906961609507003</v>
      </c>
      <c r="T98" s="3518"/>
      <c r="U98" s="3543">
        <v>6.1804113226843101E-2</v>
      </c>
      <c r="V98" s="3537">
        <v>4.2766024219645198E-4</v>
      </c>
      <c r="W98" s="3518"/>
      <c r="X98" s="3545">
        <v>0.85988663350762995</v>
      </c>
      <c r="Y98" s="3537">
        <v>8.6366156044040301E-4</v>
      </c>
      <c r="Z98" s="3518"/>
      <c r="AA98" s="3535">
        <v>0</v>
      </c>
      <c r="AB98" s="3545">
        <v>0.87722620787842198</v>
      </c>
      <c r="AC98" s="3518"/>
      <c r="AD98" s="3518"/>
      <c r="AE98" s="3545">
        <v>0.877231523134541</v>
      </c>
      <c r="AF98" s="3545">
        <v>0.78799299234721498</v>
      </c>
      <c r="AG98" s="3518"/>
      <c r="AH98" s="3545">
        <v>0.80321606629444198</v>
      </c>
      <c r="AI98" s="3518"/>
      <c r="AJ98" s="3518"/>
      <c r="AK98" s="3545">
        <v>0.87818232835157595</v>
      </c>
      <c r="AL98" s="3545">
        <v>0.87787052765471496</v>
      </c>
      <c r="AM98" s="3518"/>
      <c r="AN98" s="3518"/>
      <c r="AO98" s="3586"/>
      <c r="AP98" s="3512"/>
      <c r="AS98" s="3411">
        <v>0</v>
      </c>
    </row>
    <row r="99" spans="1:45">
      <c r="A99" s="5057" t="s">
        <v>67</v>
      </c>
      <c r="B99" s="5058"/>
      <c r="C99" s="3518"/>
      <c r="D99" s="3518"/>
      <c r="E99" s="3544">
        <v>2.2513692837604902</v>
      </c>
      <c r="F99" s="3518"/>
      <c r="G99" s="3518"/>
      <c r="H99" s="3518"/>
      <c r="I99" s="3544">
        <v>1.75161883942006</v>
      </c>
      <c r="J99" s="3533">
        <v>0</v>
      </c>
      <c r="K99" s="3544">
        <v>1.78349932038337</v>
      </c>
      <c r="L99" s="3544">
        <v>1.4149519843632901</v>
      </c>
      <c r="M99" s="3544">
        <v>1.75161883942006</v>
      </c>
      <c r="N99" s="3544">
        <v>2.0278366446984699</v>
      </c>
      <c r="O99" s="3544">
        <v>1.7852654344801999</v>
      </c>
      <c r="P99" s="3544">
        <v>1.78349932038337</v>
      </c>
      <c r="Q99" s="3518"/>
      <c r="R99" s="3544">
        <v>2.24970340161908</v>
      </c>
      <c r="S99" s="3544">
        <v>1.03518115499449</v>
      </c>
      <c r="T99" s="3518"/>
      <c r="U99" s="3545">
        <v>0.27171594024904699</v>
      </c>
      <c r="V99" s="3538">
        <v>1.94246831034373E-3</v>
      </c>
      <c r="W99" s="3518"/>
      <c r="X99" s="3544">
        <v>2.24970340161908</v>
      </c>
      <c r="Y99" s="3538">
        <v>3.9227875599796196E-3</v>
      </c>
      <c r="Z99" s="3518"/>
      <c r="AA99" s="3535">
        <v>0</v>
      </c>
      <c r="AB99" s="3544">
        <v>2.2948438676770602</v>
      </c>
      <c r="AC99" s="3518"/>
      <c r="AD99" s="3518"/>
      <c r="AE99" s="3544">
        <v>2.2948577661546601</v>
      </c>
      <c r="AF99" s="3544">
        <v>1.75161883942006</v>
      </c>
      <c r="AG99" s="3518"/>
      <c r="AH99" s="3544">
        <v>1.7852654344801999</v>
      </c>
      <c r="AI99" s="3518"/>
      <c r="AJ99" s="3518"/>
      <c r="AK99" s="3544">
        <v>2.2973764567367101</v>
      </c>
      <c r="AL99" s="3544">
        <v>2.2965596537384401</v>
      </c>
      <c r="AM99" s="3518"/>
      <c r="AN99" s="3518"/>
      <c r="AO99" s="3586"/>
      <c r="AP99" s="3512"/>
      <c r="AS99" s="3411">
        <v>0</v>
      </c>
    </row>
    <row r="100" spans="1:45">
      <c r="A100" s="5057" t="s">
        <v>679</v>
      </c>
      <c r="B100" s="5058"/>
      <c r="C100" s="3518"/>
      <c r="D100" s="3518"/>
      <c r="E100" s="3545">
        <v>0.168126685339409</v>
      </c>
      <c r="F100" s="3518"/>
      <c r="G100" s="3518"/>
      <c r="H100" s="3518"/>
      <c r="I100" s="3545">
        <v>0.36598354643943598</v>
      </c>
      <c r="J100" s="3533">
        <v>0</v>
      </c>
      <c r="K100" s="3545">
        <v>0.37272187982600202</v>
      </c>
      <c r="L100" s="3545">
        <v>0.20882607325522501</v>
      </c>
      <c r="M100" s="3545">
        <v>0.36598354643943598</v>
      </c>
      <c r="N100" s="3545">
        <v>0.367610052263529</v>
      </c>
      <c r="O100" s="3545">
        <v>0.37309104511693603</v>
      </c>
      <c r="P100" s="3545">
        <v>0.37272187982600202</v>
      </c>
      <c r="Q100" s="3518"/>
      <c r="R100" s="3545">
        <v>0.43994199853881599</v>
      </c>
      <c r="S100" s="3543">
        <v>9.5548218326163503E-2</v>
      </c>
      <c r="T100" s="3518"/>
      <c r="U100" s="3543">
        <v>1.5994280411377002E-2</v>
      </c>
      <c r="V100" s="3532">
        <v>9.5486092131752599E-5</v>
      </c>
      <c r="W100" s="3518"/>
      <c r="X100" s="3545">
        <v>0.43994199853881599</v>
      </c>
      <c r="Y100" s="3537">
        <v>1.92835358071329E-4</v>
      </c>
      <c r="Z100" s="3518"/>
      <c r="AA100" s="3535">
        <v>0</v>
      </c>
      <c r="AB100" s="3545">
        <v>0.44884760567321103</v>
      </c>
      <c r="AC100" s="3518"/>
      <c r="AD100" s="3518"/>
      <c r="AE100" s="3545">
        <v>0.44885032615375198</v>
      </c>
      <c r="AF100" s="3545">
        <v>0.36598354643943598</v>
      </c>
      <c r="AG100" s="3518"/>
      <c r="AH100" s="3545">
        <v>0.37309104511693603</v>
      </c>
      <c r="AI100" s="3518"/>
      <c r="AJ100" s="3518"/>
      <c r="AK100" s="3545">
        <v>0.449336946458116</v>
      </c>
      <c r="AL100" s="3545">
        <v>0.44917733738488302</v>
      </c>
      <c r="AM100" s="3518"/>
      <c r="AN100" s="3518"/>
      <c r="AO100" s="3586"/>
      <c r="AP100" s="3512"/>
      <c r="AS100" s="3411">
        <v>0</v>
      </c>
    </row>
    <row r="101" spans="1:45">
      <c r="A101" s="5057" t="s">
        <v>69</v>
      </c>
      <c r="B101" s="5058"/>
      <c r="C101" s="3518"/>
      <c r="D101" s="3518"/>
      <c r="E101" s="3545">
        <v>0.15977144705363899</v>
      </c>
      <c r="F101" s="3518"/>
      <c r="G101" s="3518"/>
      <c r="H101" s="3518"/>
      <c r="I101" s="3545">
        <v>0.369025232750327</v>
      </c>
      <c r="J101" s="3533">
        <v>0</v>
      </c>
      <c r="K101" s="3545">
        <v>0.37580504891003802</v>
      </c>
      <c r="L101" s="3545">
        <v>0.202602932446761</v>
      </c>
      <c r="M101" s="3545">
        <v>0.369025232750327</v>
      </c>
      <c r="N101" s="3545">
        <v>0.38023542875551503</v>
      </c>
      <c r="O101" s="3545">
        <v>0.37617725687396603</v>
      </c>
      <c r="P101" s="3545">
        <v>0.37580504891003802</v>
      </c>
      <c r="Q101" s="3518"/>
      <c r="R101" s="3545">
        <v>0.46993804389371702</v>
      </c>
      <c r="S101" s="3545">
        <v>0.119368978983925</v>
      </c>
      <c r="T101" s="3518"/>
      <c r="U101" s="3543">
        <v>2.3999667167718699E-2</v>
      </c>
      <c r="V101" s="3537">
        <v>1.50911218660334E-4</v>
      </c>
      <c r="W101" s="3518"/>
      <c r="X101" s="3545">
        <v>0.46993804389371702</v>
      </c>
      <c r="Y101" s="3537">
        <v>3.0476614147205802E-4</v>
      </c>
      <c r="Z101" s="3518"/>
      <c r="AA101" s="3535">
        <v>0</v>
      </c>
      <c r="AB101" s="3545">
        <v>0.47942653474541203</v>
      </c>
      <c r="AC101" s="3518"/>
      <c r="AD101" s="3518"/>
      <c r="AE101" s="3545">
        <v>0.47942944006525601</v>
      </c>
      <c r="AF101" s="3545">
        <v>0.369025232750327</v>
      </c>
      <c r="AG101" s="3518"/>
      <c r="AH101" s="3545">
        <v>0.37617725687396603</v>
      </c>
      <c r="AI101" s="3518"/>
      <c r="AJ101" s="3518"/>
      <c r="AK101" s="3545">
        <v>0.47995882962985198</v>
      </c>
      <c r="AL101" s="3545">
        <v>0.47978839610587898</v>
      </c>
      <c r="AM101" s="3518"/>
      <c r="AN101" s="3518"/>
      <c r="AO101" s="3586"/>
      <c r="AP101" s="3512"/>
      <c r="AS101" s="3411">
        <v>0</v>
      </c>
    </row>
    <row r="102" spans="1:45">
      <c r="A102" s="5057" t="s">
        <v>10</v>
      </c>
      <c r="B102" s="5058"/>
      <c r="C102" s="3518"/>
      <c r="D102" s="3518"/>
      <c r="E102" s="3545">
        <v>0.59770865940544704</v>
      </c>
      <c r="F102" s="3518"/>
      <c r="G102" s="3518"/>
      <c r="H102" s="3518"/>
      <c r="I102" s="3545">
        <v>0.61667736980478705</v>
      </c>
      <c r="J102" s="3533">
        <v>0</v>
      </c>
      <c r="K102" s="3545">
        <v>0.62805331610447701</v>
      </c>
      <c r="L102" s="3545">
        <v>0.13356334576927301</v>
      </c>
      <c r="M102" s="3545">
        <v>0.61667736980478705</v>
      </c>
      <c r="N102" s="3545">
        <v>0.36956915793399098</v>
      </c>
      <c r="O102" s="3545">
        <v>0.62867541179764297</v>
      </c>
      <c r="P102" s="3545">
        <v>0.62805331610447701</v>
      </c>
      <c r="Q102" s="3518"/>
      <c r="R102" s="3545">
        <v>0.57992354352842002</v>
      </c>
      <c r="S102" s="3545">
        <v>0.122642811233345</v>
      </c>
      <c r="T102" s="3518"/>
      <c r="U102" s="3543">
        <v>1.9427692509676499E-2</v>
      </c>
      <c r="V102" s="3537">
        <v>1.19202705761911E-4</v>
      </c>
      <c r="W102" s="3518"/>
      <c r="X102" s="3545">
        <v>0.57992354352842002</v>
      </c>
      <c r="Y102" s="3537">
        <v>2.4073232635114599E-4</v>
      </c>
      <c r="Z102" s="3518"/>
      <c r="AA102" s="3535">
        <v>0</v>
      </c>
      <c r="AB102" s="3545">
        <v>0.59169765870111501</v>
      </c>
      <c r="AC102" s="3518"/>
      <c r="AD102" s="3518"/>
      <c r="AE102" s="3545">
        <v>0.59170124536955304</v>
      </c>
      <c r="AF102" s="3545">
        <v>0.61667736980478705</v>
      </c>
      <c r="AG102" s="3518"/>
      <c r="AH102" s="3545">
        <v>0.62867541179764297</v>
      </c>
      <c r="AI102" s="3518"/>
      <c r="AJ102" s="3518"/>
      <c r="AK102" s="3545">
        <v>0.59232512237927504</v>
      </c>
      <c r="AL102" s="3545">
        <v>0.59211513064799204</v>
      </c>
      <c r="AM102" s="3518"/>
      <c r="AN102" s="3518"/>
      <c r="AO102" s="3586"/>
      <c r="AP102" s="3512"/>
      <c r="AS102" s="3411">
        <v>0</v>
      </c>
    </row>
    <row r="103" spans="1:45">
      <c r="A103" s="5057" t="s">
        <v>298</v>
      </c>
      <c r="B103" s="5058"/>
      <c r="C103" s="3518"/>
      <c r="D103" s="3518"/>
      <c r="E103" s="3543">
        <v>1.9049470101894901E-2</v>
      </c>
      <c r="F103" s="3518"/>
      <c r="G103" s="3518"/>
      <c r="H103" s="3518"/>
      <c r="I103" s="3535">
        <v>0</v>
      </c>
      <c r="J103" s="3533">
        <v>100</v>
      </c>
      <c r="K103" s="3545">
        <v>0.29466001142560799</v>
      </c>
      <c r="L103" s="3543">
        <v>2.3852610466857899E-2</v>
      </c>
      <c r="M103" s="3535">
        <v>0</v>
      </c>
      <c r="N103" s="3543">
        <v>6.5020338154912094E-2</v>
      </c>
      <c r="O103" s="3545">
        <v>0.196931354202591</v>
      </c>
      <c r="P103" s="3545">
        <v>0.294660011425605</v>
      </c>
      <c r="Q103" s="3518"/>
      <c r="R103" s="3543">
        <v>2.31808320619608E-2</v>
      </c>
      <c r="S103" s="3544">
        <v>2.5947370148561499</v>
      </c>
      <c r="T103" s="3518"/>
      <c r="U103" s="3546">
        <v>14.760654798279599</v>
      </c>
      <c r="V103" s="3546">
        <v>53.725662837680702</v>
      </c>
      <c r="W103" s="3518"/>
      <c r="X103" s="3543">
        <v>2.31808320619608E-2</v>
      </c>
      <c r="Y103" s="3544">
        <v>6.6071701340682996</v>
      </c>
      <c r="Z103" s="3518"/>
      <c r="AA103" s="3546">
        <v>99.520847050605994</v>
      </c>
      <c r="AB103" s="3545">
        <v>0.18054252900340501</v>
      </c>
      <c r="AC103" s="3518"/>
      <c r="AD103" s="3518"/>
      <c r="AE103" s="3545">
        <v>0.18005621653756701</v>
      </c>
      <c r="AF103" s="3535">
        <v>0</v>
      </c>
      <c r="AG103" s="3518"/>
      <c r="AH103" s="3545">
        <v>0.196931354202591</v>
      </c>
      <c r="AI103" s="3518"/>
      <c r="AJ103" s="3518"/>
      <c r="AK103" s="3543">
        <v>6.4882198007686007E-2</v>
      </c>
      <c r="AL103" s="3545">
        <v>0.100310782278552</v>
      </c>
      <c r="AM103" s="3518"/>
      <c r="AN103" s="3518"/>
      <c r="AO103" s="3586"/>
      <c r="AP103" s="3512"/>
      <c r="AS103" s="3411">
        <v>0</v>
      </c>
    </row>
    <row r="104" spans="1:45">
      <c r="A104" s="5057" t="s">
        <v>680</v>
      </c>
      <c r="B104" s="5058"/>
      <c r="C104" s="3518"/>
      <c r="D104" s="3518"/>
      <c r="E104" s="3535">
        <v>0</v>
      </c>
      <c r="F104" s="3518"/>
      <c r="G104" s="3518"/>
      <c r="H104" s="3518"/>
      <c r="I104" s="3535">
        <v>0</v>
      </c>
      <c r="J104" s="3533">
        <v>0</v>
      </c>
      <c r="K104" s="3537">
        <v>1.8752543848225801E-4</v>
      </c>
      <c r="L104" s="3535">
        <v>0</v>
      </c>
      <c r="M104" s="3535">
        <v>0</v>
      </c>
      <c r="N104" s="3535">
        <v>0</v>
      </c>
      <c r="O104" s="3532">
        <v>1.55714833594767E-6</v>
      </c>
      <c r="P104" s="3537">
        <v>1.8752543848253499E-4</v>
      </c>
      <c r="Q104" s="3518"/>
      <c r="R104" s="3535">
        <v>0</v>
      </c>
      <c r="S104" s="3537">
        <v>1.9221355493565201E-4</v>
      </c>
      <c r="T104" s="3518"/>
      <c r="U104" s="3538">
        <v>3.87102080760635E-3</v>
      </c>
      <c r="V104" s="3532">
        <v>1.60546303739684E-5</v>
      </c>
      <c r="W104" s="3518"/>
      <c r="X104" s="3535">
        <v>0</v>
      </c>
      <c r="Y104" s="3532">
        <v>1.5545976953681001E-13</v>
      </c>
      <c r="Z104" s="3518"/>
      <c r="AA104" s="3543">
        <v>6.3528634065152495E-2</v>
      </c>
      <c r="AB104" s="3537">
        <v>1.4608797400830401E-4</v>
      </c>
      <c r="AC104" s="3518"/>
      <c r="AD104" s="3518"/>
      <c r="AE104" s="3532">
        <v>8.3990658763396196E-5</v>
      </c>
      <c r="AF104" s="3535">
        <v>0</v>
      </c>
      <c r="AG104" s="3518"/>
      <c r="AH104" s="3532">
        <v>1.55714833594767E-6</v>
      </c>
      <c r="AI104" s="3518"/>
      <c r="AJ104" s="3518"/>
      <c r="AK104" s="3532">
        <v>1.0231234919022101E-9</v>
      </c>
      <c r="AL104" s="3532">
        <v>7.1946760254076696E-7</v>
      </c>
      <c r="AM104" s="3518"/>
      <c r="AN104" s="3518"/>
      <c r="AO104" s="3586"/>
      <c r="AP104" s="3512"/>
      <c r="AS104" s="3411">
        <v>0</v>
      </c>
    </row>
    <row r="105" spans="1:45">
      <c r="A105" s="5057" t="s">
        <v>681</v>
      </c>
      <c r="B105" s="5058"/>
      <c r="C105" s="3518"/>
      <c r="D105" s="3518"/>
      <c r="E105" s="3535">
        <v>0</v>
      </c>
      <c r="F105" s="3518"/>
      <c r="G105" s="3518"/>
      <c r="H105" s="3518"/>
      <c r="I105" s="3535">
        <v>0</v>
      </c>
      <c r="J105" s="3533">
        <v>0</v>
      </c>
      <c r="K105" s="3537">
        <v>6.5404108861773897E-4</v>
      </c>
      <c r="L105" s="3535">
        <v>0</v>
      </c>
      <c r="M105" s="3535">
        <v>0</v>
      </c>
      <c r="N105" s="3535">
        <v>0</v>
      </c>
      <c r="O105" s="3532">
        <v>5.1961215474098402E-5</v>
      </c>
      <c r="P105" s="3537">
        <v>6.5404108861769495E-4</v>
      </c>
      <c r="Q105" s="3518"/>
      <c r="R105" s="3535">
        <v>0</v>
      </c>
      <c r="S105" s="3532">
        <v>2.5056036284734601E-5</v>
      </c>
      <c r="T105" s="3518"/>
      <c r="U105" s="3537">
        <v>6.5289099888312502E-4</v>
      </c>
      <c r="V105" s="3532">
        <v>2.6638956526521199E-5</v>
      </c>
      <c r="W105" s="3518"/>
      <c r="X105" s="3535">
        <v>0</v>
      </c>
      <c r="Y105" s="3532">
        <v>9.7633333874682606E-14</v>
      </c>
      <c r="Z105" s="3518"/>
      <c r="AA105" s="3545">
        <v>0.171320063646758</v>
      </c>
      <c r="AB105" s="3537">
        <v>3.4141193127810901E-4</v>
      </c>
      <c r="AC105" s="3518"/>
      <c r="AD105" s="3518"/>
      <c r="AE105" s="3537">
        <v>3.03669108808291E-4</v>
      </c>
      <c r="AF105" s="3535">
        <v>0</v>
      </c>
      <c r="AG105" s="3518"/>
      <c r="AH105" s="3532">
        <v>5.1961215474098402E-5</v>
      </c>
      <c r="AI105" s="3518"/>
      <c r="AJ105" s="3518"/>
      <c r="AK105" s="3532">
        <v>2.9174296950193999E-7</v>
      </c>
      <c r="AL105" s="3532">
        <v>3.2023439041423898E-5</v>
      </c>
      <c r="AM105" s="3518"/>
      <c r="AN105" s="3518"/>
      <c r="AO105" s="3586"/>
      <c r="AP105" s="3512"/>
      <c r="AS105" s="3411">
        <v>0</v>
      </c>
    </row>
    <row r="106" spans="1:45">
      <c r="A106" s="5057" t="s">
        <v>675</v>
      </c>
      <c r="B106" s="5058"/>
      <c r="C106" s="3518"/>
      <c r="D106" s="3518"/>
      <c r="E106" s="3535">
        <v>0</v>
      </c>
      <c r="F106" s="3518"/>
      <c r="G106" s="3518"/>
      <c r="H106" s="3518"/>
      <c r="I106" s="3535">
        <v>0</v>
      </c>
      <c r="J106" s="3533">
        <v>0</v>
      </c>
      <c r="K106" s="3535">
        <v>0</v>
      </c>
      <c r="L106" s="3535">
        <v>0</v>
      </c>
      <c r="M106" s="3535">
        <v>0</v>
      </c>
      <c r="N106" s="3535">
        <v>0</v>
      </c>
      <c r="O106" s="3535">
        <v>0</v>
      </c>
      <c r="P106" s="3535">
        <v>0</v>
      </c>
      <c r="Q106" s="3518"/>
      <c r="R106" s="3535">
        <v>0</v>
      </c>
      <c r="S106" s="3535">
        <v>0</v>
      </c>
      <c r="T106" s="3518"/>
      <c r="U106" s="3535">
        <v>0</v>
      </c>
      <c r="V106" s="3535">
        <v>0</v>
      </c>
      <c r="W106" s="3518"/>
      <c r="X106" s="3535">
        <v>0</v>
      </c>
      <c r="Y106" s="3535">
        <v>0</v>
      </c>
      <c r="Z106" s="3518"/>
      <c r="AA106" s="3535">
        <v>0</v>
      </c>
      <c r="AB106" s="3535">
        <v>0</v>
      </c>
      <c r="AC106" s="3518"/>
      <c r="AD106" s="3518"/>
      <c r="AE106" s="3535">
        <v>0</v>
      </c>
      <c r="AF106" s="3535">
        <v>0</v>
      </c>
      <c r="AG106" s="3518"/>
      <c r="AH106" s="3535">
        <v>0</v>
      </c>
      <c r="AI106" s="3518"/>
      <c r="AJ106" s="3518"/>
      <c r="AK106" s="3535">
        <v>0</v>
      </c>
      <c r="AL106" s="3535">
        <v>0</v>
      </c>
      <c r="AM106" s="3518"/>
      <c r="AN106" s="3518"/>
      <c r="AO106" s="3586"/>
      <c r="AP106" s="3512"/>
      <c r="AS106" s="3411">
        <v>0</v>
      </c>
    </row>
    <row r="107" spans="1:45" ht="13" thickBot="1">
      <c r="A107" s="5055" t="s">
        <v>58</v>
      </c>
      <c r="B107" s="5056"/>
      <c r="C107" s="3519" t="s">
        <v>296</v>
      </c>
      <c r="D107" s="3519" t="s">
        <v>296</v>
      </c>
      <c r="E107" s="3519" t="s">
        <v>296</v>
      </c>
      <c r="F107" s="3519" t="s">
        <v>296</v>
      </c>
      <c r="G107" s="3519" t="s">
        <v>296</v>
      </c>
      <c r="H107" s="3519" t="s">
        <v>296</v>
      </c>
      <c r="I107" s="3519" t="s">
        <v>296</v>
      </c>
      <c r="J107" s="3519" t="s">
        <v>296</v>
      </c>
      <c r="K107" s="3519" t="s">
        <v>296</v>
      </c>
      <c r="L107" s="3519" t="s">
        <v>296</v>
      </c>
      <c r="M107" s="3519" t="s">
        <v>296</v>
      </c>
      <c r="N107" s="3519" t="s">
        <v>296</v>
      </c>
      <c r="O107" s="3519" t="s">
        <v>296</v>
      </c>
      <c r="P107" s="3519" t="s">
        <v>296</v>
      </c>
      <c r="Q107" s="3519" t="s">
        <v>296</v>
      </c>
      <c r="R107" s="3519" t="s">
        <v>296</v>
      </c>
      <c r="S107" s="3519" t="s">
        <v>296</v>
      </c>
      <c r="T107" s="3519" t="s">
        <v>296</v>
      </c>
      <c r="U107" s="3519" t="s">
        <v>296</v>
      </c>
      <c r="V107" s="3519" t="s">
        <v>296</v>
      </c>
      <c r="W107" s="3519" t="s">
        <v>296</v>
      </c>
      <c r="X107" s="3519" t="s">
        <v>296</v>
      </c>
      <c r="Y107" s="3519" t="s">
        <v>296</v>
      </c>
      <c r="Z107" s="3519" t="s">
        <v>296</v>
      </c>
      <c r="AA107" s="3519" t="s">
        <v>296</v>
      </c>
      <c r="AB107" s="3519" t="s">
        <v>296</v>
      </c>
      <c r="AC107" s="3519" t="s">
        <v>296</v>
      </c>
      <c r="AD107" s="3519" t="s">
        <v>296</v>
      </c>
      <c r="AE107" s="3519" t="s">
        <v>296</v>
      </c>
      <c r="AF107" s="3519" t="s">
        <v>296</v>
      </c>
      <c r="AG107" s="3519" t="s">
        <v>296</v>
      </c>
      <c r="AH107" s="3519" t="s">
        <v>296</v>
      </c>
      <c r="AI107" s="3519" t="s">
        <v>296</v>
      </c>
      <c r="AJ107" s="3519" t="s">
        <v>296</v>
      </c>
      <c r="AK107" s="3519" t="s">
        <v>296</v>
      </c>
      <c r="AL107" s="3519" t="s">
        <v>296</v>
      </c>
      <c r="AM107" s="3519" t="s">
        <v>296</v>
      </c>
      <c r="AN107" s="3519" t="s">
        <v>296</v>
      </c>
      <c r="AO107" s="3530" t="s">
        <v>296</v>
      </c>
      <c r="AP107" s="3512"/>
      <c r="AS107" s="3418" t="s">
        <v>296</v>
      </c>
    </row>
    <row r="108" spans="1:45" ht="13" thickTop="1">
      <c r="A108" s="5059" t="s">
        <v>5</v>
      </c>
      <c r="B108" s="5060"/>
      <c r="C108" s="3518"/>
      <c r="D108" s="3518"/>
      <c r="E108" s="3535">
        <v>0</v>
      </c>
      <c r="F108" s="3518"/>
      <c r="G108" s="3518"/>
      <c r="H108" s="3518"/>
      <c r="I108" s="3532">
        <v>7.40923253588398E-5</v>
      </c>
      <c r="J108" s="3533">
        <v>0</v>
      </c>
      <c r="K108" s="3532">
        <v>2.70766732011373E-8</v>
      </c>
      <c r="L108" s="3535">
        <v>0</v>
      </c>
      <c r="M108" s="3532">
        <v>7.40923253588398E-5</v>
      </c>
      <c r="N108" s="3535">
        <v>0</v>
      </c>
      <c r="O108" s="3532">
        <v>2.57275221462163E-8</v>
      </c>
      <c r="P108" s="3532">
        <v>2.70766732011369E-8</v>
      </c>
      <c r="Q108" s="3518"/>
      <c r="R108" s="3535">
        <v>0</v>
      </c>
      <c r="S108" s="3537">
        <v>3.6650171511526001E-4</v>
      </c>
      <c r="T108" s="3518"/>
      <c r="U108" s="3537">
        <v>8.3619099131243795E-4</v>
      </c>
      <c r="V108" s="3538">
        <v>1.24809456586055E-3</v>
      </c>
      <c r="W108" s="3518"/>
      <c r="X108" s="3535">
        <v>0</v>
      </c>
      <c r="Y108" s="3538">
        <v>1.78771767156699E-3</v>
      </c>
      <c r="Z108" s="3518"/>
      <c r="AA108" s="3532">
        <v>1.30449396248083E-5</v>
      </c>
      <c r="AB108" s="3535">
        <v>0</v>
      </c>
      <c r="AC108" s="3518"/>
      <c r="AD108" s="3518"/>
      <c r="AE108" s="3535">
        <v>0</v>
      </c>
      <c r="AF108" s="3532">
        <v>7.40923253588398E-5</v>
      </c>
      <c r="AG108" s="3518"/>
      <c r="AH108" s="3532">
        <v>2.57275221462163E-8</v>
      </c>
      <c r="AI108" s="3518"/>
      <c r="AJ108" s="3518"/>
      <c r="AK108" s="3535">
        <v>0</v>
      </c>
      <c r="AL108" s="3535">
        <v>0</v>
      </c>
      <c r="AM108" s="3518"/>
      <c r="AN108" s="3518"/>
      <c r="AO108" s="3586"/>
      <c r="AP108" s="3512"/>
      <c r="AS108" s="3411">
        <v>0</v>
      </c>
    </row>
    <row r="109" spans="1:45">
      <c r="A109" s="5057" t="s">
        <v>674</v>
      </c>
      <c r="B109" s="5058"/>
      <c r="C109" s="3518"/>
      <c r="D109" s="3518"/>
      <c r="E109" s="3544">
        <v>2.85669481528641</v>
      </c>
      <c r="F109" s="3518"/>
      <c r="G109" s="3518"/>
      <c r="H109" s="3518"/>
      <c r="I109" s="3544">
        <v>2.1048788943061201</v>
      </c>
      <c r="J109" s="3533">
        <v>0</v>
      </c>
      <c r="K109" s="3544">
        <v>2.1882594081816902</v>
      </c>
      <c r="L109" s="3544">
        <v>3.1840581128972798</v>
      </c>
      <c r="M109" s="3544">
        <v>2.1048788943061201</v>
      </c>
      <c r="N109" s="3544">
        <v>2.8753709714334099</v>
      </c>
      <c r="O109" s="3544">
        <v>2.1900878010057099</v>
      </c>
      <c r="P109" s="3544">
        <v>2.1882594081816902</v>
      </c>
      <c r="Q109" s="3518"/>
      <c r="R109" s="3544">
        <v>2.7721309912044001</v>
      </c>
      <c r="S109" s="3545">
        <v>0.86485634625671004</v>
      </c>
      <c r="T109" s="3518"/>
      <c r="U109" s="3543">
        <v>3.7778693917716197E-2</v>
      </c>
      <c r="V109" s="3537">
        <v>2.5811966804091503E-4</v>
      </c>
      <c r="W109" s="3518"/>
      <c r="X109" s="3544">
        <v>2.7721309912044001</v>
      </c>
      <c r="Y109" s="3537">
        <v>3.70464376479742E-4</v>
      </c>
      <c r="Z109" s="3518"/>
      <c r="AA109" s="3535">
        <v>0</v>
      </c>
      <c r="AB109" s="3544">
        <v>2.88455680534988</v>
      </c>
      <c r="AC109" s="3518"/>
      <c r="AD109" s="3518"/>
      <c r="AE109" s="3544">
        <v>2.8845825531339</v>
      </c>
      <c r="AF109" s="3544">
        <v>2.1048788943061201</v>
      </c>
      <c r="AG109" s="3518"/>
      <c r="AH109" s="3544">
        <v>2.1900878010057099</v>
      </c>
      <c r="AI109" s="3518"/>
      <c r="AJ109" s="3518"/>
      <c r="AK109" s="3544">
        <v>2.88715311487642</v>
      </c>
      <c r="AL109" s="3544">
        <v>2.8863248625217799</v>
      </c>
      <c r="AM109" s="3518"/>
      <c r="AN109" s="3518"/>
      <c r="AO109" s="3586"/>
      <c r="AP109" s="3512"/>
      <c r="AS109" s="3419">
        <v>3.84233060948855E-2</v>
      </c>
    </row>
    <row r="110" spans="1:45">
      <c r="A110" s="5057" t="s">
        <v>3</v>
      </c>
      <c r="B110" s="5058"/>
      <c r="C110" s="3518"/>
      <c r="D110" s="3518"/>
      <c r="E110" s="3544">
        <v>4.0802633600105302</v>
      </c>
      <c r="F110" s="3518"/>
      <c r="G110" s="3518"/>
      <c r="H110" s="3518"/>
      <c r="I110" s="3544">
        <v>4.0184461228980597</v>
      </c>
      <c r="J110" s="3533">
        <v>0</v>
      </c>
      <c r="K110" s="3538">
        <v>1.9737072417611002E-3</v>
      </c>
      <c r="L110" s="3544">
        <v>4.3326822681552004</v>
      </c>
      <c r="M110" s="3544">
        <v>4.0184461228980597</v>
      </c>
      <c r="N110" s="3544">
        <v>4.0952375402267798</v>
      </c>
      <c r="O110" s="3538">
        <v>1.66242767102613E-3</v>
      </c>
      <c r="P110" s="3538">
        <v>1.9737072417610902E-3</v>
      </c>
      <c r="Q110" s="3518"/>
      <c r="R110" s="3544">
        <v>3.9937251427132101</v>
      </c>
      <c r="S110" s="3546">
        <v>11.9873753352498</v>
      </c>
      <c r="T110" s="3518"/>
      <c r="U110" s="3546">
        <v>81.2058498351238</v>
      </c>
      <c r="V110" s="3546">
        <v>67.657325458420502</v>
      </c>
      <c r="W110" s="3518"/>
      <c r="X110" s="3544">
        <v>3.9937251427132101</v>
      </c>
      <c r="Y110" s="3546">
        <v>97.043883251413106</v>
      </c>
      <c r="Z110" s="3518"/>
      <c r="AA110" s="3545">
        <v>0.58880341300491201</v>
      </c>
      <c r="AB110" s="3538">
        <v>9.5110370752767501E-3</v>
      </c>
      <c r="AC110" s="3518"/>
      <c r="AD110" s="3518"/>
      <c r="AE110" s="3538">
        <v>9.4757911347369602E-3</v>
      </c>
      <c r="AF110" s="3544">
        <v>4.0184461228980597</v>
      </c>
      <c r="AG110" s="3518"/>
      <c r="AH110" s="3538">
        <v>1.66242767102613E-3</v>
      </c>
      <c r="AI110" s="3518"/>
      <c r="AJ110" s="3518"/>
      <c r="AK110" s="3537">
        <v>3.5725638035346999E-4</v>
      </c>
      <c r="AL110" s="3537">
        <v>7.5233665739861497E-4</v>
      </c>
      <c r="AM110" s="3518"/>
      <c r="AN110" s="3518"/>
      <c r="AO110" s="3586"/>
      <c r="AP110" s="3512"/>
      <c r="AS110" s="3420">
        <v>5.05010677168556E-4</v>
      </c>
    </row>
    <row r="111" spans="1:45">
      <c r="A111" s="5057" t="s">
        <v>6</v>
      </c>
      <c r="B111" s="5058"/>
      <c r="C111" s="3518"/>
      <c r="D111" s="3518"/>
      <c r="E111" s="3546">
        <v>51.1146408617278</v>
      </c>
      <c r="F111" s="3518"/>
      <c r="G111" s="3518"/>
      <c r="H111" s="3518"/>
      <c r="I111" s="3546">
        <v>50.980502960433199</v>
      </c>
      <c r="J111" s="3533">
        <v>0</v>
      </c>
      <c r="K111" s="3546">
        <v>52.981878955191299</v>
      </c>
      <c r="L111" s="3546">
        <v>54.568013902703498</v>
      </c>
      <c r="M111" s="3546">
        <v>50.980502960433199</v>
      </c>
      <c r="N111" s="3546">
        <v>50.1904385840296</v>
      </c>
      <c r="O111" s="3546">
        <v>53.026127654092598</v>
      </c>
      <c r="P111" s="3546">
        <v>52.981878955191299</v>
      </c>
      <c r="Q111" s="3518"/>
      <c r="R111" s="3546">
        <v>48.616898219152901</v>
      </c>
      <c r="S111" s="3546">
        <v>50.847506638665401</v>
      </c>
      <c r="T111" s="3518"/>
      <c r="U111" s="3544">
        <v>5.9471029678271803</v>
      </c>
      <c r="V111" s="3543">
        <v>4.78074886550467E-2</v>
      </c>
      <c r="W111" s="3518"/>
      <c r="X111" s="3546">
        <v>48.616898219152901</v>
      </c>
      <c r="Y111" s="3543">
        <v>6.8614272097005796E-2</v>
      </c>
      <c r="Z111" s="3518"/>
      <c r="AA111" s="3535">
        <v>0</v>
      </c>
      <c r="AB111" s="3546">
        <v>50.5676588163848</v>
      </c>
      <c r="AC111" s="3518"/>
      <c r="AD111" s="3518"/>
      <c r="AE111" s="3546">
        <v>50.568109822976602</v>
      </c>
      <c r="AF111" s="3546">
        <v>50.980502960433199</v>
      </c>
      <c r="AG111" s="3518"/>
      <c r="AH111" s="3546">
        <v>53.026127654092598</v>
      </c>
      <c r="AI111" s="3518"/>
      <c r="AJ111" s="3518"/>
      <c r="AK111" s="3546">
        <v>50.619907626856502</v>
      </c>
      <c r="AL111" s="3546">
        <v>50.605358887732997</v>
      </c>
      <c r="AM111" s="3518"/>
      <c r="AN111" s="3518"/>
      <c r="AO111" s="3586"/>
      <c r="AP111" s="3512"/>
      <c r="AS111" s="3412">
        <v>95.021705448084106</v>
      </c>
    </row>
    <row r="112" spans="1:45">
      <c r="A112" s="5057" t="s">
        <v>7</v>
      </c>
      <c r="B112" s="5058"/>
      <c r="C112" s="3518"/>
      <c r="D112" s="3518"/>
      <c r="E112" s="3546">
        <v>18.2453045474772</v>
      </c>
      <c r="F112" s="3518"/>
      <c r="G112" s="3518"/>
      <c r="H112" s="3518"/>
      <c r="I112" s="3546">
        <v>18.611773555772</v>
      </c>
      <c r="J112" s="3533">
        <v>0</v>
      </c>
      <c r="K112" s="3546">
        <v>19.340831678179999</v>
      </c>
      <c r="L112" s="3546">
        <v>17.559780852951899</v>
      </c>
      <c r="M112" s="3546">
        <v>18.611773555772</v>
      </c>
      <c r="N112" s="3546">
        <v>17.3342197867638</v>
      </c>
      <c r="O112" s="3546">
        <v>19.356988804463601</v>
      </c>
      <c r="P112" s="3546">
        <v>19.340831678179999</v>
      </c>
      <c r="Q112" s="3518"/>
      <c r="R112" s="3546">
        <v>17.099676539733998</v>
      </c>
      <c r="S112" s="3546">
        <v>20.1512949431594</v>
      </c>
      <c r="T112" s="3518"/>
      <c r="U112" s="3544">
        <v>3.4062398459476699</v>
      </c>
      <c r="V112" s="3543">
        <v>2.99528931622021E-2</v>
      </c>
      <c r="W112" s="3518"/>
      <c r="X112" s="3546">
        <v>17.099676539733998</v>
      </c>
      <c r="Y112" s="3543">
        <v>4.2988835839022903E-2</v>
      </c>
      <c r="Z112" s="3518"/>
      <c r="AA112" s="3535">
        <v>0</v>
      </c>
      <c r="AB112" s="3546">
        <v>17.782333312431899</v>
      </c>
      <c r="AC112" s="3518"/>
      <c r="AD112" s="3518"/>
      <c r="AE112" s="3546">
        <v>17.782491835743599</v>
      </c>
      <c r="AF112" s="3546">
        <v>18.611773555772</v>
      </c>
      <c r="AG112" s="3518"/>
      <c r="AH112" s="3546">
        <v>19.356988804463601</v>
      </c>
      <c r="AI112" s="3518"/>
      <c r="AJ112" s="3518"/>
      <c r="AK112" s="3546">
        <v>17.803036097052001</v>
      </c>
      <c r="AL112" s="3546">
        <v>17.797935099685901</v>
      </c>
      <c r="AM112" s="3518"/>
      <c r="AN112" s="3518"/>
      <c r="AO112" s="3586"/>
      <c r="AP112" s="3512"/>
      <c r="AS112" s="3413">
        <v>3.6534990115708701</v>
      </c>
    </row>
    <row r="113" spans="1:45">
      <c r="A113" s="5057" t="s">
        <v>8</v>
      </c>
      <c r="B113" s="5058"/>
      <c r="C113" s="3518"/>
      <c r="D113" s="3518"/>
      <c r="E113" s="3546">
        <v>12.976611871308</v>
      </c>
      <c r="F113" s="3518"/>
      <c r="G113" s="3518"/>
      <c r="H113" s="3518"/>
      <c r="I113" s="3546">
        <v>13.0383409240606</v>
      </c>
      <c r="J113" s="3533">
        <v>0</v>
      </c>
      <c r="K113" s="3546">
        <v>13.552236407789801</v>
      </c>
      <c r="L113" s="3546">
        <v>13.0417733369371</v>
      </c>
      <c r="M113" s="3546">
        <v>13.0383409240606</v>
      </c>
      <c r="N113" s="3546">
        <v>14.444643343349499</v>
      </c>
      <c r="O113" s="3546">
        <v>13.563562399494099</v>
      </c>
      <c r="P113" s="3546">
        <v>13.552236407789801</v>
      </c>
      <c r="Q113" s="3518"/>
      <c r="R113" s="3546">
        <v>14.6913692573943</v>
      </c>
      <c r="S113" s="3544">
        <v>9.2035963570735593</v>
      </c>
      <c r="T113" s="3518"/>
      <c r="U113" s="3544">
        <v>1.3229658418022301</v>
      </c>
      <c r="V113" s="3543">
        <v>1.11908167590546E-2</v>
      </c>
      <c r="W113" s="3518"/>
      <c r="X113" s="3546">
        <v>14.6913692573943</v>
      </c>
      <c r="Y113" s="3543">
        <v>1.6061361644589899E-2</v>
      </c>
      <c r="Z113" s="3518"/>
      <c r="AA113" s="3535">
        <v>0</v>
      </c>
      <c r="AB113" s="3546">
        <v>15.283461594934099</v>
      </c>
      <c r="AC113" s="3518"/>
      <c r="AD113" s="3518"/>
      <c r="AE113" s="3546">
        <v>15.2835979208848</v>
      </c>
      <c r="AF113" s="3546">
        <v>13.0383409240606</v>
      </c>
      <c r="AG113" s="3518"/>
      <c r="AH113" s="3546">
        <v>13.563562399494099</v>
      </c>
      <c r="AI113" s="3518"/>
      <c r="AJ113" s="3518"/>
      <c r="AK113" s="3546">
        <v>15.2986981672327</v>
      </c>
      <c r="AL113" s="3546">
        <v>15.294327795257599</v>
      </c>
      <c r="AM113" s="3518"/>
      <c r="AN113" s="3518"/>
      <c r="AO113" s="3586"/>
      <c r="AP113" s="3512"/>
      <c r="AS113" s="3413">
        <v>1.28586722357299</v>
      </c>
    </row>
    <row r="114" spans="1:45">
      <c r="A114" s="5057" t="s">
        <v>678</v>
      </c>
      <c r="B114" s="5058"/>
      <c r="C114" s="3518"/>
      <c r="D114" s="3518"/>
      <c r="E114" s="3544">
        <v>1.5418142986899099</v>
      </c>
      <c r="F114" s="3518"/>
      <c r="G114" s="3518"/>
      <c r="H114" s="3518"/>
      <c r="I114" s="3544">
        <v>2.02957026352105</v>
      </c>
      <c r="J114" s="3533">
        <v>0</v>
      </c>
      <c r="K114" s="3544">
        <v>2.10989945354001</v>
      </c>
      <c r="L114" s="3544">
        <v>1.6006377641648899</v>
      </c>
      <c r="M114" s="3544">
        <v>2.02957026352105</v>
      </c>
      <c r="N114" s="3544">
        <v>2.0373794191359398</v>
      </c>
      <c r="O114" s="3544">
        <v>2.1116632542451499</v>
      </c>
      <c r="P114" s="3544">
        <v>2.10989945354001</v>
      </c>
      <c r="Q114" s="3518"/>
      <c r="R114" s="3544">
        <v>2.1599959606258898</v>
      </c>
      <c r="S114" s="3545">
        <v>0.89620963716066204</v>
      </c>
      <c r="T114" s="3518"/>
      <c r="U114" s="3543">
        <v>9.9945514790754197E-2</v>
      </c>
      <c r="V114" s="3537">
        <v>8.2813553137008901E-4</v>
      </c>
      <c r="W114" s="3518"/>
      <c r="X114" s="3544">
        <v>2.1599959606258898</v>
      </c>
      <c r="Y114" s="3538">
        <v>1.1885746782960801E-3</v>
      </c>
      <c r="Z114" s="3518"/>
      <c r="AA114" s="3535">
        <v>0</v>
      </c>
      <c r="AB114" s="3544">
        <v>2.2475235612427098</v>
      </c>
      <c r="AC114" s="3518"/>
      <c r="AD114" s="3518"/>
      <c r="AE114" s="3544">
        <v>2.2475436165215998</v>
      </c>
      <c r="AF114" s="3544">
        <v>2.02957026352105</v>
      </c>
      <c r="AG114" s="3518"/>
      <c r="AH114" s="3544">
        <v>2.1116632542451499</v>
      </c>
      <c r="AI114" s="3518"/>
      <c r="AJ114" s="3518"/>
      <c r="AK114" s="3544">
        <v>2.2495885337158201</v>
      </c>
      <c r="AL114" s="3544">
        <v>2.2489469028319999</v>
      </c>
      <c r="AM114" s="3518"/>
      <c r="AN114" s="3518"/>
      <c r="AO114" s="3586"/>
      <c r="AP114" s="3512"/>
      <c r="AS114" s="3411">
        <v>0</v>
      </c>
    </row>
    <row r="115" spans="1:45">
      <c r="A115" s="5057" t="s">
        <v>67</v>
      </c>
      <c r="B115" s="5058"/>
      <c r="C115" s="3518"/>
      <c r="D115" s="3518"/>
      <c r="E115" s="3544">
        <v>5.8239906850209797</v>
      </c>
      <c r="F115" s="3518"/>
      <c r="G115" s="3518"/>
      <c r="H115" s="3518"/>
      <c r="I115" s="3544">
        <v>4.5115039651821398</v>
      </c>
      <c r="J115" s="3533">
        <v>0</v>
      </c>
      <c r="K115" s="3544">
        <v>4.6895612555175497</v>
      </c>
      <c r="L115" s="3544">
        <v>3.7932166207861</v>
      </c>
      <c r="M115" s="3544">
        <v>4.5115039651821398</v>
      </c>
      <c r="N115" s="3544">
        <v>5.1916139298238004</v>
      </c>
      <c r="O115" s="3544">
        <v>4.6934810884172098</v>
      </c>
      <c r="P115" s="3544">
        <v>4.6895612555175497</v>
      </c>
      <c r="Q115" s="3518"/>
      <c r="R115" s="3544">
        <v>5.6511522225684203</v>
      </c>
      <c r="S115" s="3544">
        <v>2.7361322963631198</v>
      </c>
      <c r="T115" s="3518"/>
      <c r="U115" s="3545">
        <v>0.43940100597139398</v>
      </c>
      <c r="V115" s="3538">
        <v>3.76146030805715E-3</v>
      </c>
      <c r="W115" s="3518"/>
      <c r="X115" s="3544">
        <v>5.6511522225684203</v>
      </c>
      <c r="Y115" s="3538">
        <v>5.3985567677101503E-3</v>
      </c>
      <c r="Z115" s="3518"/>
      <c r="AA115" s="3535">
        <v>0</v>
      </c>
      <c r="AB115" s="3544">
        <v>5.8795731541713803</v>
      </c>
      <c r="AC115" s="3518"/>
      <c r="AD115" s="3518"/>
      <c r="AE115" s="3544">
        <v>5.8796256029605303</v>
      </c>
      <c r="AF115" s="3544">
        <v>4.5115039651821398</v>
      </c>
      <c r="AG115" s="3518"/>
      <c r="AH115" s="3544">
        <v>4.6934810884172098</v>
      </c>
      <c r="AI115" s="3518"/>
      <c r="AJ115" s="3518"/>
      <c r="AK115" s="3544">
        <v>5.8850554922969804</v>
      </c>
      <c r="AL115" s="3544">
        <v>5.8833740941755899</v>
      </c>
      <c r="AM115" s="3518"/>
      <c r="AN115" s="3518"/>
      <c r="AO115" s="3586"/>
      <c r="AP115" s="3512"/>
      <c r="AS115" s="3411">
        <v>0</v>
      </c>
    </row>
    <row r="116" spans="1:45">
      <c r="A116" s="5057" t="s">
        <v>679</v>
      </c>
      <c r="B116" s="5058"/>
      <c r="C116" s="3518"/>
      <c r="D116" s="3518"/>
      <c r="E116" s="3545">
        <v>0.53988036547304097</v>
      </c>
      <c r="F116" s="3518"/>
      <c r="G116" s="3518"/>
      <c r="H116" s="3518"/>
      <c r="I116" s="3544">
        <v>1.17011957378287</v>
      </c>
      <c r="J116" s="3533">
        <v>0</v>
      </c>
      <c r="K116" s="3544">
        <v>1.2165531845416899</v>
      </c>
      <c r="L116" s="3545">
        <v>0.69492448141270902</v>
      </c>
      <c r="M116" s="3544">
        <v>1.17011957378287</v>
      </c>
      <c r="N116" s="3544">
        <v>1.1682714081218299</v>
      </c>
      <c r="O116" s="3544">
        <v>1.2175703069938799</v>
      </c>
      <c r="P116" s="3544">
        <v>1.2165531845416899</v>
      </c>
      <c r="Q116" s="3518"/>
      <c r="R116" s="3544">
        <v>1.37181046461217</v>
      </c>
      <c r="S116" s="3545">
        <v>0.313494752439758</v>
      </c>
      <c r="T116" s="3518"/>
      <c r="U116" s="3543">
        <v>3.2106841404381303E-2</v>
      </c>
      <c r="V116" s="3537">
        <v>2.2952479489843101E-4</v>
      </c>
      <c r="W116" s="3518"/>
      <c r="X116" s="3544">
        <v>1.37181046461217</v>
      </c>
      <c r="Y116" s="3537">
        <v>3.2942495778775501E-4</v>
      </c>
      <c r="Z116" s="3518"/>
      <c r="AA116" s="3535">
        <v>0</v>
      </c>
      <c r="AB116" s="3544">
        <v>1.4275078829882799</v>
      </c>
      <c r="AC116" s="3518"/>
      <c r="AD116" s="3518"/>
      <c r="AE116" s="3544">
        <v>1.42752062371026</v>
      </c>
      <c r="AF116" s="3544">
        <v>1.17011957378287</v>
      </c>
      <c r="AG116" s="3518"/>
      <c r="AH116" s="3544">
        <v>1.2175703069938799</v>
      </c>
      <c r="AI116" s="3518"/>
      <c r="AJ116" s="3518"/>
      <c r="AK116" s="3544">
        <v>1.4288198434672501</v>
      </c>
      <c r="AL116" s="3544">
        <v>1.4284120878320601</v>
      </c>
      <c r="AM116" s="3518"/>
      <c r="AN116" s="3518"/>
      <c r="AO116" s="3586"/>
      <c r="AP116" s="3512"/>
      <c r="AS116" s="3411">
        <v>0</v>
      </c>
    </row>
    <row r="117" spans="1:45">
      <c r="A117" s="5057" t="s">
        <v>69</v>
      </c>
      <c r="B117" s="5058"/>
      <c r="C117" s="3518"/>
      <c r="D117" s="3518"/>
      <c r="E117" s="3545">
        <v>0.51305042416878299</v>
      </c>
      <c r="F117" s="3518"/>
      <c r="G117" s="3518"/>
      <c r="H117" s="3518"/>
      <c r="I117" s="3544">
        <v>1.17984442814943</v>
      </c>
      <c r="J117" s="3533">
        <v>0</v>
      </c>
      <c r="K117" s="3544">
        <v>1.2266165571814001</v>
      </c>
      <c r="L117" s="3545">
        <v>0.674215319804358</v>
      </c>
      <c r="M117" s="3544">
        <v>1.17984442814943</v>
      </c>
      <c r="N117" s="3544">
        <v>1.2083950834172701</v>
      </c>
      <c r="O117" s="3544">
        <v>1.2276420571622</v>
      </c>
      <c r="P117" s="3544">
        <v>1.2266165571814001</v>
      </c>
      <c r="Q117" s="3518"/>
      <c r="R117" s="3544">
        <v>1.46534299629022</v>
      </c>
      <c r="S117" s="3545">
        <v>0.391650929458568</v>
      </c>
      <c r="T117" s="3518"/>
      <c r="U117" s="3543">
        <v>4.8176816192604402E-2</v>
      </c>
      <c r="V117" s="3537">
        <v>3.6275300138047202E-4</v>
      </c>
      <c r="W117" s="3518"/>
      <c r="X117" s="3544">
        <v>1.46534299629022</v>
      </c>
      <c r="Y117" s="3537">
        <v>5.2063882004685499E-4</v>
      </c>
      <c r="Z117" s="3518"/>
      <c r="AA117" s="3535">
        <v>0</v>
      </c>
      <c r="AB117" s="3544">
        <v>1.5247606292481899</v>
      </c>
      <c r="AC117" s="3518"/>
      <c r="AD117" s="3518"/>
      <c r="AE117" s="3544">
        <v>1.5247742363733501</v>
      </c>
      <c r="AF117" s="3544">
        <v>1.17984442814943</v>
      </c>
      <c r="AG117" s="3518"/>
      <c r="AH117" s="3544">
        <v>1.2276420571622</v>
      </c>
      <c r="AI117" s="3518"/>
      <c r="AJ117" s="3518"/>
      <c r="AK117" s="3544">
        <v>1.5261925493286199</v>
      </c>
      <c r="AL117" s="3544">
        <v>1.5257571733009201</v>
      </c>
      <c r="AM117" s="3518"/>
      <c r="AN117" s="3518"/>
      <c r="AO117" s="3586"/>
      <c r="AP117" s="3512"/>
      <c r="AS117" s="3411">
        <v>0</v>
      </c>
    </row>
    <row r="118" spans="1:45">
      <c r="A118" s="5057" t="s">
        <v>10</v>
      </c>
      <c r="B118" s="5058"/>
      <c r="C118" s="3518"/>
      <c r="D118" s="3518"/>
      <c r="E118" s="3544">
        <v>2.29247466461646</v>
      </c>
      <c r="F118" s="3518"/>
      <c r="G118" s="3518"/>
      <c r="H118" s="3518"/>
      <c r="I118" s="3544">
        <v>2.3549452195692102</v>
      </c>
      <c r="J118" s="3533">
        <v>0</v>
      </c>
      <c r="K118" s="3544">
        <v>2.4484815716949799</v>
      </c>
      <c r="L118" s="3545">
        <v>0.53087746888767995</v>
      </c>
      <c r="M118" s="3544">
        <v>2.3549452195692102</v>
      </c>
      <c r="N118" s="3544">
        <v>1.4028337455290101</v>
      </c>
      <c r="O118" s="3544">
        <v>2.4505288092819302</v>
      </c>
      <c r="P118" s="3544">
        <v>2.4484815716949799</v>
      </c>
      <c r="Q118" s="3518"/>
      <c r="R118" s="3544">
        <v>2.1598497630690101</v>
      </c>
      <c r="S118" s="3545">
        <v>0.48062227393464402</v>
      </c>
      <c r="T118" s="3518"/>
      <c r="U118" s="3543">
        <v>4.65809361768902E-2</v>
      </c>
      <c r="V118" s="3537">
        <v>3.4223917183126801E-4</v>
      </c>
      <c r="W118" s="3518"/>
      <c r="X118" s="3544">
        <v>2.1598497630690101</v>
      </c>
      <c r="Y118" s="3537">
        <v>4.9119999944963796E-4</v>
      </c>
      <c r="Z118" s="3518"/>
      <c r="AA118" s="3535">
        <v>0</v>
      </c>
      <c r="AB118" s="3544">
        <v>2.24767527233496</v>
      </c>
      <c r="AC118" s="3518"/>
      <c r="AD118" s="3518"/>
      <c r="AE118" s="3544">
        <v>2.2476953345752002</v>
      </c>
      <c r="AF118" s="3544">
        <v>2.3549452195692102</v>
      </c>
      <c r="AG118" s="3518"/>
      <c r="AH118" s="3544">
        <v>2.4505288092819302</v>
      </c>
      <c r="AI118" s="3518"/>
      <c r="AJ118" s="3518"/>
      <c r="AK118" s="3544">
        <v>2.2496741124580799</v>
      </c>
      <c r="AL118" s="3544">
        <v>2.2490336524677801</v>
      </c>
      <c r="AM118" s="3518"/>
      <c r="AN118" s="3518"/>
      <c r="AO118" s="3586"/>
      <c r="AP118" s="3512"/>
      <c r="AS118" s="3411">
        <v>0</v>
      </c>
    </row>
    <row r="119" spans="1:45">
      <c r="A119" s="5057" t="s">
        <v>298</v>
      </c>
      <c r="B119" s="5058"/>
      <c r="C119" s="3518"/>
      <c r="D119" s="3518"/>
      <c r="E119" s="3543">
        <v>1.52741062208443E-2</v>
      </c>
      <c r="F119" s="3518"/>
      <c r="G119" s="3518"/>
      <c r="H119" s="3518"/>
      <c r="I119" s="3535">
        <v>0</v>
      </c>
      <c r="J119" s="3533">
        <v>100</v>
      </c>
      <c r="K119" s="3545">
        <v>0.24014825659310499</v>
      </c>
      <c r="L119" s="3543">
        <v>1.98198712992677E-2</v>
      </c>
      <c r="M119" s="3535">
        <v>0</v>
      </c>
      <c r="N119" s="3543">
        <v>5.1596188168999801E-2</v>
      </c>
      <c r="O119" s="3545">
        <v>0.16047453100868</v>
      </c>
      <c r="P119" s="3545">
        <v>0.24014825659310199</v>
      </c>
      <c r="Q119" s="3518"/>
      <c r="R119" s="3543">
        <v>1.8048442635419899E-2</v>
      </c>
      <c r="S119" s="3544">
        <v>2.1257542415084498</v>
      </c>
      <c r="T119" s="3518"/>
      <c r="U119" s="3544">
        <v>7.3986166480803304</v>
      </c>
      <c r="V119" s="3546">
        <v>32.2465528308309</v>
      </c>
      <c r="W119" s="3518"/>
      <c r="X119" s="3543">
        <v>1.8048442635419899E-2</v>
      </c>
      <c r="Y119" s="3544">
        <v>2.81836570173436</v>
      </c>
      <c r="Z119" s="3518"/>
      <c r="AA119" s="3546">
        <v>98.188440884227106</v>
      </c>
      <c r="AB119" s="3545">
        <v>0.14337424657471401</v>
      </c>
      <c r="AC119" s="3518"/>
      <c r="AD119" s="3518"/>
      <c r="AE119" s="3545">
        <v>0.14298846076652499</v>
      </c>
      <c r="AF119" s="3535">
        <v>0</v>
      </c>
      <c r="AG119" s="3518"/>
      <c r="AH119" s="3545">
        <v>0.16047453100868</v>
      </c>
      <c r="AI119" s="3518"/>
      <c r="AJ119" s="3518"/>
      <c r="AK119" s="3543">
        <v>5.1516093421905398E-2</v>
      </c>
      <c r="AL119" s="3543">
        <v>7.9651750056364601E-2</v>
      </c>
      <c r="AM119" s="3518"/>
      <c r="AN119" s="3518"/>
      <c r="AO119" s="3586"/>
      <c r="AP119" s="3512"/>
      <c r="AS119" s="3411">
        <v>0</v>
      </c>
    </row>
    <row r="120" spans="1:45">
      <c r="A120" s="5057" t="s">
        <v>680</v>
      </c>
      <c r="B120" s="5058"/>
      <c r="C120" s="3518"/>
      <c r="D120" s="3518"/>
      <c r="E120" s="3535">
        <v>0</v>
      </c>
      <c r="F120" s="3518"/>
      <c r="G120" s="3518"/>
      <c r="H120" s="3518"/>
      <c r="I120" s="3535">
        <v>0</v>
      </c>
      <c r="J120" s="3533">
        <v>0</v>
      </c>
      <c r="K120" s="3538">
        <v>1.01091815362881E-3</v>
      </c>
      <c r="L120" s="3535">
        <v>0</v>
      </c>
      <c r="M120" s="3535">
        <v>0</v>
      </c>
      <c r="N120" s="3535">
        <v>0</v>
      </c>
      <c r="O120" s="3532">
        <v>8.3930305292446096E-6</v>
      </c>
      <c r="P120" s="3538">
        <v>1.0109181536303101E-3</v>
      </c>
      <c r="Q120" s="3518"/>
      <c r="R120" s="3535">
        <v>0</v>
      </c>
      <c r="S120" s="3538">
        <v>1.0416007575333099E-3</v>
      </c>
      <c r="T120" s="3518"/>
      <c r="U120" s="3543">
        <v>1.28341755828829E-2</v>
      </c>
      <c r="V120" s="3532">
        <v>6.3738141095224702E-5</v>
      </c>
      <c r="W120" s="3518"/>
      <c r="X120" s="3535">
        <v>0</v>
      </c>
      <c r="Y120" s="3532">
        <v>4.38629102964012E-13</v>
      </c>
      <c r="Z120" s="3518"/>
      <c r="AA120" s="3545">
        <v>0.41458481099280098</v>
      </c>
      <c r="AB120" s="3537">
        <v>7.6736796039246296E-4</v>
      </c>
      <c r="AC120" s="3518"/>
      <c r="AD120" s="3518"/>
      <c r="AE120" s="3537">
        <v>4.41185700198525E-4</v>
      </c>
      <c r="AF120" s="3535">
        <v>0</v>
      </c>
      <c r="AG120" s="3518"/>
      <c r="AH120" s="3532">
        <v>8.3930305292446096E-6</v>
      </c>
      <c r="AI120" s="3518"/>
      <c r="AJ120" s="3518"/>
      <c r="AK120" s="3532">
        <v>5.3733235717418602E-9</v>
      </c>
      <c r="AL120" s="3532">
        <v>3.7788227089602901E-6</v>
      </c>
      <c r="AM120" s="3518"/>
      <c r="AN120" s="3518"/>
      <c r="AO120" s="3586"/>
      <c r="AP120" s="3512"/>
      <c r="AS120" s="3411">
        <v>0</v>
      </c>
    </row>
    <row r="121" spans="1:45">
      <c r="A121" s="5057" t="s">
        <v>681</v>
      </c>
      <c r="B121" s="5058"/>
      <c r="C121" s="3518"/>
      <c r="D121" s="3518"/>
      <c r="E121" s="3535">
        <v>0</v>
      </c>
      <c r="F121" s="3518"/>
      <c r="G121" s="3518"/>
      <c r="H121" s="3518"/>
      <c r="I121" s="3535">
        <v>0</v>
      </c>
      <c r="J121" s="3533">
        <v>0</v>
      </c>
      <c r="K121" s="3538">
        <v>2.5486191163828198E-3</v>
      </c>
      <c r="L121" s="3535">
        <v>0</v>
      </c>
      <c r="M121" s="3535">
        <v>0</v>
      </c>
      <c r="N121" s="3535">
        <v>0</v>
      </c>
      <c r="O121" s="3537">
        <v>2.0244740582899299E-4</v>
      </c>
      <c r="P121" s="3538">
        <v>2.5486191163826498E-3</v>
      </c>
      <c r="Q121" s="3518"/>
      <c r="R121" s="3535">
        <v>0</v>
      </c>
      <c r="S121" s="3532">
        <v>9.8146257352077303E-5</v>
      </c>
      <c r="T121" s="3518"/>
      <c r="U121" s="3538">
        <v>1.56468619079716E-3</v>
      </c>
      <c r="V121" s="3532">
        <v>7.6446989734522494E-5</v>
      </c>
      <c r="W121" s="3518"/>
      <c r="X121" s="3535">
        <v>0</v>
      </c>
      <c r="Y121" s="3532">
        <v>1.9912309831505701E-13</v>
      </c>
      <c r="Z121" s="3518"/>
      <c r="AA121" s="3545">
        <v>0.80815784683554504</v>
      </c>
      <c r="AB121" s="3538">
        <v>1.2963193033160699E-3</v>
      </c>
      <c r="AC121" s="3518"/>
      <c r="AD121" s="3518"/>
      <c r="AE121" s="3538">
        <v>1.15301551868404E-3</v>
      </c>
      <c r="AF121" s="3535">
        <v>0</v>
      </c>
      <c r="AG121" s="3518"/>
      <c r="AH121" s="3537">
        <v>2.0244740582899299E-4</v>
      </c>
      <c r="AI121" s="3518"/>
      <c r="AJ121" s="3518"/>
      <c r="AK121" s="3532">
        <v>1.10754003516619E-6</v>
      </c>
      <c r="AL121" s="3537">
        <v>1.2157865689741E-4</v>
      </c>
      <c r="AM121" s="3518"/>
      <c r="AN121" s="3518"/>
      <c r="AO121" s="3586"/>
      <c r="AP121" s="3512"/>
      <c r="AS121" s="3411">
        <v>0</v>
      </c>
    </row>
    <row r="122" spans="1:45">
      <c r="A122" s="5057" t="s">
        <v>675</v>
      </c>
      <c r="B122" s="5058"/>
      <c r="C122" s="3518"/>
      <c r="D122" s="3518"/>
      <c r="E122" s="3535">
        <v>0</v>
      </c>
      <c r="F122" s="3518"/>
      <c r="G122" s="3518"/>
      <c r="H122" s="3518"/>
      <c r="I122" s="3535">
        <v>0</v>
      </c>
      <c r="J122" s="3533">
        <v>0</v>
      </c>
      <c r="K122" s="3535">
        <v>0</v>
      </c>
      <c r="L122" s="3535">
        <v>0</v>
      </c>
      <c r="M122" s="3535">
        <v>0</v>
      </c>
      <c r="N122" s="3535">
        <v>0</v>
      </c>
      <c r="O122" s="3535">
        <v>0</v>
      </c>
      <c r="P122" s="3535">
        <v>0</v>
      </c>
      <c r="Q122" s="3518"/>
      <c r="R122" s="3535">
        <v>0</v>
      </c>
      <c r="S122" s="3535">
        <v>0</v>
      </c>
      <c r="T122" s="3518"/>
      <c r="U122" s="3535">
        <v>0</v>
      </c>
      <c r="V122" s="3535">
        <v>0</v>
      </c>
      <c r="W122" s="3518"/>
      <c r="X122" s="3535">
        <v>0</v>
      </c>
      <c r="Y122" s="3535">
        <v>0</v>
      </c>
      <c r="Z122" s="3518"/>
      <c r="AA122" s="3535">
        <v>0</v>
      </c>
      <c r="AB122" s="3535">
        <v>0</v>
      </c>
      <c r="AC122" s="3518"/>
      <c r="AD122" s="3518"/>
      <c r="AE122" s="3535">
        <v>0</v>
      </c>
      <c r="AF122" s="3535">
        <v>0</v>
      </c>
      <c r="AG122" s="3518"/>
      <c r="AH122" s="3535">
        <v>0</v>
      </c>
      <c r="AI122" s="3518"/>
      <c r="AJ122" s="3518"/>
      <c r="AK122" s="3535">
        <v>0</v>
      </c>
      <c r="AL122" s="3535">
        <v>0</v>
      </c>
      <c r="AM122" s="3518"/>
      <c r="AN122" s="3518"/>
      <c r="AO122" s="3586"/>
      <c r="AP122" s="3512"/>
      <c r="AS122" s="3411">
        <v>0</v>
      </c>
    </row>
    <row r="123" spans="1:45" ht="13" thickBot="1">
      <c r="A123" s="5055" t="s">
        <v>425</v>
      </c>
      <c r="B123" s="5056"/>
      <c r="C123" s="3519" t="s">
        <v>426</v>
      </c>
      <c r="D123" s="3519" t="s">
        <v>426</v>
      </c>
      <c r="E123" s="3519" t="s">
        <v>426</v>
      </c>
      <c r="F123" s="3519" t="s">
        <v>426</v>
      </c>
      <c r="G123" s="3519" t="s">
        <v>426</v>
      </c>
      <c r="H123" s="3519" t="s">
        <v>426</v>
      </c>
      <c r="I123" s="3519" t="s">
        <v>426</v>
      </c>
      <c r="J123" s="3519" t="s">
        <v>426</v>
      </c>
      <c r="K123" s="3519" t="s">
        <v>426</v>
      </c>
      <c r="L123" s="3519" t="s">
        <v>426</v>
      </c>
      <c r="M123" s="3519" t="s">
        <v>426</v>
      </c>
      <c r="N123" s="3519" t="s">
        <v>426</v>
      </c>
      <c r="O123" s="3519" t="s">
        <v>426</v>
      </c>
      <c r="P123" s="3519" t="s">
        <v>426</v>
      </c>
      <c r="Q123" s="3519" t="s">
        <v>426</v>
      </c>
      <c r="R123" s="3519" t="s">
        <v>426</v>
      </c>
      <c r="S123" s="3519" t="s">
        <v>426</v>
      </c>
      <c r="T123" s="3519" t="s">
        <v>426</v>
      </c>
      <c r="U123" s="3519" t="s">
        <v>426</v>
      </c>
      <c r="V123" s="3519" t="s">
        <v>426</v>
      </c>
      <c r="W123" s="3519" t="s">
        <v>426</v>
      </c>
      <c r="X123" s="3519" t="s">
        <v>426</v>
      </c>
      <c r="Y123" s="3519" t="s">
        <v>426</v>
      </c>
      <c r="Z123" s="3519" t="s">
        <v>426</v>
      </c>
      <c r="AA123" s="3519" t="s">
        <v>426</v>
      </c>
      <c r="AB123" s="3519" t="s">
        <v>426</v>
      </c>
      <c r="AC123" s="3519" t="s">
        <v>426</v>
      </c>
      <c r="AD123" s="3519" t="s">
        <v>426</v>
      </c>
      <c r="AE123" s="3519" t="s">
        <v>426</v>
      </c>
      <c r="AF123" s="3519" t="s">
        <v>426</v>
      </c>
      <c r="AG123" s="3519" t="s">
        <v>426</v>
      </c>
      <c r="AH123" s="3519" t="s">
        <v>426</v>
      </c>
      <c r="AI123" s="3519" t="s">
        <v>426</v>
      </c>
      <c r="AJ123" s="3519" t="s">
        <v>426</v>
      </c>
      <c r="AK123" s="3519" t="s">
        <v>426</v>
      </c>
      <c r="AL123" s="3519" t="s">
        <v>426</v>
      </c>
      <c r="AM123" s="3519" t="s">
        <v>426</v>
      </c>
      <c r="AN123" s="3519" t="s">
        <v>426</v>
      </c>
      <c r="AO123" s="3530" t="s">
        <v>426</v>
      </c>
      <c r="AP123" s="3512"/>
      <c r="AS123" s="3418" t="s">
        <v>426</v>
      </c>
    </row>
    <row r="124" spans="1:45" ht="13" thickTop="1">
      <c r="A124" s="5059" t="s">
        <v>5</v>
      </c>
      <c r="B124" s="5060"/>
      <c r="C124" s="3518"/>
      <c r="D124" s="3518"/>
      <c r="E124" s="3535">
        <v>0</v>
      </c>
      <c r="F124" s="3518"/>
      <c r="G124" s="3518"/>
      <c r="H124" s="3518"/>
      <c r="I124" s="3545">
        <v>0.45895370668779101</v>
      </c>
      <c r="J124" s="3533">
        <v>0</v>
      </c>
      <c r="K124" s="3537">
        <v>1.61297208851425E-4</v>
      </c>
      <c r="L124" s="3535">
        <v>0</v>
      </c>
      <c r="M124" s="3545">
        <v>0.45895370668779101</v>
      </c>
      <c r="N124" s="3535">
        <v>0</v>
      </c>
      <c r="O124" s="3537">
        <v>1.5313219520554801E-4</v>
      </c>
      <c r="P124" s="3537">
        <v>1.61297208851423E-4</v>
      </c>
      <c r="Q124" s="3518"/>
      <c r="R124" s="3535">
        <v>0</v>
      </c>
      <c r="S124" s="3538">
        <v>1.1354524164581799E-3</v>
      </c>
      <c r="T124" s="3518"/>
      <c r="U124" s="3538">
        <v>1.9541630382739301E-3</v>
      </c>
      <c r="V124" s="3545">
        <v>0.458576706450817</v>
      </c>
      <c r="W124" s="3518"/>
      <c r="X124" s="3535">
        <v>0</v>
      </c>
      <c r="Y124" s="3545">
        <v>0.45764713334295798</v>
      </c>
      <c r="Z124" s="3518"/>
      <c r="AA124" s="3538">
        <v>5.8984161117740398E-3</v>
      </c>
      <c r="AB124" s="3535">
        <v>0</v>
      </c>
      <c r="AC124" s="3518"/>
      <c r="AD124" s="3518"/>
      <c r="AE124" s="3535">
        <v>0</v>
      </c>
      <c r="AF124" s="3545">
        <v>0.45895370668779101</v>
      </c>
      <c r="AG124" s="3518"/>
      <c r="AH124" s="3537">
        <v>1.5313219520554801E-4</v>
      </c>
      <c r="AI124" s="3518"/>
      <c r="AJ124" s="3518"/>
      <c r="AK124" s="3535">
        <v>0</v>
      </c>
      <c r="AL124" s="3535">
        <v>0</v>
      </c>
      <c r="AM124" s="3518"/>
      <c r="AN124" s="3518"/>
      <c r="AO124" s="3586"/>
      <c r="AP124" s="3512"/>
      <c r="AS124" s="3411">
        <v>0</v>
      </c>
    </row>
    <row r="125" spans="1:45">
      <c r="A125" s="5057" t="s">
        <v>674</v>
      </c>
      <c r="B125" s="5058"/>
      <c r="C125" s="3518"/>
      <c r="D125" s="3518"/>
      <c r="E125" s="3557">
        <v>17618.433998877499</v>
      </c>
      <c r="F125" s="3518"/>
      <c r="G125" s="3518"/>
      <c r="H125" s="3518"/>
      <c r="I125" s="3557">
        <v>13038.3540534328</v>
      </c>
      <c r="J125" s="3533">
        <v>0</v>
      </c>
      <c r="K125" s="3557">
        <v>13035.579820335999</v>
      </c>
      <c r="L125" s="3557">
        <v>13817.2680923886</v>
      </c>
      <c r="M125" s="3557">
        <v>13038.3540534328</v>
      </c>
      <c r="N125" s="3557">
        <v>14020.1595635712</v>
      </c>
      <c r="O125" s="3557">
        <v>13035.571430271601</v>
      </c>
      <c r="P125" s="3557">
        <v>13035.579820335999</v>
      </c>
      <c r="Q125" s="3518"/>
      <c r="R125" s="3557">
        <v>14188.376281802201</v>
      </c>
      <c r="S125" s="3544">
        <v>2.6793959966532399</v>
      </c>
      <c r="T125" s="3518"/>
      <c r="U125" s="3543">
        <v>8.8288116058739596E-2</v>
      </c>
      <c r="V125" s="3543">
        <v>9.48387009110708E-2</v>
      </c>
      <c r="W125" s="3518"/>
      <c r="X125" s="3557">
        <v>14188.376281802201</v>
      </c>
      <c r="Y125" s="3543">
        <v>9.4837100174230402E-2</v>
      </c>
      <c r="Z125" s="3518"/>
      <c r="AA125" s="3535">
        <v>0</v>
      </c>
      <c r="AB125" s="3557">
        <v>14355.8911544333</v>
      </c>
      <c r="AC125" s="3518"/>
      <c r="AD125" s="3518"/>
      <c r="AE125" s="3557">
        <v>14355.8911055394</v>
      </c>
      <c r="AF125" s="3557">
        <v>13038.3540534328</v>
      </c>
      <c r="AG125" s="3518"/>
      <c r="AH125" s="3557">
        <v>13035.571430271601</v>
      </c>
      <c r="AI125" s="3518"/>
      <c r="AJ125" s="3518"/>
      <c r="AK125" s="3557">
        <v>14356.4103250181</v>
      </c>
      <c r="AL125" s="3557">
        <v>14356.3902425575</v>
      </c>
      <c r="AM125" s="3518"/>
      <c r="AN125" s="3518"/>
      <c r="AO125" s="3586"/>
      <c r="AP125" s="3512"/>
      <c r="AS125" s="3421">
        <v>0.384677009433323</v>
      </c>
    </row>
    <row r="126" spans="1:45">
      <c r="A126" s="5057" t="s">
        <v>3</v>
      </c>
      <c r="B126" s="5058"/>
      <c r="C126" s="3518"/>
      <c r="D126" s="3518"/>
      <c r="E126" s="3557">
        <v>25164.693939900699</v>
      </c>
      <c r="F126" s="3518"/>
      <c r="G126" s="3518"/>
      <c r="H126" s="3518"/>
      <c r="I126" s="3557">
        <v>24891.656919891899</v>
      </c>
      <c r="J126" s="3533">
        <v>0</v>
      </c>
      <c r="K126" s="3546">
        <v>11.757480943875301</v>
      </c>
      <c r="L126" s="3557">
        <v>18801.739897820102</v>
      </c>
      <c r="M126" s="3557">
        <v>24891.656919891899</v>
      </c>
      <c r="N126" s="3557">
        <v>19968.165615890499</v>
      </c>
      <c r="O126" s="3544">
        <v>9.8948976581531305</v>
      </c>
      <c r="P126" s="3546">
        <v>11.757480943875199</v>
      </c>
      <c r="Q126" s="3518"/>
      <c r="R126" s="3557">
        <v>20440.763899937599</v>
      </c>
      <c r="S126" s="3546">
        <v>37.137873385176597</v>
      </c>
      <c r="T126" s="3518"/>
      <c r="U126" s="3558">
        <v>189.77658440250801</v>
      </c>
      <c r="V126" s="3557">
        <v>24858.752152807701</v>
      </c>
      <c r="W126" s="3518"/>
      <c r="X126" s="3557">
        <v>20440.763899937599</v>
      </c>
      <c r="Y126" s="3557">
        <v>24842.767784215899</v>
      </c>
      <c r="Z126" s="3518"/>
      <c r="AA126" s="3558">
        <v>266.23408293365401</v>
      </c>
      <c r="AB126" s="3546">
        <v>47.334624426608102</v>
      </c>
      <c r="AC126" s="3518"/>
      <c r="AD126" s="3518"/>
      <c r="AE126" s="3546">
        <v>47.158790973525299</v>
      </c>
      <c r="AF126" s="3557">
        <v>24891.656919891899</v>
      </c>
      <c r="AG126" s="3518"/>
      <c r="AH126" s="3544">
        <v>9.8948976581531305</v>
      </c>
      <c r="AI126" s="3518"/>
      <c r="AJ126" s="3518"/>
      <c r="AK126" s="3544">
        <v>1.77646248172907</v>
      </c>
      <c r="AL126" s="3544">
        <v>3.7420731074461</v>
      </c>
      <c r="AM126" s="3518"/>
      <c r="AN126" s="3518"/>
      <c r="AO126" s="3586"/>
      <c r="AP126" s="3512"/>
      <c r="AS126" s="3422">
        <v>5.0559417387291503E-3</v>
      </c>
    </row>
    <row r="127" spans="1:45">
      <c r="A127" s="5057" t="s">
        <v>6</v>
      </c>
      <c r="B127" s="5058"/>
      <c r="C127" s="3518"/>
      <c r="D127" s="3518"/>
      <c r="E127" s="3560">
        <v>315245.409337989</v>
      </c>
      <c r="F127" s="3518"/>
      <c r="G127" s="3518"/>
      <c r="H127" s="3518"/>
      <c r="I127" s="3560">
        <v>315791.01734464802</v>
      </c>
      <c r="J127" s="3533">
        <v>0</v>
      </c>
      <c r="K127" s="3560">
        <v>315615.92266872199</v>
      </c>
      <c r="L127" s="3560">
        <v>236798.71743194101</v>
      </c>
      <c r="M127" s="3560">
        <v>315791.01734464802</v>
      </c>
      <c r="N127" s="3560">
        <v>244725.97258047899</v>
      </c>
      <c r="O127" s="3560">
        <v>315615.59969796799</v>
      </c>
      <c r="P127" s="3560">
        <v>315615.92266872199</v>
      </c>
      <c r="Q127" s="3518"/>
      <c r="R127" s="3560">
        <v>248831.98080323299</v>
      </c>
      <c r="S127" s="3558">
        <v>157.529751983805</v>
      </c>
      <c r="T127" s="3518"/>
      <c r="U127" s="3546">
        <v>13.8982707602439</v>
      </c>
      <c r="V127" s="3546">
        <v>17.5654964702135</v>
      </c>
      <c r="W127" s="3518"/>
      <c r="X127" s="3560">
        <v>248831.98080323299</v>
      </c>
      <c r="Y127" s="3546">
        <v>17.5649239424279</v>
      </c>
      <c r="Z127" s="3518"/>
      <c r="AA127" s="3535">
        <v>0</v>
      </c>
      <c r="AB127" s="3560">
        <v>251665.63007397199</v>
      </c>
      <c r="AC127" s="3518"/>
      <c r="AD127" s="3518"/>
      <c r="AE127" s="3560">
        <v>251665.62740349199</v>
      </c>
      <c r="AF127" s="3560">
        <v>315791.01734464802</v>
      </c>
      <c r="AG127" s="3518"/>
      <c r="AH127" s="3560">
        <v>315615.59969796799</v>
      </c>
      <c r="AI127" s="3518"/>
      <c r="AJ127" s="3518"/>
      <c r="AK127" s="3560">
        <v>251708.21760756301</v>
      </c>
      <c r="AL127" s="3560">
        <v>251707.73047432399</v>
      </c>
      <c r="AM127" s="3518"/>
      <c r="AN127" s="3518"/>
      <c r="AO127" s="3586"/>
      <c r="AP127" s="3512"/>
      <c r="AS127" s="3417">
        <v>951.31494912897801</v>
      </c>
    </row>
    <row r="128" spans="1:45">
      <c r="A128" s="5057" t="s">
        <v>7</v>
      </c>
      <c r="B128" s="5058"/>
      <c r="C128" s="3518"/>
      <c r="D128" s="3518"/>
      <c r="E128" s="3560">
        <v>112526.438679771</v>
      </c>
      <c r="F128" s="3518"/>
      <c r="G128" s="3518"/>
      <c r="H128" s="3518"/>
      <c r="I128" s="3560">
        <v>115287.817194095</v>
      </c>
      <c r="J128" s="3533">
        <v>0</v>
      </c>
      <c r="K128" s="3560">
        <v>115214.381891813</v>
      </c>
      <c r="L128" s="3557">
        <v>76200.933238637794</v>
      </c>
      <c r="M128" s="3560">
        <v>115287.817194095</v>
      </c>
      <c r="N128" s="3557">
        <v>84520.755664195094</v>
      </c>
      <c r="O128" s="3560">
        <v>115214.289637009</v>
      </c>
      <c r="P128" s="3560">
        <v>115214.381891813</v>
      </c>
      <c r="Q128" s="3518"/>
      <c r="R128" s="3557">
        <v>87519.906459197504</v>
      </c>
      <c r="S128" s="3546">
        <v>62.4303668832112</v>
      </c>
      <c r="T128" s="3518"/>
      <c r="U128" s="3544">
        <v>7.96032016082758</v>
      </c>
      <c r="V128" s="3546">
        <v>11.0053352291661</v>
      </c>
      <c r="W128" s="3518"/>
      <c r="X128" s="3557">
        <v>87519.906459197504</v>
      </c>
      <c r="Y128" s="3546">
        <v>11.004935399131099</v>
      </c>
      <c r="Z128" s="3518"/>
      <c r="AA128" s="3535">
        <v>0</v>
      </c>
      <c r="AB128" s="3557">
        <v>88499.294252644395</v>
      </c>
      <c r="AC128" s="3518"/>
      <c r="AD128" s="3518"/>
      <c r="AE128" s="3557">
        <v>88499.292939885199</v>
      </c>
      <c r="AF128" s="3560">
        <v>115287.817194095</v>
      </c>
      <c r="AG128" s="3518"/>
      <c r="AH128" s="3560">
        <v>115214.289637009</v>
      </c>
      <c r="AI128" s="3518"/>
      <c r="AJ128" s="3518"/>
      <c r="AK128" s="3557">
        <v>88525.852655143302</v>
      </c>
      <c r="AL128" s="3557">
        <v>88525.759910323904</v>
      </c>
      <c r="AM128" s="3518"/>
      <c r="AN128" s="3518"/>
      <c r="AO128" s="3586"/>
      <c r="AP128" s="3512"/>
      <c r="AS128" s="3412">
        <v>36.577203176323202</v>
      </c>
    </row>
    <row r="129" spans="1:45">
      <c r="A129" s="5057" t="s">
        <v>8</v>
      </c>
      <c r="B129" s="5058"/>
      <c r="C129" s="3518"/>
      <c r="D129" s="3518"/>
      <c r="E129" s="3557">
        <v>80032.203146197397</v>
      </c>
      <c r="F129" s="3518"/>
      <c r="G129" s="3518"/>
      <c r="H129" s="3518"/>
      <c r="I129" s="3557">
        <v>80764.031459066595</v>
      </c>
      <c r="J129" s="3533">
        <v>0</v>
      </c>
      <c r="K129" s="3557">
        <v>80731.406330204001</v>
      </c>
      <c r="L129" s="3557">
        <v>56594.971639086601</v>
      </c>
      <c r="M129" s="3557">
        <v>80764.031459066595</v>
      </c>
      <c r="N129" s="3557">
        <v>70431.330956812293</v>
      </c>
      <c r="O129" s="3557">
        <v>80731.369046646607</v>
      </c>
      <c r="P129" s="3557">
        <v>80731.406330204001</v>
      </c>
      <c r="Q129" s="3518"/>
      <c r="R129" s="3557">
        <v>75193.659960580699</v>
      </c>
      <c r="S129" s="3546">
        <v>28.513497461965301</v>
      </c>
      <c r="T129" s="3518"/>
      <c r="U129" s="3544">
        <v>3.0917469523214298</v>
      </c>
      <c r="V129" s="3544">
        <v>4.1117460425152297</v>
      </c>
      <c r="W129" s="3518"/>
      <c r="X129" s="3557">
        <v>75193.659960580699</v>
      </c>
      <c r="Y129" s="3544">
        <v>4.1116314008286396</v>
      </c>
      <c r="Z129" s="3518"/>
      <c r="AA129" s="3535">
        <v>0</v>
      </c>
      <c r="AB129" s="3557">
        <v>76062.884500283893</v>
      </c>
      <c r="AC129" s="3518"/>
      <c r="AD129" s="3518"/>
      <c r="AE129" s="3557">
        <v>76062.883766213403</v>
      </c>
      <c r="AF129" s="3557">
        <v>80764.031459066595</v>
      </c>
      <c r="AG129" s="3518"/>
      <c r="AH129" s="3557">
        <v>80731.369046646607</v>
      </c>
      <c r="AI129" s="3518"/>
      <c r="AJ129" s="3518"/>
      <c r="AK129" s="3557">
        <v>76072.996335283606</v>
      </c>
      <c r="AL129" s="3557">
        <v>76072.981658229997</v>
      </c>
      <c r="AM129" s="3518"/>
      <c r="AN129" s="3518"/>
      <c r="AO129" s="3586"/>
      <c r="AP129" s="3512"/>
      <c r="AS129" s="3412">
        <v>12.8735293332353</v>
      </c>
    </row>
    <row r="130" spans="1:45">
      <c r="A130" s="5057" t="s">
        <v>678</v>
      </c>
      <c r="B130" s="5058"/>
      <c r="C130" s="3518"/>
      <c r="D130" s="3518"/>
      <c r="E130" s="3562">
        <v>9509.0148638332394</v>
      </c>
      <c r="F130" s="3518"/>
      <c r="G130" s="3518"/>
      <c r="H130" s="3518"/>
      <c r="I130" s="3557">
        <v>12571.866126687401</v>
      </c>
      <c r="J130" s="3533">
        <v>0</v>
      </c>
      <c r="K130" s="3557">
        <v>12568.7853262142</v>
      </c>
      <c r="L130" s="3562">
        <v>6945.9916628667697</v>
      </c>
      <c r="M130" s="3557">
        <v>12571.866126687401</v>
      </c>
      <c r="N130" s="3562">
        <v>9934.1562642201297</v>
      </c>
      <c r="O130" s="3557">
        <v>12568.7824820319</v>
      </c>
      <c r="P130" s="3557">
        <v>12568.7853262142</v>
      </c>
      <c r="Q130" s="3518"/>
      <c r="R130" s="3557">
        <v>11055.334525594601</v>
      </c>
      <c r="S130" s="3544">
        <v>2.7765310671115402</v>
      </c>
      <c r="T130" s="3518"/>
      <c r="U130" s="3545">
        <v>0.23357083833061201</v>
      </c>
      <c r="V130" s="3545">
        <v>0.30427475197662601</v>
      </c>
      <c r="W130" s="3518"/>
      <c r="X130" s="3557">
        <v>11055.334525594601</v>
      </c>
      <c r="Y130" s="3545">
        <v>0.30426940614702502</v>
      </c>
      <c r="Z130" s="3518"/>
      <c r="AA130" s="3535">
        <v>0</v>
      </c>
      <c r="AB130" s="3557">
        <v>11185.497734828299</v>
      </c>
      <c r="AC130" s="3518"/>
      <c r="AD130" s="3518"/>
      <c r="AE130" s="3557">
        <v>11185.4976654005</v>
      </c>
      <c r="AF130" s="3557">
        <v>12571.866126687401</v>
      </c>
      <c r="AG130" s="3518"/>
      <c r="AH130" s="3557">
        <v>12568.7824820319</v>
      </c>
      <c r="AI130" s="3518"/>
      <c r="AJ130" s="3518"/>
      <c r="AK130" s="3557">
        <v>11186.111289377401</v>
      </c>
      <c r="AL130" s="3557">
        <v>11186.114145044099</v>
      </c>
      <c r="AM130" s="3518"/>
      <c r="AN130" s="3518"/>
      <c r="AO130" s="3586"/>
      <c r="AP130" s="3512"/>
      <c r="AS130" s="3411">
        <v>0</v>
      </c>
    </row>
    <row r="131" spans="1:45">
      <c r="A131" s="5057" t="s">
        <v>67</v>
      </c>
      <c r="B131" s="5058"/>
      <c r="C131" s="3518"/>
      <c r="D131" s="3518"/>
      <c r="E131" s="3557">
        <v>35918.991046942399</v>
      </c>
      <c r="F131" s="3518"/>
      <c r="G131" s="3518"/>
      <c r="H131" s="3518"/>
      <c r="I131" s="3557">
        <v>27945.829173655002</v>
      </c>
      <c r="J131" s="3533">
        <v>0</v>
      </c>
      <c r="K131" s="3557">
        <v>27935.970406474898</v>
      </c>
      <c r="L131" s="3557">
        <v>16460.7206035616</v>
      </c>
      <c r="M131" s="3557">
        <v>27945.829173655002</v>
      </c>
      <c r="N131" s="3557">
        <v>25314.0399662251</v>
      </c>
      <c r="O131" s="3557">
        <v>27935.961269039399</v>
      </c>
      <c r="P131" s="3557">
        <v>27935.970406475</v>
      </c>
      <c r="Q131" s="3518"/>
      <c r="R131" s="3557">
        <v>28923.8403285942</v>
      </c>
      <c r="S131" s="3544">
        <v>8.4767625894403906</v>
      </c>
      <c r="T131" s="3518"/>
      <c r="U131" s="3544">
        <v>1.02687210669655</v>
      </c>
      <c r="V131" s="3544">
        <v>1.38204117436006</v>
      </c>
      <c r="W131" s="3518"/>
      <c r="X131" s="3557">
        <v>28923.8403285942</v>
      </c>
      <c r="Y131" s="3544">
        <v>1.3820045906724101</v>
      </c>
      <c r="Z131" s="3518"/>
      <c r="AA131" s="3535">
        <v>0</v>
      </c>
      <c r="AB131" s="3557">
        <v>29261.518469411702</v>
      </c>
      <c r="AC131" s="3518"/>
      <c r="AD131" s="3518"/>
      <c r="AE131" s="3557">
        <v>29261.5182067645</v>
      </c>
      <c r="AF131" s="3557">
        <v>27945.829173655002</v>
      </c>
      <c r="AG131" s="3518"/>
      <c r="AH131" s="3557">
        <v>27935.961269039399</v>
      </c>
      <c r="AI131" s="3518"/>
      <c r="AJ131" s="3518"/>
      <c r="AK131" s="3557">
        <v>29263.522948464601</v>
      </c>
      <c r="AL131" s="3557">
        <v>29263.516222890401</v>
      </c>
      <c r="AM131" s="3518"/>
      <c r="AN131" s="3518"/>
      <c r="AO131" s="3586"/>
      <c r="AP131" s="3512"/>
      <c r="AS131" s="3411">
        <v>0</v>
      </c>
    </row>
    <row r="132" spans="1:45">
      <c r="A132" s="5057" t="s">
        <v>679</v>
      </c>
      <c r="B132" s="5058"/>
      <c r="C132" s="3518"/>
      <c r="D132" s="3518"/>
      <c r="E132" s="3562">
        <v>3329.6684460229899</v>
      </c>
      <c r="F132" s="3518"/>
      <c r="G132" s="3518"/>
      <c r="H132" s="3518"/>
      <c r="I132" s="3562">
        <v>7248.1287779087397</v>
      </c>
      <c r="J132" s="3533">
        <v>0</v>
      </c>
      <c r="K132" s="3562">
        <v>7247.0732142102497</v>
      </c>
      <c r="L132" s="3562">
        <v>3015.6352438261101</v>
      </c>
      <c r="M132" s="3562">
        <v>7248.1287779087397</v>
      </c>
      <c r="N132" s="3562">
        <v>5696.4307277752096</v>
      </c>
      <c r="O132" s="3562">
        <v>7247.0723324005103</v>
      </c>
      <c r="P132" s="3562">
        <v>7247.0732142102497</v>
      </c>
      <c r="Q132" s="3518"/>
      <c r="R132" s="3562">
        <v>7021.2277561872997</v>
      </c>
      <c r="S132" s="3545">
        <v>0.97123249230290498</v>
      </c>
      <c r="T132" s="3518"/>
      <c r="U132" s="3543">
        <v>7.5033100571543498E-2</v>
      </c>
      <c r="V132" s="3543">
        <v>8.4332331357239804E-2</v>
      </c>
      <c r="W132" s="3518"/>
      <c r="X132" s="3562">
        <v>7021.2277561872997</v>
      </c>
      <c r="Y132" s="3543">
        <v>8.4331206197142405E-2</v>
      </c>
      <c r="Z132" s="3518"/>
      <c r="AA132" s="3535">
        <v>0</v>
      </c>
      <c r="AB132" s="3562">
        <v>7104.43550713491</v>
      </c>
      <c r="AC132" s="3518"/>
      <c r="AD132" s="3518"/>
      <c r="AE132" s="3562">
        <v>7104.4354763331603</v>
      </c>
      <c r="AF132" s="3562">
        <v>7248.1287779087397</v>
      </c>
      <c r="AG132" s="3518"/>
      <c r="AH132" s="3562">
        <v>7247.0723324005103</v>
      </c>
      <c r="AI132" s="3518"/>
      <c r="AJ132" s="3518"/>
      <c r="AK132" s="3562">
        <v>7104.8271903729901</v>
      </c>
      <c r="AL132" s="3562">
        <v>7104.8278821208396</v>
      </c>
      <c r="AM132" s="3518"/>
      <c r="AN132" s="3518"/>
      <c r="AO132" s="3586"/>
      <c r="AP132" s="3512"/>
      <c r="AS132" s="3411">
        <v>0</v>
      </c>
    </row>
    <row r="133" spans="1:45">
      <c r="A133" s="5057" t="s">
        <v>69</v>
      </c>
      <c r="B133" s="5058"/>
      <c r="C133" s="3518"/>
      <c r="D133" s="3518"/>
      <c r="E133" s="3562">
        <v>3164.1969551471102</v>
      </c>
      <c r="F133" s="3518"/>
      <c r="G133" s="3518"/>
      <c r="H133" s="3518"/>
      <c r="I133" s="3562">
        <v>7308.3679178860002</v>
      </c>
      <c r="J133" s="3533">
        <v>0</v>
      </c>
      <c r="K133" s="3562">
        <v>7307.0212701017699</v>
      </c>
      <c r="L133" s="3562">
        <v>2925.7675254097499</v>
      </c>
      <c r="M133" s="3562">
        <v>7308.3679178860002</v>
      </c>
      <c r="N133" s="3562">
        <v>5892.0716852404403</v>
      </c>
      <c r="O133" s="3562">
        <v>7307.0201658557198</v>
      </c>
      <c r="P133" s="3562">
        <v>7307.0212701017699</v>
      </c>
      <c r="Q133" s="3518"/>
      <c r="R133" s="3562">
        <v>7499.9478304725098</v>
      </c>
      <c r="S133" s="3544">
        <v>1.2133667481527901</v>
      </c>
      <c r="T133" s="3518"/>
      <c r="U133" s="3545">
        <v>0.112588337453312</v>
      </c>
      <c r="V133" s="3545">
        <v>0.13328323123777799</v>
      </c>
      <c r="W133" s="3518"/>
      <c r="X133" s="3562">
        <v>7499.9478304725098</v>
      </c>
      <c r="Y133" s="3545">
        <v>0.13328103608924599</v>
      </c>
      <c r="Z133" s="3518"/>
      <c r="AA133" s="3535">
        <v>0</v>
      </c>
      <c r="AB133" s="3562">
        <v>7588.4439472487002</v>
      </c>
      <c r="AC133" s="3518"/>
      <c r="AD133" s="3518"/>
      <c r="AE133" s="3562">
        <v>7588.4439064246299</v>
      </c>
      <c r="AF133" s="3562">
        <v>7308.3679178860002</v>
      </c>
      <c r="AG133" s="3518"/>
      <c r="AH133" s="3562">
        <v>7307.0201658557198</v>
      </c>
      <c r="AI133" s="3518"/>
      <c r="AJ133" s="3518"/>
      <c r="AK133" s="3562">
        <v>7589.0143686006204</v>
      </c>
      <c r="AL133" s="3562">
        <v>7589.0159419378797</v>
      </c>
      <c r="AM133" s="3518"/>
      <c r="AN133" s="3518"/>
      <c r="AO133" s="3586"/>
      <c r="AP133" s="3512"/>
      <c r="AS133" s="3411">
        <v>0</v>
      </c>
    </row>
    <row r="134" spans="1:45">
      <c r="A134" s="5057" t="s">
        <v>10</v>
      </c>
      <c r="B134" s="5058"/>
      <c r="C134" s="3518"/>
      <c r="D134" s="3518"/>
      <c r="E134" s="3557">
        <v>14138.6518981708</v>
      </c>
      <c r="F134" s="3518"/>
      <c r="G134" s="3518"/>
      <c r="H134" s="3518"/>
      <c r="I134" s="3557">
        <v>14587.3520952873</v>
      </c>
      <c r="J134" s="3533">
        <v>0</v>
      </c>
      <c r="K134" s="3557">
        <v>14585.7373431667</v>
      </c>
      <c r="L134" s="3562">
        <v>2303.7507645094902</v>
      </c>
      <c r="M134" s="3557">
        <v>14587.3520952873</v>
      </c>
      <c r="N134" s="3562">
        <v>6840.1445061797504</v>
      </c>
      <c r="O134" s="3557">
        <v>14585.736389501801</v>
      </c>
      <c r="P134" s="3557">
        <v>14585.7373431667</v>
      </c>
      <c r="Q134" s="3518"/>
      <c r="R134" s="3557">
        <v>11054.5862543351</v>
      </c>
      <c r="S134" s="3544">
        <v>1.48900728110125</v>
      </c>
      <c r="T134" s="3518"/>
      <c r="U134" s="3545">
        <v>0.108858795072888</v>
      </c>
      <c r="V134" s="3545">
        <v>0.12574601038233699</v>
      </c>
      <c r="W134" s="3518"/>
      <c r="X134" s="3557">
        <v>11054.5862543351</v>
      </c>
      <c r="Y134" s="3545">
        <v>0.12574483947968601</v>
      </c>
      <c r="Z134" s="3518"/>
      <c r="AA134" s="3535">
        <v>0</v>
      </c>
      <c r="AB134" s="3557">
        <v>11186.252772109299</v>
      </c>
      <c r="AC134" s="3518"/>
      <c r="AD134" s="3518"/>
      <c r="AE134" s="3557">
        <v>11186.2527305845</v>
      </c>
      <c r="AF134" s="3557">
        <v>14587.3520952873</v>
      </c>
      <c r="AG134" s="3518"/>
      <c r="AH134" s="3557">
        <v>14585.736389501801</v>
      </c>
      <c r="AI134" s="3518"/>
      <c r="AJ134" s="3518"/>
      <c r="AK134" s="3557">
        <v>11186.5368309023</v>
      </c>
      <c r="AL134" s="3557">
        <v>11186.5456320332</v>
      </c>
      <c r="AM134" s="3518"/>
      <c r="AN134" s="3518"/>
      <c r="AO134" s="3586"/>
      <c r="AP134" s="3512"/>
      <c r="AS134" s="3411">
        <v>0</v>
      </c>
    </row>
    <row r="135" spans="1:45">
      <c r="A135" s="5057" t="s">
        <v>298</v>
      </c>
      <c r="B135" s="5058"/>
      <c r="C135" s="3518"/>
      <c r="D135" s="3518"/>
      <c r="E135" s="3546">
        <v>94.201813544723805</v>
      </c>
      <c r="F135" s="3518"/>
      <c r="G135" s="3518"/>
      <c r="H135" s="3518"/>
      <c r="I135" s="3535">
        <v>0</v>
      </c>
      <c r="J135" s="3533">
        <v>46800</v>
      </c>
      <c r="K135" s="3562">
        <v>1430.57617201572</v>
      </c>
      <c r="L135" s="3546">
        <v>86.008629738679105</v>
      </c>
      <c r="M135" s="3535">
        <v>0</v>
      </c>
      <c r="N135" s="3558">
        <v>251.58033456837899</v>
      </c>
      <c r="O135" s="3558">
        <v>955.15677989821404</v>
      </c>
      <c r="P135" s="3562">
        <v>1430.5761720157</v>
      </c>
      <c r="Q135" s="3518"/>
      <c r="R135" s="3546">
        <v>92.375900065458595</v>
      </c>
      <c r="S135" s="3544">
        <v>6.5857612414117401</v>
      </c>
      <c r="T135" s="3518"/>
      <c r="U135" s="3546">
        <v>17.290431657657699</v>
      </c>
      <c r="V135" s="3557">
        <v>11848.074974478301</v>
      </c>
      <c r="W135" s="3518"/>
      <c r="X135" s="3546">
        <v>92.375900065458595</v>
      </c>
      <c r="Y135" s="3558">
        <v>721.48807645912098</v>
      </c>
      <c r="Z135" s="3518"/>
      <c r="AA135" s="3557">
        <v>44397.007449546501</v>
      </c>
      <c r="AB135" s="3558">
        <v>713.546384095505</v>
      </c>
      <c r="AC135" s="3518"/>
      <c r="AD135" s="3518"/>
      <c r="AE135" s="3558">
        <v>711.62004702648403</v>
      </c>
      <c r="AF135" s="3535">
        <v>0</v>
      </c>
      <c r="AG135" s="3518"/>
      <c r="AH135" s="3558">
        <v>955.15677989821404</v>
      </c>
      <c r="AI135" s="3518"/>
      <c r="AJ135" s="3518"/>
      <c r="AK135" s="3558">
        <v>256.164514343223</v>
      </c>
      <c r="AL135" s="3558">
        <v>396.18257187887599</v>
      </c>
      <c r="AM135" s="3518"/>
      <c r="AN135" s="3518"/>
      <c r="AO135" s="3586"/>
      <c r="AP135" s="3512"/>
      <c r="AS135" s="3411">
        <v>0</v>
      </c>
    </row>
    <row r="136" spans="1:45">
      <c r="A136" s="5057" t="s">
        <v>680</v>
      </c>
      <c r="B136" s="5058"/>
      <c r="C136" s="3518"/>
      <c r="D136" s="3518"/>
      <c r="E136" s="3535">
        <v>0</v>
      </c>
      <c r="F136" s="3518"/>
      <c r="G136" s="3518"/>
      <c r="H136" s="3518"/>
      <c r="I136" s="3535">
        <v>0</v>
      </c>
      <c r="J136" s="3533">
        <v>0</v>
      </c>
      <c r="K136" s="3544">
        <v>6.0220941969604596</v>
      </c>
      <c r="L136" s="3535">
        <v>0</v>
      </c>
      <c r="M136" s="3535">
        <v>0</v>
      </c>
      <c r="N136" s="3535">
        <v>0</v>
      </c>
      <c r="O136" s="3543">
        <v>4.9955964747247499E-2</v>
      </c>
      <c r="P136" s="3544">
        <v>6.02209419696936</v>
      </c>
      <c r="Q136" s="3518"/>
      <c r="R136" s="3535">
        <v>0</v>
      </c>
      <c r="S136" s="3538">
        <v>3.22696469988943E-3</v>
      </c>
      <c r="T136" s="3518"/>
      <c r="U136" s="3543">
        <v>2.9993233377727802E-2</v>
      </c>
      <c r="V136" s="3543">
        <v>2.3418759778505001E-2</v>
      </c>
      <c r="W136" s="3518"/>
      <c r="X136" s="3535">
        <v>0</v>
      </c>
      <c r="Y136" s="3532">
        <v>1.12286942600014E-10</v>
      </c>
      <c r="Z136" s="3518"/>
      <c r="AA136" s="3558">
        <v>187.459183345409</v>
      </c>
      <c r="AB136" s="3544">
        <v>3.8190445389608199</v>
      </c>
      <c r="AC136" s="3518"/>
      <c r="AD136" s="3518"/>
      <c r="AE136" s="3544">
        <v>2.1956777983317299</v>
      </c>
      <c r="AF136" s="3535">
        <v>0</v>
      </c>
      <c r="AG136" s="3518"/>
      <c r="AH136" s="3543">
        <v>4.9955964747247499E-2</v>
      </c>
      <c r="AI136" s="3518"/>
      <c r="AJ136" s="3518"/>
      <c r="AK136" s="3532">
        <v>2.6718928624718999E-5</v>
      </c>
      <c r="AL136" s="3543">
        <v>1.8795615896082401E-2</v>
      </c>
      <c r="AM136" s="3518"/>
      <c r="AN136" s="3518"/>
      <c r="AO136" s="3586"/>
      <c r="AP136" s="3512"/>
      <c r="AS136" s="3411">
        <v>0</v>
      </c>
    </row>
    <row r="137" spans="1:45">
      <c r="A137" s="5057" t="s">
        <v>681</v>
      </c>
      <c r="B137" s="5058"/>
      <c r="C137" s="3518"/>
      <c r="D137" s="3518"/>
      <c r="E137" s="3535">
        <v>0</v>
      </c>
      <c r="F137" s="3518"/>
      <c r="G137" s="3518"/>
      <c r="H137" s="3518"/>
      <c r="I137" s="3535">
        <v>0</v>
      </c>
      <c r="J137" s="3533">
        <v>0</v>
      </c>
      <c r="K137" s="3546">
        <v>15.182262120764101</v>
      </c>
      <c r="L137" s="3535">
        <v>0</v>
      </c>
      <c r="M137" s="3535">
        <v>0</v>
      </c>
      <c r="N137" s="3535">
        <v>0</v>
      </c>
      <c r="O137" s="3544">
        <v>1.2049825666099601</v>
      </c>
      <c r="P137" s="3546">
        <v>15.182262120762999</v>
      </c>
      <c r="Q137" s="3518"/>
      <c r="R137" s="3535">
        <v>0</v>
      </c>
      <c r="S137" s="3537">
        <v>3.0406516663011E-4</v>
      </c>
      <c r="T137" s="3518"/>
      <c r="U137" s="3538">
        <v>3.6566429826687301E-3</v>
      </c>
      <c r="V137" s="3543">
        <v>2.80882632850545E-2</v>
      </c>
      <c r="W137" s="3518"/>
      <c r="X137" s="3535">
        <v>0</v>
      </c>
      <c r="Y137" s="3532">
        <v>5.0974556315918299E-11</v>
      </c>
      <c r="Z137" s="3518"/>
      <c r="AA137" s="3558">
        <v>365.41765632751702</v>
      </c>
      <c r="AB137" s="3544">
        <v>6.4515348719364498</v>
      </c>
      <c r="AC137" s="3518"/>
      <c r="AD137" s="3518"/>
      <c r="AE137" s="3544">
        <v>5.7382879235825497</v>
      </c>
      <c r="AF137" s="3535">
        <v>0</v>
      </c>
      <c r="AG137" s="3518"/>
      <c r="AH137" s="3544">
        <v>1.2049825666099601</v>
      </c>
      <c r="AI137" s="3518"/>
      <c r="AJ137" s="3518"/>
      <c r="AK137" s="3538">
        <v>5.5072587298202304E-3</v>
      </c>
      <c r="AL137" s="3545">
        <v>0.60472425202346802</v>
      </c>
      <c r="AM137" s="3518"/>
      <c r="AN137" s="3518"/>
      <c r="AO137" s="3586"/>
      <c r="AP137" s="3512"/>
      <c r="AS137" s="3411">
        <v>0</v>
      </c>
    </row>
    <row r="138" spans="1:45">
      <c r="A138" s="5057" t="s">
        <v>675</v>
      </c>
      <c r="B138" s="5058"/>
      <c r="C138" s="3518"/>
      <c r="D138" s="3518"/>
      <c r="E138" s="3535">
        <v>0</v>
      </c>
      <c r="F138" s="3518"/>
      <c r="G138" s="3518"/>
      <c r="H138" s="3518"/>
      <c r="I138" s="3535">
        <v>0</v>
      </c>
      <c r="J138" s="3533">
        <v>0</v>
      </c>
      <c r="K138" s="3535">
        <v>0</v>
      </c>
      <c r="L138" s="3535">
        <v>0</v>
      </c>
      <c r="M138" s="3535">
        <v>0</v>
      </c>
      <c r="N138" s="3535">
        <v>0</v>
      </c>
      <c r="O138" s="3535">
        <v>0</v>
      </c>
      <c r="P138" s="3535">
        <v>0</v>
      </c>
      <c r="Q138" s="3518"/>
      <c r="R138" s="3535">
        <v>0</v>
      </c>
      <c r="S138" s="3535">
        <v>0</v>
      </c>
      <c r="T138" s="3518"/>
      <c r="U138" s="3535">
        <v>0</v>
      </c>
      <c r="V138" s="3535">
        <v>0</v>
      </c>
      <c r="W138" s="3518"/>
      <c r="X138" s="3535">
        <v>0</v>
      </c>
      <c r="Y138" s="3535">
        <v>0</v>
      </c>
      <c r="Z138" s="3518"/>
      <c r="AA138" s="3535">
        <v>0</v>
      </c>
      <c r="AB138" s="3535">
        <v>0</v>
      </c>
      <c r="AC138" s="3518"/>
      <c r="AD138" s="3518"/>
      <c r="AE138" s="3535">
        <v>0</v>
      </c>
      <c r="AF138" s="3535">
        <v>0</v>
      </c>
      <c r="AG138" s="3518"/>
      <c r="AH138" s="3535">
        <v>0</v>
      </c>
      <c r="AI138" s="3518"/>
      <c r="AJ138" s="3518"/>
      <c r="AK138" s="3535">
        <v>0</v>
      </c>
      <c r="AL138" s="3535">
        <v>0</v>
      </c>
      <c r="AM138" s="3518"/>
      <c r="AN138" s="3518"/>
      <c r="AO138" s="3586"/>
      <c r="AP138" s="3512"/>
      <c r="AS138" s="3411">
        <v>0</v>
      </c>
    </row>
    <row r="139" spans="1:45" ht="13" thickBot="1">
      <c r="A139" s="5055" t="s">
        <v>430</v>
      </c>
      <c r="B139" s="5056"/>
      <c r="C139" s="3519" t="s">
        <v>57</v>
      </c>
      <c r="D139" s="3519" t="s">
        <v>57</v>
      </c>
      <c r="E139" s="3519" t="s">
        <v>57</v>
      </c>
      <c r="F139" s="3519" t="s">
        <v>57</v>
      </c>
      <c r="G139" s="3519" t="s">
        <v>57</v>
      </c>
      <c r="H139" s="3519" t="s">
        <v>57</v>
      </c>
      <c r="I139" s="3519" t="s">
        <v>57</v>
      </c>
      <c r="J139" s="3519" t="s">
        <v>57</v>
      </c>
      <c r="K139" s="3519" t="s">
        <v>57</v>
      </c>
      <c r="L139" s="3519" t="s">
        <v>57</v>
      </c>
      <c r="M139" s="3519" t="s">
        <v>57</v>
      </c>
      <c r="N139" s="3519" t="s">
        <v>57</v>
      </c>
      <c r="O139" s="3519" t="s">
        <v>57</v>
      </c>
      <c r="P139" s="3519" t="s">
        <v>57</v>
      </c>
      <c r="Q139" s="3519" t="s">
        <v>57</v>
      </c>
      <c r="R139" s="3519" t="s">
        <v>57</v>
      </c>
      <c r="S139" s="3519" t="s">
        <v>57</v>
      </c>
      <c r="T139" s="3519" t="s">
        <v>57</v>
      </c>
      <c r="U139" s="3519" t="s">
        <v>57</v>
      </c>
      <c r="V139" s="3519" t="s">
        <v>57</v>
      </c>
      <c r="W139" s="3519" t="s">
        <v>57</v>
      </c>
      <c r="X139" s="3519" t="s">
        <v>57</v>
      </c>
      <c r="Y139" s="3519" t="s">
        <v>57</v>
      </c>
      <c r="Z139" s="3519" t="s">
        <v>57</v>
      </c>
      <c r="AA139" s="3519" t="s">
        <v>57</v>
      </c>
      <c r="AB139" s="3519" t="s">
        <v>57</v>
      </c>
      <c r="AC139" s="3519" t="s">
        <v>57</v>
      </c>
      <c r="AD139" s="3519" t="s">
        <v>57</v>
      </c>
      <c r="AE139" s="3519" t="s">
        <v>57</v>
      </c>
      <c r="AF139" s="3519" t="s">
        <v>57</v>
      </c>
      <c r="AG139" s="3519" t="s">
        <v>57</v>
      </c>
      <c r="AH139" s="3519" t="s">
        <v>57</v>
      </c>
      <c r="AI139" s="3519" t="s">
        <v>57</v>
      </c>
      <c r="AJ139" s="3519" t="s">
        <v>57</v>
      </c>
      <c r="AK139" s="3519" t="s">
        <v>57</v>
      </c>
      <c r="AL139" s="3519" t="s">
        <v>57</v>
      </c>
      <c r="AM139" s="3519" t="s">
        <v>57</v>
      </c>
      <c r="AN139" s="3519" t="s">
        <v>57</v>
      </c>
      <c r="AO139" s="3530" t="s">
        <v>57</v>
      </c>
      <c r="AP139" s="3512"/>
      <c r="AS139" s="3418" t="s">
        <v>57</v>
      </c>
    </row>
    <row r="140" spans="1:45" ht="13" thickTop="1">
      <c r="A140" s="5059" t="s">
        <v>5</v>
      </c>
      <c r="B140" s="5060"/>
      <c r="C140" s="3518"/>
      <c r="D140" s="3518"/>
      <c r="E140" s="3535">
        <v>0</v>
      </c>
      <c r="F140" s="3518"/>
      <c r="G140" s="3518"/>
      <c r="H140" s="3518"/>
      <c r="I140" s="3537">
        <v>1.2264864156817599E-4</v>
      </c>
      <c r="J140" s="3535">
        <v>0</v>
      </c>
      <c r="K140" s="3532">
        <v>4.3104311537510197E-8</v>
      </c>
      <c r="L140" s="3535">
        <v>0</v>
      </c>
      <c r="M140" s="3537">
        <v>1.2264864156817599E-4</v>
      </c>
      <c r="N140" s="3535">
        <v>0</v>
      </c>
      <c r="O140" s="3532">
        <v>4.0922331487104597E-8</v>
      </c>
      <c r="P140" s="3532">
        <v>4.3104311537509602E-8</v>
      </c>
      <c r="Q140" s="3518"/>
      <c r="R140" s="3535">
        <v>0</v>
      </c>
      <c r="S140" s="3532">
        <v>3.0343299207436802E-7</v>
      </c>
      <c r="T140" s="3518"/>
      <c r="U140" s="3532">
        <v>5.2222138868153502E-7</v>
      </c>
      <c r="V140" s="3537">
        <v>1.22547893788472E-4</v>
      </c>
      <c r="W140" s="3518"/>
      <c r="X140" s="3535">
        <v>0</v>
      </c>
      <c r="Y140" s="3537">
        <v>1.2229947901971401E-4</v>
      </c>
      <c r="Z140" s="3518"/>
      <c r="AA140" s="3532">
        <v>1.57626512864194E-6</v>
      </c>
      <c r="AB140" s="3535">
        <v>0</v>
      </c>
      <c r="AC140" s="3518"/>
      <c r="AD140" s="3518"/>
      <c r="AE140" s="3535">
        <v>0</v>
      </c>
      <c r="AF140" s="3537">
        <v>1.2264864156817599E-4</v>
      </c>
      <c r="AG140" s="3518"/>
      <c r="AH140" s="3532">
        <v>4.0922331487104597E-8</v>
      </c>
      <c r="AI140" s="3518"/>
      <c r="AJ140" s="3518"/>
      <c r="AK140" s="3535">
        <v>0</v>
      </c>
      <c r="AL140" s="3535">
        <v>0</v>
      </c>
      <c r="AM140" s="3518"/>
      <c r="AN140" s="3518"/>
      <c r="AO140" s="3586"/>
      <c r="AP140" s="3512"/>
      <c r="AS140" s="3411">
        <v>0</v>
      </c>
    </row>
    <row r="141" spans="1:45">
      <c r="A141" s="5057" t="s">
        <v>674</v>
      </c>
      <c r="B141" s="5058"/>
      <c r="C141" s="3518"/>
      <c r="D141" s="3518"/>
      <c r="E141" s="3544">
        <v>5.7280413193022204</v>
      </c>
      <c r="F141" s="3518"/>
      <c r="G141" s="3518"/>
      <c r="H141" s="3518"/>
      <c r="I141" s="3544">
        <v>4.23898234987929</v>
      </c>
      <c r="J141" s="3535">
        <v>0</v>
      </c>
      <c r="K141" s="3544">
        <v>4.23808040128334</v>
      </c>
      <c r="L141" s="3544">
        <v>4.4922200553193798</v>
      </c>
      <c r="M141" s="3544">
        <v>4.23898234987929</v>
      </c>
      <c r="N141" s="3544">
        <v>4.5581833940782097</v>
      </c>
      <c r="O141" s="3544">
        <v>4.2380776735360604</v>
      </c>
      <c r="P141" s="3544">
        <v>4.2380804012833497</v>
      </c>
      <c r="Q141" s="3518"/>
      <c r="R141" s="3544">
        <v>4.6128734030021503</v>
      </c>
      <c r="S141" s="3537">
        <v>8.71115502125819E-4</v>
      </c>
      <c r="T141" s="3518"/>
      <c r="U141" s="3532">
        <v>2.8703911869808201E-5</v>
      </c>
      <c r="V141" s="3532">
        <v>3.0833614243023599E-5</v>
      </c>
      <c r="W141" s="3518"/>
      <c r="X141" s="3544">
        <v>4.6128734030021503</v>
      </c>
      <c r="Y141" s="3532">
        <v>3.08330938172716E-5</v>
      </c>
      <c r="Z141" s="3518"/>
      <c r="AA141" s="3535">
        <v>0</v>
      </c>
      <c r="AB141" s="3544">
        <v>4.6673352304318696</v>
      </c>
      <c r="AC141" s="3518"/>
      <c r="AD141" s="3518"/>
      <c r="AE141" s="3544">
        <v>4.6673352145356501</v>
      </c>
      <c r="AF141" s="3544">
        <v>4.23898234987929</v>
      </c>
      <c r="AG141" s="3518"/>
      <c r="AH141" s="3544">
        <v>4.2380776735360604</v>
      </c>
      <c r="AI141" s="3518"/>
      <c r="AJ141" s="3518"/>
      <c r="AK141" s="3544">
        <v>4.6675040212881802</v>
      </c>
      <c r="AL141" s="3544">
        <v>4.6674974921514698</v>
      </c>
      <c r="AM141" s="3518"/>
      <c r="AN141" s="3518"/>
      <c r="AO141" s="3586"/>
      <c r="AP141" s="3512"/>
      <c r="AS141" s="3420">
        <v>1.25064793202397E-4</v>
      </c>
    </row>
    <row r="142" spans="1:45">
      <c r="A142" s="5057" t="s">
        <v>3</v>
      </c>
      <c r="B142" s="5058"/>
      <c r="C142" s="3518"/>
      <c r="D142" s="3518"/>
      <c r="E142" s="3544">
        <v>5.2077470198109799</v>
      </c>
      <c r="F142" s="3518"/>
      <c r="G142" s="3518"/>
      <c r="H142" s="3518"/>
      <c r="I142" s="3544">
        <v>5.1512429458633804</v>
      </c>
      <c r="J142" s="3535">
        <v>0</v>
      </c>
      <c r="K142" s="3538">
        <v>2.4331703175958599E-3</v>
      </c>
      <c r="L142" s="3544">
        <v>3.8909555249898</v>
      </c>
      <c r="M142" s="3544">
        <v>5.1512429458633804</v>
      </c>
      <c r="N142" s="3544">
        <v>4.1323433229745197</v>
      </c>
      <c r="O142" s="3538">
        <v>2.0477151009127299E-3</v>
      </c>
      <c r="P142" s="3538">
        <v>2.4331703175958499E-3</v>
      </c>
      <c r="Q142" s="3518"/>
      <c r="R142" s="3544">
        <v>4.2301459154158101</v>
      </c>
      <c r="S142" s="3538">
        <v>7.6855554017731002E-3</v>
      </c>
      <c r="T142" s="3518"/>
      <c r="U142" s="3543">
        <v>3.9273612634128797E-2</v>
      </c>
      <c r="V142" s="3544">
        <v>5.1444334172782398</v>
      </c>
      <c r="W142" s="3518"/>
      <c r="X142" s="3544">
        <v>4.2301459154158101</v>
      </c>
      <c r="Y142" s="3544">
        <v>5.1411255070729096</v>
      </c>
      <c r="Z142" s="3518"/>
      <c r="AA142" s="3543">
        <v>5.5096229474560297E-2</v>
      </c>
      <c r="AB142" s="3538">
        <v>9.7957380240847498E-3</v>
      </c>
      <c r="AC142" s="3518"/>
      <c r="AD142" s="3518"/>
      <c r="AE142" s="3538">
        <v>9.7593498946100896E-3</v>
      </c>
      <c r="AF142" s="3544">
        <v>5.1512429458633804</v>
      </c>
      <c r="AG142" s="3518"/>
      <c r="AH142" s="3538">
        <v>2.0477151009127299E-3</v>
      </c>
      <c r="AI142" s="3518"/>
      <c r="AJ142" s="3518"/>
      <c r="AK142" s="3537">
        <v>3.6763281195173898E-4</v>
      </c>
      <c r="AL142" s="3537">
        <v>7.7440918295126795E-4</v>
      </c>
      <c r="AM142" s="3518"/>
      <c r="AN142" s="3518"/>
      <c r="AO142" s="3586"/>
      <c r="AP142" s="3512"/>
      <c r="AS142" s="3423">
        <v>1.04630978564997E-6</v>
      </c>
    </row>
    <row r="143" spans="1:45">
      <c r="A143" s="5057" t="s">
        <v>6</v>
      </c>
      <c r="B143" s="5058"/>
      <c r="C143" s="3518"/>
      <c r="D143" s="3518"/>
      <c r="E143" s="3558">
        <v>178.970918401082</v>
      </c>
      <c r="F143" s="3518"/>
      <c r="G143" s="3518"/>
      <c r="H143" s="3518"/>
      <c r="I143" s="3558">
        <v>179.28067062314801</v>
      </c>
      <c r="J143" s="3535">
        <v>0</v>
      </c>
      <c r="K143" s="3558">
        <v>179.18126598780901</v>
      </c>
      <c r="L143" s="3558">
        <v>134.435213581667</v>
      </c>
      <c r="M143" s="3558">
        <v>179.28067062314801</v>
      </c>
      <c r="N143" s="3558">
        <v>138.93566970984</v>
      </c>
      <c r="O143" s="3558">
        <v>179.18108263106299</v>
      </c>
      <c r="P143" s="3558">
        <v>179.18126598780901</v>
      </c>
      <c r="Q143" s="3518"/>
      <c r="R143" s="3558">
        <v>141.266730022921</v>
      </c>
      <c r="S143" s="3543">
        <v>8.9432688162665405E-2</v>
      </c>
      <c r="T143" s="3518"/>
      <c r="U143" s="3538">
        <v>7.8903172210222899E-3</v>
      </c>
      <c r="V143" s="3538">
        <v>9.9722722118200692E-3</v>
      </c>
      <c r="W143" s="3518"/>
      <c r="X143" s="3558">
        <v>141.266730022921</v>
      </c>
      <c r="Y143" s="3538">
        <v>9.9719471767186103E-3</v>
      </c>
      <c r="Z143" s="3518"/>
      <c r="AA143" s="3535">
        <v>0</v>
      </c>
      <c r="AB143" s="3558">
        <v>142.875447540729</v>
      </c>
      <c r="AC143" s="3518"/>
      <c r="AD143" s="3518"/>
      <c r="AE143" s="3558">
        <v>142.87544602464601</v>
      </c>
      <c r="AF143" s="3558">
        <v>179.28067062314801</v>
      </c>
      <c r="AG143" s="3518"/>
      <c r="AH143" s="3558">
        <v>179.18108263106299</v>
      </c>
      <c r="AI143" s="3518"/>
      <c r="AJ143" s="3518"/>
      <c r="AK143" s="3558">
        <v>142.89962530755301</v>
      </c>
      <c r="AL143" s="3558">
        <v>142.899348752588</v>
      </c>
      <c r="AM143" s="3518"/>
      <c r="AN143" s="3518"/>
      <c r="AO143" s="3586"/>
      <c r="AP143" s="3512"/>
      <c r="AS143" s="3421">
        <v>0.54007990312001697</v>
      </c>
    </row>
    <row r="144" spans="1:45">
      <c r="A144" s="5057" t="s">
        <v>7</v>
      </c>
      <c r="B144" s="5058"/>
      <c r="C144" s="3518"/>
      <c r="D144" s="3518"/>
      <c r="E144" s="3546">
        <v>34.083145786464797</v>
      </c>
      <c r="F144" s="3518"/>
      <c r="G144" s="3518"/>
      <c r="H144" s="3518"/>
      <c r="I144" s="3546">
        <v>34.919540038158402</v>
      </c>
      <c r="J144" s="3535">
        <v>0</v>
      </c>
      <c r="K144" s="3546">
        <v>34.897297211113397</v>
      </c>
      <c r="L144" s="3546">
        <v>23.080509319487199</v>
      </c>
      <c r="M144" s="3546">
        <v>34.919540038158402</v>
      </c>
      <c r="N144" s="3546">
        <v>25.600501278485801</v>
      </c>
      <c r="O144" s="3546">
        <v>34.897269268045299</v>
      </c>
      <c r="P144" s="3546">
        <v>34.897297211113397</v>
      </c>
      <c r="Q144" s="3518"/>
      <c r="R144" s="3546">
        <v>26.5089144032676</v>
      </c>
      <c r="S144" s="3543">
        <v>1.89095409127659E-2</v>
      </c>
      <c r="T144" s="3518"/>
      <c r="U144" s="3538">
        <v>2.4111022772215001E-3</v>
      </c>
      <c r="V144" s="3538">
        <v>3.3334072369608902E-3</v>
      </c>
      <c r="W144" s="3518"/>
      <c r="X144" s="3546">
        <v>26.5089144032676</v>
      </c>
      <c r="Y144" s="3538">
        <v>3.3332861323962099E-3</v>
      </c>
      <c r="Z144" s="3518"/>
      <c r="AA144" s="3535">
        <v>0</v>
      </c>
      <c r="AB144" s="3546">
        <v>26.805561283211301</v>
      </c>
      <c r="AC144" s="3518"/>
      <c r="AD144" s="3518"/>
      <c r="AE144" s="3546">
        <v>26.8055608855895</v>
      </c>
      <c r="AF144" s="3546">
        <v>34.919540038158402</v>
      </c>
      <c r="AG144" s="3518"/>
      <c r="AH144" s="3546">
        <v>34.897269268045299</v>
      </c>
      <c r="AI144" s="3518"/>
      <c r="AJ144" s="3518"/>
      <c r="AK144" s="3546">
        <v>26.813605560759299</v>
      </c>
      <c r="AL144" s="3546">
        <v>26.813577469270399</v>
      </c>
      <c r="AM144" s="3518"/>
      <c r="AN144" s="3518"/>
      <c r="AO144" s="3586"/>
      <c r="AP144" s="3512"/>
      <c r="AS144" s="3419">
        <v>1.10788732225637E-2</v>
      </c>
    </row>
    <row r="145" spans="1:45">
      <c r="A145" s="5057" t="s">
        <v>8</v>
      </c>
      <c r="B145" s="5058"/>
      <c r="C145" s="3518"/>
      <c r="D145" s="3518"/>
      <c r="E145" s="3546">
        <v>16.530042870343401</v>
      </c>
      <c r="F145" s="3518"/>
      <c r="G145" s="3518"/>
      <c r="H145" s="3518"/>
      <c r="I145" s="3546">
        <v>16.681196442404399</v>
      </c>
      <c r="J145" s="3535">
        <v>0</v>
      </c>
      <c r="K145" s="3546">
        <v>16.674457970170099</v>
      </c>
      <c r="L145" s="3546">
        <v>11.6892609557559</v>
      </c>
      <c r="M145" s="3546">
        <v>16.681196442404399</v>
      </c>
      <c r="N145" s="3546">
        <v>14.5470557396091</v>
      </c>
      <c r="O145" s="3546">
        <v>16.674450269534901</v>
      </c>
      <c r="P145" s="3546">
        <v>16.674457970170099</v>
      </c>
      <c r="Q145" s="3518"/>
      <c r="R145" s="3546">
        <v>15.530678575171599</v>
      </c>
      <c r="S145" s="3538">
        <v>5.8892460397313101E-3</v>
      </c>
      <c r="T145" s="3518"/>
      <c r="U145" s="3537">
        <v>6.3857681854351397E-4</v>
      </c>
      <c r="V145" s="3537">
        <v>8.49249872961559E-4</v>
      </c>
      <c r="W145" s="3518"/>
      <c r="X145" s="3546">
        <v>15.530678575171599</v>
      </c>
      <c r="Y145" s="3537">
        <v>8.4922619459310705E-4</v>
      </c>
      <c r="Z145" s="3518"/>
      <c r="AA145" s="3535">
        <v>0</v>
      </c>
      <c r="AB145" s="3546">
        <v>15.710210292910199</v>
      </c>
      <c r="AC145" s="3518"/>
      <c r="AD145" s="3518"/>
      <c r="AE145" s="3546">
        <v>15.710210141293601</v>
      </c>
      <c r="AF145" s="3546">
        <v>16.681196442404399</v>
      </c>
      <c r="AG145" s="3518"/>
      <c r="AH145" s="3546">
        <v>16.674450269534901</v>
      </c>
      <c r="AI145" s="3518"/>
      <c r="AJ145" s="3518"/>
      <c r="AK145" s="3546">
        <v>15.712298815523299</v>
      </c>
      <c r="AL145" s="3546">
        <v>15.7122957840895</v>
      </c>
      <c r="AM145" s="3518"/>
      <c r="AN145" s="3518"/>
      <c r="AO145" s="3586"/>
      <c r="AP145" s="3512"/>
      <c r="AS145" s="3422">
        <v>2.6589295734152801E-3</v>
      </c>
    </row>
    <row r="146" spans="1:45">
      <c r="A146" s="5057" t="s">
        <v>678</v>
      </c>
      <c r="B146" s="5058"/>
      <c r="C146" s="3518"/>
      <c r="D146" s="3518"/>
      <c r="E146" s="3544">
        <v>1.4900407388446399</v>
      </c>
      <c r="F146" s="3518"/>
      <c r="G146" s="3518"/>
      <c r="H146" s="3518"/>
      <c r="I146" s="3544">
        <v>1.96998248086804</v>
      </c>
      <c r="J146" s="3535">
        <v>0</v>
      </c>
      <c r="K146" s="3544">
        <v>1.9694997265260701</v>
      </c>
      <c r="L146" s="3544">
        <v>1.08842090348511</v>
      </c>
      <c r="M146" s="3544">
        <v>1.96998248086804</v>
      </c>
      <c r="N146" s="3544">
        <v>1.5566594175844699</v>
      </c>
      <c r="O146" s="3544">
        <v>1.96949928084925</v>
      </c>
      <c r="P146" s="3544">
        <v>1.9694997265260701</v>
      </c>
      <c r="Q146" s="3518"/>
      <c r="R146" s="3544">
        <v>1.7323454701227801</v>
      </c>
      <c r="S146" s="3537">
        <v>4.3507602647665199E-4</v>
      </c>
      <c r="T146" s="3518"/>
      <c r="U146" s="3532">
        <v>3.6600012672439102E-5</v>
      </c>
      <c r="V146" s="3532">
        <v>4.7679153176153201E-5</v>
      </c>
      <c r="W146" s="3518"/>
      <c r="X146" s="3544">
        <v>1.7323454701227801</v>
      </c>
      <c r="Y146" s="3532">
        <v>4.7678315496961103E-5</v>
      </c>
      <c r="Z146" s="3518"/>
      <c r="AA146" s="3535">
        <v>0</v>
      </c>
      <c r="AB146" s="3544">
        <v>1.7527417453662499</v>
      </c>
      <c r="AC146" s="3518"/>
      <c r="AD146" s="3518"/>
      <c r="AE146" s="3544">
        <v>1.7527417344870699</v>
      </c>
      <c r="AF146" s="3544">
        <v>1.96998248086804</v>
      </c>
      <c r="AG146" s="3518"/>
      <c r="AH146" s="3544">
        <v>1.96949928084925</v>
      </c>
      <c r="AI146" s="3518"/>
      <c r="AJ146" s="3518"/>
      <c r="AK146" s="3544">
        <v>1.75283788795165</v>
      </c>
      <c r="AL146" s="3544">
        <v>1.7528383354280499</v>
      </c>
      <c r="AM146" s="3518"/>
      <c r="AN146" s="3518"/>
      <c r="AO146" s="3586"/>
      <c r="AP146" s="3512"/>
      <c r="AS146" s="3411">
        <v>0</v>
      </c>
    </row>
    <row r="147" spans="1:45">
      <c r="A147" s="5057" t="s">
        <v>67</v>
      </c>
      <c r="B147" s="5058"/>
      <c r="C147" s="3518"/>
      <c r="D147" s="3518"/>
      <c r="E147" s="3544">
        <v>5.6284232094012303</v>
      </c>
      <c r="F147" s="3518"/>
      <c r="G147" s="3518"/>
      <c r="H147" s="3518"/>
      <c r="I147" s="3544">
        <v>4.3790470985501502</v>
      </c>
      <c r="J147" s="3535">
        <v>0</v>
      </c>
      <c r="K147" s="3544">
        <v>4.3775022524284903</v>
      </c>
      <c r="L147" s="3544">
        <v>2.5793570250198301</v>
      </c>
      <c r="M147" s="3544">
        <v>4.3790470985501502</v>
      </c>
      <c r="N147" s="3544">
        <v>3.96665178828122</v>
      </c>
      <c r="O147" s="3544">
        <v>4.3775008206133803</v>
      </c>
      <c r="P147" s="3544">
        <v>4.3775022524284903</v>
      </c>
      <c r="Q147" s="3518"/>
      <c r="R147" s="3544">
        <v>4.5322991950892302</v>
      </c>
      <c r="S147" s="3538">
        <v>1.3282891837534401E-3</v>
      </c>
      <c r="T147" s="3518"/>
      <c r="U147" s="3537">
        <v>1.6090849519865899E-4</v>
      </c>
      <c r="V147" s="3537">
        <v>2.1656267048120401E-4</v>
      </c>
      <c r="W147" s="3518"/>
      <c r="X147" s="3544">
        <v>4.5322991950892302</v>
      </c>
      <c r="Y147" s="3537">
        <v>2.16556937901567E-4</v>
      </c>
      <c r="Z147" s="3518"/>
      <c r="AA147" s="3535">
        <v>0</v>
      </c>
      <c r="AB147" s="3544">
        <v>4.5852125824001702</v>
      </c>
      <c r="AC147" s="3518"/>
      <c r="AD147" s="3518"/>
      <c r="AE147" s="3544">
        <v>4.5852125412439602</v>
      </c>
      <c r="AF147" s="3544">
        <v>4.3790470985501502</v>
      </c>
      <c r="AG147" s="3518"/>
      <c r="AH147" s="3544">
        <v>4.3775008206133803</v>
      </c>
      <c r="AI147" s="3518"/>
      <c r="AJ147" s="3518"/>
      <c r="AK147" s="3544">
        <v>4.5855266796533201</v>
      </c>
      <c r="AL147" s="3544">
        <v>4.5855256257713304</v>
      </c>
      <c r="AM147" s="3518"/>
      <c r="AN147" s="3518"/>
      <c r="AO147" s="3586"/>
      <c r="AP147" s="3512"/>
      <c r="AS147" s="3411">
        <v>0</v>
      </c>
    </row>
    <row r="148" spans="1:45">
      <c r="A148" s="5057" t="s">
        <v>679</v>
      </c>
      <c r="B148" s="5058"/>
      <c r="C148" s="3518"/>
      <c r="D148" s="3518"/>
      <c r="E148" s="3545">
        <v>0.420316713348523</v>
      </c>
      <c r="F148" s="3518"/>
      <c r="G148" s="3518"/>
      <c r="H148" s="3518"/>
      <c r="I148" s="3545">
        <v>0.91495886609859101</v>
      </c>
      <c r="J148" s="3535">
        <v>0</v>
      </c>
      <c r="K148" s="3545">
        <v>0.91482561827777198</v>
      </c>
      <c r="L148" s="3545">
        <v>0.38067510771437701</v>
      </c>
      <c r="M148" s="3545">
        <v>0.91495886609859101</v>
      </c>
      <c r="N148" s="3545">
        <v>0.71908211887457096</v>
      </c>
      <c r="O148" s="3545">
        <v>0.91482550696357401</v>
      </c>
      <c r="P148" s="3545">
        <v>0.91482561827777198</v>
      </c>
      <c r="Q148" s="3518"/>
      <c r="R148" s="3545">
        <v>0.88631628703961896</v>
      </c>
      <c r="S148" s="3537">
        <v>1.2260237188169401E-4</v>
      </c>
      <c r="T148" s="3518"/>
      <c r="U148" s="3532">
        <v>9.4717136963740294E-6</v>
      </c>
      <c r="V148" s="3532">
        <v>1.0645590970906199E-5</v>
      </c>
      <c r="W148" s="3518"/>
      <c r="X148" s="3545">
        <v>0.88631628703961896</v>
      </c>
      <c r="Y148" s="3532">
        <v>1.06454489376672E-5</v>
      </c>
      <c r="Z148" s="3518"/>
      <c r="AA148" s="3535">
        <v>0</v>
      </c>
      <c r="AB148" s="3545">
        <v>0.89681991794773297</v>
      </c>
      <c r="AC148" s="3518"/>
      <c r="AD148" s="3518"/>
      <c r="AE148" s="3545">
        <v>0.896819914059512</v>
      </c>
      <c r="AF148" s="3545">
        <v>0.91495886609859101</v>
      </c>
      <c r="AG148" s="3518"/>
      <c r="AH148" s="3545">
        <v>0.91482550696357401</v>
      </c>
      <c r="AI148" s="3518"/>
      <c r="AJ148" s="3518"/>
      <c r="AK148" s="3545">
        <v>0.89686936161276198</v>
      </c>
      <c r="AL148" s="3545">
        <v>0.89686944893472498</v>
      </c>
      <c r="AM148" s="3518"/>
      <c r="AN148" s="3518"/>
      <c r="AO148" s="3586"/>
      <c r="AP148" s="3512"/>
      <c r="AS148" s="3411">
        <v>0</v>
      </c>
    </row>
    <row r="149" spans="1:45">
      <c r="A149" s="5057" t="s">
        <v>69</v>
      </c>
      <c r="B149" s="5058"/>
      <c r="C149" s="3518"/>
      <c r="D149" s="3518"/>
      <c r="E149" s="3545">
        <v>0.39942861763409798</v>
      </c>
      <c r="F149" s="3518"/>
      <c r="G149" s="3518"/>
      <c r="H149" s="3518"/>
      <c r="I149" s="3545">
        <v>0.92256308187581804</v>
      </c>
      <c r="J149" s="3535">
        <v>0</v>
      </c>
      <c r="K149" s="3545">
        <v>0.92239308940362896</v>
      </c>
      <c r="L149" s="3545">
        <v>0.36933076377946999</v>
      </c>
      <c r="M149" s="3545">
        <v>0.92256308187581804</v>
      </c>
      <c r="N149" s="3545">
        <v>0.74377862111531601</v>
      </c>
      <c r="O149" s="3545">
        <v>0.92239295001044996</v>
      </c>
      <c r="P149" s="3545">
        <v>0.92239308940362896</v>
      </c>
      <c r="Q149" s="3518"/>
      <c r="R149" s="3545">
        <v>0.946746942974101</v>
      </c>
      <c r="S149" s="3537">
        <v>1.53167900028941E-4</v>
      </c>
      <c r="T149" s="3518"/>
      <c r="U149" s="3532">
        <v>1.4212454100729901E-5</v>
      </c>
      <c r="V149" s="3532">
        <v>1.6824849262468401E-5</v>
      </c>
      <c r="W149" s="3518"/>
      <c r="X149" s="3545">
        <v>0.946746942974101</v>
      </c>
      <c r="Y149" s="3532">
        <v>1.6824572160519301E-5</v>
      </c>
      <c r="Z149" s="3518"/>
      <c r="AA149" s="3535">
        <v>0</v>
      </c>
      <c r="AB149" s="3545">
        <v>0.95791814441666701</v>
      </c>
      <c r="AC149" s="3518"/>
      <c r="AD149" s="3518"/>
      <c r="AE149" s="3545">
        <v>0.95791813926328995</v>
      </c>
      <c r="AF149" s="3545">
        <v>0.92256308187581804</v>
      </c>
      <c r="AG149" s="3518"/>
      <c r="AH149" s="3545">
        <v>0.92239295001044996</v>
      </c>
      <c r="AI149" s="3518"/>
      <c r="AJ149" s="3518"/>
      <c r="AK149" s="3545">
        <v>0.95799015087369099</v>
      </c>
      <c r="AL149" s="3545">
        <v>0.95799034948203898</v>
      </c>
      <c r="AM149" s="3518"/>
      <c r="AN149" s="3518"/>
      <c r="AO149" s="3586"/>
      <c r="AP149" s="3512"/>
      <c r="AS149" s="3411">
        <v>0</v>
      </c>
    </row>
    <row r="150" spans="1:45">
      <c r="A150" s="5057" t="s">
        <v>10</v>
      </c>
      <c r="B150" s="5058"/>
      <c r="C150" s="3518"/>
      <c r="D150" s="3518"/>
      <c r="E150" s="3544">
        <v>1.49427164851362</v>
      </c>
      <c r="F150" s="3518"/>
      <c r="G150" s="3518"/>
      <c r="H150" s="3518"/>
      <c r="I150" s="3544">
        <v>1.54169342451197</v>
      </c>
      <c r="J150" s="3535">
        <v>0</v>
      </c>
      <c r="K150" s="3544">
        <v>1.5415227662108399</v>
      </c>
      <c r="L150" s="3545">
        <v>0.24347649814431599</v>
      </c>
      <c r="M150" s="3544">
        <v>1.54169342451197</v>
      </c>
      <c r="N150" s="3545">
        <v>0.72291432598626704</v>
      </c>
      <c r="O150" s="3544">
        <v>1.54152266542086</v>
      </c>
      <c r="P150" s="3544">
        <v>1.5415227662108399</v>
      </c>
      <c r="Q150" s="3518"/>
      <c r="R150" s="3544">
        <v>1.16832601473401</v>
      </c>
      <c r="S150" s="3537">
        <v>1.57368706762475E-4</v>
      </c>
      <c r="T150" s="3518"/>
      <c r="U150" s="3532">
        <v>1.15049590541101E-5</v>
      </c>
      <c r="V150" s="3532">
        <v>1.32897181132477E-5</v>
      </c>
      <c r="W150" s="3518"/>
      <c r="X150" s="3544">
        <v>1.16832601473401</v>
      </c>
      <c r="Y150" s="3532">
        <v>1.3289594364063799E-5</v>
      </c>
      <c r="Z150" s="3518"/>
      <c r="AA150" s="3535">
        <v>0</v>
      </c>
      <c r="AB150" s="3544">
        <v>1.1822414534890999</v>
      </c>
      <c r="AC150" s="3518"/>
      <c r="AD150" s="3518"/>
      <c r="AE150" s="3544">
        <v>1.18224144910047</v>
      </c>
      <c r="AF150" s="3544">
        <v>1.54169342451197</v>
      </c>
      <c r="AG150" s="3518"/>
      <c r="AH150" s="3544">
        <v>1.54152266542086</v>
      </c>
      <c r="AI150" s="3518"/>
      <c r="AJ150" s="3518"/>
      <c r="AK150" s="3544">
        <v>1.1822714748096499</v>
      </c>
      <c r="AL150" s="3544">
        <v>1.18227240497474</v>
      </c>
      <c r="AM150" s="3518"/>
      <c r="AN150" s="3518"/>
      <c r="AO150" s="3586"/>
      <c r="AP150" s="3512"/>
      <c r="AS150" s="3411">
        <v>0</v>
      </c>
    </row>
    <row r="151" spans="1:45">
      <c r="A151" s="5057" t="s">
        <v>298</v>
      </c>
      <c r="B151" s="5058"/>
      <c r="C151" s="3518"/>
      <c r="D151" s="3518"/>
      <c r="E151" s="3543">
        <v>4.7623675254737298E-2</v>
      </c>
      <c r="F151" s="3518"/>
      <c r="G151" s="3518"/>
      <c r="H151" s="3518"/>
      <c r="I151" s="3535">
        <v>0</v>
      </c>
      <c r="J151" s="3546">
        <v>23.6597143733709</v>
      </c>
      <c r="K151" s="3545">
        <v>0.72322700041115795</v>
      </c>
      <c r="L151" s="3543">
        <v>4.3481615667994897E-2</v>
      </c>
      <c r="M151" s="3535">
        <v>0</v>
      </c>
      <c r="N151" s="3545">
        <v>0.12718630038130199</v>
      </c>
      <c r="O151" s="3545">
        <v>0.48287898705513699</v>
      </c>
      <c r="P151" s="3545">
        <v>0.72322700041114996</v>
      </c>
      <c r="Q151" s="3518"/>
      <c r="R151" s="3543">
        <v>4.6700585695124003E-2</v>
      </c>
      <c r="S151" s="3538">
        <v>3.3294279893807299E-3</v>
      </c>
      <c r="T151" s="3518"/>
      <c r="U151" s="3538">
        <v>8.7411682566766995E-3</v>
      </c>
      <c r="V151" s="3544">
        <v>5.9897878156076896</v>
      </c>
      <c r="W151" s="3518"/>
      <c r="X151" s="3543">
        <v>4.6700585695124003E-2</v>
      </c>
      <c r="Y151" s="3545">
        <v>0.36474790198323898</v>
      </c>
      <c r="Z151" s="3518"/>
      <c r="AA151" s="3546">
        <v>22.444882805313899</v>
      </c>
      <c r="AB151" s="3545">
        <v>0.36073298375750501</v>
      </c>
      <c r="AC151" s="3518"/>
      <c r="AD151" s="3518"/>
      <c r="AE151" s="3545">
        <v>0.35975912510708002</v>
      </c>
      <c r="AF151" s="3535">
        <v>0</v>
      </c>
      <c r="AG151" s="3518"/>
      <c r="AH151" s="3545">
        <v>0.48287898705513699</v>
      </c>
      <c r="AI151" s="3518"/>
      <c r="AJ151" s="3518"/>
      <c r="AK151" s="3545">
        <v>0.12950382995628101</v>
      </c>
      <c r="AL151" s="3545">
        <v>0.20028988227268599</v>
      </c>
      <c r="AM151" s="3518"/>
      <c r="AN151" s="3518"/>
      <c r="AO151" s="3586"/>
      <c r="AP151" s="3512"/>
      <c r="AS151" s="3411">
        <v>0</v>
      </c>
    </row>
    <row r="152" spans="1:45">
      <c r="A152" s="5057" t="s">
        <v>680</v>
      </c>
      <c r="B152" s="5058"/>
      <c r="C152" s="3518"/>
      <c r="D152" s="3518"/>
      <c r="E152" s="3535">
        <v>0</v>
      </c>
      <c r="F152" s="3518"/>
      <c r="G152" s="3518"/>
      <c r="H152" s="3518"/>
      <c r="I152" s="3535">
        <v>0</v>
      </c>
      <c r="J152" s="3535">
        <v>0</v>
      </c>
      <c r="K152" s="3537">
        <v>4.6027100765436201E-4</v>
      </c>
      <c r="L152" s="3535">
        <v>0</v>
      </c>
      <c r="M152" s="3535">
        <v>0</v>
      </c>
      <c r="N152" s="3535">
        <v>0</v>
      </c>
      <c r="O152" s="3532">
        <v>3.8181538648410297E-6</v>
      </c>
      <c r="P152" s="3537">
        <v>4.6027100765504099E-4</v>
      </c>
      <c r="Q152" s="3518"/>
      <c r="R152" s="3535">
        <v>0</v>
      </c>
      <c r="S152" s="3532">
        <v>2.4663817029511498E-7</v>
      </c>
      <c r="T152" s="3518"/>
      <c r="U152" s="3532">
        <v>2.29239452224893E-6</v>
      </c>
      <c r="V152" s="3532">
        <v>1.78990494149168E-6</v>
      </c>
      <c r="W152" s="3518"/>
      <c r="X152" s="3535">
        <v>0</v>
      </c>
      <c r="Y152" s="3532">
        <v>8.5821348066959196E-15</v>
      </c>
      <c r="Z152" s="3518"/>
      <c r="AA152" s="3543">
        <v>1.43275784785971E-2</v>
      </c>
      <c r="AB152" s="3537">
        <v>2.9189106326360601E-4</v>
      </c>
      <c r="AC152" s="3518"/>
      <c r="AD152" s="3518"/>
      <c r="AE152" s="3537">
        <v>1.6781651028184501E-4</v>
      </c>
      <c r="AF152" s="3535">
        <v>0</v>
      </c>
      <c r="AG152" s="3518"/>
      <c r="AH152" s="3532">
        <v>3.8181538648410297E-6</v>
      </c>
      <c r="AI152" s="3518"/>
      <c r="AJ152" s="3518"/>
      <c r="AK152" s="3532">
        <v>2.0421381332347099E-9</v>
      </c>
      <c r="AL152" s="3532">
        <v>1.43655625186678E-6</v>
      </c>
      <c r="AM152" s="3518"/>
      <c r="AN152" s="3518"/>
      <c r="AO152" s="3586"/>
      <c r="AP152" s="3512"/>
      <c r="AS152" s="3411">
        <v>0</v>
      </c>
    </row>
    <row r="153" spans="1:45">
      <c r="A153" s="5057" t="s">
        <v>681</v>
      </c>
      <c r="B153" s="5058"/>
      <c r="C153" s="3518"/>
      <c r="D153" s="3518"/>
      <c r="E153" s="3535">
        <v>0</v>
      </c>
      <c r="F153" s="3518"/>
      <c r="G153" s="3518"/>
      <c r="H153" s="3518"/>
      <c r="I153" s="3535">
        <v>0</v>
      </c>
      <c r="J153" s="3535">
        <v>0</v>
      </c>
      <c r="K153" s="3538">
        <v>1.6053083429207601E-3</v>
      </c>
      <c r="L153" s="3535">
        <v>0</v>
      </c>
      <c r="M153" s="3535">
        <v>0</v>
      </c>
      <c r="N153" s="3535">
        <v>0</v>
      </c>
      <c r="O153" s="3537">
        <v>1.27409772790544E-4</v>
      </c>
      <c r="P153" s="3538">
        <v>1.6053083429206599E-3</v>
      </c>
      <c r="Q153" s="3518"/>
      <c r="R153" s="3535">
        <v>0</v>
      </c>
      <c r="S153" s="3532">
        <v>3.2150567873237598E-8</v>
      </c>
      <c r="T153" s="3518"/>
      <c r="U153" s="3532">
        <v>3.8663800166726098E-7</v>
      </c>
      <c r="V153" s="3532">
        <v>2.9699344558137402E-6</v>
      </c>
      <c r="W153" s="3518"/>
      <c r="X153" s="3535">
        <v>0</v>
      </c>
      <c r="Y153" s="3532">
        <v>5.3898345239813197E-15</v>
      </c>
      <c r="Z153" s="3518"/>
      <c r="AA153" s="3543">
        <v>3.86377212886371E-2</v>
      </c>
      <c r="AB153" s="3537">
        <v>6.8215807843282098E-4</v>
      </c>
      <c r="AC153" s="3518"/>
      <c r="AD153" s="3518"/>
      <c r="AE153" s="3537">
        <v>6.0674235529171202E-4</v>
      </c>
      <c r="AF153" s="3535">
        <v>0</v>
      </c>
      <c r="AG153" s="3518"/>
      <c r="AH153" s="3537">
        <v>1.27409772790544E-4</v>
      </c>
      <c r="AI153" s="3518"/>
      <c r="AJ153" s="3518"/>
      <c r="AK153" s="3532">
        <v>5.8231430305187698E-7</v>
      </c>
      <c r="AL153" s="3532">
        <v>6.3940991086704907E-5</v>
      </c>
      <c r="AM153" s="3518"/>
      <c r="AN153" s="3518"/>
      <c r="AO153" s="3586"/>
      <c r="AP153" s="3512"/>
      <c r="AS153" s="3411">
        <v>0</v>
      </c>
    </row>
    <row r="154" spans="1:45" ht="13" thickBot="1">
      <c r="A154" s="5063" t="s">
        <v>675</v>
      </c>
      <c r="B154" s="5064"/>
      <c r="C154" s="3587"/>
      <c r="D154" s="3587"/>
      <c r="E154" s="3568">
        <v>0</v>
      </c>
      <c r="F154" s="3587"/>
      <c r="G154" s="3587"/>
      <c r="H154" s="3587"/>
      <c r="I154" s="3568">
        <v>0</v>
      </c>
      <c r="J154" s="3568">
        <v>0</v>
      </c>
      <c r="K154" s="3568">
        <v>0</v>
      </c>
      <c r="L154" s="3568">
        <v>0</v>
      </c>
      <c r="M154" s="3568">
        <v>0</v>
      </c>
      <c r="N154" s="3568">
        <v>0</v>
      </c>
      <c r="O154" s="3568">
        <v>0</v>
      </c>
      <c r="P154" s="3568">
        <v>0</v>
      </c>
      <c r="Q154" s="3587"/>
      <c r="R154" s="3568">
        <v>0</v>
      </c>
      <c r="S154" s="3568">
        <v>0</v>
      </c>
      <c r="T154" s="3587"/>
      <c r="U154" s="3568">
        <v>0</v>
      </c>
      <c r="V154" s="3568">
        <v>0</v>
      </c>
      <c r="W154" s="3587"/>
      <c r="X154" s="3568">
        <v>0</v>
      </c>
      <c r="Y154" s="3568">
        <v>0</v>
      </c>
      <c r="Z154" s="3587"/>
      <c r="AA154" s="3568">
        <v>0</v>
      </c>
      <c r="AB154" s="3568">
        <v>0</v>
      </c>
      <c r="AC154" s="3587"/>
      <c r="AD154" s="3587"/>
      <c r="AE154" s="3568">
        <v>0</v>
      </c>
      <c r="AF154" s="3568">
        <v>0</v>
      </c>
      <c r="AG154" s="3587"/>
      <c r="AH154" s="3568">
        <v>0</v>
      </c>
      <c r="AI154" s="3587"/>
      <c r="AJ154" s="3587"/>
      <c r="AK154" s="3568">
        <v>0</v>
      </c>
      <c r="AL154" s="3568">
        <v>0</v>
      </c>
      <c r="AM154" s="3587"/>
      <c r="AN154" s="3587"/>
      <c r="AO154" s="3588"/>
      <c r="AP154" s="3512"/>
      <c r="AS154" s="3416">
        <v>0</v>
      </c>
    </row>
    <row r="155" spans="1:45" ht="13" thickTop="1">
      <c r="A155" s="3512"/>
      <c r="B155" s="3512"/>
      <c r="C155" s="3512"/>
      <c r="D155" s="3512"/>
      <c r="E155" s="3512"/>
      <c r="F155" s="3512"/>
      <c r="G155" s="3512"/>
      <c r="H155" s="3512"/>
      <c r="I155" s="3512"/>
      <c r="J155" s="3512"/>
      <c r="K155" s="3512"/>
      <c r="L155" s="3512"/>
      <c r="M155" s="3512"/>
      <c r="N155" s="3512"/>
      <c r="O155" s="3512"/>
      <c r="P155" s="3512"/>
      <c r="Q155" s="3512"/>
      <c r="R155" s="3512"/>
      <c r="S155" s="3512"/>
      <c r="T155" s="3512"/>
      <c r="U155" s="3512"/>
      <c r="V155" s="3512"/>
      <c r="W155" s="3512"/>
      <c r="X155" s="3512"/>
      <c r="Y155" s="3512"/>
      <c r="Z155" s="3512"/>
      <c r="AA155" s="3512"/>
      <c r="AB155" s="3512"/>
      <c r="AC155" s="3512"/>
      <c r="AD155" s="3512"/>
      <c r="AE155" s="3512"/>
      <c r="AF155" s="3512"/>
      <c r="AG155" s="3512"/>
      <c r="AH155" s="3512"/>
      <c r="AI155" s="3512"/>
      <c r="AJ155" s="3512"/>
      <c r="AK155" s="3512"/>
      <c r="AL155" s="3512"/>
      <c r="AM155" s="3512"/>
      <c r="AN155" s="3512"/>
      <c r="AO155" s="3512"/>
      <c r="AP155" s="3512"/>
      <c r="AS155" s="3078"/>
    </row>
    <row r="156" spans="1:45" ht="13" thickBot="1">
      <c r="A156" s="3512"/>
      <c r="B156" s="3512"/>
      <c r="C156" s="3512"/>
      <c r="D156" s="3512"/>
      <c r="E156" s="3512"/>
      <c r="F156" s="3512"/>
      <c r="G156" s="3512"/>
      <c r="H156" s="3512"/>
      <c r="I156" s="3512"/>
      <c r="J156" s="3512"/>
      <c r="K156" s="3512"/>
      <c r="L156" s="3512"/>
      <c r="M156" s="3512"/>
      <c r="N156" s="3512"/>
      <c r="O156" s="3512"/>
      <c r="P156" s="3512"/>
      <c r="Q156" s="3512"/>
      <c r="R156" s="3512"/>
      <c r="S156" s="3512"/>
      <c r="T156" s="3512"/>
      <c r="U156" s="3512"/>
      <c r="V156" s="3512"/>
      <c r="W156" s="3512"/>
      <c r="X156" s="3512"/>
      <c r="Y156" s="3512"/>
      <c r="Z156" s="3512"/>
      <c r="AA156" s="3512"/>
      <c r="AB156" s="3512"/>
      <c r="AC156" s="3512"/>
      <c r="AD156" s="3512"/>
      <c r="AE156" s="3512"/>
      <c r="AF156" s="3512"/>
      <c r="AG156" s="3512"/>
      <c r="AH156" s="3512"/>
      <c r="AI156" s="3512"/>
      <c r="AJ156" s="3512"/>
      <c r="AK156" s="3512"/>
      <c r="AL156" s="3512"/>
      <c r="AM156" s="3512"/>
      <c r="AN156" s="3512"/>
      <c r="AO156" s="3512"/>
      <c r="AP156" s="3512"/>
      <c r="AS156" s="3078"/>
    </row>
    <row r="157" spans="1:45" ht="14" thickTop="1" thickBot="1">
      <c r="A157" s="3520" t="s">
        <v>389</v>
      </c>
      <c r="B157" s="3521"/>
      <c r="C157" s="3522" t="s">
        <v>707</v>
      </c>
      <c r="D157" s="3522" t="s">
        <v>561</v>
      </c>
      <c r="E157" s="3522" t="s">
        <v>708</v>
      </c>
      <c r="F157" s="3522" t="s">
        <v>709</v>
      </c>
      <c r="G157" s="3522" t="s">
        <v>710</v>
      </c>
      <c r="H157" s="3522" t="s">
        <v>711</v>
      </c>
      <c r="I157" s="3522" t="s">
        <v>712</v>
      </c>
      <c r="J157" s="3522" t="s">
        <v>713</v>
      </c>
      <c r="K157" s="3522" t="s">
        <v>390</v>
      </c>
      <c r="L157" s="3522" t="s">
        <v>391</v>
      </c>
      <c r="M157" s="3522" t="s">
        <v>392</v>
      </c>
      <c r="N157" s="3522" t="s">
        <v>393</v>
      </c>
      <c r="O157" s="3522" t="s">
        <v>714</v>
      </c>
      <c r="P157" s="3522" t="s">
        <v>394</v>
      </c>
      <c r="Q157" s="3522" t="s">
        <v>715</v>
      </c>
      <c r="R157" s="3522" t="s">
        <v>395</v>
      </c>
      <c r="S157" s="3522" t="s">
        <v>716</v>
      </c>
      <c r="T157" s="3522" t="s">
        <v>396</v>
      </c>
      <c r="U157" s="3522" t="s">
        <v>397</v>
      </c>
      <c r="V157" s="3522" t="s">
        <v>398</v>
      </c>
      <c r="W157" s="3522" t="s">
        <v>399</v>
      </c>
      <c r="X157" s="3522" t="s">
        <v>400</v>
      </c>
      <c r="Y157" s="3522" t="s">
        <v>717</v>
      </c>
      <c r="Z157" s="3522" t="s">
        <v>401</v>
      </c>
      <c r="AA157" s="3522" t="s">
        <v>402</v>
      </c>
      <c r="AB157" s="3522" t="s">
        <v>403</v>
      </c>
      <c r="AC157" s="3522" t="s">
        <v>718</v>
      </c>
      <c r="AD157" s="3522" t="s">
        <v>404</v>
      </c>
      <c r="AE157" s="3522" t="s">
        <v>405</v>
      </c>
      <c r="AF157" s="3522" t="s">
        <v>406</v>
      </c>
      <c r="AG157" s="3522" t="s">
        <v>407</v>
      </c>
      <c r="AH157" s="3522" t="s">
        <v>408</v>
      </c>
      <c r="AI157" s="3522" t="s">
        <v>409</v>
      </c>
      <c r="AJ157" s="3522" t="s">
        <v>410</v>
      </c>
      <c r="AK157" s="3522" t="s">
        <v>411</v>
      </c>
      <c r="AL157" s="3522" t="s">
        <v>412</v>
      </c>
      <c r="AM157" s="3522" t="s">
        <v>439</v>
      </c>
      <c r="AN157" s="3522" t="s">
        <v>440</v>
      </c>
      <c r="AO157" s="3523" t="s">
        <v>441</v>
      </c>
      <c r="AP157" s="3512"/>
      <c r="AS157" s="3079" t="s">
        <v>743</v>
      </c>
    </row>
    <row r="158" spans="1:45" ht="13">
      <c r="A158" s="3524" t="s">
        <v>427</v>
      </c>
      <c r="B158" s="3513" t="s">
        <v>413</v>
      </c>
      <c r="C158" s="3514" t="s">
        <v>414</v>
      </c>
      <c r="D158" s="3514" t="s">
        <v>414</v>
      </c>
      <c r="E158" s="3514" t="s">
        <v>414</v>
      </c>
      <c r="F158" s="3514" t="s">
        <v>414</v>
      </c>
      <c r="G158" s="3514" t="s">
        <v>414</v>
      </c>
      <c r="H158" s="3514" t="s">
        <v>414</v>
      </c>
      <c r="I158" s="3514" t="s">
        <v>414</v>
      </c>
      <c r="J158" s="3514" t="s">
        <v>414</v>
      </c>
      <c r="K158" s="3514" t="s">
        <v>414</v>
      </c>
      <c r="L158" s="3514" t="s">
        <v>414</v>
      </c>
      <c r="M158" s="3514" t="s">
        <v>414</v>
      </c>
      <c r="N158" s="3514" t="s">
        <v>414</v>
      </c>
      <c r="O158" s="3514" t="s">
        <v>414</v>
      </c>
      <c r="P158" s="3514" t="s">
        <v>414</v>
      </c>
      <c r="Q158" s="3514" t="s">
        <v>414</v>
      </c>
      <c r="R158" s="3514" t="s">
        <v>414</v>
      </c>
      <c r="S158" s="3514" t="s">
        <v>414</v>
      </c>
      <c r="T158" s="3514" t="s">
        <v>414</v>
      </c>
      <c r="U158" s="3514" t="s">
        <v>414</v>
      </c>
      <c r="V158" s="3514" t="s">
        <v>414</v>
      </c>
      <c r="W158" s="3514" t="s">
        <v>414</v>
      </c>
      <c r="X158" s="3514" t="s">
        <v>414</v>
      </c>
      <c r="Y158" s="3514" t="s">
        <v>414</v>
      </c>
      <c r="Z158" s="3514" t="s">
        <v>414</v>
      </c>
      <c r="AA158" s="3514" t="s">
        <v>414</v>
      </c>
      <c r="AB158" s="3514" t="s">
        <v>414</v>
      </c>
      <c r="AC158" s="3514" t="s">
        <v>414</v>
      </c>
      <c r="AD158" s="3514" t="s">
        <v>414</v>
      </c>
      <c r="AE158" s="3514" t="s">
        <v>414</v>
      </c>
      <c r="AF158" s="3514" t="s">
        <v>414</v>
      </c>
      <c r="AG158" s="3514" t="s">
        <v>414</v>
      </c>
      <c r="AH158" s="3514" t="s">
        <v>414</v>
      </c>
      <c r="AI158" s="3514" t="s">
        <v>414</v>
      </c>
      <c r="AJ158" s="3514" t="s">
        <v>414</v>
      </c>
      <c r="AK158" s="3514" t="s">
        <v>414</v>
      </c>
      <c r="AL158" s="3514" t="s">
        <v>414</v>
      </c>
      <c r="AM158" s="3514" t="s">
        <v>414</v>
      </c>
      <c r="AN158" s="3514" t="s">
        <v>414</v>
      </c>
      <c r="AO158" s="3525" t="s">
        <v>414</v>
      </c>
      <c r="AP158" s="3512"/>
      <c r="AS158" s="3080" t="s">
        <v>414</v>
      </c>
    </row>
    <row r="159" spans="1:45" ht="13">
      <c r="A159" s="3526" t="s">
        <v>435</v>
      </c>
      <c r="B159" s="3515" t="s">
        <v>416</v>
      </c>
      <c r="C159" s="3515" t="s">
        <v>719</v>
      </c>
      <c r="D159" s="3515" t="s">
        <v>720</v>
      </c>
      <c r="E159" s="3515" t="s">
        <v>445</v>
      </c>
      <c r="F159" s="3515" t="s">
        <v>719</v>
      </c>
      <c r="G159" s="3515" t="s">
        <v>445</v>
      </c>
      <c r="H159" s="3515" t="s">
        <v>721</v>
      </c>
      <c r="I159" s="3515" t="s">
        <v>442</v>
      </c>
      <c r="J159" s="3515" t="s">
        <v>445</v>
      </c>
      <c r="K159" s="3515" t="s">
        <v>722</v>
      </c>
      <c r="L159" s="3515" t="s">
        <v>445</v>
      </c>
      <c r="M159" s="3515" t="s">
        <v>445</v>
      </c>
      <c r="N159" s="3515" t="s">
        <v>444</v>
      </c>
      <c r="O159" s="3515" t="s">
        <v>442</v>
      </c>
      <c r="P159" s="3515" t="s">
        <v>446</v>
      </c>
      <c r="Q159" s="3515" t="s">
        <v>722</v>
      </c>
      <c r="R159" s="3515" t="s">
        <v>445</v>
      </c>
      <c r="S159" s="3515" t="s">
        <v>723</v>
      </c>
      <c r="T159" s="3515" t="s">
        <v>723</v>
      </c>
      <c r="U159" s="3515" t="s">
        <v>724</v>
      </c>
      <c r="V159" s="3515" t="s">
        <v>725</v>
      </c>
      <c r="W159" s="3515" t="s">
        <v>726</v>
      </c>
      <c r="X159" s="3515" t="s">
        <v>443</v>
      </c>
      <c r="Y159" s="3515" t="s">
        <v>726</v>
      </c>
      <c r="Z159" s="3515" t="s">
        <v>725</v>
      </c>
      <c r="AA159" s="3515" t="s">
        <v>291</v>
      </c>
      <c r="AB159" s="3515" t="s">
        <v>445</v>
      </c>
      <c r="AC159" s="3515" t="s">
        <v>291</v>
      </c>
      <c r="AD159" s="3515" t="s">
        <v>724</v>
      </c>
      <c r="AE159" s="3515" t="s">
        <v>443</v>
      </c>
      <c r="AF159" s="3515" t="s">
        <v>420</v>
      </c>
      <c r="AG159" s="3515" t="s">
        <v>420</v>
      </c>
      <c r="AH159" s="3515" t="s">
        <v>418</v>
      </c>
      <c r="AI159" s="3515" t="s">
        <v>727</v>
      </c>
      <c r="AJ159" s="3515" t="s">
        <v>728</v>
      </c>
      <c r="AK159" s="3515" t="s">
        <v>417</v>
      </c>
      <c r="AL159" s="3515" t="s">
        <v>445</v>
      </c>
      <c r="AM159" s="3515" t="s">
        <v>445</v>
      </c>
      <c r="AN159" s="3515" t="s">
        <v>729</v>
      </c>
      <c r="AO159" s="3527" t="s">
        <v>729</v>
      </c>
      <c r="AP159" s="3512"/>
      <c r="AS159" s="3081" t="s">
        <v>445</v>
      </c>
    </row>
    <row r="160" spans="1:45">
      <c r="A160" s="3575"/>
      <c r="B160" s="3516" t="s">
        <v>421</v>
      </c>
      <c r="C160" s="3516" t="s">
        <v>445</v>
      </c>
      <c r="D160" s="3516" t="s">
        <v>445</v>
      </c>
      <c r="E160" s="3516" t="s">
        <v>445</v>
      </c>
      <c r="F160" s="3516" t="s">
        <v>727</v>
      </c>
      <c r="G160" s="3516" t="s">
        <v>719</v>
      </c>
      <c r="H160" s="3516" t="s">
        <v>719</v>
      </c>
      <c r="I160" s="3516" t="s">
        <v>722</v>
      </c>
      <c r="J160" s="3516" t="s">
        <v>720</v>
      </c>
      <c r="K160" s="3516" t="s">
        <v>446</v>
      </c>
      <c r="L160" s="3516" t="s">
        <v>444</v>
      </c>
      <c r="M160" s="3516" t="s">
        <v>420</v>
      </c>
      <c r="N160" s="3516" t="s">
        <v>445</v>
      </c>
      <c r="O160" s="3516" t="s">
        <v>418</v>
      </c>
      <c r="P160" s="3516" t="s">
        <v>442</v>
      </c>
      <c r="Q160" s="3516" t="s">
        <v>723</v>
      </c>
      <c r="R160" s="3516" t="s">
        <v>443</v>
      </c>
      <c r="S160" s="3516" t="s">
        <v>445</v>
      </c>
      <c r="T160" s="3516" t="s">
        <v>724</v>
      </c>
      <c r="U160" s="3516" t="s">
        <v>725</v>
      </c>
      <c r="V160" s="3516" t="s">
        <v>726</v>
      </c>
      <c r="W160" s="3516" t="s">
        <v>725</v>
      </c>
      <c r="X160" s="3516" t="s">
        <v>445</v>
      </c>
      <c r="Y160" s="3516" t="s">
        <v>445</v>
      </c>
      <c r="Z160" s="3516" t="s">
        <v>291</v>
      </c>
      <c r="AA160" s="3516" t="s">
        <v>725</v>
      </c>
      <c r="AB160" s="3516" t="s">
        <v>443</v>
      </c>
      <c r="AC160" s="3516" t="s">
        <v>724</v>
      </c>
      <c r="AD160" s="3516" t="s">
        <v>721</v>
      </c>
      <c r="AE160" s="3516" t="s">
        <v>445</v>
      </c>
      <c r="AF160" s="3516" t="s">
        <v>442</v>
      </c>
      <c r="AG160" s="3516" t="s">
        <v>418</v>
      </c>
      <c r="AH160" s="3516" t="s">
        <v>445</v>
      </c>
      <c r="AI160" s="3516" t="s">
        <v>728</v>
      </c>
      <c r="AJ160" s="3516" t="s">
        <v>722</v>
      </c>
      <c r="AK160" s="3516" t="s">
        <v>445</v>
      </c>
      <c r="AL160" s="3516" t="s">
        <v>417</v>
      </c>
      <c r="AM160" s="3516" t="s">
        <v>729</v>
      </c>
      <c r="AN160" s="3516" t="s">
        <v>445</v>
      </c>
      <c r="AO160" s="3529" t="s">
        <v>445</v>
      </c>
      <c r="AP160" s="3512"/>
      <c r="AS160" s="3082" t="s">
        <v>445</v>
      </c>
    </row>
    <row r="161" spans="1:45" ht="13" thickBot="1">
      <c r="A161" s="3554" t="s">
        <v>71</v>
      </c>
      <c r="B161" s="3572" t="s">
        <v>72</v>
      </c>
      <c r="C161" s="3519"/>
      <c r="D161" s="3519"/>
      <c r="E161" s="3519"/>
      <c r="F161" s="3519"/>
      <c r="G161" s="3519"/>
      <c r="H161" s="3519"/>
      <c r="I161" s="3519"/>
      <c r="J161" s="3519"/>
      <c r="K161" s="3519"/>
      <c r="L161" s="3519"/>
      <c r="M161" s="3519"/>
      <c r="N161" s="3519"/>
      <c r="O161" s="3519"/>
      <c r="P161" s="3519"/>
      <c r="Q161" s="3519"/>
      <c r="R161" s="3519"/>
      <c r="S161" s="3519"/>
      <c r="T161" s="3519"/>
      <c r="U161" s="3519"/>
      <c r="V161" s="3519"/>
      <c r="W161" s="3519"/>
      <c r="X161" s="3519"/>
      <c r="Y161" s="3519"/>
      <c r="Z161" s="3519"/>
      <c r="AA161" s="3519"/>
      <c r="AB161" s="3519"/>
      <c r="AC161" s="3519"/>
      <c r="AD161" s="3519"/>
      <c r="AE161" s="3519"/>
      <c r="AF161" s="3519"/>
      <c r="AG161" s="3519"/>
      <c r="AH161" s="3519"/>
      <c r="AI161" s="3519"/>
      <c r="AJ161" s="3519"/>
      <c r="AK161" s="3519"/>
      <c r="AL161" s="3519"/>
      <c r="AM161" s="3519"/>
      <c r="AN161" s="3519"/>
      <c r="AO161" s="3530"/>
      <c r="AP161" s="3512"/>
      <c r="AS161" s="3083"/>
    </row>
    <row r="162" spans="1:45" ht="13" thickTop="1">
      <c r="A162" s="3531" t="s">
        <v>428</v>
      </c>
      <c r="B162" s="3573" t="s">
        <v>299</v>
      </c>
      <c r="C162" s="3518"/>
      <c r="D162" s="3518"/>
      <c r="E162" s="3535">
        <v>92</v>
      </c>
      <c r="F162" s="3518"/>
      <c r="G162" s="3518"/>
      <c r="H162" s="3518"/>
      <c r="I162" s="3535">
        <v>110</v>
      </c>
      <c r="J162" s="3558">
        <v>297.79225714807399</v>
      </c>
      <c r="K162" s="3558">
        <v>139.17184527620799</v>
      </c>
      <c r="L162" s="3535">
        <v>50</v>
      </c>
      <c r="M162" s="3535">
        <v>90</v>
      </c>
      <c r="N162" s="3535">
        <v>80</v>
      </c>
      <c r="O162" s="3558">
        <v>118.47032866068101</v>
      </c>
      <c r="P162" s="3558">
        <v>139.17184527620699</v>
      </c>
      <c r="Q162" s="3518"/>
      <c r="R162" s="3535">
        <v>100</v>
      </c>
      <c r="S162" s="3558">
        <v>136.37430503778401</v>
      </c>
      <c r="T162" s="3518"/>
      <c r="U162" s="3535">
        <v>210</v>
      </c>
      <c r="V162" s="3558">
        <v>209.22368486519599</v>
      </c>
      <c r="W162" s="3518"/>
      <c r="X162" s="3535">
        <v>120</v>
      </c>
      <c r="Y162" s="3558">
        <v>120.00013064572001</v>
      </c>
      <c r="Z162" s="3518"/>
      <c r="AA162" s="3558">
        <v>256.27177708392298</v>
      </c>
      <c r="AB162" s="3535">
        <v>141</v>
      </c>
      <c r="AC162" s="3518"/>
      <c r="AD162" s="3518"/>
      <c r="AE162" s="3558">
        <v>119.87411291044801</v>
      </c>
      <c r="AF162" s="3535">
        <v>90</v>
      </c>
      <c r="AG162" s="3518"/>
      <c r="AH162" s="3558">
        <v>118.47032866068101</v>
      </c>
      <c r="AI162" s="3518"/>
      <c r="AJ162" s="3518"/>
      <c r="AK162" s="3546">
        <v>-16.693717301568601</v>
      </c>
      <c r="AL162" s="3535">
        <v>100</v>
      </c>
      <c r="AM162" s="3518"/>
      <c r="AN162" s="3518"/>
      <c r="AO162" s="3586"/>
      <c r="AP162" s="3512"/>
      <c r="AS162" s="3411">
        <v>100</v>
      </c>
    </row>
    <row r="163" spans="1:45">
      <c r="A163" s="3541" t="s">
        <v>730</v>
      </c>
      <c r="B163" s="3574" t="s">
        <v>295</v>
      </c>
      <c r="C163" s="3518"/>
      <c r="D163" s="3518"/>
      <c r="E163" s="3562">
        <v>1014.69594877551</v>
      </c>
      <c r="F163" s="3518"/>
      <c r="G163" s="3518"/>
      <c r="H163" s="3518"/>
      <c r="I163" s="3535">
        <v>1009.7</v>
      </c>
      <c r="J163" s="3546">
        <v>64.6959487755135</v>
      </c>
      <c r="K163" s="3535">
        <v>1004.7</v>
      </c>
      <c r="L163" s="3535">
        <v>1000</v>
      </c>
      <c r="M163" s="3535">
        <v>1014.7</v>
      </c>
      <c r="N163" s="3535">
        <v>1000</v>
      </c>
      <c r="O163" s="3535">
        <v>999.7</v>
      </c>
      <c r="P163" s="3535">
        <v>1004.7</v>
      </c>
      <c r="Q163" s="3518"/>
      <c r="R163" s="3558">
        <v>958.69594877551299</v>
      </c>
      <c r="S163" s="3546">
        <v>89.695948775513401</v>
      </c>
      <c r="T163" s="3518"/>
      <c r="U163" s="3546">
        <v>84.695948775513401</v>
      </c>
      <c r="V163" s="3535">
        <v>26</v>
      </c>
      <c r="W163" s="3518"/>
      <c r="X163" s="3558">
        <v>954.69594877551401</v>
      </c>
      <c r="Y163" s="3535">
        <v>26</v>
      </c>
      <c r="Z163" s="3518"/>
      <c r="AA163" s="3535">
        <v>29</v>
      </c>
      <c r="AB163" s="3558">
        <v>952.69594877551299</v>
      </c>
      <c r="AC163" s="3518"/>
      <c r="AD163" s="3518"/>
      <c r="AE163" s="3558">
        <v>949.69594877551299</v>
      </c>
      <c r="AF163" s="3535">
        <v>1014.7</v>
      </c>
      <c r="AG163" s="3518"/>
      <c r="AH163" s="3535">
        <v>999.7</v>
      </c>
      <c r="AI163" s="3518"/>
      <c r="AJ163" s="3518"/>
      <c r="AK163" s="3535">
        <v>15</v>
      </c>
      <c r="AL163" s="3562">
        <v>1224.69594877551</v>
      </c>
      <c r="AM163" s="3518"/>
      <c r="AN163" s="3518"/>
      <c r="AO163" s="3586"/>
      <c r="AP163" s="3512"/>
      <c r="AS163" s="3411">
        <v>100</v>
      </c>
    </row>
    <row r="164" spans="1:45">
      <c r="A164" s="3541" t="s">
        <v>20</v>
      </c>
      <c r="B164" s="3574" t="s">
        <v>429</v>
      </c>
      <c r="C164" s="3518"/>
      <c r="D164" s="3518"/>
      <c r="E164" s="3546">
        <v>22.468191118700702</v>
      </c>
      <c r="F164" s="3518"/>
      <c r="G164" s="3518"/>
      <c r="H164" s="3518"/>
      <c r="I164" s="3546">
        <v>22.566297468483</v>
      </c>
      <c r="J164" s="3546">
        <v>18.015280000000001</v>
      </c>
      <c r="K164" s="3546">
        <v>22.104606071031299</v>
      </c>
      <c r="L164" s="3546">
        <v>21.6808398905826</v>
      </c>
      <c r="M164" s="3546">
        <v>22.566297468483</v>
      </c>
      <c r="N164" s="3546">
        <v>22.702444485215</v>
      </c>
      <c r="O164" s="3546">
        <v>22.1080159227694</v>
      </c>
      <c r="P164" s="3546">
        <v>22.104606071031299</v>
      </c>
      <c r="Q164" s="3518"/>
      <c r="R164" s="3546">
        <v>23.138239052806099</v>
      </c>
      <c r="S164" s="3546">
        <v>21.989801519025601</v>
      </c>
      <c r="T164" s="3518"/>
      <c r="U164" s="3546">
        <v>35.941493095651502</v>
      </c>
      <c r="V164" s="3546">
        <v>30.015079884167399</v>
      </c>
      <c r="W164" s="3518"/>
      <c r="X164" s="3546">
        <v>23.138239052806099</v>
      </c>
      <c r="Y164" s="3546">
        <v>42.233702993060398</v>
      </c>
      <c r="Z164" s="3518"/>
      <c r="AA164" s="3546">
        <v>18.259745335683899</v>
      </c>
      <c r="AB164" s="3546">
        <v>22.6855539931958</v>
      </c>
      <c r="AC164" s="3518"/>
      <c r="AD164" s="3518"/>
      <c r="AE164" s="3546">
        <v>22.685489019714598</v>
      </c>
      <c r="AF164" s="3546">
        <v>22.566297468483</v>
      </c>
      <c r="AG164" s="3518"/>
      <c r="AH164" s="3546">
        <v>22.1080159227694</v>
      </c>
      <c r="AI164" s="3518"/>
      <c r="AJ164" s="3518"/>
      <c r="AK164" s="3546">
        <v>22.689433271873099</v>
      </c>
      <c r="AL164" s="3546">
        <v>22.687848396154099</v>
      </c>
      <c r="AM164" s="3518"/>
      <c r="AN164" s="3518"/>
      <c r="AO164" s="3586"/>
      <c r="AP164" s="3512"/>
      <c r="AS164" s="3412">
        <v>16.460402174870602</v>
      </c>
    </row>
    <row r="165" spans="1:45">
      <c r="A165" s="3541" t="s">
        <v>425</v>
      </c>
      <c r="B165" s="3574" t="s">
        <v>426</v>
      </c>
      <c r="C165" s="3518"/>
      <c r="D165" s="3518"/>
      <c r="E165" s="3560">
        <v>616741.90412639698</v>
      </c>
      <c r="F165" s="3518"/>
      <c r="G165" s="3518"/>
      <c r="H165" s="3518"/>
      <c r="I165" s="3560">
        <v>619434.88001626602</v>
      </c>
      <c r="J165" s="3535">
        <v>46800</v>
      </c>
      <c r="K165" s="3560">
        <v>595705.416441818</v>
      </c>
      <c r="L165" s="3560">
        <v>433951.50472978601</v>
      </c>
      <c r="M165" s="3560">
        <v>619434.88001626602</v>
      </c>
      <c r="N165" s="3560">
        <v>487594.80786515702</v>
      </c>
      <c r="O165" s="3560">
        <v>595207.70921994501</v>
      </c>
      <c r="P165" s="3560">
        <v>595705.416441818</v>
      </c>
      <c r="Q165" s="3518"/>
      <c r="R165" s="3535">
        <v>511822</v>
      </c>
      <c r="S165" s="3558">
        <v>309.80821361261502</v>
      </c>
      <c r="T165" s="3518"/>
      <c r="U165" s="3558">
        <v>233.698169267141</v>
      </c>
      <c r="V165" s="3557">
        <v>36742.144304957699</v>
      </c>
      <c r="W165" s="3518"/>
      <c r="X165" s="3535">
        <v>511822</v>
      </c>
      <c r="Y165" s="3557">
        <v>25599.519466729598</v>
      </c>
      <c r="Z165" s="3518"/>
      <c r="AA165" s="3557">
        <v>45216.124270569198</v>
      </c>
      <c r="AB165" s="3535">
        <v>497681</v>
      </c>
      <c r="AC165" s="3518"/>
      <c r="AD165" s="3518"/>
      <c r="AE165" s="3560">
        <v>497676.55600435898</v>
      </c>
      <c r="AF165" s="3560">
        <v>619434.88001626602</v>
      </c>
      <c r="AG165" s="3518"/>
      <c r="AH165" s="3560">
        <v>595207.70921994501</v>
      </c>
      <c r="AI165" s="3518"/>
      <c r="AJ165" s="3518"/>
      <c r="AK165" s="3560">
        <v>497251.43606152898</v>
      </c>
      <c r="AL165" s="3560">
        <v>497393.43027431599</v>
      </c>
      <c r="AM165" s="3518"/>
      <c r="AN165" s="3518"/>
      <c r="AO165" s="3586"/>
      <c r="AP165" s="3512"/>
      <c r="AS165" s="3424">
        <v>1001.1554145897099</v>
      </c>
    </row>
    <row r="166" spans="1:45">
      <c r="A166" s="3541" t="s">
        <v>430</v>
      </c>
      <c r="B166" s="3574" t="s">
        <v>57</v>
      </c>
      <c r="C166" s="3518"/>
      <c r="D166" s="3518"/>
      <c r="E166" s="3535">
        <v>250</v>
      </c>
      <c r="F166" s="3518"/>
      <c r="G166" s="3518"/>
      <c r="H166" s="3518"/>
      <c r="I166" s="3535">
        <v>250</v>
      </c>
      <c r="J166" s="3546">
        <v>23.6597143733709</v>
      </c>
      <c r="K166" s="3558">
        <v>245.44457081640601</v>
      </c>
      <c r="L166" s="3558">
        <v>182.29290135103099</v>
      </c>
      <c r="M166" s="3535">
        <v>250</v>
      </c>
      <c r="N166" s="3558">
        <v>195.610026017211</v>
      </c>
      <c r="O166" s="3558">
        <v>245.201679037042</v>
      </c>
      <c r="P166" s="3558">
        <v>245.44457081640601</v>
      </c>
      <c r="Q166" s="3518"/>
      <c r="R166" s="3558">
        <v>201.46207681543299</v>
      </c>
      <c r="S166" s="3545">
        <v>0.12831466041907599</v>
      </c>
      <c r="T166" s="3518"/>
      <c r="U166" s="3543">
        <v>5.9219380008097497E-2</v>
      </c>
      <c r="V166" s="3546">
        <v>11.1488393055371</v>
      </c>
      <c r="W166" s="3518"/>
      <c r="X166" s="3558">
        <v>201.46207681543299</v>
      </c>
      <c r="Y166" s="3544">
        <v>5.52048599600157</v>
      </c>
      <c r="Z166" s="3518"/>
      <c r="AA166" s="3546">
        <v>22.552945910820799</v>
      </c>
      <c r="AB166" s="3558">
        <v>199.80499096182601</v>
      </c>
      <c r="AC166" s="3518"/>
      <c r="AD166" s="3518"/>
      <c r="AE166" s="3558">
        <v>199.803779078086</v>
      </c>
      <c r="AF166" s="3535">
        <v>250</v>
      </c>
      <c r="AG166" s="3518"/>
      <c r="AH166" s="3558">
        <v>245.201679037042</v>
      </c>
      <c r="AI166" s="3518"/>
      <c r="AJ166" s="3518"/>
      <c r="AK166" s="3558">
        <v>199.59840130715</v>
      </c>
      <c r="AL166" s="3558">
        <v>199.66934533169299</v>
      </c>
      <c r="AM166" s="3518"/>
      <c r="AN166" s="3518"/>
      <c r="AO166" s="3586"/>
      <c r="AP166" s="3512"/>
      <c r="AS166" s="3421">
        <v>0.55394381701898399</v>
      </c>
    </row>
    <row r="167" spans="1:45">
      <c r="A167" s="3541" t="s">
        <v>431</v>
      </c>
      <c r="B167" s="3574" t="s">
        <v>432</v>
      </c>
      <c r="C167" s="3518"/>
      <c r="D167" s="3518"/>
      <c r="E167" s="3562">
        <v>3373.7840798259199</v>
      </c>
      <c r="F167" s="3518"/>
      <c r="G167" s="3518"/>
      <c r="H167" s="3518"/>
      <c r="I167" s="3562">
        <v>3394.2087209663</v>
      </c>
      <c r="J167" s="3546">
        <v>93.556589742359606</v>
      </c>
      <c r="K167" s="3562">
        <v>3334.4843931400101</v>
      </c>
      <c r="L167" s="3562">
        <v>2416.53403145116</v>
      </c>
      <c r="M167" s="3562">
        <v>3394.2087209663</v>
      </c>
      <c r="N167" s="3562">
        <v>2646.82642571308</v>
      </c>
      <c r="O167" s="3562">
        <v>3333.4763264859398</v>
      </c>
      <c r="P167" s="3562">
        <v>3334.4843931400101</v>
      </c>
      <c r="Q167" s="3518"/>
      <c r="R167" s="3562">
        <v>2749.4073589977102</v>
      </c>
      <c r="S167" s="3544">
        <v>1.67384374888942</v>
      </c>
      <c r="T167" s="3518"/>
      <c r="U167" s="3545">
        <v>0.65388795128889998</v>
      </c>
      <c r="V167" s="3546">
        <v>84.701554104197101</v>
      </c>
      <c r="W167" s="3518"/>
      <c r="X167" s="3562">
        <v>2749.4073589977102</v>
      </c>
      <c r="Y167" s="3546">
        <v>62.419465989210799</v>
      </c>
      <c r="Z167" s="3518"/>
      <c r="AA167" s="3546">
        <v>90.777206429290601</v>
      </c>
      <c r="AB167" s="3562">
        <v>2731.5731706619199</v>
      </c>
      <c r="AC167" s="3518"/>
      <c r="AD167" s="3518"/>
      <c r="AE167" s="3562">
        <v>2731.5637698579699</v>
      </c>
      <c r="AF167" s="3562">
        <v>3394.2087209663</v>
      </c>
      <c r="AG167" s="3518"/>
      <c r="AH167" s="3562">
        <v>3333.4763264859398</v>
      </c>
      <c r="AI167" s="3518"/>
      <c r="AJ167" s="3518"/>
      <c r="AK167" s="3562">
        <v>2731.00920769205</v>
      </c>
      <c r="AL167" s="3562">
        <v>2731.2917661379602</v>
      </c>
      <c r="AM167" s="3518"/>
      <c r="AN167" s="3518"/>
      <c r="AO167" s="3586"/>
      <c r="AP167" s="3512"/>
      <c r="AS167" s="3413">
        <v>6.59903783809174</v>
      </c>
    </row>
    <row r="168" spans="1:45">
      <c r="A168" s="3541" t="s">
        <v>2007</v>
      </c>
      <c r="B168" s="3574" t="s">
        <v>2008</v>
      </c>
      <c r="C168" s="3518"/>
      <c r="D168" s="3518"/>
      <c r="E168" s="3545">
        <v>0.65814880393715802</v>
      </c>
      <c r="F168" s="3518"/>
      <c r="G168" s="3518"/>
      <c r="H168" s="3518"/>
      <c r="I168" s="3545">
        <v>0.64075119311318296</v>
      </c>
      <c r="J168" s="3545">
        <v>0.47188915946708299</v>
      </c>
      <c r="K168" s="3545">
        <v>0.63292671164932202</v>
      </c>
      <c r="L168" s="3545">
        <v>0.72104863230299499</v>
      </c>
      <c r="M168" s="3545">
        <v>0.66929493430022302</v>
      </c>
      <c r="N168" s="3545">
        <v>0.678414384627261</v>
      </c>
      <c r="O168" s="3545">
        <v>0.64463601245693503</v>
      </c>
      <c r="P168" s="3545">
        <v>0.63292671164932202</v>
      </c>
      <c r="Q168" s="3518"/>
      <c r="R168" s="3545">
        <v>0.64202677879952796</v>
      </c>
      <c r="S168" s="3545">
        <v>0.47738394758939201</v>
      </c>
      <c r="T168" s="3518"/>
      <c r="U168" s="3545">
        <v>0.27754104333223101</v>
      </c>
      <c r="V168" s="3545">
        <v>0.29786159401497098</v>
      </c>
      <c r="W168" s="3518"/>
      <c r="X168" s="3545">
        <v>0.621821694533914</v>
      </c>
      <c r="Y168" s="3545">
        <v>0.21648347246394101</v>
      </c>
      <c r="Z168" s="3518"/>
      <c r="AA168" s="3545">
        <v>0.46588261233278699</v>
      </c>
      <c r="AB168" s="3545">
        <v>0.62302879254271704</v>
      </c>
      <c r="AC168" s="3518"/>
      <c r="AD168" s="3518"/>
      <c r="AE168" s="3545">
        <v>0.63413826265134399</v>
      </c>
      <c r="AF168" s="3545">
        <v>0.66929493430022302</v>
      </c>
      <c r="AG168" s="3518"/>
      <c r="AH168" s="3545">
        <v>0.64463601245693503</v>
      </c>
      <c r="AI168" s="3518"/>
      <c r="AJ168" s="3518"/>
      <c r="AK168" s="3577">
        <v>0.43182855052958102</v>
      </c>
      <c r="AL168" s="3545">
        <v>0.72969755217698995</v>
      </c>
      <c r="AM168" s="3518"/>
      <c r="AN168" s="3518"/>
      <c r="AO168" s="3586"/>
      <c r="AP168" s="3512"/>
      <c r="AS168" s="3417">
        <v>930.131839687043</v>
      </c>
    </row>
    <row r="169" spans="1:45" ht="13" thickBot="1">
      <c r="A169" s="3541" t="s">
        <v>731</v>
      </c>
      <c r="B169" s="3574" t="s">
        <v>434</v>
      </c>
      <c r="C169" s="3518"/>
      <c r="D169" s="3518"/>
      <c r="E169" s="3562">
        <v>1148.94930286166</v>
      </c>
      <c r="F169" s="3518"/>
      <c r="G169" s="3518"/>
      <c r="H169" s="3518"/>
      <c r="I169" s="3562">
        <v>1163.5154768309401</v>
      </c>
      <c r="J169" s="3535">
        <v>0</v>
      </c>
      <c r="K169" s="3562">
        <v>1184.5263521633301</v>
      </c>
      <c r="L169" s="3562">
        <v>1105.7181547581799</v>
      </c>
      <c r="M169" s="3562">
        <v>1163.5154768309401</v>
      </c>
      <c r="N169" s="3562">
        <v>1158.8674764878899</v>
      </c>
      <c r="O169" s="3562">
        <v>1185.67293833955</v>
      </c>
      <c r="P169" s="3562">
        <v>1184.5263521633301</v>
      </c>
      <c r="Q169" s="3518"/>
      <c r="R169" s="3562">
        <v>1181.9424940230299</v>
      </c>
      <c r="S169" s="3562">
        <v>1033.3851070117</v>
      </c>
      <c r="T169" s="3518"/>
      <c r="U169" s="3558">
        <v>224.584572382071</v>
      </c>
      <c r="V169" s="3544">
        <v>1.56740273750346</v>
      </c>
      <c r="W169" s="3518"/>
      <c r="X169" s="3562">
        <v>1181.9424940230299</v>
      </c>
      <c r="Y169" s="3544">
        <v>3.1624323003515098</v>
      </c>
      <c r="Z169" s="3518"/>
      <c r="AA169" s="3544">
        <v>7.7178588143301301</v>
      </c>
      <c r="AB169" s="3562">
        <v>1205.37887925269</v>
      </c>
      <c r="AC169" s="3518"/>
      <c r="AD169" s="3518"/>
      <c r="AE169" s="3562">
        <v>1205.3827553736401</v>
      </c>
      <c r="AF169" s="3562">
        <v>1163.5154768309401</v>
      </c>
      <c r="AG169" s="3518"/>
      <c r="AH169" s="3562">
        <v>1185.67293833955</v>
      </c>
      <c r="AI169" s="3518"/>
      <c r="AJ169" s="3518"/>
      <c r="AK169" s="3562">
        <v>1206.81912292368</v>
      </c>
      <c r="AL169" s="3562">
        <v>1206.3898591873999</v>
      </c>
      <c r="AM169" s="3518"/>
      <c r="AN169" s="3518"/>
      <c r="AO169" s="3586"/>
      <c r="AP169" s="3512"/>
      <c r="AS169" s="3425">
        <v>1032.1933366272499</v>
      </c>
    </row>
    <row r="170" spans="1:45" ht="13.5" thickTop="1" thickBot="1">
      <c r="A170" s="3566" t="s">
        <v>433</v>
      </c>
      <c r="B170" s="3580" t="s">
        <v>434</v>
      </c>
      <c r="C170" s="3587"/>
      <c r="D170" s="3587"/>
      <c r="E170" s="3582">
        <v>1265.07086872945</v>
      </c>
      <c r="F170" s="3587"/>
      <c r="G170" s="3587"/>
      <c r="H170" s="3587"/>
      <c r="I170" s="3582">
        <v>1280.9010101342101</v>
      </c>
      <c r="J170" s="3568">
        <v>50.31</v>
      </c>
      <c r="K170" s="3582">
        <v>1304.1784095957501</v>
      </c>
      <c r="L170" s="3582">
        <v>1218.6666621250399</v>
      </c>
      <c r="M170" s="3582">
        <v>1280.9010101342101</v>
      </c>
      <c r="N170" s="3582">
        <v>1275.6895054372301</v>
      </c>
      <c r="O170" s="3582">
        <v>1305.39198263667</v>
      </c>
      <c r="P170" s="3582">
        <v>1304.1784095957501</v>
      </c>
      <c r="Q170" s="3587"/>
      <c r="R170" s="3582">
        <v>1300.4342060223501</v>
      </c>
      <c r="S170" s="3582">
        <v>1140.78147311521</v>
      </c>
      <c r="T170" s="3587"/>
      <c r="U170" s="3581">
        <v>254.760997452483</v>
      </c>
      <c r="V170" s="3583">
        <v>28.754937830521499</v>
      </c>
      <c r="W170" s="3587"/>
      <c r="X170" s="3582">
        <v>1300.4342060223501</v>
      </c>
      <c r="Y170" s="3584">
        <v>6.8056442771376702</v>
      </c>
      <c r="Z170" s="3587"/>
      <c r="AA170" s="3583">
        <v>58.424866757024702</v>
      </c>
      <c r="AB170" s="3582">
        <v>1326.2976346529399</v>
      </c>
      <c r="AC170" s="3587"/>
      <c r="AD170" s="3587"/>
      <c r="AE170" s="3582">
        <v>1326.3016999531401</v>
      </c>
      <c r="AF170" s="3582">
        <v>1280.9010101342101</v>
      </c>
      <c r="AG170" s="3587"/>
      <c r="AH170" s="3582">
        <v>1305.39198263667</v>
      </c>
      <c r="AI170" s="3587"/>
      <c r="AJ170" s="3587"/>
      <c r="AK170" s="3582">
        <v>1327.82453089093</v>
      </c>
      <c r="AL170" s="3582">
        <v>1327.3700285448999</v>
      </c>
      <c r="AM170" s="3587"/>
      <c r="AN170" s="3587"/>
      <c r="AO170" s="3588"/>
      <c r="AP170" s="3512"/>
      <c r="AS170" s="3078"/>
    </row>
    <row r="171" spans="1:45" ht="13" thickTop="1">
      <c r="A171" s="3512"/>
      <c r="B171" s="3512"/>
      <c r="C171" s="3512"/>
      <c r="D171" s="3512"/>
      <c r="E171" s="3512"/>
      <c r="F171" s="3512"/>
      <c r="G171" s="3512"/>
      <c r="H171" s="3512"/>
      <c r="I171" s="3512"/>
      <c r="J171" s="3512"/>
      <c r="K171" s="3512"/>
      <c r="L171" s="3512"/>
      <c r="M171" s="3512"/>
      <c r="N171" s="3512"/>
      <c r="O171" s="3512"/>
      <c r="P171" s="3512"/>
      <c r="Q171" s="3512"/>
      <c r="R171" s="3512"/>
      <c r="S171" s="3512"/>
      <c r="T171" s="3512"/>
      <c r="U171" s="3512"/>
      <c r="V171" s="3512"/>
      <c r="W171" s="3512"/>
      <c r="X171" s="3512"/>
      <c r="Y171" s="3512"/>
      <c r="Z171" s="3512"/>
      <c r="AA171" s="3512"/>
      <c r="AB171" s="3512"/>
      <c r="AC171" s="3512"/>
      <c r="AD171" s="3512"/>
      <c r="AE171" s="3512"/>
      <c r="AF171" s="3512"/>
      <c r="AG171" s="3512"/>
      <c r="AH171" s="3512"/>
      <c r="AI171" s="3512"/>
      <c r="AJ171" s="3512"/>
      <c r="AK171" s="3512"/>
      <c r="AL171" s="3512"/>
      <c r="AM171" s="3512"/>
      <c r="AN171" s="3512"/>
      <c r="AO171" s="3512"/>
      <c r="AP171" s="3512"/>
    </row>
    <row r="172" spans="1:45" ht="13" thickBot="1">
      <c r="A172" s="3512"/>
      <c r="B172" s="3512"/>
      <c r="C172" s="3512"/>
      <c r="D172" s="3512"/>
      <c r="E172" s="3512"/>
      <c r="F172" s="3512"/>
      <c r="G172" s="3512"/>
      <c r="H172" s="3512"/>
      <c r="I172" s="3512"/>
      <c r="J172" s="3512"/>
      <c r="K172" s="3512"/>
      <c r="L172" s="3512"/>
      <c r="M172" s="3512"/>
      <c r="N172" s="3512"/>
      <c r="O172" s="3512"/>
      <c r="P172" s="3512"/>
      <c r="Q172" s="3512"/>
      <c r="R172" s="3512"/>
      <c r="S172" s="3512"/>
      <c r="T172" s="3512"/>
      <c r="U172" s="3512"/>
      <c r="V172" s="3512"/>
      <c r="W172" s="3512"/>
      <c r="X172" s="3512"/>
      <c r="Y172" s="3512"/>
      <c r="Z172" s="3512"/>
      <c r="AA172" s="3512"/>
      <c r="AB172" s="3512"/>
      <c r="AC172" s="3512"/>
      <c r="AD172" s="3512"/>
      <c r="AE172" s="3512"/>
      <c r="AF172" s="3512"/>
      <c r="AG172" s="3512"/>
      <c r="AH172" s="3512"/>
      <c r="AI172" s="3512"/>
      <c r="AJ172" s="3512"/>
      <c r="AK172" s="3512"/>
      <c r="AL172" s="3512"/>
      <c r="AM172" s="3512"/>
      <c r="AN172" s="3512"/>
      <c r="AO172" s="3512"/>
      <c r="AP172" s="3512"/>
    </row>
    <row r="173" spans="1:45" ht="14" thickTop="1" thickBot="1">
      <c r="A173" s="3520" t="s">
        <v>389</v>
      </c>
      <c r="B173" s="3521"/>
      <c r="C173" s="3522" t="s">
        <v>707</v>
      </c>
      <c r="D173" s="3522" t="s">
        <v>561</v>
      </c>
      <c r="E173" s="3522" t="s">
        <v>708</v>
      </c>
      <c r="F173" s="3522" t="s">
        <v>709</v>
      </c>
      <c r="G173" s="3522" t="s">
        <v>710</v>
      </c>
      <c r="H173" s="3522" t="s">
        <v>711</v>
      </c>
      <c r="I173" s="3522" t="s">
        <v>712</v>
      </c>
      <c r="J173" s="3522" t="s">
        <v>713</v>
      </c>
      <c r="K173" s="3522" t="s">
        <v>390</v>
      </c>
      <c r="L173" s="3522" t="s">
        <v>391</v>
      </c>
      <c r="M173" s="3522" t="s">
        <v>392</v>
      </c>
      <c r="N173" s="3522" t="s">
        <v>393</v>
      </c>
      <c r="O173" s="3522" t="s">
        <v>714</v>
      </c>
      <c r="P173" s="3522" t="s">
        <v>394</v>
      </c>
      <c r="Q173" s="3522" t="s">
        <v>715</v>
      </c>
      <c r="R173" s="3522" t="s">
        <v>395</v>
      </c>
      <c r="S173" s="3522" t="s">
        <v>716</v>
      </c>
      <c r="T173" s="3522" t="s">
        <v>396</v>
      </c>
      <c r="U173" s="3522" t="s">
        <v>397</v>
      </c>
      <c r="V173" s="3522" t="s">
        <v>398</v>
      </c>
      <c r="W173" s="3522" t="s">
        <v>399</v>
      </c>
      <c r="X173" s="3522" t="s">
        <v>400</v>
      </c>
      <c r="Y173" s="3522" t="s">
        <v>717</v>
      </c>
      <c r="Z173" s="3522" t="s">
        <v>401</v>
      </c>
      <c r="AA173" s="3522" t="s">
        <v>402</v>
      </c>
      <c r="AB173" s="3522" t="s">
        <v>403</v>
      </c>
      <c r="AC173" s="3522" t="s">
        <v>718</v>
      </c>
      <c r="AD173" s="3522" t="s">
        <v>404</v>
      </c>
      <c r="AE173" s="3522" t="s">
        <v>405</v>
      </c>
      <c r="AF173" s="3522" t="s">
        <v>406</v>
      </c>
      <c r="AG173" s="3522" t="s">
        <v>407</v>
      </c>
      <c r="AH173" s="3522" t="s">
        <v>408</v>
      </c>
      <c r="AI173" s="3522" t="s">
        <v>409</v>
      </c>
      <c r="AJ173" s="3522" t="s">
        <v>410</v>
      </c>
      <c r="AK173" s="3522" t="s">
        <v>411</v>
      </c>
      <c r="AL173" s="3522" t="s">
        <v>412</v>
      </c>
      <c r="AM173" s="3522" t="s">
        <v>439</v>
      </c>
      <c r="AN173" s="3522" t="s">
        <v>440</v>
      </c>
      <c r="AO173" s="3523" t="s">
        <v>441</v>
      </c>
      <c r="AP173" s="3512"/>
    </row>
    <row r="174" spans="1:45" ht="13">
      <c r="A174" s="3524" t="s">
        <v>96</v>
      </c>
      <c r="B174" s="3513" t="s">
        <v>413</v>
      </c>
      <c r="C174" s="3514" t="s">
        <v>414</v>
      </c>
      <c r="D174" s="3514" t="s">
        <v>414</v>
      </c>
      <c r="E174" s="3514" t="s">
        <v>414</v>
      </c>
      <c r="F174" s="3514" t="s">
        <v>414</v>
      </c>
      <c r="G174" s="3514" t="s">
        <v>414</v>
      </c>
      <c r="H174" s="3514" t="s">
        <v>414</v>
      </c>
      <c r="I174" s="3514" t="s">
        <v>414</v>
      </c>
      <c r="J174" s="3514" t="s">
        <v>414</v>
      </c>
      <c r="K174" s="3514" t="s">
        <v>414</v>
      </c>
      <c r="L174" s="3514" t="s">
        <v>414</v>
      </c>
      <c r="M174" s="3514" t="s">
        <v>414</v>
      </c>
      <c r="N174" s="3514" t="s">
        <v>414</v>
      </c>
      <c r="O174" s="3514" t="s">
        <v>414</v>
      </c>
      <c r="P174" s="3514" t="s">
        <v>414</v>
      </c>
      <c r="Q174" s="3514" t="s">
        <v>414</v>
      </c>
      <c r="R174" s="3514" t="s">
        <v>414</v>
      </c>
      <c r="S174" s="3514" t="s">
        <v>414</v>
      </c>
      <c r="T174" s="3514" t="s">
        <v>414</v>
      </c>
      <c r="U174" s="3514" t="s">
        <v>414</v>
      </c>
      <c r="V174" s="3514" t="s">
        <v>414</v>
      </c>
      <c r="W174" s="3514" t="s">
        <v>414</v>
      </c>
      <c r="X174" s="3514" t="s">
        <v>414</v>
      </c>
      <c r="Y174" s="3514" t="s">
        <v>414</v>
      </c>
      <c r="Z174" s="3514" t="s">
        <v>414</v>
      </c>
      <c r="AA174" s="3514" t="s">
        <v>414</v>
      </c>
      <c r="AB174" s="3514" t="s">
        <v>414</v>
      </c>
      <c r="AC174" s="3514" t="s">
        <v>414</v>
      </c>
      <c r="AD174" s="3514" t="s">
        <v>414</v>
      </c>
      <c r="AE174" s="3514" t="s">
        <v>414</v>
      </c>
      <c r="AF174" s="3514" t="s">
        <v>414</v>
      </c>
      <c r="AG174" s="3514" t="s">
        <v>414</v>
      </c>
      <c r="AH174" s="3514" t="s">
        <v>414</v>
      </c>
      <c r="AI174" s="3514" t="s">
        <v>414</v>
      </c>
      <c r="AJ174" s="3514" t="s">
        <v>414</v>
      </c>
      <c r="AK174" s="3514" t="s">
        <v>414</v>
      </c>
      <c r="AL174" s="3514" t="s">
        <v>414</v>
      </c>
      <c r="AM174" s="3514" t="s">
        <v>414</v>
      </c>
      <c r="AN174" s="3514" t="s">
        <v>414</v>
      </c>
      <c r="AO174" s="3525" t="s">
        <v>414</v>
      </c>
      <c r="AP174" s="3512"/>
    </row>
    <row r="175" spans="1:45" ht="13">
      <c r="A175" s="3526" t="s">
        <v>436</v>
      </c>
      <c r="B175" s="3515" t="s">
        <v>416</v>
      </c>
      <c r="C175" s="3515" t="s">
        <v>719</v>
      </c>
      <c r="D175" s="3515" t="s">
        <v>720</v>
      </c>
      <c r="E175" s="3515" t="s">
        <v>445</v>
      </c>
      <c r="F175" s="3515" t="s">
        <v>719</v>
      </c>
      <c r="G175" s="3515" t="s">
        <v>445</v>
      </c>
      <c r="H175" s="3515" t="s">
        <v>721</v>
      </c>
      <c r="I175" s="3515" t="s">
        <v>442</v>
      </c>
      <c r="J175" s="3515" t="s">
        <v>445</v>
      </c>
      <c r="K175" s="3515" t="s">
        <v>722</v>
      </c>
      <c r="L175" s="3515" t="s">
        <v>445</v>
      </c>
      <c r="M175" s="3515" t="s">
        <v>445</v>
      </c>
      <c r="N175" s="3515" t="s">
        <v>444</v>
      </c>
      <c r="O175" s="3515" t="s">
        <v>442</v>
      </c>
      <c r="P175" s="3515" t="s">
        <v>446</v>
      </c>
      <c r="Q175" s="3515" t="s">
        <v>722</v>
      </c>
      <c r="R175" s="3515" t="s">
        <v>445</v>
      </c>
      <c r="S175" s="3515" t="s">
        <v>723</v>
      </c>
      <c r="T175" s="3515" t="s">
        <v>723</v>
      </c>
      <c r="U175" s="3515" t="s">
        <v>724</v>
      </c>
      <c r="V175" s="3515" t="s">
        <v>725</v>
      </c>
      <c r="W175" s="3515" t="s">
        <v>726</v>
      </c>
      <c r="X175" s="3515" t="s">
        <v>443</v>
      </c>
      <c r="Y175" s="3515" t="s">
        <v>726</v>
      </c>
      <c r="Z175" s="3515" t="s">
        <v>725</v>
      </c>
      <c r="AA175" s="3515" t="s">
        <v>291</v>
      </c>
      <c r="AB175" s="3515" t="s">
        <v>445</v>
      </c>
      <c r="AC175" s="3515" t="s">
        <v>291</v>
      </c>
      <c r="AD175" s="3515" t="s">
        <v>724</v>
      </c>
      <c r="AE175" s="3515" t="s">
        <v>443</v>
      </c>
      <c r="AF175" s="3515" t="s">
        <v>420</v>
      </c>
      <c r="AG175" s="3515" t="s">
        <v>420</v>
      </c>
      <c r="AH175" s="3515" t="s">
        <v>418</v>
      </c>
      <c r="AI175" s="3515" t="s">
        <v>727</v>
      </c>
      <c r="AJ175" s="3515" t="s">
        <v>728</v>
      </c>
      <c r="AK175" s="3515" t="s">
        <v>417</v>
      </c>
      <c r="AL175" s="3515" t="s">
        <v>445</v>
      </c>
      <c r="AM175" s="3515" t="s">
        <v>445</v>
      </c>
      <c r="AN175" s="3515" t="s">
        <v>729</v>
      </c>
      <c r="AO175" s="3527" t="s">
        <v>729</v>
      </c>
      <c r="AP175" s="3512"/>
    </row>
    <row r="176" spans="1:45">
      <c r="A176" s="3528"/>
      <c r="B176" s="3515" t="s">
        <v>421</v>
      </c>
      <c r="C176" s="3516" t="s">
        <v>445</v>
      </c>
      <c r="D176" s="3516" t="s">
        <v>445</v>
      </c>
      <c r="E176" s="3516" t="s">
        <v>445</v>
      </c>
      <c r="F176" s="3516" t="s">
        <v>727</v>
      </c>
      <c r="G176" s="3516" t="s">
        <v>719</v>
      </c>
      <c r="H176" s="3516" t="s">
        <v>719</v>
      </c>
      <c r="I176" s="3516" t="s">
        <v>722</v>
      </c>
      <c r="J176" s="3516" t="s">
        <v>720</v>
      </c>
      <c r="K176" s="3516" t="s">
        <v>446</v>
      </c>
      <c r="L176" s="3516" t="s">
        <v>444</v>
      </c>
      <c r="M176" s="3516" t="s">
        <v>420</v>
      </c>
      <c r="N176" s="3516" t="s">
        <v>445</v>
      </c>
      <c r="O176" s="3516" t="s">
        <v>418</v>
      </c>
      <c r="P176" s="3516" t="s">
        <v>442</v>
      </c>
      <c r="Q176" s="3516" t="s">
        <v>723</v>
      </c>
      <c r="R176" s="3516" t="s">
        <v>443</v>
      </c>
      <c r="S176" s="3516" t="s">
        <v>445</v>
      </c>
      <c r="T176" s="3516" t="s">
        <v>724</v>
      </c>
      <c r="U176" s="3516" t="s">
        <v>725</v>
      </c>
      <c r="V176" s="3516" t="s">
        <v>726</v>
      </c>
      <c r="W176" s="3516" t="s">
        <v>725</v>
      </c>
      <c r="X176" s="3516" t="s">
        <v>445</v>
      </c>
      <c r="Y176" s="3516" t="s">
        <v>445</v>
      </c>
      <c r="Z176" s="3516" t="s">
        <v>291</v>
      </c>
      <c r="AA176" s="3516" t="s">
        <v>725</v>
      </c>
      <c r="AB176" s="3516" t="s">
        <v>443</v>
      </c>
      <c r="AC176" s="3516" t="s">
        <v>724</v>
      </c>
      <c r="AD176" s="3516" t="s">
        <v>721</v>
      </c>
      <c r="AE176" s="3516" t="s">
        <v>445</v>
      </c>
      <c r="AF176" s="3516" t="s">
        <v>442</v>
      </c>
      <c r="AG176" s="3516" t="s">
        <v>418</v>
      </c>
      <c r="AH176" s="3516" t="s">
        <v>445</v>
      </c>
      <c r="AI176" s="3516" t="s">
        <v>728</v>
      </c>
      <c r="AJ176" s="3516" t="s">
        <v>722</v>
      </c>
      <c r="AK176" s="3516" t="s">
        <v>445</v>
      </c>
      <c r="AL176" s="3516" t="s">
        <v>417</v>
      </c>
      <c r="AM176" s="3516" t="s">
        <v>729</v>
      </c>
      <c r="AN176" s="3516" t="s">
        <v>445</v>
      </c>
      <c r="AO176" s="3529" t="s">
        <v>445</v>
      </c>
      <c r="AP176" s="3512"/>
    </row>
    <row r="177" spans="1:42" ht="13" thickBot="1">
      <c r="A177" s="5061" t="s">
        <v>49</v>
      </c>
      <c r="B177" s="5062"/>
      <c r="C177" s="3519" t="s">
        <v>296</v>
      </c>
      <c r="D177" s="3519" t="s">
        <v>296</v>
      </c>
      <c r="E177" s="3519" t="s">
        <v>296</v>
      </c>
      <c r="F177" s="3519" t="s">
        <v>296</v>
      </c>
      <c r="G177" s="3519" t="s">
        <v>296</v>
      </c>
      <c r="H177" s="3519" t="s">
        <v>296</v>
      </c>
      <c r="I177" s="3519" t="s">
        <v>296</v>
      </c>
      <c r="J177" s="3519" t="s">
        <v>296</v>
      </c>
      <c r="K177" s="3519" t="s">
        <v>296</v>
      </c>
      <c r="L177" s="3519" t="s">
        <v>296</v>
      </c>
      <c r="M177" s="3519" t="s">
        <v>296</v>
      </c>
      <c r="N177" s="3519" t="s">
        <v>296</v>
      </c>
      <c r="O177" s="3519" t="s">
        <v>296</v>
      </c>
      <c r="P177" s="3519" t="s">
        <v>296</v>
      </c>
      <c r="Q177" s="3519" t="s">
        <v>296</v>
      </c>
      <c r="R177" s="3519" t="s">
        <v>296</v>
      </c>
      <c r="S177" s="3519" t="s">
        <v>296</v>
      </c>
      <c r="T177" s="3519" t="s">
        <v>296</v>
      </c>
      <c r="U177" s="3519" t="s">
        <v>296</v>
      </c>
      <c r="V177" s="3519" t="s">
        <v>296</v>
      </c>
      <c r="W177" s="3519" t="s">
        <v>296</v>
      </c>
      <c r="X177" s="3519" t="s">
        <v>296</v>
      </c>
      <c r="Y177" s="3519" t="s">
        <v>296</v>
      </c>
      <c r="Z177" s="3519" t="s">
        <v>296</v>
      </c>
      <c r="AA177" s="3519" t="s">
        <v>296</v>
      </c>
      <c r="AB177" s="3519" t="s">
        <v>296</v>
      </c>
      <c r="AC177" s="3519" t="s">
        <v>296</v>
      </c>
      <c r="AD177" s="3519" t="s">
        <v>296</v>
      </c>
      <c r="AE177" s="3519" t="s">
        <v>296</v>
      </c>
      <c r="AF177" s="3519" t="s">
        <v>296</v>
      </c>
      <c r="AG177" s="3519" t="s">
        <v>296</v>
      </c>
      <c r="AH177" s="3519" t="s">
        <v>296</v>
      </c>
      <c r="AI177" s="3519" t="s">
        <v>296</v>
      </c>
      <c r="AJ177" s="3519" t="s">
        <v>296</v>
      </c>
      <c r="AK177" s="3519" t="s">
        <v>296</v>
      </c>
      <c r="AL177" s="3519" t="s">
        <v>296</v>
      </c>
      <c r="AM177" s="3519" t="s">
        <v>296</v>
      </c>
      <c r="AN177" s="3519" t="s">
        <v>296</v>
      </c>
      <c r="AO177" s="3530" t="s">
        <v>296</v>
      </c>
      <c r="AP177" s="3512"/>
    </row>
    <row r="178" spans="1:42" ht="13" thickTop="1">
      <c r="A178" s="5059" t="s">
        <v>5</v>
      </c>
      <c r="B178" s="5060"/>
      <c r="C178" s="3518"/>
      <c r="D178" s="3533">
        <v>0</v>
      </c>
      <c r="E178" s="3518"/>
      <c r="F178" s="3532">
        <v>4.1615166921278697E-6</v>
      </c>
      <c r="G178" s="3535">
        <v>0</v>
      </c>
      <c r="H178" s="3532">
        <v>4.2146318600014902E-6</v>
      </c>
      <c r="I178" s="3518"/>
      <c r="J178" s="3518"/>
      <c r="K178" s="3518"/>
      <c r="L178" s="3535">
        <v>0</v>
      </c>
      <c r="M178" s="3518"/>
      <c r="N178" s="3535">
        <v>0</v>
      </c>
      <c r="O178" s="3532">
        <v>8.9833425244467101E-7</v>
      </c>
      <c r="P178" s="3518"/>
      <c r="Q178" s="3537">
        <v>1.3822483275649801E-4</v>
      </c>
      <c r="R178" s="3518"/>
      <c r="S178" s="3518"/>
      <c r="T178" s="3537">
        <v>1.38086573157107E-4</v>
      </c>
      <c r="U178" s="3537">
        <v>1.3760322641870901E-4</v>
      </c>
      <c r="V178" s="3518"/>
      <c r="W178" s="3532">
        <v>4.4136313961989896E-6</v>
      </c>
      <c r="X178" s="3518"/>
      <c r="Y178" s="3518"/>
      <c r="Z178" s="3532">
        <v>4.7953072688911703E-6</v>
      </c>
      <c r="AA178" s="3518"/>
      <c r="AB178" s="3518"/>
      <c r="AC178" s="3532">
        <v>4.2177176069838499E-6</v>
      </c>
      <c r="AD178" s="3532">
        <v>4.2177176069838499E-6</v>
      </c>
      <c r="AE178" s="3535">
        <v>0</v>
      </c>
      <c r="AF178" s="3518"/>
      <c r="AG178" s="3518"/>
      <c r="AH178" s="3532">
        <v>8.9833425244467101E-7</v>
      </c>
      <c r="AI178" s="3532">
        <v>4.1615166921278697E-6</v>
      </c>
      <c r="AJ178" s="3532">
        <v>4.1615166921278697E-6</v>
      </c>
      <c r="AK178" s="3535">
        <v>0</v>
      </c>
      <c r="AL178" s="3535">
        <v>0</v>
      </c>
      <c r="AM178" s="3535">
        <v>0</v>
      </c>
      <c r="AN178" s="3518"/>
      <c r="AO178" s="3540">
        <v>0</v>
      </c>
      <c r="AP178" s="3512"/>
    </row>
    <row r="179" spans="1:42">
      <c r="A179" s="5057" t="s">
        <v>674</v>
      </c>
      <c r="B179" s="5058"/>
      <c r="C179" s="3518"/>
      <c r="D179" s="3533">
        <v>0</v>
      </c>
      <c r="E179" s="3518"/>
      <c r="F179" s="3535">
        <v>0</v>
      </c>
      <c r="G179" s="3535">
        <v>0</v>
      </c>
      <c r="H179" s="3535">
        <v>0</v>
      </c>
      <c r="I179" s="3518"/>
      <c r="J179" s="3518"/>
      <c r="K179" s="3518"/>
      <c r="L179" s="3545">
        <v>0.47801441553940299</v>
      </c>
      <c r="M179" s="3518"/>
      <c r="N179" s="3545">
        <v>0.41572055513900502</v>
      </c>
      <c r="O179" s="3538">
        <v>1.12302989239592E-3</v>
      </c>
      <c r="P179" s="3518"/>
      <c r="Q179" s="3537">
        <v>9.8776513625524497E-4</v>
      </c>
      <c r="R179" s="3518"/>
      <c r="S179" s="3518"/>
      <c r="T179" s="3532">
        <v>3.3814247325294602E-5</v>
      </c>
      <c r="U179" s="3532">
        <v>2.3365632429448399E-6</v>
      </c>
      <c r="V179" s="3518"/>
      <c r="W179" s="3532">
        <v>9.2465011285454006E-9</v>
      </c>
      <c r="X179" s="3518"/>
      <c r="Y179" s="3518"/>
      <c r="Z179" s="3535">
        <v>0</v>
      </c>
      <c r="AA179" s="3518"/>
      <c r="AB179" s="3518"/>
      <c r="AC179" s="3535">
        <v>0</v>
      </c>
      <c r="AD179" s="3535">
        <v>0</v>
      </c>
      <c r="AE179" s="3538">
        <v>1.3116947750287601E-3</v>
      </c>
      <c r="AF179" s="3518"/>
      <c r="AG179" s="3518"/>
      <c r="AH179" s="3538">
        <v>1.12302989239592E-3</v>
      </c>
      <c r="AI179" s="3535">
        <v>0</v>
      </c>
      <c r="AJ179" s="3535">
        <v>0</v>
      </c>
      <c r="AK179" s="3537">
        <v>1.0984946495863201E-4</v>
      </c>
      <c r="AL179" s="3538">
        <v>2.1080273160817798E-3</v>
      </c>
      <c r="AM179" s="3535">
        <v>0</v>
      </c>
      <c r="AN179" s="3518"/>
      <c r="AO179" s="3540">
        <v>0</v>
      </c>
      <c r="AP179" s="3512"/>
    </row>
    <row r="180" spans="1:42">
      <c r="A180" s="5057" t="s">
        <v>3</v>
      </c>
      <c r="B180" s="5058"/>
      <c r="C180" s="3518"/>
      <c r="D180" s="3533">
        <v>0</v>
      </c>
      <c r="E180" s="3518"/>
      <c r="F180" s="3543">
        <v>6.2476465951825502E-2</v>
      </c>
      <c r="G180" s="3535">
        <v>0</v>
      </c>
      <c r="H180" s="3543">
        <v>6.3273879064083202E-2</v>
      </c>
      <c r="I180" s="3518"/>
      <c r="J180" s="3518"/>
      <c r="K180" s="3518"/>
      <c r="L180" s="3544">
        <v>1.7387189656653499</v>
      </c>
      <c r="M180" s="3518"/>
      <c r="N180" s="3544">
        <v>1.48030329490765</v>
      </c>
      <c r="O180" s="3545">
        <v>0.15869422081364801</v>
      </c>
      <c r="P180" s="3518"/>
      <c r="Q180" s="3544">
        <v>5.6980565450033103</v>
      </c>
      <c r="R180" s="3518"/>
      <c r="S180" s="3518"/>
      <c r="T180" s="3544">
        <v>5.6976462596669899</v>
      </c>
      <c r="U180" s="3544">
        <v>5.6582501636411902</v>
      </c>
      <c r="V180" s="3518"/>
      <c r="W180" s="3543">
        <v>5.8772255817103797E-2</v>
      </c>
      <c r="X180" s="3518"/>
      <c r="Y180" s="3518"/>
      <c r="Z180" s="3545">
        <v>0.10099951564591</v>
      </c>
      <c r="AA180" s="3518"/>
      <c r="AB180" s="3518"/>
      <c r="AC180" s="3543">
        <v>6.3272878525726203E-2</v>
      </c>
      <c r="AD180" s="3543">
        <v>6.32728785257263E-2</v>
      </c>
      <c r="AE180" s="3544">
        <v>3.0026089367804301</v>
      </c>
      <c r="AF180" s="3518"/>
      <c r="AG180" s="3518"/>
      <c r="AH180" s="3545">
        <v>0.15869422081364801</v>
      </c>
      <c r="AI180" s="3543">
        <v>6.2476465951825502E-2</v>
      </c>
      <c r="AJ180" s="3543">
        <v>6.2476465951825502E-2</v>
      </c>
      <c r="AK180" s="3545">
        <v>0.24854842697773299</v>
      </c>
      <c r="AL180" s="3545">
        <v>0.17885453300000301</v>
      </c>
      <c r="AM180" s="3535">
        <v>0</v>
      </c>
      <c r="AN180" s="3518"/>
      <c r="AO180" s="3540">
        <v>0</v>
      </c>
      <c r="AP180" s="3512"/>
    </row>
    <row r="181" spans="1:42">
      <c r="A181" s="5057" t="s">
        <v>6</v>
      </c>
      <c r="B181" s="5058"/>
      <c r="C181" s="3518"/>
      <c r="D181" s="3533">
        <v>0</v>
      </c>
      <c r="E181" s="3518"/>
      <c r="F181" s="3535">
        <v>0</v>
      </c>
      <c r="G181" s="3535">
        <v>0</v>
      </c>
      <c r="H181" s="3535">
        <v>0</v>
      </c>
      <c r="I181" s="3518"/>
      <c r="J181" s="3518"/>
      <c r="K181" s="3518"/>
      <c r="L181" s="3546">
        <v>32.493452064413503</v>
      </c>
      <c r="M181" s="3518"/>
      <c r="N181" s="3546">
        <v>27.876245136802201</v>
      </c>
      <c r="O181" s="3543">
        <v>7.5489070319587404E-2</v>
      </c>
      <c r="P181" s="3518"/>
      <c r="Q181" s="3545">
        <v>0.10886256003042601</v>
      </c>
      <c r="R181" s="3518"/>
      <c r="S181" s="3518"/>
      <c r="T181" s="3543">
        <v>1.09361029464464E-2</v>
      </c>
      <c r="U181" s="3538">
        <v>2.2843797101060998E-3</v>
      </c>
      <c r="V181" s="3518"/>
      <c r="W181" s="3532">
        <v>5.7749590987163199E-6</v>
      </c>
      <c r="X181" s="3518"/>
      <c r="Y181" s="3518"/>
      <c r="Z181" s="3535">
        <v>0</v>
      </c>
      <c r="AA181" s="3518"/>
      <c r="AB181" s="3518"/>
      <c r="AC181" s="3535">
        <v>0</v>
      </c>
      <c r="AD181" s="3535">
        <v>0</v>
      </c>
      <c r="AE181" s="3545">
        <v>0.125101396709765</v>
      </c>
      <c r="AF181" s="3518"/>
      <c r="AG181" s="3518"/>
      <c r="AH181" s="3543">
        <v>7.5489070319587404E-2</v>
      </c>
      <c r="AI181" s="3535">
        <v>0</v>
      </c>
      <c r="AJ181" s="3535">
        <v>0</v>
      </c>
      <c r="AK181" s="3543">
        <v>1.0766338042133099E-2</v>
      </c>
      <c r="AL181" s="3543">
        <v>9.6714932189532393E-2</v>
      </c>
      <c r="AM181" s="3535">
        <v>0</v>
      </c>
      <c r="AN181" s="3518"/>
      <c r="AO181" s="3540">
        <v>0</v>
      </c>
      <c r="AP181" s="3512"/>
    </row>
    <row r="182" spans="1:42">
      <c r="A182" s="5057" t="s">
        <v>7</v>
      </c>
      <c r="B182" s="5058"/>
      <c r="C182" s="3518"/>
      <c r="D182" s="3533">
        <v>0</v>
      </c>
      <c r="E182" s="3518"/>
      <c r="F182" s="3535">
        <v>0</v>
      </c>
      <c r="G182" s="3535">
        <v>0</v>
      </c>
      <c r="H182" s="3535">
        <v>0</v>
      </c>
      <c r="I182" s="3518"/>
      <c r="J182" s="3518"/>
      <c r="K182" s="3518"/>
      <c r="L182" s="3546">
        <v>18.316230033676302</v>
      </c>
      <c r="M182" s="3518"/>
      <c r="N182" s="3546">
        <v>16.1015825755577</v>
      </c>
      <c r="O182" s="3543">
        <v>1.1504328471732101E-2</v>
      </c>
      <c r="P182" s="3518"/>
      <c r="Q182" s="3543">
        <v>2.4359136635562301E-2</v>
      </c>
      <c r="R182" s="3518"/>
      <c r="S182" s="3518"/>
      <c r="T182" s="3538">
        <v>3.6555709378671701E-3</v>
      </c>
      <c r="U182" s="3538">
        <v>1.0120041181662599E-3</v>
      </c>
      <c r="V182" s="3518"/>
      <c r="W182" s="3532">
        <v>2.1516873240073E-6</v>
      </c>
      <c r="X182" s="3518"/>
      <c r="Y182" s="3518"/>
      <c r="Z182" s="3535">
        <v>0</v>
      </c>
      <c r="AA182" s="3518"/>
      <c r="AB182" s="3518"/>
      <c r="AC182" s="3535">
        <v>0</v>
      </c>
      <c r="AD182" s="3535">
        <v>0</v>
      </c>
      <c r="AE182" s="3543">
        <v>3.2810224787498302E-2</v>
      </c>
      <c r="AF182" s="3518"/>
      <c r="AG182" s="3518"/>
      <c r="AH182" s="3543">
        <v>1.1504328471732101E-2</v>
      </c>
      <c r="AI182" s="3535">
        <v>0</v>
      </c>
      <c r="AJ182" s="3535">
        <v>0</v>
      </c>
      <c r="AK182" s="3538">
        <v>3.64250733065587E-3</v>
      </c>
      <c r="AL182" s="3543">
        <v>1.29197482389445E-2</v>
      </c>
      <c r="AM182" s="3535">
        <v>0</v>
      </c>
      <c r="AN182" s="3518"/>
      <c r="AO182" s="3540">
        <v>0</v>
      </c>
      <c r="AP182" s="3512"/>
    </row>
    <row r="183" spans="1:42">
      <c r="A183" s="5057" t="s">
        <v>8</v>
      </c>
      <c r="B183" s="5058"/>
      <c r="C183" s="3518"/>
      <c r="D183" s="3533">
        <v>0</v>
      </c>
      <c r="E183" s="3518"/>
      <c r="F183" s="3535">
        <v>0</v>
      </c>
      <c r="G183" s="3535">
        <v>0</v>
      </c>
      <c r="H183" s="3535">
        <v>0</v>
      </c>
      <c r="I183" s="3518"/>
      <c r="J183" s="3518"/>
      <c r="K183" s="3518"/>
      <c r="L183" s="3546">
        <v>21.164306422791899</v>
      </c>
      <c r="M183" s="3518"/>
      <c r="N183" s="3546">
        <v>19.852211447092401</v>
      </c>
      <c r="O183" s="3538">
        <v>3.1703976299968799E-3</v>
      </c>
      <c r="P183" s="3518"/>
      <c r="Q183" s="3538">
        <v>7.37960896507623E-3</v>
      </c>
      <c r="R183" s="3518"/>
      <c r="S183" s="3518"/>
      <c r="T183" s="3537">
        <v>9.3133516696150705E-4</v>
      </c>
      <c r="U183" s="3537">
        <v>2.3116652374218299E-4</v>
      </c>
      <c r="V183" s="3518"/>
      <c r="W183" s="3532">
        <v>4.2069797606682499E-7</v>
      </c>
      <c r="X183" s="3518"/>
      <c r="Y183" s="3518"/>
      <c r="Z183" s="3535">
        <v>0</v>
      </c>
      <c r="AA183" s="3518"/>
      <c r="AB183" s="3518"/>
      <c r="AC183" s="3535">
        <v>0</v>
      </c>
      <c r="AD183" s="3535">
        <v>0</v>
      </c>
      <c r="AE183" s="3543">
        <v>1.2510826982657999E-2</v>
      </c>
      <c r="AF183" s="3518"/>
      <c r="AG183" s="3518"/>
      <c r="AH183" s="3538">
        <v>3.1703976299968799E-3</v>
      </c>
      <c r="AI183" s="3535">
        <v>0</v>
      </c>
      <c r="AJ183" s="3535">
        <v>0</v>
      </c>
      <c r="AK183" s="3538">
        <v>2.5220817568576302E-3</v>
      </c>
      <c r="AL183" s="3538">
        <v>3.9800076679401197E-3</v>
      </c>
      <c r="AM183" s="3535">
        <v>0</v>
      </c>
      <c r="AN183" s="3518"/>
      <c r="AO183" s="3540">
        <v>0</v>
      </c>
      <c r="AP183" s="3512"/>
    </row>
    <row r="184" spans="1:42">
      <c r="A184" s="5057" t="s">
        <v>678</v>
      </c>
      <c r="B184" s="5058"/>
      <c r="C184" s="3518"/>
      <c r="D184" s="3533">
        <v>0</v>
      </c>
      <c r="E184" s="3518"/>
      <c r="F184" s="3535">
        <v>0</v>
      </c>
      <c r="G184" s="3535">
        <v>0</v>
      </c>
      <c r="H184" s="3535">
        <v>0</v>
      </c>
      <c r="I184" s="3518"/>
      <c r="J184" s="3518"/>
      <c r="K184" s="3518"/>
      <c r="L184" s="3544">
        <v>3.5871341706305899</v>
      </c>
      <c r="M184" s="3518"/>
      <c r="N184" s="3544">
        <v>3.73698269024031</v>
      </c>
      <c r="O184" s="3537">
        <v>1.8348781282278599E-4</v>
      </c>
      <c r="P184" s="3518"/>
      <c r="Q184" s="3537">
        <v>5.2868634700672598E-4</v>
      </c>
      <c r="R184" s="3518"/>
      <c r="S184" s="3518"/>
      <c r="T184" s="3532">
        <v>5.2288179765750298E-5</v>
      </c>
      <c r="U184" s="3532">
        <v>1.2157324180695199E-5</v>
      </c>
      <c r="V184" s="3518"/>
      <c r="W184" s="3532">
        <v>1.4883202003688301E-8</v>
      </c>
      <c r="X184" s="3518"/>
      <c r="Y184" s="3518"/>
      <c r="Z184" s="3535">
        <v>0</v>
      </c>
      <c r="AA184" s="3518"/>
      <c r="AB184" s="3518"/>
      <c r="AC184" s="3535">
        <v>0</v>
      </c>
      <c r="AD184" s="3535">
        <v>0</v>
      </c>
      <c r="AE184" s="3537">
        <v>8.9770844185362996E-4</v>
      </c>
      <c r="AF184" s="3518"/>
      <c r="AG184" s="3518"/>
      <c r="AH184" s="3537">
        <v>1.8348781282278599E-4</v>
      </c>
      <c r="AI184" s="3535">
        <v>0</v>
      </c>
      <c r="AJ184" s="3535">
        <v>0</v>
      </c>
      <c r="AK184" s="3537">
        <v>2.6771272998494698E-4</v>
      </c>
      <c r="AL184" s="3537">
        <v>1.8982173424811799E-4</v>
      </c>
      <c r="AM184" s="3535">
        <v>0</v>
      </c>
      <c r="AN184" s="3518"/>
      <c r="AO184" s="3540">
        <v>0</v>
      </c>
      <c r="AP184" s="3512"/>
    </row>
    <row r="185" spans="1:42">
      <c r="A185" s="5057" t="s">
        <v>67</v>
      </c>
      <c r="B185" s="5058"/>
      <c r="C185" s="3518"/>
      <c r="D185" s="3533">
        <v>0</v>
      </c>
      <c r="E185" s="3518"/>
      <c r="F185" s="3535">
        <v>0</v>
      </c>
      <c r="G185" s="3535">
        <v>0</v>
      </c>
      <c r="H185" s="3535">
        <v>0</v>
      </c>
      <c r="I185" s="3518"/>
      <c r="J185" s="3518"/>
      <c r="K185" s="3518"/>
      <c r="L185" s="3546">
        <v>10.911991697250301</v>
      </c>
      <c r="M185" s="3518"/>
      <c r="N185" s="3546">
        <v>12.223586715654299</v>
      </c>
      <c r="O185" s="3537">
        <v>5.8948685655447802E-4</v>
      </c>
      <c r="P185" s="3518"/>
      <c r="Q185" s="3538">
        <v>1.6918316040494101E-3</v>
      </c>
      <c r="R185" s="3518"/>
      <c r="S185" s="3518"/>
      <c r="T185" s="3537">
        <v>2.37495137577552E-4</v>
      </c>
      <c r="U185" s="3532">
        <v>6.1068574202008199E-5</v>
      </c>
      <c r="V185" s="3518"/>
      <c r="W185" s="3532">
        <v>1.01851808582192E-7</v>
      </c>
      <c r="X185" s="3518"/>
      <c r="Y185" s="3518"/>
      <c r="Z185" s="3535">
        <v>0</v>
      </c>
      <c r="AA185" s="3518"/>
      <c r="AB185" s="3518"/>
      <c r="AC185" s="3535">
        <v>0</v>
      </c>
      <c r="AD185" s="3535">
        <v>0</v>
      </c>
      <c r="AE185" s="3538">
        <v>3.3960525127336798E-3</v>
      </c>
      <c r="AF185" s="3518"/>
      <c r="AG185" s="3518"/>
      <c r="AH185" s="3537">
        <v>5.8948685655447802E-4</v>
      </c>
      <c r="AI185" s="3535">
        <v>0</v>
      </c>
      <c r="AJ185" s="3535">
        <v>0</v>
      </c>
      <c r="AK185" s="3537">
        <v>3.05674019970764E-4</v>
      </c>
      <c r="AL185" s="3537">
        <v>6.89984166465834E-4</v>
      </c>
      <c r="AM185" s="3535">
        <v>0</v>
      </c>
      <c r="AN185" s="3518"/>
      <c r="AO185" s="3540">
        <v>0</v>
      </c>
      <c r="AP185" s="3512"/>
    </row>
    <row r="186" spans="1:42">
      <c r="A186" s="5057" t="s">
        <v>679</v>
      </c>
      <c r="B186" s="5058"/>
      <c r="C186" s="3518"/>
      <c r="D186" s="3533">
        <v>0</v>
      </c>
      <c r="E186" s="3518"/>
      <c r="F186" s="3535">
        <v>0</v>
      </c>
      <c r="G186" s="3535">
        <v>0</v>
      </c>
      <c r="H186" s="3535">
        <v>0</v>
      </c>
      <c r="I186" s="3518"/>
      <c r="J186" s="3518"/>
      <c r="K186" s="3518"/>
      <c r="L186" s="3544">
        <v>2.83824908112142</v>
      </c>
      <c r="M186" s="3518"/>
      <c r="N186" s="3544">
        <v>3.6971689836257702</v>
      </c>
      <c r="O186" s="3532">
        <v>4.5828721678801499E-5</v>
      </c>
      <c r="P186" s="3518"/>
      <c r="Q186" s="3537">
        <v>1.4592577945031401E-4</v>
      </c>
      <c r="R186" s="3518"/>
      <c r="S186" s="3518"/>
      <c r="T186" s="3532">
        <v>1.1674723444738899E-5</v>
      </c>
      <c r="U186" s="3532">
        <v>1.28805648799211E-6</v>
      </c>
      <c r="V186" s="3518"/>
      <c r="W186" s="3532">
        <v>2.5235309735979898E-9</v>
      </c>
      <c r="X186" s="3518"/>
      <c r="Y186" s="3518"/>
      <c r="Z186" s="3535">
        <v>0</v>
      </c>
      <c r="AA186" s="3518"/>
      <c r="AB186" s="3518"/>
      <c r="AC186" s="3535">
        <v>0</v>
      </c>
      <c r="AD186" s="3535">
        <v>0</v>
      </c>
      <c r="AE186" s="3537">
        <v>3.2084108449011899E-4</v>
      </c>
      <c r="AF186" s="3518"/>
      <c r="AG186" s="3518"/>
      <c r="AH186" s="3532">
        <v>4.5828721678801499E-5</v>
      </c>
      <c r="AI186" s="3535">
        <v>0</v>
      </c>
      <c r="AJ186" s="3535">
        <v>0</v>
      </c>
      <c r="AK186" s="3532">
        <v>6.1195885352351002E-5</v>
      </c>
      <c r="AL186" s="3532">
        <v>4.79170348048613E-5</v>
      </c>
      <c r="AM186" s="3535">
        <v>0</v>
      </c>
      <c r="AN186" s="3518"/>
      <c r="AO186" s="3540">
        <v>0</v>
      </c>
      <c r="AP186" s="3512"/>
    </row>
    <row r="187" spans="1:42">
      <c r="A187" s="5057" t="s">
        <v>69</v>
      </c>
      <c r="B187" s="5058"/>
      <c r="C187" s="3518"/>
      <c r="D187" s="3533">
        <v>0</v>
      </c>
      <c r="E187" s="3518"/>
      <c r="F187" s="3535">
        <v>0</v>
      </c>
      <c r="G187" s="3535">
        <v>0</v>
      </c>
      <c r="H187" s="3535">
        <v>0</v>
      </c>
      <c r="I187" s="3518"/>
      <c r="J187" s="3518"/>
      <c r="K187" s="3518"/>
      <c r="L187" s="3544">
        <v>3.2440934198324198</v>
      </c>
      <c r="M187" s="3518"/>
      <c r="N187" s="3544">
        <v>4.5108350068057002</v>
      </c>
      <c r="O187" s="3532">
        <v>5.7389006529071001E-5</v>
      </c>
      <c r="P187" s="3518"/>
      <c r="Q187" s="3537">
        <v>1.8616652679474501E-4</v>
      </c>
      <c r="R187" s="3518"/>
      <c r="S187" s="3518"/>
      <c r="T187" s="3532">
        <v>1.8451286385365299E-5</v>
      </c>
      <c r="U187" s="3532">
        <v>2.8665370997510002E-6</v>
      </c>
      <c r="V187" s="3518"/>
      <c r="W187" s="3532">
        <v>4.9233218670574201E-9</v>
      </c>
      <c r="X187" s="3518"/>
      <c r="Y187" s="3518"/>
      <c r="Z187" s="3535">
        <v>0</v>
      </c>
      <c r="AA187" s="3518"/>
      <c r="AB187" s="3518"/>
      <c r="AC187" s="3535">
        <v>0</v>
      </c>
      <c r="AD187" s="3535">
        <v>0</v>
      </c>
      <c r="AE187" s="3537">
        <v>4.2523697463890502E-4</v>
      </c>
      <c r="AF187" s="3518"/>
      <c r="AG187" s="3518"/>
      <c r="AH187" s="3532">
        <v>5.7389006529071001E-5</v>
      </c>
      <c r="AI187" s="3535">
        <v>0</v>
      </c>
      <c r="AJ187" s="3535">
        <v>0</v>
      </c>
      <c r="AK187" s="3537">
        <v>1.01027358170679E-4</v>
      </c>
      <c r="AL187" s="3532">
        <v>6.2638220915757102E-5</v>
      </c>
      <c r="AM187" s="3535">
        <v>0</v>
      </c>
      <c r="AN187" s="3518"/>
      <c r="AO187" s="3540">
        <v>0</v>
      </c>
      <c r="AP187" s="3512"/>
    </row>
    <row r="188" spans="1:42">
      <c r="A188" s="5057" t="s">
        <v>10</v>
      </c>
      <c r="B188" s="5058"/>
      <c r="C188" s="3518"/>
      <c r="D188" s="3533">
        <v>0</v>
      </c>
      <c r="E188" s="3518"/>
      <c r="F188" s="3535">
        <v>0</v>
      </c>
      <c r="G188" s="3535">
        <v>0</v>
      </c>
      <c r="H188" s="3535">
        <v>0</v>
      </c>
      <c r="I188" s="3518"/>
      <c r="J188" s="3518"/>
      <c r="K188" s="3518"/>
      <c r="L188" s="3544">
        <v>5.21183084548277</v>
      </c>
      <c r="M188" s="3518"/>
      <c r="N188" s="3546">
        <v>10.065845218112401</v>
      </c>
      <c r="O188" s="3532">
        <v>4.1495839966588297E-5</v>
      </c>
      <c r="P188" s="3518"/>
      <c r="Q188" s="3537">
        <v>1.8689570649966299E-4</v>
      </c>
      <c r="R188" s="3518"/>
      <c r="S188" s="3518"/>
      <c r="T188" s="3532">
        <v>1.45745228596715E-5</v>
      </c>
      <c r="U188" s="3532">
        <v>1.9584579289483701E-6</v>
      </c>
      <c r="V188" s="3518"/>
      <c r="W188" s="3532">
        <v>2.1986747669286302E-9</v>
      </c>
      <c r="X188" s="3518"/>
      <c r="Y188" s="3518"/>
      <c r="Z188" s="3535">
        <v>0</v>
      </c>
      <c r="AA188" s="3518"/>
      <c r="AB188" s="3518"/>
      <c r="AC188" s="3535">
        <v>0</v>
      </c>
      <c r="AD188" s="3535">
        <v>0</v>
      </c>
      <c r="AE188" s="3537">
        <v>3.6213307271582002E-4</v>
      </c>
      <c r="AF188" s="3518"/>
      <c r="AG188" s="3518"/>
      <c r="AH188" s="3532">
        <v>4.1495839966588297E-5</v>
      </c>
      <c r="AI188" s="3535">
        <v>0</v>
      </c>
      <c r="AJ188" s="3535">
        <v>0</v>
      </c>
      <c r="AK188" s="3537">
        <v>2.5848983519604398E-4</v>
      </c>
      <c r="AL188" s="3532">
        <v>3.2640309151529598E-5</v>
      </c>
      <c r="AM188" s="3535">
        <v>0</v>
      </c>
      <c r="AN188" s="3518"/>
      <c r="AO188" s="3540">
        <v>0</v>
      </c>
      <c r="AP188" s="3512"/>
    </row>
    <row r="189" spans="1:42">
      <c r="A189" s="5057" t="s">
        <v>298</v>
      </c>
      <c r="B189" s="5058"/>
      <c r="C189" s="3518"/>
      <c r="D189" s="3533">
        <v>100</v>
      </c>
      <c r="E189" s="3518"/>
      <c r="F189" s="3546">
        <v>86.097956845463301</v>
      </c>
      <c r="G189" s="3546">
        <v>99.8110736959039</v>
      </c>
      <c r="H189" s="3546">
        <v>85.922930633274902</v>
      </c>
      <c r="I189" s="3518"/>
      <c r="J189" s="3518"/>
      <c r="K189" s="3518"/>
      <c r="L189" s="3543">
        <v>1.5978883596018401E-2</v>
      </c>
      <c r="M189" s="3518"/>
      <c r="N189" s="3543">
        <v>3.95183760626703E-2</v>
      </c>
      <c r="O189" s="3546">
        <v>98.952716302179695</v>
      </c>
      <c r="P189" s="3518"/>
      <c r="Q189" s="3546">
        <v>81.0106124602638</v>
      </c>
      <c r="R189" s="3518"/>
      <c r="S189" s="3518"/>
      <c r="T189" s="3546">
        <v>81.120960060988295</v>
      </c>
      <c r="U189" s="3546">
        <v>81.164085844316205</v>
      </c>
      <c r="V189" s="3518"/>
      <c r="W189" s="3546">
        <v>99.941130278628506</v>
      </c>
      <c r="X189" s="3518"/>
      <c r="Y189" s="3518"/>
      <c r="Z189" s="3546">
        <v>88.756822236123696</v>
      </c>
      <c r="AA189" s="3518"/>
      <c r="AB189" s="3518"/>
      <c r="AC189" s="3546">
        <v>85.922929400910107</v>
      </c>
      <c r="AD189" s="3546">
        <v>85.922929400910107</v>
      </c>
      <c r="AE189" s="3546">
        <v>80.359082182607906</v>
      </c>
      <c r="AF189" s="3518"/>
      <c r="AG189" s="3518"/>
      <c r="AH189" s="3546">
        <v>98.952716302179695</v>
      </c>
      <c r="AI189" s="3546">
        <v>86.097956845463301</v>
      </c>
      <c r="AJ189" s="3546">
        <v>86.097956845463301</v>
      </c>
      <c r="AK189" s="3546">
        <v>99.102606444446707</v>
      </c>
      <c r="AL189" s="3546">
        <v>98.957840643985094</v>
      </c>
      <c r="AM189" s="3546">
        <v>86.172902726736396</v>
      </c>
      <c r="AN189" s="3518"/>
      <c r="AO189" s="3552">
        <v>86.172902726736396</v>
      </c>
      <c r="AP189" s="3512"/>
    </row>
    <row r="190" spans="1:42">
      <c r="A190" s="5057" t="s">
        <v>680</v>
      </c>
      <c r="B190" s="5058"/>
      <c r="C190" s="3518"/>
      <c r="D190" s="3533">
        <v>0</v>
      </c>
      <c r="E190" s="3518"/>
      <c r="F190" s="3546">
        <v>10.9532697517597</v>
      </c>
      <c r="G190" s="3543">
        <v>4.2105959172657401E-2</v>
      </c>
      <c r="H190" s="3546">
        <v>11.0925334720365</v>
      </c>
      <c r="I190" s="3518"/>
      <c r="J190" s="3518"/>
      <c r="K190" s="3518"/>
      <c r="L190" s="3535">
        <v>0</v>
      </c>
      <c r="M190" s="3518"/>
      <c r="N190" s="3535">
        <v>0</v>
      </c>
      <c r="O190" s="3545">
        <v>0.187924373144364</v>
      </c>
      <c r="P190" s="3518"/>
      <c r="Q190" s="3546">
        <v>10.4063225335445</v>
      </c>
      <c r="R190" s="3518"/>
      <c r="S190" s="3518"/>
      <c r="T190" s="3546">
        <v>10.420966143746099</v>
      </c>
      <c r="U190" s="3546">
        <v>10.4277359345931</v>
      </c>
      <c r="V190" s="3518"/>
      <c r="W190" s="3532">
        <v>3.1801573825815602E-5</v>
      </c>
      <c r="X190" s="3518"/>
      <c r="Y190" s="3518"/>
      <c r="Z190" s="3544">
        <v>8.79401990253678</v>
      </c>
      <c r="AA190" s="3518"/>
      <c r="AB190" s="3518"/>
      <c r="AC190" s="3546">
        <v>11.092535288745101</v>
      </c>
      <c r="AD190" s="3546">
        <v>11.092535288745101</v>
      </c>
      <c r="AE190" s="3546">
        <v>10.2381564259728</v>
      </c>
      <c r="AF190" s="3518"/>
      <c r="AG190" s="3518"/>
      <c r="AH190" s="3545">
        <v>0.187924373144364</v>
      </c>
      <c r="AI190" s="3546">
        <v>10.9532697517597</v>
      </c>
      <c r="AJ190" s="3546">
        <v>10.9532697517597</v>
      </c>
      <c r="AK190" s="3543">
        <v>9.9241475791147504E-2</v>
      </c>
      <c r="AL190" s="3545">
        <v>0.120100513766297</v>
      </c>
      <c r="AM190" s="3546">
        <v>10.9434041734816</v>
      </c>
      <c r="AN190" s="3518"/>
      <c r="AO190" s="3552">
        <v>10.9434041734816</v>
      </c>
      <c r="AP190" s="3512"/>
    </row>
    <row r="191" spans="1:42">
      <c r="A191" s="5057" t="s">
        <v>681</v>
      </c>
      <c r="B191" s="5058"/>
      <c r="C191" s="3518"/>
      <c r="D191" s="3533">
        <v>0</v>
      </c>
      <c r="E191" s="3518"/>
      <c r="F191" s="3544">
        <v>2.8862927753085099</v>
      </c>
      <c r="G191" s="3545">
        <v>0.14682034492344301</v>
      </c>
      <c r="H191" s="3544">
        <v>2.9212578009926098</v>
      </c>
      <c r="I191" s="3518"/>
      <c r="J191" s="3518"/>
      <c r="K191" s="3518"/>
      <c r="L191" s="3535">
        <v>0</v>
      </c>
      <c r="M191" s="3518"/>
      <c r="N191" s="3535">
        <v>0</v>
      </c>
      <c r="O191" s="3545">
        <v>0.60845969097677699</v>
      </c>
      <c r="P191" s="3518"/>
      <c r="Q191" s="3544">
        <v>2.74054165962455</v>
      </c>
      <c r="R191" s="3518"/>
      <c r="S191" s="3518"/>
      <c r="T191" s="3544">
        <v>2.74439814187682</v>
      </c>
      <c r="U191" s="3544">
        <v>2.7461812283579299</v>
      </c>
      <c r="V191" s="3518"/>
      <c r="W191" s="3532">
        <v>5.2767377722935102E-5</v>
      </c>
      <c r="X191" s="3518"/>
      <c r="Y191" s="3518"/>
      <c r="Z191" s="3544">
        <v>2.3481535503863502</v>
      </c>
      <c r="AA191" s="3518"/>
      <c r="AB191" s="3518"/>
      <c r="AC191" s="3544">
        <v>2.9212582141014001</v>
      </c>
      <c r="AD191" s="3544">
        <v>2.9212582141014001</v>
      </c>
      <c r="AE191" s="3544">
        <v>6.22301633929749</v>
      </c>
      <c r="AF191" s="3518"/>
      <c r="AG191" s="3518"/>
      <c r="AH191" s="3545">
        <v>0.60845969097677699</v>
      </c>
      <c r="AI191" s="3544">
        <v>2.8862927753085099</v>
      </c>
      <c r="AJ191" s="3544">
        <v>2.8862927753085099</v>
      </c>
      <c r="AK191" s="3545">
        <v>0.53156877636111899</v>
      </c>
      <c r="AL191" s="3545">
        <v>0.62645859237050605</v>
      </c>
      <c r="AM191" s="3544">
        <v>2.8836930997820498</v>
      </c>
      <c r="AN191" s="3518"/>
      <c r="AO191" s="3553">
        <v>2.8836930997820498</v>
      </c>
      <c r="AP191" s="3512"/>
    </row>
    <row r="192" spans="1:42">
      <c r="A192" s="5057" t="s">
        <v>675</v>
      </c>
      <c r="B192" s="5058"/>
      <c r="C192" s="3518"/>
      <c r="D192" s="3533">
        <v>0</v>
      </c>
      <c r="E192" s="3518"/>
      <c r="F192" s="3535">
        <v>0</v>
      </c>
      <c r="G192" s="3535">
        <v>0</v>
      </c>
      <c r="H192" s="3535">
        <v>0</v>
      </c>
      <c r="I192" s="3518"/>
      <c r="J192" s="3518"/>
      <c r="K192" s="3518"/>
      <c r="L192" s="3535">
        <v>0</v>
      </c>
      <c r="M192" s="3518"/>
      <c r="N192" s="3535">
        <v>0</v>
      </c>
      <c r="O192" s="3535">
        <v>0</v>
      </c>
      <c r="P192" s="3518"/>
      <c r="Q192" s="3535">
        <v>0</v>
      </c>
      <c r="R192" s="3518"/>
      <c r="S192" s="3518"/>
      <c r="T192" s="3535">
        <v>0</v>
      </c>
      <c r="U192" s="3535">
        <v>0</v>
      </c>
      <c r="V192" s="3518"/>
      <c r="W192" s="3535">
        <v>0</v>
      </c>
      <c r="X192" s="3518"/>
      <c r="Y192" s="3518"/>
      <c r="Z192" s="3535">
        <v>0</v>
      </c>
      <c r="AA192" s="3518"/>
      <c r="AB192" s="3518"/>
      <c r="AC192" s="3535">
        <v>0</v>
      </c>
      <c r="AD192" s="3535">
        <v>0</v>
      </c>
      <c r="AE192" s="3535">
        <v>0</v>
      </c>
      <c r="AF192" s="3518"/>
      <c r="AG192" s="3518"/>
      <c r="AH192" s="3535">
        <v>0</v>
      </c>
      <c r="AI192" s="3535">
        <v>0</v>
      </c>
      <c r="AJ192" s="3535">
        <v>0</v>
      </c>
      <c r="AK192" s="3535">
        <v>0</v>
      </c>
      <c r="AL192" s="3535">
        <v>0</v>
      </c>
      <c r="AM192" s="3535">
        <v>0</v>
      </c>
      <c r="AN192" s="3518"/>
      <c r="AO192" s="3540">
        <v>0</v>
      </c>
      <c r="AP192" s="3512"/>
    </row>
    <row r="193" spans="1:42" ht="13" thickBot="1">
      <c r="A193" s="5055" t="s">
        <v>58</v>
      </c>
      <c r="B193" s="5056"/>
      <c r="C193" s="3519" t="s">
        <v>296</v>
      </c>
      <c r="D193" s="3519" t="s">
        <v>296</v>
      </c>
      <c r="E193" s="3519" t="s">
        <v>296</v>
      </c>
      <c r="F193" s="3519" t="s">
        <v>296</v>
      </c>
      <c r="G193" s="3519" t="s">
        <v>296</v>
      </c>
      <c r="H193" s="3519" t="s">
        <v>296</v>
      </c>
      <c r="I193" s="3519" t="s">
        <v>296</v>
      </c>
      <c r="J193" s="3519" t="s">
        <v>296</v>
      </c>
      <c r="K193" s="3519" t="s">
        <v>296</v>
      </c>
      <c r="L193" s="3519" t="s">
        <v>296</v>
      </c>
      <c r="M193" s="3519" t="s">
        <v>296</v>
      </c>
      <c r="N193" s="3519" t="s">
        <v>296</v>
      </c>
      <c r="O193" s="3519" t="s">
        <v>296</v>
      </c>
      <c r="P193" s="3519" t="s">
        <v>296</v>
      </c>
      <c r="Q193" s="3519" t="s">
        <v>296</v>
      </c>
      <c r="R193" s="3519" t="s">
        <v>296</v>
      </c>
      <c r="S193" s="3519" t="s">
        <v>296</v>
      </c>
      <c r="T193" s="3519" t="s">
        <v>296</v>
      </c>
      <c r="U193" s="3519" t="s">
        <v>296</v>
      </c>
      <c r="V193" s="3519" t="s">
        <v>296</v>
      </c>
      <c r="W193" s="3519" t="s">
        <v>296</v>
      </c>
      <c r="X193" s="3519" t="s">
        <v>296</v>
      </c>
      <c r="Y193" s="3519" t="s">
        <v>296</v>
      </c>
      <c r="Z193" s="3519" t="s">
        <v>296</v>
      </c>
      <c r="AA193" s="3519" t="s">
        <v>296</v>
      </c>
      <c r="AB193" s="3519" t="s">
        <v>296</v>
      </c>
      <c r="AC193" s="3519" t="s">
        <v>296</v>
      </c>
      <c r="AD193" s="3519" t="s">
        <v>296</v>
      </c>
      <c r="AE193" s="3519" t="s">
        <v>296</v>
      </c>
      <c r="AF193" s="3519" t="s">
        <v>296</v>
      </c>
      <c r="AG193" s="3519" t="s">
        <v>296</v>
      </c>
      <c r="AH193" s="3519" t="s">
        <v>296</v>
      </c>
      <c r="AI193" s="3519" t="s">
        <v>296</v>
      </c>
      <c r="AJ193" s="3519" t="s">
        <v>296</v>
      </c>
      <c r="AK193" s="3519" t="s">
        <v>296</v>
      </c>
      <c r="AL193" s="3519" t="s">
        <v>296</v>
      </c>
      <c r="AM193" s="3519" t="s">
        <v>296</v>
      </c>
      <c r="AN193" s="3519" t="s">
        <v>296</v>
      </c>
      <c r="AO193" s="3530" t="s">
        <v>296</v>
      </c>
      <c r="AP193" s="3512"/>
    </row>
    <row r="194" spans="1:42" ht="13" thickTop="1">
      <c r="A194" s="5059" t="s">
        <v>5</v>
      </c>
      <c r="B194" s="5060"/>
      <c r="C194" s="3518"/>
      <c r="D194" s="3533">
        <v>0</v>
      </c>
      <c r="E194" s="3518"/>
      <c r="F194" s="3532">
        <v>4.5638289880641796E-6</v>
      </c>
      <c r="G194" s="3535">
        <v>0</v>
      </c>
      <c r="H194" s="3532">
        <v>4.59768456575458E-6</v>
      </c>
      <c r="I194" s="3518"/>
      <c r="J194" s="3518"/>
      <c r="K194" s="3518"/>
      <c r="L194" s="3535">
        <v>0</v>
      </c>
      <c r="M194" s="3518"/>
      <c r="N194" s="3535">
        <v>0</v>
      </c>
      <c r="O194" s="3532">
        <v>1.64052545091516E-6</v>
      </c>
      <c r="P194" s="3518"/>
      <c r="Q194" s="3537">
        <v>1.4770705224369799E-4</v>
      </c>
      <c r="R194" s="3518"/>
      <c r="S194" s="3518"/>
      <c r="T194" s="3537">
        <v>1.47494858994168E-4</v>
      </c>
      <c r="U194" s="3537">
        <v>1.46990659157665E-4</v>
      </c>
      <c r="V194" s="3518"/>
      <c r="W194" s="3532">
        <v>8.3424966860091592E-6</v>
      </c>
      <c r="X194" s="3518"/>
      <c r="Y194" s="3518"/>
      <c r="Z194" s="3532">
        <v>5.7270944982607201E-6</v>
      </c>
      <c r="AA194" s="3518"/>
      <c r="AB194" s="3518"/>
      <c r="AC194" s="3532">
        <v>4.6010504913265701E-6</v>
      </c>
      <c r="AD194" s="3532">
        <v>4.6010504913265701E-6</v>
      </c>
      <c r="AE194" s="3535">
        <v>0</v>
      </c>
      <c r="AF194" s="3518"/>
      <c r="AG194" s="3518"/>
      <c r="AH194" s="3532">
        <v>1.64052545091516E-6</v>
      </c>
      <c r="AI194" s="3532">
        <v>4.5638289880641796E-6</v>
      </c>
      <c r="AJ194" s="3532">
        <v>4.5638289880641796E-6</v>
      </c>
      <c r="AK194" s="3535">
        <v>0</v>
      </c>
      <c r="AL194" s="3535">
        <v>0</v>
      </c>
      <c r="AM194" s="3533">
        <v>0</v>
      </c>
      <c r="AN194" s="3518"/>
      <c r="AO194" s="3555">
        <v>0</v>
      </c>
      <c r="AP194" s="3512"/>
    </row>
    <row r="195" spans="1:42">
      <c r="A195" s="5057" t="s">
        <v>674</v>
      </c>
      <c r="B195" s="5058"/>
      <c r="C195" s="3518"/>
      <c r="D195" s="3533">
        <v>0</v>
      </c>
      <c r="E195" s="3518"/>
      <c r="F195" s="3535">
        <v>0</v>
      </c>
      <c r="G195" s="3535">
        <v>0</v>
      </c>
      <c r="H195" s="3535">
        <v>0</v>
      </c>
      <c r="I195" s="3518"/>
      <c r="J195" s="3518"/>
      <c r="K195" s="3518"/>
      <c r="L195" s="3545">
        <v>0.34997996278933702</v>
      </c>
      <c r="M195" s="3518"/>
      <c r="N195" s="3545">
        <v>0.27263500591703899</v>
      </c>
      <c r="O195" s="3538">
        <v>1.68574294954781E-3</v>
      </c>
      <c r="P195" s="3518"/>
      <c r="Q195" s="3537">
        <v>8.6760865113182399E-4</v>
      </c>
      <c r="R195" s="3518"/>
      <c r="S195" s="3518"/>
      <c r="T195" s="3532">
        <v>2.9687947839250001E-5</v>
      </c>
      <c r="U195" s="3532">
        <v>2.0516046902191599E-6</v>
      </c>
      <c r="V195" s="3518"/>
      <c r="W195" s="3532">
        <v>1.4365886534624099E-8</v>
      </c>
      <c r="X195" s="3518"/>
      <c r="Y195" s="3518"/>
      <c r="Z195" s="3535">
        <v>0</v>
      </c>
      <c r="AA195" s="3518"/>
      <c r="AB195" s="3518"/>
      <c r="AC195" s="3535">
        <v>0</v>
      </c>
      <c r="AD195" s="3535">
        <v>0</v>
      </c>
      <c r="AE195" s="3538">
        <v>1.10022443125035E-3</v>
      </c>
      <c r="AF195" s="3518"/>
      <c r="AG195" s="3518"/>
      <c r="AH195" s="3538">
        <v>1.68574294954781E-3</v>
      </c>
      <c r="AI195" s="3535">
        <v>0</v>
      </c>
      <c r="AJ195" s="3535">
        <v>0</v>
      </c>
      <c r="AK195" s="3537">
        <v>1.65945654610086E-4</v>
      </c>
      <c r="AL195" s="3538">
        <v>3.1729606271796301E-3</v>
      </c>
      <c r="AM195" s="3533">
        <v>0</v>
      </c>
      <c r="AN195" s="3518"/>
      <c r="AO195" s="3555">
        <v>0</v>
      </c>
      <c r="AP195" s="3512"/>
    </row>
    <row r="196" spans="1:42">
      <c r="A196" s="5057" t="s">
        <v>3</v>
      </c>
      <c r="B196" s="5058"/>
      <c r="C196" s="3518"/>
      <c r="D196" s="3533">
        <v>0</v>
      </c>
      <c r="E196" s="3518"/>
      <c r="F196" s="3543">
        <v>8.8476882376747099E-2</v>
      </c>
      <c r="G196" s="3535">
        <v>0</v>
      </c>
      <c r="H196" s="3543">
        <v>8.9133225104080699E-2</v>
      </c>
      <c r="I196" s="3518"/>
      <c r="J196" s="3518"/>
      <c r="K196" s="3518"/>
      <c r="L196" s="3544">
        <v>1.99991800382296</v>
      </c>
      <c r="M196" s="3518"/>
      <c r="N196" s="3544">
        <v>1.52514605956793</v>
      </c>
      <c r="O196" s="3545">
        <v>0.374232722344571</v>
      </c>
      <c r="P196" s="3518"/>
      <c r="Q196" s="3544">
        <v>7.8628057575684798</v>
      </c>
      <c r="R196" s="3518"/>
      <c r="S196" s="3518"/>
      <c r="T196" s="3544">
        <v>7.8588056333875898</v>
      </c>
      <c r="U196" s="3544">
        <v>7.8051076874299197</v>
      </c>
      <c r="V196" s="3518"/>
      <c r="W196" s="3545">
        <v>0.14345245239895599</v>
      </c>
      <c r="X196" s="3518"/>
      <c r="Y196" s="3518"/>
      <c r="Z196" s="3545">
        <v>0.15576605965425899</v>
      </c>
      <c r="AA196" s="3518"/>
      <c r="AB196" s="3518"/>
      <c r="AC196" s="3543">
        <v>8.9131810351803495E-2</v>
      </c>
      <c r="AD196" s="3543">
        <v>8.9131810351803606E-2</v>
      </c>
      <c r="AE196" s="3544">
        <v>3.9566522402700501</v>
      </c>
      <c r="AF196" s="3518"/>
      <c r="AG196" s="3518"/>
      <c r="AH196" s="3545">
        <v>0.374232722344571</v>
      </c>
      <c r="AI196" s="3543">
        <v>8.8476882376747099E-2</v>
      </c>
      <c r="AJ196" s="3543">
        <v>8.8476882376747099E-2</v>
      </c>
      <c r="AK196" s="3545">
        <v>0.58987442840025905</v>
      </c>
      <c r="AL196" s="3545">
        <v>0.42293050643226299</v>
      </c>
      <c r="AM196" s="3533">
        <v>0</v>
      </c>
      <c r="AN196" s="3518"/>
      <c r="AO196" s="3555">
        <v>0</v>
      </c>
      <c r="AP196" s="3512"/>
    </row>
    <row r="197" spans="1:42">
      <c r="A197" s="5057" t="s">
        <v>6</v>
      </c>
      <c r="B197" s="5058"/>
      <c r="C197" s="3518"/>
      <c r="D197" s="3533">
        <v>0</v>
      </c>
      <c r="E197" s="3518"/>
      <c r="F197" s="3535">
        <v>0</v>
      </c>
      <c r="G197" s="3535">
        <v>0</v>
      </c>
      <c r="H197" s="3535">
        <v>0</v>
      </c>
      <c r="I197" s="3518"/>
      <c r="J197" s="3518"/>
      <c r="K197" s="3518"/>
      <c r="L197" s="3546">
        <v>13.623954420646999</v>
      </c>
      <c r="M197" s="3518"/>
      <c r="N197" s="3546">
        <v>10.469345608907499</v>
      </c>
      <c r="O197" s="3543">
        <v>6.4891715441718303E-2</v>
      </c>
      <c r="P197" s="3518"/>
      <c r="Q197" s="3543">
        <v>5.4758792898167999E-2</v>
      </c>
      <c r="R197" s="3518"/>
      <c r="S197" s="3518"/>
      <c r="T197" s="3538">
        <v>5.49855009102042E-3</v>
      </c>
      <c r="U197" s="3538">
        <v>1.14865492622096E-3</v>
      </c>
      <c r="V197" s="3518"/>
      <c r="W197" s="3532">
        <v>5.1381769927529799E-6</v>
      </c>
      <c r="X197" s="3518"/>
      <c r="Y197" s="3518"/>
      <c r="Z197" s="3535">
        <v>0</v>
      </c>
      <c r="AA197" s="3518"/>
      <c r="AB197" s="3518"/>
      <c r="AC197" s="3535">
        <v>0</v>
      </c>
      <c r="AD197" s="3535">
        <v>0</v>
      </c>
      <c r="AE197" s="3543">
        <v>6.0091880779050602E-2</v>
      </c>
      <c r="AF197" s="3518"/>
      <c r="AG197" s="3518"/>
      <c r="AH197" s="3543">
        <v>6.4891715441718303E-2</v>
      </c>
      <c r="AI197" s="3535">
        <v>0</v>
      </c>
      <c r="AJ197" s="3535">
        <v>0</v>
      </c>
      <c r="AK197" s="3538">
        <v>9.3141042148675197E-3</v>
      </c>
      <c r="AL197" s="3543">
        <v>8.3365646604195195E-2</v>
      </c>
      <c r="AM197" s="3533">
        <v>0</v>
      </c>
      <c r="AN197" s="3518"/>
      <c r="AO197" s="3555">
        <v>0</v>
      </c>
      <c r="AP197" s="3512"/>
    </row>
    <row r="198" spans="1:42">
      <c r="A198" s="5057" t="s">
        <v>7</v>
      </c>
      <c r="B198" s="5058"/>
      <c r="C198" s="3518"/>
      <c r="D198" s="3533">
        <v>0</v>
      </c>
      <c r="E198" s="3518"/>
      <c r="F198" s="3535">
        <v>0</v>
      </c>
      <c r="G198" s="3535">
        <v>0</v>
      </c>
      <c r="H198" s="3535">
        <v>0</v>
      </c>
      <c r="I198" s="3518"/>
      <c r="J198" s="3518"/>
      <c r="K198" s="3518"/>
      <c r="L198" s="3546">
        <v>14.3943486018124</v>
      </c>
      <c r="M198" s="3518"/>
      <c r="N198" s="3546">
        <v>11.3345014700564</v>
      </c>
      <c r="O198" s="3543">
        <v>1.8535958528085601E-2</v>
      </c>
      <c r="P198" s="3518"/>
      <c r="Q198" s="3543">
        <v>2.2966023882819899E-2</v>
      </c>
      <c r="R198" s="3518"/>
      <c r="S198" s="3518"/>
      <c r="T198" s="3538">
        <v>3.4450014550453101E-3</v>
      </c>
      <c r="U198" s="3537">
        <v>9.5378867812626305E-4</v>
      </c>
      <c r="V198" s="3518"/>
      <c r="W198" s="3532">
        <v>3.5882930715871598E-6</v>
      </c>
      <c r="X198" s="3518"/>
      <c r="Y198" s="3518"/>
      <c r="Z198" s="3535">
        <v>0</v>
      </c>
      <c r="AA198" s="3518"/>
      <c r="AB198" s="3518"/>
      <c r="AC198" s="3535">
        <v>0</v>
      </c>
      <c r="AD198" s="3535">
        <v>0</v>
      </c>
      <c r="AE198" s="3543">
        <v>2.9540064687464E-2</v>
      </c>
      <c r="AF198" s="3518"/>
      <c r="AG198" s="3518"/>
      <c r="AH198" s="3543">
        <v>1.8535958528085601E-2</v>
      </c>
      <c r="AI198" s="3535">
        <v>0</v>
      </c>
      <c r="AJ198" s="3535">
        <v>0</v>
      </c>
      <c r="AK198" s="3538">
        <v>5.9063899085650302E-3</v>
      </c>
      <c r="AL198" s="3543">
        <v>2.08735463170285E-2</v>
      </c>
      <c r="AM198" s="3533">
        <v>0</v>
      </c>
      <c r="AN198" s="3518"/>
      <c r="AO198" s="3555">
        <v>0</v>
      </c>
      <c r="AP198" s="3512"/>
    </row>
    <row r="199" spans="1:42">
      <c r="A199" s="5057" t="s">
        <v>8</v>
      </c>
      <c r="B199" s="5058"/>
      <c r="C199" s="3518"/>
      <c r="D199" s="3533">
        <v>0</v>
      </c>
      <c r="E199" s="3518"/>
      <c r="F199" s="3535">
        <v>0</v>
      </c>
      <c r="G199" s="3535">
        <v>0</v>
      </c>
      <c r="H199" s="3535">
        <v>0</v>
      </c>
      <c r="I199" s="3518"/>
      <c r="J199" s="3518"/>
      <c r="K199" s="3518"/>
      <c r="L199" s="3546">
        <v>24.391351132946799</v>
      </c>
      <c r="M199" s="3518"/>
      <c r="N199" s="3546">
        <v>20.493618262202499</v>
      </c>
      <c r="O199" s="3538">
        <v>7.4910621647211999E-3</v>
      </c>
      <c r="P199" s="3518"/>
      <c r="Q199" s="3543">
        <v>1.02031239112143E-2</v>
      </c>
      <c r="R199" s="3518"/>
      <c r="S199" s="3518"/>
      <c r="T199" s="3538">
        <v>1.28711125007187E-3</v>
      </c>
      <c r="U199" s="3537">
        <v>3.1949989205460201E-4</v>
      </c>
      <c r="V199" s="3518"/>
      <c r="W199" s="3532">
        <v>1.02885709868567E-6</v>
      </c>
      <c r="X199" s="3518"/>
      <c r="Y199" s="3518"/>
      <c r="Z199" s="3535">
        <v>0</v>
      </c>
      <c r="AA199" s="3518"/>
      <c r="AB199" s="3518"/>
      <c r="AC199" s="3535">
        <v>0</v>
      </c>
      <c r="AD199" s="3535">
        <v>0</v>
      </c>
      <c r="AE199" s="3543">
        <v>1.6518254184755499E-2</v>
      </c>
      <c r="AF199" s="3518"/>
      <c r="AG199" s="3518"/>
      <c r="AH199" s="3538">
        <v>7.4910621647211999E-3</v>
      </c>
      <c r="AI199" s="3535">
        <v>0</v>
      </c>
      <c r="AJ199" s="3535">
        <v>0</v>
      </c>
      <c r="AK199" s="3538">
        <v>5.9973132056508702E-3</v>
      </c>
      <c r="AL199" s="3538">
        <v>9.4297892877374598E-3</v>
      </c>
      <c r="AM199" s="3533">
        <v>0</v>
      </c>
      <c r="AN199" s="3518"/>
      <c r="AO199" s="3555">
        <v>0</v>
      </c>
      <c r="AP199" s="3512"/>
    </row>
    <row r="200" spans="1:42">
      <c r="A200" s="5057" t="s">
        <v>678</v>
      </c>
      <c r="B200" s="5058"/>
      <c r="C200" s="3518"/>
      <c r="D200" s="3533">
        <v>0</v>
      </c>
      <c r="E200" s="3518"/>
      <c r="F200" s="3535">
        <v>0</v>
      </c>
      <c r="G200" s="3535">
        <v>0</v>
      </c>
      <c r="H200" s="3535">
        <v>0</v>
      </c>
      <c r="I200" s="3518"/>
      <c r="J200" s="3518"/>
      <c r="K200" s="3518"/>
      <c r="L200" s="3544">
        <v>5.4491157059666602</v>
      </c>
      <c r="M200" s="3518"/>
      <c r="N200" s="3544">
        <v>5.0848415867419599</v>
      </c>
      <c r="O200" s="3537">
        <v>5.7145690080820995E-4</v>
      </c>
      <c r="P200" s="3518"/>
      <c r="Q200" s="3537">
        <v>9.6348397907324598E-4</v>
      </c>
      <c r="R200" s="3518"/>
      <c r="S200" s="3518"/>
      <c r="T200" s="3532">
        <v>9.5248950485494802E-5</v>
      </c>
      <c r="U200" s="3532">
        <v>2.21477882327552E-5</v>
      </c>
      <c r="V200" s="3518"/>
      <c r="W200" s="3532">
        <v>4.7976394087382697E-8</v>
      </c>
      <c r="X200" s="3518"/>
      <c r="Y200" s="3518"/>
      <c r="Z200" s="3535">
        <v>0</v>
      </c>
      <c r="AA200" s="3518"/>
      <c r="AB200" s="3518"/>
      <c r="AC200" s="3535">
        <v>0</v>
      </c>
      <c r="AD200" s="3535">
        <v>0</v>
      </c>
      <c r="AE200" s="3538">
        <v>1.56228415160833E-3</v>
      </c>
      <c r="AF200" s="3518"/>
      <c r="AG200" s="3518"/>
      <c r="AH200" s="3537">
        <v>5.7145690080820995E-4</v>
      </c>
      <c r="AI200" s="3535">
        <v>0</v>
      </c>
      <c r="AJ200" s="3535">
        <v>0</v>
      </c>
      <c r="AK200" s="3537">
        <v>8.39098961192996E-4</v>
      </c>
      <c r="AL200" s="3537">
        <v>5.9280329328943596E-4</v>
      </c>
      <c r="AM200" s="3533">
        <v>0</v>
      </c>
      <c r="AN200" s="3518"/>
      <c r="AO200" s="3555">
        <v>0</v>
      </c>
      <c r="AP200" s="3512"/>
    </row>
    <row r="201" spans="1:42">
      <c r="A201" s="5057" t="s">
        <v>67</v>
      </c>
      <c r="B201" s="5058"/>
      <c r="C201" s="3518"/>
      <c r="D201" s="3533">
        <v>0</v>
      </c>
      <c r="E201" s="3518"/>
      <c r="F201" s="3535">
        <v>0</v>
      </c>
      <c r="G201" s="3535">
        <v>0</v>
      </c>
      <c r="H201" s="3535">
        <v>0</v>
      </c>
      <c r="I201" s="3518"/>
      <c r="J201" s="3518"/>
      <c r="K201" s="3518"/>
      <c r="L201" s="3546">
        <v>16.576102959207599</v>
      </c>
      <c r="M201" s="3518"/>
      <c r="N201" s="3546">
        <v>16.6324029900466</v>
      </c>
      <c r="O201" s="3538">
        <v>1.83590575816141E-3</v>
      </c>
      <c r="P201" s="3518"/>
      <c r="Q201" s="3538">
        <v>3.08321305254107E-3</v>
      </c>
      <c r="R201" s="3518"/>
      <c r="S201" s="3518"/>
      <c r="T201" s="3537">
        <v>4.3262478634774202E-4</v>
      </c>
      <c r="U201" s="3537">
        <v>1.1125259382735601E-4</v>
      </c>
      <c r="V201" s="3518"/>
      <c r="W201" s="3532">
        <v>3.2832199051259198E-7</v>
      </c>
      <c r="X201" s="3518"/>
      <c r="Y201" s="3518"/>
      <c r="Z201" s="3535">
        <v>0</v>
      </c>
      <c r="AA201" s="3518"/>
      <c r="AB201" s="3518"/>
      <c r="AC201" s="3535">
        <v>0</v>
      </c>
      <c r="AD201" s="3535">
        <v>0</v>
      </c>
      <c r="AE201" s="3538">
        <v>5.9101583223593298E-3</v>
      </c>
      <c r="AF201" s="3518"/>
      <c r="AG201" s="3518"/>
      <c r="AH201" s="3538">
        <v>1.83590575816141E-3</v>
      </c>
      <c r="AI201" s="3535">
        <v>0</v>
      </c>
      <c r="AJ201" s="3535">
        <v>0</v>
      </c>
      <c r="AK201" s="3537">
        <v>9.5808201812284997E-4</v>
      </c>
      <c r="AL201" s="3538">
        <v>2.1547842654512398E-3</v>
      </c>
      <c r="AM201" s="3533">
        <v>0</v>
      </c>
      <c r="AN201" s="3518"/>
      <c r="AO201" s="3555">
        <v>0</v>
      </c>
      <c r="AP201" s="3512"/>
    </row>
    <row r="202" spans="1:42">
      <c r="A202" s="5057" t="s">
        <v>679</v>
      </c>
      <c r="B202" s="5058"/>
      <c r="C202" s="3518"/>
      <c r="D202" s="3533">
        <v>0</v>
      </c>
      <c r="E202" s="3518"/>
      <c r="F202" s="3535">
        <v>0</v>
      </c>
      <c r="G202" s="3535">
        <v>0</v>
      </c>
      <c r="H202" s="3535">
        <v>0</v>
      </c>
      <c r="I202" s="3518"/>
      <c r="J202" s="3518"/>
      <c r="K202" s="3518"/>
      <c r="L202" s="3544">
        <v>5.3519970072997598</v>
      </c>
      <c r="M202" s="3518"/>
      <c r="N202" s="3544">
        <v>6.2447145242534399</v>
      </c>
      <c r="O202" s="3537">
        <v>1.77174390872773E-4</v>
      </c>
      <c r="P202" s="3518"/>
      <c r="Q202" s="3537">
        <v>3.3011508574567301E-4</v>
      </c>
      <c r="R202" s="3518"/>
      <c r="S202" s="3518"/>
      <c r="T202" s="3532">
        <v>2.6399167057715699E-5</v>
      </c>
      <c r="U202" s="3532">
        <v>2.9128238477564302E-6</v>
      </c>
      <c r="V202" s="3518"/>
      <c r="W202" s="3532">
        <v>1.00978011412686E-8</v>
      </c>
      <c r="X202" s="3518"/>
      <c r="Y202" s="3518"/>
      <c r="Z202" s="3535">
        <v>0</v>
      </c>
      <c r="AA202" s="3518"/>
      <c r="AB202" s="3518"/>
      <c r="AC202" s="3535">
        <v>0</v>
      </c>
      <c r="AD202" s="3535">
        <v>0</v>
      </c>
      <c r="AE202" s="3537">
        <v>6.9310916380803096E-4</v>
      </c>
      <c r="AF202" s="3518"/>
      <c r="AG202" s="3518"/>
      <c r="AH202" s="3537">
        <v>1.77174390872773E-4</v>
      </c>
      <c r="AI202" s="3535">
        <v>0</v>
      </c>
      <c r="AJ202" s="3535">
        <v>0</v>
      </c>
      <c r="AK202" s="3537">
        <v>2.38096674818492E-4</v>
      </c>
      <c r="AL202" s="3537">
        <v>1.8575544514269301E-4</v>
      </c>
      <c r="AM202" s="3533">
        <v>0</v>
      </c>
      <c r="AN202" s="3518"/>
      <c r="AO202" s="3555">
        <v>0</v>
      </c>
      <c r="AP202" s="3512"/>
    </row>
    <row r="203" spans="1:42">
      <c r="A203" s="5057" t="s">
        <v>69</v>
      </c>
      <c r="B203" s="5058"/>
      <c r="C203" s="3518"/>
      <c r="D203" s="3533">
        <v>0</v>
      </c>
      <c r="E203" s="3518"/>
      <c r="F203" s="3535">
        <v>0</v>
      </c>
      <c r="G203" s="3535">
        <v>0</v>
      </c>
      <c r="H203" s="3535">
        <v>0</v>
      </c>
      <c r="I203" s="3518"/>
      <c r="J203" s="3518"/>
      <c r="K203" s="3518"/>
      <c r="L203" s="3544">
        <v>6.1172849098514996</v>
      </c>
      <c r="M203" s="3518"/>
      <c r="N203" s="3544">
        <v>7.61903959712589</v>
      </c>
      <c r="O203" s="3537">
        <v>2.21866591563364E-4</v>
      </c>
      <c r="P203" s="3518"/>
      <c r="Q203" s="3537">
        <v>4.2114819730496201E-4</v>
      </c>
      <c r="R203" s="3518"/>
      <c r="S203" s="3518"/>
      <c r="T203" s="3532">
        <v>4.1722495100003399E-5</v>
      </c>
      <c r="U203" s="3532">
        <v>6.4824157189326803E-6</v>
      </c>
      <c r="V203" s="3518"/>
      <c r="W203" s="3532">
        <v>1.9700461650020001E-8</v>
      </c>
      <c r="X203" s="3518"/>
      <c r="Y203" s="3518"/>
      <c r="Z203" s="3535">
        <v>0</v>
      </c>
      <c r="AA203" s="3518"/>
      <c r="AB203" s="3518"/>
      <c r="AC203" s="3535">
        <v>0</v>
      </c>
      <c r="AD203" s="3535">
        <v>0</v>
      </c>
      <c r="AE203" s="3537">
        <v>9.1863435875309699E-4</v>
      </c>
      <c r="AF203" s="3518"/>
      <c r="AG203" s="3518"/>
      <c r="AH203" s="3537">
        <v>2.21866591563364E-4</v>
      </c>
      <c r="AI203" s="3535">
        <v>0</v>
      </c>
      <c r="AJ203" s="3535">
        <v>0</v>
      </c>
      <c r="AK203" s="3537">
        <v>3.9307018613484899E-4</v>
      </c>
      <c r="AL203" s="3537">
        <v>2.4282367756137501E-4</v>
      </c>
      <c r="AM203" s="3533">
        <v>0</v>
      </c>
      <c r="AN203" s="3518"/>
      <c r="AO203" s="3555">
        <v>0</v>
      </c>
      <c r="AP203" s="3512"/>
    </row>
    <row r="204" spans="1:42">
      <c r="A204" s="5057" t="s">
        <v>10</v>
      </c>
      <c r="B204" s="5058"/>
      <c r="C204" s="3518"/>
      <c r="D204" s="3533">
        <v>0</v>
      </c>
      <c r="E204" s="3518"/>
      <c r="F204" s="3535">
        <v>0</v>
      </c>
      <c r="G204" s="3535">
        <v>0</v>
      </c>
      <c r="H204" s="3535">
        <v>0</v>
      </c>
      <c r="I204" s="3518"/>
      <c r="J204" s="3518"/>
      <c r="K204" s="3518"/>
      <c r="L204" s="3546">
        <v>11.7384237282957</v>
      </c>
      <c r="M204" s="3518"/>
      <c r="N204" s="3546">
        <v>20.3070880115595</v>
      </c>
      <c r="O204" s="3537">
        <v>1.9161163626347399E-4</v>
      </c>
      <c r="P204" s="3518"/>
      <c r="Q204" s="3537">
        <v>5.0499466351622898E-4</v>
      </c>
      <c r="R204" s="3518"/>
      <c r="S204" s="3518"/>
      <c r="T204" s="3532">
        <v>3.9363352829507997E-5</v>
      </c>
      <c r="U204" s="3532">
        <v>5.28990256997683E-6</v>
      </c>
      <c r="V204" s="3518"/>
      <c r="W204" s="3532">
        <v>1.0508319795073899E-8</v>
      </c>
      <c r="X204" s="3518"/>
      <c r="Y204" s="3518"/>
      <c r="Z204" s="3535">
        <v>0</v>
      </c>
      <c r="AA204" s="3518"/>
      <c r="AB204" s="3518"/>
      <c r="AC204" s="3535">
        <v>0</v>
      </c>
      <c r="AD204" s="3535">
        <v>0</v>
      </c>
      <c r="AE204" s="3537">
        <v>9.3440245199435197E-4</v>
      </c>
      <c r="AF204" s="3518"/>
      <c r="AG204" s="3518"/>
      <c r="AH204" s="3537">
        <v>1.9161163626347399E-4</v>
      </c>
      <c r="AI204" s="3535">
        <v>0</v>
      </c>
      <c r="AJ204" s="3535">
        <v>0</v>
      </c>
      <c r="AK204" s="3538">
        <v>1.2012369763230999E-3</v>
      </c>
      <c r="AL204" s="3537">
        <v>1.5113324113384999E-4</v>
      </c>
      <c r="AM204" s="3533">
        <v>0</v>
      </c>
      <c r="AN204" s="3518"/>
      <c r="AO204" s="3555">
        <v>0</v>
      </c>
      <c r="AP204" s="3512"/>
    </row>
    <row r="205" spans="1:42">
      <c r="A205" s="5057" t="s">
        <v>298</v>
      </c>
      <c r="B205" s="5058"/>
      <c r="C205" s="3518"/>
      <c r="D205" s="3533">
        <v>100</v>
      </c>
      <c r="E205" s="3518"/>
      <c r="F205" s="3546">
        <v>49.911518553794302</v>
      </c>
      <c r="G205" s="3546">
        <v>99.027205004863802</v>
      </c>
      <c r="H205" s="3546">
        <v>49.547166615364901</v>
      </c>
      <c r="I205" s="3518"/>
      <c r="J205" s="3518"/>
      <c r="K205" s="3518"/>
      <c r="L205" s="3538">
        <v>7.5235673601819703E-3</v>
      </c>
      <c r="M205" s="3518"/>
      <c r="N205" s="3543">
        <v>1.66668836212213E-2</v>
      </c>
      <c r="O205" s="3546">
        <v>95.521899466929398</v>
      </c>
      <c r="P205" s="3518"/>
      <c r="Q205" s="3546">
        <v>45.760134246135401</v>
      </c>
      <c r="R205" s="3518"/>
      <c r="S205" s="3518"/>
      <c r="T205" s="3546">
        <v>45.802452101438199</v>
      </c>
      <c r="U205" s="3546">
        <v>45.830567850384597</v>
      </c>
      <c r="V205" s="3518"/>
      <c r="W205" s="3546">
        <v>99.856066766656198</v>
      </c>
      <c r="X205" s="3518"/>
      <c r="Y205" s="3518"/>
      <c r="Z205" s="3546">
        <v>56.033773406932802</v>
      </c>
      <c r="AA205" s="3518"/>
      <c r="AB205" s="3518"/>
      <c r="AC205" s="3546">
        <v>49.547162955871698</v>
      </c>
      <c r="AD205" s="3546">
        <v>49.547162955871698</v>
      </c>
      <c r="AE205" s="3546">
        <v>43.346961263763603</v>
      </c>
      <c r="AF205" s="3518"/>
      <c r="AG205" s="3518"/>
      <c r="AH205" s="3546">
        <v>95.521899466929398</v>
      </c>
      <c r="AI205" s="3546">
        <v>49.911518553794302</v>
      </c>
      <c r="AJ205" s="3546">
        <v>49.911518553794302</v>
      </c>
      <c r="AK205" s="3546">
        <v>96.278254797519494</v>
      </c>
      <c r="AL205" s="3546">
        <v>95.7886059252819</v>
      </c>
      <c r="AM205" s="3533">
        <v>50</v>
      </c>
      <c r="AN205" s="3518"/>
      <c r="AO205" s="3555">
        <v>50</v>
      </c>
      <c r="AP205" s="3512"/>
    </row>
    <row r="206" spans="1:42">
      <c r="A206" s="5057" t="s">
        <v>680</v>
      </c>
      <c r="B206" s="5058"/>
      <c r="C206" s="3518"/>
      <c r="D206" s="3533">
        <v>0</v>
      </c>
      <c r="E206" s="3518"/>
      <c r="F206" s="3535">
        <v>42</v>
      </c>
      <c r="G206" s="3545">
        <v>0.27632293179661799</v>
      </c>
      <c r="H206" s="3546">
        <v>42.3095162404652</v>
      </c>
      <c r="I206" s="3518"/>
      <c r="J206" s="3518"/>
      <c r="K206" s="3518"/>
      <c r="L206" s="3535">
        <v>0</v>
      </c>
      <c r="M206" s="3518"/>
      <c r="N206" s="3535">
        <v>0</v>
      </c>
      <c r="O206" s="3544">
        <v>1.1999299929270599</v>
      </c>
      <c r="P206" s="3518"/>
      <c r="Q206" s="3546">
        <v>38.881250626646803</v>
      </c>
      <c r="R206" s="3518"/>
      <c r="S206" s="3518"/>
      <c r="T206" s="3546">
        <v>38.918957752530602</v>
      </c>
      <c r="U206" s="3546">
        <v>38.947441230549302</v>
      </c>
      <c r="V206" s="3518"/>
      <c r="W206" s="3537">
        <v>2.10172737628881E-4</v>
      </c>
      <c r="X206" s="3518"/>
      <c r="Y206" s="3518"/>
      <c r="Z206" s="3546">
        <v>36.722575977459599</v>
      </c>
      <c r="AA206" s="3518"/>
      <c r="AB206" s="3518"/>
      <c r="AC206" s="3546">
        <v>42.309520651718799</v>
      </c>
      <c r="AD206" s="3546">
        <v>42.309520651718799</v>
      </c>
      <c r="AE206" s="3546">
        <v>36.529440436253402</v>
      </c>
      <c r="AF206" s="3518"/>
      <c r="AG206" s="3518"/>
      <c r="AH206" s="3544">
        <v>1.1999299929270599</v>
      </c>
      <c r="AI206" s="3535">
        <v>42</v>
      </c>
      <c r="AJ206" s="3535">
        <v>42</v>
      </c>
      <c r="AK206" s="3545">
        <v>0.63772569472968599</v>
      </c>
      <c r="AL206" s="3545">
        <v>0.76896412182128504</v>
      </c>
      <c r="AM206" s="3533">
        <v>42</v>
      </c>
      <c r="AN206" s="3518"/>
      <c r="AO206" s="3555">
        <v>42</v>
      </c>
      <c r="AP206" s="3512"/>
    </row>
    <row r="207" spans="1:42">
      <c r="A207" s="5057" t="s">
        <v>681</v>
      </c>
      <c r="B207" s="5058"/>
      <c r="C207" s="3518"/>
      <c r="D207" s="3533">
        <v>0</v>
      </c>
      <c r="E207" s="3518"/>
      <c r="F207" s="3535">
        <v>8</v>
      </c>
      <c r="G207" s="3545">
        <v>0.69647206333954503</v>
      </c>
      <c r="H207" s="3544">
        <v>8.0541793213812891</v>
      </c>
      <c r="I207" s="3518"/>
      <c r="J207" s="3518"/>
      <c r="K207" s="3518"/>
      <c r="L207" s="3535">
        <v>0</v>
      </c>
      <c r="M207" s="3518"/>
      <c r="N207" s="3535">
        <v>0</v>
      </c>
      <c r="O207" s="3544">
        <v>2.8083336829117602</v>
      </c>
      <c r="P207" s="3518"/>
      <c r="Q207" s="3544">
        <v>7.4015631582756001</v>
      </c>
      <c r="R207" s="3518"/>
      <c r="S207" s="3518"/>
      <c r="T207" s="3544">
        <v>7.4087413082888203</v>
      </c>
      <c r="U207" s="3544">
        <v>7.4141641603516604</v>
      </c>
      <c r="V207" s="3518"/>
      <c r="W207" s="3537">
        <v>2.5207941254303901E-4</v>
      </c>
      <c r="X207" s="3518"/>
      <c r="Y207" s="3518"/>
      <c r="Z207" s="3544">
        <v>7.0878788288588703</v>
      </c>
      <c r="AA207" s="3518"/>
      <c r="AB207" s="3518"/>
      <c r="AC207" s="3544">
        <v>8.0541799810072092</v>
      </c>
      <c r="AD207" s="3544">
        <v>8.0541799810072092</v>
      </c>
      <c r="AE207" s="3546">
        <v>16.049677047181898</v>
      </c>
      <c r="AF207" s="3518"/>
      <c r="AG207" s="3518"/>
      <c r="AH207" s="3544">
        <v>2.8083336829117602</v>
      </c>
      <c r="AI207" s="3535">
        <v>8</v>
      </c>
      <c r="AJ207" s="3535">
        <v>8</v>
      </c>
      <c r="AK207" s="3544">
        <v>2.46913174155031</v>
      </c>
      <c r="AL207" s="3544">
        <v>2.8993302037058499</v>
      </c>
      <c r="AM207" s="3533">
        <v>8</v>
      </c>
      <c r="AN207" s="3518"/>
      <c r="AO207" s="3555">
        <v>8</v>
      </c>
      <c r="AP207" s="3512"/>
    </row>
    <row r="208" spans="1:42">
      <c r="A208" s="5057" t="s">
        <v>675</v>
      </c>
      <c r="B208" s="5058"/>
      <c r="C208" s="3518"/>
      <c r="D208" s="3533">
        <v>0</v>
      </c>
      <c r="E208" s="3518"/>
      <c r="F208" s="3535">
        <v>0</v>
      </c>
      <c r="G208" s="3535">
        <v>0</v>
      </c>
      <c r="H208" s="3535">
        <v>0</v>
      </c>
      <c r="I208" s="3518"/>
      <c r="J208" s="3518"/>
      <c r="K208" s="3518"/>
      <c r="L208" s="3535">
        <v>0</v>
      </c>
      <c r="M208" s="3518"/>
      <c r="N208" s="3535">
        <v>0</v>
      </c>
      <c r="O208" s="3535">
        <v>0</v>
      </c>
      <c r="P208" s="3518"/>
      <c r="Q208" s="3535">
        <v>0</v>
      </c>
      <c r="R208" s="3518"/>
      <c r="S208" s="3518"/>
      <c r="T208" s="3535">
        <v>0</v>
      </c>
      <c r="U208" s="3535">
        <v>0</v>
      </c>
      <c r="V208" s="3518"/>
      <c r="W208" s="3535">
        <v>0</v>
      </c>
      <c r="X208" s="3518"/>
      <c r="Y208" s="3518"/>
      <c r="Z208" s="3535">
        <v>0</v>
      </c>
      <c r="AA208" s="3518"/>
      <c r="AB208" s="3518"/>
      <c r="AC208" s="3535">
        <v>0</v>
      </c>
      <c r="AD208" s="3535">
        <v>0</v>
      </c>
      <c r="AE208" s="3535">
        <v>0</v>
      </c>
      <c r="AF208" s="3518"/>
      <c r="AG208" s="3518"/>
      <c r="AH208" s="3535">
        <v>0</v>
      </c>
      <c r="AI208" s="3535">
        <v>0</v>
      </c>
      <c r="AJ208" s="3535">
        <v>0</v>
      </c>
      <c r="AK208" s="3535">
        <v>0</v>
      </c>
      <c r="AL208" s="3535">
        <v>0</v>
      </c>
      <c r="AM208" s="3533">
        <v>0</v>
      </c>
      <c r="AN208" s="3518"/>
      <c r="AO208" s="3555">
        <v>0</v>
      </c>
      <c r="AP208" s="3512"/>
    </row>
    <row r="209" spans="1:42" ht="13" thickBot="1">
      <c r="A209" s="5055" t="s">
        <v>425</v>
      </c>
      <c r="B209" s="5056"/>
      <c r="C209" s="3519" t="s">
        <v>426</v>
      </c>
      <c r="D209" s="3519" t="s">
        <v>426</v>
      </c>
      <c r="E209" s="3519" t="s">
        <v>426</v>
      </c>
      <c r="F209" s="3519" t="s">
        <v>426</v>
      </c>
      <c r="G209" s="3519" t="s">
        <v>426</v>
      </c>
      <c r="H209" s="3519" t="s">
        <v>426</v>
      </c>
      <c r="I209" s="3519" t="s">
        <v>426</v>
      </c>
      <c r="J209" s="3519" t="s">
        <v>426</v>
      </c>
      <c r="K209" s="3519" t="s">
        <v>426</v>
      </c>
      <c r="L209" s="3519" t="s">
        <v>426</v>
      </c>
      <c r="M209" s="3519" t="s">
        <v>426</v>
      </c>
      <c r="N209" s="3519" t="s">
        <v>426</v>
      </c>
      <c r="O209" s="3519" t="s">
        <v>426</v>
      </c>
      <c r="P209" s="3519" t="s">
        <v>426</v>
      </c>
      <c r="Q209" s="3519" t="s">
        <v>426</v>
      </c>
      <c r="R209" s="3519" t="s">
        <v>426</v>
      </c>
      <c r="S209" s="3519" t="s">
        <v>426</v>
      </c>
      <c r="T209" s="3519" t="s">
        <v>426</v>
      </c>
      <c r="U209" s="3519" t="s">
        <v>426</v>
      </c>
      <c r="V209" s="3519" t="s">
        <v>426</v>
      </c>
      <c r="W209" s="3519" t="s">
        <v>426</v>
      </c>
      <c r="X209" s="3519" t="s">
        <v>426</v>
      </c>
      <c r="Y209" s="3519" t="s">
        <v>426</v>
      </c>
      <c r="Z209" s="3519" t="s">
        <v>426</v>
      </c>
      <c r="AA209" s="3519" t="s">
        <v>426</v>
      </c>
      <c r="AB209" s="3519" t="s">
        <v>426</v>
      </c>
      <c r="AC209" s="3519" t="s">
        <v>426</v>
      </c>
      <c r="AD209" s="3519" t="s">
        <v>426</v>
      </c>
      <c r="AE209" s="3519" t="s">
        <v>426</v>
      </c>
      <c r="AF209" s="3519" t="s">
        <v>426</v>
      </c>
      <c r="AG209" s="3519" t="s">
        <v>426</v>
      </c>
      <c r="AH209" s="3519" t="s">
        <v>426</v>
      </c>
      <c r="AI209" s="3519" t="s">
        <v>426</v>
      </c>
      <c r="AJ209" s="3519" t="s">
        <v>426</v>
      </c>
      <c r="AK209" s="3519" t="s">
        <v>426</v>
      </c>
      <c r="AL209" s="3519" t="s">
        <v>426</v>
      </c>
      <c r="AM209" s="3519" t="s">
        <v>426</v>
      </c>
      <c r="AN209" s="3519" t="s">
        <v>426</v>
      </c>
      <c r="AO209" s="3530" t="s">
        <v>426</v>
      </c>
      <c r="AP209" s="3512"/>
    </row>
    <row r="210" spans="1:42" ht="13" thickTop="1">
      <c r="A210" s="5059" t="s">
        <v>5</v>
      </c>
      <c r="B210" s="5060"/>
      <c r="C210" s="3518"/>
      <c r="D210" s="3533">
        <v>0</v>
      </c>
      <c r="E210" s="3518"/>
      <c r="F210" s="3543">
        <v>1.35101573922514E-2</v>
      </c>
      <c r="G210" s="3535">
        <v>0</v>
      </c>
      <c r="H210" s="3543">
        <v>1.35101573922514E-2</v>
      </c>
      <c r="I210" s="3518"/>
      <c r="J210" s="3518"/>
      <c r="K210" s="3518"/>
      <c r="L210" s="3535">
        <v>0</v>
      </c>
      <c r="M210" s="3518"/>
      <c r="N210" s="3535">
        <v>0</v>
      </c>
      <c r="O210" s="3532">
        <v>8.1650136458720408E-6</v>
      </c>
      <c r="P210" s="3518"/>
      <c r="Q210" s="3545">
        <v>0.47230256687118999</v>
      </c>
      <c r="R210" s="3518"/>
      <c r="S210" s="3518"/>
      <c r="T210" s="3545">
        <v>0.47116711445473197</v>
      </c>
      <c r="U210" s="3545">
        <v>0.46921295141645802</v>
      </c>
      <c r="V210" s="3518"/>
      <c r="W210" s="3537">
        <v>9.2957310786361805E-4</v>
      </c>
      <c r="X210" s="3518"/>
      <c r="Y210" s="3518"/>
      <c r="Z210" s="3543">
        <v>1.9418462551714401E-2</v>
      </c>
      <c r="AA210" s="3518"/>
      <c r="AB210" s="3518"/>
      <c r="AC210" s="3543">
        <v>1.3520046439940399E-2</v>
      </c>
      <c r="AD210" s="3543">
        <v>1.3520046439940399E-2</v>
      </c>
      <c r="AE210" s="3535">
        <v>0</v>
      </c>
      <c r="AF210" s="3518"/>
      <c r="AG210" s="3518"/>
      <c r="AH210" s="3532">
        <v>8.1650136458720408E-6</v>
      </c>
      <c r="AI210" s="3543">
        <v>1.35101573922514E-2</v>
      </c>
      <c r="AJ210" s="3543">
        <v>1.35101573922514E-2</v>
      </c>
      <c r="AK210" s="3535">
        <v>0</v>
      </c>
      <c r="AL210" s="3535">
        <v>0</v>
      </c>
      <c r="AM210" s="3535">
        <v>0</v>
      </c>
      <c r="AN210" s="3518"/>
      <c r="AO210" s="3540">
        <v>0</v>
      </c>
      <c r="AP210" s="3512"/>
    </row>
    <row r="211" spans="1:42">
      <c r="A211" s="5057" t="s">
        <v>674</v>
      </c>
      <c r="B211" s="5058"/>
      <c r="C211" s="3518"/>
      <c r="D211" s="3533">
        <v>0</v>
      </c>
      <c r="E211" s="3518"/>
      <c r="F211" s="3535">
        <v>0</v>
      </c>
      <c r="G211" s="3535">
        <v>0</v>
      </c>
      <c r="H211" s="3535">
        <v>0</v>
      </c>
      <c r="I211" s="3518"/>
      <c r="J211" s="3518"/>
      <c r="K211" s="3518"/>
      <c r="L211" s="3558">
        <v>258.28471784502699</v>
      </c>
      <c r="M211" s="3518"/>
      <c r="N211" s="3546">
        <v>55.401395650288102</v>
      </c>
      <c r="O211" s="3538">
        <v>8.3900644021171096E-3</v>
      </c>
      <c r="P211" s="3518"/>
      <c r="Q211" s="3544">
        <v>2.7742330968269302</v>
      </c>
      <c r="R211" s="3518"/>
      <c r="S211" s="3518"/>
      <c r="T211" s="3543">
        <v>9.4837100173472202E-2</v>
      </c>
      <c r="U211" s="3538">
        <v>6.5489841147323398E-3</v>
      </c>
      <c r="V211" s="3518"/>
      <c r="W211" s="3532">
        <v>1.6007368412386999E-6</v>
      </c>
      <c r="X211" s="3518"/>
      <c r="Y211" s="3518"/>
      <c r="Z211" s="3535">
        <v>0</v>
      </c>
      <c r="AA211" s="3518"/>
      <c r="AB211" s="3518"/>
      <c r="AC211" s="3535">
        <v>0</v>
      </c>
      <c r="AD211" s="3535">
        <v>0</v>
      </c>
      <c r="AE211" s="3532">
        <v>4.8893925763779703E-5</v>
      </c>
      <c r="AF211" s="3518"/>
      <c r="AG211" s="3518"/>
      <c r="AH211" s="3538">
        <v>8.3900644021171096E-3</v>
      </c>
      <c r="AI211" s="3535">
        <v>0</v>
      </c>
      <c r="AJ211" s="3535">
        <v>0</v>
      </c>
      <c r="AK211" s="3538">
        <v>1.35691110974829E-3</v>
      </c>
      <c r="AL211" s="3543">
        <v>2.1439371738179398E-2</v>
      </c>
      <c r="AM211" s="3535">
        <v>0</v>
      </c>
      <c r="AN211" s="3518"/>
      <c r="AO211" s="3540">
        <v>0</v>
      </c>
      <c r="AP211" s="3512"/>
    </row>
    <row r="212" spans="1:42">
      <c r="A212" s="5057" t="s">
        <v>3</v>
      </c>
      <c r="B212" s="5058"/>
      <c r="C212" s="3518"/>
      <c r="D212" s="3533">
        <v>0</v>
      </c>
      <c r="E212" s="3518"/>
      <c r="F212" s="3558">
        <v>261.91529297257603</v>
      </c>
      <c r="G212" s="3535">
        <v>0</v>
      </c>
      <c r="H212" s="3558">
        <v>261.91529297257603</v>
      </c>
      <c r="I212" s="3518"/>
      <c r="J212" s="3518"/>
      <c r="K212" s="3518"/>
      <c r="L212" s="3562">
        <v>1475.93665995538</v>
      </c>
      <c r="M212" s="3518"/>
      <c r="N212" s="3558">
        <v>309.92065742398597</v>
      </c>
      <c r="O212" s="3544">
        <v>1.8625832857214699</v>
      </c>
      <c r="P212" s="3518"/>
      <c r="Q212" s="3557">
        <v>25141.8147319206</v>
      </c>
      <c r="R212" s="3518"/>
      <c r="S212" s="3518"/>
      <c r="T212" s="3557">
        <v>25104.6768585354</v>
      </c>
      <c r="U212" s="3557">
        <v>24914.900274132899</v>
      </c>
      <c r="V212" s="3518"/>
      <c r="W212" s="3546">
        <v>15.984368592053499</v>
      </c>
      <c r="X212" s="3518"/>
      <c r="Y212" s="3518"/>
      <c r="Z212" s="3558">
        <v>528.14518725733205</v>
      </c>
      <c r="AA212" s="3518"/>
      <c r="AB212" s="3518"/>
      <c r="AC212" s="3558">
        <v>261.91110432367799</v>
      </c>
      <c r="AD212" s="3558">
        <v>261.91110432367799</v>
      </c>
      <c r="AE212" s="3545">
        <v>0.175833453079209</v>
      </c>
      <c r="AF212" s="3518"/>
      <c r="AG212" s="3518"/>
      <c r="AH212" s="3544">
        <v>1.8625832857214699</v>
      </c>
      <c r="AI212" s="3558">
        <v>261.91529297257603</v>
      </c>
      <c r="AJ212" s="3558">
        <v>261.91529297257603</v>
      </c>
      <c r="AK212" s="3544">
        <v>4.8233089750581799</v>
      </c>
      <c r="AL212" s="3544">
        <v>2.8576983493418</v>
      </c>
      <c r="AM212" s="3535">
        <v>0</v>
      </c>
      <c r="AN212" s="3518"/>
      <c r="AO212" s="3540">
        <v>0</v>
      </c>
      <c r="AP212" s="3512"/>
    </row>
    <row r="213" spans="1:42">
      <c r="A213" s="5057" t="s">
        <v>6</v>
      </c>
      <c r="B213" s="5058"/>
      <c r="C213" s="3518"/>
      <c r="D213" s="3533">
        <v>0</v>
      </c>
      <c r="E213" s="3518"/>
      <c r="F213" s="3535">
        <v>0</v>
      </c>
      <c r="G213" s="3535">
        <v>0</v>
      </c>
      <c r="H213" s="3535">
        <v>0</v>
      </c>
      <c r="I213" s="3518"/>
      <c r="J213" s="3518"/>
      <c r="K213" s="3518"/>
      <c r="L213" s="3557">
        <v>10054.4591051015</v>
      </c>
      <c r="M213" s="3518"/>
      <c r="N213" s="3562">
        <v>2127.4463868927601</v>
      </c>
      <c r="O213" s="3545">
        <v>0.322970754150815</v>
      </c>
      <c r="P213" s="3518"/>
      <c r="Q213" s="3558">
        <v>175.094675925849</v>
      </c>
      <c r="R213" s="3518"/>
      <c r="S213" s="3518"/>
      <c r="T213" s="3546">
        <v>17.564923942015799</v>
      </c>
      <c r="U213" s="3544">
        <v>3.66665318177184</v>
      </c>
      <c r="V213" s="3518"/>
      <c r="W213" s="3537">
        <v>5.7252778582661805E-4</v>
      </c>
      <c r="X213" s="3518"/>
      <c r="Y213" s="3518"/>
      <c r="Z213" s="3535">
        <v>0</v>
      </c>
      <c r="AA213" s="3518"/>
      <c r="AB213" s="3518"/>
      <c r="AC213" s="3535">
        <v>0</v>
      </c>
      <c r="AD213" s="3535">
        <v>0</v>
      </c>
      <c r="AE213" s="3538">
        <v>2.67048056229562E-3</v>
      </c>
      <c r="AF213" s="3518"/>
      <c r="AG213" s="3518"/>
      <c r="AH213" s="3545">
        <v>0.322970754150815</v>
      </c>
      <c r="AI213" s="3535">
        <v>0</v>
      </c>
      <c r="AJ213" s="3535">
        <v>0</v>
      </c>
      <c r="AK213" s="3543">
        <v>7.61599423389719E-2</v>
      </c>
      <c r="AL213" s="3545">
        <v>0.56329318190428601</v>
      </c>
      <c r="AM213" s="3535">
        <v>0</v>
      </c>
      <c r="AN213" s="3518"/>
      <c r="AO213" s="3540">
        <v>0</v>
      </c>
      <c r="AP213" s="3512"/>
    </row>
    <row r="214" spans="1:42">
      <c r="A214" s="5057" t="s">
        <v>7</v>
      </c>
      <c r="B214" s="5058"/>
      <c r="C214" s="3518"/>
      <c r="D214" s="3533">
        <v>0</v>
      </c>
      <c r="E214" s="3518"/>
      <c r="F214" s="3535">
        <v>0</v>
      </c>
      <c r="G214" s="3535">
        <v>0</v>
      </c>
      <c r="H214" s="3535">
        <v>0</v>
      </c>
      <c r="I214" s="3518"/>
      <c r="J214" s="3518"/>
      <c r="K214" s="3518"/>
      <c r="L214" s="3557">
        <v>10623.008921856401</v>
      </c>
      <c r="M214" s="3518"/>
      <c r="N214" s="3562">
        <v>2303.2522853372898</v>
      </c>
      <c r="O214" s="3543">
        <v>9.22548042376964E-2</v>
      </c>
      <c r="P214" s="3518"/>
      <c r="Q214" s="3546">
        <v>73.435302281876801</v>
      </c>
      <c r="R214" s="3518"/>
      <c r="S214" s="3518"/>
      <c r="T214" s="3546">
        <v>11.0049353986652</v>
      </c>
      <c r="U214" s="3544">
        <v>3.0446152378376499</v>
      </c>
      <c r="V214" s="3518"/>
      <c r="W214" s="3537">
        <v>3.9983003506309099E-4</v>
      </c>
      <c r="X214" s="3518"/>
      <c r="Y214" s="3518"/>
      <c r="Z214" s="3535">
        <v>0</v>
      </c>
      <c r="AA214" s="3518"/>
      <c r="AB214" s="3518"/>
      <c r="AC214" s="3535">
        <v>0</v>
      </c>
      <c r="AD214" s="3535">
        <v>0</v>
      </c>
      <c r="AE214" s="3538">
        <v>1.3127591870003401E-3</v>
      </c>
      <c r="AF214" s="3518"/>
      <c r="AG214" s="3518"/>
      <c r="AH214" s="3543">
        <v>9.22548042376964E-2</v>
      </c>
      <c r="AI214" s="3535">
        <v>0</v>
      </c>
      <c r="AJ214" s="3535">
        <v>0</v>
      </c>
      <c r="AK214" s="3543">
        <v>4.8295606801324199E-2</v>
      </c>
      <c r="AL214" s="3545">
        <v>0.141040426140637</v>
      </c>
      <c r="AM214" s="3535">
        <v>0</v>
      </c>
      <c r="AN214" s="3518"/>
      <c r="AO214" s="3540">
        <v>0</v>
      </c>
      <c r="AP214" s="3512"/>
    </row>
    <row r="215" spans="1:42">
      <c r="A215" s="5057" t="s">
        <v>8</v>
      </c>
      <c r="B215" s="5058"/>
      <c r="C215" s="3518"/>
      <c r="D215" s="3533">
        <v>0</v>
      </c>
      <c r="E215" s="3518"/>
      <c r="F215" s="3535">
        <v>0</v>
      </c>
      <c r="G215" s="3535">
        <v>0</v>
      </c>
      <c r="H215" s="3535">
        <v>0</v>
      </c>
      <c r="I215" s="3518"/>
      <c r="J215" s="3518"/>
      <c r="K215" s="3518"/>
      <c r="L215" s="3557">
        <v>18000.782659161101</v>
      </c>
      <c r="M215" s="3518"/>
      <c r="N215" s="3562">
        <v>4164.4507455353696</v>
      </c>
      <c r="O215" s="3543">
        <v>3.7283557388825501E-2</v>
      </c>
      <c r="P215" s="3518"/>
      <c r="Q215" s="3546">
        <v>32.625128862640103</v>
      </c>
      <c r="R215" s="3518"/>
      <c r="S215" s="3518"/>
      <c r="T215" s="3544">
        <v>4.1116314006752503</v>
      </c>
      <c r="U215" s="3544">
        <v>1.0198844483538201</v>
      </c>
      <c r="V215" s="3518"/>
      <c r="W215" s="3537">
        <v>1.14641686628023E-4</v>
      </c>
      <c r="X215" s="3518"/>
      <c r="Y215" s="3518"/>
      <c r="Z215" s="3535">
        <v>0</v>
      </c>
      <c r="AA215" s="3518"/>
      <c r="AB215" s="3518"/>
      <c r="AC215" s="3535">
        <v>0</v>
      </c>
      <c r="AD215" s="3535">
        <v>0</v>
      </c>
      <c r="AE215" s="3537">
        <v>7.34070495906763E-4</v>
      </c>
      <c r="AF215" s="3518"/>
      <c r="AG215" s="3518"/>
      <c r="AH215" s="3543">
        <v>3.7283557388825501E-2</v>
      </c>
      <c r="AI215" s="3535">
        <v>0</v>
      </c>
      <c r="AJ215" s="3535">
        <v>0</v>
      </c>
      <c r="AK215" s="3543">
        <v>4.90390720775956E-2</v>
      </c>
      <c r="AL215" s="3543">
        <v>6.3716125633808504E-2</v>
      </c>
      <c r="AM215" s="3535">
        <v>0</v>
      </c>
      <c r="AN215" s="3518"/>
      <c r="AO215" s="3540">
        <v>0</v>
      </c>
      <c r="AP215" s="3512"/>
    </row>
    <row r="216" spans="1:42">
      <c r="A216" s="5057" t="s">
        <v>678</v>
      </c>
      <c r="B216" s="5058"/>
      <c r="C216" s="3518"/>
      <c r="D216" s="3533">
        <v>0</v>
      </c>
      <c r="E216" s="3518"/>
      <c r="F216" s="3535">
        <v>0</v>
      </c>
      <c r="G216" s="3535">
        <v>0</v>
      </c>
      <c r="H216" s="3535">
        <v>0</v>
      </c>
      <c r="I216" s="3518"/>
      <c r="J216" s="3518"/>
      <c r="K216" s="3518"/>
      <c r="L216" s="3562">
        <v>4021.4396887277599</v>
      </c>
      <c r="M216" s="3518"/>
      <c r="N216" s="3562">
        <v>1033.2764115106099</v>
      </c>
      <c r="O216" s="3538">
        <v>2.8441822652150199E-3</v>
      </c>
      <c r="P216" s="3518"/>
      <c r="Q216" s="3544">
        <v>3.0808004732555201</v>
      </c>
      <c r="R216" s="3518"/>
      <c r="S216" s="3518"/>
      <c r="T216" s="3545">
        <v>0.30426940614158499</v>
      </c>
      <c r="U216" s="3543">
        <v>7.0698567810972904E-2</v>
      </c>
      <c r="V216" s="3518"/>
      <c r="W216" s="3532">
        <v>5.3458296040669299E-6</v>
      </c>
      <c r="X216" s="3518"/>
      <c r="Y216" s="3518"/>
      <c r="Z216" s="3535">
        <v>0</v>
      </c>
      <c r="AA216" s="3518"/>
      <c r="AB216" s="3518"/>
      <c r="AC216" s="3535">
        <v>0</v>
      </c>
      <c r="AD216" s="3535">
        <v>0</v>
      </c>
      <c r="AE216" s="3532">
        <v>6.9427839594380102E-5</v>
      </c>
      <c r="AF216" s="3518"/>
      <c r="AG216" s="3518"/>
      <c r="AH216" s="3538">
        <v>2.8441822652150199E-3</v>
      </c>
      <c r="AI216" s="3535">
        <v>0</v>
      </c>
      <c r="AJ216" s="3535">
        <v>0</v>
      </c>
      <c r="AK216" s="3538">
        <v>6.8611781688185398E-3</v>
      </c>
      <c r="AL216" s="3538">
        <v>4.0055114657209703E-3</v>
      </c>
      <c r="AM216" s="3535">
        <v>0</v>
      </c>
      <c r="AN216" s="3518"/>
      <c r="AO216" s="3540">
        <v>0</v>
      </c>
      <c r="AP216" s="3512"/>
    </row>
    <row r="217" spans="1:42">
      <c r="A217" s="5057" t="s">
        <v>67</v>
      </c>
      <c r="B217" s="5058"/>
      <c r="C217" s="3518"/>
      <c r="D217" s="3533">
        <v>0</v>
      </c>
      <c r="E217" s="3518"/>
      <c r="F217" s="3535">
        <v>0</v>
      </c>
      <c r="G217" s="3535">
        <v>0</v>
      </c>
      <c r="H217" s="3535">
        <v>0</v>
      </c>
      <c r="I217" s="3518"/>
      <c r="J217" s="3518"/>
      <c r="K217" s="3518"/>
      <c r="L217" s="3557">
        <v>12233.140553724001</v>
      </c>
      <c r="M217" s="3518"/>
      <c r="N217" s="3562">
        <v>3379.82400890589</v>
      </c>
      <c r="O217" s="3538">
        <v>9.1374355451545892E-3</v>
      </c>
      <c r="P217" s="3518"/>
      <c r="Q217" s="3544">
        <v>9.8587671800757803</v>
      </c>
      <c r="R217" s="3518"/>
      <c r="S217" s="3518"/>
      <c r="T217" s="3544">
        <v>1.3820045906353999</v>
      </c>
      <c r="U217" s="3545">
        <v>0.355132483938849</v>
      </c>
      <c r="V217" s="3518"/>
      <c r="W217" s="3532">
        <v>3.6583687664221097E-5</v>
      </c>
      <c r="X217" s="3518"/>
      <c r="Y217" s="3518"/>
      <c r="Z217" s="3535">
        <v>0</v>
      </c>
      <c r="AA217" s="3518"/>
      <c r="AB217" s="3518"/>
      <c r="AC217" s="3535">
        <v>0</v>
      </c>
      <c r="AD217" s="3535">
        <v>0</v>
      </c>
      <c r="AE217" s="3537">
        <v>2.6264717821001502E-4</v>
      </c>
      <c r="AF217" s="3518"/>
      <c r="AG217" s="3518"/>
      <c r="AH217" s="3538">
        <v>9.1374355451545892E-3</v>
      </c>
      <c r="AI217" s="3535">
        <v>0</v>
      </c>
      <c r="AJ217" s="3535">
        <v>0</v>
      </c>
      <c r="AK217" s="3538">
        <v>7.8340836190955096E-3</v>
      </c>
      <c r="AL217" s="3543">
        <v>1.45596577804537E-2</v>
      </c>
      <c r="AM217" s="3535">
        <v>0</v>
      </c>
      <c r="AN217" s="3518"/>
      <c r="AO217" s="3540">
        <v>0</v>
      </c>
      <c r="AP217" s="3512"/>
    </row>
    <row r="218" spans="1:42">
      <c r="A218" s="5057" t="s">
        <v>679</v>
      </c>
      <c r="B218" s="5058"/>
      <c r="C218" s="3518"/>
      <c r="D218" s="3533">
        <v>0</v>
      </c>
      <c r="E218" s="3518"/>
      <c r="F218" s="3535">
        <v>0</v>
      </c>
      <c r="G218" s="3535">
        <v>0</v>
      </c>
      <c r="H218" s="3535">
        <v>0</v>
      </c>
      <c r="I218" s="3518"/>
      <c r="J218" s="3518"/>
      <c r="K218" s="3518"/>
      <c r="L218" s="3562">
        <v>3949.7662263879802</v>
      </c>
      <c r="M218" s="3518"/>
      <c r="N218" s="3562">
        <v>1268.9709412684199</v>
      </c>
      <c r="O218" s="3537">
        <v>8.8180973868357796E-4</v>
      </c>
      <c r="P218" s="3518"/>
      <c r="Q218" s="3544">
        <v>1.05556369849793</v>
      </c>
      <c r="R218" s="3518"/>
      <c r="S218" s="3518"/>
      <c r="T218" s="3543">
        <v>8.4331206195357597E-2</v>
      </c>
      <c r="U218" s="3538">
        <v>9.2981056238141992E-3</v>
      </c>
      <c r="V218" s="3518"/>
      <c r="W218" s="3532">
        <v>1.1251600980818801E-6</v>
      </c>
      <c r="X218" s="3518"/>
      <c r="Y218" s="3518"/>
      <c r="Z218" s="3535">
        <v>0</v>
      </c>
      <c r="AA218" s="3518"/>
      <c r="AB218" s="3518"/>
      <c r="AC218" s="3535">
        <v>0</v>
      </c>
      <c r="AD218" s="3535">
        <v>0</v>
      </c>
      <c r="AE218" s="3532">
        <v>3.0801741025612798E-5</v>
      </c>
      <c r="AF218" s="3518"/>
      <c r="AG218" s="3518"/>
      <c r="AH218" s="3537">
        <v>8.8180973868357796E-4</v>
      </c>
      <c r="AI218" s="3535">
        <v>0</v>
      </c>
      <c r="AJ218" s="3535">
        <v>0</v>
      </c>
      <c r="AK218" s="3538">
        <v>1.94687847665823E-3</v>
      </c>
      <c r="AL218" s="3538">
        <v>1.25513062049721E-3</v>
      </c>
      <c r="AM218" s="3535">
        <v>0</v>
      </c>
      <c r="AN218" s="3518"/>
      <c r="AO218" s="3540">
        <v>0</v>
      </c>
      <c r="AP218" s="3512"/>
    </row>
    <row r="219" spans="1:42">
      <c r="A219" s="5057" t="s">
        <v>69</v>
      </c>
      <c r="B219" s="5058"/>
      <c r="C219" s="3518"/>
      <c r="D219" s="3533">
        <v>0</v>
      </c>
      <c r="E219" s="3518"/>
      <c r="F219" s="3535">
        <v>0</v>
      </c>
      <c r="G219" s="3535">
        <v>0</v>
      </c>
      <c r="H219" s="3535">
        <v>0</v>
      </c>
      <c r="I219" s="3518"/>
      <c r="J219" s="3518"/>
      <c r="K219" s="3518"/>
      <c r="L219" s="3562">
        <v>4514.54761674365</v>
      </c>
      <c r="M219" s="3518"/>
      <c r="N219" s="3562">
        <v>1548.2436885747099</v>
      </c>
      <c r="O219" s="3538">
        <v>1.1042460491346999E-3</v>
      </c>
      <c r="P219" s="3518"/>
      <c r="Q219" s="3544">
        <v>1.34664778423804</v>
      </c>
      <c r="R219" s="3518"/>
      <c r="S219" s="3518"/>
      <c r="T219" s="3545">
        <v>0.13328103608613001</v>
      </c>
      <c r="U219" s="3543">
        <v>2.0692698632818099E-2</v>
      </c>
      <c r="V219" s="3518"/>
      <c r="W219" s="3532">
        <v>2.19514853306074E-6</v>
      </c>
      <c r="X219" s="3518"/>
      <c r="Y219" s="3518"/>
      <c r="Z219" s="3535">
        <v>0</v>
      </c>
      <c r="AA219" s="3518"/>
      <c r="AB219" s="3518"/>
      <c r="AC219" s="3535">
        <v>0</v>
      </c>
      <c r="AD219" s="3535">
        <v>0</v>
      </c>
      <c r="AE219" s="3532">
        <v>4.0824070857876797E-5</v>
      </c>
      <c r="AF219" s="3518"/>
      <c r="AG219" s="3518"/>
      <c r="AH219" s="3538">
        <v>1.1042460491346999E-3</v>
      </c>
      <c r="AI219" s="3535">
        <v>0</v>
      </c>
      <c r="AJ219" s="3535">
        <v>0</v>
      </c>
      <c r="AK219" s="3538">
        <v>3.2140721233732601E-3</v>
      </c>
      <c r="AL219" s="3538">
        <v>1.64073485358613E-3</v>
      </c>
      <c r="AM219" s="3535">
        <v>0</v>
      </c>
      <c r="AN219" s="3518"/>
      <c r="AO219" s="3540">
        <v>0</v>
      </c>
      <c r="AP219" s="3512"/>
    </row>
    <row r="220" spans="1:42">
      <c r="A220" s="5057" t="s">
        <v>10</v>
      </c>
      <c r="B220" s="5058"/>
      <c r="C220" s="3518"/>
      <c r="D220" s="3533">
        <v>0</v>
      </c>
      <c r="E220" s="3518"/>
      <c r="F220" s="3535">
        <v>0</v>
      </c>
      <c r="G220" s="3535">
        <v>0</v>
      </c>
      <c r="H220" s="3535">
        <v>0</v>
      </c>
      <c r="I220" s="3518"/>
      <c r="J220" s="3518"/>
      <c r="K220" s="3518"/>
      <c r="L220" s="3562">
        <v>8662.9401193267404</v>
      </c>
      <c r="M220" s="3518"/>
      <c r="N220" s="3562">
        <v>4126.5464559454804</v>
      </c>
      <c r="O220" s="3537">
        <v>9.5366495163264401E-4</v>
      </c>
      <c r="P220" s="3518"/>
      <c r="Q220" s="3544">
        <v>1.6147521205788899</v>
      </c>
      <c r="R220" s="3518"/>
      <c r="S220" s="3518"/>
      <c r="T220" s="3545">
        <v>0.12574483947726101</v>
      </c>
      <c r="U220" s="3543">
        <v>1.6886044404372701E-2</v>
      </c>
      <c r="V220" s="3518"/>
      <c r="W220" s="3532">
        <v>1.17090265156636E-6</v>
      </c>
      <c r="X220" s="3518"/>
      <c r="Y220" s="3518"/>
      <c r="Z220" s="3535">
        <v>0</v>
      </c>
      <c r="AA220" s="3518"/>
      <c r="AB220" s="3518"/>
      <c r="AC220" s="3535">
        <v>0</v>
      </c>
      <c r="AD220" s="3535">
        <v>0</v>
      </c>
      <c r="AE220" s="3532">
        <v>4.1524804234155499E-5</v>
      </c>
      <c r="AF220" s="3518"/>
      <c r="AG220" s="3518"/>
      <c r="AH220" s="3537">
        <v>9.5366495163264401E-4</v>
      </c>
      <c r="AI220" s="3535">
        <v>0</v>
      </c>
      <c r="AJ220" s="3535">
        <v>0</v>
      </c>
      <c r="AK220" s="3538">
        <v>9.8223228709610894E-3</v>
      </c>
      <c r="AL220" s="3538">
        <v>1.0211919148661599E-3</v>
      </c>
      <c r="AM220" s="3535">
        <v>0</v>
      </c>
      <c r="AN220" s="3518"/>
      <c r="AO220" s="3540">
        <v>0</v>
      </c>
      <c r="AP220" s="3512"/>
    </row>
    <row r="221" spans="1:42">
      <c r="A221" s="5057" t="s">
        <v>298</v>
      </c>
      <c r="B221" s="5058"/>
      <c r="C221" s="3518"/>
      <c r="D221" s="3533">
        <v>46800</v>
      </c>
      <c r="E221" s="3518"/>
      <c r="F221" s="3560">
        <v>147751.47647108801</v>
      </c>
      <c r="G221" s="3562">
        <v>2158.6221244523299</v>
      </c>
      <c r="H221" s="3560">
        <v>145592.85434663601</v>
      </c>
      <c r="I221" s="3518"/>
      <c r="J221" s="3518"/>
      <c r="K221" s="3518"/>
      <c r="L221" s="3544">
        <v>5.5523820773200496</v>
      </c>
      <c r="M221" s="3518"/>
      <c r="N221" s="3544">
        <v>3.3868307213548601</v>
      </c>
      <c r="O221" s="3558">
        <v>475.41939211733001</v>
      </c>
      <c r="P221" s="3518"/>
      <c r="Q221" s="3560">
        <v>146320.90029907299</v>
      </c>
      <c r="R221" s="3518"/>
      <c r="S221" s="3518"/>
      <c r="T221" s="3560">
        <v>146314.314537831</v>
      </c>
      <c r="U221" s="3560">
        <v>146297.02410617401</v>
      </c>
      <c r="V221" s="3518"/>
      <c r="W221" s="3557">
        <v>11126.586898019101</v>
      </c>
      <c r="X221" s="3518"/>
      <c r="Y221" s="3518"/>
      <c r="Z221" s="3560">
        <v>189989.83356468499</v>
      </c>
      <c r="AA221" s="3518"/>
      <c r="AB221" s="3518"/>
      <c r="AC221" s="3560">
        <v>145592.82611513801</v>
      </c>
      <c r="AD221" s="3560">
        <v>145592.82611513801</v>
      </c>
      <c r="AE221" s="3544">
        <v>1.9263370689808299</v>
      </c>
      <c r="AF221" s="3518"/>
      <c r="AG221" s="3518"/>
      <c r="AH221" s="3558">
        <v>475.41939211733001</v>
      </c>
      <c r="AI221" s="3560">
        <v>147751.47647108801</v>
      </c>
      <c r="AJ221" s="3560">
        <v>147751.47647108801</v>
      </c>
      <c r="AK221" s="3558">
        <v>787.25191008400395</v>
      </c>
      <c r="AL221" s="3558">
        <v>647.23385254847301</v>
      </c>
      <c r="AM221" s="3560">
        <v>135705.451979434</v>
      </c>
      <c r="AN221" s="3518"/>
      <c r="AO221" s="3564">
        <v>135705.451979434</v>
      </c>
      <c r="AP221" s="3512"/>
    </row>
    <row r="222" spans="1:42">
      <c r="A222" s="5057" t="s">
        <v>680</v>
      </c>
      <c r="B222" s="5058"/>
      <c r="C222" s="3518"/>
      <c r="D222" s="3533">
        <v>0</v>
      </c>
      <c r="E222" s="3518"/>
      <c r="F222" s="3560">
        <v>124331.260430343</v>
      </c>
      <c r="G222" s="3544">
        <v>6.0233629136600797</v>
      </c>
      <c r="H222" s="3560">
        <v>124325.23706743</v>
      </c>
      <c r="I222" s="3518"/>
      <c r="J222" s="3518"/>
      <c r="K222" s="3518"/>
      <c r="L222" s="3535">
        <v>0</v>
      </c>
      <c r="M222" s="3518"/>
      <c r="N222" s="3535">
        <v>0</v>
      </c>
      <c r="O222" s="3544">
        <v>5.97213823222011</v>
      </c>
      <c r="P222" s="3518"/>
      <c r="Q222" s="3560">
        <v>124325.23833614599</v>
      </c>
      <c r="R222" s="3518"/>
      <c r="S222" s="3518"/>
      <c r="T222" s="3560">
        <v>124325.235109182</v>
      </c>
      <c r="U222" s="3560">
        <v>124325.205115948</v>
      </c>
      <c r="V222" s="3518"/>
      <c r="W222" s="3543">
        <v>2.3418759666219799E-2</v>
      </c>
      <c r="X222" s="3518"/>
      <c r="Y222" s="3518"/>
      <c r="Z222" s="3560">
        <v>124512.69428806299</v>
      </c>
      <c r="AA222" s="3518"/>
      <c r="AB222" s="3518"/>
      <c r="AC222" s="3560">
        <v>124325.235104718</v>
      </c>
      <c r="AD222" s="3560">
        <v>124325.235104718</v>
      </c>
      <c r="AE222" s="3544">
        <v>1.62336674059566</v>
      </c>
      <c r="AF222" s="3518"/>
      <c r="AG222" s="3518"/>
      <c r="AH222" s="3544">
        <v>5.97213823222011</v>
      </c>
      <c r="AI222" s="3560">
        <v>124331.260430343</v>
      </c>
      <c r="AJ222" s="3560">
        <v>124331.260430343</v>
      </c>
      <c r="AK222" s="3544">
        <v>5.2145811361189001</v>
      </c>
      <c r="AL222" s="3544">
        <v>5.1958122391525903</v>
      </c>
      <c r="AM222" s="3560">
        <v>113992.57966272401</v>
      </c>
      <c r="AN222" s="3518"/>
      <c r="AO222" s="3564">
        <v>113992.57966272401</v>
      </c>
      <c r="AP222" s="3512"/>
    </row>
    <row r="223" spans="1:42">
      <c r="A223" s="5057" t="s">
        <v>681</v>
      </c>
      <c r="B223" s="5058"/>
      <c r="C223" s="3518"/>
      <c r="D223" s="3533">
        <v>0</v>
      </c>
      <c r="E223" s="3518"/>
      <c r="F223" s="3557">
        <v>23682.144843874899</v>
      </c>
      <c r="G223" s="3546">
        <v>15.181888703350401</v>
      </c>
      <c r="H223" s="3557">
        <v>23666.962955171599</v>
      </c>
      <c r="I223" s="3518"/>
      <c r="J223" s="3518"/>
      <c r="K223" s="3518"/>
      <c r="L223" s="3535">
        <v>0</v>
      </c>
      <c r="M223" s="3518"/>
      <c r="N223" s="3535">
        <v>0</v>
      </c>
      <c r="O223" s="3546">
        <v>13.977279554148399</v>
      </c>
      <c r="P223" s="3518"/>
      <c r="Q223" s="3557">
        <v>23666.9625817542</v>
      </c>
      <c r="R223" s="3518"/>
      <c r="S223" s="3518"/>
      <c r="T223" s="3557">
        <v>23666.962277688999</v>
      </c>
      <c r="U223" s="3557">
        <v>23666.958621046</v>
      </c>
      <c r="V223" s="3518"/>
      <c r="W223" s="3543">
        <v>2.8088263234080299E-2</v>
      </c>
      <c r="X223" s="3518"/>
      <c r="Y223" s="3518"/>
      <c r="Z223" s="3557">
        <v>24032.3797086087</v>
      </c>
      <c r="AA223" s="3518"/>
      <c r="AB223" s="3518"/>
      <c r="AC223" s="3557">
        <v>23666.9620522812</v>
      </c>
      <c r="AD223" s="3557">
        <v>23666.9620522812</v>
      </c>
      <c r="AE223" s="3545">
        <v>0.71324694833921098</v>
      </c>
      <c r="AF223" s="3518"/>
      <c r="AG223" s="3518"/>
      <c r="AH223" s="3546">
        <v>13.977279554148399</v>
      </c>
      <c r="AI223" s="3557">
        <v>23682.144843874899</v>
      </c>
      <c r="AJ223" s="3557">
        <v>23682.144843874899</v>
      </c>
      <c r="AK223" s="3546">
        <v>20.189695833940402</v>
      </c>
      <c r="AL223" s="3546">
        <v>19.590478840650899</v>
      </c>
      <c r="AM223" s="3557">
        <v>21712.872316709399</v>
      </c>
      <c r="AN223" s="3518"/>
      <c r="AO223" s="3565">
        <v>21712.872316709399</v>
      </c>
      <c r="AP223" s="3512"/>
    </row>
    <row r="224" spans="1:42">
      <c r="A224" s="5057" t="s">
        <v>675</v>
      </c>
      <c r="B224" s="5058"/>
      <c r="C224" s="3518"/>
      <c r="D224" s="3533">
        <v>0</v>
      </c>
      <c r="E224" s="3518"/>
      <c r="F224" s="3535">
        <v>0</v>
      </c>
      <c r="G224" s="3535">
        <v>0</v>
      </c>
      <c r="H224" s="3535">
        <v>0</v>
      </c>
      <c r="I224" s="3518"/>
      <c r="J224" s="3518"/>
      <c r="K224" s="3518"/>
      <c r="L224" s="3535">
        <v>0</v>
      </c>
      <c r="M224" s="3518"/>
      <c r="N224" s="3535">
        <v>0</v>
      </c>
      <c r="O224" s="3535">
        <v>0</v>
      </c>
      <c r="P224" s="3518"/>
      <c r="Q224" s="3535">
        <v>0</v>
      </c>
      <c r="R224" s="3518"/>
      <c r="S224" s="3518"/>
      <c r="T224" s="3535">
        <v>0</v>
      </c>
      <c r="U224" s="3535">
        <v>0</v>
      </c>
      <c r="V224" s="3518"/>
      <c r="W224" s="3535">
        <v>0</v>
      </c>
      <c r="X224" s="3518"/>
      <c r="Y224" s="3518"/>
      <c r="Z224" s="3535">
        <v>0</v>
      </c>
      <c r="AA224" s="3518"/>
      <c r="AB224" s="3518"/>
      <c r="AC224" s="3535">
        <v>0</v>
      </c>
      <c r="AD224" s="3535">
        <v>0</v>
      </c>
      <c r="AE224" s="3535">
        <v>0</v>
      </c>
      <c r="AF224" s="3518"/>
      <c r="AG224" s="3518"/>
      <c r="AH224" s="3535">
        <v>0</v>
      </c>
      <c r="AI224" s="3535">
        <v>0</v>
      </c>
      <c r="AJ224" s="3535">
        <v>0</v>
      </c>
      <c r="AK224" s="3535">
        <v>0</v>
      </c>
      <c r="AL224" s="3535">
        <v>0</v>
      </c>
      <c r="AM224" s="3535">
        <v>0</v>
      </c>
      <c r="AN224" s="3518"/>
      <c r="AO224" s="3540">
        <v>0</v>
      </c>
      <c r="AP224" s="3512"/>
    </row>
    <row r="225" spans="1:42" ht="13" thickBot="1">
      <c r="A225" s="5055" t="s">
        <v>430</v>
      </c>
      <c r="B225" s="5056"/>
      <c r="C225" s="3519" t="s">
        <v>57</v>
      </c>
      <c r="D225" s="3519" t="s">
        <v>57</v>
      </c>
      <c r="E225" s="3519" t="s">
        <v>57</v>
      </c>
      <c r="F225" s="3519" t="s">
        <v>57</v>
      </c>
      <c r="G225" s="3519" t="s">
        <v>57</v>
      </c>
      <c r="H225" s="3519" t="s">
        <v>57</v>
      </c>
      <c r="I225" s="3519" t="s">
        <v>57</v>
      </c>
      <c r="J225" s="3519" t="s">
        <v>57</v>
      </c>
      <c r="K225" s="3519" t="s">
        <v>57</v>
      </c>
      <c r="L225" s="3519" t="s">
        <v>57</v>
      </c>
      <c r="M225" s="3519" t="s">
        <v>57</v>
      </c>
      <c r="N225" s="3519" t="s">
        <v>57</v>
      </c>
      <c r="O225" s="3519" t="s">
        <v>57</v>
      </c>
      <c r="P225" s="3519" t="s">
        <v>57</v>
      </c>
      <c r="Q225" s="3519" t="s">
        <v>57</v>
      </c>
      <c r="R225" s="3519" t="s">
        <v>57</v>
      </c>
      <c r="S225" s="3519" t="s">
        <v>57</v>
      </c>
      <c r="T225" s="3519" t="s">
        <v>57</v>
      </c>
      <c r="U225" s="3519" t="s">
        <v>57</v>
      </c>
      <c r="V225" s="3519" t="s">
        <v>57</v>
      </c>
      <c r="W225" s="3519" t="s">
        <v>57</v>
      </c>
      <c r="X225" s="3519" t="s">
        <v>57</v>
      </c>
      <c r="Y225" s="3519" t="s">
        <v>57</v>
      </c>
      <c r="Z225" s="3519" t="s">
        <v>57</v>
      </c>
      <c r="AA225" s="3519" t="s">
        <v>57</v>
      </c>
      <c r="AB225" s="3519" t="s">
        <v>57</v>
      </c>
      <c r="AC225" s="3519" t="s">
        <v>57</v>
      </c>
      <c r="AD225" s="3519" t="s">
        <v>57</v>
      </c>
      <c r="AE225" s="3519" t="s">
        <v>57</v>
      </c>
      <c r="AF225" s="3519" t="s">
        <v>57</v>
      </c>
      <c r="AG225" s="3519" t="s">
        <v>57</v>
      </c>
      <c r="AH225" s="3519" t="s">
        <v>57</v>
      </c>
      <c r="AI225" s="3519" t="s">
        <v>57</v>
      </c>
      <c r="AJ225" s="3519" t="s">
        <v>57</v>
      </c>
      <c r="AK225" s="3519" t="s">
        <v>57</v>
      </c>
      <c r="AL225" s="3519" t="s">
        <v>57</v>
      </c>
      <c r="AM225" s="3519" t="s">
        <v>57</v>
      </c>
      <c r="AN225" s="3519" t="s">
        <v>57</v>
      </c>
      <c r="AO225" s="3530" t="s">
        <v>57</v>
      </c>
      <c r="AP225" s="3512"/>
    </row>
    <row r="226" spans="1:42" ht="13" thickTop="1">
      <c r="A226" s="5059" t="s">
        <v>5</v>
      </c>
      <c r="B226" s="5060"/>
      <c r="C226" s="3518"/>
      <c r="D226" s="3535">
        <v>0</v>
      </c>
      <c r="E226" s="3518"/>
      <c r="F226" s="3532">
        <v>3.6103912603522698E-6</v>
      </c>
      <c r="G226" s="3535">
        <v>0</v>
      </c>
      <c r="H226" s="3532">
        <v>3.6103912603522698E-6</v>
      </c>
      <c r="I226" s="3518"/>
      <c r="J226" s="3518"/>
      <c r="K226" s="3518"/>
      <c r="L226" s="3535">
        <v>0</v>
      </c>
      <c r="M226" s="3518"/>
      <c r="N226" s="3535">
        <v>0</v>
      </c>
      <c r="O226" s="3532">
        <v>2.18198005040421E-9</v>
      </c>
      <c r="P226" s="3518"/>
      <c r="Q226" s="3537">
        <v>1.2621592851698999E-4</v>
      </c>
      <c r="R226" s="3518"/>
      <c r="S226" s="3518"/>
      <c r="T226" s="3537">
        <v>1.2591249552491599E-4</v>
      </c>
      <c r="U226" s="3537">
        <v>1.25390274136235E-4</v>
      </c>
      <c r="V226" s="3518"/>
      <c r="W226" s="3532">
        <v>2.4841476875866599E-7</v>
      </c>
      <c r="X226" s="3518"/>
      <c r="Y226" s="3518"/>
      <c r="Z226" s="3532">
        <v>5.1892990918371902E-6</v>
      </c>
      <c r="AA226" s="3518"/>
      <c r="AB226" s="3518"/>
      <c r="AC226" s="3532">
        <v>3.61303396319525E-6</v>
      </c>
      <c r="AD226" s="3532">
        <v>3.61303396319525E-6</v>
      </c>
      <c r="AE226" s="3535">
        <v>0</v>
      </c>
      <c r="AF226" s="3518"/>
      <c r="AG226" s="3518"/>
      <c r="AH226" s="3532">
        <v>2.18198005040421E-9</v>
      </c>
      <c r="AI226" s="3532">
        <v>3.6103912603522698E-6</v>
      </c>
      <c r="AJ226" s="3532">
        <v>3.6103912603522698E-6</v>
      </c>
      <c r="AK226" s="3535">
        <v>0</v>
      </c>
      <c r="AL226" s="3535">
        <v>0</v>
      </c>
      <c r="AM226" s="3535">
        <v>0</v>
      </c>
      <c r="AN226" s="3518"/>
      <c r="AO226" s="3540">
        <v>0</v>
      </c>
      <c r="AP226" s="3512"/>
    </row>
    <row r="227" spans="1:42">
      <c r="A227" s="5057" t="s">
        <v>674</v>
      </c>
      <c r="B227" s="5058"/>
      <c r="C227" s="3518"/>
      <c r="D227" s="3535">
        <v>0</v>
      </c>
      <c r="E227" s="3518"/>
      <c r="F227" s="3535">
        <v>0</v>
      </c>
      <c r="G227" s="3535">
        <v>0</v>
      </c>
      <c r="H227" s="3535">
        <v>0</v>
      </c>
      <c r="I227" s="3518"/>
      <c r="J227" s="3518"/>
      <c r="K227" s="3518"/>
      <c r="L227" s="3543">
        <v>8.3972590075536299E-2</v>
      </c>
      <c r="M227" s="3518"/>
      <c r="N227" s="3543">
        <v>1.801190068607E-2</v>
      </c>
      <c r="O227" s="3532">
        <v>2.7277472884363899E-6</v>
      </c>
      <c r="P227" s="3518"/>
      <c r="Q227" s="3537">
        <v>9.0194859594291499E-4</v>
      </c>
      <c r="R227" s="3518"/>
      <c r="S227" s="3518"/>
      <c r="T227" s="3532">
        <v>3.08330938170251E-5</v>
      </c>
      <c r="U227" s="3532">
        <v>2.1291819472168101E-6</v>
      </c>
      <c r="V227" s="3518"/>
      <c r="W227" s="3532">
        <v>5.2042575228472695E-10</v>
      </c>
      <c r="X227" s="3518"/>
      <c r="Y227" s="3518"/>
      <c r="Z227" s="3535">
        <v>0</v>
      </c>
      <c r="AA227" s="3518"/>
      <c r="AB227" s="3518"/>
      <c r="AC227" s="3535">
        <v>0</v>
      </c>
      <c r="AD227" s="3535">
        <v>0</v>
      </c>
      <c r="AE227" s="3532">
        <v>1.58962156940662E-8</v>
      </c>
      <c r="AF227" s="3518"/>
      <c r="AG227" s="3518"/>
      <c r="AH227" s="3532">
        <v>2.7277472884363899E-6</v>
      </c>
      <c r="AI227" s="3535">
        <v>0</v>
      </c>
      <c r="AJ227" s="3535">
        <v>0</v>
      </c>
      <c r="AK227" s="3532">
        <v>4.4115401537694201E-7</v>
      </c>
      <c r="AL227" s="3532">
        <v>6.9702907298115301E-6</v>
      </c>
      <c r="AM227" s="3535">
        <v>0</v>
      </c>
      <c r="AN227" s="3518"/>
      <c r="AO227" s="3540">
        <v>0</v>
      </c>
      <c r="AP227" s="3512"/>
    </row>
    <row r="228" spans="1:42">
      <c r="A228" s="5057" t="s">
        <v>3</v>
      </c>
      <c r="B228" s="5058"/>
      <c r="C228" s="3518"/>
      <c r="D228" s="3535">
        <v>0</v>
      </c>
      <c r="E228" s="3518"/>
      <c r="F228" s="3543">
        <v>5.4202470718634002E-2</v>
      </c>
      <c r="G228" s="3535">
        <v>0</v>
      </c>
      <c r="H228" s="3543">
        <v>5.4202470718634002E-2</v>
      </c>
      <c r="I228" s="3518"/>
      <c r="J228" s="3518"/>
      <c r="K228" s="3518"/>
      <c r="L228" s="3545">
        <v>0.305440024848668</v>
      </c>
      <c r="M228" s="3518"/>
      <c r="N228" s="3543">
        <v>6.4137016088183396E-2</v>
      </c>
      <c r="O228" s="3537">
        <v>3.8545521668299798E-4</v>
      </c>
      <c r="P228" s="3518"/>
      <c r="Q228" s="3544">
        <v>5.2030122462644197</v>
      </c>
      <c r="R228" s="3518"/>
      <c r="S228" s="3518"/>
      <c r="T228" s="3544">
        <v>5.1953266908626397</v>
      </c>
      <c r="U228" s="3544">
        <v>5.1560530782285197</v>
      </c>
      <c r="V228" s="3518"/>
      <c r="W228" s="3538">
        <v>3.30791020537066E-3</v>
      </c>
      <c r="X228" s="3518"/>
      <c r="Y228" s="3518"/>
      <c r="Z228" s="3545">
        <v>0.109297833366684</v>
      </c>
      <c r="AA228" s="3518"/>
      <c r="AB228" s="3518"/>
      <c r="AC228" s="3543">
        <v>5.4201603892124202E-2</v>
      </c>
      <c r="AD228" s="3543">
        <v>5.4201603892124202E-2</v>
      </c>
      <c r="AE228" s="3532">
        <v>3.6388129473906E-5</v>
      </c>
      <c r="AF228" s="3518"/>
      <c r="AG228" s="3518"/>
      <c r="AH228" s="3537">
        <v>3.8545521668299798E-4</v>
      </c>
      <c r="AI228" s="3543">
        <v>5.4202470718634002E-2</v>
      </c>
      <c r="AJ228" s="3543">
        <v>5.4202470718634002E-2</v>
      </c>
      <c r="AK228" s="3537">
        <v>9.9816723384261899E-4</v>
      </c>
      <c r="AL228" s="3537">
        <v>5.9139086284322397E-4</v>
      </c>
      <c r="AM228" s="3535">
        <v>0</v>
      </c>
      <c r="AN228" s="3518"/>
      <c r="AO228" s="3540">
        <v>0</v>
      </c>
      <c r="AP228" s="3512"/>
    </row>
    <row r="229" spans="1:42">
      <c r="A229" s="5057" t="s">
        <v>6</v>
      </c>
      <c r="B229" s="5058"/>
      <c r="C229" s="3518"/>
      <c r="D229" s="3535">
        <v>0</v>
      </c>
      <c r="E229" s="3518"/>
      <c r="F229" s="3535">
        <v>0</v>
      </c>
      <c r="G229" s="3535">
        <v>0</v>
      </c>
      <c r="H229" s="3535">
        <v>0</v>
      </c>
      <c r="I229" s="3518"/>
      <c r="J229" s="3518"/>
      <c r="K229" s="3518"/>
      <c r="L229" s="3544">
        <v>5.7081109724800001</v>
      </c>
      <c r="M229" s="3518"/>
      <c r="N229" s="3544">
        <v>1.20779247669564</v>
      </c>
      <c r="O229" s="3537">
        <v>1.8335674612501201E-4</v>
      </c>
      <c r="P229" s="3518"/>
      <c r="Q229" s="3543">
        <v>9.9404635339165798E-2</v>
      </c>
      <c r="R229" s="3518"/>
      <c r="S229" s="3518"/>
      <c r="T229" s="3538">
        <v>9.9719471764846603E-3</v>
      </c>
      <c r="U229" s="3538">
        <v>2.08162995546236E-3</v>
      </c>
      <c r="V229" s="3518"/>
      <c r="W229" s="3532">
        <v>3.2503510155692498E-7</v>
      </c>
      <c r="X229" s="3518"/>
      <c r="Y229" s="3518"/>
      <c r="Z229" s="3535">
        <v>0</v>
      </c>
      <c r="AA229" s="3518"/>
      <c r="AB229" s="3518"/>
      <c r="AC229" s="3535">
        <v>0</v>
      </c>
      <c r="AD229" s="3535">
        <v>0</v>
      </c>
      <c r="AE229" s="3532">
        <v>1.5160834849584301E-6</v>
      </c>
      <c r="AF229" s="3518"/>
      <c r="AG229" s="3518"/>
      <c r="AH229" s="3537">
        <v>1.8335674612501201E-4</v>
      </c>
      <c r="AI229" s="3535">
        <v>0</v>
      </c>
      <c r="AJ229" s="3535">
        <v>0</v>
      </c>
      <c r="AK229" s="3532">
        <v>4.3237472845053998E-5</v>
      </c>
      <c r="AL229" s="3537">
        <v>3.19792438234655E-4</v>
      </c>
      <c r="AM229" s="3535">
        <v>0</v>
      </c>
      <c r="AN229" s="3518"/>
      <c r="AO229" s="3540">
        <v>0</v>
      </c>
      <c r="AP229" s="3512"/>
    </row>
    <row r="230" spans="1:42">
      <c r="A230" s="5057" t="s">
        <v>7</v>
      </c>
      <c r="B230" s="5058"/>
      <c r="C230" s="3518"/>
      <c r="D230" s="3535">
        <v>0</v>
      </c>
      <c r="E230" s="3518"/>
      <c r="F230" s="3535">
        <v>0</v>
      </c>
      <c r="G230" s="3535">
        <v>0</v>
      </c>
      <c r="H230" s="3535">
        <v>0</v>
      </c>
      <c r="I230" s="3518"/>
      <c r="J230" s="3518"/>
      <c r="K230" s="3518"/>
      <c r="L230" s="3544">
        <v>3.2176043783356199</v>
      </c>
      <c r="M230" s="3518"/>
      <c r="N230" s="3545">
        <v>0.69763234618631498</v>
      </c>
      <c r="O230" s="3532">
        <v>2.7943068128934199E-5</v>
      </c>
      <c r="P230" s="3518"/>
      <c r="Q230" s="3543">
        <v>2.2242827045021101E-2</v>
      </c>
      <c r="R230" s="3518"/>
      <c r="S230" s="3518"/>
      <c r="T230" s="3538">
        <v>3.3332861322550901E-3</v>
      </c>
      <c r="U230" s="3537">
        <v>9.2218385503359496E-4</v>
      </c>
      <c r="V230" s="3518"/>
      <c r="W230" s="3532">
        <v>1.21104564711622E-7</v>
      </c>
      <c r="X230" s="3518"/>
      <c r="Y230" s="3518"/>
      <c r="Z230" s="3535">
        <v>0</v>
      </c>
      <c r="AA230" s="3518"/>
      <c r="AB230" s="3518"/>
      <c r="AC230" s="3535">
        <v>0</v>
      </c>
      <c r="AD230" s="3535">
        <v>0</v>
      </c>
      <c r="AE230" s="3532">
        <v>3.9762177918367902E-7</v>
      </c>
      <c r="AF230" s="3518"/>
      <c r="AG230" s="3518"/>
      <c r="AH230" s="3532">
        <v>2.7943068128934199E-5</v>
      </c>
      <c r="AI230" s="3535">
        <v>0</v>
      </c>
      <c r="AJ230" s="3535">
        <v>0</v>
      </c>
      <c r="AK230" s="3532">
        <v>1.46282618268912E-5</v>
      </c>
      <c r="AL230" s="3532">
        <v>4.2719750685583799E-5</v>
      </c>
      <c r="AM230" s="3535">
        <v>0</v>
      </c>
      <c r="AN230" s="3518"/>
      <c r="AO230" s="3540">
        <v>0</v>
      </c>
      <c r="AP230" s="3512"/>
    </row>
    <row r="231" spans="1:42">
      <c r="A231" s="5057" t="s">
        <v>8</v>
      </c>
      <c r="B231" s="5058"/>
      <c r="C231" s="3518"/>
      <c r="D231" s="3535">
        <v>0</v>
      </c>
      <c r="E231" s="3518"/>
      <c r="F231" s="3535">
        <v>0</v>
      </c>
      <c r="G231" s="3535">
        <v>0</v>
      </c>
      <c r="H231" s="3535">
        <v>0</v>
      </c>
      <c r="I231" s="3518"/>
      <c r="J231" s="3518"/>
      <c r="K231" s="3518"/>
      <c r="L231" s="3544">
        <v>3.71792475226649</v>
      </c>
      <c r="M231" s="3518"/>
      <c r="N231" s="3545">
        <v>0.86013562852173098</v>
      </c>
      <c r="O231" s="3532">
        <v>7.7006352164313493E-6</v>
      </c>
      <c r="P231" s="3518"/>
      <c r="Q231" s="3538">
        <v>6.7384722342926397E-3</v>
      </c>
      <c r="R231" s="3518"/>
      <c r="S231" s="3518"/>
      <c r="T231" s="3537">
        <v>8.4922619456142602E-4</v>
      </c>
      <c r="U231" s="3537">
        <v>2.1064937601791199E-4</v>
      </c>
      <c r="V231" s="3518"/>
      <c r="W231" s="3532">
        <v>2.3678368459106201E-8</v>
      </c>
      <c r="X231" s="3518"/>
      <c r="Y231" s="3518"/>
      <c r="Z231" s="3535">
        <v>0</v>
      </c>
      <c r="AA231" s="3518"/>
      <c r="AB231" s="3518"/>
      <c r="AC231" s="3535">
        <v>0</v>
      </c>
      <c r="AD231" s="3535">
        <v>0</v>
      </c>
      <c r="AE231" s="3532">
        <v>1.51616677914353E-7</v>
      </c>
      <c r="AF231" s="3518"/>
      <c r="AG231" s="3518"/>
      <c r="AH231" s="3532">
        <v>7.7006352164313493E-6</v>
      </c>
      <c r="AI231" s="3535">
        <v>0</v>
      </c>
      <c r="AJ231" s="3535">
        <v>0</v>
      </c>
      <c r="AK231" s="3532">
        <v>1.0128647368156699E-5</v>
      </c>
      <c r="AL231" s="3532">
        <v>1.31600811530213E-5</v>
      </c>
      <c r="AM231" s="3535">
        <v>0</v>
      </c>
      <c r="AN231" s="3518"/>
      <c r="AO231" s="3540">
        <v>0</v>
      </c>
      <c r="AP231" s="3512"/>
    </row>
    <row r="232" spans="1:42">
      <c r="A232" s="5057" t="s">
        <v>678</v>
      </c>
      <c r="B232" s="5058"/>
      <c r="C232" s="3518"/>
      <c r="D232" s="3535">
        <v>0</v>
      </c>
      <c r="E232" s="3518"/>
      <c r="F232" s="3535">
        <v>0</v>
      </c>
      <c r="G232" s="3535">
        <v>0</v>
      </c>
      <c r="H232" s="3535">
        <v>0</v>
      </c>
      <c r="I232" s="3518"/>
      <c r="J232" s="3518"/>
      <c r="K232" s="3518"/>
      <c r="L232" s="3545">
        <v>0.63015034163019101</v>
      </c>
      <c r="M232" s="3518"/>
      <c r="N232" s="3545">
        <v>0.16191203501993001</v>
      </c>
      <c r="O232" s="3532">
        <v>4.4567681348238302E-7</v>
      </c>
      <c r="P232" s="3518"/>
      <c r="Q232" s="3537">
        <v>4.8275434197313601E-4</v>
      </c>
      <c r="R232" s="3518"/>
      <c r="S232" s="3518"/>
      <c r="T232" s="3532">
        <v>4.7678315496108703E-5</v>
      </c>
      <c r="U232" s="3532">
        <v>1.1078302823669601E-5</v>
      </c>
      <c r="V232" s="3518"/>
      <c r="W232" s="3532">
        <v>8.3767919253945002E-10</v>
      </c>
      <c r="X232" s="3518"/>
      <c r="Y232" s="3518"/>
      <c r="Z232" s="3535">
        <v>0</v>
      </c>
      <c r="AA232" s="3518"/>
      <c r="AB232" s="3518"/>
      <c r="AC232" s="3535">
        <v>0</v>
      </c>
      <c r="AD232" s="3535">
        <v>0</v>
      </c>
      <c r="AE232" s="3532">
        <v>1.08791826374215E-8</v>
      </c>
      <c r="AF232" s="3518"/>
      <c r="AG232" s="3518"/>
      <c r="AH232" s="3532">
        <v>4.4567681348238302E-7</v>
      </c>
      <c r="AI232" s="3535">
        <v>0</v>
      </c>
      <c r="AJ232" s="3535">
        <v>0</v>
      </c>
      <c r="AK232" s="3532">
        <v>1.07513082421346E-6</v>
      </c>
      <c r="AL232" s="3532">
        <v>6.2765442575274505E-7</v>
      </c>
      <c r="AM232" s="3535">
        <v>0</v>
      </c>
      <c r="AN232" s="3518"/>
      <c r="AO232" s="3540">
        <v>0</v>
      </c>
      <c r="AP232" s="3512"/>
    </row>
    <row r="233" spans="1:42">
      <c r="A233" s="5057" t="s">
        <v>67</v>
      </c>
      <c r="B233" s="5058"/>
      <c r="C233" s="3518"/>
      <c r="D233" s="3535">
        <v>0</v>
      </c>
      <c r="E233" s="3518"/>
      <c r="F233" s="3535">
        <v>0</v>
      </c>
      <c r="G233" s="3535">
        <v>0</v>
      </c>
      <c r="H233" s="3535">
        <v>0</v>
      </c>
      <c r="I233" s="3518"/>
      <c r="J233" s="3518"/>
      <c r="K233" s="3518"/>
      <c r="L233" s="3544">
        <v>1.91690496335109</v>
      </c>
      <c r="M233" s="3518"/>
      <c r="N233" s="3545">
        <v>0.52961064163957805</v>
      </c>
      <c r="O233" s="3532">
        <v>1.4318151150053999E-6</v>
      </c>
      <c r="P233" s="3518"/>
      <c r="Q233" s="3538">
        <v>1.5448461216492099E-3</v>
      </c>
      <c r="R233" s="3518"/>
      <c r="S233" s="3518"/>
      <c r="T233" s="3537">
        <v>2.1655693789576701E-4</v>
      </c>
      <c r="U233" s="3532">
        <v>5.5648442697108402E-5</v>
      </c>
      <c r="V233" s="3518"/>
      <c r="W233" s="3532">
        <v>5.73257963915763E-9</v>
      </c>
      <c r="X233" s="3518"/>
      <c r="Y233" s="3518"/>
      <c r="Z233" s="3535">
        <v>0</v>
      </c>
      <c r="AA233" s="3518"/>
      <c r="AB233" s="3518"/>
      <c r="AC233" s="3535">
        <v>0</v>
      </c>
      <c r="AD233" s="3535">
        <v>0</v>
      </c>
      <c r="AE233" s="3532">
        <v>4.1156208196076998E-8</v>
      </c>
      <c r="AF233" s="3518"/>
      <c r="AG233" s="3518"/>
      <c r="AH233" s="3532">
        <v>1.4318151150053999E-6</v>
      </c>
      <c r="AI233" s="3535">
        <v>0</v>
      </c>
      <c r="AJ233" s="3535">
        <v>0</v>
      </c>
      <c r="AK233" s="3532">
        <v>1.2275828685856299E-6</v>
      </c>
      <c r="AL233" s="3532">
        <v>2.2814648569985401E-6</v>
      </c>
      <c r="AM233" s="3535">
        <v>0</v>
      </c>
      <c r="AN233" s="3518"/>
      <c r="AO233" s="3540">
        <v>0</v>
      </c>
      <c r="AP233" s="3512"/>
    </row>
    <row r="234" spans="1:42">
      <c r="A234" s="5057" t="s">
        <v>679</v>
      </c>
      <c r="B234" s="5058"/>
      <c r="C234" s="3518"/>
      <c r="D234" s="3535">
        <v>0</v>
      </c>
      <c r="E234" s="3518"/>
      <c r="F234" s="3535">
        <v>0</v>
      </c>
      <c r="G234" s="3535">
        <v>0</v>
      </c>
      <c r="H234" s="3535">
        <v>0</v>
      </c>
      <c r="I234" s="3518"/>
      <c r="J234" s="3518"/>
      <c r="K234" s="3518"/>
      <c r="L234" s="3545">
        <v>0.498594014894579</v>
      </c>
      <c r="M234" s="3518"/>
      <c r="N234" s="3545">
        <v>0.160187028833393</v>
      </c>
      <c r="O234" s="3532">
        <v>1.11314197545674E-7</v>
      </c>
      <c r="P234" s="3518"/>
      <c r="Q234" s="3537">
        <v>1.33247820819093E-4</v>
      </c>
      <c r="R234" s="3518"/>
      <c r="S234" s="3518"/>
      <c r="T234" s="3532">
        <v>1.0645448937441899E-5</v>
      </c>
      <c r="U234" s="3532">
        <v>1.1737352410679099E-6</v>
      </c>
      <c r="V234" s="3518"/>
      <c r="W234" s="3532">
        <v>1.42033239069657E-10</v>
      </c>
      <c r="X234" s="3518"/>
      <c r="Y234" s="3518"/>
      <c r="Z234" s="3535">
        <v>0</v>
      </c>
      <c r="AA234" s="3518"/>
      <c r="AB234" s="3518"/>
      <c r="AC234" s="3535">
        <v>0</v>
      </c>
      <c r="AD234" s="3535">
        <v>0</v>
      </c>
      <c r="AE234" s="3532">
        <v>3.8882209334570403E-9</v>
      </c>
      <c r="AF234" s="3518"/>
      <c r="AG234" s="3518"/>
      <c r="AH234" s="3532">
        <v>1.11314197545674E-7</v>
      </c>
      <c r="AI234" s="3535">
        <v>0</v>
      </c>
      <c r="AJ234" s="3535">
        <v>0</v>
      </c>
      <c r="AK234" s="3532">
        <v>2.45761875653225E-7</v>
      </c>
      <c r="AL234" s="3532">
        <v>1.5843991249657201E-7</v>
      </c>
      <c r="AM234" s="3535">
        <v>0</v>
      </c>
      <c r="AN234" s="3518"/>
      <c r="AO234" s="3540">
        <v>0</v>
      </c>
      <c r="AP234" s="3512"/>
    </row>
    <row r="235" spans="1:42">
      <c r="A235" s="5057" t="s">
        <v>69</v>
      </c>
      <c r="B235" s="5058"/>
      <c r="C235" s="3518"/>
      <c r="D235" s="3535">
        <v>0</v>
      </c>
      <c r="E235" s="3518"/>
      <c r="F235" s="3535">
        <v>0</v>
      </c>
      <c r="G235" s="3535">
        <v>0</v>
      </c>
      <c r="H235" s="3535">
        <v>0</v>
      </c>
      <c r="I235" s="3518"/>
      <c r="J235" s="3518"/>
      <c r="K235" s="3518"/>
      <c r="L235" s="3545">
        <v>0.569888518117038</v>
      </c>
      <c r="M235" s="3518"/>
      <c r="N235" s="3545">
        <v>0.19544069002473399</v>
      </c>
      <c r="O235" s="3532">
        <v>1.3939317911810601E-7</v>
      </c>
      <c r="P235" s="3518"/>
      <c r="Q235" s="3537">
        <v>1.69992472188955E-4</v>
      </c>
      <c r="R235" s="3518"/>
      <c r="S235" s="3518"/>
      <c r="T235" s="3532">
        <v>1.6824572160125898E-5</v>
      </c>
      <c r="U235" s="3532">
        <v>2.6121180593959802E-6</v>
      </c>
      <c r="V235" s="3518"/>
      <c r="W235" s="3532">
        <v>2.7710194924361303E-10</v>
      </c>
      <c r="X235" s="3518"/>
      <c r="Y235" s="3518"/>
      <c r="Z235" s="3535">
        <v>0</v>
      </c>
      <c r="AA235" s="3518"/>
      <c r="AB235" s="3518"/>
      <c r="AC235" s="3535">
        <v>0</v>
      </c>
      <c r="AD235" s="3535">
        <v>0</v>
      </c>
      <c r="AE235" s="3532">
        <v>5.1533777511646996E-9</v>
      </c>
      <c r="AF235" s="3518"/>
      <c r="AG235" s="3518"/>
      <c r="AH235" s="3532">
        <v>1.3939317911810601E-7</v>
      </c>
      <c r="AI235" s="3535">
        <v>0</v>
      </c>
      <c r="AJ235" s="3535">
        <v>0</v>
      </c>
      <c r="AK235" s="3532">
        <v>4.0572454983466202E-7</v>
      </c>
      <c r="AL235" s="3532">
        <v>2.0711620160241399E-7</v>
      </c>
      <c r="AM235" s="3535">
        <v>0</v>
      </c>
      <c r="AN235" s="3518"/>
      <c r="AO235" s="3540">
        <v>0</v>
      </c>
      <c r="AP235" s="3512"/>
    </row>
    <row r="236" spans="1:42">
      <c r="A236" s="5057" t="s">
        <v>10</v>
      </c>
      <c r="B236" s="5058"/>
      <c r="C236" s="3518"/>
      <c r="D236" s="3535">
        <v>0</v>
      </c>
      <c r="E236" s="3518"/>
      <c r="F236" s="3535">
        <v>0</v>
      </c>
      <c r="G236" s="3535">
        <v>0</v>
      </c>
      <c r="H236" s="3535">
        <v>0</v>
      </c>
      <c r="I236" s="3518"/>
      <c r="J236" s="3518"/>
      <c r="K236" s="3518"/>
      <c r="L236" s="3545">
        <v>0.91556011890750999</v>
      </c>
      <c r="M236" s="3518"/>
      <c r="N236" s="3545">
        <v>0.43612229933968799</v>
      </c>
      <c r="O236" s="3532">
        <v>1.00789984057118E-7</v>
      </c>
      <c r="P236" s="3518"/>
      <c r="Q236" s="3537">
        <v>1.70658301126322E-4</v>
      </c>
      <c r="R236" s="3518"/>
      <c r="S236" s="3518"/>
      <c r="T236" s="3532">
        <v>1.3289594363807501E-5</v>
      </c>
      <c r="U236" s="3532">
        <v>1.7846353096974301E-6</v>
      </c>
      <c r="V236" s="3518"/>
      <c r="W236" s="3532">
        <v>1.2374918401035E-10</v>
      </c>
      <c r="X236" s="3518"/>
      <c r="Y236" s="3518"/>
      <c r="Z236" s="3535">
        <v>0</v>
      </c>
      <c r="AA236" s="3518"/>
      <c r="AB236" s="3518"/>
      <c r="AC236" s="3535">
        <v>0</v>
      </c>
      <c r="AD236" s="3535">
        <v>0</v>
      </c>
      <c r="AE236" s="3532">
        <v>4.38863182459457E-9</v>
      </c>
      <c r="AF236" s="3518"/>
      <c r="AG236" s="3518"/>
      <c r="AH236" s="3532">
        <v>1.00789984057118E-7</v>
      </c>
      <c r="AI236" s="3535">
        <v>0</v>
      </c>
      <c r="AJ236" s="3535">
        <v>0</v>
      </c>
      <c r="AK236" s="3532">
        <v>1.03809179929827E-6</v>
      </c>
      <c r="AL236" s="3532">
        <v>1.0792670595937501E-7</v>
      </c>
      <c r="AM236" s="3535">
        <v>0</v>
      </c>
      <c r="AN236" s="3518"/>
      <c r="AO236" s="3540">
        <v>0</v>
      </c>
      <c r="AP236" s="3512"/>
    </row>
    <row r="237" spans="1:42">
      <c r="A237" s="5057" t="s">
        <v>298</v>
      </c>
      <c r="B237" s="5058"/>
      <c r="C237" s="3518"/>
      <c r="D237" s="3546">
        <v>23.6597143733709</v>
      </c>
      <c r="E237" s="3518"/>
      <c r="F237" s="3546">
        <v>74.695678024567798</v>
      </c>
      <c r="G237" s="3544">
        <v>1.0912902330038701</v>
      </c>
      <c r="H237" s="3546">
        <v>73.604387791563994</v>
      </c>
      <c r="I237" s="3518"/>
      <c r="J237" s="3518"/>
      <c r="K237" s="3518"/>
      <c r="L237" s="3538">
        <v>2.8070037188293998E-3</v>
      </c>
      <c r="M237" s="3518"/>
      <c r="N237" s="3538">
        <v>1.7122104166285E-3</v>
      </c>
      <c r="O237" s="3545">
        <v>0.24034801335593201</v>
      </c>
      <c r="P237" s="3518"/>
      <c r="Q237" s="3546">
        <v>73.972451024156697</v>
      </c>
      <c r="R237" s="3518"/>
      <c r="S237" s="3518"/>
      <c r="T237" s="3546">
        <v>73.969121596167298</v>
      </c>
      <c r="U237" s="3546">
        <v>73.960380427910707</v>
      </c>
      <c r="V237" s="3518"/>
      <c r="W237" s="3544">
        <v>5.6250399136244198</v>
      </c>
      <c r="X237" s="3518"/>
      <c r="Y237" s="3518"/>
      <c r="Z237" s="3546">
        <v>96.049256324459506</v>
      </c>
      <c r="AA237" s="3518"/>
      <c r="AB237" s="3518"/>
      <c r="AC237" s="3546">
        <v>73.604373519145597</v>
      </c>
      <c r="AD237" s="3546">
        <v>73.604373519145597</v>
      </c>
      <c r="AE237" s="3537">
        <v>9.7385865040433605E-4</v>
      </c>
      <c r="AF237" s="3518"/>
      <c r="AG237" s="3518"/>
      <c r="AH237" s="3545">
        <v>0.24034801335593201</v>
      </c>
      <c r="AI237" s="3546">
        <v>74.695678024567798</v>
      </c>
      <c r="AJ237" s="3546">
        <v>74.695678024567798</v>
      </c>
      <c r="AK237" s="3545">
        <v>0.39799477206150002</v>
      </c>
      <c r="AL237" s="3545">
        <v>0.32720871974515597</v>
      </c>
      <c r="AM237" s="3546">
        <v>68.6058169389444</v>
      </c>
      <c r="AN237" s="3518"/>
      <c r="AO237" s="3552">
        <v>68.6058169389444</v>
      </c>
      <c r="AP237" s="3512"/>
    </row>
    <row r="238" spans="1:42">
      <c r="A238" s="5057" t="s">
        <v>680</v>
      </c>
      <c r="B238" s="5058"/>
      <c r="C238" s="3518"/>
      <c r="D238" s="3535">
        <v>0</v>
      </c>
      <c r="E238" s="3518"/>
      <c r="F238" s="3544">
        <v>9.5026867148798093</v>
      </c>
      <c r="G238" s="3537">
        <v>4.6036797616642102E-4</v>
      </c>
      <c r="H238" s="3544">
        <v>9.5022263469036403</v>
      </c>
      <c r="I238" s="3518"/>
      <c r="J238" s="3518"/>
      <c r="K238" s="3518"/>
      <c r="L238" s="3535">
        <v>0</v>
      </c>
      <c r="M238" s="3518"/>
      <c r="N238" s="3535">
        <v>0</v>
      </c>
      <c r="O238" s="3537">
        <v>4.5645285379004798E-4</v>
      </c>
      <c r="P238" s="3518"/>
      <c r="Q238" s="3544">
        <v>9.5022264438721606</v>
      </c>
      <c r="R238" s="3518"/>
      <c r="S238" s="3518"/>
      <c r="T238" s="3544">
        <v>9.5022261972339894</v>
      </c>
      <c r="U238" s="3544">
        <v>9.5022239048394592</v>
      </c>
      <c r="V238" s="3518"/>
      <c r="W238" s="3532">
        <v>1.78990493290969E-6</v>
      </c>
      <c r="X238" s="3518"/>
      <c r="Y238" s="3518"/>
      <c r="Z238" s="3544">
        <v>9.5165537753714204</v>
      </c>
      <c r="AA238" s="3518"/>
      <c r="AB238" s="3518"/>
      <c r="AC238" s="3544">
        <v>9.5022261968928294</v>
      </c>
      <c r="AD238" s="3544">
        <v>9.5022261968928294</v>
      </c>
      <c r="AE238" s="3537">
        <v>1.24074552979206E-4</v>
      </c>
      <c r="AF238" s="3518"/>
      <c r="AG238" s="3518"/>
      <c r="AH238" s="3537">
        <v>4.5645285379004798E-4</v>
      </c>
      <c r="AI238" s="3544">
        <v>9.5026867148798093</v>
      </c>
      <c r="AJ238" s="3544">
        <v>9.5026867148798093</v>
      </c>
      <c r="AK238" s="3537">
        <v>3.9855246954262E-4</v>
      </c>
      <c r="AL238" s="3537">
        <v>3.97117955428974E-4</v>
      </c>
      <c r="AM238" s="3544">
        <v>8.7124973124738201</v>
      </c>
      <c r="AN238" s="3518"/>
      <c r="AO238" s="3553">
        <v>8.7124973124738201</v>
      </c>
      <c r="AP238" s="3512"/>
    </row>
    <row r="239" spans="1:42">
      <c r="A239" s="5057" t="s">
        <v>681</v>
      </c>
      <c r="B239" s="5058"/>
      <c r="C239" s="3518"/>
      <c r="D239" s="3535">
        <v>0</v>
      </c>
      <c r="E239" s="3518"/>
      <c r="F239" s="3544">
        <v>2.5040500811888999</v>
      </c>
      <c r="G239" s="3538">
        <v>1.60526885933889E-3</v>
      </c>
      <c r="H239" s="3544">
        <v>2.5024448123295602</v>
      </c>
      <c r="I239" s="3518"/>
      <c r="J239" s="3518"/>
      <c r="K239" s="3518"/>
      <c r="L239" s="3535">
        <v>0</v>
      </c>
      <c r="M239" s="3518"/>
      <c r="N239" s="3535">
        <v>0</v>
      </c>
      <c r="O239" s="3538">
        <v>1.47789857012962E-3</v>
      </c>
      <c r="P239" s="3518"/>
      <c r="Q239" s="3544">
        <v>2.5024447728459802</v>
      </c>
      <c r="R239" s="3518"/>
      <c r="S239" s="3518"/>
      <c r="T239" s="3544">
        <v>2.50244474069541</v>
      </c>
      <c r="U239" s="3544">
        <v>2.5024443540574102</v>
      </c>
      <c r="V239" s="3518"/>
      <c r="W239" s="3532">
        <v>2.96993445042394E-6</v>
      </c>
      <c r="X239" s="3518"/>
      <c r="Y239" s="3518"/>
      <c r="Z239" s="3544">
        <v>2.5410824381503798</v>
      </c>
      <c r="AA239" s="3518"/>
      <c r="AB239" s="3518"/>
      <c r="AC239" s="3544">
        <v>2.5024447168617399</v>
      </c>
      <c r="AD239" s="3544">
        <v>2.5024447168617399</v>
      </c>
      <c r="AE239" s="3532">
        <v>7.5415723139556003E-5</v>
      </c>
      <c r="AF239" s="3518"/>
      <c r="AG239" s="3518"/>
      <c r="AH239" s="3538">
        <v>1.47789857012962E-3</v>
      </c>
      <c r="AI239" s="3544">
        <v>2.5040500811888999</v>
      </c>
      <c r="AJ239" s="3544">
        <v>2.5040500811888999</v>
      </c>
      <c r="AK239" s="3538">
        <v>2.1347732574667198E-3</v>
      </c>
      <c r="AL239" s="3538">
        <v>2.0714145806835101E-3</v>
      </c>
      <c r="AM239" s="3544">
        <v>2.2958275124967198</v>
      </c>
      <c r="AN239" s="3518"/>
      <c r="AO239" s="3553">
        <v>2.2958275124967198</v>
      </c>
      <c r="AP239" s="3512"/>
    </row>
    <row r="240" spans="1:42" ht="13" thickBot="1">
      <c r="A240" s="5063" t="s">
        <v>675</v>
      </c>
      <c r="B240" s="5064"/>
      <c r="C240" s="3587"/>
      <c r="D240" s="3568">
        <v>0</v>
      </c>
      <c r="E240" s="3587"/>
      <c r="F240" s="3568">
        <v>0</v>
      </c>
      <c r="G240" s="3568">
        <v>0</v>
      </c>
      <c r="H240" s="3568">
        <v>0</v>
      </c>
      <c r="I240" s="3587"/>
      <c r="J240" s="3587"/>
      <c r="K240" s="3587"/>
      <c r="L240" s="3568">
        <v>0</v>
      </c>
      <c r="M240" s="3587"/>
      <c r="N240" s="3568">
        <v>0</v>
      </c>
      <c r="O240" s="3568">
        <v>0</v>
      </c>
      <c r="P240" s="3587"/>
      <c r="Q240" s="3568">
        <v>0</v>
      </c>
      <c r="R240" s="3587"/>
      <c r="S240" s="3587"/>
      <c r="T240" s="3568">
        <v>0</v>
      </c>
      <c r="U240" s="3568">
        <v>0</v>
      </c>
      <c r="V240" s="3587"/>
      <c r="W240" s="3568">
        <v>0</v>
      </c>
      <c r="X240" s="3587"/>
      <c r="Y240" s="3587"/>
      <c r="Z240" s="3568">
        <v>0</v>
      </c>
      <c r="AA240" s="3587"/>
      <c r="AB240" s="3587"/>
      <c r="AC240" s="3568">
        <v>0</v>
      </c>
      <c r="AD240" s="3568">
        <v>0</v>
      </c>
      <c r="AE240" s="3568">
        <v>0</v>
      </c>
      <c r="AF240" s="3587"/>
      <c r="AG240" s="3587"/>
      <c r="AH240" s="3568">
        <v>0</v>
      </c>
      <c r="AI240" s="3568">
        <v>0</v>
      </c>
      <c r="AJ240" s="3568">
        <v>0</v>
      </c>
      <c r="AK240" s="3568">
        <v>0</v>
      </c>
      <c r="AL240" s="3568">
        <v>0</v>
      </c>
      <c r="AM240" s="3568">
        <v>0</v>
      </c>
      <c r="AN240" s="3587"/>
      <c r="AO240" s="3571">
        <v>0</v>
      </c>
      <c r="AP240" s="3512"/>
    </row>
    <row r="241" spans="1:42" ht="13" thickTop="1">
      <c r="A241" s="3512"/>
      <c r="B241" s="3512"/>
      <c r="C241" s="3512"/>
      <c r="D241" s="3512"/>
      <c r="E241" s="3512"/>
      <c r="F241" s="3512"/>
      <c r="G241" s="3512"/>
      <c r="H241" s="3512"/>
      <c r="I241" s="3512"/>
      <c r="J241" s="3512"/>
      <c r="K241" s="3512"/>
      <c r="L241" s="3512"/>
      <c r="M241" s="3512"/>
      <c r="N241" s="3512"/>
      <c r="O241" s="3512"/>
      <c r="P241" s="3512"/>
      <c r="Q241" s="3512"/>
      <c r="R241" s="3512"/>
      <c r="S241" s="3512"/>
      <c r="T241" s="3512"/>
      <c r="U241" s="3512"/>
      <c r="V241" s="3512"/>
      <c r="W241" s="3512"/>
      <c r="X241" s="3512"/>
      <c r="Y241" s="3512"/>
      <c r="Z241" s="3512"/>
      <c r="AA241" s="3512"/>
      <c r="AB241" s="3512"/>
      <c r="AC241" s="3512"/>
      <c r="AD241" s="3512"/>
      <c r="AE241" s="3512"/>
      <c r="AF241" s="3512"/>
      <c r="AG241" s="3512"/>
      <c r="AH241" s="3512"/>
      <c r="AI241" s="3512"/>
      <c r="AJ241" s="3512"/>
      <c r="AK241" s="3512"/>
      <c r="AL241" s="3512"/>
      <c r="AM241" s="3512"/>
      <c r="AN241" s="3512"/>
      <c r="AO241" s="3512"/>
      <c r="AP241" s="3512"/>
    </row>
    <row r="242" spans="1:42" ht="13" thickBot="1">
      <c r="A242" s="3512"/>
      <c r="B242" s="3512"/>
      <c r="C242" s="3512"/>
      <c r="D242" s="3512"/>
      <c r="E242" s="3512"/>
      <c r="F242" s="3512"/>
      <c r="G242" s="3512"/>
      <c r="H242" s="3512"/>
      <c r="I242" s="3512"/>
      <c r="J242" s="3512"/>
      <c r="K242" s="3512"/>
      <c r="L242" s="3512"/>
      <c r="M242" s="3512"/>
      <c r="N242" s="3512"/>
      <c r="O242" s="3512"/>
      <c r="P242" s="3512"/>
      <c r="Q242" s="3512"/>
      <c r="R242" s="3512"/>
      <c r="S242" s="3512"/>
      <c r="T242" s="3512"/>
      <c r="U242" s="3512"/>
      <c r="V242" s="3512"/>
      <c r="W242" s="3512"/>
      <c r="X242" s="3512"/>
      <c r="Y242" s="3512"/>
      <c r="Z242" s="3512"/>
      <c r="AA242" s="3512"/>
      <c r="AB242" s="3512"/>
      <c r="AC242" s="3512"/>
      <c r="AD242" s="3512"/>
      <c r="AE242" s="3512"/>
      <c r="AF242" s="3512"/>
      <c r="AG242" s="3512"/>
      <c r="AH242" s="3512"/>
      <c r="AI242" s="3512"/>
      <c r="AJ242" s="3512"/>
      <c r="AK242" s="3512"/>
      <c r="AL242" s="3512"/>
      <c r="AM242" s="3512"/>
      <c r="AN242" s="3512"/>
      <c r="AO242" s="3512"/>
      <c r="AP242" s="3512"/>
    </row>
    <row r="243" spans="1:42" ht="14" thickTop="1" thickBot="1">
      <c r="A243" s="3520" t="s">
        <v>389</v>
      </c>
      <c r="B243" s="3521"/>
      <c r="C243" s="3522" t="s">
        <v>707</v>
      </c>
      <c r="D243" s="3522" t="s">
        <v>561</v>
      </c>
      <c r="E243" s="3522" t="s">
        <v>708</v>
      </c>
      <c r="F243" s="3522" t="s">
        <v>709</v>
      </c>
      <c r="G243" s="3522" t="s">
        <v>710</v>
      </c>
      <c r="H243" s="3522" t="s">
        <v>711</v>
      </c>
      <c r="I243" s="3522" t="s">
        <v>712</v>
      </c>
      <c r="J243" s="3522" t="s">
        <v>713</v>
      </c>
      <c r="K243" s="3522" t="s">
        <v>390</v>
      </c>
      <c r="L243" s="3522" t="s">
        <v>391</v>
      </c>
      <c r="M243" s="3522" t="s">
        <v>392</v>
      </c>
      <c r="N243" s="3522" t="s">
        <v>393</v>
      </c>
      <c r="O243" s="3522" t="s">
        <v>714</v>
      </c>
      <c r="P243" s="3522" t="s">
        <v>394</v>
      </c>
      <c r="Q243" s="3522" t="s">
        <v>715</v>
      </c>
      <c r="R243" s="3522" t="s">
        <v>395</v>
      </c>
      <c r="S243" s="3522" t="s">
        <v>716</v>
      </c>
      <c r="T243" s="3522" t="s">
        <v>396</v>
      </c>
      <c r="U243" s="3522" t="s">
        <v>397</v>
      </c>
      <c r="V243" s="3522" t="s">
        <v>398</v>
      </c>
      <c r="W243" s="3522" t="s">
        <v>399</v>
      </c>
      <c r="X243" s="3522" t="s">
        <v>400</v>
      </c>
      <c r="Y243" s="3522" t="s">
        <v>717</v>
      </c>
      <c r="Z243" s="3522" t="s">
        <v>401</v>
      </c>
      <c r="AA243" s="3522" t="s">
        <v>402</v>
      </c>
      <c r="AB243" s="3522" t="s">
        <v>403</v>
      </c>
      <c r="AC243" s="3522" t="s">
        <v>718</v>
      </c>
      <c r="AD243" s="3522" t="s">
        <v>404</v>
      </c>
      <c r="AE243" s="3522" t="s">
        <v>405</v>
      </c>
      <c r="AF243" s="3522" t="s">
        <v>406</v>
      </c>
      <c r="AG243" s="3522" t="s">
        <v>407</v>
      </c>
      <c r="AH243" s="3522" t="s">
        <v>408</v>
      </c>
      <c r="AI243" s="3522" t="s">
        <v>409</v>
      </c>
      <c r="AJ243" s="3522" t="s">
        <v>410</v>
      </c>
      <c r="AK243" s="3522" t="s">
        <v>411</v>
      </c>
      <c r="AL243" s="3522" t="s">
        <v>412</v>
      </c>
      <c r="AM243" s="3522" t="s">
        <v>439</v>
      </c>
      <c r="AN243" s="3522" t="s">
        <v>440</v>
      </c>
      <c r="AO243" s="3523" t="s">
        <v>441</v>
      </c>
      <c r="AP243" s="3512"/>
    </row>
    <row r="244" spans="1:42" ht="13">
      <c r="A244" s="3524" t="s">
        <v>427</v>
      </c>
      <c r="B244" s="3513" t="s">
        <v>413</v>
      </c>
      <c r="C244" s="3514" t="s">
        <v>414</v>
      </c>
      <c r="D244" s="3514" t="s">
        <v>414</v>
      </c>
      <c r="E244" s="3514" t="s">
        <v>414</v>
      </c>
      <c r="F244" s="3514" t="s">
        <v>414</v>
      </c>
      <c r="G244" s="3514" t="s">
        <v>414</v>
      </c>
      <c r="H244" s="3514" t="s">
        <v>414</v>
      </c>
      <c r="I244" s="3514" t="s">
        <v>414</v>
      </c>
      <c r="J244" s="3514" t="s">
        <v>414</v>
      </c>
      <c r="K244" s="3514" t="s">
        <v>414</v>
      </c>
      <c r="L244" s="3514" t="s">
        <v>414</v>
      </c>
      <c r="M244" s="3514" t="s">
        <v>414</v>
      </c>
      <c r="N244" s="3514" t="s">
        <v>414</v>
      </c>
      <c r="O244" s="3514" t="s">
        <v>414</v>
      </c>
      <c r="P244" s="3514" t="s">
        <v>414</v>
      </c>
      <c r="Q244" s="3514" t="s">
        <v>414</v>
      </c>
      <c r="R244" s="3514" t="s">
        <v>414</v>
      </c>
      <c r="S244" s="3514" t="s">
        <v>414</v>
      </c>
      <c r="T244" s="3514" t="s">
        <v>414</v>
      </c>
      <c r="U244" s="3514" t="s">
        <v>414</v>
      </c>
      <c r="V244" s="3514" t="s">
        <v>414</v>
      </c>
      <c r="W244" s="3514" t="s">
        <v>414</v>
      </c>
      <c r="X244" s="3514" t="s">
        <v>414</v>
      </c>
      <c r="Y244" s="3514" t="s">
        <v>414</v>
      </c>
      <c r="Z244" s="3514" t="s">
        <v>414</v>
      </c>
      <c r="AA244" s="3514" t="s">
        <v>414</v>
      </c>
      <c r="AB244" s="3514" t="s">
        <v>414</v>
      </c>
      <c r="AC244" s="3514" t="s">
        <v>414</v>
      </c>
      <c r="AD244" s="3514" t="s">
        <v>414</v>
      </c>
      <c r="AE244" s="3514" t="s">
        <v>414</v>
      </c>
      <c r="AF244" s="3514" t="s">
        <v>414</v>
      </c>
      <c r="AG244" s="3514" t="s">
        <v>414</v>
      </c>
      <c r="AH244" s="3514" t="s">
        <v>414</v>
      </c>
      <c r="AI244" s="3514" t="s">
        <v>414</v>
      </c>
      <c r="AJ244" s="3514" t="s">
        <v>414</v>
      </c>
      <c r="AK244" s="3514" t="s">
        <v>414</v>
      </c>
      <c r="AL244" s="3514" t="s">
        <v>414</v>
      </c>
      <c r="AM244" s="3514" t="s">
        <v>414</v>
      </c>
      <c r="AN244" s="3514" t="s">
        <v>414</v>
      </c>
      <c r="AO244" s="3525" t="s">
        <v>414</v>
      </c>
      <c r="AP244" s="3512"/>
    </row>
    <row r="245" spans="1:42" ht="13">
      <c r="A245" s="3526" t="s">
        <v>436</v>
      </c>
      <c r="B245" s="3515" t="s">
        <v>416</v>
      </c>
      <c r="C245" s="3515" t="s">
        <v>719</v>
      </c>
      <c r="D245" s="3515" t="s">
        <v>720</v>
      </c>
      <c r="E245" s="3515" t="s">
        <v>445</v>
      </c>
      <c r="F245" s="3515" t="s">
        <v>719</v>
      </c>
      <c r="G245" s="3515" t="s">
        <v>445</v>
      </c>
      <c r="H245" s="3515" t="s">
        <v>721</v>
      </c>
      <c r="I245" s="3515" t="s">
        <v>442</v>
      </c>
      <c r="J245" s="3515" t="s">
        <v>445</v>
      </c>
      <c r="K245" s="3515" t="s">
        <v>722</v>
      </c>
      <c r="L245" s="3515" t="s">
        <v>445</v>
      </c>
      <c r="M245" s="3515" t="s">
        <v>445</v>
      </c>
      <c r="N245" s="3515" t="s">
        <v>444</v>
      </c>
      <c r="O245" s="3515" t="s">
        <v>442</v>
      </c>
      <c r="P245" s="3515" t="s">
        <v>446</v>
      </c>
      <c r="Q245" s="3515" t="s">
        <v>722</v>
      </c>
      <c r="R245" s="3515" t="s">
        <v>445</v>
      </c>
      <c r="S245" s="3515" t="s">
        <v>723</v>
      </c>
      <c r="T245" s="3515" t="s">
        <v>723</v>
      </c>
      <c r="U245" s="3515" t="s">
        <v>724</v>
      </c>
      <c r="V245" s="3515" t="s">
        <v>725</v>
      </c>
      <c r="W245" s="3515" t="s">
        <v>726</v>
      </c>
      <c r="X245" s="3515" t="s">
        <v>443</v>
      </c>
      <c r="Y245" s="3515" t="s">
        <v>726</v>
      </c>
      <c r="Z245" s="3515" t="s">
        <v>725</v>
      </c>
      <c r="AA245" s="3515" t="s">
        <v>291</v>
      </c>
      <c r="AB245" s="3515" t="s">
        <v>445</v>
      </c>
      <c r="AC245" s="3515" t="s">
        <v>291</v>
      </c>
      <c r="AD245" s="3515" t="s">
        <v>724</v>
      </c>
      <c r="AE245" s="3515" t="s">
        <v>443</v>
      </c>
      <c r="AF245" s="3515" t="s">
        <v>420</v>
      </c>
      <c r="AG245" s="3515" t="s">
        <v>420</v>
      </c>
      <c r="AH245" s="3515" t="s">
        <v>418</v>
      </c>
      <c r="AI245" s="3515" t="s">
        <v>727</v>
      </c>
      <c r="AJ245" s="3515" t="s">
        <v>728</v>
      </c>
      <c r="AK245" s="3515" t="s">
        <v>417</v>
      </c>
      <c r="AL245" s="3515" t="s">
        <v>445</v>
      </c>
      <c r="AM245" s="3515" t="s">
        <v>445</v>
      </c>
      <c r="AN245" s="3515" t="s">
        <v>729</v>
      </c>
      <c r="AO245" s="3527" t="s">
        <v>729</v>
      </c>
      <c r="AP245" s="3512"/>
    </row>
    <row r="246" spans="1:42">
      <c r="A246" s="3575"/>
      <c r="B246" s="3516" t="s">
        <v>421</v>
      </c>
      <c r="C246" s="3516" t="s">
        <v>445</v>
      </c>
      <c r="D246" s="3516" t="s">
        <v>445</v>
      </c>
      <c r="E246" s="3516" t="s">
        <v>445</v>
      </c>
      <c r="F246" s="3516" t="s">
        <v>727</v>
      </c>
      <c r="G246" s="3516" t="s">
        <v>719</v>
      </c>
      <c r="H246" s="3516" t="s">
        <v>719</v>
      </c>
      <c r="I246" s="3516" t="s">
        <v>722</v>
      </c>
      <c r="J246" s="3516" t="s">
        <v>720</v>
      </c>
      <c r="K246" s="3516" t="s">
        <v>446</v>
      </c>
      <c r="L246" s="3516" t="s">
        <v>444</v>
      </c>
      <c r="M246" s="3516" t="s">
        <v>420</v>
      </c>
      <c r="N246" s="3516" t="s">
        <v>445</v>
      </c>
      <c r="O246" s="3516" t="s">
        <v>418</v>
      </c>
      <c r="P246" s="3516" t="s">
        <v>442</v>
      </c>
      <c r="Q246" s="3516" t="s">
        <v>723</v>
      </c>
      <c r="R246" s="3516" t="s">
        <v>443</v>
      </c>
      <c r="S246" s="3516" t="s">
        <v>445</v>
      </c>
      <c r="T246" s="3516" t="s">
        <v>724</v>
      </c>
      <c r="U246" s="3516" t="s">
        <v>725</v>
      </c>
      <c r="V246" s="3516" t="s">
        <v>726</v>
      </c>
      <c r="W246" s="3516" t="s">
        <v>725</v>
      </c>
      <c r="X246" s="3516" t="s">
        <v>445</v>
      </c>
      <c r="Y246" s="3516" t="s">
        <v>445</v>
      </c>
      <c r="Z246" s="3516" t="s">
        <v>291</v>
      </c>
      <c r="AA246" s="3516" t="s">
        <v>725</v>
      </c>
      <c r="AB246" s="3516" t="s">
        <v>443</v>
      </c>
      <c r="AC246" s="3516" t="s">
        <v>724</v>
      </c>
      <c r="AD246" s="3516" t="s">
        <v>721</v>
      </c>
      <c r="AE246" s="3516" t="s">
        <v>445</v>
      </c>
      <c r="AF246" s="3516" t="s">
        <v>442</v>
      </c>
      <c r="AG246" s="3516" t="s">
        <v>418</v>
      </c>
      <c r="AH246" s="3516" t="s">
        <v>445</v>
      </c>
      <c r="AI246" s="3516" t="s">
        <v>728</v>
      </c>
      <c r="AJ246" s="3516" t="s">
        <v>722</v>
      </c>
      <c r="AK246" s="3516" t="s">
        <v>445</v>
      </c>
      <c r="AL246" s="3516" t="s">
        <v>417</v>
      </c>
      <c r="AM246" s="3516" t="s">
        <v>729</v>
      </c>
      <c r="AN246" s="3516" t="s">
        <v>445</v>
      </c>
      <c r="AO246" s="3529" t="s">
        <v>445</v>
      </c>
      <c r="AP246" s="3512"/>
    </row>
    <row r="247" spans="1:42" ht="13" thickBot="1">
      <c r="A247" s="3554" t="s">
        <v>71</v>
      </c>
      <c r="B247" s="3572" t="s">
        <v>72</v>
      </c>
      <c r="C247" s="3519"/>
      <c r="D247" s="3519"/>
      <c r="E247" s="3519"/>
      <c r="F247" s="3519"/>
      <c r="G247" s="3519"/>
      <c r="H247" s="3519"/>
      <c r="I247" s="3519"/>
      <c r="J247" s="3519"/>
      <c r="K247" s="3519"/>
      <c r="L247" s="3519"/>
      <c r="M247" s="3519"/>
      <c r="N247" s="3519"/>
      <c r="O247" s="3519"/>
      <c r="P247" s="3519"/>
      <c r="Q247" s="3519"/>
      <c r="R247" s="3519"/>
      <c r="S247" s="3519"/>
      <c r="T247" s="3519"/>
      <c r="U247" s="3519"/>
      <c r="V247" s="3519"/>
      <c r="W247" s="3519"/>
      <c r="X247" s="3519"/>
      <c r="Y247" s="3519"/>
      <c r="Z247" s="3519"/>
      <c r="AA247" s="3519"/>
      <c r="AB247" s="3519"/>
      <c r="AC247" s="3519"/>
      <c r="AD247" s="3519"/>
      <c r="AE247" s="3519"/>
      <c r="AF247" s="3519"/>
      <c r="AG247" s="3519"/>
      <c r="AH247" s="3519"/>
      <c r="AI247" s="3519"/>
      <c r="AJ247" s="3519"/>
      <c r="AK247" s="3519"/>
      <c r="AL247" s="3519"/>
      <c r="AM247" s="3519"/>
      <c r="AN247" s="3519"/>
      <c r="AO247" s="3530"/>
      <c r="AP247" s="3512"/>
    </row>
    <row r="248" spans="1:42" ht="13" thickTop="1">
      <c r="A248" s="3531" t="s">
        <v>428</v>
      </c>
      <c r="B248" s="3573" t="s">
        <v>299</v>
      </c>
      <c r="C248" s="3518"/>
      <c r="D248" s="3558">
        <v>297.79225714807399</v>
      </c>
      <c r="E248" s="3518"/>
      <c r="F248" s="3558">
        <v>189.856273132453</v>
      </c>
      <c r="G248" s="3535">
        <v>80</v>
      </c>
      <c r="H248" s="3558">
        <v>190.76237172382901</v>
      </c>
      <c r="I248" s="3518"/>
      <c r="J248" s="3518"/>
      <c r="K248" s="3518"/>
      <c r="L248" s="3535">
        <v>50</v>
      </c>
      <c r="M248" s="3518"/>
      <c r="N248" s="3535">
        <v>80</v>
      </c>
      <c r="O248" s="3558">
        <v>118.47032866068101</v>
      </c>
      <c r="P248" s="3518"/>
      <c r="Q248" s="3558">
        <v>133.41691737553799</v>
      </c>
      <c r="R248" s="3518"/>
      <c r="S248" s="3518"/>
      <c r="T248" s="3558">
        <v>136.37430503778401</v>
      </c>
      <c r="U248" s="3535">
        <v>210</v>
      </c>
      <c r="V248" s="3518"/>
      <c r="W248" s="3558">
        <v>120.00013064572001</v>
      </c>
      <c r="X248" s="3518"/>
      <c r="Y248" s="3518"/>
      <c r="Z248" s="3558">
        <v>254.56080584638599</v>
      </c>
      <c r="AA248" s="3518"/>
      <c r="AB248" s="3518"/>
      <c r="AC248" s="3558">
        <v>256.27177708392298</v>
      </c>
      <c r="AD248" s="3558">
        <v>190.76237121990499</v>
      </c>
      <c r="AE248" s="3558">
        <v>119.87411291044801</v>
      </c>
      <c r="AF248" s="3518"/>
      <c r="AG248" s="3518"/>
      <c r="AH248" s="3558">
        <v>118.47032866068101</v>
      </c>
      <c r="AI248" s="3558">
        <v>192.686217615331</v>
      </c>
      <c r="AJ248" s="3535">
        <v>122</v>
      </c>
      <c r="AK248" s="3546">
        <v>-16.693717301568601</v>
      </c>
      <c r="AL248" s="3535">
        <v>100</v>
      </c>
      <c r="AM248" s="3535">
        <v>125</v>
      </c>
      <c r="AN248" s="3518"/>
      <c r="AO248" s="3540">
        <v>125</v>
      </c>
      <c r="AP248" s="3512"/>
    </row>
    <row r="249" spans="1:42">
      <c r="A249" s="3541" t="s">
        <v>730</v>
      </c>
      <c r="B249" s="3574" t="s">
        <v>295</v>
      </c>
      <c r="C249" s="3518"/>
      <c r="D249" s="3546">
        <v>64.6959487755135</v>
      </c>
      <c r="E249" s="3518"/>
      <c r="F249" s="3535">
        <v>24</v>
      </c>
      <c r="G249" s="3535">
        <v>40</v>
      </c>
      <c r="H249" s="3535">
        <v>24</v>
      </c>
      <c r="I249" s="3518"/>
      <c r="J249" s="3518"/>
      <c r="K249" s="3518"/>
      <c r="L249" s="3535">
        <v>1000</v>
      </c>
      <c r="M249" s="3518"/>
      <c r="N249" s="3535">
        <v>1000</v>
      </c>
      <c r="O249" s="3535">
        <v>999.7</v>
      </c>
      <c r="P249" s="3518"/>
      <c r="Q249" s="3535">
        <v>1009.7</v>
      </c>
      <c r="R249" s="3518"/>
      <c r="S249" s="3518"/>
      <c r="T249" s="3546">
        <v>89.695948775513401</v>
      </c>
      <c r="U249" s="3546">
        <v>84.695948775513401</v>
      </c>
      <c r="V249" s="3518"/>
      <c r="W249" s="3535">
        <v>26</v>
      </c>
      <c r="X249" s="3518"/>
      <c r="Y249" s="3518"/>
      <c r="Z249" s="3535">
        <v>29</v>
      </c>
      <c r="AA249" s="3518"/>
      <c r="AB249" s="3518"/>
      <c r="AC249" s="3535">
        <v>29</v>
      </c>
      <c r="AD249" s="3535">
        <v>24</v>
      </c>
      <c r="AE249" s="3558">
        <v>949.69594877551299</v>
      </c>
      <c r="AF249" s="3518"/>
      <c r="AG249" s="3518"/>
      <c r="AH249" s="3535">
        <v>999.7</v>
      </c>
      <c r="AI249" s="3562">
        <v>1014.69594877551</v>
      </c>
      <c r="AJ249" s="3562">
        <v>1014.69594877551</v>
      </c>
      <c r="AK249" s="3535">
        <v>15</v>
      </c>
      <c r="AL249" s="3562">
        <v>1224.69594877551</v>
      </c>
      <c r="AM249" s="3535">
        <v>100</v>
      </c>
      <c r="AN249" s="3518"/>
      <c r="AO249" s="3540">
        <v>100</v>
      </c>
      <c r="AP249" s="3512"/>
    </row>
    <row r="250" spans="1:42">
      <c r="A250" s="3541" t="s">
        <v>20</v>
      </c>
      <c r="B250" s="3574" t="s">
        <v>429</v>
      </c>
      <c r="C250" s="3518"/>
      <c r="D250" s="3546">
        <v>18.015280000000001</v>
      </c>
      <c r="E250" s="3518"/>
      <c r="F250" s="3546">
        <v>31.076569997107899</v>
      </c>
      <c r="G250" s="3546">
        <v>18.157883378047799</v>
      </c>
      <c r="H250" s="3546">
        <v>31.2414565659342</v>
      </c>
      <c r="I250" s="3518"/>
      <c r="J250" s="3518"/>
      <c r="K250" s="3518"/>
      <c r="L250" s="3546">
        <v>38.261644814025701</v>
      </c>
      <c r="M250" s="3518"/>
      <c r="N250" s="3546">
        <v>42.715520555253697</v>
      </c>
      <c r="O250" s="3546">
        <v>18.662326659045402</v>
      </c>
      <c r="P250" s="3518"/>
      <c r="Q250" s="3546">
        <v>31.893019775535201</v>
      </c>
      <c r="R250" s="3518"/>
      <c r="S250" s="3518"/>
      <c r="T250" s="3546">
        <v>31.906955682873502</v>
      </c>
      <c r="U250" s="3546">
        <v>31.9043337451714</v>
      </c>
      <c r="V250" s="3518"/>
      <c r="W250" s="3546">
        <v>18.030626518600101</v>
      </c>
      <c r="X250" s="3518"/>
      <c r="Y250" s="3518"/>
      <c r="Z250" s="3546">
        <v>28.535986553712299</v>
      </c>
      <c r="AA250" s="3518"/>
      <c r="AB250" s="3518"/>
      <c r="AC250" s="3546">
        <v>31.241458425304</v>
      </c>
      <c r="AD250" s="3546">
        <v>31.241458425304</v>
      </c>
      <c r="AE250" s="3546">
        <v>33.397759009070498</v>
      </c>
      <c r="AF250" s="3518"/>
      <c r="AG250" s="3518"/>
      <c r="AH250" s="3546">
        <v>18.662326659045402</v>
      </c>
      <c r="AI250" s="3546">
        <v>31.076569997107899</v>
      </c>
      <c r="AJ250" s="3546">
        <v>31.076569997107899</v>
      </c>
      <c r="AK250" s="3546">
        <v>18.543763673129099</v>
      </c>
      <c r="AL250" s="3546">
        <v>18.611328457868701</v>
      </c>
      <c r="AM250" s="3546">
        <v>31.048579420698399</v>
      </c>
      <c r="AN250" s="3518"/>
      <c r="AO250" s="3552">
        <v>31.048579420698399</v>
      </c>
      <c r="AP250" s="3512"/>
    </row>
    <row r="251" spans="1:42">
      <c r="A251" s="3541" t="s">
        <v>425</v>
      </c>
      <c r="B251" s="3574" t="s">
        <v>426</v>
      </c>
      <c r="C251" s="3518"/>
      <c r="D251" s="3535">
        <v>46800</v>
      </c>
      <c r="E251" s="3518"/>
      <c r="F251" s="3560">
        <v>296026.81054843601</v>
      </c>
      <c r="G251" s="3562">
        <v>2179.8273760693401</v>
      </c>
      <c r="H251" s="3560">
        <v>293846.98317236698</v>
      </c>
      <c r="I251" s="3518"/>
      <c r="J251" s="3518"/>
      <c r="K251" s="3518"/>
      <c r="L251" s="3557">
        <v>73799.858650906797</v>
      </c>
      <c r="M251" s="3518"/>
      <c r="N251" s="3557">
        <v>20320.7198077662</v>
      </c>
      <c r="O251" s="3558">
        <v>497.70722187316301</v>
      </c>
      <c r="P251" s="3518"/>
      <c r="Q251" s="3560">
        <v>319756.27412288397</v>
      </c>
      <c r="R251" s="3518"/>
      <c r="S251" s="3518"/>
      <c r="T251" s="3560">
        <v>319446.46590927202</v>
      </c>
      <c r="U251" s="3560">
        <v>319212.76774000499</v>
      </c>
      <c r="V251" s="3518"/>
      <c r="W251" s="3557">
        <v>11142.624838228199</v>
      </c>
      <c r="X251" s="3518"/>
      <c r="Y251" s="3518"/>
      <c r="Z251" s="3560">
        <v>339063.07216707699</v>
      </c>
      <c r="AA251" s="3518"/>
      <c r="AB251" s="3518"/>
      <c r="AC251" s="3560">
        <v>293846.94789650699</v>
      </c>
      <c r="AD251" s="3560">
        <v>293846.94789650699</v>
      </c>
      <c r="AE251" s="3544">
        <v>4.4439956407998</v>
      </c>
      <c r="AF251" s="3518"/>
      <c r="AG251" s="3518"/>
      <c r="AH251" s="3558">
        <v>497.70722187316301</v>
      </c>
      <c r="AI251" s="3560">
        <v>296026.81054843601</v>
      </c>
      <c r="AJ251" s="3560">
        <v>296026.81054843601</v>
      </c>
      <c r="AK251" s="3558">
        <v>817.68402609670795</v>
      </c>
      <c r="AL251" s="3558">
        <v>675.68981330966994</v>
      </c>
      <c r="AM251" s="3560">
        <v>271410.90395886701</v>
      </c>
      <c r="AN251" s="3518"/>
      <c r="AO251" s="3564">
        <v>271410.90395886701</v>
      </c>
      <c r="AP251" s="3512"/>
    </row>
    <row r="252" spans="1:42">
      <c r="A252" s="3541" t="s">
        <v>430</v>
      </c>
      <c r="B252" s="3574" t="s">
        <v>57</v>
      </c>
      <c r="C252" s="3518"/>
      <c r="D252" s="3546">
        <v>23.6597143733709</v>
      </c>
      <c r="E252" s="3518"/>
      <c r="F252" s="3546">
        <v>86.756620901746402</v>
      </c>
      <c r="G252" s="3544">
        <v>1.0933558698393799</v>
      </c>
      <c r="H252" s="3546">
        <v>85.663265031907002</v>
      </c>
      <c r="I252" s="3518"/>
      <c r="J252" s="3518"/>
      <c r="K252" s="3518"/>
      <c r="L252" s="3546">
        <v>17.566957678625599</v>
      </c>
      <c r="M252" s="3518"/>
      <c r="N252" s="3544">
        <v>4.3326942734518896</v>
      </c>
      <c r="O252" s="3545">
        <v>0.24289177936456299</v>
      </c>
      <c r="P252" s="3518"/>
      <c r="Q252" s="3546">
        <v>91.312050085339905</v>
      </c>
      <c r="R252" s="3518"/>
      <c r="S252" s="3518"/>
      <c r="T252" s="3546">
        <v>91.183735424920897</v>
      </c>
      <c r="U252" s="3546">
        <v>91.124516044912795</v>
      </c>
      <c r="V252" s="3518"/>
      <c r="W252" s="3544">
        <v>5.6283533095355498</v>
      </c>
      <c r="X252" s="3518"/>
      <c r="Y252" s="3518"/>
      <c r="Z252" s="3558">
        <v>108.21619556064699</v>
      </c>
      <c r="AA252" s="3518"/>
      <c r="AB252" s="3518"/>
      <c r="AC252" s="3546">
        <v>85.663249649826298</v>
      </c>
      <c r="AD252" s="3546">
        <v>85.663249649826298</v>
      </c>
      <c r="AE252" s="3538">
        <v>1.2118837397760999E-3</v>
      </c>
      <c r="AF252" s="3518"/>
      <c r="AG252" s="3518"/>
      <c r="AH252" s="3545">
        <v>0.24289177936456299</v>
      </c>
      <c r="AI252" s="3546">
        <v>86.756620901746402</v>
      </c>
      <c r="AJ252" s="3546">
        <v>86.756620901746402</v>
      </c>
      <c r="AK252" s="3545">
        <v>0.40159869285032501</v>
      </c>
      <c r="AL252" s="3545">
        <v>0.33065466830701801</v>
      </c>
      <c r="AM252" s="3546">
        <v>79.614141763914901</v>
      </c>
      <c r="AN252" s="3518"/>
      <c r="AO252" s="3552">
        <v>79.614141763914901</v>
      </c>
      <c r="AP252" s="3512"/>
    </row>
    <row r="253" spans="1:42">
      <c r="A253" s="3541" t="s">
        <v>431</v>
      </c>
      <c r="B253" s="3574" t="s">
        <v>432</v>
      </c>
      <c r="C253" s="3518"/>
      <c r="D253" s="3546">
        <v>93.556589742359606</v>
      </c>
      <c r="E253" s="3518"/>
      <c r="F253" s="3535">
        <v>600</v>
      </c>
      <c r="G253" s="3544">
        <v>4.3689053460860299</v>
      </c>
      <c r="H253" s="3558">
        <v>595.63109465391403</v>
      </c>
      <c r="I253" s="3518"/>
      <c r="J253" s="3518"/>
      <c r="K253" s="3518"/>
      <c r="L253" s="3558">
        <v>311.00823063413401</v>
      </c>
      <c r="M253" s="3518"/>
      <c r="N253" s="3546">
        <v>81.045628904969604</v>
      </c>
      <c r="O253" s="3544">
        <v>1.00806665407038</v>
      </c>
      <c r="P253" s="3518"/>
      <c r="Q253" s="3558">
        <v>659.72432782629596</v>
      </c>
      <c r="R253" s="3518"/>
      <c r="S253" s="3518"/>
      <c r="T253" s="3558">
        <v>658.05048407740696</v>
      </c>
      <c r="U253" s="3558">
        <v>657.39659612611797</v>
      </c>
      <c r="V253" s="3518"/>
      <c r="W253" s="3546">
        <v>22.282088114986699</v>
      </c>
      <c r="X253" s="3518"/>
      <c r="Y253" s="3518"/>
      <c r="Z253" s="3558">
        <v>686.40822815768604</v>
      </c>
      <c r="AA253" s="3518"/>
      <c r="AB253" s="3518"/>
      <c r="AC253" s="3558">
        <v>595.63102172839501</v>
      </c>
      <c r="AD253" s="3558">
        <v>595.63102172839501</v>
      </c>
      <c r="AE253" s="3538">
        <v>9.4008039445472903E-3</v>
      </c>
      <c r="AF253" s="3518"/>
      <c r="AG253" s="3518"/>
      <c r="AH253" s="3544">
        <v>1.00806665407038</v>
      </c>
      <c r="AI253" s="3535">
        <v>600</v>
      </c>
      <c r="AJ253" s="3535">
        <v>600</v>
      </c>
      <c r="AK253" s="3544">
        <v>1.65265196973026</v>
      </c>
      <c r="AL253" s="3544">
        <v>1.3700935238210701</v>
      </c>
      <c r="AM253" s="3535">
        <v>550</v>
      </c>
      <c r="AN253" s="3518"/>
      <c r="AO253" s="3540">
        <v>550</v>
      </c>
      <c r="AP253" s="3512"/>
    </row>
    <row r="254" spans="1:42">
      <c r="A254" s="3541" t="s">
        <v>2007</v>
      </c>
      <c r="B254" s="3574" t="s">
        <v>2008</v>
      </c>
      <c r="C254" s="3518"/>
      <c r="D254" s="3544">
        <v>1.0282267971657699</v>
      </c>
      <c r="E254" s="3518"/>
      <c r="F254" s="3545">
        <v>0.87848257464892199</v>
      </c>
      <c r="G254" s="3545">
        <v>0.99514133480954703</v>
      </c>
      <c r="H254" s="3545">
        <v>0.87827881884855596</v>
      </c>
      <c r="I254" s="3518"/>
      <c r="J254" s="3518"/>
      <c r="K254" s="3518"/>
      <c r="L254" s="3545">
        <v>0.69802176149562201</v>
      </c>
      <c r="M254" s="3518"/>
      <c r="N254" s="3545">
        <v>0.68558175936865096</v>
      </c>
      <c r="O254" s="3545">
        <v>0.97575858077603095</v>
      </c>
      <c r="P254" s="3518"/>
      <c r="Q254" s="3545">
        <v>0.70074342725994698</v>
      </c>
      <c r="R254" s="3518"/>
      <c r="S254" s="3518"/>
      <c r="T254" s="3545">
        <v>0.70252768387304199</v>
      </c>
      <c r="U254" s="3545">
        <v>0.77425787163967796</v>
      </c>
      <c r="V254" s="3518"/>
      <c r="W254" s="3545">
        <v>0.99756325828656101</v>
      </c>
      <c r="X254" s="3518"/>
      <c r="Y254" s="3518"/>
      <c r="Z254" s="3545">
        <v>0.93912951448979698</v>
      </c>
      <c r="AA254" s="3518"/>
      <c r="AB254" s="3518"/>
      <c r="AC254" s="3545">
        <v>0.93091325578748396</v>
      </c>
      <c r="AD254" s="3545">
        <v>0.87827884462102601</v>
      </c>
      <c r="AE254" s="3545">
        <v>0.74605708383064995</v>
      </c>
      <c r="AF254" s="3518"/>
      <c r="AG254" s="3518"/>
      <c r="AH254" s="3545">
        <v>0.97575858077603095</v>
      </c>
      <c r="AI254" s="3545">
        <v>0.87655545891403697</v>
      </c>
      <c r="AJ254" s="3545">
        <v>0.82451051178332602</v>
      </c>
      <c r="AK254" s="3545">
        <v>0.98729668621223099</v>
      </c>
      <c r="AL254" s="3545">
        <v>0.975393677844552</v>
      </c>
      <c r="AM254" s="3545">
        <v>0.83148474536650596</v>
      </c>
      <c r="AN254" s="3518"/>
      <c r="AO254" s="3578">
        <v>0.83148474536650596</v>
      </c>
      <c r="AP254" s="3512"/>
    </row>
    <row r="255" spans="1:42">
      <c r="A255" s="3541" t="s">
        <v>731</v>
      </c>
      <c r="B255" s="3574" t="s">
        <v>434</v>
      </c>
      <c r="C255" s="3518"/>
      <c r="D255" s="3535">
        <v>0</v>
      </c>
      <c r="E255" s="3518"/>
      <c r="F255" s="3558">
        <v>483.75454789752899</v>
      </c>
      <c r="G255" s="3544">
        <v>6.1725376280471904</v>
      </c>
      <c r="H255" s="3558">
        <v>489.85012567014002</v>
      </c>
      <c r="I255" s="3518"/>
      <c r="J255" s="3518"/>
      <c r="K255" s="3518"/>
      <c r="L255" s="3562">
        <v>1972.93741314868</v>
      </c>
      <c r="M255" s="3518"/>
      <c r="N255" s="3562">
        <v>2201.2063247003798</v>
      </c>
      <c r="O255" s="3546">
        <v>27.0361468315064</v>
      </c>
      <c r="P255" s="3518"/>
      <c r="Q255" s="3558">
        <v>461.190138238781</v>
      </c>
      <c r="R255" s="3518"/>
      <c r="S255" s="3518"/>
      <c r="T255" s="3558">
        <v>460.38493978129799</v>
      </c>
      <c r="U255" s="3558">
        <v>460.53818011846698</v>
      </c>
      <c r="V255" s="3518"/>
      <c r="W255" s="3538">
        <v>2.94189422394883E-3</v>
      </c>
      <c r="X255" s="3518"/>
      <c r="Y255" s="3518"/>
      <c r="Z255" s="3558">
        <v>389.37074563146399</v>
      </c>
      <c r="AA255" s="3518"/>
      <c r="AB255" s="3518"/>
      <c r="AC255" s="3558">
        <v>489.850203838813</v>
      </c>
      <c r="AD255" s="3558">
        <v>489.850203838813</v>
      </c>
      <c r="AE255" s="3558">
        <v>566.32119601225099</v>
      </c>
      <c r="AF255" s="3518"/>
      <c r="AG255" s="3518"/>
      <c r="AH255" s="3546">
        <v>27.0361468315064</v>
      </c>
      <c r="AI255" s="3558">
        <v>483.75454789752899</v>
      </c>
      <c r="AJ255" s="3558">
        <v>483.75454789752899</v>
      </c>
      <c r="AK255" s="3546">
        <v>20.693513192001301</v>
      </c>
      <c r="AL255" s="3546">
        <v>25.418336334398202</v>
      </c>
      <c r="AM255" s="3558">
        <v>483.318807182765</v>
      </c>
      <c r="AN255" s="3518"/>
      <c r="AO255" s="3579">
        <v>483.318807182765</v>
      </c>
      <c r="AP255" s="3512"/>
    </row>
    <row r="256" spans="1:42" ht="13" thickBot="1">
      <c r="A256" s="3566" t="s">
        <v>433</v>
      </c>
      <c r="B256" s="3580" t="s">
        <v>434</v>
      </c>
      <c r="C256" s="3587"/>
      <c r="D256" s="3568">
        <v>50.31</v>
      </c>
      <c r="E256" s="3587"/>
      <c r="F256" s="3581">
        <v>570.10673801672306</v>
      </c>
      <c r="G256" s="3583">
        <v>56.894002114750499</v>
      </c>
      <c r="H256" s="3581">
        <v>576.65708555561002</v>
      </c>
      <c r="I256" s="3587"/>
      <c r="J256" s="3587"/>
      <c r="K256" s="3587"/>
      <c r="L256" s="3582">
        <v>2148.9522064586099</v>
      </c>
      <c r="M256" s="3587"/>
      <c r="N256" s="3582">
        <v>2393.7815756772602</v>
      </c>
      <c r="O256" s="3583">
        <v>79.064294800133396</v>
      </c>
      <c r="P256" s="3587"/>
      <c r="Q256" s="3581">
        <v>542.99817624956495</v>
      </c>
      <c r="R256" s="3587"/>
      <c r="S256" s="3587"/>
      <c r="T256" s="3581">
        <v>542.15696964200401</v>
      </c>
      <c r="U256" s="3581">
        <v>542.34374057949196</v>
      </c>
      <c r="V256" s="3587"/>
      <c r="W256" s="3583">
        <v>50.283573475745399</v>
      </c>
      <c r="X256" s="3587"/>
      <c r="Y256" s="3587"/>
      <c r="Z256" s="3581">
        <v>468.65425013237501</v>
      </c>
      <c r="AA256" s="3587"/>
      <c r="AB256" s="3587"/>
      <c r="AC256" s="3581">
        <v>576.65717007895</v>
      </c>
      <c r="AD256" s="3581">
        <v>576.65717007895</v>
      </c>
      <c r="AE256" s="3581">
        <v>656.04989061823699</v>
      </c>
      <c r="AF256" s="3587"/>
      <c r="AG256" s="3587"/>
      <c r="AH256" s="3583">
        <v>79.064294800133396</v>
      </c>
      <c r="AI256" s="3581">
        <v>570.10673801672306</v>
      </c>
      <c r="AJ256" s="3581">
        <v>570.10673801672306</v>
      </c>
      <c r="AK256" s="3583">
        <v>72.2363054835875</v>
      </c>
      <c r="AL256" s="3583">
        <v>77.2980940016799</v>
      </c>
      <c r="AM256" s="3581">
        <v>569.66993780530697</v>
      </c>
      <c r="AN256" s="3587"/>
      <c r="AO256" s="3585">
        <v>569.66993780530697</v>
      </c>
      <c r="AP256" s="3512"/>
    </row>
    <row r="257" spans="1:42" ht="13" thickTop="1">
      <c r="A257" s="3512"/>
      <c r="B257" s="3512"/>
      <c r="C257" s="3512"/>
      <c r="D257" s="3512"/>
      <c r="E257" s="3512"/>
      <c r="F257" s="3512"/>
      <c r="G257" s="3512"/>
      <c r="H257" s="3512"/>
      <c r="I257" s="3512"/>
      <c r="J257" s="3512"/>
      <c r="K257" s="3512"/>
      <c r="L257" s="3512"/>
      <c r="M257" s="3512"/>
      <c r="N257" s="3512"/>
      <c r="O257" s="3512"/>
      <c r="P257" s="3512"/>
      <c r="Q257" s="3512"/>
      <c r="R257" s="3512"/>
      <c r="S257" s="3512"/>
      <c r="T257" s="3512"/>
      <c r="U257" s="3512"/>
      <c r="V257" s="3512"/>
      <c r="W257" s="3512"/>
      <c r="X257" s="3512"/>
      <c r="Y257" s="3512"/>
      <c r="Z257" s="3512"/>
      <c r="AA257" s="3512"/>
      <c r="AB257" s="3512"/>
      <c r="AC257" s="3512"/>
      <c r="AD257" s="3512"/>
      <c r="AE257" s="3512"/>
      <c r="AF257" s="3512"/>
      <c r="AG257" s="3512"/>
      <c r="AH257" s="3512"/>
      <c r="AI257" s="3512"/>
      <c r="AJ257" s="3512"/>
      <c r="AK257" s="3512"/>
      <c r="AL257" s="3512"/>
      <c r="AM257" s="3512"/>
      <c r="AN257" s="3512"/>
      <c r="AO257" s="3512"/>
      <c r="AP257" s="3512"/>
    </row>
    <row r="258" spans="1:42" ht="13" thickBot="1">
      <c r="A258" s="3512"/>
      <c r="B258" s="3512"/>
      <c r="C258" s="3512"/>
      <c r="D258" s="3512"/>
      <c r="E258" s="3512"/>
      <c r="F258" s="3512"/>
      <c r="G258" s="3512"/>
      <c r="H258" s="3512"/>
      <c r="I258" s="3512"/>
      <c r="J258" s="3512"/>
      <c r="K258" s="3512"/>
      <c r="L258" s="3512"/>
      <c r="M258" s="3512"/>
      <c r="N258" s="3512"/>
      <c r="O258" s="3512"/>
      <c r="P258" s="3512"/>
      <c r="Q258" s="3512"/>
      <c r="R258" s="3512"/>
      <c r="S258" s="3512"/>
      <c r="T258" s="3512"/>
      <c r="U258" s="3512"/>
      <c r="V258" s="3512"/>
      <c r="W258" s="3512"/>
      <c r="X258" s="3512"/>
      <c r="Y258" s="3512"/>
      <c r="Z258" s="3512"/>
      <c r="AA258" s="3512"/>
      <c r="AB258" s="3512"/>
      <c r="AC258" s="3512"/>
      <c r="AD258" s="3512"/>
      <c r="AE258" s="3512"/>
      <c r="AF258" s="3512"/>
      <c r="AG258" s="3512"/>
      <c r="AH258" s="3512"/>
      <c r="AI258" s="3512"/>
      <c r="AJ258" s="3512"/>
      <c r="AK258" s="3512"/>
      <c r="AL258" s="3512"/>
      <c r="AM258" s="3512"/>
      <c r="AN258" s="3512"/>
      <c r="AO258" s="3512"/>
      <c r="AP258" s="3512"/>
    </row>
    <row r="259" spans="1:42" ht="14" thickTop="1" thickBot="1">
      <c r="A259" s="3520" t="s">
        <v>389</v>
      </c>
      <c r="B259" s="3521"/>
      <c r="C259" s="3522" t="s">
        <v>707</v>
      </c>
      <c r="D259" s="3522" t="s">
        <v>561</v>
      </c>
      <c r="E259" s="3522" t="s">
        <v>708</v>
      </c>
      <c r="F259" s="3522" t="s">
        <v>709</v>
      </c>
      <c r="G259" s="3522" t="s">
        <v>710</v>
      </c>
      <c r="H259" s="3522" t="s">
        <v>711</v>
      </c>
      <c r="I259" s="3522" t="s">
        <v>712</v>
      </c>
      <c r="J259" s="3522" t="s">
        <v>713</v>
      </c>
      <c r="K259" s="3522" t="s">
        <v>390</v>
      </c>
      <c r="L259" s="3522" t="s">
        <v>391</v>
      </c>
      <c r="M259" s="3522" t="s">
        <v>392</v>
      </c>
      <c r="N259" s="3522" t="s">
        <v>393</v>
      </c>
      <c r="O259" s="3522" t="s">
        <v>714</v>
      </c>
      <c r="P259" s="3522" t="s">
        <v>394</v>
      </c>
      <c r="Q259" s="3522" t="s">
        <v>715</v>
      </c>
      <c r="R259" s="3522" t="s">
        <v>395</v>
      </c>
      <c r="S259" s="3522" t="s">
        <v>716</v>
      </c>
      <c r="T259" s="3522" t="s">
        <v>396</v>
      </c>
      <c r="U259" s="3522" t="s">
        <v>397</v>
      </c>
      <c r="V259" s="3522" t="s">
        <v>398</v>
      </c>
      <c r="W259" s="3522" t="s">
        <v>399</v>
      </c>
      <c r="X259" s="3522" t="s">
        <v>400</v>
      </c>
      <c r="Y259" s="3522" t="s">
        <v>717</v>
      </c>
      <c r="Z259" s="3522" t="s">
        <v>401</v>
      </c>
      <c r="AA259" s="3522" t="s">
        <v>402</v>
      </c>
      <c r="AB259" s="3522" t="s">
        <v>403</v>
      </c>
      <c r="AC259" s="3522" t="s">
        <v>718</v>
      </c>
      <c r="AD259" s="3522" t="s">
        <v>404</v>
      </c>
      <c r="AE259" s="3522" t="s">
        <v>405</v>
      </c>
      <c r="AF259" s="3522" t="s">
        <v>406</v>
      </c>
      <c r="AG259" s="3522" t="s">
        <v>407</v>
      </c>
      <c r="AH259" s="3522" t="s">
        <v>408</v>
      </c>
      <c r="AI259" s="3522" t="s">
        <v>409</v>
      </c>
      <c r="AJ259" s="3522" t="s">
        <v>410</v>
      </c>
      <c r="AK259" s="3522" t="s">
        <v>411</v>
      </c>
      <c r="AL259" s="3522" t="s">
        <v>412</v>
      </c>
      <c r="AM259" s="3522" t="s">
        <v>439</v>
      </c>
      <c r="AN259" s="3522" t="s">
        <v>440</v>
      </c>
      <c r="AO259" s="3523" t="s">
        <v>441</v>
      </c>
      <c r="AP259" s="3512"/>
    </row>
    <row r="260" spans="1:42" ht="13">
      <c r="A260" s="3524" t="s">
        <v>96</v>
      </c>
      <c r="B260" s="3513" t="s">
        <v>413</v>
      </c>
      <c r="C260" s="3514" t="s">
        <v>414</v>
      </c>
      <c r="D260" s="3514" t="s">
        <v>414</v>
      </c>
      <c r="E260" s="3514" t="s">
        <v>414</v>
      </c>
      <c r="F260" s="3514" t="s">
        <v>414</v>
      </c>
      <c r="G260" s="3514" t="s">
        <v>414</v>
      </c>
      <c r="H260" s="3514" t="s">
        <v>414</v>
      </c>
      <c r="I260" s="3514" t="s">
        <v>414</v>
      </c>
      <c r="J260" s="3514" t="s">
        <v>414</v>
      </c>
      <c r="K260" s="3514" t="s">
        <v>414</v>
      </c>
      <c r="L260" s="3514" t="s">
        <v>414</v>
      </c>
      <c r="M260" s="3514" t="s">
        <v>414</v>
      </c>
      <c r="N260" s="3514" t="s">
        <v>414</v>
      </c>
      <c r="O260" s="3514" t="s">
        <v>414</v>
      </c>
      <c r="P260" s="3514" t="s">
        <v>414</v>
      </c>
      <c r="Q260" s="3514" t="s">
        <v>414</v>
      </c>
      <c r="R260" s="3514" t="s">
        <v>414</v>
      </c>
      <c r="S260" s="3514" t="s">
        <v>414</v>
      </c>
      <c r="T260" s="3514" t="s">
        <v>414</v>
      </c>
      <c r="U260" s="3514" t="s">
        <v>414</v>
      </c>
      <c r="V260" s="3514" t="s">
        <v>414</v>
      </c>
      <c r="W260" s="3514" t="s">
        <v>414</v>
      </c>
      <c r="X260" s="3514" t="s">
        <v>414</v>
      </c>
      <c r="Y260" s="3514" t="s">
        <v>414</v>
      </c>
      <c r="Z260" s="3514" t="s">
        <v>414</v>
      </c>
      <c r="AA260" s="3514" t="s">
        <v>414</v>
      </c>
      <c r="AB260" s="3514" t="s">
        <v>414</v>
      </c>
      <c r="AC260" s="3514" t="s">
        <v>414</v>
      </c>
      <c r="AD260" s="3514" t="s">
        <v>414</v>
      </c>
      <c r="AE260" s="3514" t="s">
        <v>414</v>
      </c>
      <c r="AF260" s="3514" t="s">
        <v>414</v>
      </c>
      <c r="AG260" s="3514" t="s">
        <v>414</v>
      </c>
      <c r="AH260" s="3514" t="s">
        <v>414</v>
      </c>
      <c r="AI260" s="3514" t="s">
        <v>414</v>
      </c>
      <c r="AJ260" s="3514" t="s">
        <v>414</v>
      </c>
      <c r="AK260" s="3514" t="s">
        <v>414</v>
      </c>
      <c r="AL260" s="3514" t="s">
        <v>414</v>
      </c>
      <c r="AM260" s="3514" t="s">
        <v>414</v>
      </c>
      <c r="AN260" s="3514" t="s">
        <v>414</v>
      </c>
      <c r="AO260" s="3525" t="s">
        <v>414</v>
      </c>
      <c r="AP260" s="3512"/>
    </row>
    <row r="261" spans="1:42" ht="13">
      <c r="A261" s="3526" t="s">
        <v>437</v>
      </c>
      <c r="B261" s="3515" t="s">
        <v>416</v>
      </c>
      <c r="C261" s="3515" t="s">
        <v>719</v>
      </c>
      <c r="D261" s="3515" t="s">
        <v>720</v>
      </c>
      <c r="E261" s="3515" t="s">
        <v>445</v>
      </c>
      <c r="F261" s="3515" t="s">
        <v>719</v>
      </c>
      <c r="G261" s="3515" t="s">
        <v>445</v>
      </c>
      <c r="H261" s="3515" t="s">
        <v>721</v>
      </c>
      <c r="I261" s="3515" t="s">
        <v>442</v>
      </c>
      <c r="J261" s="3515" t="s">
        <v>445</v>
      </c>
      <c r="K261" s="3515" t="s">
        <v>722</v>
      </c>
      <c r="L261" s="3515" t="s">
        <v>445</v>
      </c>
      <c r="M261" s="3515" t="s">
        <v>445</v>
      </c>
      <c r="N261" s="3515" t="s">
        <v>444</v>
      </c>
      <c r="O261" s="3515" t="s">
        <v>442</v>
      </c>
      <c r="P261" s="3515" t="s">
        <v>446</v>
      </c>
      <c r="Q261" s="3515" t="s">
        <v>722</v>
      </c>
      <c r="R261" s="3515" t="s">
        <v>445</v>
      </c>
      <c r="S261" s="3515" t="s">
        <v>723</v>
      </c>
      <c r="T261" s="3515" t="s">
        <v>723</v>
      </c>
      <c r="U261" s="3515" t="s">
        <v>724</v>
      </c>
      <c r="V261" s="3515" t="s">
        <v>725</v>
      </c>
      <c r="W261" s="3515" t="s">
        <v>726</v>
      </c>
      <c r="X261" s="3515" t="s">
        <v>443</v>
      </c>
      <c r="Y261" s="3515" t="s">
        <v>726</v>
      </c>
      <c r="Z261" s="3515" t="s">
        <v>725</v>
      </c>
      <c r="AA261" s="3515" t="s">
        <v>291</v>
      </c>
      <c r="AB261" s="3515" t="s">
        <v>445</v>
      </c>
      <c r="AC261" s="3515" t="s">
        <v>291</v>
      </c>
      <c r="AD261" s="3515" t="s">
        <v>724</v>
      </c>
      <c r="AE261" s="3515" t="s">
        <v>443</v>
      </c>
      <c r="AF261" s="3515" t="s">
        <v>420</v>
      </c>
      <c r="AG261" s="3515" t="s">
        <v>420</v>
      </c>
      <c r="AH261" s="3515" t="s">
        <v>418</v>
      </c>
      <c r="AI261" s="3515" t="s">
        <v>727</v>
      </c>
      <c r="AJ261" s="3515" t="s">
        <v>728</v>
      </c>
      <c r="AK261" s="3515" t="s">
        <v>417</v>
      </c>
      <c r="AL261" s="3515" t="s">
        <v>445</v>
      </c>
      <c r="AM261" s="3515" t="s">
        <v>445</v>
      </c>
      <c r="AN261" s="3515" t="s">
        <v>729</v>
      </c>
      <c r="AO261" s="3527" t="s">
        <v>729</v>
      </c>
      <c r="AP261" s="3512"/>
    </row>
    <row r="262" spans="1:42">
      <c r="A262" s="3528"/>
      <c r="B262" s="3515" t="s">
        <v>421</v>
      </c>
      <c r="C262" s="3516" t="s">
        <v>445</v>
      </c>
      <c r="D262" s="3516" t="s">
        <v>445</v>
      </c>
      <c r="E262" s="3516" t="s">
        <v>445</v>
      </c>
      <c r="F262" s="3516" t="s">
        <v>727</v>
      </c>
      <c r="G262" s="3516" t="s">
        <v>719</v>
      </c>
      <c r="H262" s="3516" t="s">
        <v>719</v>
      </c>
      <c r="I262" s="3516" t="s">
        <v>722</v>
      </c>
      <c r="J262" s="3516" t="s">
        <v>720</v>
      </c>
      <c r="K262" s="3516" t="s">
        <v>446</v>
      </c>
      <c r="L262" s="3516" t="s">
        <v>444</v>
      </c>
      <c r="M262" s="3516" t="s">
        <v>420</v>
      </c>
      <c r="N262" s="3516" t="s">
        <v>445</v>
      </c>
      <c r="O262" s="3516" t="s">
        <v>418</v>
      </c>
      <c r="P262" s="3516" t="s">
        <v>442</v>
      </c>
      <c r="Q262" s="3516" t="s">
        <v>723</v>
      </c>
      <c r="R262" s="3516" t="s">
        <v>443</v>
      </c>
      <c r="S262" s="3516" t="s">
        <v>445</v>
      </c>
      <c r="T262" s="3516" t="s">
        <v>724</v>
      </c>
      <c r="U262" s="3516" t="s">
        <v>725</v>
      </c>
      <c r="V262" s="3516" t="s">
        <v>726</v>
      </c>
      <c r="W262" s="3516" t="s">
        <v>725</v>
      </c>
      <c r="X262" s="3516" t="s">
        <v>445</v>
      </c>
      <c r="Y262" s="3516" t="s">
        <v>445</v>
      </c>
      <c r="Z262" s="3516" t="s">
        <v>291</v>
      </c>
      <c r="AA262" s="3516" t="s">
        <v>725</v>
      </c>
      <c r="AB262" s="3516" t="s">
        <v>443</v>
      </c>
      <c r="AC262" s="3516" t="s">
        <v>724</v>
      </c>
      <c r="AD262" s="3516" t="s">
        <v>721</v>
      </c>
      <c r="AE262" s="3516" t="s">
        <v>445</v>
      </c>
      <c r="AF262" s="3516" t="s">
        <v>442</v>
      </c>
      <c r="AG262" s="3516" t="s">
        <v>418</v>
      </c>
      <c r="AH262" s="3516" t="s">
        <v>445</v>
      </c>
      <c r="AI262" s="3516" t="s">
        <v>728</v>
      </c>
      <c r="AJ262" s="3516" t="s">
        <v>722</v>
      </c>
      <c r="AK262" s="3516" t="s">
        <v>445</v>
      </c>
      <c r="AL262" s="3516" t="s">
        <v>417</v>
      </c>
      <c r="AM262" s="3516" t="s">
        <v>729</v>
      </c>
      <c r="AN262" s="3516" t="s">
        <v>445</v>
      </c>
      <c r="AO262" s="3529" t="s">
        <v>445</v>
      </c>
      <c r="AP262" s="3512"/>
    </row>
    <row r="263" spans="1:42" ht="13" thickBot="1">
      <c r="A263" s="5061" t="s">
        <v>49</v>
      </c>
      <c r="B263" s="5062"/>
      <c r="C263" s="3519" t="s">
        <v>296</v>
      </c>
      <c r="D263" s="3519" t="s">
        <v>296</v>
      </c>
      <c r="E263" s="3519" t="s">
        <v>296</v>
      </c>
      <c r="F263" s="3519" t="s">
        <v>296</v>
      </c>
      <c r="G263" s="3519" t="s">
        <v>296</v>
      </c>
      <c r="H263" s="3519" t="s">
        <v>296</v>
      </c>
      <c r="I263" s="3519" t="s">
        <v>296</v>
      </c>
      <c r="J263" s="3519" t="s">
        <v>296</v>
      </c>
      <c r="K263" s="3519" t="s">
        <v>296</v>
      </c>
      <c r="L263" s="3519" t="s">
        <v>296</v>
      </c>
      <c r="M263" s="3519" t="s">
        <v>296</v>
      </c>
      <c r="N263" s="3519" t="s">
        <v>296</v>
      </c>
      <c r="O263" s="3519" t="s">
        <v>296</v>
      </c>
      <c r="P263" s="3519" t="s">
        <v>296</v>
      </c>
      <c r="Q263" s="3519" t="s">
        <v>296</v>
      </c>
      <c r="R263" s="3519" t="s">
        <v>296</v>
      </c>
      <c r="S263" s="3519" t="s">
        <v>296</v>
      </c>
      <c r="T263" s="3519" t="s">
        <v>296</v>
      </c>
      <c r="U263" s="3519" t="s">
        <v>296</v>
      </c>
      <c r="V263" s="3519" t="s">
        <v>296</v>
      </c>
      <c r="W263" s="3519" t="s">
        <v>296</v>
      </c>
      <c r="X263" s="3519" t="s">
        <v>296</v>
      </c>
      <c r="Y263" s="3519" t="s">
        <v>296</v>
      </c>
      <c r="Z263" s="3519" t="s">
        <v>296</v>
      </c>
      <c r="AA263" s="3519" t="s">
        <v>296</v>
      </c>
      <c r="AB263" s="3519" t="s">
        <v>296</v>
      </c>
      <c r="AC263" s="3519" t="s">
        <v>296</v>
      </c>
      <c r="AD263" s="3519" t="s">
        <v>296</v>
      </c>
      <c r="AE263" s="3519" t="s">
        <v>296</v>
      </c>
      <c r="AF263" s="3519" t="s">
        <v>296</v>
      </c>
      <c r="AG263" s="3519" t="s">
        <v>296</v>
      </c>
      <c r="AH263" s="3519" t="s">
        <v>296</v>
      </c>
      <c r="AI263" s="3519" t="s">
        <v>296</v>
      </c>
      <c r="AJ263" s="3519" t="s">
        <v>296</v>
      </c>
      <c r="AK263" s="3519" t="s">
        <v>296</v>
      </c>
      <c r="AL263" s="3519" t="s">
        <v>296</v>
      </c>
      <c r="AM263" s="3519" t="s">
        <v>296</v>
      </c>
      <c r="AN263" s="3519" t="s">
        <v>296</v>
      </c>
      <c r="AO263" s="3530" t="s">
        <v>296</v>
      </c>
      <c r="AP263" s="3512"/>
    </row>
    <row r="264" spans="1:42" ht="13" thickTop="1">
      <c r="A264" s="5059" t="s">
        <v>5</v>
      </c>
      <c r="B264" s="5060"/>
      <c r="C264" s="3518"/>
      <c r="D264" s="3518"/>
      <c r="E264" s="3518"/>
      <c r="F264" s="3518"/>
      <c r="G264" s="3518"/>
      <c r="H264" s="3518"/>
      <c r="I264" s="3518"/>
      <c r="J264" s="3518"/>
      <c r="K264" s="3518"/>
      <c r="L264" s="3535">
        <v>0</v>
      </c>
      <c r="M264" s="3518"/>
      <c r="N264" s="3535">
        <v>0</v>
      </c>
      <c r="O264" s="3518"/>
      <c r="P264" s="3518"/>
      <c r="Q264" s="3518"/>
      <c r="R264" s="3518"/>
      <c r="S264" s="3518"/>
      <c r="T264" s="3518"/>
      <c r="U264" s="3518"/>
      <c r="V264" s="3518"/>
      <c r="W264" s="3518"/>
      <c r="X264" s="3518"/>
      <c r="Y264" s="3518"/>
      <c r="Z264" s="3518"/>
      <c r="AA264" s="3518"/>
      <c r="AB264" s="3518"/>
      <c r="AC264" s="3518"/>
      <c r="AD264" s="3518"/>
      <c r="AE264" s="3518"/>
      <c r="AF264" s="3518"/>
      <c r="AG264" s="3518"/>
      <c r="AH264" s="3518"/>
      <c r="AI264" s="3518"/>
      <c r="AJ264" s="3518"/>
      <c r="AK264" s="3518"/>
      <c r="AL264" s="3518"/>
      <c r="AM264" s="3518"/>
      <c r="AN264" s="3518"/>
      <c r="AO264" s="3586"/>
      <c r="AP264" s="3512"/>
    </row>
    <row r="265" spans="1:42">
      <c r="A265" s="5057" t="s">
        <v>674</v>
      </c>
      <c r="B265" s="5058"/>
      <c r="C265" s="3518"/>
      <c r="D265" s="3518"/>
      <c r="E265" s="3518"/>
      <c r="F265" s="3518"/>
      <c r="G265" s="3518"/>
      <c r="H265" s="3518"/>
      <c r="I265" s="3518"/>
      <c r="J265" s="3518"/>
      <c r="K265" s="3518"/>
      <c r="L265" s="3538">
        <v>2.6816963451685599E-3</v>
      </c>
      <c r="M265" s="3518"/>
      <c r="N265" s="3538">
        <v>1.93573943015042E-3</v>
      </c>
      <c r="O265" s="3518"/>
      <c r="P265" s="3518"/>
      <c r="Q265" s="3518"/>
      <c r="R265" s="3518"/>
      <c r="S265" s="3518"/>
      <c r="T265" s="3518"/>
      <c r="U265" s="3518"/>
      <c r="V265" s="3518"/>
      <c r="W265" s="3518"/>
      <c r="X265" s="3518"/>
      <c r="Y265" s="3518"/>
      <c r="Z265" s="3518"/>
      <c r="AA265" s="3518"/>
      <c r="AB265" s="3518"/>
      <c r="AC265" s="3518"/>
      <c r="AD265" s="3518"/>
      <c r="AE265" s="3518"/>
      <c r="AF265" s="3518"/>
      <c r="AG265" s="3518"/>
      <c r="AH265" s="3518"/>
      <c r="AI265" s="3518"/>
      <c r="AJ265" s="3518"/>
      <c r="AK265" s="3518"/>
      <c r="AL265" s="3518"/>
      <c r="AM265" s="3518"/>
      <c r="AN265" s="3518"/>
      <c r="AO265" s="3586"/>
      <c r="AP265" s="3512"/>
    </row>
    <row r="266" spans="1:42">
      <c r="A266" s="5057" t="s">
        <v>3</v>
      </c>
      <c r="B266" s="5058"/>
      <c r="C266" s="3518"/>
      <c r="D266" s="3518"/>
      <c r="E266" s="3518"/>
      <c r="F266" s="3518"/>
      <c r="G266" s="3518"/>
      <c r="H266" s="3518"/>
      <c r="I266" s="3518"/>
      <c r="J266" s="3518"/>
      <c r="K266" s="3518"/>
      <c r="L266" s="3543">
        <v>8.3084874766087197E-2</v>
      </c>
      <c r="M266" s="3518"/>
      <c r="N266" s="3543">
        <v>5.5249451932073E-2</v>
      </c>
      <c r="O266" s="3518"/>
      <c r="P266" s="3518"/>
      <c r="Q266" s="3518"/>
      <c r="R266" s="3518"/>
      <c r="S266" s="3518"/>
      <c r="T266" s="3518"/>
      <c r="U266" s="3518"/>
      <c r="V266" s="3518"/>
      <c r="W266" s="3518"/>
      <c r="X266" s="3518"/>
      <c r="Y266" s="3518"/>
      <c r="Z266" s="3518"/>
      <c r="AA266" s="3518"/>
      <c r="AB266" s="3518"/>
      <c r="AC266" s="3518"/>
      <c r="AD266" s="3518"/>
      <c r="AE266" s="3518"/>
      <c r="AF266" s="3518"/>
      <c r="AG266" s="3518"/>
      <c r="AH266" s="3518"/>
      <c r="AI266" s="3518"/>
      <c r="AJ266" s="3518"/>
      <c r="AK266" s="3518"/>
      <c r="AL266" s="3518"/>
      <c r="AM266" s="3518"/>
      <c r="AN266" s="3518"/>
      <c r="AO266" s="3586"/>
      <c r="AP266" s="3512"/>
    </row>
    <row r="267" spans="1:42">
      <c r="A267" s="5057" t="s">
        <v>6</v>
      </c>
      <c r="B267" s="5058"/>
      <c r="C267" s="3518"/>
      <c r="D267" s="3518"/>
      <c r="E267" s="3518"/>
      <c r="F267" s="3518"/>
      <c r="G267" s="3518"/>
      <c r="H267" s="3518"/>
      <c r="I267" s="3518"/>
      <c r="J267" s="3518"/>
      <c r="K267" s="3518"/>
      <c r="L267" s="3545">
        <v>0.13727662822487599</v>
      </c>
      <c r="M267" s="3518"/>
      <c r="N267" s="3543">
        <v>9.5580810315395198E-2</v>
      </c>
      <c r="O267" s="3518"/>
      <c r="P267" s="3518"/>
      <c r="Q267" s="3518"/>
      <c r="R267" s="3518"/>
      <c r="S267" s="3518"/>
      <c r="T267" s="3518"/>
      <c r="U267" s="3518"/>
      <c r="V267" s="3518"/>
      <c r="W267" s="3518"/>
      <c r="X267" s="3518"/>
      <c r="Y267" s="3518"/>
      <c r="Z267" s="3518"/>
      <c r="AA267" s="3518"/>
      <c r="AB267" s="3518"/>
      <c r="AC267" s="3518"/>
      <c r="AD267" s="3518"/>
      <c r="AE267" s="3518"/>
      <c r="AF267" s="3518"/>
      <c r="AG267" s="3518"/>
      <c r="AH267" s="3518"/>
      <c r="AI267" s="3518"/>
      <c r="AJ267" s="3518"/>
      <c r="AK267" s="3518"/>
      <c r="AL267" s="3518"/>
      <c r="AM267" s="3518"/>
      <c r="AN267" s="3518"/>
      <c r="AO267" s="3586"/>
      <c r="AP267" s="3512"/>
    </row>
    <row r="268" spans="1:42">
      <c r="A268" s="5057" t="s">
        <v>7</v>
      </c>
      <c r="B268" s="5058"/>
      <c r="C268" s="3518"/>
      <c r="D268" s="3518"/>
      <c r="E268" s="3518"/>
      <c r="F268" s="3518"/>
      <c r="G268" s="3518"/>
      <c r="H268" s="3518"/>
      <c r="I268" s="3518"/>
      <c r="J268" s="3518"/>
      <c r="K268" s="3518"/>
      <c r="L268" s="3543">
        <v>2.0036808797523498E-2</v>
      </c>
      <c r="M268" s="3518"/>
      <c r="N268" s="3543">
        <v>1.4233537689327299E-2</v>
      </c>
      <c r="O268" s="3518"/>
      <c r="P268" s="3518"/>
      <c r="Q268" s="3518"/>
      <c r="R268" s="3518"/>
      <c r="S268" s="3518"/>
      <c r="T268" s="3518"/>
      <c r="U268" s="3518"/>
      <c r="V268" s="3518"/>
      <c r="W268" s="3518"/>
      <c r="X268" s="3518"/>
      <c r="Y268" s="3518"/>
      <c r="Z268" s="3518"/>
      <c r="AA268" s="3518"/>
      <c r="AB268" s="3518"/>
      <c r="AC268" s="3518"/>
      <c r="AD268" s="3518"/>
      <c r="AE268" s="3518"/>
      <c r="AF268" s="3518"/>
      <c r="AG268" s="3518"/>
      <c r="AH268" s="3518"/>
      <c r="AI268" s="3518"/>
      <c r="AJ268" s="3518"/>
      <c r="AK268" s="3518"/>
      <c r="AL268" s="3518"/>
      <c r="AM268" s="3518"/>
      <c r="AN268" s="3518"/>
      <c r="AO268" s="3586"/>
      <c r="AP268" s="3512"/>
    </row>
    <row r="269" spans="1:42">
      <c r="A269" s="5057" t="s">
        <v>8</v>
      </c>
      <c r="B269" s="5058"/>
      <c r="C269" s="3518"/>
      <c r="D269" s="3518"/>
      <c r="E269" s="3518"/>
      <c r="F269" s="3518"/>
      <c r="G269" s="3518"/>
      <c r="H269" s="3518"/>
      <c r="I269" s="3518"/>
      <c r="J269" s="3518"/>
      <c r="K269" s="3518"/>
      <c r="L269" s="3538">
        <v>5.9204286966486903E-3</v>
      </c>
      <c r="M269" s="3518"/>
      <c r="N269" s="3538">
        <v>4.6034413149871499E-3</v>
      </c>
      <c r="O269" s="3518"/>
      <c r="P269" s="3518"/>
      <c r="Q269" s="3518"/>
      <c r="R269" s="3518"/>
      <c r="S269" s="3518"/>
      <c r="T269" s="3518"/>
      <c r="U269" s="3518"/>
      <c r="V269" s="3518"/>
      <c r="W269" s="3518"/>
      <c r="X269" s="3518"/>
      <c r="Y269" s="3518"/>
      <c r="Z269" s="3518"/>
      <c r="AA269" s="3518"/>
      <c r="AB269" s="3518"/>
      <c r="AC269" s="3518"/>
      <c r="AD269" s="3518"/>
      <c r="AE269" s="3518"/>
      <c r="AF269" s="3518"/>
      <c r="AG269" s="3518"/>
      <c r="AH269" s="3518"/>
      <c r="AI269" s="3518"/>
      <c r="AJ269" s="3518"/>
      <c r="AK269" s="3518"/>
      <c r="AL269" s="3518"/>
      <c r="AM269" s="3518"/>
      <c r="AN269" s="3518"/>
      <c r="AO269" s="3586"/>
      <c r="AP269" s="3512"/>
    </row>
    <row r="270" spans="1:42">
      <c r="A270" s="5057" t="s">
        <v>678</v>
      </c>
      <c r="B270" s="5058"/>
      <c r="C270" s="3518"/>
      <c r="D270" s="3518"/>
      <c r="E270" s="3518"/>
      <c r="F270" s="3518"/>
      <c r="G270" s="3518"/>
      <c r="H270" s="3518"/>
      <c r="I270" s="3518"/>
      <c r="J270" s="3518"/>
      <c r="K270" s="3518"/>
      <c r="L270" s="3537">
        <v>2.35489570156481E-4</v>
      </c>
      <c r="M270" s="3518"/>
      <c r="N270" s="3537">
        <v>2.1391217833191699E-4</v>
      </c>
      <c r="O270" s="3518"/>
      <c r="P270" s="3518"/>
      <c r="Q270" s="3518"/>
      <c r="R270" s="3518"/>
      <c r="S270" s="3518"/>
      <c r="T270" s="3518"/>
      <c r="U270" s="3518"/>
      <c r="V270" s="3518"/>
      <c r="W270" s="3518"/>
      <c r="X270" s="3518"/>
      <c r="Y270" s="3518"/>
      <c r="Z270" s="3518"/>
      <c r="AA270" s="3518"/>
      <c r="AB270" s="3518"/>
      <c r="AC270" s="3518"/>
      <c r="AD270" s="3518"/>
      <c r="AE270" s="3518"/>
      <c r="AF270" s="3518"/>
      <c r="AG270" s="3518"/>
      <c r="AH270" s="3518"/>
      <c r="AI270" s="3518"/>
      <c r="AJ270" s="3518"/>
      <c r="AK270" s="3518"/>
      <c r="AL270" s="3518"/>
      <c r="AM270" s="3518"/>
      <c r="AN270" s="3518"/>
      <c r="AO270" s="3586"/>
      <c r="AP270" s="3512"/>
    </row>
    <row r="271" spans="1:42">
      <c r="A271" s="5057" t="s">
        <v>67</v>
      </c>
      <c r="B271" s="5058"/>
      <c r="C271" s="3518"/>
      <c r="D271" s="3518"/>
      <c r="E271" s="3518"/>
      <c r="F271" s="3518"/>
      <c r="G271" s="3518"/>
      <c r="H271" s="3518"/>
      <c r="I271" s="3518"/>
      <c r="J271" s="3518"/>
      <c r="K271" s="3518"/>
      <c r="L271" s="3537">
        <v>6.0906190683392505E-4</v>
      </c>
      <c r="M271" s="3518"/>
      <c r="N271" s="3537">
        <v>7.1926935046030805E-4</v>
      </c>
      <c r="O271" s="3518"/>
      <c r="P271" s="3518"/>
      <c r="Q271" s="3518"/>
      <c r="R271" s="3518"/>
      <c r="S271" s="3518"/>
      <c r="T271" s="3518"/>
      <c r="U271" s="3518"/>
      <c r="V271" s="3518"/>
      <c r="W271" s="3518"/>
      <c r="X271" s="3518"/>
      <c r="Y271" s="3518"/>
      <c r="Z271" s="3518"/>
      <c r="AA271" s="3518"/>
      <c r="AB271" s="3518"/>
      <c r="AC271" s="3518"/>
      <c r="AD271" s="3518"/>
      <c r="AE271" s="3518"/>
      <c r="AF271" s="3518"/>
      <c r="AG271" s="3518"/>
      <c r="AH271" s="3518"/>
      <c r="AI271" s="3518"/>
      <c r="AJ271" s="3518"/>
      <c r="AK271" s="3518"/>
      <c r="AL271" s="3518"/>
      <c r="AM271" s="3518"/>
      <c r="AN271" s="3518"/>
      <c r="AO271" s="3586"/>
      <c r="AP271" s="3512"/>
    </row>
    <row r="272" spans="1:42">
      <c r="A272" s="5057" t="s">
        <v>679</v>
      </c>
      <c r="B272" s="5058"/>
      <c r="C272" s="3518"/>
      <c r="D272" s="3518"/>
      <c r="E272" s="3518"/>
      <c r="F272" s="3518"/>
      <c r="G272" s="3518"/>
      <c r="H272" s="3518"/>
      <c r="I272" s="3518"/>
      <c r="J272" s="3518"/>
      <c r="K272" s="3518"/>
      <c r="L272" s="3532">
        <v>3.9507275538020202E-5</v>
      </c>
      <c r="M272" s="3518"/>
      <c r="N272" s="3532">
        <v>5.2840479892409897E-5</v>
      </c>
      <c r="O272" s="3518"/>
      <c r="P272" s="3518"/>
      <c r="Q272" s="3518"/>
      <c r="R272" s="3518"/>
      <c r="S272" s="3518"/>
      <c r="T272" s="3518"/>
      <c r="U272" s="3518"/>
      <c r="V272" s="3518"/>
      <c r="W272" s="3518"/>
      <c r="X272" s="3518"/>
      <c r="Y272" s="3518"/>
      <c r="Z272" s="3518"/>
      <c r="AA272" s="3518"/>
      <c r="AB272" s="3518"/>
      <c r="AC272" s="3518"/>
      <c r="AD272" s="3518"/>
      <c r="AE272" s="3518"/>
      <c r="AF272" s="3518"/>
      <c r="AG272" s="3518"/>
      <c r="AH272" s="3518"/>
      <c r="AI272" s="3518"/>
      <c r="AJ272" s="3518"/>
      <c r="AK272" s="3518"/>
      <c r="AL272" s="3518"/>
      <c r="AM272" s="3518"/>
      <c r="AN272" s="3518"/>
      <c r="AO272" s="3586"/>
      <c r="AP272" s="3512"/>
    </row>
    <row r="273" spans="1:42">
      <c r="A273" s="5057" t="s">
        <v>69</v>
      </c>
      <c r="B273" s="5058"/>
      <c r="C273" s="3518"/>
      <c r="D273" s="3518"/>
      <c r="E273" s="3518"/>
      <c r="F273" s="3518"/>
      <c r="G273" s="3518"/>
      <c r="H273" s="3518"/>
      <c r="I273" s="3518"/>
      <c r="J273" s="3518"/>
      <c r="K273" s="3518"/>
      <c r="L273" s="3532">
        <v>4.8025877884027803E-5</v>
      </c>
      <c r="M273" s="3518"/>
      <c r="N273" s="3532">
        <v>6.6446549784810295E-5</v>
      </c>
      <c r="O273" s="3518"/>
      <c r="P273" s="3518"/>
      <c r="Q273" s="3518"/>
      <c r="R273" s="3518"/>
      <c r="S273" s="3518"/>
      <c r="T273" s="3518"/>
      <c r="U273" s="3518"/>
      <c r="V273" s="3518"/>
      <c r="W273" s="3518"/>
      <c r="X273" s="3518"/>
      <c r="Y273" s="3518"/>
      <c r="Z273" s="3518"/>
      <c r="AA273" s="3518"/>
      <c r="AB273" s="3518"/>
      <c r="AC273" s="3518"/>
      <c r="AD273" s="3518"/>
      <c r="AE273" s="3518"/>
      <c r="AF273" s="3518"/>
      <c r="AG273" s="3518"/>
      <c r="AH273" s="3518"/>
      <c r="AI273" s="3518"/>
      <c r="AJ273" s="3518"/>
      <c r="AK273" s="3518"/>
      <c r="AL273" s="3518"/>
      <c r="AM273" s="3518"/>
      <c r="AN273" s="3518"/>
      <c r="AO273" s="3586"/>
      <c r="AP273" s="3512"/>
    </row>
    <row r="274" spans="1:42">
      <c r="A274" s="5057" t="s">
        <v>10</v>
      </c>
      <c r="B274" s="5058"/>
      <c r="C274" s="3518"/>
      <c r="D274" s="3518"/>
      <c r="E274" s="3518"/>
      <c r="F274" s="3518"/>
      <c r="G274" s="3518"/>
      <c r="H274" s="3518"/>
      <c r="I274" s="3518"/>
      <c r="J274" s="3518"/>
      <c r="K274" s="3518"/>
      <c r="L274" s="3532">
        <v>1.9011015071114199E-5</v>
      </c>
      <c r="M274" s="3518"/>
      <c r="N274" s="3532">
        <v>3.2067368500595398E-5</v>
      </c>
      <c r="O274" s="3518"/>
      <c r="P274" s="3518"/>
      <c r="Q274" s="3518"/>
      <c r="R274" s="3518"/>
      <c r="S274" s="3518"/>
      <c r="T274" s="3518"/>
      <c r="U274" s="3518"/>
      <c r="V274" s="3518"/>
      <c r="W274" s="3518"/>
      <c r="X274" s="3518"/>
      <c r="Y274" s="3518"/>
      <c r="Z274" s="3518"/>
      <c r="AA274" s="3518"/>
      <c r="AB274" s="3518"/>
      <c r="AC274" s="3518"/>
      <c r="AD274" s="3518"/>
      <c r="AE274" s="3518"/>
      <c r="AF274" s="3518"/>
      <c r="AG274" s="3518"/>
      <c r="AH274" s="3518"/>
      <c r="AI274" s="3518"/>
      <c r="AJ274" s="3518"/>
      <c r="AK274" s="3518"/>
      <c r="AL274" s="3518"/>
      <c r="AM274" s="3518"/>
      <c r="AN274" s="3518"/>
      <c r="AO274" s="3586"/>
      <c r="AP274" s="3512"/>
    </row>
    <row r="275" spans="1:42">
      <c r="A275" s="5057" t="s">
        <v>298</v>
      </c>
      <c r="B275" s="5058"/>
      <c r="C275" s="3518"/>
      <c r="D275" s="3518"/>
      <c r="E275" s="3518"/>
      <c r="F275" s="3518"/>
      <c r="G275" s="3518"/>
      <c r="H275" s="3518"/>
      <c r="I275" s="3518"/>
      <c r="J275" s="3518"/>
      <c r="K275" s="3518"/>
      <c r="L275" s="3546">
        <v>99.750048467524195</v>
      </c>
      <c r="M275" s="3518"/>
      <c r="N275" s="3546">
        <v>99.827312483391097</v>
      </c>
      <c r="O275" s="3518"/>
      <c r="P275" s="3518"/>
      <c r="Q275" s="3518"/>
      <c r="R275" s="3518"/>
      <c r="S275" s="3518"/>
      <c r="T275" s="3518"/>
      <c r="U275" s="3518"/>
      <c r="V275" s="3518"/>
      <c r="W275" s="3518"/>
      <c r="X275" s="3518"/>
      <c r="Y275" s="3518"/>
      <c r="Z275" s="3518"/>
      <c r="AA275" s="3518"/>
      <c r="AB275" s="3518"/>
      <c r="AC275" s="3518"/>
      <c r="AD275" s="3518"/>
      <c r="AE275" s="3518"/>
      <c r="AF275" s="3518"/>
      <c r="AG275" s="3518"/>
      <c r="AH275" s="3518"/>
      <c r="AI275" s="3518"/>
      <c r="AJ275" s="3518"/>
      <c r="AK275" s="3518"/>
      <c r="AL275" s="3518"/>
      <c r="AM275" s="3518"/>
      <c r="AN275" s="3518"/>
      <c r="AO275" s="3586"/>
      <c r="AP275" s="3512"/>
    </row>
    <row r="276" spans="1:42">
      <c r="A276" s="5057" t="s">
        <v>680</v>
      </c>
      <c r="B276" s="5058"/>
      <c r="C276" s="3518"/>
      <c r="D276" s="3518"/>
      <c r="E276" s="3518"/>
      <c r="F276" s="3518"/>
      <c r="G276" s="3518"/>
      <c r="H276" s="3518"/>
      <c r="I276" s="3518"/>
      <c r="J276" s="3518"/>
      <c r="K276" s="3518"/>
      <c r="L276" s="3535">
        <v>0</v>
      </c>
      <c r="M276" s="3518"/>
      <c r="N276" s="3535">
        <v>0</v>
      </c>
      <c r="O276" s="3518"/>
      <c r="P276" s="3518"/>
      <c r="Q276" s="3518"/>
      <c r="R276" s="3518"/>
      <c r="S276" s="3518"/>
      <c r="T276" s="3518"/>
      <c r="U276" s="3518"/>
      <c r="V276" s="3518"/>
      <c r="W276" s="3518"/>
      <c r="X276" s="3518"/>
      <c r="Y276" s="3518"/>
      <c r="Z276" s="3518"/>
      <c r="AA276" s="3518"/>
      <c r="AB276" s="3518"/>
      <c r="AC276" s="3518"/>
      <c r="AD276" s="3518"/>
      <c r="AE276" s="3518"/>
      <c r="AF276" s="3518"/>
      <c r="AG276" s="3518"/>
      <c r="AH276" s="3518"/>
      <c r="AI276" s="3518"/>
      <c r="AJ276" s="3518"/>
      <c r="AK276" s="3518"/>
      <c r="AL276" s="3518"/>
      <c r="AM276" s="3518"/>
      <c r="AN276" s="3518"/>
      <c r="AO276" s="3586"/>
      <c r="AP276" s="3512"/>
    </row>
    <row r="277" spans="1:42">
      <c r="A277" s="5057" t="s">
        <v>681</v>
      </c>
      <c r="B277" s="5058"/>
      <c r="C277" s="3518"/>
      <c r="D277" s="3518"/>
      <c r="E277" s="3518"/>
      <c r="F277" s="3518"/>
      <c r="G277" s="3518"/>
      <c r="H277" s="3518"/>
      <c r="I277" s="3518"/>
      <c r="J277" s="3518"/>
      <c r="K277" s="3518"/>
      <c r="L277" s="3535">
        <v>0</v>
      </c>
      <c r="M277" s="3518"/>
      <c r="N277" s="3535">
        <v>0</v>
      </c>
      <c r="O277" s="3518"/>
      <c r="P277" s="3518"/>
      <c r="Q277" s="3518"/>
      <c r="R277" s="3518"/>
      <c r="S277" s="3518"/>
      <c r="T277" s="3518"/>
      <c r="U277" s="3518"/>
      <c r="V277" s="3518"/>
      <c r="W277" s="3518"/>
      <c r="X277" s="3518"/>
      <c r="Y277" s="3518"/>
      <c r="Z277" s="3518"/>
      <c r="AA277" s="3518"/>
      <c r="AB277" s="3518"/>
      <c r="AC277" s="3518"/>
      <c r="AD277" s="3518"/>
      <c r="AE277" s="3518"/>
      <c r="AF277" s="3518"/>
      <c r="AG277" s="3518"/>
      <c r="AH277" s="3518"/>
      <c r="AI277" s="3518"/>
      <c r="AJ277" s="3518"/>
      <c r="AK277" s="3518"/>
      <c r="AL277" s="3518"/>
      <c r="AM277" s="3518"/>
      <c r="AN277" s="3518"/>
      <c r="AO277" s="3586"/>
      <c r="AP277" s="3512"/>
    </row>
    <row r="278" spans="1:42">
      <c r="A278" s="5057" t="s">
        <v>675</v>
      </c>
      <c r="B278" s="5058"/>
      <c r="C278" s="3518"/>
      <c r="D278" s="3518"/>
      <c r="E278" s="3518"/>
      <c r="F278" s="3518"/>
      <c r="G278" s="3518"/>
      <c r="H278" s="3518"/>
      <c r="I278" s="3518"/>
      <c r="J278" s="3518"/>
      <c r="K278" s="3518"/>
      <c r="L278" s="3535">
        <v>0</v>
      </c>
      <c r="M278" s="3518"/>
      <c r="N278" s="3535">
        <v>0</v>
      </c>
      <c r="O278" s="3518"/>
      <c r="P278" s="3518"/>
      <c r="Q278" s="3518"/>
      <c r="R278" s="3518"/>
      <c r="S278" s="3518"/>
      <c r="T278" s="3518"/>
      <c r="U278" s="3518"/>
      <c r="V278" s="3518"/>
      <c r="W278" s="3518"/>
      <c r="X278" s="3518"/>
      <c r="Y278" s="3518"/>
      <c r="Z278" s="3518"/>
      <c r="AA278" s="3518"/>
      <c r="AB278" s="3518"/>
      <c r="AC278" s="3518"/>
      <c r="AD278" s="3518"/>
      <c r="AE278" s="3518"/>
      <c r="AF278" s="3518"/>
      <c r="AG278" s="3518"/>
      <c r="AH278" s="3518"/>
      <c r="AI278" s="3518"/>
      <c r="AJ278" s="3518"/>
      <c r="AK278" s="3518"/>
      <c r="AL278" s="3518"/>
      <c r="AM278" s="3518"/>
      <c r="AN278" s="3518"/>
      <c r="AO278" s="3586"/>
      <c r="AP278" s="3512"/>
    </row>
    <row r="279" spans="1:42" ht="13" thickBot="1">
      <c r="A279" s="5055" t="s">
        <v>58</v>
      </c>
      <c r="B279" s="5056"/>
      <c r="C279" s="3519" t="s">
        <v>296</v>
      </c>
      <c r="D279" s="3519" t="s">
        <v>296</v>
      </c>
      <c r="E279" s="3519" t="s">
        <v>296</v>
      </c>
      <c r="F279" s="3519" t="s">
        <v>296</v>
      </c>
      <c r="G279" s="3519" t="s">
        <v>296</v>
      </c>
      <c r="H279" s="3519" t="s">
        <v>296</v>
      </c>
      <c r="I279" s="3519" t="s">
        <v>296</v>
      </c>
      <c r="J279" s="3519" t="s">
        <v>296</v>
      </c>
      <c r="K279" s="3519" t="s">
        <v>296</v>
      </c>
      <c r="L279" s="3519" t="s">
        <v>296</v>
      </c>
      <c r="M279" s="3519" t="s">
        <v>296</v>
      </c>
      <c r="N279" s="3519" t="s">
        <v>296</v>
      </c>
      <c r="O279" s="3519" t="s">
        <v>296</v>
      </c>
      <c r="P279" s="3519" t="s">
        <v>296</v>
      </c>
      <c r="Q279" s="3519" t="s">
        <v>296</v>
      </c>
      <c r="R279" s="3519" t="s">
        <v>296</v>
      </c>
      <c r="S279" s="3519" t="s">
        <v>296</v>
      </c>
      <c r="T279" s="3519" t="s">
        <v>296</v>
      </c>
      <c r="U279" s="3519" t="s">
        <v>296</v>
      </c>
      <c r="V279" s="3519" t="s">
        <v>296</v>
      </c>
      <c r="W279" s="3519" t="s">
        <v>296</v>
      </c>
      <c r="X279" s="3519" t="s">
        <v>296</v>
      </c>
      <c r="Y279" s="3519" t="s">
        <v>296</v>
      </c>
      <c r="Z279" s="3519" t="s">
        <v>296</v>
      </c>
      <c r="AA279" s="3519" t="s">
        <v>296</v>
      </c>
      <c r="AB279" s="3519" t="s">
        <v>296</v>
      </c>
      <c r="AC279" s="3519" t="s">
        <v>296</v>
      </c>
      <c r="AD279" s="3519" t="s">
        <v>296</v>
      </c>
      <c r="AE279" s="3519" t="s">
        <v>296</v>
      </c>
      <c r="AF279" s="3519" t="s">
        <v>296</v>
      </c>
      <c r="AG279" s="3519" t="s">
        <v>296</v>
      </c>
      <c r="AH279" s="3519" t="s">
        <v>296</v>
      </c>
      <c r="AI279" s="3519" t="s">
        <v>296</v>
      </c>
      <c r="AJ279" s="3519" t="s">
        <v>296</v>
      </c>
      <c r="AK279" s="3519" t="s">
        <v>296</v>
      </c>
      <c r="AL279" s="3519" t="s">
        <v>296</v>
      </c>
      <c r="AM279" s="3519" t="s">
        <v>296</v>
      </c>
      <c r="AN279" s="3519" t="s">
        <v>296</v>
      </c>
      <c r="AO279" s="3530" t="s">
        <v>296</v>
      </c>
      <c r="AP279" s="3512"/>
    </row>
    <row r="280" spans="1:42" ht="13" thickTop="1">
      <c r="A280" s="5059" t="s">
        <v>5</v>
      </c>
      <c r="B280" s="5060"/>
      <c r="C280" s="3518"/>
      <c r="D280" s="3518"/>
      <c r="E280" s="3518"/>
      <c r="F280" s="3518"/>
      <c r="G280" s="3518"/>
      <c r="H280" s="3518"/>
      <c r="I280" s="3518"/>
      <c r="J280" s="3518"/>
      <c r="K280" s="3518"/>
      <c r="L280" s="3535">
        <v>0</v>
      </c>
      <c r="M280" s="3518"/>
      <c r="N280" s="3535">
        <v>0</v>
      </c>
      <c r="O280" s="3518"/>
      <c r="P280" s="3518"/>
      <c r="Q280" s="3518"/>
      <c r="R280" s="3518"/>
      <c r="S280" s="3518"/>
      <c r="T280" s="3518"/>
      <c r="U280" s="3518"/>
      <c r="V280" s="3518"/>
      <c r="W280" s="3518"/>
      <c r="X280" s="3518"/>
      <c r="Y280" s="3518"/>
      <c r="Z280" s="3518"/>
      <c r="AA280" s="3518"/>
      <c r="AB280" s="3518"/>
      <c r="AC280" s="3518"/>
      <c r="AD280" s="3518"/>
      <c r="AE280" s="3518"/>
      <c r="AF280" s="3518"/>
      <c r="AG280" s="3518"/>
      <c r="AH280" s="3518"/>
      <c r="AI280" s="3518"/>
      <c r="AJ280" s="3518"/>
      <c r="AK280" s="3518"/>
      <c r="AL280" s="3518"/>
      <c r="AM280" s="3518"/>
      <c r="AN280" s="3518"/>
      <c r="AO280" s="3586"/>
      <c r="AP280" s="3512"/>
    </row>
    <row r="281" spans="1:42">
      <c r="A281" s="5057" t="s">
        <v>674</v>
      </c>
      <c r="B281" s="5058"/>
      <c r="C281" s="3518"/>
      <c r="D281" s="3518"/>
      <c r="E281" s="3518"/>
      <c r="F281" s="3518"/>
      <c r="G281" s="3518"/>
      <c r="H281" s="3518"/>
      <c r="I281" s="3518"/>
      <c r="J281" s="3518"/>
      <c r="K281" s="3518"/>
      <c r="L281" s="3538">
        <v>4.1645481513144199E-3</v>
      </c>
      <c r="M281" s="3518"/>
      <c r="N281" s="3538">
        <v>3.0073573813498501E-3</v>
      </c>
      <c r="O281" s="3518"/>
      <c r="P281" s="3518"/>
      <c r="Q281" s="3518"/>
      <c r="R281" s="3518"/>
      <c r="S281" s="3518"/>
      <c r="T281" s="3518"/>
      <c r="U281" s="3518"/>
      <c r="V281" s="3518"/>
      <c r="W281" s="3518"/>
      <c r="X281" s="3518"/>
      <c r="Y281" s="3518"/>
      <c r="Z281" s="3518"/>
      <c r="AA281" s="3518"/>
      <c r="AB281" s="3518"/>
      <c r="AC281" s="3518"/>
      <c r="AD281" s="3518"/>
      <c r="AE281" s="3518"/>
      <c r="AF281" s="3518"/>
      <c r="AG281" s="3518"/>
      <c r="AH281" s="3518"/>
      <c r="AI281" s="3518"/>
      <c r="AJ281" s="3518"/>
      <c r="AK281" s="3518"/>
      <c r="AL281" s="3518"/>
      <c r="AM281" s="3518"/>
      <c r="AN281" s="3518"/>
      <c r="AO281" s="3586"/>
      <c r="AP281" s="3512"/>
    </row>
    <row r="282" spans="1:42">
      <c r="A282" s="5057" t="s">
        <v>3</v>
      </c>
      <c r="B282" s="5058"/>
      <c r="C282" s="3518"/>
      <c r="D282" s="3518"/>
      <c r="E282" s="3518"/>
      <c r="F282" s="3518"/>
      <c r="G282" s="3518"/>
      <c r="H282" s="3518"/>
      <c r="I282" s="3518"/>
      <c r="J282" s="3518"/>
      <c r="K282" s="3518"/>
      <c r="L282" s="3545">
        <v>0.202703323441421</v>
      </c>
      <c r="M282" s="3518"/>
      <c r="N282" s="3545">
        <v>0.13484868958446</v>
      </c>
      <c r="O282" s="3518"/>
      <c r="P282" s="3518"/>
      <c r="Q282" s="3518"/>
      <c r="R282" s="3518"/>
      <c r="S282" s="3518"/>
      <c r="T282" s="3518"/>
      <c r="U282" s="3518"/>
      <c r="V282" s="3518"/>
      <c r="W282" s="3518"/>
      <c r="X282" s="3518"/>
      <c r="Y282" s="3518"/>
      <c r="Z282" s="3518"/>
      <c r="AA282" s="3518"/>
      <c r="AB282" s="3518"/>
      <c r="AC282" s="3518"/>
      <c r="AD282" s="3518"/>
      <c r="AE282" s="3518"/>
      <c r="AF282" s="3518"/>
      <c r="AG282" s="3518"/>
      <c r="AH282" s="3518"/>
      <c r="AI282" s="3518"/>
      <c r="AJ282" s="3518"/>
      <c r="AK282" s="3518"/>
      <c r="AL282" s="3518"/>
      <c r="AM282" s="3518"/>
      <c r="AN282" s="3518"/>
      <c r="AO282" s="3586"/>
      <c r="AP282" s="3512"/>
    </row>
    <row r="283" spans="1:42">
      <c r="A283" s="5057" t="s">
        <v>6</v>
      </c>
      <c r="B283" s="5058"/>
      <c r="C283" s="3518"/>
      <c r="D283" s="3518"/>
      <c r="E283" s="3518"/>
      <c r="F283" s="3518"/>
      <c r="G283" s="3518"/>
      <c r="H283" s="3518"/>
      <c r="I283" s="3518"/>
      <c r="J283" s="3518"/>
      <c r="K283" s="3518"/>
      <c r="L283" s="3545">
        <v>0.122084360835835</v>
      </c>
      <c r="M283" s="3518"/>
      <c r="N283" s="3543">
        <v>8.5038187468849002E-2</v>
      </c>
      <c r="O283" s="3518"/>
      <c r="P283" s="3518"/>
      <c r="Q283" s="3518"/>
      <c r="R283" s="3518"/>
      <c r="S283" s="3518"/>
      <c r="T283" s="3518"/>
      <c r="U283" s="3518"/>
      <c r="V283" s="3518"/>
      <c r="W283" s="3518"/>
      <c r="X283" s="3518"/>
      <c r="Y283" s="3518"/>
      <c r="Z283" s="3518"/>
      <c r="AA283" s="3518"/>
      <c r="AB283" s="3518"/>
      <c r="AC283" s="3518"/>
      <c r="AD283" s="3518"/>
      <c r="AE283" s="3518"/>
      <c r="AF283" s="3518"/>
      <c r="AG283" s="3518"/>
      <c r="AH283" s="3518"/>
      <c r="AI283" s="3518"/>
      <c r="AJ283" s="3518"/>
      <c r="AK283" s="3518"/>
      <c r="AL283" s="3518"/>
      <c r="AM283" s="3518"/>
      <c r="AN283" s="3518"/>
      <c r="AO283" s="3586"/>
      <c r="AP283" s="3512"/>
    </row>
    <row r="284" spans="1:42">
      <c r="A284" s="5057" t="s">
        <v>7</v>
      </c>
      <c r="B284" s="5058"/>
      <c r="C284" s="3518"/>
      <c r="D284" s="3518"/>
      <c r="E284" s="3518"/>
      <c r="F284" s="3518"/>
      <c r="G284" s="3518"/>
      <c r="H284" s="3518"/>
      <c r="I284" s="3518"/>
      <c r="J284" s="3518"/>
      <c r="K284" s="3518"/>
      <c r="L284" s="3543">
        <v>3.33995474172291E-2</v>
      </c>
      <c r="M284" s="3518"/>
      <c r="N284" s="3543">
        <v>2.3735847347406101E-2</v>
      </c>
      <c r="O284" s="3518"/>
      <c r="P284" s="3518"/>
      <c r="Q284" s="3518"/>
      <c r="R284" s="3518"/>
      <c r="S284" s="3518"/>
      <c r="T284" s="3518"/>
      <c r="U284" s="3518"/>
      <c r="V284" s="3518"/>
      <c r="W284" s="3518"/>
      <c r="X284" s="3518"/>
      <c r="Y284" s="3518"/>
      <c r="Z284" s="3518"/>
      <c r="AA284" s="3518"/>
      <c r="AB284" s="3518"/>
      <c r="AC284" s="3518"/>
      <c r="AD284" s="3518"/>
      <c r="AE284" s="3518"/>
      <c r="AF284" s="3518"/>
      <c r="AG284" s="3518"/>
      <c r="AH284" s="3518"/>
      <c r="AI284" s="3518"/>
      <c r="AJ284" s="3518"/>
      <c r="AK284" s="3518"/>
      <c r="AL284" s="3518"/>
      <c r="AM284" s="3518"/>
      <c r="AN284" s="3518"/>
      <c r="AO284" s="3586"/>
      <c r="AP284" s="3512"/>
    </row>
    <row r="285" spans="1:42">
      <c r="A285" s="5057" t="s">
        <v>8</v>
      </c>
      <c r="B285" s="5058"/>
      <c r="C285" s="3518"/>
      <c r="D285" s="3518"/>
      <c r="E285" s="3518"/>
      <c r="F285" s="3518"/>
      <c r="G285" s="3518"/>
      <c r="H285" s="3518"/>
      <c r="I285" s="3518"/>
      <c r="J285" s="3518"/>
      <c r="K285" s="3518"/>
      <c r="L285" s="3543">
        <v>1.44724171987064E-2</v>
      </c>
      <c r="M285" s="3518"/>
      <c r="N285" s="3543">
        <v>1.1257718533154701E-2</v>
      </c>
      <c r="O285" s="3518"/>
      <c r="P285" s="3518"/>
      <c r="Q285" s="3518"/>
      <c r="R285" s="3518"/>
      <c r="S285" s="3518"/>
      <c r="T285" s="3518"/>
      <c r="U285" s="3518"/>
      <c r="V285" s="3518"/>
      <c r="W285" s="3518"/>
      <c r="X285" s="3518"/>
      <c r="Y285" s="3518"/>
      <c r="Z285" s="3518"/>
      <c r="AA285" s="3518"/>
      <c r="AB285" s="3518"/>
      <c r="AC285" s="3518"/>
      <c r="AD285" s="3518"/>
      <c r="AE285" s="3518"/>
      <c r="AF285" s="3518"/>
      <c r="AG285" s="3518"/>
      <c r="AH285" s="3518"/>
      <c r="AI285" s="3518"/>
      <c r="AJ285" s="3518"/>
      <c r="AK285" s="3518"/>
      <c r="AL285" s="3518"/>
      <c r="AM285" s="3518"/>
      <c r="AN285" s="3518"/>
      <c r="AO285" s="3586"/>
      <c r="AP285" s="3512"/>
    </row>
    <row r="286" spans="1:42">
      <c r="A286" s="5057" t="s">
        <v>678</v>
      </c>
      <c r="B286" s="5058"/>
      <c r="C286" s="3518"/>
      <c r="D286" s="3518"/>
      <c r="E286" s="3518"/>
      <c r="F286" s="3518"/>
      <c r="G286" s="3518"/>
      <c r="H286" s="3518"/>
      <c r="I286" s="3518"/>
      <c r="J286" s="3518"/>
      <c r="K286" s="3518"/>
      <c r="L286" s="3537">
        <v>7.5876307288370599E-4</v>
      </c>
      <c r="M286" s="3518"/>
      <c r="N286" s="3537">
        <v>6.89524777162021E-4</v>
      </c>
      <c r="O286" s="3518"/>
      <c r="P286" s="3518"/>
      <c r="Q286" s="3518"/>
      <c r="R286" s="3518"/>
      <c r="S286" s="3518"/>
      <c r="T286" s="3518"/>
      <c r="U286" s="3518"/>
      <c r="V286" s="3518"/>
      <c r="W286" s="3518"/>
      <c r="X286" s="3518"/>
      <c r="Y286" s="3518"/>
      <c r="Z286" s="3518"/>
      <c r="AA286" s="3518"/>
      <c r="AB286" s="3518"/>
      <c r="AC286" s="3518"/>
      <c r="AD286" s="3518"/>
      <c r="AE286" s="3518"/>
      <c r="AF286" s="3518"/>
      <c r="AG286" s="3518"/>
      <c r="AH286" s="3518"/>
      <c r="AI286" s="3518"/>
      <c r="AJ286" s="3518"/>
      <c r="AK286" s="3518"/>
      <c r="AL286" s="3518"/>
      <c r="AM286" s="3518"/>
      <c r="AN286" s="3518"/>
      <c r="AO286" s="3586"/>
      <c r="AP286" s="3512"/>
    </row>
    <row r="287" spans="1:42">
      <c r="A287" s="5057" t="s">
        <v>67</v>
      </c>
      <c r="B287" s="5058"/>
      <c r="C287" s="3518"/>
      <c r="D287" s="3518"/>
      <c r="E287" s="3518"/>
      <c r="F287" s="3518"/>
      <c r="G287" s="3518"/>
      <c r="H287" s="3518"/>
      <c r="I287" s="3518"/>
      <c r="J287" s="3518"/>
      <c r="K287" s="3518"/>
      <c r="L287" s="3538">
        <v>1.9624380124293101E-3</v>
      </c>
      <c r="M287" s="3518"/>
      <c r="N287" s="3538">
        <v>2.3184937036453798E-3</v>
      </c>
      <c r="O287" s="3518"/>
      <c r="P287" s="3518"/>
      <c r="Q287" s="3518"/>
      <c r="R287" s="3518"/>
      <c r="S287" s="3518"/>
      <c r="T287" s="3518"/>
      <c r="U287" s="3518"/>
      <c r="V287" s="3518"/>
      <c r="W287" s="3518"/>
      <c r="X287" s="3518"/>
      <c r="Y287" s="3518"/>
      <c r="Z287" s="3518"/>
      <c r="AA287" s="3518"/>
      <c r="AB287" s="3518"/>
      <c r="AC287" s="3518"/>
      <c r="AD287" s="3518"/>
      <c r="AE287" s="3518"/>
      <c r="AF287" s="3518"/>
      <c r="AG287" s="3518"/>
      <c r="AH287" s="3518"/>
      <c r="AI287" s="3518"/>
      <c r="AJ287" s="3518"/>
      <c r="AK287" s="3518"/>
      <c r="AL287" s="3518"/>
      <c r="AM287" s="3518"/>
      <c r="AN287" s="3518"/>
      <c r="AO287" s="3586"/>
      <c r="AP287" s="3512"/>
    </row>
    <row r="288" spans="1:42">
      <c r="A288" s="5057" t="s">
        <v>679</v>
      </c>
      <c r="B288" s="5058"/>
      <c r="C288" s="3518"/>
      <c r="D288" s="3518"/>
      <c r="E288" s="3518"/>
      <c r="F288" s="3518"/>
      <c r="G288" s="3518"/>
      <c r="H288" s="3518"/>
      <c r="I288" s="3518"/>
      <c r="J288" s="3518"/>
      <c r="K288" s="3518"/>
      <c r="L288" s="3537">
        <v>1.5801508106825301E-4</v>
      </c>
      <c r="M288" s="3518"/>
      <c r="N288" s="3537">
        <v>2.1143070928865E-4</v>
      </c>
      <c r="O288" s="3518"/>
      <c r="P288" s="3518"/>
      <c r="Q288" s="3518"/>
      <c r="R288" s="3518"/>
      <c r="S288" s="3518"/>
      <c r="T288" s="3518"/>
      <c r="U288" s="3518"/>
      <c r="V288" s="3518"/>
      <c r="W288" s="3518"/>
      <c r="X288" s="3518"/>
      <c r="Y288" s="3518"/>
      <c r="Z288" s="3518"/>
      <c r="AA288" s="3518"/>
      <c r="AB288" s="3518"/>
      <c r="AC288" s="3518"/>
      <c r="AD288" s="3518"/>
      <c r="AE288" s="3518"/>
      <c r="AF288" s="3518"/>
      <c r="AG288" s="3518"/>
      <c r="AH288" s="3518"/>
      <c r="AI288" s="3518"/>
      <c r="AJ288" s="3518"/>
      <c r="AK288" s="3518"/>
      <c r="AL288" s="3518"/>
      <c r="AM288" s="3518"/>
      <c r="AN288" s="3518"/>
      <c r="AO288" s="3586"/>
      <c r="AP288" s="3512"/>
    </row>
    <row r="289" spans="1:42">
      <c r="A289" s="5057" t="s">
        <v>69</v>
      </c>
      <c r="B289" s="5058"/>
      <c r="C289" s="3518"/>
      <c r="D289" s="3518"/>
      <c r="E289" s="3518"/>
      <c r="F289" s="3518"/>
      <c r="G289" s="3518"/>
      <c r="H289" s="3518"/>
      <c r="I289" s="3518"/>
      <c r="J289" s="3518"/>
      <c r="K289" s="3518"/>
      <c r="L289" s="3537">
        <v>1.92086467210717E-4</v>
      </c>
      <c r="M289" s="3518"/>
      <c r="N289" s="3537">
        <v>2.6587270175046297E-4</v>
      </c>
      <c r="O289" s="3518"/>
      <c r="P289" s="3518"/>
      <c r="Q289" s="3518"/>
      <c r="R289" s="3518"/>
      <c r="S289" s="3518"/>
      <c r="T289" s="3518"/>
      <c r="U289" s="3518"/>
      <c r="V289" s="3518"/>
      <c r="W289" s="3518"/>
      <c r="X289" s="3518"/>
      <c r="Y289" s="3518"/>
      <c r="Z289" s="3518"/>
      <c r="AA289" s="3518"/>
      <c r="AB289" s="3518"/>
      <c r="AC289" s="3518"/>
      <c r="AD289" s="3518"/>
      <c r="AE289" s="3518"/>
      <c r="AF289" s="3518"/>
      <c r="AG289" s="3518"/>
      <c r="AH289" s="3518"/>
      <c r="AI289" s="3518"/>
      <c r="AJ289" s="3518"/>
      <c r="AK289" s="3518"/>
      <c r="AL289" s="3518"/>
      <c r="AM289" s="3518"/>
      <c r="AN289" s="3518"/>
      <c r="AO289" s="3586"/>
      <c r="AP289" s="3512"/>
    </row>
    <row r="290" spans="1:42">
      <c r="A290" s="5057" t="s">
        <v>10</v>
      </c>
      <c r="B290" s="5058"/>
      <c r="C290" s="3518"/>
      <c r="D290" s="3518"/>
      <c r="E290" s="3518"/>
      <c r="F290" s="3518"/>
      <c r="G290" s="3518"/>
      <c r="H290" s="3518"/>
      <c r="I290" s="3518"/>
      <c r="J290" s="3518"/>
      <c r="K290" s="3518"/>
      <c r="L290" s="3532">
        <v>9.0819870369604106E-5</v>
      </c>
      <c r="M290" s="3518"/>
      <c r="N290" s="3537">
        <v>1.5325644618130899E-4</v>
      </c>
      <c r="O290" s="3518"/>
      <c r="P290" s="3518"/>
      <c r="Q290" s="3518"/>
      <c r="R290" s="3518"/>
      <c r="S290" s="3518"/>
      <c r="T290" s="3518"/>
      <c r="U290" s="3518"/>
      <c r="V290" s="3518"/>
      <c r="W290" s="3518"/>
      <c r="X290" s="3518"/>
      <c r="Y290" s="3518"/>
      <c r="Z290" s="3518"/>
      <c r="AA290" s="3518"/>
      <c r="AB290" s="3518"/>
      <c r="AC290" s="3518"/>
      <c r="AD290" s="3518"/>
      <c r="AE290" s="3518"/>
      <c r="AF290" s="3518"/>
      <c r="AG290" s="3518"/>
      <c r="AH290" s="3518"/>
      <c r="AI290" s="3518"/>
      <c r="AJ290" s="3518"/>
      <c r="AK290" s="3518"/>
      <c r="AL290" s="3518"/>
      <c r="AM290" s="3518"/>
      <c r="AN290" s="3518"/>
      <c r="AO290" s="3586"/>
      <c r="AP290" s="3512"/>
    </row>
    <row r="291" spans="1:42">
      <c r="A291" s="5057" t="s">
        <v>298</v>
      </c>
      <c r="B291" s="5058"/>
      <c r="C291" s="3518"/>
      <c r="D291" s="3518"/>
      <c r="E291" s="3518"/>
      <c r="F291" s="3518"/>
      <c r="G291" s="3518"/>
      <c r="H291" s="3518"/>
      <c r="I291" s="3518"/>
      <c r="J291" s="3518"/>
      <c r="K291" s="3518"/>
      <c r="L291" s="3546">
        <v>99.620013680451507</v>
      </c>
      <c r="M291" s="3518"/>
      <c r="N291" s="3546">
        <v>99.738473621346799</v>
      </c>
      <c r="O291" s="3518"/>
      <c r="P291" s="3518"/>
      <c r="Q291" s="3518"/>
      <c r="R291" s="3518"/>
      <c r="S291" s="3518"/>
      <c r="T291" s="3518"/>
      <c r="U291" s="3518"/>
      <c r="V291" s="3518"/>
      <c r="W291" s="3518"/>
      <c r="X291" s="3518"/>
      <c r="Y291" s="3518"/>
      <c r="Z291" s="3518"/>
      <c r="AA291" s="3518"/>
      <c r="AB291" s="3518"/>
      <c r="AC291" s="3518"/>
      <c r="AD291" s="3518"/>
      <c r="AE291" s="3518"/>
      <c r="AF291" s="3518"/>
      <c r="AG291" s="3518"/>
      <c r="AH291" s="3518"/>
      <c r="AI291" s="3518"/>
      <c r="AJ291" s="3518"/>
      <c r="AK291" s="3518"/>
      <c r="AL291" s="3518"/>
      <c r="AM291" s="3518"/>
      <c r="AN291" s="3518"/>
      <c r="AO291" s="3586"/>
      <c r="AP291" s="3512"/>
    </row>
    <row r="292" spans="1:42">
      <c r="A292" s="5057" t="s">
        <v>680</v>
      </c>
      <c r="B292" s="5058"/>
      <c r="C292" s="3518"/>
      <c r="D292" s="3518"/>
      <c r="E292" s="3518"/>
      <c r="F292" s="3518"/>
      <c r="G292" s="3518"/>
      <c r="H292" s="3518"/>
      <c r="I292" s="3518"/>
      <c r="J292" s="3518"/>
      <c r="K292" s="3518"/>
      <c r="L292" s="3535">
        <v>0</v>
      </c>
      <c r="M292" s="3518"/>
      <c r="N292" s="3535">
        <v>0</v>
      </c>
      <c r="O292" s="3518"/>
      <c r="P292" s="3518"/>
      <c r="Q292" s="3518"/>
      <c r="R292" s="3518"/>
      <c r="S292" s="3518"/>
      <c r="T292" s="3518"/>
      <c r="U292" s="3518"/>
      <c r="V292" s="3518"/>
      <c r="W292" s="3518"/>
      <c r="X292" s="3518"/>
      <c r="Y292" s="3518"/>
      <c r="Z292" s="3518"/>
      <c r="AA292" s="3518"/>
      <c r="AB292" s="3518"/>
      <c r="AC292" s="3518"/>
      <c r="AD292" s="3518"/>
      <c r="AE292" s="3518"/>
      <c r="AF292" s="3518"/>
      <c r="AG292" s="3518"/>
      <c r="AH292" s="3518"/>
      <c r="AI292" s="3518"/>
      <c r="AJ292" s="3518"/>
      <c r="AK292" s="3518"/>
      <c r="AL292" s="3518"/>
      <c r="AM292" s="3518"/>
      <c r="AN292" s="3518"/>
      <c r="AO292" s="3586"/>
      <c r="AP292" s="3512"/>
    </row>
    <row r="293" spans="1:42">
      <c r="A293" s="5057" t="s">
        <v>681</v>
      </c>
      <c r="B293" s="5058"/>
      <c r="C293" s="3518"/>
      <c r="D293" s="3518"/>
      <c r="E293" s="3518"/>
      <c r="F293" s="3518"/>
      <c r="G293" s="3518"/>
      <c r="H293" s="3518"/>
      <c r="I293" s="3518"/>
      <c r="J293" s="3518"/>
      <c r="K293" s="3518"/>
      <c r="L293" s="3535">
        <v>0</v>
      </c>
      <c r="M293" s="3518"/>
      <c r="N293" s="3535">
        <v>0</v>
      </c>
      <c r="O293" s="3518"/>
      <c r="P293" s="3518"/>
      <c r="Q293" s="3518"/>
      <c r="R293" s="3518"/>
      <c r="S293" s="3518"/>
      <c r="T293" s="3518"/>
      <c r="U293" s="3518"/>
      <c r="V293" s="3518"/>
      <c r="W293" s="3518"/>
      <c r="X293" s="3518"/>
      <c r="Y293" s="3518"/>
      <c r="Z293" s="3518"/>
      <c r="AA293" s="3518"/>
      <c r="AB293" s="3518"/>
      <c r="AC293" s="3518"/>
      <c r="AD293" s="3518"/>
      <c r="AE293" s="3518"/>
      <c r="AF293" s="3518"/>
      <c r="AG293" s="3518"/>
      <c r="AH293" s="3518"/>
      <c r="AI293" s="3518"/>
      <c r="AJ293" s="3518"/>
      <c r="AK293" s="3518"/>
      <c r="AL293" s="3518"/>
      <c r="AM293" s="3518"/>
      <c r="AN293" s="3518"/>
      <c r="AO293" s="3586"/>
      <c r="AP293" s="3512"/>
    </row>
    <row r="294" spans="1:42">
      <c r="A294" s="5057" t="s">
        <v>675</v>
      </c>
      <c r="B294" s="5058"/>
      <c r="C294" s="3518"/>
      <c r="D294" s="3518"/>
      <c r="E294" s="3518"/>
      <c r="F294" s="3518"/>
      <c r="G294" s="3518"/>
      <c r="H294" s="3518"/>
      <c r="I294" s="3518"/>
      <c r="J294" s="3518"/>
      <c r="K294" s="3518"/>
      <c r="L294" s="3535">
        <v>0</v>
      </c>
      <c r="M294" s="3518"/>
      <c r="N294" s="3535">
        <v>0</v>
      </c>
      <c r="O294" s="3518"/>
      <c r="P294" s="3518"/>
      <c r="Q294" s="3518"/>
      <c r="R294" s="3518"/>
      <c r="S294" s="3518"/>
      <c r="T294" s="3518"/>
      <c r="U294" s="3518"/>
      <c r="V294" s="3518"/>
      <c r="W294" s="3518"/>
      <c r="X294" s="3518"/>
      <c r="Y294" s="3518"/>
      <c r="Z294" s="3518"/>
      <c r="AA294" s="3518"/>
      <c r="AB294" s="3518"/>
      <c r="AC294" s="3518"/>
      <c r="AD294" s="3518"/>
      <c r="AE294" s="3518"/>
      <c r="AF294" s="3518"/>
      <c r="AG294" s="3518"/>
      <c r="AH294" s="3518"/>
      <c r="AI294" s="3518"/>
      <c r="AJ294" s="3518"/>
      <c r="AK294" s="3518"/>
      <c r="AL294" s="3518"/>
      <c r="AM294" s="3518"/>
      <c r="AN294" s="3518"/>
      <c r="AO294" s="3586"/>
      <c r="AP294" s="3512"/>
    </row>
    <row r="295" spans="1:42" ht="13" thickBot="1">
      <c r="A295" s="5055" t="s">
        <v>425</v>
      </c>
      <c r="B295" s="5056"/>
      <c r="C295" s="3519" t="s">
        <v>426</v>
      </c>
      <c r="D295" s="3519" t="s">
        <v>426</v>
      </c>
      <c r="E295" s="3519" t="s">
        <v>426</v>
      </c>
      <c r="F295" s="3519" t="s">
        <v>426</v>
      </c>
      <c r="G295" s="3519" t="s">
        <v>426</v>
      </c>
      <c r="H295" s="3519" t="s">
        <v>426</v>
      </c>
      <c r="I295" s="3519" t="s">
        <v>426</v>
      </c>
      <c r="J295" s="3519" t="s">
        <v>426</v>
      </c>
      <c r="K295" s="3519" t="s">
        <v>426</v>
      </c>
      <c r="L295" s="3519" t="s">
        <v>426</v>
      </c>
      <c r="M295" s="3519" t="s">
        <v>426</v>
      </c>
      <c r="N295" s="3519" t="s">
        <v>426</v>
      </c>
      <c r="O295" s="3519" t="s">
        <v>426</v>
      </c>
      <c r="P295" s="3519" t="s">
        <v>426</v>
      </c>
      <c r="Q295" s="3519" t="s">
        <v>426</v>
      </c>
      <c r="R295" s="3519" t="s">
        <v>426</v>
      </c>
      <c r="S295" s="3519" t="s">
        <v>426</v>
      </c>
      <c r="T295" s="3519" t="s">
        <v>426</v>
      </c>
      <c r="U295" s="3519" t="s">
        <v>426</v>
      </c>
      <c r="V295" s="3519" t="s">
        <v>426</v>
      </c>
      <c r="W295" s="3519" t="s">
        <v>426</v>
      </c>
      <c r="X295" s="3519" t="s">
        <v>426</v>
      </c>
      <c r="Y295" s="3519" t="s">
        <v>426</v>
      </c>
      <c r="Z295" s="3519" t="s">
        <v>426</v>
      </c>
      <c r="AA295" s="3519" t="s">
        <v>426</v>
      </c>
      <c r="AB295" s="3519" t="s">
        <v>426</v>
      </c>
      <c r="AC295" s="3519" t="s">
        <v>426</v>
      </c>
      <c r="AD295" s="3519" t="s">
        <v>426</v>
      </c>
      <c r="AE295" s="3519" t="s">
        <v>426</v>
      </c>
      <c r="AF295" s="3519" t="s">
        <v>426</v>
      </c>
      <c r="AG295" s="3519" t="s">
        <v>426</v>
      </c>
      <c r="AH295" s="3519" t="s">
        <v>426</v>
      </c>
      <c r="AI295" s="3519" t="s">
        <v>426</v>
      </c>
      <c r="AJ295" s="3519" t="s">
        <v>426</v>
      </c>
      <c r="AK295" s="3519" t="s">
        <v>426</v>
      </c>
      <c r="AL295" s="3519" t="s">
        <v>426</v>
      </c>
      <c r="AM295" s="3519" t="s">
        <v>426</v>
      </c>
      <c r="AN295" s="3519" t="s">
        <v>426</v>
      </c>
      <c r="AO295" s="3530" t="s">
        <v>426</v>
      </c>
      <c r="AP295" s="3512"/>
    </row>
    <row r="296" spans="1:42" ht="13" thickTop="1">
      <c r="A296" s="5059" t="s">
        <v>5</v>
      </c>
      <c r="B296" s="5060"/>
      <c r="C296" s="3518"/>
      <c r="D296" s="3518"/>
      <c r="E296" s="3518"/>
      <c r="F296" s="3518"/>
      <c r="G296" s="3518"/>
      <c r="H296" s="3518"/>
      <c r="I296" s="3518"/>
      <c r="J296" s="3518"/>
      <c r="K296" s="3518"/>
      <c r="L296" s="3535">
        <v>0</v>
      </c>
      <c r="M296" s="3518"/>
      <c r="N296" s="3535">
        <v>0</v>
      </c>
      <c r="O296" s="3518"/>
      <c r="P296" s="3518"/>
      <c r="Q296" s="3518"/>
      <c r="R296" s="3518"/>
      <c r="S296" s="3518"/>
      <c r="T296" s="3518"/>
      <c r="U296" s="3518"/>
      <c r="V296" s="3518"/>
      <c r="W296" s="3518"/>
      <c r="X296" s="3518"/>
      <c r="Y296" s="3518"/>
      <c r="Z296" s="3518"/>
      <c r="AA296" s="3518"/>
      <c r="AB296" s="3518"/>
      <c r="AC296" s="3518"/>
      <c r="AD296" s="3518"/>
      <c r="AE296" s="3518"/>
      <c r="AF296" s="3518"/>
      <c r="AG296" s="3518"/>
      <c r="AH296" s="3518"/>
      <c r="AI296" s="3518"/>
      <c r="AJ296" s="3518"/>
      <c r="AK296" s="3518"/>
      <c r="AL296" s="3518"/>
      <c r="AM296" s="3518"/>
      <c r="AN296" s="3518"/>
      <c r="AO296" s="3586"/>
      <c r="AP296" s="3512"/>
    </row>
    <row r="297" spans="1:42">
      <c r="A297" s="5057" t="s">
        <v>674</v>
      </c>
      <c r="B297" s="5058"/>
      <c r="C297" s="3518"/>
      <c r="D297" s="3518"/>
      <c r="E297" s="3518"/>
      <c r="F297" s="3518"/>
      <c r="G297" s="3518"/>
      <c r="H297" s="3518"/>
      <c r="I297" s="3518"/>
      <c r="J297" s="3518"/>
      <c r="K297" s="3518"/>
      <c r="L297" s="3543">
        <v>1.1559415699654799E-2</v>
      </c>
      <c r="M297" s="3518"/>
      <c r="N297" s="3538">
        <v>3.4104278314209301E-3</v>
      </c>
      <c r="O297" s="3518"/>
      <c r="P297" s="3518"/>
      <c r="Q297" s="3518"/>
      <c r="R297" s="3518"/>
      <c r="S297" s="3518"/>
      <c r="T297" s="3518"/>
      <c r="U297" s="3518"/>
      <c r="V297" s="3518"/>
      <c r="W297" s="3518"/>
      <c r="X297" s="3518"/>
      <c r="Y297" s="3518"/>
      <c r="Z297" s="3518"/>
      <c r="AA297" s="3518"/>
      <c r="AB297" s="3518"/>
      <c r="AC297" s="3518"/>
      <c r="AD297" s="3518"/>
      <c r="AE297" s="3518"/>
      <c r="AF297" s="3518"/>
      <c r="AG297" s="3518"/>
      <c r="AH297" s="3518"/>
      <c r="AI297" s="3518"/>
      <c r="AJ297" s="3518"/>
      <c r="AK297" s="3518"/>
      <c r="AL297" s="3518"/>
      <c r="AM297" s="3518"/>
      <c r="AN297" s="3518"/>
      <c r="AO297" s="3586"/>
      <c r="AP297" s="3512"/>
    </row>
    <row r="298" spans="1:42">
      <c r="A298" s="5057" t="s">
        <v>3</v>
      </c>
      <c r="B298" s="5058"/>
      <c r="C298" s="3518"/>
      <c r="D298" s="3518"/>
      <c r="E298" s="3518"/>
      <c r="F298" s="3518"/>
      <c r="G298" s="3518"/>
      <c r="H298" s="3518"/>
      <c r="I298" s="3518"/>
      <c r="J298" s="3518"/>
      <c r="K298" s="3518"/>
      <c r="L298" s="3545">
        <v>0.56263774465458605</v>
      </c>
      <c r="M298" s="3518"/>
      <c r="N298" s="3545">
        <v>0.15292220566850701</v>
      </c>
      <c r="O298" s="3518"/>
      <c r="P298" s="3518"/>
      <c r="Q298" s="3518"/>
      <c r="R298" s="3518"/>
      <c r="S298" s="3518"/>
      <c r="T298" s="3518"/>
      <c r="U298" s="3518"/>
      <c r="V298" s="3518"/>
      <c r="W298" s="3518"/>
      <c r="X298" s="3518"/>
      <c r="Y298" s="3518"/>
      <c r="Z298" s="3518"/>
      <c r="AA298" s="3518"/>
      <c r="AB298" s="3518"/>
      <c r="AC298" s="3518"/>
      <c r="AD298" s="3518"/>
      <c r="AE298" s="3518"/>
      <c r="AF298" s="3518"/>
      <c r="AG298" s="3518"/>
      <c r="AH298" s="3518"/>
      <c r="AI298" s="3518"/>
      <c r="AJ298" s="3518"/>
      <c r="AK298" s="3518"/>
      <c r="AL298" s="3518"/>
      <c r="AM298" s="3518"/>
      <c r="AN298" s="3518"/>
      <c r="AO298" s="3586"/>
      <c r="AP298" s="3512"/>
    </row>
    <row r="299" spans="1:42">
      <c r="A299" s="5057" t="s">
        <v>6</v>
      </c>
      <c r="B299" s="5058"/>
      <c r="C299" s="3518"/>
      <c r="D299" s="3518"/>
      <c r="E299" s="3518"/>
      <c r="F299" s="3518"/>
      <c r="G299" s="3518"/>
      <c r="H299" s="3518"/>
      <c r="I299" s="3518"/>
      <c r="J299" s="3518"/>
      <c r="K299" s="3518"/>
      <c r="L299" s="3545">
        <v>0.33886602484897899</v>
      </c>
      <c r="M299" s="3518"/>
      <c r="N299" s="3543">
        <v>9.64356956961262E-2</v>
      </c>
      <c r="O299" s="3518"/>
      <c r="P299" s="3518"/>
      <c r="Q299" s="3518"/>
      <c r="R299" s="3518"/>
      <c r="S299" s="3518"/>
      <c r="T299" s="3518"/>
      <c r="U299" s="3518"/>
      <c r="V299" s="3518"/>
      <c r="W299" s="3518"/>
      <c r="X299" s="3518"/>
      <c r="Y299" s="3518"/>
      <c r="Z299" s="3518"/>
      <c r="AA299" s="3518"/>
      <c r="AB299" s="3518"/>
      <c r="AC299" s="3518"/>
      <c r="AD299" s="3518"/>
      <c r="AE299" s="3518"/>
      <c r="AF299" s="3518"/>
      <c r="AG299" s="3518"/>
      <c r="AH299" s="3518"/>
      <c r="AI299" s="3518"/>
      <c r="AJ299" s="3518"/>
      <c r="AK299" s="3518"/>
      <c r="AL299" s="3518"/>
      <c r="AM299" s="3518"/>
      <c r="AN299" s="3518"/>
      <c r="AO299" s="3586"/>
      <c r="AP299" s="3512"/>
    </row>
    <row r="300" spans="1:42">
      <c r="A300" s="5057" t="s">
        <v>7</v>
      </c>
      <c r="B300" s="5058"/>
      <c r="C300" s="3518"/>
      <c r="D300" s="3518"/>
      <c r="E300" s="3518"/>
      <c r="F300" s="3518"/>
      <c r="G300" s="3518"/>
      <c r="H300" s="3518"/>
      <c r="I300" s="3518"/>
      <c r="J300" s="3518"/>
      <c r="K300" s="3518"/>
      <c r="L300" s="3543">
        <v>9.2706156526063704E-2</v>
      </c>
      <c r="M300" s="3518"/>
      <c r="N300" s="3543">
        <v>2.6917118297266798E-2</v>
      </c>
      <c r="O300" s="3518"/>
      <c r="P300" s="3518"/>
      <c r="Q300" s="3518"/>
      <c r="R300" s="3518"/>
      <c r="S300" s="3518"/>
      <c r="T300" s="3518"/>
      <c r="U300" s="3518"/>
      <c r="V300" s="3518"/>
      <c r="W300" s="3518"/>
      <c r="X300" s="3518"/>
      <c r="Y300" s="3518"/>
      <c r="Z300" s="3518"/>
      <c r="AA300" s="3518"/>
      <c r="AB300" s="3518"/>
      <c r="AC300" s="3518"/>
      <c r="AD300" s="3518"/>
      <c r="AE300" s="3518"/>
      <c r="AF300" s="3518"/>
      <c r="AG300" s="3518"/>
      <c r="AH300" s="3518"/>
      <c r="AI300" s="3518"/>
      <c r="AJ300" s="3518"/>
      <c r="AK300" s="3518"/>
      <c r="AL300" s="3518"/>
      <c r="AM300" s="3518"/>
      <c r="AN300" s="3518"/>
      <c r="AO300" s="3586"/>
      <c r="AP300" s="3512"/>
    </row>
    <row r="301" spans="1:42">
      <c r="A301" s="5057" t="s">
        <v>8</v>
      </c>
      <c r="B301" s="5058"/>
      <c r="C301" s="3518"/>
      <c r="D301" s="3518"/>
      <c r="E301" s="3518"/>
      <c r="F301" s="3518"/>
      <c r="G301" s="3518"/>
      <c r="H301" s="3518"/>
      <c r="I301" s="3518"/>
      <c r="J301" s="3518"/>
      <c r="K301" s="3518"/>
      <c r="L301" s="3543">
        <v>4.01706693019937E-2</v>
      </c>
      <c r="M301" s="3518"/>
      <c r="N301" s="3543">
        <v>1.27665693614841E-2</v>
      </c>
      <c r="O301" s="3518"/>
      <c r="P301" s="3518"/>
      <c r="Q301" s="3518"/>
      <c r="R301" s="3518"/>
      <c r="S301" s="3518"/>
      <c r="T301" s="3518"/>
      <c r="U301" s="3518"/>
      <c r="V301" s="3518"/>
      <c r="W301" s="3518"/>
      <c r="X301" s="3518"/>
      <c r="Y301" s="3518"/>
      <c r="Z301" s="3518"/>
      <c r="AA301" s="3518"/>
      <c r="AB301" s="3518"/>
      <c r="AC301" s="3518"/>
      <c r="AD301" s="3518"/>
      <c r="AE301" s="3518"/>
      <c r="AF301" s="3518"/>
      <c r="AG301" s="3518"/>
      <c r="AH301" s="3518"/>
      <c r="AI301" s="3518"/>
      <c r="AJ301" s="3518"/>
      <c r="AK301" s="3518"/>
      <c r="AL301" s="3518"/>
      <c r="AM301" s="3518"/>
      <c r="AN301" s="3518"/>
      <c r="AO301" s="3586"/>
      <c r="AP301" s="3512"/>
    </row>
    <row r="302" spans="1:42">
      <c r="A302" s="5057" t="s">
        <v>678</v>
      </c>
      <c r="B302" s="5058"/>
      <c r="C302" s="3518"/>
      <c r="D302" s="3518"/>
      <c r="E302" s="3518"/>
      <c r="F302" s="3518"/>
      <c r="G302" s="3518"/>
      <c r="H302" s="3518"/>
      <c r="I302" s="3518"/>
      <c r="J302" s="3518"/>
      <c r="K302" s="3518"/>
      <c r="L302" s="3538">
        <v>2.1060766878735599E-3</v>
      </c>
      <c r="M302" s="3518"/>
      <c r="N302" s="3537">
        <v>7.8194048538127799E-4</v>
      </c>
      <c r="O302" s="3518"/>
      <c r="P302" s="3518"/>
      <c r="Q302" s="3518"/>
      <c r="R302" s="3518"/>
      <c r="S302" s="3518"/>
      <c r="T302" s="3518"/>
      <c r="U302" s="3518"/>
      <c r="V302" s="3518"/>
      <c r="W302" s="3518"/>
      <c r="X302" s="3518"/>
      <c r="Y302" s="3518"/>
      <c r="Z302" s="3518"/>
      <c r="AA302" s="3518"/>
      <c r="AB302" s="3518"/>
      <c r="AC302" s="3518"/>
      <c r="AD302" s="3518"/>
      <c r="AE302" s="3518"/>
      <c r="AF302" s="3518"/>
      <c r="AG302" s="3518"/>
      <c r="AH302" s="3518"/>
      <c r="AI302" s="3518"/>
      <c r="AJ302" s="3518"/>
      <c r="AK302" s="3518"/>
      <c r="AL302" s="3518"/>
      <c r="AM302" s="3518"/>
      <c r="AN302" s="3518"/>
      <c r="AO302" s="3586"/>
      <c r="AP302" s="3512"/>
    </row>
    <row r="303" spans="1:42">
      <c r="A303" s="5057" t="s">
        <v>67</v>
      </c>
      <c r="B303" s="5058"/>
      <c r="C303" s="3518"/>
      <c r="D303" s="3518"/>
      <c r="E303" s="3518"/>
      <c r="F303" s="3518"/>
      <c r="G303" s="3518"/>
      <c r="H303" s="3518"/>
      <c r="I303" s="3518"/>
      <c r="J303" s="3518"/>
      <c r="K303" s="3518"/>
      <c r="L303" s="3538">
        <v>5.4470823595388299E-3</v>
      </c>
      <c r="M303" s="3518"/>
      <c r="N303" s="3538">
        <v>2.6292370514133302E-3</v>
      </c>
      <c r="O303" s="3518"/>
      <c r="P303" s="3518"/>
      <c r="Q303" s="3518"/>
      <c r="R303" s="3518"/>
      <c r="S303" s="3518"/>
      <c r="T303" s="3518"/>
      <c r="U303" s="3518"/>
      <c r="V303" s="3518"/>
      <c r="W303" s="3518"/>
      <c r="X303" s="3518"/>
      <c r="Y303" s="3518"/>
      <c r="Z303" s="3518"/>
      <c r="AA303" s="3518"/>
      <c r="AB303" s="3518"/>
      <c r="AC303" s="3518"/>
      <c r="AD303" s="3518"/>
      <c r="AE303" s="3518"/>
      <c r="AF303" s="3518"/>
      <c r="AG303" s="3518"/>
      <c r="AH303" s="3518"/>
      <c r="AI303" s="3518"/>
      <c r="AJ303" s="3518"/>
      <c r="AK303" s="3518"/>
      <c r="AL303" s="3518"/>
      <c r="AM303" s="3518"/>
      <c r="AN303" s="3518"/>
      <c r="AO303" s="3586"/>
      <c r="AP303" s="3512"/>
    </row>
    <row r="304" spans="1:42">
      <c r="A304" s="5057" t="s">
        <v>679</v>
      </c>
      <c r="B304" s="5058"/>
      <c r="C304" s="3518"/>
      <c r="D304" s="3518"/>
      <c r="E304" s="3518"/>
      <c r="F304" s="3518"/>
      <c r="G304" s="3518"/>
      <c r="H304" s="3518"/>
      <c r="I304" s="3518"/>
      <c r="J304" s="3518"/>
      <c r="K304" s="3518"/>
      <c r="L304" s="3537">
        <v>4.38597884456227E-4</v>
      </c>
      <c r="M304" s="3518"/>
      <c r="N304" s="3537">
        <v>2.3976836934871601E-4</v>
      </c>
      <c r="O304" s="3518"/>
      <c r="P304" s="3518"/>
      <c r="Q304" s="3518"/>
      <c r="R304" s="3518"/>
      <c r="S304" s="3518"/>
      <c r="T304" s="3518"/>
      <c r="U304" s="3518"/>
      <c r="V304" s="3518"/>
      <c r="W304" s="3518"/>
      <c r="X304" s="3518"/>
      <c r="Y304" s="3518"/>
      <c r="Z304" s="3518"/>
      <c r="AA304" s="3518"/>
      <c r="AB304" s="3518"/>
      <c r="AC304" s="3518"/>
      <c r="AD304" s="3518"/>
      <c r="AE304" s="3518"/>
      <c r="AF304" s="3518"/>
      <c r="AG304" s="3518"/>
      <c r="AH304" s="3518"/>
      <c r="AI304" s="3518"/>
      <c r="AJ304" s="3518"/>
      <c r="AK304" s="3518"/>
      <c r="AL304" s="3518"/>
      <c r="AM304" s="3518"/>
      <c r="AN304" s="3518"/>
      <c r="AO304" s="3586"/>
      <c r="AP304" s="3512"/>
    </row>
    <row r="305" spans="1:42">
      <c r="A305" s="5057" t="s">
        <v>69</v>
      </c>
      <c r="B305" s="5058"/>
      <c r="C305" s="3518"/>
      <c r="D305" s="3518"/>
      <c r="E305" s="3518"/>
      <c r="F305" s="3518"/>
      <c r="G305" s="3518"/>
      <c r="H305" s="3518"/>
      <c r="I305" s="3518"/>
      <c r="J305" s="3518"/>
      <c r="K305" s="3518"/>
      <c r="L305" s="3537">
        <v>5.3316884427569503E-4</v>
      </c>
      <c r="M305" s="3518"/>
      <c r="N305" s="3537">
        <v>3.0150711960208199E-4</v>
      </c>
      <c r="O305" s="3518"/>
      <c r="P305" s="3518"/>
      <c r="Q305" s="3518"/>
      <c r="R305" s="3518"/>
      <c r="S305" s="3518"/>
      <c r="T305" s="3518"/>
      <c r="U305" s="3518"/>
      <c r="V305" s="3518"/>
      <c r="W305" s="3518"/>
      <c r="X305" s="3518"/>
      <c r="Y305" s="3518"/>
      <c r="Z305" s="3518"/>
      <c r="AA305" s="3518"/>
      <c r="AB305" s="3518"/>
      <c r="AC305" s="3518"/>
      <c r="AD305" s="3518"/>
      <c r="AE305" s="3518"/>
      <c r="AF305" s="3518"/>
      <c r="AG305" s="3518"/>
      <c r="AH305" s="3518"/>
      <c r="AI305" s="3518"/>
      <c r="AJ305" s="3518"/>
      <c r="AK305" s="3518"/>
      <c r="AL305" s="3518"/>
      <c r="AM305" s="3518"/>
      <c r="AN305" s="3518"/>
      <c r="AO305" s="3586"/>
      <c r="AP305" s="3512"/>
    </row>
    <row r="306" spans="1:42">
      <c r="A306" s="5057" t="s">
        <v>10</v>
      </c>
      <c r="B306" s="5058"/>
      <c r="C306" s="3518"/>
      <c r="D306" s="3518"/>
      <c r="E306" s="3518"/>
      <c r="F306" s="3518"/>
      <c r="G306" s="3518"/>
      <c r="H306" s="3518"/>
      <c r="I306" s="3518"/>
      <c r="J306" s="3518"/>
      <c r="K306" s="3518"/>
      <c r="L306" s="3537">
        <v>2.5208608407125099E-4</v>
      </c>
      <c r="M306" s="3518"/>
      <c r="N306" s="3537">
        <v>1.73797119239217E-4</v>
      </c>
      <c r="O306" s="3518"/>
      <c r="P306" s="3518"/>
      <c r="Q306" s="3518"/>
      <c r="R306" s="3518"/>
      <c r="S306" s="3518"/>
      <c r="T306" s="3518"/>
      <c r="U306" s="3518"/>
      <c r="V306" s="3518"/>
      <c r="W306" s="3518"/>
      <c r="X306" s="3518"/>
      <c r="Y306" s="3518"/>
      <c r="Z306" s="3518"/>
      <c r="AA306" s="3518"/>
      <c r="AB306" s="3518"/>
      <c r="AC306" s="3518"/>
      <c r="AD306" s="3518"/>
      <c r="AE306" s="3518"/>
      <c r="AF306" s="3518"/>
      <c r="AG306" s="3518"/>
      <c r="AH306" s="3518"/>
      <c r="AI306" s="3518"/>
      <c r="AJ306" s="3518"/>
      <c r="AK306" s="3518"/>
      <c r="AL306" s="3518"/>
      <c r="AM306" s="3518"/>
      <c r="AN306" s="3518"/>
      <c r="AO306" s="3586"/>
      <c r="AP306" s="3512"/>
    </row>
    <row r="307" spans="1:42">
      <c r="A307" s="5057" t="s">
        <v>298</v>
      </c>
      <c r="B307" s="5058"/>
      <c r="C307" s="3518"/>
      <c r="D307" s="3518"/>
      <c r="E307" s="3518"/>
      <c r="F307" s="3518"/>
      <c r="G307" s="3518"/>
      <c r="H307" s="3518"/>
      <c r="I307" s="3518"/>
      <c r="J307" s="3518"/>
      <c r="K307" s="3518"/>
      <c r="L307" s="3558">
        <v>276.51238700990598</v>
      </c>
      <c r="M307" s="3518"/>
      <c r="N307" s="3558">
        <v>113.106233536171</v>
      </c>
      <c r="O307" s="3518"/>
      <c r="P307" s="3518"/>
      <c r="Q307" s="3518"/>
      <c r="R307" s="3518"/>
      <c r="S307" s="3518"/>
      <c r="T307" s="3518"/>
      <c r="U307" s="3518"/>
      <c r="V307" s="3518"/>
      <c r="W307" s="3518"/>
      <c r="X307" s="3518"/>
      <c r="Y307" s="3518"/>
      <c r="Z307" s="3518"/>
      <c r="AA307" s="3518"/>
      <c r="AB307" s="3518"/>
      <c r="AC307" s="3518"/>
      <c r="AD307" s="3518"/>
      <c r="AE307" s="3518"/>
      <c r="AF307" s="3518"/>
      <c r="AG307" s="3518"/>
      <c r="AH307" s="3518"/>
      <c r="AI307" s="3518"/>
      <c r="AJ307" s="3518"/>
      <c r="AK307" s="3518"/>
      <c r="AL307" s="3518"/>
      <c r="AM307" s="3518"/>
      <c r="AN307" s="3518"/>
      <c r="AO307" s="3586"/>
      <c r="AP307" s="3512"/>
    </row>
    <row r="308" spans="1:42">
      <c r="A308" s="5057" t="s">
        <v>680</v>
      </c>
      <c r="B308" s="5058"/>
      <c r="C308" s="3518"/>
      <c r="D308" s="3518"/>
      <c r="E308" s="3518"/>
      <c r="F308" s="3518"/>
      <c r="G308" s="3518"/>
      <c r="H308" s="3518"/>
      <c r="I308" s="3518"/>
      <c r="J308" s="3518"/>
      <c r="K308" s="3518"/>
      <c r="L308" s="3535">
        <v>0</v>
      </c>
      <c r="M308" s="3518"/>
      <c r="N308" s="3535">
        <v>0</v>
      </c>
      <c r="O308" s="3518"/>
      <c r="P308" s="3518"/>
      <c r="Q308" s="3518"/>
      <c r="R308" s="3518"/>
      <c r="S308" s="3518"/>
      <c r="T308" s="3518"/>
      <c r="U308" s="3518"/>
      <c r="V308" s="3518"/>
      <c r="W308" s="3518"/>
      <c r="X308" s="3518"/>
      <c r="Y308" s="3518"/>
      <c r="Z308" s="3518"/>
      <c r="AA308" s="3518"/>
      <c r="AB308" s="3518"/>
      <c r="AC308" s="3518"/>
      <c r="AD308" s="3518"/>
      <c r="AE308" s="3518"/>
      <c r="AF308" s="3518"/>
      <c r="AG308" s="3518"/>
      <c r="AH308" s="3518"/>
      <c r="AI308" s="3518"/>
      <c r="AJ308" s="3518"/>
      <c r="AK308" s="3518"/>
      <c r="AL308" s="3518"/>
      <c r="AM308" s="3518"/>
      <c r="AN308" s="3518"/>
      <c r="AO308" s="3586"/>
      <c r="AP308" s="3512"/>
    </row>
    <row r="309" spans="1:42">
      <c r="A309" s="5057" t="s">
        <v>681</v>
      </c>
      <c r="B309" s="5058"/>
      <c r="C309" s="3518"/>
      <c r="D309" s="3518"/>
      <c r="E309" s="3518"/>
      <c r="F309" s="3518"/>
      <c r="G309" s="3518"/>
      <c r="H309" s="3518"/>
      <c r="I309" s="3518"/>
      <c r="J309" s="3518"/>
      <c r="K309" s="3518"/>
      <c r="L309" s="3535">
        <v>0</v>
      </c>
      <c r="M309" s="3518"/>
      <c r="N309" s="3535">
        <v>0</v>
      </c>
      <c r="O309" s="3518"/>
      <c r="P309" s="3518"/>
      <c r="Q309" s="3518"/>
      <c r="R309" s="3518"/>
      <c r="S309" s="3518"/>
      <c r="T309" s="3518"/>
      <c r="U309" s="3518"/>
      <c r="V309" s="3518"/>
      <c r="W309" s="3518"/>
      <c r="X309" s="3518"/>
      <c r="Y309" s="3518"/>
      <c r="Z309" s="3518"/>
      <c r="AA309" s="3518"/>
      <c r="AB309" s="3518"/>
      <c r="AC309" s="3518"/>
      <c r="AD309" s="3518"/>
      <c r="AE309" s="3518"/>
      <c r="AF309" s="3518"/>
      <c r="AG309" s="3518"/>
      <c r="AH309" s="3518"/>
      <c r="AI309" s="3518"/>
      <c r="AJ309" s="3518"/>
      <c r="AK309" s="3518"/>
      <c r="AL309" s="3518"/>
      <c r="AM309" s="3518"/>
      <c r="AN309" s="3518"/>
      <c r="AO309" s="3586"/>
      <c r="AP309" s="3512"/>
    </row>
    <row r="310" spans="1:42">
      <c r="A310" s="5057" t="s">
        <v>675</v>
      </c>
      <c r="B310" s="5058"/>
      <c r="C310" s="3518"/>
      <c r="D310" s="3518"/>
      <c r="E310" s="3518"/>
      <c r="F310" s="3518"/>
      <c r="G310" s="3518"/>
      <c r="H310" s="3518"/>
      <c r="I310" s="3518"/>
      <c r="J310" s="3518"/>
      <c r="K310" s="3518"/>
      <c r="L310" s="3535">
        <v>0</v>
      </c>
      <c r="M310" s="3518"/>
      <c r="N310" s="3535">
        <v>0</v>
      </c>
      <c r="O310" s="3518"/>
      <c r="P310" s="3518"/>
      <c r="Q310" s="3518"/>
      <c r="R310" s="3518"/>
      <c r="S310" s="3518"/>
      <c r="T310" s="3518"/>
      <c r="U310" s="3518"/>
      <c r="V310" s="3518"/>
      <c r="W310" s="3518"/>
      <c r="X310" s="3518"/>
      <c r="Y310" s="3518"/>
      <c r="Z310" s="3518"/>
      <c r="AA310" s="3518"/>
      <c r="AB310" s="3518"/>
      <c r="AC310" s="3518"/>
      <c r="AD310" s="3518"/>
      <c r="AE310" s="3518"/>
      <c r="AF310" s="3518"/>
      <c r="AG310" s="3518"/>
      <c r="AH310" s="3518"/>
      <c r="AI310" s="3518"/>
      <c r="AJ310" s="3518"/>
      <c r="AK310" s="3518"/>
      <c r="AL310" s="3518"/>
      <c r="AM310" s="3518"/>
      <c r="AN310" s="3518"/>
      <c r="AO310" s="3586"/>
      <c r="AP310" s="3512"/>
    </row>
    <row r="311" spans="1:42" ht="13" thickBot="1">
      <c r="A311" s="5055" t="s">
        <v>430</v>
      </c>
      <c r="B311" s="5056"/>
      <c r="C311" s="3519" t="s">
        <v>57</v>
      </c>
      <c r="D311" s="3519" t="s">
        <v>57</v>
      </c>
      <c r="E311" s="3519" t="s">
        <v>57</v>
      </c>
      <c r="F311" s="3519" t="s">
        <v>57</v>
      </c>
      <c r="G311" s="3519" t="s">
        <v>57</v>
      </c>
      <c r="H311" s="3519" t="s">
        <v>57</v>
      </c>
      <c r="I311" s="3519" t="s">
        <v>57</v>
      </c>
      <c r="J311" s="3519" t="s">
        <v>57</v>
      </c>
      <c r="K311" s="3519" t="s">
        <v>57</v>
      </c>
      <c r="L311" s="3519" t="s">
        <v>57</v>
      </c>
      <c r="M311" s="3519" t="s">
        <v>57</v>
      </c>
      <c r="N311" s="3519" t="s">
        <v>57</v>
      </c>
      <c r="O311" s="3519" t="s">
        <v>57</v>
      </c>
      <c r="P311" s="3519" t="s">
        <v>57</v>
      </c>
      <c r="Q311" s="3519" t="s">
        <v>57</v>
      </c>
      <c r="R311" s="3519" t="s">
        <v>57</v>
      </c>
      <c r="S311" s="3519" t="s">
        <v>57</v>
      </c>
      <c r="T311" s="3519" t="s">
        <v>57</v>
      </c>
      <c r="U311" s="3519" t="s">
        <v>57</v>
      </c>
      <c r="V311" s="3519" t="s">
        <v>57</v>
      </c>
      <c r="W311" s="3519" t="s">
        <v>57</v>
      </c>
      <c r="X311" s="3519" t="s">
        <v>57</v>
      </c>
      <c r="Y311" s="3519" t="s">
        <v>57</v>
      </c>
      <c r="Z311" s="3519" t="s">
        <v>57</v>
      </c>
      <c r="AA311" s="3519" t="s">
        <v>57</v>
      </c>
      <c r="AB311" s="3519" t="s">
        <v>57</v>
      </c>
      <c r="AC311" s="3519" t="s">
        <v>57</v>
      </c>
      <c r="AD311" s="3519" t="s">
        <v>57</v>
      </c>
      <c r="AE311" s="3519" t="s">
        <v>57</v>
      </c>
      <c r="AF311" s="3519" t="s">
        <v>57</v>
      </c>
      <c r="AG311" s="3519" t="s">
        <v>57</v>
      </c>
      <c r="AH311" s="3519" t="s">
        <v>57</v>
      </c>
      <c r="AI311" s="3519" t="s">
        <v>57</v>
      </c>
      <c r="AJ311" s="3519" t="s">
        <v>57</v>
      </c>
      <c r="AK311" s="3519" t="s">
        <v>57</v>
      </c>
      <c r="AL311" s="3519" t="s">
        <v>57</v>
      </c>
      <c r="AM311" s="3519" t="s">
        <v>57</v>
      </c>
      <c r="AN311" s="3519" t="s">
        <v>57</v>
      </c>
      <c r="AO311" s="3530" t="s">
        <v>57</v>
      </c>
      <c r="AP311" s="3512"/>
    </row>
    <row r="312" spans="1:42" ht="13" thickTop="1">
      <c r="A312" s="5059" t="s">
        <v>5</v>
      </c>
      <c r="B312" s="5060"/>
      <c r="C312" s="3518"/>
      <c r="D312" s="3518"/>
      <c r="E312" s="3518"/>
      <c r="F312" s="3518"/>
      <c r="G312" s="3518"/>
      <c r="H312" s="3518"/>
      <c r="I312" s="3518"/>
      <c r="J312" s="3518"/>
      <c r="K312" s="3518"/>
      <c r="L312" s="3535">
        <v>0</v>
      </c>
      <c r="M312" s="3518"/>
      <c r="N312" s="3535">
        <v>0</v>
      </c>
      <c r="O312" s="3518"/>
      <c r="P312" s="3518"/>
      <c r="Q312" s="3518"/>
      <c r="R312" s="3518"/>
      <c r="S312" s="3518"/>
      <c r="T312" s="3518"/>
      <c r="U312" s="3518"/>
      <c r="V312" s="3518"/>
      <c r="W312" s="3518"/>
      <c r="X312" s="3518"/>
      <c r="Y312" s="3518"/>
      <c r="Z312" s="3518"/>
      <c r="AA312" s="3518"/>
      <c r="AB312" s="3518"/>
      <c r="AC312" s="3518"/>
      <c r="AD312" s="3518"/>
      <c r="AE312" s="3518"/>
      <c r="AF312" s="3518"/>
      <c r="AG312" s="3518"/>
      <c r="AH312" s="3518"/>
      <c r="AI312" s="3518"/>
      <c r="AJ312" s="3518"/>
      <c r="AK312" s="3518"/>
      <c r="AL312" s="3518"/>
      <c r="AM312" s="3518"/>
      <c r="AN312" s="3518"/>
      <c r="AO312" s="3586"/>
      <c r="AP312" s="3512"/>
    </row>
    <row r="313" spans="1:42">
      <c r="A313" s="5057" t="s">
        <v>674</v>
      </c>
      <c r="B313" s="5058"/>
      <c r="C313" s="3518"/>
      <c r="D313" s="3518"/>
      <c r="E313" s="3518"/>
      <c r="F313" s="3518"/>
      <c r="G313" s="3518"/>
      <c r="H313" s="3518"/>
      <c r="I313" s="3518"/>
      <c r="J313" s="3518"/>
      <c r="K313" s="3518"/>
      <c r="L313" s="3532">
        <v>3.7581552797957099E-6</v>
      </c>
      <c r="M313" s="3518"/>
      <c r="N313" s="3532">
        <v>1.10878591911869E-6</v>
      </c>
      <c r="O313" s="3518"/>
      <c r="P313" s="3518"/>
      <c r="Q313" s="3518"/>
      <c r="R313" s="3518"/>
      <c r="S313" s="3518"/>
      <c r="T313" s="3518"/>
      <c r="U313" s="3518"/>
      <c r="V313" s="3518"/>
      <c r="W313" s="3518"/>
      <c r="X313" s="3518"/>
      <c r="Y313" s="3518"/>
      <c r="Z313" s="3518"/>
      <c r="AA313" s="3518"/>
      <c r="AB313" s="3518"/>
      <c r="AC313" s="3518"/>
      <c r="AD313" s="3518"/>
      <c r="AE313" s="3518"/>
      <c r="AF313" s="3518"/>
      <c r="AG313" s="3518"/>
      <c r="AH313" s="3518"/>
      <c r="AI313" s="3518"/>
      <c r="AJ313" s="3518"/>
      <c r="AK313" s="3518"/>
      <c r="AL313" s="3518"/>
      <c r="AM313" s="3518"/>
      <c r="AN313" s="3518"/>
      <c r="AO313" s="3586"/>
      <c r="AP313" s="3512"/>
    </row>
    <row r="314" spans="1:42">
      <c r="A314" s="5057" t="s">
        <v>3</v>
      </c>
      <c r="B314" s="5058"/>
      <c r="C314" s="3518"/>
      <c r="D314" s="3518"/>
      <c r="E314" s="3518"/>
      <c r="F314" s="3518"/>
      <c r="G314" s="3518"/>
      <c r="H314" s="3518"/>
      <c r="I314" s="3518"/>
      <c r="J314" s="3518"/>
      <c r="K314" s="3518"/>
      <c r="L314" s="3537">
        <v>1.16435949706196E-4</v>
      </c>
      <c r="M314" s="3518"/>
      <c r="N314" s="3532">
        <v>3.1646725477171903E-5</v>
      </c>
      <c r="O314" s="3518"/>
      <c r="P314" s="3518"/>
      <c r="Q314" s="3518"/>
      <c r="R314" s="3518"/>
      <c r="S314" s="3518"/>
      <c r="T314" s="3518"/>
      <c r="U314" s="3518"/>
      <c r="V314" s="3518"/>
      <c r="W314" s="3518"/>
      <c r="X314" s="3518"/>
      <c r="Y314" s="3518"/>
      <c r="Z314" s="3518"/>
      <c r="AA314" s="3518"/>
      <c r="AB314" s="3518"/>
      <c r="AC314" s="3518"/>
      <c r="AD314" s="3518"/>
      <c r="AE314" s="3518"/>
      <c r="AF314" s="3518"/>
      <c r="AG314" s="3518"/>
      <c r="AH314" s="3518"/>
      <c r="AI314" s="3518"/>
      <c r="AJ314" s="3518"/>
      <c r="AK314" s="3518"/>
      <c r="AL314" s="3518"/>
      <c r="AM314" s="3518"/>
      <c r="AN314" s="3518"/>
      <c r="AO314" s="3586"/>
      <c r="AP314" s="3512"/>
    </row>
    <row r="315" spans="1:42">
      <c r="A315" s="5057" t="s">
        <v>6</v>
      </c>
      <c r="B315" s="5058"/>
      <c r="C315" s="3518"/>
      <c r="D315" s="3518"/>
      <c r="E315" s="3518"/>
      <c r="F315" s="3518"/>
      <c r="G315" s="3518"/>
      <c r="H315" s="3518"/>
      <c r="I315" s="3518"/>
      <c r="J315" s="3518"/>
      <c r="K315" s="3518"/>
      <c r="L315" s="3537">
        <v>1.9238079884970801E-4</v>
      </c>
      <c r="M315" s="3518"/>
      <c r="N315" s="3532">
        <v>5.47484103309449E-5</v>
      </c>
      <c r="O315" s="3518"/>
      <c r="P315" s="3518"/>
      <c r="Q315" s="3518"/>
      <c r="R315" s="3518"/>
      <c r="S315" s="3518"/>
      <c r="T315" s="3518"/>
      <c r="U315" s="3518"/>
      <c r="V315" s="3518"/>
      <c r="W315" s="3518"/>
      <c r="X315" s="3518"/>
      <c r="Y315" s="3518"/>
      <c r="Z315" s="3518"/>
      <c r="AA315" s="3518"/>
      <c r="AB315" s="3518"/>
      <c r="AC315" s="3518"/>
      <c r="AD315" s="3518"/>
      <c r="AE315" s="3518"/>
      <c r="AF315" s="3518"/>
      <c r="AG315" s="3518"/>
      <c r="AH315" s="3518"/>
      <c r="AI315" s="3518"/>
      <c r="AJ315" s="3518"/>
      <c r="AK315" s="3518"/>
      <c r="AL315" s="3518"/>
      <c r="AM315" s="3518"/>
      <c r="AN315" s="3518"/>
      <c r="AO315" s="3586"/>
      <c r="AP315" s="3512"/>
    </row>
    <row r="316" spans="1:42">
      <c r="A316" s="5057" t="s">
        <v>7</v>
      </c>
      <c r="B316" s="5058"/>
      <c r="C316" s="3518"/>
      <c r="D316" s="3518"/>
      <c r="E316" s="3518"/>
      <c r="F316" s="3518"/>
      <c r="G316" s="3518"/>
      <c r="H316" s="3518"/>
      <c r="I316" s="3518"/>
      <c r="J316" s="3518"/>
      <c r="K316" s="3518"/>
      <c r="L316" s="3532">
        <v>2.8079778274798201E-5</v>
      </c>
      <c r="M316" s="3518"/>
      <c r="N316" s="3532">
        <v>8.1529290168692495E-6</v>
      </c>
      <c r="O316" s="3518"/>
      <c r="P316" s="3518"/>
      <c r="Q316" s="3518"/>
      <c r="R316" s="3518"/>
      <c r="S316" s="3518"/>
      <c r="T316" s="3518"/>
      <c r="U316" s="3518"/>
      <c r="V316" s="3518"/>
      <c r="W316" s="3518"/>
      <c r="X316" s="3518"/>
      <c r="Y316" s="3518"/>
      <c r="Z316" s="3518"/>
      <c r="AA316" s="3518"/>
      <c r="AB316" s="3518"/>
      <c r="AC316" s="3518"/>
      <c r="AD316" s="3518"/>
      <c r="AE316" s="3518"/>
      <c r="AF316" s="3518"/>
      <c r="AG316" s="3518"/>
      <c r="AH316" s="3518"/>
      <c r="AI316" s="3518"/>
      <c r="AJ316" s="3518"/>
      <c r="AK316" s="3518"/>
      <c r="AL316" s="3518"/>
      <c r="AM316" s="3518"/>
      <c r="AN316" s="3518"/>
      <c r="AO316" s="3586"/>
      <c r="AP316" s="3512"/>
    </row>
    <row r="317" spans="1:42">
      <c r="A317" s="5057" t="s">
        <v>8</v>
      </c>
      <c r="B317" s="5058"/>
      <c r="C317" s="3518"/>
      <c r="D317" s="3518"/>
      <c r="E317" s="3518"/>
      <c r="F317" s="3518"/>
      <c r="G317" s="3518"/>
      <c r="H317" s="3518"/>
      <c r="I317" s="3518"/>
      <c r="J317" s="3518"/>
      <c r="K317" s="3518"/>
      <c r="L317" s="3532">
        <v>8.2969462240012808E-6</v>
      </c>
      <c r="M317" s="3518"/>
      <c r="N317" s="3532">
        <v>2.6368378047402499E-6</v>
      </c>
      <c r="O317" s="3518"/>
      <c r="P317" s="3518"/>
      <c r="Q317" s="3518"/>
      <c r="R317" s="3518"/>
      <c r="S317" s="3518"/>
      <c r="T317" s="3518"/>
      <c r="U317" s="3518"/>
      <c r="V317" s="3518"/>
      <c r="W317" s="3518"/>
      <c r="X317" s="3518"/>
      <c r="Y317" s="3518"/>
      <c r="Z317" s="3518"/>
      <c r="AA317" s="3518"/>
      <c r="AB317" s="3518"/>
      <c r="AC317" s="3518"/>
      <c r="AD317" s="3518"/>
      <c r="AE317" s="3518"/>
      <c r="AF317" s="3518"/>
      <c r="AG317" s="3518"/>
      <c r="AH317" s="3518"/>
      <c r="AI317" s="3518"/>
      <c r="AJ317" s="3518"/>
      <c r="AK317" s="3518"/>
      <c r="AL317" s="3518"/>
      <c r="AM317" s="3518"/>
      <c r="AN317" s="3518"/>
      <c r="AO317" s="3586"/>
      <c r="AP317" s="3512"/>
    </row>
    <row r="318" spans="1:42">
      <c r="A318" s="5057" t="s">
        <v>678</v>
      </c>
      <c r="B318" s="5058"/>
      <c r="C318" s="3518"/>
      <c r="D318" s="3518"/>
      <c r="E318" s="3518"/>
      <c r="F318" s="3518"/>
      <c r="G318" s="3518"/>
      <c r="H318" s="3518"/>
      <c r="I318" s="3518"/>
      <c r="J318" s="3518"/>
      <c r="K318" s="3518"/>
      <c r="L318" s="3532">
        <v>3.3001736867593602E-7</v>
      </c>
      <c r="M318" s="3518"/>
      <c r="N318" s="3532">
        <v>1.22528273985722E-7</v>
      </c>
      <c r="O318" s="3518"/>
      <c r="P318" s="3518"/>
      <c r="Q318" s="3518"/>
      <c r="R318" s="3518"/>
      <c r="S318" s="3518"/>
      <c r="T318" s="3518"/>
      <c r="U318" s="3518"/>
      <c r="V318" s="3518"/>
      <c r="W318" s="3518"/>
      <c r="X318" s="3518"/>
      <c r="Y318" s="3518"/>
      <c r="Z318" s="3518"/>
      <c r="AA318" s="3518"/>
      <c r="AB318" s="3518"/>
      <c r="AC318" s="3518"/>
      <c r="AD318" s="3518"/>
      <c r="AE318" s="3518"/>
      <c r="AF318" s="3518"/>
      <c r="AG318" s="3518"/>
      <c r="AH318" s="3518"/>
      <c r="AI318" s="3518"/>
      <c r="AJ318" s="3518"/>
      <c r="AK318" s="3518"/>
      <c r="AL318" s="3518"/>
      <c r="AM318" s="3518"/>
      <c r="AN318" s="3518"/>
      <c r="AO318" s="3586"/>
      <c r="AP318" s="3512"/>
    </row>
    <row r="319" spans="1:42">
      <c r="A319" s="5057" t="s">
        <v>67</v>
      </c>
      <c r="B319" s="5058"/>
      <c r="C319" s="3518"/>
      <c r="D319" s="3518"/>
      <c r="E319" s="3518"/>
      <c r="F319" s="3518"/>
      <c r="G319" s="3518"/>
      <c r="H319" s="3518"/>
      <c r="I319" s="3518"/>
      <c r="J319" s="3518"/>
      <c r="K319" s="3518"/>
      <c r="L319" s="3532">
        <v>8.5354526623203001E-7</v>
      </c>
      <c r="M319" s="3518"/>
      <c r="N319" s="3532">
        <v>4.1199539329632998E-7</v>
      </c>
      <c r="O319" s="3518"/>
      <c r="P319" s="3518"/>
      <c r="Q319" s="3518"/>
      <c r="R319" s="3518"/>
      <c r="S319" s="3518"/>
      <c r="T319" s="3518"/>
      <c r="U319" s="3518"/>
      <c r="V319" s="3518"/>
      <c r="W319" s="3518"/>
      <c r="X319" s="3518"/>
      <c r="Y319" s="3518"/>
      <c r="Z319" s="3518"/>
      <c r="AA319" s="3518"/>
      <c r="AB319" s="3518"/>
      <c r="AC319" s="3518"/>
      <c r="AD319" s="3518"/>
      <c r="AE319" s="3518"/>
      <c r="AF319" s="3518"/>
      <c r="AG319" s="3518"/>
      <c r="AH319" s="3518"/>
      <c r="AI319" s="3518"/>
      <c r="AJ319" s="3518"/>
      <c r="AK319" s="3518"/>
      <c r="AL319" s="3518"/>
      <c r="AM319" s="3518"/>
      <c r="AN319" s="3518"/>
      <c r="AO319" s="3586"/>
      <c r="AP319" s="3512"/>
    </row>
    <row r="320" spans="1:42">
      <c r="A320" s="5057" t="s">
        <v>679</v>
      </c>
      <c r="B320" s="5058"/>
      <c r="C320" s="3518"/>
      <c r="D320" s="3518"/>
      <c r="E320" s="3518"/>
      <c r="F320" s="3518"/>
      <c r="G320" s="3518"/>
      <c r="H320" s="3518"/>
      <c r="I320" s="3518"/>
      <c r="J320" s="3518"/>
      <c r="K320" s="3518"/>
      <c r="L320" s="3532">
        <v>5.5365879295413698E-8</v>
      </c>
      <c r="M320" s="3518"/>
      <c r="N320" s="3532">
        <v>3.0266873294834803E-8</v>
      </c>
      <c r="O320" s="3518"/>
      <c r="P320" s="3518"/>
      <c r="Q320" s="3518"/>
      <c r="R320" s="3518"/>
      <c r="S320" s="3518"/>
      <c r="T320" s="3518"/>
      <c r="U320" s="3518"/>
      <c r="V320" s="3518"/>
      <c r="W320" s="3518"/>
      <c r="X320" s="3518"/>
      <c r="Y320" s="3518"/>
      <c r="Z320" s="3518"/>
      <c r="AA320" s="3518"/>
      <c r="AB320" s="3518"/>
      <c r="AC320" s="3518"/>
      <c r="AD320" s="3518"/>
      <c r="AE320" s="3518"/>
      <c r="AF320" s="3518"/>
      <c r="AG320" s="3518"/>
      <c r="AH320" s="3518"/>
      <c r="AI320" s="3518"/>
      <c r="AJ320" s="3518"/>
      <c r="AK320" s="3518"/>
      <c r="AL320" s="3518"/>
      <c r="AM320" s="3518"/>
      <c r="AN320" s="3518"/>
      <c r="AO320" s="3586"/>
      <c r="AP320" s="3512"/>
    </row>
    <row r="321" spans="1:42">
      <c r="A321" s="5057" t="s">
        <v>69</v>
      </c>
      <c r="B321" s="5058"/>
      <c r="C321" s="3518"/>
      <c r="D321" s="3518"/>
      <c r="E321" s="3518"/>
      <c r="F321" s="3518"/>
      <c r="G321" s="3518"/>
      <c r="H321" s="3518"/>
      <c r="I321" s="3518"/>
      <c r="J321" s="3518"/>
      <c r="K321" s="3518"/>
      <c r="L321" s="3532">
        <v>6.7303931282845695E-8</v>
      </c>
      <c r="M321" s="3518"/>
      <c r="N321" s="3532">
        <v>3.8060390581438802E-8</v>
      </c>
      <c r="O321" s="3518"/>
      <c r="P321" s="3518"/>
      <c r="Q321" s="3518"/>
      <c r="R321" s="3518"/>
      <c r="S321" s="3518"/>
      <c r="T321" s="3518"/>
      <c r="U321" s="3518"/>
      <c r="V321" s="3518"/>
      <c r="W321" s="3518"/>
      <c r="X321" s="3518"/>
      <c r="Y321" s="3518"/>
      <c r="Z321" s="3518"/>
      <c r="AA321" s="3518"/>
      <c r="AB321" s="3518"/>
      <c r="AC321" s="3518"/>
      <c r="AD321" s="3518"/>
      <c r="AE321" s="3518"/>
      <c r="AF321" s="3518"/>
      <c r="AG321" s="3518"/>
      <c r="AH321" s="3518"/>
      <c r="AI321" s="3518"/>
      <c r="AJ321" s="3518"/>
      <c r="AK321" s="3518"/>
      <c r="AL321" s="3518"/>
      <c r="AM321" s="3518"/>
      <c r="AN321" s="3518"/>
      <c r="AO321" s="3586"/>
      <c r="AP321" s="3512"/>
    </row>
    <row r="322" spans="1:42">
      <c r="A322" s="5057" t="s">
        <v>10</v>
      </c>
      <c r="B322" s="5058"/>
      <c r="C322" s="3518"/>
      <c r="D322" s="3518"/>
      <c r="E322" s="3518"/>
      <c r="F322" s="3518"/>
      <c r="G322" s="3518"/>
      <c r="H322" s="3518"/>
      <c r="I322" s="3518"/>
      <c r="J322" s="3518"/>
      <c r="K322" s="3518"/>
      <c r="L322" s="3532">
        <v>2.66422209928816E-8</v>
      </c>
      <c r="M322" s="3518"/>
      <c r="N322" s="3532">
        <v>1.8368095469278901E-8</v>
      </c>
      <c r="O322" s="3518"/>
      <c r="P322" s="3518"/>
      <c r="Q322" s="3518"/>
      <c r="R322" s="3518"/>
      <c r="S322" s="3518"/>
      <c r="T322" s="3518"/>
      <c r="U322" s="3518"/>
      <c r="V322" s="3518"/>
      <c r="W322" s="3518"/>
      <c r="X322" s="3518"/>
      <c r="Y322" s="3518"/>
      <c r="Z322" s="3518"/>
      <c r="AA322" s="3518"/>
      <c r="AB322" s="3518"/>
      <c r="AC322" s="3518"/>
      <c r="AD322" s="3518"/>
      <c r="AE322" s="3518"/>
      <c r="AF322" s="3518"/>
      <c r="AG322" s="3518"/>
      <c r="AH322" s="3518"/>
      <c r="AI322" s="3518"/>
      <c r="AJ322" s="3518"/>
      <c r="AK322" s="3518"/>
      <c r="AL322" s="3518"/>
      <c r="AM322" s="3518"/>
      <c r="AN322" s="3518"/>
      <c r="AO322" s="3586"/>
      <c r="AP322" s="3512"/>
    </row>
    <row r="323" spans="1:42">
      <c r="A323" s="5057" t="s">
        <v>298</v>
      </c>
      <c r="B323" s="5058"/>
      <c r="C323" s="3518"/>
      <c r="D323" s="3518"/>
      <c r="E323" s="3518"/>
      <c r="F323" s="3518"/>
      <c r="G323" s="3518"/>
      <c r="H323" s="3518"/>
      <c r="I323" s="3518"/>
      <c r="J323" s="3518"/>
      <c r="K323" s="3518"/>
      <c r="L323" s="3545">
        <v>0.139790685840884</v>
      </c>
      <c r="M323" s="3518"/>
      <c r="N323" s="3543">
        <v>5.7180794429777401E-2</v>
      </c>
      <c r="O323" s="3518"/>
      <c r="P323" s="3518"/>
      <c r="Q323" s="3518"/>
      <c r="R323" s="3518"/>
      <c r="S323" s="3518"/>
      <c r="T323" s="3518"/>
      <c r="U323" s="3518"/>
      <c r="V323" s="3518"/>
      <c r="W323" s="3518"/>
      <c r="X323" s="3518"/>
      <c r="Y323" s="3518"/>
      <c r="Z323" s="3518"/>
      <c r="AA323" s="3518"/>
      <c r="AB323" s="3518"/>
      <c r="AC323" s="3518"/>
      <c r="AD323" s="3518"/>
      <c r="AE323" s="3518"/>
      <c r="AF323" s="3518"/>
      <c r="AG323" s="3518"/>
      <c r="AH323" s="3518"/>
      <c r="AI323" s="3518"/>
      <c r="AJ323" s="3518"/>
      <c r="AK323" s="3518"/>
      <c r="AL323" s="3518"/>
      <c r="AM323" s="3518"/>
      <c r="AN323" s="3518"/>
      <c r="AO323" s="3586"/>
      <c r="AP323" s="3512"/>
    </row>
    <row r="324" spans="1:42">
      <c r="A324" s="5057" t="s">
        <v>680</v>
      </c>
      <c r="B324" s="5058"/>
      <c r="C324" s="3518"/>
      <c r="D324" s="3518"/>
      <c r="E324" s="3518"/>
      <c r="F324" s="3518"/>
      <c r="G324" s="3518"/>
      <c r="H324" s="3518"/>
      <c r="I324" s="3518"/>
      <c r="J324" s="3518"/>
      <c r="K324" s="3518"/>
      <c r="L324" s="3535">
        <v>0</v>
      </c>
      <c r="M324" s="3518"/>
      <c r="N324" s="3535">
        <v>0</v>
      </c>
      <c r="O324" s="3518"/>
      <c r="P324" s="3518"/>
      <c r="Q324" s="3518"/>
      <c r="R324" s="3518"/>
      <c r="S324" s="3518"/>
      <c r="T324" s="3518"/>
      <c r="U324" s="3518"/>
      <c r="V324" s="3518"/>
      <c r="W324" s="3518"/>
      <c r="X324" s="3518"/>
      <c r="Y324" s="3518"/>
      <c r="Z324" s="3518"/>
      <c r="AA324" s="3518"/>
      <c r="AB324" s="3518"/>
      <c r="AC324" s="3518"/>
      <c r="AD324" s="3518"/>
      <c r="AE324" s="3518"/>
      <c r="AF324" s="3518"/>
      <c r="AG324" s="3518"/>
      <c r="AH324" s="3518"/>
      <c r="AI324" s="3518"/>
      <c r="AJ324" s="3518"/>
      <c r="AK324" s="3518"/>
      <c r="AL324" s="3518"/>
      <c r="AM324" s="3518"/>
      <c r="AN324" s="3518"/>
      <c r="AO324" s="3586"/>
      <c r="AP324" s="3512"/>
    </row>
    <row r="325" spans="1:42">
      <c r="A325" s="5057" t="s">
        <v>681</v>
      </c>
      <c r="B325" s="5058"/>
      <c r="C325" s="3518"/>
      <c r="D325" s="3518"/>
      <c r="E325" s="3518"/>
      <c r="F325" s="3518"/>
      <c r="G325" s="3518"/>
      <c r="H325" s="3518"/>
      <c r="I325" s="3518"/>
      <c r="J325" s="3518"/>
      <c r="K325" s="3518"/>
      <c r="L325" s="3535">
        <v>0</v>
      </c>
      <c r="M325" s="3518"/>
      <c r="N325" s="3535">
        <v>0</v>
      </c>
      <c r="O325" s="3518"/>
      <c r="P325" s="3518"/>
      <c r="Q325" s="3518"/>
      <c r="R325" s="3518"/>
      <c r="S325" s="3518"/>
      <c r="T325" s="3518"/>
      <c r="U325" s="3518"/>
      <c r="V325" s="3518"/>
      <c r="W325" s="3518"/>
      <c r="X325" s="3518"/>
      <c r="Y325" s="3518"/>
      <c r="Z325" s="3518"/>
      <c r="AA325" s="3518"/>
      <c r="AB325" s="3518"/>
      <c r="AC325" s="3518"/>
      <c r="AD325" s="3518"/>
      <c r="AE325" s="3518"/>
      <c r="AF325" s="3518"/>
      <c r="AG325" s="3518"/>
      <c r="AH325" s="3518"/>
      <c r="AI325" s="3518"/>
      <c r="AJ325" s="3518"/>
      <c r="AK325" s="3518"/>
      <c r="AL325" s="3518"/>
      <c r="AM325" s="3518"/>
      <c r="AN325" s="3518"/>
      <c r="AO325" s="3586"/>
      <c r="AP325" s="3512"/>
    </row>
    <row r="326" spans="1:42" ht="13" thickBot="1">
      <c r="A326" s="5063" t="s">
        <v>675</v>
      </c>
      <c r="B326" s="5064"/>
      <c r="C326" s="3587"/>
      <c r="D326" s="3587"/>
      <c r="E326" s="3587"/>
      <c r="F326" s="3587"/>
      <c r="G326" s="3587"/>
      <c r="H326" s="3587"/>
      <c r="I326" s="3587"/>
      <c r="J326" s="3587"/>
      <c r="K326" s="3587"/>
      <c r="L326" s="3568">
        <v>0</v>
      </c>
      <c r="M326" s="3587"/>
      <c r="N326" s="3568">
        <v>0</v>
      </c>
      <c r="O326" s="3587"/>
      <c r="P326" s="3587"/>
      <c r="Q326" s="3587"/>
      <c r="R326" s="3587"/>
      <c r="S326" s="3587"/>
      <c r="T326" s="3587"/>
      <c r="U326" s="3587"/>
      <c r="V326" s="3587"/>
      <c r="W326" s="3587"/>
      <c r="X326" s="3587"/>
      <c r="Y326" s="3587"/>
      <c r="Z326" s="3587"/>
      <c r="AA326" s="3587"/>
      <c r="AB326" s="3587"/>
      <c r="AC326" s="3587"/>
      <c r="AD326" s="3587"/>
      <c r="AE326" s="3587"/>
      <c r="AF326" s="3587"/>
      <c r="AG326" s="3587"/>
      <c r="AH326" s="3587"/>
      <c r="AI326" s="3587"/>
      <c r="AJ326" s="3587"/>
      <c r="AK326" s="3587"/>
      <c r="AL326" s="3587"/>
      <c r="AM326" s="3587"/>
      <c r="AN326" s="3587"/>
      <c r="AO326" s="3588"/>
      <c r="AP326" s="3512"/>
    </row>
    <row r="327" spans="1:42" ht="13" thickTop="1">
      <c r="A327" s="3512"/>
      <c r="B327" s="3512"/>
      <c r="C327" s="3512"/>
      <c r="D327" s="3512"/>
      <c r="E327" s="3512"/>
      <c r="F327" s="3512"/>
      <c r="G327" s="3512"/>
      <c r="H327" s="3512"/>
      <c r="I327" s="3512"/>
      <c r="J327" s="3512"/>
      <c r="K327" s="3512"/>
      <c r="L327" s="3512"/>
      <c r="M327" s="3512"/>
      <c r="N327" s="3512"/>
      <c r="O327" s="3512"/>
      <c r="P327" s="3512"/>
      <c r="Q327" s="3512"/>
      <c r="R327" s="3512"/>
      <c r="S327" s="3512"/>
      <c r="T327" s="3512"/>
      <c r="U327" s="3512"/>
      <c r="V327" s="3512"/>
      <c r="W327" s="3512"/>
      <c r="X327" s="3512"/>
      <c r="Y327" s="3512"/>
      <c r="Z327" s="3512"/>
      <c r="AA327" s="3512"/>
      <c r="AB327" s="3512"/>
      <c r="AC327" s="3512"/>
      <c r="AD327" s="3512"/>
      <c r="AE327" s="3512"/>
      <c r="AF327" s="3512"/>
      <c r="AG327" s="3512"/>
      <c r="AH327" s="3512"/>
      <c r="AI327" s="3512"/>
      <c r="AJ327" s="3512"/>
      <c r="AK327" s="3512"/>
      <c r="AL327" s="3512"/>
      <c r="AM327" s="3512"/>
      <c r="AN327" s="3512"/>
      <c r="AO327" s="3512"/>
      <c r="AP327" s="3512"/>
    </row>
    <row r="328" spans="1:42" ht="13" thickBot="1">
      <c r="A328" s="3512"/>
      <c r="B328" s="3512"/>
      <c r="C328" s="3512"/>
      <c r="D328" s="3512"/>
      <c r="E328" s="3512"/>
      <c r="F328" s="3512"/>
      <c r="G328" s="3512"/>
      <c r="H328" s="3512"/>
      <c r="I328" s="3512"/>
      <c r="J328" s="3512"/>
      <c r="K328" s="3512"/>
      <c r="L328" s="3512"/>
      <c r="M328" s="3512"/>
      <c r="N328" s="3512"/>
      <c r="O328" s="3512"/>
      <c r="P328" s="3512"/>
      <c r="Q328" s="3512"/>
      <c r="R328" s="3512"/>
      <c r="S328" s="3512"/>
      <c r="T328" s="3512"/>
      <c r="U328" s="3512"/>
      <c r="V328" s="3512"/>
      <c r="W328" s="3512"/>
      <c r="X328" s="3512"/>
      <c r="Y328" s="3512"/>
      <c r="Z328" s="3512"/>
      <c r="AA328" s="3512"/>
      <c r="AB328" s="3512"/>
      <c r="AC328" s="3512"/>
      <c r="AD328" s="3512"/>
      <c r="AE328" s="3512"/>
      <c r="AF328" s="3512"/>
      <c r="AG328" s="3512"/>
      <c r="AH328" s="3512"/>
      <c r="AI328" s="3512"/>
      <c r="AJ328" s="3512"/>
      <c r="AK328" s="3512"/>
      <c r="AL328" s="3512"/>
      <c r="AM328" s="3512"/>
      <c r="AN328" s="3512"/>
      <c r="AO328" s="3512"/>
      <c r="AP328" s="3512"/>
    </row>
    <row r="329" spans="1:42" ht="14" thickTop="1" thickBot="1">
      <c r="A329" s="3520" t="s">
        <v>389</v>
      </c>
      <c r="B329" s="3521"/>
      <c r="C329" s="3522" t="s">
        <v>707</v>
      </c>
      <c r="D329" s="3522" t="s">
        <v>561</v>
      </c>
      <c r="E329" s="3522" t="s">
        <v>708</v>
      </c>
      <c r="F329" s="3522" t="s">
        <v>709</v>
      </c>
      <c r="G329" s="3522" t="s">
        <v>710</v>
      </c>
      <c r="H329" s="3522" t="s">
        <v>711</v>
      </c>
      <c r="I329" s="3522" t="s">
        <v>712</v>
      </c>
      <c r="J329" s="3522" t="s">
        <v>713</v>
      </c>
      <c r="K329" s="3522" t="s">
        <v>390</v>
      </c>
      <c r="L329" s="3522" t="s">
        <v>391</v>
      </c>
      <c r="M329" s="3522" t="s">
        <v>392</v>
      </c>
      <c r="N329" s="3522" t="s">
        <v>393</v>
      </c>
      <c r="O329" s="3522" t="s">
        <v>714</v>
      </c>
      <c r="P329" s="3522" t="s">
        <v>394</v>
      </c>
      <c r="Q329" s="3522" t="s">
        <v>715</v>
      </c>
      <c r="R329" s="3522" t="s">
        <v>395</v>
      </c>
      <c r="S329" s="3522" t="s">
        <v>716</v>
      </c>
      <c r="T329" s="3522" t="s">
        <v>396</v>
      </c>
      <c r="U329" s="3522" t="s">
        <v>397</v>
      </c>
      <c r="V329" s="3522" t="s">
        <v>398</v>
      </c>
      <c r="W329" s="3522" t="s">
        <v>399</v>
      </c>
      <c r="X329" s="3522" t="s">
        <v>400</v>
      </c>
      <c r="Y329" s="3522" t="s">
        <v>717</v>
      </c>
      <c r="Z329" s="3522" t="s">
        <v>401</v>
      </c>
      <c r="AA329" s="3522" t="s">
        <v>402</v>
      </c>
      <c r="AB329" s="3522" t="s">
        <v>403</v>
      </c>
      <c r="AC329" s="3522" t="s">
        <v>718</v>
      </c>
      <c r="AD329" s="3522" t="s">
        <v>404</v>
      </c>
      <c r="AE329" s="3522" t="s">
        <v>405</v>
      </c>
      <c r="AF329" s="3522" t="s">
        <v>406</v>
      </c>
      <c r="AG329" s="3522" t="s">
        <v>407</v>
      </c>
      <c r="AH329" s="3522" t="s">
        <v>408</v>
      </c>
      <c r="AI329" s="3522" t="s">
        <v>409</v>
      </c>
      <c r="AJ329" s="3522" t="s">
        <v>410</v>
      </c>
      <c r="AK329" s="3522" t="s">
        <v>411</v>
      </c>
      <c r="AL329" s="3522" t="s">
        <v>412</v>
      </c>
      <c r="AM329" s="3522" t="s">
        <v>439</v>
      </c>
      <c r="AN329" s="3522" t="s">
        <v>440</v>
      </c>
      <c r="AO329" s="3523" t="s">
        <v>441</v>
      </c>
      <c r="AP329" s="3512"/>
    </row>
    <row r="330" spans="1:42" ht="13">
      <c r="A330" s="3524" t="s">
        <v>427</v>
      </c>
      <c r="B330" s="3513" t="s">
        <v>413</v>
      </c>
      <c r="C330" s="3514" t="s">
        <v>414</v>
      </c>
      <c r="D330" s="3514" t="s">
        <v>414</v>
      </c>
      <c r="E330" s="3514" t="s">
        <v>414</v>
      </c>
      <c r="F330" s="3514" t="s">
        <v>414</v>
      </c>
      <c r="G330" s="3514" t="s">
        <v>414</v>
      </c>
      <c r="H330" s="3514" t="s">
        <v>414</v>
      </c>
      <c r="I330" s="3514" t="s">
        <v>414</v>
      </c>
      <c r="J330" s="3514" t="s">
        <v>414</v>
      </c>
      <c r="K330" s="3514" t="s">
        <v>414</v>
      </c>
      <c r="L330" s="3514" t="s">
        <v>414</v>
      </c>
      <c r="M330" s="3514" t="s">
        <v>414</v>
      </c>
      <c r="N330" s="3514" t="s">
        <v>414</v>
      </c>
      <c r="O330" s="3514" t="s">
        <v>414</v>
      </c>
      <c r="P330" s="3514" t="s">
        <v>414</v>
      </c>
      <c r="Q330" s="3514" t="s">
        <v>414</v>
      </c>
      <c r="R330" s="3514" t="s">
        <v>414</v>
      </c>
      <c r="S330" s="3514" t="s">
        <v>414</v>
      </c>
      <c r="T330" s="3514" t="s">
        <v>414</v>
      </c>
      <c r="U330" s="3514" t="s">
        <v>414</v>
      </c>
      <c r="V330" s="3514" t="s">
        <v>414</v>
      </c>
      <c r="W330" s="3514" t="s">
        <v>414</v>
      </c>
      <c r="X330" s="3514" t="s">
        <v>414</v>
      </c>
      <c r="Y330" s="3514" t="s">
        <v>414</v>
      </c>
      <c r="Z330" s="3514" t="s">
        <v>414</v>
      </c>
      <c r="AA330" s="3514" t="s">
        <v>414</v>
      </c>
      <c r="AB330" s="3514" t="s">
        <v>414</v>
      </c>
      <c r="AC330" s="3514" t="s">
        <v>414</v>
      </c>
      <c r="AD330" s="3514" t="s">
        <v>414</v>
      </c>
      <c r="AE330" s="3514" t="s">
        <v>414</v>
      </c>
      <c r="AF330" s="3514" t="s">
        <v>414</v>
      </c>
      <c r="AG330" s="3514" t="s">
        <v>414</v>
      </c>
      <c r="AH330" s="3514" t="s">
        <v>414</v>
      </c>
      <c r="AI330" s="3514" t="s">
        <v>414</v>
      </c>
      <c r="AJ330" s="3514" t="s">
        <v>414</v>
      </c>
      <c r="AK330" s="3514" t="s">
        <v>414</v>
      </c>
      <c r="AL330" s="3514" t="s">
        <v>414</v>
      </c>
      <c r="AM330" s="3514" t="s">
        <v>414</v>
      </c>
      <c r="AN330" s="3514" t="s">
        <v>414</v>
      </c>
      <c r="AO330" s="3525" t="s">
        <v>414</v>
      </c>
      <c r="AP330" s="3512"/>
    </row>
    <row r="331" spans="1:42" ht="13">
      <c r="A331" s="3526" t="s">
        <v>437</v>
      </c>
      <c r="B331" s="3515" t="s">
        <v>416</v>
      </c>
      <c r="C331" s="3515" t="s">
        <v>719</v>
      </c>
      <c r="D331" s="3515" t="s">
        <v>720</v>
      </c>
      <c r="E331" s="3515" t="s">
        <v>445</v>
      </c>
      <c r="F331" s="3515" t="s">
        <v>719</v>
      </c>
      <c r="G331" s="3515" t="s">
        <v>445</v>
      </c>
      <c r="H331" s="3515" t="s">
        <v>721</v>
      </c>
      <c r="I331" s="3515" t="s">
        <v>442</v>
      </c>
      <c r="J331" s="3515" t="s">
        <v>445</v>
      </c>
      <c r="K331" s="3515" t="s">
        <v>722</v>
      </c>
      <c r="L331" s="3515" t="s">
        <v>445</v>
      </c>
      <c r="M331" s="3515" t="s">
        <v>445</v>
      </c>
      <c r="N331" s="3515" t="s">
        <v>444</v>
      </c>
      <c r="O331" s="3515" t="s">
        <v>442</v>
      </c>
      <c r="P331" s="3515" t="s">
        <v>446</v>
      </c>
      <c r="Q331" s="3515" t="s">
        <v>722</v>
      </c>
      <c r="R331" s="3515" t="s">
        <v>445</v>
      </c>
      <c r="S331" s="3515" t="s">
        <v>723</v>
      </c>
      <c r="T331" s="3515" t="s">
        <v>723</v>
      </c>
      <c r="U331" s="3515" t="s">
        <v>724</v>
      </c>
      <c r="V331" s="3515" t="s">
        <v>725</v>
      </c>
      <c r="W331" s="3515" t="s">
        <v>726</v>
      </c>
      <c r="X331" s="3515" t="s">
        <v>443</v>
      </c>
      <c r="Y331" s="3515" t="s">
        <v>726</v>
      </c>
      <c r="Z331" s="3515" t="s">
        <v>725</v>
      </c>
      <c r="AA331" s="3515" t="s">
        <v>291</v>
      </c>
      <c r="AB331" s="3515" t="s">
        <v>445</v>
      </c>
      <c r="AC331" s="3515" t="s">
        <v>291</v>
      </c>
      <c r="AD331" s="3515" t="s">
        <v>724</v>
      </c>
      <c r="AE331" s="3515" t="s">
        <v>443</v>
      </c>
      <c r="AF331" s="3515" t="s">
        <v>420</v>
      </c>
      <c r="AG331" s="3515" t="s">
        <v>420</v>
      </c>
      <c r="AH331" s="3515" t="s">
        <v>418</v>
      </c>
      <c r="AI331" s="3515" t="s">
        <v>727</v>
      </c>
      <c r="AJ331" s="3515" t="s">
        <v>728</v>
      </c>
      <c r="AK331" s="3515" t="s">
        <v>417</v>
      </c>
      <c r="AL331" s="3515" t="s">
        <v>445</v>
      </c>
      <c r="AM331" s="3515" t="s">
        <v>445</v>
      </c>
      <c r="AN331" s="3515" t="s">
        <v>729</v>
      </c>
      <c r="AO331" s="3527" t="s">
        <v>729</v>
      </c>
      <c r="AP331" s="3512"/>
    </row>
    <row r="332" spans="1:42">
      <c r="A332" s="3575"/>
      <c r="B332" s="3516" t="s">
        <v>421</v>
      </c>
      <c r="C332" s="3516" t="s">
        <v>445</v>
      </c>
      <c r="D332" s="3516" t="s">
        <v>445</v>
      </c>
      <c r="E332" s="3516" t="s">
        <v>445</v>
      </c>
      <c r="F332" s="3516" t="s">
        <v>727</v>
      </c>
      <c r="G332" s="3516" t="s">
        <v>719</v>
      </c>
      <c r="H332" s="3516" t="s">
        <v>719</v>
      </c>
      <c r="I332" s="3516" t="s">
        <v>722</v>
      </c>
      <c r="J332" s="3516" t="s">
        <v>720</v>
      </c>
      <c r="K332" s="3516" t="s">
        <v>446</v>
      </c>
      <c r="L332" s="3516" t="s">
        <v>444</v>
      </c>
      <c r="M332" s="3516" t="s">
        <v>420</v>
      </c>
      <c r="N332" s="3516" t="s">
        <v>445</v>
      </c>
      <c r="O332" s="3516" t="s">
        <v>418</v>
      </c>
      <c r="P332" s="3516" t="s">
        <v>442</v>
      </c>
      <c r="Q332" s="3516" t="s">
        <v>723</v>
      </c>
      <c r="R332" s="3516" t="s">
        <v>443</v>
      </c>
      <c r="S332" s="3516" t="s">
        <v>445</v>
      </c>
      <c r="T332" s="3516" t="s">
        <v>724</v>
      </c>
      <c r="U332" s="3516" t="s">
        <v>725</v>
      </c>
      <c r="V332" s="3516" t="s">
        <v>726</v>
      </c>
      <c r="W332" s="3516" t="s">
        <v>725</v>
      </c>
      <c r="X332" s="3516" t="s">
        <v>445</v>
      </c>
      <c r="Y332" s="3516" t="s">
        <v>445</v>
      </c>
      <c r="Z332" s="3516" t="s">
        <v>291</v>
      </c>
      <c r="AA332" s="3516" t="s">
        <v>725</v>
      </c>
      <c r="AB332" s="3516" t="s">
        <v>443</v>
      </c>
      <c r="AC332" s="3516" t="s">
        <v>724</v>
      </c>
      <c r="AD332" s="3516" t="s">
        <v>721</v>
      </c>
      <c r="AE332" s="3516" t="s">
        <v>445</v>
      </c>
      <c r="AF332" s="3516" t="s">
        <v>442</v>
      </c>
      <c r="AG332" s="3516" t="s">
        <v>418</v>
      </c>
      <c r="AH332" s="3516" t="s">
        <v>445</v>
      </c>
      <c r="AI332" s="3516" t="s">
        <v>728</v>
      </c>
      <c r="AJ332" s="3516" t="s">
        <v>722</v>
      </c>
      <c r="AK332" s="3516" t="s">
        <v>445</v>
      </c>
      <c r="AL332" s="3516" t="s">
        <v>417</v>
      </c>
      <c r="AM332" s="3516" t="s">
        <v>729</v>
      </c>
      <c r="AN332" s="3516" t="s">
        <v>445</v>
      </c>
      <c r="AO332" s="3529" t="s">
        <v>445</v>
      </c>
      <c r="AP332" s="3512"/>
    </row>
    <row r="333" spans="1:42" ht="13" thickBot="1">
      <c r="A333" s="3554" t="s">
        <v>71</v>
      </c>
      <c r="B333" s="3572" t="s">
        <v>72</v>
      </c>
      <c r="C333" s="3519"/>
      <c r="D333" s="3519"/>
      <c r="E333" s="3519"/>
      <c r="F333" s="3519"/>
      <c r="G333" s="3519"/>
      <c r="H333" s="3519"/>
      <c r="I333" s="3519"/>
      <c r="J333" s="3519"/>
      <c r="K333" s="3519"/>
      <c r="L333" s="3519"/>
      <c r="M333" s="3519"/>
      <c r="N333" s="3519"/>
      <c r="O333" s="3519"/>
      <c r="P333" s="3519"/>
      <c r="Q333" s="3519"/>
      <c r="R333" s="3519"/>
      <c r="S333" s="3519"/>
      <c r="T333" s="3519"/>
      <c r="U333" s="3519"/>
      <c r="V333" s="3519"/>
      <c r="W333" s="3519"/>
      <c r="X333" s="3519"/>
      <c r="Y333" s="3519"/>
      <c r="Z333" s="3519"/>
      <c r="AA333" s="3519"/>
      <c r="AB333" s="3519"/>
      <c r="AC333" s="3519"/>
      <c r="AD333" s="3519"/>
      <c r="AE333" s="3519"/>
      <c r="AF333" s="3519"/>
      <c r="AG333" s="3519"/>
      <c r="AH333" s="3519"/>
      <c r="AI333" s="3519"/>
      <c r="AJ333" s="3519"/>
      <c r="AK333" s="3519"/>
      <c r="AL333" s="3519"/>
      <c r="AM333" s="3519"/>
      <c r="AN333" s="3519"/>
      <c r="AO333" s="3530"/>
      <c r="AP333" s="3512"/>
    </row>
    <row r="334" spans="1:42" ht="13" thickTop="1">
      <c r="A334" s="3531" t="s">
        <v>428</v>
      </c>
      <c r="B334" s="3573" t="s">
        <v>299</v>
      </c>
      <c r="C334" s="3518"/>
      <c r="D334" s="3518"/>
      <c r="E334" s="3518"/>
      <c r="F334" s="3518"/>
      <c r="G334" s="3518"/>
      <c r="H334" s="3518"/>
      <c r="I334" s="3518"/>
      <c r="J334" s="3518"/>
      <c r="K334" s="3518"/>
      <c r="L334" s="3535">
        <v>50</v>
      </c>
      <c r="M334" s="3518"/>
      <c r="N334" s="3535">
        <v>80</v>
      </c>
      <c r="O334" s="3518"/>
      <c r="P334" s="3518"/>
      <c r="Q334" s="3518"/>
      <c r="R334" s="3518"/>
      <c r="S334" s="3518"/>
      <c r="T334" s="3518"/>
      <c r="U334" s="3518"/>
      <c r="V334" s="3518"/>
      <c r="W334" s="3518"/>
      <c r="X334" s="3518"/>
      <c r="Y334" s="3518"/>
      <c r="Z334" s="3518"/>
      <c r="AA334" s="3518"/>
      <c r="AB334" s="3518"/>
      <c r="AC334" s="3518"/>
      <c r="AD334" s="3518"/>
      <c r="AE334" s="3518"/>
      <c r="AF334" s="3518"/>
      <c r="AG334" s="3518"/>
      <c r="AH334" s="3518"/>
      <c r="AI334" s="3518"/>
      <c r="AJ334" s="3518"/>
      <c r="AK334" s="3518"/>
      <c r="AL334" s="3518"/>
      <c r="AM334" s="3518"/>
      <c r="AN334" s="3518"/>
      <c r="AO334" s="3586"/>
      <c r="AP334" s="3512"/>
    </row>
    <row r="335" spans="1:42">
      <c r="A335" s="3541" t="s">
        <v>730</v>
      </c>
      <c r="B335" s="3574" t="s">
        <v>295</v>
      </c>
      <c r="C335" s="3518"/>
      <c r="D335" s="3518"/>
      <c r="E335" s="3518"/>
      <c r="F335" s="3518"/>
      <c r="G335" s="3518"/>
      <c r="H335" s="3518"/>
      <c r="I335" s="3518"/>
      <c r="J335" s="3518"/>
      <c r="K335" s="3518"/>
      <c r="L335" s="3535">
        <v>1000</v>
      </c>
      <c r="M335" s="3518"/>
      <c r="N335" s="3535">
        <v>1000</v>
      </c>
      <c r="O335" s="3518"/>
      <c r="P335" s="3518"/>
      <c r="Q335" s="3518"/>
      <c r="R335" s="3518"/>
      <c r="S335" s="3518"/>
      <c r="T335" s="3518"/>
      <c r="U335" s="3518"/>
      <c r="V335" s="3518"/>
      <c r="W335" s="3518"/>
      <c r="X335" s="3518"/>
      <c r="Y335" s="3518"/>
      <c r="Z335" s="3518"/>
      <c r="AA335" s="3518"/>
      <c r="AB335" s="3518"/>
      <c r="AC335" s="3518"/>
      <c r="AD335" s="3518"/>
      <c r="AE335" s="3518"/>
      <c r="AF335" s="3518"/>
      <c r="AG335" s="3518"/>
      <c r="AH335" s="3518"/>
      <c r="AI335" s="3518"/>
      <c r="AJ335" s="3518"/>
      <c r="AK335" s="3518"/>
      <c r="AL335" s="3518"/>
      <c r="AM335" s="3518"/>
      <c r="AN335" s="3518"/>
      <c r="AO335" s="3586"/>
      <c r="AP335" s="3512"/>
    </row>
    <row r="336" spans="1:42">
      <c r="A336" s="3541" t="s">
        <v>20</v>
      </c>
      <c r="B336" s="3574" t="s">
        <v>429</v>
      </c>
      <c r="C336" s="3518"/>
      <c r="D336" s="3518"/>
      <c r="E336" s="3518"/>
      <c r="F336" s="3518"/>
      <c r="G336" s="3518"/>
      <c r="H336" s="3518"/>
      <c r="I336" s="3518"/>
      <c r="J336" s="3518"/>
      <c r="K336" s="3518"/>
      <c r="L336" s="3546">
        <v>18.0387954866207</v>
      </c>
      <c r="M336" s="3518"/>
      <c r="N336" s="3546">
        <v>18.031326535669699</v>
      </c>
      <c r="O336" s="3518"/>
      <c r="P336" s="3518"/>
      <c r="Q336" s="3518"/>
      <c r="R336" s="3518"/>
      <c r="S336" s="3518"/>
      <c r="T336" s="3518"/>
      <c r="U336" s="3518"/>
      <c r="V336" s="3518"/>
      <c r="W336" s="3518"/>
      <c r="X336" s="3518"/>
      <c r="Y336" s="3518"/>
      <c r="Z336" s="3518"/>
      <c r="AA336" s="3518"/>
      <c r="AB336" s="3518"/>
      <c r="AC336" s="3518"/>
      <c r="AD336" s="3518"/>
      <c r="AE336" s="3518"/>
      <c r="AF336" s="3518"/>
      <c r="AG336" s="3518"/>
      <c r="AH336" s="3518"/>
      <c r="AI336" s="3518"/>
      <c r="AJ336" s="3518"/>
      <c r="AK336" s="3518"/>
      <c r="AL336" s="3518"/>
      <c r="AM336" s="3518"/>
      <c r="AN336" s="3518"/>
      <c r="AO336" s="3586"/>
      <c r="AP336" s="3512"/>
    </row>
    <row r="337" spans="1:42">
      <c r="A337" s="3541" t="s">
        <v>425</v>
      </c>
      <c r="B337" s="3574" t="s">
        <v>426</v>
      </c>
      <c r="C337" s="3518"/>
      <c r="D337" s="3518"/>
      <c r="E337" s="3518"/>
      <c r="F337" s="3518"/>
      <c r="G337" s="3518"/>
      <c r="H337" s="3518"/>
      <c r="I337" s="3518"/>
      <c r="J337" s="3518"/>
      <c r="K337" s="3518"/>
      <c r="L337" s="3558">
        <v>277.56710403279698</v>
      </c>
      <c r="M337" s="3518"/>
      <c r="N337" s="3558">
        <v>113.40281180317101</v>
      </c>
      <c r="O337" s="3518"/>
      <c r="P337" s="3518"/>
      <c r="Q337" s="3518"/>
      <c r="R337" s="3518"/>
      <c r="S337" s="3518"/>
      <c r="T337" s="3518"/>
      <c r="U337" s="3518"/>
      <c r="V337" s="3518"/>
      <c r="W337" s="3518"/>
      <c r="X337" s="3518"/>
      <c r="Y337" s="3518"/>
      <c r="Z337" s="3518"/>
      <c r="AA337" s="3518"/>
      <c r="AB337" s="3518"/>
      <c r="AC337" s="3518"/>
      <c r="AD337" s="3518"/>
      <c r="AE337" s="3518"/>
      <c r="AF337" s="3518"/>
      <c r="AG337" s="3518"/>
      <c r="AH337" s="3518"/>
      <c r="AI337" s="3518"/>
      <c r="AJ337" s="3518"/>
      <c r="AK337" s="3518"/>
      <c r="AL337" s="3518"/>
      <c r="AM337" s="3518"/>
      <c r="AN337" s="3518"/>
      <c r="AO337" s="3586"/>
      <c r="AP337" s="3512"/>
    </row>
    <row r="338" spans="1:42">
      <c r="A338" s="3541" t="s">
        <v>430</v>
      </c>
      <c r="B338" s="3574" t="s">
        <v>57</v>
      </c>
      <c r="C338" s="3518"/>
      <c r="D338" s="3518"/>
      <c r="E338" s="3518"/>
      <c r="F338" s="3518"/>
      <c r="G338" s="3518"/>
      <c r="H338" s="3518"/>
      <c r="I338" s="3518"/>
      <c r="J338" s="3518"/>
      <c r="K338" s="3518"/>
      <c r="L338" s="3545">
        <v>0.14014097034388501</v>
      </c>
      <c r="M338" s="3518"/>
      <c r="N338" s="3543">
        <v>5.7279709337352797E-2</v>
      </c>
      <c r="O338" s="3518"/>
      <c r="P338" s="3518"/>
      <c r="Q338" s="3518"/>
      <c r="R338" s="3518"/>
      <c r="S338" s="3518"/>
      <c r="T338" s="3518"/>
      <c r="U338" s="3518"/>
      <c r="V338" s="3518"/>
      <c r="W338" s="3518"/>
      <c r="X338" s="3518"/>
      <c r="Y338" s="3518"/>
      <c r="Z338" s="3518"/>
      <c r="AA338" s="3518"/>
      <c r="AB338" s="3518"/>
      <c r="AC338" s="3518"/>
      <c r="AD338" s="3518"/>
      <c r="AE338" s="3518"/>
      <c r="AF338" s="3518"/>
      <c r="AG338" s="3518"/>
      <c r="AH338" s="3518"/>
      <c r="AI338" s="3518"/>
      <c r="AJ338" s="3518"/>
      <c r="AK338" s="3518"/>
      <c r="AL338" s="3518"/>
      <c r="AM338" s="3518"/>
      <c r="AN338" s="3518"/>
      <c r="AO338" s="3586"/>
      <c r="AP338" s="3512"/>
    </row>
    <row r="339" spans="1:42">
      <c r="A339" s="3541" t="s">
        <v>431</v>
      </c>
      <c r="B339" s="3574" t="s">
        <v>432</v>
      </c>
      <c r="C339" s="3518"/>
      <c r="D339" s="3518"/>
      <c r="E339" s="3518"/>
      <c r="F339" s="3518"/>
      <c r="G339" s="3518"/>
      <c r="H339" s="3518"/>
      <c r="I339" s="3518"/>
      <c r="J339" s="3518"/>
      <c r="K339" s="3518"/>
      <c r="L339" s="3545">
        <v>0.55714090870063804</v>
      </c>
      <c r="M339" s="3518"/>
      <c r="N339" s="3545">
        <v>0.227348375946891</v>
      </c>
      <c r="O339" s="3518"/>
      <c r="P339" s="3518"/>
      <c r="Q339" s="3518"/>
      <c r="R339" s="3518"/>
      <c r="S339" s="3518"/>
      <c r="T339" s="3518"/>
      <c r="U339" s="3518"/>
      <c r="V339" s="3518"/>
      <c r="W339" s="3518"/>
      <c r="X339" s="3518"/>
      <c r="Y339" s="3518"/>
      <c r="Z339" s="3518"/>
      <c r="AA339" s="3518"/>
      <c r="AB339" s="3518"/>
      <c r="AC339" s="3518"/>
      <c r="AD339" s="3518"/>
      <c r="AE339" s="3518"/>
      <c r="AF339" s="3518"/>
      <c r="AG339" s="3518"/>
      <c r="AH339" s="3518"/>
      <c r="AI339" s="3518"/>
      <c r="AJ339" s="3518"/>
      <c r="AK339" s="3518"/>
      <c r="AL339" s="3518"/>
      <c r="AM339" s="3518"/>
      <c r="AN339" s="3518"/>
      <c r="AO339" s="3586"/>
      <c r="AP339" s="3512"/>
    </row>
    <row r="340" spans="1:42">
      <c r="A340" s="3541" t="s">
        <v>2007</v>
      </c>
      <c r="B340" s="3574" t="s">
        <v>2008</v>
      </c>
      <c r="C340" s="3518"/>
      <c r="D340" s="3518"/>
      <c r="E340" s="3518"/>
      <c r="F340" s="3518"/>
      <c r="G340" s="3518"/>
      <c r="H340" s="3518"/>
      <c r="I340" s="3518"/>
      <c r="J340" s="3518"/>
      <c r="K340" s="3518"/>
      <c r="L340" s="3544">
        <v>1.00632636058789</v>
      </c>
      <c r="M340" s="3518"/>
      <c r="N340" s="3545">
        <v>0.99935100190651005</v>
      </c>
      <c r="O340" s="3518"/>
      <c r="P340" s="3518"/>
      <c r="Q340" s="3518"/>
      <c r="R340" s="3518"/>
      <c r="S340" s="3518"/>
      <c r="T340" s="3518"/>
      <c r="U340" s="3518"/>
      <c r="V340" s="3518"/>
      <c r="W340" s="3518"/>
      <c r="X340" s="3518"/>
      <c r="Y340" s="3518"/>
      <c r="Z340" s="3518"/>
      <c r="AA340" s="3518"/>
      <c r="AB340" s="3518"/>
      <c r="AC340" s="3518"/>
      <c r="AD340" s="3518"/>
      <c r="AE340" s="3518"/>
      <c r="AF340" s="3518"/>
      <c r="AG340" s="3518"/>
      <c r="AH340" s="3518"/>
      <c r="AI340" s="3518"/>
      <c r="AJ340" s="3518"/>
      <c r="AK340" s="3518"/>
      <c r="AL340" s="3518"/>
      <c r="AM340" s="3518"/>
      <c r="AN340" s="3518"/>
      <c r="AO340" s="3586"/>
      <c r="AP340" s="3512"/>
    </row>
    <row r="341" spans="1:42">
      <c r="A341" s="3541" t="s">
        <v>731</v>
      </c>
      <c r="B341" s="3574" t="s">
        <v>434</v>
      </c>
      <c r="C341" s="3518"/>
      <c r="D341" s="3518"/>
      <c r="E341" s="3518"/>
      <c r="F341" s="3518"/>
      <c r="G341" s="3518"/>
      <c r="H341" s="3518"/>
      <c r="I341" s="3518"/>
      <c r="J341" s="3518"/>
      <c r="K341" s="3518"/>
      <c r="L341" s="3544">
        <v>1.73932999547485</v>
      </c>
      <c r="M341" s="3518"/>
      <c r="N341" s="3544">
        <v>1.2401270859931901</v>
      </c>
      <c r="O341" s="3518"/>
      <c r="P341" s="3518"/>
      <c r="Q341" s="3518"/>
      <c r="R341" s="3518"/>
      <c r="S341" s="3518"/>
      <c r="T341" s="3518"/>
      <c r="U341" s="3518"/>
      <c r="V341" s="3518"/>
      <c r="W341" s="3518"/>
      <c r="X341" s="3518"/>
      <c r="Y341" s="3518"/>
      <c r="Z341" s="3518"/>
      <c r="AA341" s="3518"/>
      <c r="AB341" s="3518"/>
      <c r="AC341" s="3518"/>
      <c r="AD341" s="3518"/>
      <c r="AE341" s="3518"/>
      <c r="AF341" s="3518"/>
      <c r="AG341" s="3518"/>
      <c r="AH341" s="3518"/>
      <c r="AI341" s="3518"/>
      <c r="AJ341" s="3518"/>
      <c r="AK341" s="3518"/>
      <c r="AL341" s="3518"/>
      <c r="AM341" s="3518"/>
      <c r="AN341" s="3518"/>
      <c r="AO341" s="3586"/>
      <c r="AP341" s="3512"/>
    </row>
    <row r="342" spans="1:42" ht="13" thickBot="1">
      <c r="A342" s="3566" t="s">
        <v>433</v>
      </c>
      <c r="B342" s="3580" t="s">
        <v>434</v>
      </c>
      <c r="C342" s="3587"/>
      <c r="D342" s="3587"/>
      <c r="E342" s="3587"/>
      <c r="F342" s="3587"/>
      <c r="G342" s="3587"/>
      <c r="H342" s="3587"/>
      <c r="I342" s="3587"/>
      <c r="J342" s="3587"/>
      <c r="K342" s="3587"/>
      <c r="L342" s="3583">
        <v>52.1062359575469</v>
      </c>
      <c r="M342" s="3587"/>
      <c r="N342" s="3583">
        <v>51.592928961721</v>
      </c>
      <c r="O342" s="3587"/>
      <c r="P342" s="3587"/>
      <c r="Q342" s="3587"/>
      <c r="R342" s="3587"/>
      <c r="S342" s="3587"/>
      <c r="T342" s="3587"/>
      <c r="U342" s="3587"/>
      <c r="V342" s="3587"/>
      <c r="W342" s="3587"/>
      <c r="X342" s="3587"/>
      <c r="Y342" s="3587"/>
      <c r="Z342" s="3587"/>
      <c r="AA342" s="3587"/>
      <c r="AB342" s="3587"/>
      <c r="AC342" s="3587"/>
      <c r="AD342" s="3587"/>
      <c r="AE342" s="3587"/>
      <c r="AF342" s="3587"/>
      <c r="AG342" s="3587"/>
      <c r="AH342" s="3587"/>
      <c r="AI342" s="3587"/>
      <c r="AJ342" s="3587"/>
      <c r="AK342" s="3587"/>
      <c r="AL342" s="3587"/>
      <c r="AM342" s="3587"/>
      <c r="AN342" s="3587"/>
      <c r="AO342" s="3588"/>
      <c r="AP342" s="3512"/>
    </row>
    <row r="343" spans="1:42" ht="13" thickTop="1">
      <c r="A343" s="3512"/>
      <c r="B343" s="3512"/>
      <c r="C343" s="3512"/>
      <c r="D343" s="3512"/>
      <c r="E343" s="3512"/>
      <c r="F343" s="3512"/>
      <c r="G343" s="3512"/>
      <c r="H343" s="3512"/>
      <c r="I343" s="3512"/>
      <c r="J343" s="3512"/>
      <c r="K343" s="3512"/>
      <c r="L343" s="3512"/>
      <c r="M343" s="3512"/>
      <c r="N343" s="3512"/>
      <c r="O343" s="3512"/>
      <c r="P343" s="3512"/>
      <c r="Q343" s="3512"/>
      <c r="R343" s="3512"/>
      <c r="S343" s="3512"/>
      <c r="T343" s="3512"/>
      <c r="U343" s="3512"/>
      <c r="V343" s="3512"/>
      <c r="W343" s="3512"/>
      <c r="X343" s="3512"/>
      <c r="Y343" s="3512"/>
      <c r="Z343" s="3512"/>
      <c r="AA343" s="3512"/>
      <c r="AB343" s="3512"/>
      <c r="AC343" s="3512"/>
      <c r="AD343" s="3512"/>
      <c r="AE343" s="3512"/>
      <c r="AF343" s="3512"/>
      <c r="AG343" s="3512"/>
      <c r="AH343" s="3512"/>
      <c r="AI343" s="3512"/>
      <c r="AJ343" s="3512"/>
      <c r="AK343" s="3512"/>
      <c r="AL343" s="3512"/>
      <c r="AM343" s="3512"/>
      <c r="AN343" s="3512"/>
      <c r="AO343" s="3512"/>
      <c r="AP343" s="3512"/>
    </row>
    <row r="344" spans="1:42" ht="13" thickBot="1">
      <c r="A344" s="3512"/>
      <c r="B344" s="3512"/>
      <c r="C344" s="3512"/>
      <c r="D344" s="3512"/>
      <c r="E344" s="3512"/>
      <c r="F344" s="3512"/>
      <c r="G344" s="3512"/>
      <c r="H344" s="3512"/>
      <c r="I344" s="3512"/>
      <c r="J344" s="3512"/>
      <c r="K344" s="3512"/>
      <c r="L344" s="3512"/>
      <c r="M344" s="3512"/>
      <c r="N344" s="3512"/>
      <c r="O344" s="3512"/>
      <c r="P344" s="3512"/>
      <c r="Q344" s="3512"/>
      <c r="R344" s="3512"/>
      <c r="S344" s="3512"/>
      <c r="T344" s="3512"/>
      <c r="U344" s="3512"/>
      <c r="V344" s="3512"/>
      <c r="W344" s="3512"/>
      <c r="X344" s="3512"/>
      <c r="Y344" s="3512"/>
      <c r="Z344" s="3512"/>
      <c r="AA344" s="3512"/>
      <c r="AB344" s="3512"/>
      <c r="AC344" s="3512"/>
      <c r="AD344" s="3512"/>
      <c r="AE344" s="3512"/>
      <c r="AF344" s="3512"/>
      <c r="AG344" s="3512"/>
      <c r="AH344" s="3512"/>
      <c r="AI344" s="3512"/>
      <c r="AJ344" s="3512"/>
      <c r="AK344" s="3512"/>
      <c r="AL344" s="3512"/>
      <c r="AM344" s="3512"/>
      <c r="AN344" s="3512"/>
      <c r="AO344" s="3512"/>
      <c r="AP344" s="3512"/>
    </row>
    <row r="345" spans="1:42" ht="14" thickTop="1" thickBot="1">
      <c r="A345" s="3520" t="s">
        <v>389</v>
      </c>
      <c r="B345" s="3521"/>
      <c r="C345" s="3522" t="s">
        <v>707</v>
      </c>
      <c r="D345" s="3522" t="s">
        <v>561</v>
      </c>
      <c r="E345" s="3522" t="s">
        <v>708</v>
      </c>
      <c r="F345" s="3522" t="s">
        <v>709</v>
      </c>
      <c r="G345" s="3522" t="s">
        <v>710</v>
      </c>
      <c r="H345" s="3522" t="s">
        <v>711</v>
      </c>
      <c r="I345" s="3522" t="s">
        <v>712</v>
      </c>
      <c r="J345" s="3522" t="s">
        <v>713</v>
      </c>
      <c r="K345" s="3522" t="s">
        <v>390</v>
      </c>
      <c r="L345" s="3522" t="s">
        <v>391</v>
      </c>
      <c r="M345" s="3522" t="s">
        <v>392</v>
      </c>
      <c r="N345" s="3522" t="s">
        <v>393</v>
      </c>
      <c r="O345" s="3522" t="s">
        <v>714</v>
      </c>
      <c r="P345" s="3522" t="s">
        <v>394</v>
      </c>
      <c r="Q345" s="3522" t="s">
        <v>715</v>
      </c>
      <c r="R345" s="3522" t="s">
        <v>395</v>
      </c>
      <c r="S345" s="3522" t="s">
        <v>716</v>
      </c>
      <c r="T345" s="3522" t="s">
        <v>396</v>
      </c>
      <c r="U345" s="3522" t="s">
        <v>397</v>
      </c>
      <c r="V345" s="3522" t="s">
        <v>398</v>
      </c>
      <c r="W345" s="3522" t="s">
        <v>399</v>
      </c>
      <c r="X345" s="3522" t="s">
        <v>400</v>
      </c>
      <c r="Y345" s="3522" t="s">
        <v>717</v>
      </c>
      <c r="Z345" s="3522" t="s">
        <v>401</v>
      </c>
      <c r="AA345" s="3522" t="s">
        <v>402</v>
      </c>
      <c r="AB345" s="3522" t="s">
        <v>403</v>
      </c>
      <c r="AC345" s="3522" t="s">
        <v>718</v>
      </c>
      <c r="AD345" s="3522" t="s">
        <v>404</v>
      </c>
      <c r="AE345" s="3522" t="s">
        <v>405</v>
      </c>
      <c r="AF345" s="3522" t="s">
        <v>406</v>
      </c>
      <c r="AG345" s="3522" t="s">
        <v>407</v>
      </c>
      <c r="AH345" s="3522" t="s">
        <v>408</v>
      </c>
      <c r="AI345" s="3522" t="s">
        <v>409</v>
      </c>
      <c r="AJ345" s="3522" t="s">
        <v>410</v>
      </c>
      <c r="AK345" s="3522" t="s">
        <v>411</v>
      </c>
      <c r="AL345" s="3522" t="s">
        <v>412</v>
      </c>
      <c r="AM345" s="3522" t="s">
        <v>439</v>
      </c>
      <c r="AN345" s="3522" t="s">
        <v>440</v>
      </c>
      <c r="AO345" s="3523" t="s">
        <v>441</v>
      </c>
      <c r="AP345" s="3512"/>
    </row>
    <row r="346" spans="1:42" ht="13">
      <c r="A346" s="3524" t="s">
        <v>96</v>
      </c>
      <c r="B346" s="3513" t="s">
        <v>413</v>
      </c>
      <c r="C346" s="3514" t="s">
        <v>414</v>
      </c>
      <c r="D346" s="3514" t="s">
        <v>414</v>
      </c>
      <c r="E346" s="3514" t="s">
        <v>414</v>
      </c>
      <c r="F346" s="3514" t="s">
        <v>414</v>
      </c>
      <c r="G346" s="3514" t="s">
        <v>414</v>
      </c>
      <c r="H346" s="3514" t="s">
        <v>414</v>
      </c>
      <c r="I346" s="3514" t="s">
        <v>414</v>
      </c>
      <c r="J346" s="3514" t="s">
        <v>414</v>
      </c>
      <c r="K346" s="3514" t="s">
        <v>414</v>
      </c>
      <c r="L346" s="3514" t="s">
        <v>414</v>
      </c>
      <c r="M346" s="3514" t="s">
        <v>414</v>
      </c>
      <c r="N346" s="3514" t="s">
        <v>414</v>
      </c>
      <c r="O346" s="3514" t="s">
        <v>414</v>
      </c>
      <c r="P346" s="3514" t="s">
        <v>414</v>
      </c>
      <c r="Q346" s="3514" t="s">
        <v>414</v>
      </c>
      <c r="R346" s="3514" t="s">
        <v>414</v>
      </c>
      <c r="S346" s="3514" t="s">
        <v>414</v>
      </c>
      <c r="T346" s="3514" t="s">
        <v>414</v>
      </c>
      <c r="U346" s="3514" t="s">
        <v>414</v>
      </c>
      <c r="V346" s="3514" t="s">
        <v>414</v>
      </c>
      <c r="W346" s="3514" t="s">
        <v>414</v>
      </c>
      <c r="X346" s="3514" t="s">
        <v>414</v>
      </c>
      <c r="Y346" s="3514" t="s">
        <v>414</v>
      </c>
      <c r="Z346" s="3514" t="s">
        <v>414</v>
      </c>
      <c r="AA346" s="3514" t="s">
        <v>414</v>
      </c>
      <c r="AB346" s="3514" t="s">
        <v>414</v>
      </c>
      <c r="AC346" s="3514" t="s">
        <v>414</v>
      </c>
      <c r="AD346" s="3514" t="s">
        <v>414</v>
      </c>
      <c r="AE346" s="3514" t="s">
        <v>414</v>
      </c>
      <c r="AF346" s="3514" t="s">
        <v>414</v>
      </c>
      <c r="AG346" s="3514" t="s">
        <v>414</v>
      </c>
      <c r="AH346" s="3514" t="s">
        <v>414</v>
      </c>
      <c r="AI346" s="3514" t="s">
        <v>414</v>
      </c>
      <c r="AJ346" s="3514" t="s">
        <v>414</v>
      </c>
      <c r="AK346" s="3514" t="s">
        <v>414</v>
      </c>
      <c r="AL346" s="3514" t="s">
        <v>414</v>
      </c>
      <c r="AM346" s="3514" t="s">
        <v>414</v>
      </c>
      <c r="AN346" s="3514" t="s">
        <v>414</v>
      </c>
      <c r="AO346" s="3525" t="s">
        <v>414</v>
      </c>
      <c r="AP346" s="3512"/>
    </row>
    <row r="347" spans="1:42" ht="13">
      <c r="A347" s="3526" t="s">
        <v>438</v>
      </c>
      <c r="B347" s="3515" t="s">
        <v>416</v>
      </c>
      <c r="C347" s="3515" t="s">
        <v>719</v>
      </c>
      <c r="D347" s="3515" t="s">
        <v>720</v>
      </c>
      <c r="E347" s="3515" t="s">
        <v>445</v>
      </c>
      <c r="F347" s="3515" t="s">
        <v>719</v>
      </c>
      <c r="G347" s="3515" t="s">
        <v>445</v>
      </c>
      <c r="H347" s="3515" t="s">
        <v>721</v>
      </c>
      <c r="I347" s="3515" t="s">
        <v>442</v>
      </c>
      <c r="J347" s="3515" t="s">
        <v>445</v>
      </c>
      <c r="K347" s="3515" t="s">
        <v>722</v>
      </c>
      <c r="L347" s="3515" t="s">
        <v>445</v>
      </c>
      <c r="M347" s="3515" t="s">
        <v>445</v>
      </c>
      <c r="N347" s="3515" t="s">
        <v>444</v>
      </c>
      <c r="O347" s="3515" t="s">
        <v>442</v>
      </c>
      <c r="P347" s="3515" t="s">
        <v>446</v>
      </c>
      <c r="Q347" s="3515" t="s">
        <v>722</v>
      </c>
      <c r="R347" s="3515" t="s">
        <v>445</v>
      </c>
      <c r="S347" s="3515" t="s">
        <v>723</v>
      </c>
      <c r="T347" s="3515" t="s">
        <v>723</v>
      </c>
      <c r="U347" s="3515" t="s">
        <v>724</v>
      </c>
      <c r="V347" s="3515" t="s">
        <v>725</v>
      </c>
      <c r="W347" s="3515" t="s">
        <v>726</v>
      </c>
      <c r="X347" s="3515" t="s">
        <v>443</v>
      </c>
      <c r="Y347" s="3515" t="s">
        <v>726</v>
      </c>
      <c r="Z347" s="3515" t="s">
        <v>725</v>
      </c>
      <c r="AA347" s="3515" t="s">
        <v>291</v>
      </c>
      <c r="AB347" s="3515" t="s">
        <v>445</v>
      </c>
      <c r="AC347" s="3515" t="s">
        <v>291</v>
      </c>
      <c r="AD347" s="3515" t="s">
        <v>724</v>
      </c>
      <c r="AE347" s="3515" t="s">
        <v>443</v>
      </c>
      <c r="AF347" s="3515" t="s">
        <v>420</v>
      </c>
      <c r="AG347" s="3515" t="s">
        <v>420</v>
      </c>
      <c r="AH347" s="3515" t="s">
        <v>418</v>
      </c>
      <c r="AI347" s="3515" t="s">
        <v>727</v>
      </c>
      <c r="AJ347" s="3515" t="s">
        <v>728</v>
      </c>
      <c r="AK347" s="3515" t="s">
        <v>417</v>
      </c>
      <c r="AL347" s="3515" t="s">
        <v>445</v>
      </c>
      <c r="AM347" s="3515" t="s">
        <v>445</v>
      </c>
      <c r="AN347" s="3515" t="s">
        <v>729</v>
      </c>
      <c r="AO347" s="3527" t="s">
        <v>729</v>
      </c>
      <c r="AP347" s="3512"/>
    </row>
    <row r="348" spans="1:42">
      <c r="A348" s="3528"/>
      <c r="B348" s="3515" t="s">
        <v>421</v>
      </c>
      <c r="C348" s="3516" t="s">
        <v>445</v>
      </c>
      <c r="D348" s="3516" t="s">
        <v>445</v>
      </c>
      <c r="E348" s="3516" t="s">
        <v>445</v>
      </c>
      <c r="F348" s="3516" t="s">
        <v>727</v>
      </c>
      <c r="G348" s="3516" t="s">
        <v>719</v>
      </c>
      <c r="H348" s="3516" t="s">
        <v>719</v>
      </c>
      <c r="I348" s="3516" t="s">
        <v>722</v>
      </c>
      <c r="J348" s="3516" t="s">
        <v>720</v>
      </c>
      <c r="K348" s="3516" t="s">
        <v>446</v>
      </c>
      <c r="L348" s="3516" t="s">
        <v>444</v>
      </c>
      <c r="M348" s="3516" t="s">
        <v>420</v>
      </c>
      <c r="N348" s="3516" t="s">
        <v>445</v>
      </c>
      <c r="O348" s="3516" t="s">
        <v>418</v>
      </c>
      <c r="P348" s="3516" t="s">
        <v>442</v>
      </c>
      <c r="Q348" s="3516" t="s">
        <v>723</v>
      </c>
      <c r="R348" s="3516" t="s">
        <v>443</v>
      </c>
      <c r="S348" s="3516" t="s">
        <v>445</v>
      </c>
      <c r="T348" s="3516" t="s">
        <v>724</v>
      </c>
      <c r="U348" s="3516" t="s">
        <v>725</v>
      </c>
      <c r="V348" s="3516" t="s">
        <v>726</v>
      </c>
      <c r="W348" s="3516" t="s">
        <v>725</v>
      </c>
      <c r="X348" s="3516" t="s">
        <v>445</v>
      </c>
      <c r="Y348" s="3516" t="s">
        <v>445</v>
      </c>
      <c r="Z348" s="3516" t="s">
        <v>291</v>
      </c>
      <c r="AA348" s="3516" t="s">
        <v>725</v>
      </c>
      <c r="AB348" s="3516" t="s">
        <v>443</v>
      </c>
      <c r="AC348" s="3516" t="s">
        <v>724</v>
      </c>
      <c r="AD348" s="3516" t="s">
        <v>721</v>
      </c>
      <c r="AE348" s="3516" t="s">
        <v>445</v>
      </c>
      <c r="AF348" s="3516" t="s">
        <v>442</v>
      </c>
      <c r="AG348" s="3516" t="s">
        <v>418</v>
      </c>
      <c r="AH348" s="3516" t="s">
        <v>445</v>
      </c>
      <c r="AI348" s="3516" t="s">
        <v>728</v>
      </c>
      <c r="AJ348" s="3516" t="s">
        <v>722</v>
      </c>
      <c r="AK348" s="3516" t="s">
        <v>445</v>
      </c>
      <c r="AL348" s="3516" t="s">
        <v>417</v>
      </c>
      <c r="AM348" s="3516" t="s">
        <v>729</v>
      </c>
      <c r="AN348" s="3516" t="s">
        <v>445</v>
      </c>
      <c r="AO348" s="3529" t="s">
        <v>445</v>
      </c>
      <c r="AP348" s="3512"/>
    </row>
    <row r="349" spans="1:42" ht="13" thickBot="1">
      <c r="A349" s="5061" t="s">
        <v>49</v>
      </c>
      <c r="B349" s="5062"/>
      <c r="C349" s="3519" t="s">
        <v>296</v>
      </c>
      <c r="D349" s="3519" t="s">
        <v>296</v>
      </c>
      <c r="E349" s="3519" t="s">
        <v>296</v>
      </c>
      <c r="F349" s="3519" t="s">
        <v>296</v>
      </c>
      <c r="G349" s="3519" t="s">
        <v>296</v>
      </c>
      <c r="H349" s="3519" t="s">
        <v>296</v>
      </c>
      <c r="I349" s="3519" t="s">
        <v>296</v>
      </c>
      <c r="J349" s="3519" t="s">
        <v>296</v>
      </c>
      <c r="K349" s="3519" t="s">
        <v>296</v>
      </c>
      <c r="L349" s="3519" t="s">
        <v>296</v>
      </c>
      <c r="M349" s="3519" t="s">
        <v>296</v>
      </c>
      <c r="N349" s="3519" t="s">
        <v>296</v>
      </c>
      <c r="O349" s="3519" t="s">
        <v>296</v>
      </c>
      <c r="P349" s="3519" t="s">
        <v>296</v>
      </c>
      <c r="Q349" s="3519" t="s">
        <v>296</v>
      </c>
      <c r="R349" s="3519" t="s">
        <v>296</v>
      </c>
      <c r="S349" s="3519" t="s">
        <v>296</v>
      </c>
      <c r="T349" s="3519" t="s">
        <v>296</v>
      </c>
      <c r="U349" s="3519" t="s">
        <v>296</v>
      </c>
      <c r="V349" s="3519" t="s">
        <v>296</v>
      </c>
      <c r="W349" s="3519" t="s">
        <v>296</v>
      </c>
      <c r="X349" s="3519" t="s">
        <v>296</v>
      </c>
      <c r="Y349" s="3519" t="s">
        <v>296</v>
      </c>
      <c r="Z349" s="3519" t="s">
        <v>296</v>
      </c>
      <c r="AA349" s="3519" t="s">
        <v>296</v>
      </c>
      <c r="AB349" s="3519" t="s">
        <v>296</v>
      </c>
      <c r="AC349" s="3519" t="s">
        <v>296</v>
      </c>
      <c r="AD349" s="3519" t="s">
        <v>296</v>
      </c>
      <c r="AE349" s="3519" t="s">
        <v>296</v>
      </c>
      <c r="AF349" s="3519" t="s">
        <v>296</v>
      </c>
      <c r="AG349" s="3519" t="s">
        <v>296</v>
      </c>
      <c r="AH349" s="3519" t="s">
        <v>296</v>
      </c>
      <c r="AI349" s="3519" t="s">
        <v>296</v>
      </c>
      <c r="AJ349" s="3519" t="s">
        <v>296</v>
      </c>
      <c r="AK349" s="3519" t="s">
        <v>296</v>
      </c>
      <c r="AL349" s="3519" t="s">
        <v>296</v>
      </c>
      <c r="AM349" s="3519" t="s">
        <v>296</v>
      </c>
      <c r="AN349" s="3519" t="s">
        <v>296</v>
      </c>
      <c r="AO349" s="3530" t="s">
        <v>296</v>
      </c>
      <c r="AP349" s="3512"/>
    </row>
    <row r="350" spans="1:42" ht="13" thickTop="1">
      <c r="A350" s="5059" t="s">
        <v>5</v>
      </c>
      <c r="B350" s="5060"/>
      <c r="C350" s="3518"/>
      <c r="D350" s="3518"/>
      <c r="E350" s="3518"/>
      <c r="F350" s="3518"/>
      <c r="G350" s="3518"/>
      <c r="H350" s="3518"/>
      <c r="I350" s="3518"/>
      <c r="J350" s="3518"/>
      <c r="K350" s="3518"/>
      <c r="L350" s="3535">
        <v>0</v>
      </c>
      <c r="M350" s="3518"/>
      <c r="N350" s="3535">
        <v>0</v>
      </c>
      <c r="O350" s="3518"/>
      <c r="P350" s="3518"/>
      <c r="Q350" s="3518"/>
      <c r="R350" s="3518"/>
      <c r="S350" s="3518"/>
      <c r="T350" s="3518"/>
      <c r="U350" s="3518"/>
      <c r="V350" s="3518"/>
      <c r="W350" s="3518"/>
      <c r="X350" s="3518"/>
      <c r="Y350" s="3518"/>
      <c r="Z350" s="3518"/>
      <c r="AA350" s="3518"/>
      <c r="AB350" s="3518"/>
      <c r="AC350" s="3518"/>
      <c r="AD350" s="3518"/>
      <c r="AE350" s="3518"/>
      <c r="AF350" s="3518"/>
      <c r="AG350" s="3518"/>
      <c r="AH350" s="3518"/>
      <c r="AI350" s="3518"/>
      <c r="AJ350" s="3518"/>
      <c r="AK350" s="3518"/>
      <c r="AL350" s="3518"/>
      <c r="AM350" s="3518"/>
      <c r="AN350" s="3518"/>
      <c r="AO350" s="3586"/>
      <c r="AP350" s="3512"/>
    </row>
    <row r="351" spans="1:42">
      <c r="A351" s="5057" t="s">
        <v>674</v>
      </c>
      <c r="B351" s="5058"/>
      <c r="C351" s="3518"/>
      <c r="D351" s="3518"/>
      <c r="E351" s="3518"/>
      <c r="F351" s="3518"/>
      <c r="G351" s="3518"/>
      <c r="H351" s="3518"/>
      <c r="I351" s="3518"/>
      <c r="J351" s="3518"/>
      <c r="K351" s="3518"/>
      <c r="L351" s="3545">
        <v>0.47425244471489703</v>
      </c>
      <c r="M351" s="3518"/>
      <c r="N351" s="3545">
        <v>0.41032155412785198</v>
      </c>
      <c r="O351" s="3518"/>
      <c r="P351" s="3518"/>
      <c r="Q351" s="3518"/>
      <c r="R351" s="3518"/>
      <c r="S351" s="3518"/>
      <c r="T351" s="3518"/>
      <c r="U351" s="3518"/>
      <c r="V351" s="3518"/>
      <c r="W351" s="3518"/>
      <c r="X351" s="3518"/>
      <c r="Y351" s="3518"/>
      <c r="Z351" s="3518"/>
      <c r="AA351" s="3518"/>
      <c r="AB351" s="3518"/>
      <c r="AC351" s="3518"/>
      <c r="AD351" s="3518"/>
      <c r="AE351" s="3518"/>
      <c r="AF351" s="3518"/>
      <c r="AG351" s="3518"/>
      <c r="AH351" s="3518"/>
      <c r="AI351" s="3518"/>
      <c r="AJ351" s="3518"/>
      <c r="AK351" s="3518"/>
      <c r="AL351" s="3518"/>
      <c r="AM351" s="3518"/>
      <c r="AN351" s="3518"/>
      <c r="AO351" s="3586"/>
      <c r="AP351" s="3512"/>
    </row>
    <row r="352" spans="1:42">
      <c r="A352" s="5057" t="s">
        <v>3</v>
      </c>
      <c r="B352" s="5058"/>
      <c r="C352" s="3518"/>
      <c r="D352" s="3518"/>
      <c r="E352" s="3518"/>
      <c r="F352" s="3518"/>
      <c r="G352" s="3518"/>
      <c r="H352" s="3518"/>
      <c r="I352" s="3518"/>
      <c r="J352" s="3518"/>
      <c r="K352" s="3518"/>
      <c r="L352" s="3544">
        <v>1.7256156237439699</v>
      </c>
      <c r="M352" s="3518"/>
      <c r="N352" s="3544">
        <v>1.46170941024325</v>
      </c>
      <c r="O352" s="3518"/>
      <c r="P352" s="3518"/>
      <c r="Q352" s="3518"/>
      <c r="R352" s="3518"/>
      <c r="S352" s="3518"/>
      <c r="T352" s="3518"/>
      <c r="U352" s="3518"/>
      <c r="V352" s="3518"/>
      <c r="W352" s="3518"/>
      <c r="X352" s="3518"/>
      <c r="Y352" s="3518"/>
      <c r="Z352" s="3518"/>
      <c r="AA352" s="3518"/>
      <c r="AB352" s="3518"/>
      <c r="AC352" s="3518"/>
      <c r="AD352" s="3518"/>
      <c r="AE352" s="3518"/>
      <c r="AF352" s="3518"/>
      <c r="AG352" s="3518"/>
      <c r="AH352" s="3518"/>
      <c r="AI352" s="3518"/>
      <c r="AJ352" s="3518"/>
      <c r="AK352" s="3518"/>
      <c r="AL352" s="3518"/>
      <c r="AM352" s="3518"/>
      <c r="AN352" s="3518"/>
      <c r="AO352" s="3586"/>
      <c r="AP352" s="3512"/>
    </row>
    <row r="353" spans="1:42">
      <c r="A353" s="5057" t="s">
        <v>6</v>
      </c>
      <c r="B353" s="5058"/>
      <c r="C353" s="3518"/>
      <c r="D353" s="3518"/>
      <c r="E353" s="3518"/>
      <c r="F353" s="3518"/>
      <c r="G353" s="3518"/>
      <c r="H353" s="3518"/>
      <c r="I353" s="3518"/>
      <c r="J353" s="3518"/>
      <c r="K353" s="3518"/>
      <c r="L353" s="3546">
        <v>32.237372516197503</v>
      </c>
      <c r="M353" s="3518"/>
      <c r="N353" s="3546">
        <v>27.513767276100001</v>
      </c>
      <c r="O353" s="3518"/>
      <c r="P353" s="3518"/>
      <c r="Q353" s="3518"/>
      <c r="R353" s="3518"/>
      <c r="S353" s="3518"/>
      <c r="T353" s="3518"/>
      <c r="U353" s="3518"/>
      <c r="V353" s="3518"/>
      <c r="W353" s="3518"/>
      <c r="X353" s="3518"/>
      <c r="Y353" s="3518"/>
      <c r="Z353" s="3518"/>
      <c r="AA353" s="3518"/>
      <c r="AB353" s="3518"/>
      <c r="AC353" s="3518"/>
      <c r="AD353" s="3518"/>
      <c r="AE353" s="3518"/>
      <c r="AF353" s="3518"/>
      <c r="AG353" s="3518"/>
      <c r="AH353" s="3518"/>
      <c r="AI353" s="3518"/>
      <c r="AJ353" s="3518"/>
      <c r="AK353" s="3518"/>
      <c r="AL353" s="3518"/>
      <c r="AM353" s="3518"/>
      <c r="AN353" s="3518"/>
      <c r="AO353" s="3586"/>
      <c r="AP353" s="3512"/>
    </row>
    <row r="354" spans="1:42">
      <c r="A354" s="5057" t="s">
        <v>7</v>
      </c>
      <c r="B354" s="5058"/>
      <c r="C354" s="3518"/>
      <c r="D354" s="3518"/>
      <c r="E354" s="3518"/>
      <c r="F354" s="3518"/>
      <c r="G354" s="3518"/>
      <c r="H354" s="3518"/>
      <c r="I354" s="3518"/>
      <c r="J354" s="3518"/>
      <c r="K354" s="3518"/>
      <c r="L354" s="3546">
        <v>18.1714267362551</v>
      </c>
      <c r="M354" s="3518"/>
      <c r="N354" s="3546">
        <v>15.8916773049319</v>
      </c>
      <c r="O354" s="3518"/>
      <c r="P354" s="3518"/>
      <c r="Q354" s="3518"/>
      <c r="R354" s="3518"/>
      <c r="S354" s="3518"/>
      <c r="T354" s="3518"/>
      <c r="U354" s="3518"/>
      <c r="V354" s="3518"/>
      <c r="W354" s="3518"/>
      <c r="X354" s="3518"/>
      <c r="Y354" s="3518"/>
      <c r="Z354" s="3518"/>
      <c r="AA354" s="3518"/>
      <c r="AB354" s="3518"/>
      <c r="AC354" s="3518"/>
      <c r="AD354" s="3518"/>
      <c r="AE354" s="3518"/>
      <c r="AF354" s="3518"/>
      <c r="AG354" s="3518"/>
      <c r="AH354" s="3518"/>
      <c r="AI354" s="3518"/>
      <c r="AJ354" s="3518"/>
      <c r="AK354" s="3518"/>
      <c r="AL354" s="3518"/>
      <c r="AM354" s="3518"/>
      <c r="AN354" s="3518"/>
      <c r="AO354" s="3586"/>
      <c r="AP354" s="3512"/>
    </row>
    <row r="355" spans="1:42">
      <c r="A355" s="5057" t="s">
        <v>8</v>
      </c>
      <c r="B355" s="5058"/>
      <c r="C355" s="3518"/>
      <c r="D355" s="3518"/>
      <c r="E355" s="3518"/>
      <c r="F355" s="3518"/>
      <c r="G355" s="3518"/>
      <c r="H355" s="3518"/>
      <c r="I355" s="3518"/>
      <c r="J355" s="3518"/>
      <c r="K355" s="3518"/>
      <c r="L355" s="3546">
        <v>20.996850601660199</v>
      </c>
      <c r="M355" s="3518"/>
      <c r="N355" s="3546">
        <v>19.5932428923652</v>
      </c>
      <c r="O355" s="3518"/>
      <c r="P355" s="3518"/>
      <c r="Q355" s="3518"/>
      <c r="R355" s="3518"/>
      <c r="S355" s="3518"/>
      <c r="T355" s="3518"/>
      <c r="U355" s="3518"/>
      <c r="V355" s="3518"/>
      <c r="W355" s="3518"/>
      <c r="X355" s="3518"/>
      <c r="Y355" s="3518"/>
      <c r="Z355" s="3518"/>
      <c r="AA355" s="3518"/>
      <c r="AB355" s="3518"/>
      <c r="AC355" s="3518"/>
      <c r="AD355" s="3518"/>
      <c r="AE355" s="3518"/>
      <c r="AF355" s="3518"/>
      <c r="AG355" s="3518"/>
      <c r="AH355" s="3518"/>
      <c r="AI355" s="3518"/>
      <c r="AJ355" s="3518"/>
      <c r="AK355" s="3518"/>
      <c r="AL355" s="3518"/>
      <c r="AM355" s="3518"/>
      <c r="AN355" s="3518"/>
      <c r="AO355" s="3586"/>
      <c r="AP355" s="3512"/>
    </row>
    <row r="356" spans="1:42">
      <c r="A356" s="5057" t="s">
        <v>678</v>
      </c>
      <c r="B356" s="5058"/>
      <c r="C356" s="3518"/>
      <c r="D356" s="3518"/>
      <c r="E356" s="3518"/>
      <c r="F356" s="3518"/>
      <c r="G356" s="3518"/>
      <c r="H356" s="3518"/>
      <c r="I356" s="3518"/>
      <c r="J356" s="3518"/>
      <c r="K356" s="3518"/>
      <c r="L356" s="3544">
        <v>3.5587460381841498</v>
      </c>
      <c r="M356" s="3518"/>
      <c r="N356" s="3544">
        <v>3.68822590254466</v>
      </c>
      <c r="O356" s="3518"/>
      <c r="P356" s="3518"/>
      <c r="Q356" s="3518"/>
      <c r="R356" s="3518"/>
      <c r="S356" s="3518"/>
      <c r="T356" s="3518"/>
      <c r="U356" s="3518"/>
      <c r="V356" s="3518"/>
      <c r="W356" s="3518"/>
      <c r="X356" s="3518"/>
      <c r="Y356" s="3518"/>
      <c r="Z356" s="3518"/>
      <c r="AA356" s="3518"/>
      <c r="AB356" s="3518"/>
      <c r="AC356" s="3518"/>
      <c r="AD356" s="3518"/>
      <c r="AE356" s="3518"/>
      <c r="AF356" s="3518"/>
      <c r="AG356" s="3518"/>
      <c r="AH356" s="3518"/>
      <c r="AI356" s="3518"/>
      <c r="AJ356" s="3518"/>
      <c r="AK356" s="3518"/>
      <c r="AL356" s="3518"/>
      <c r="AM356" s="3518"/>
      <c r="AN356" s="3518"/>
      <c r="AO356" s="3586"/>
      <c r="AP356" s="3512"/>
    </row>
    <row r="357" spans="1:42">
      <c r="A357" s="5057" t="s">
        <v>67</v>
      </c>
      <c r="B357" s="5058"/>
      <c r="C357" s="3518"/>
      <c r="D357" s="3518"/>
      <c r="E357" s="3518"/>
      <c r="F357" s="3518"/>
      <c r="G357" s="3518"/>
      <c r="H357" s="3518"/>
      <c r="I357" s="3518"/>
      <c r="J357" s="3518"/>
      <c r="K357" s="3518"/>
      <c r="L357" s="3546">
        <v>10.8256347067221</v>
      </c>
      <c r="M357" s="3518"/>
      <c r="N357" s="3546">
        <v>12.064104609988499</v>
      </c>
      <c r="O357" s="3518"/>
      <c r="P357" s="3518"/>
      <c r="Q357" s="3518"/>
      <c r="R357" s="3518"/>
      <c r="S357" s="3518"/>
      <c r="T357" s="3518"/>
      <c r="U357" s="3518"/>
      <c r="V357" s="3518"/>
      <c r="W357" s="3518"/>
      <c r="X357" s="3518"/>
      <c r="Y357" s="3518"/>
      <c r="Z357" s="3518"/>
      <c r="AA357" s="3518"/>
      <c r="AB357" s="3518"/>
      <c r="AC357" s="3518"/>
      <c r="AD357" s="3518"/>
      <c r="AE357" s="3518"/>
      <c r="AF357" s="3518"/>
      <c r="AG357" s="3518"/>
      <c r="AH357" s="3518"/>
      <c r="AI357" s="3518"/>
      <c r="AJ357" s="3518"/>
      <c r="AK357" s="3518"/>
      <c r="AL357" s="3518"/>
      <c r="AM357" s="3518"/>
      <c r="AN357" s="3518"/>
      <c r="AO357" s="3586"/>
      <c r="AP357" s="3512"/>
    </row>
    <row r="358" spans="1:42">
      <c r="A358" s="5057" t="s">
        <v>679</v>
      </c>
      <c r="B358" s="5058"/>
      <c r="C358" s="3518"/>
      <c r="D358" s="3518"/>
      <c r="E358" s="3518"/>
      <c r="F358" s="3518"/>
      <c r="G358" s="3518"/>
      <c r="H358" s="3518"/>
      <c r="I358" s="3518"/>
      <c r="J358" s="3518"/>
      <c r="K358" s="3518"/>
      <c r="L358" s="3544">
        <v>2.8157863698888801</v>
      </c>
      <c r="M358" s="3518"/>
      <c r="N358" s="3544">
        <v>3.6489295774479502</v>
      </c>
      <c r="O358" s="3518"/>
      <c r="P358" s="3518"/>
      <c r="Q358" s="3518"/>
      <c r="R358" s="3518"/>
      <c r="S358" s="3518"/>
      <c r="T358" s="3518"/>
      <c r="U358" s="3518"/>
      <c r="V358" s="3518"/>
      <c r="W358" s="3518"/>
      <c r="X358" s="3518"/>
      <c r="Y358" s="3518"/>
      <c r="Z358" s="3518"/>
      <c r="AA358" s="3518"/>
      <c r="AB358" s="3518"/>
      <c r="AC358" s="3518"/>
      <c r="AD358" s="3518"/>
      <c r="AE358" s="3518"/>
      <c r="AF358" s="3518"/>
      <c r="AG358" s="3518"/>
      <c r="AH358" s="3518"/>
      <c r="AI358" s="3518"/>
      <c r="AJ358" s="3518"/>
      <c r="AK358" s="3518"/>
      <c r="AL358" s="3518"/>
      <c r="AM358" s="3518"/>
      <c r="AN358" s="3518"/>
      <c r="AO358" s="3586"/>
      <c r="AP358" s="3512"/>
    </row>
    <row r="359" spans="1:42">
      <c r="A359" s="5057" t="s">
        <v>69</v>
      </c>
      <c r="B359" s="5058"/>
      <c r="C359" s="3518"/>
      <c r="D359" s="3518"/>
      <c r="E359" s="3518"/>
      <c r="F359" s="3518"/>
      <c r="G359" s="3518"/>
      <c r="H359" s="3518"/>
      <c r="I359" s="3518"/>
      <c r="J359" s="3518"/>
      <c r="K359" s="3518"/>
      <c r="L359" s="3544">
        <v>3.2184187636755301</v>
      </c>
      <c r="M359" s="3518"/>
      <c r="N359" s="3544">
        <v>4.4519791882900401</v>
      </c>
      <c r="O359" s="3518"/>
      <c r="P359" s="3518"/>
      <c r="Q359" s="3518"/>
      <c r="R359" s="3518"/>
      <c r="S359" s="3518"/>
      <c r="T359" s="3518"/>
      <c r="U359" s="3518"/>
      <c r="V359" s="3518"/>
      <c r="W359" s="3518"/>
      <c r="X359" s="3518"/>
      <c r="Y359" s="3518"/>
      <c r="Z359" s="3518"/>
      <c r="AA359" s="3518"/>
      <c r="AB359" s="3518"/>
      <c r="AC359" s="3518"/>
      <c r="AD359" s="3518"/>
      <c r="AE359" s="3518"/>
      <c r="AF359" s="3518"/>
      <c r="AG359" s="3518"/>
      <c r="AH359" s="3518"/>
      <c r="AI359" s="3518"/>
      <c r="AJ359" s="3518"/>
      <c r="AK359" s="3518"/>
      <c r="AL359" s="3518"/>
      <c r="AM359" s="3518"/>
      <c r="AN359" s="3518"/>
      <c r="AO359" s="3586"/>
      <c r="AP359" s="3512"/>
    </row>
    <row r="360" spans="1:42">
      <c r="A360" s="5057" t="s">
        <v>10</v>
      </c>
      <c r="B360" s="5058"/>
      <c r="C360" s="3518"/>
      <c r="D360" s="3518"/>
      <c r="E360" s="3518"/>
      <c r="F360" s="3518"/>
      <c r="G360" s="3518"/>
      <c r="H360" s="3518"/>
      <c r="I360" s="3518"/>
      <c r="J360" s="3518"/>
      <c r="K360" s="3518"/>
      <c r="L360" s="3544">
        <v>5.1705825087444097</v>
      </c>
      <c r="M360" s="3518"/>
      <c r="N360" s="3544">
        <v>9.9345080270996409</v>
      </c>
      <c r="O360" s="3518"/>
      <c r="P360" s="3518"/>
      <c r="Q360" s="3518"/>
      <c r="R360" s="3518"/>
      <c r="S360" s="3518"/>
      <c r="T360" s="3518"/>
      <c r="U360" s="3518"/>
      <c r="V360" s="3518"/>
      <c r="W360" s="3518"/>
      <c r="X360" s="3518"/>
      <c r="Y360" s="3518"/>
      <c r="Z360" s="3518"/>
      <c r="AA360" s="3518"/>
      <c r="AB360" s="3518"/>
      <c r="AC360" s="3518"/>
      <c r="AD360" s="3518"/>
      <c r="AE360" s="3518"/>
      <c r="AF360" s="3518"/>
      <c r="AG360" s="3518"/>
      <c r="AH360" s="3518"/>
      <c r="AI360" s="3518"/>
      <c r="AJ360" s="3518"/>
      <c r="AK360" s="3518"/>
      <c r="AL360" s="3518"/>
      <c r="AM360" s="3518"/>
      <c r="AN360" s="3518"/>
      <c r="AO360" s="3586"/>
      <c r="AP360" s="3512"/>
    </row>
    <row r="361" spans="1:42">
      <c r="A361" s="5057" t="s">
        <v>298</v>
      </c>
      <c r="B361" s="5058"/>
      <c r="C361" s="3518"/>
      <c r="D361" s="3518"/>
      <c r="E361" s="3518"/>
      <c r="F361" s="3518"/>
      <c r="G361" s="3518"/>
      <c r="H361" s="3518"/>
      <c r="I361" s="3518"/>
      <c r="J361" s="3518"/>
      <c r="K361" s="3518"/>
      <c r="L361" s="3545">
        <v>0.80531369021323096</v>
      </c>
      <c r="M361" s="3518"/>
      <c r="N361" s="3544">
        <v>1.34153425686107</v>
      </c>
      <c r="O361" s="3518"/>
      <c r="P361" s="3518"/>
      <c r="Q361" s="3518"/>
      <c r="R361" s="3518"/>
      <c r="S361" s="3518"/>
      <c r="T361" s="3518"/>
      <c r="U361" s="3518"/>
      <c r="V361" s="3518"/>
      <c r="W361" s="3518"/>
      <c r="X361" s="3518"/>
      <c r="Y361" s="3518"/>
      <c r="Z361" s="3518"/>
      <c r="AA361" s="3518"/>
      <c r="AB361" s="3518"/>
      <c r="AC361" s="3518"/>
      <c r="AD361" s="3518"/>
      <c r="AE361" s="3518"/>
      <c r="AF361" s="3518"/>
      <c r="AG361" s="3518"/>
      <c r="AH361" s="3518"/>
      <c r="AI361" s="3518"/>
      <c r="AJ361" s="3518"/>
      <c r="AK361" s="3518"/>
      <c r="AL361" s="3518"/>
      <c r="AM361" s="3518"/>
      <c r="AN361" s="3518"/>
      <c r="AO361" s="3586"/>
      <c r="AP361" s="3512"/>
    </row>
    <row r="362" spans="1:42">
      <c r="A362" s="5057" t="s">
        <v>680</v>
      </c>
      <c r="B362" s="5058"/>
      <c r="C362" s="3518"/>
      <c r="D362" s="3518"/>
      <c r="E362" s="3518"/>
      <c r="F362" s="3518"/>
      <c r="G362" s="3518"/>
      <c r="H362" s="3518"/>
      <c r="I362" s="3518"/>
      <c r="J362" s="3518"/>
      <c r="K362" s="3518"/>
      <c r="L362" s="3535">
        <v>0</v>
      </c>
      <c r="M362" s="3518"/>
      <c r="N362" s="3535">
        <v>0</v>
      </c>
      <c r="O362" s="3518"/>
      <c r="P362" s="3518"/>
      <c r="Q362" s="3518"/>
      <c r="R362" s="3518"/>
      <c r="S362" s="3518"/>
      <c r="T362" s="3518"/>
      <c r="U362" s="3518"/>
      <c r="V362" s="3518"/>
      <c r="W362" s="3518"/>
      <c r="X362" s="3518"/>
      <c r="Y362" s="3518"/>
      <c r="Z362" s="3518"/>
      <c r="AA362" s="3518"/>
      <c r="AB362" s="3518"/>
      <c r="AC362" s="3518"/>
      <c r="AD362" s="3518"/>
      <c r="AE362" s="3518"/>
      <c r="AF362" s="3518"/>
      <c r="AG362" s="3518"/>
      <c r="AH362" s="3518"/>
      <c r="AI362" s="3518"/>
      <c r="AJ362" s="3518"/>
      <c r="AK362" s="3518"/>
      <c r="AL362" s="3518"/>
      <c r="AM362" s="3518"/>
      <c r="AN362" s="3518"/>
      <c r="AO362" s="3586"/>
      <c r="AP362" s="3512"/>
    </row>
    <row r="363" spans="1:42">
      <c r="A363" s="5057" t="s">
        <v>681</v>
      </c>
      <c r="B363" s="5058"/>
      <c r="C363" s="3518"/>
      <c r="D363" s="3518"/>
      <c r="E363" s="3518"/>
      <c r="F363" s="3518"/>
      <c r="G363" s="3518"/>
      <c r="H363" s="3518"/>
      <c r="I363" s="3518"/>
      <c r="J363" s="3518"/>
      <c r="K363" s="3518"/>
      <c r="L363" s="3535">
        <v>0</v>
      </c>
      <c r="M363" s="3518"/>
      <c r="N363" s="3535">
        <v>0</v>
      </c>
      <c r="O363" s="3518"/>
      <c r="P363" s="3518"/>
      <c r="Q363" s="3518"/>
      <c r="R363" s="3518"/>
      <c r="S363" s="3518"/>
      <c r="T363" s="3518"/>
      <c r="U363" s="3518"/>
      <c r="V363" s="3518"/>
      <c r="W363" s="3518"/>
      <c r="X363" s="3518"/>
      <c r="Y363" s="3518"/>
      <c r="Z363" s="3518"/>
      <c r="AA363" s="3518"/>
      <c r="AB363" s="3518"/>
      <c r="AC363" s="3518"/>
      <c r="AD363" s="3518"/>
      <c r="AE363" s="3518"/>
      <c r="AF363" s="3518"/>
      <c r="AG363" s="3518"/>
      <c r="AH363" s="3518"/>
      <c r="AI363" s="3518"/>
      <c r="AJ363" s="3518"/>
      <c r="AK363" s="3518"/>
      <c r="AL363" s="3518"/>
      <c r="AM363" s="3518"/>
      <c r="AN363" s="3518"/>
      <c r="AO363" s="3586"/>
      <c r="AP363" s="3512"/>
    </row>
    <row r="364" spans="1:42">
      <c r="A364" s="5057" t="s">
        <v>675</v>
      </c>
      <c r="B364" s="5058"/>
      <c r="C364" s="3518"/>
      <c r="D364" s="3518"/>
      <c r="E364" s="3518"/>
      <c r="F364" s="3518"/>
      <c r="G364" s="3518"/>
      <c r="H364" s="3518"/>
      <c r="I364" s="3518"/>
      <c r="J364" s="3518"/>
      <c r="K364" s="3518"/>
      <c r="L364" s="3535">
        <v>0</v>
      </c>
      <c r="M364" s="3518"/>
      <c r="N364" s="3535">
        <v>0</v>
      </c>
      <c r="O364" s="3518"/>
      <c r="P364" s="3518"/>
      <c r="Q364" s="3518"/>
      <c r="R364" s="3518"/>
      <c r="S364" s="3518"/>
      <c r="T364" s="3518"/>
      <c r="U364" s="3518"/>
      <c r="V364" s="3518"/>
      <c r="W364" s="3518"/>
      <c r="X364" s="3518"/>
      <c r="Y364" s="3518"/>
      <c r="Z364" s="3518"/>
      <c r="AA364" s="3518"/>
      <c r="AB364" s="3518"/>
      <c r="AC364" s="3518"/>
      <c r="AD364" s="3518"/>
      <c r="AE364" s="3518"/>
      <c r="AF364" s="3518"/>
      <c r="AG364" s="3518"/>
      <c r="AH364" s="3518"/>
      <c r="AI364" s="3518"/>
      <c r="AJ364" s="3518"/>
      <c r="AK364" s="3518"/>
      <c r="AL364" s="3518"/>
      <c r="AM364" s="3518"/>
      <c r="AN364" s="3518"/>
      <c r="AO364" s="3586"/>
      <c r="AP364" s="3512"/>
    </row>
    <row r="365" spans="1:42" ht="13" thickBot="1">
      <c r="A365" s="5055" t="s">
        <v>58</v>
      </c>
      <c r="B365" s="5056"/>
      <c r="C365" s="3519" t="s">
        <v>296</v>
      </c>
      <c r="D365" s="3519" t="s">
        <v>296</v>
      </c>
      <c r="E365" s="3519" t="s">
        <v>296</v>
      </c>
      <c r="F365" s="3519" t="s">
        <v>296</v>
      </c>
      <c r="G365" s="3519" t="s">
        <v>296</v>
      </c>
      <c r="H365" s="3519" t="s">
        <v>296</v>
      </c>
      <c r="I365" s="3519" t="s">
        <v>296</v>
      </c>
      <c r="J365" s="3519" t="s">
        <v>296</v>
      </c>
      <c r="K365" s="3519" t="s">
        <v>296</v>
      </c>
      <c r="L365" s="3519" t="s">
        <v>296</v>
      </c>
      <c r="M365" s="3519" t="s">
        <v>296</v>
      </c>
      <c r="N365" s="3519" t="s">
        <v>296</v>
      </c>
      <c r="O365" s="3519" t="s">
        <v>296</v>
      </c>
      <c r="P365" s="3519" t="s">
        <v>296</v>
      </c>
      <c r="Q365" s="3519" t="s">
        <v>296</v>
      </c>
      <c r="R365" s="3519" t="s">
        <v>296</v>
      </c>
      <c r="S365" s="3519" t="s">
        <v>296</v>
      </c>
      <c r="T365" s="3519" t="s">
        <v>296</v>
      </c>
      <c r="U365" s="3519" t="s">
        <v>296</v>
      </c>
      <c r="V365" s="3519" t="s">
        <v>296</v>
      </c>
      <c r="W365" s="3519" t="s">
        <v>296</v>
      </c>
      <c r="X365" s="3519" t="s">
        <v>296</v>
      </c>
      <c r="Y365" s="3519" t="s">
        <v>296</v>
      </c>
      <c r="Z365" s="3519" t="s">
        <v>296</v>
      </c>
      <c r="AA365" s="3519" t="s">
        <v>296</v>
      </c>
      <c r="AB365" s="3519" t="s">
        <v>296</v>
      </c>
      <c r="AC365" s="3519" t="s">
        <v>296</v>
      </c>
      <c r="AD365" s="3519" t="s">
        <v>296</v>
      </c>
      <c r="AE365" s="3519" t="s">
        <v>296</v>
      </c>
      <c r="AF365" s="3519" t="s">
        <v>296</v>
      </c>
      <c r="AG365" s="3519" t="s">
        <v>296</v>
      </c>
      <c r="AH365" s="3519" t="s">
        <v>296</v>
      </c>
      <c r="AI365" s="3519" t="s">
        <v>296</v>
      </c>
      <c r="AJ365" s="3519" t="s">
        <v>296</v>
      </c>
      <c r="AK365" s="3519" t="s">
        <v>296</v>
      </c>
      <c r="AL365" s="3519" t="s">
        <v>296</v>
      </c>
      <c r="AM365" s="3519" t="s">
        <v>296</v>
      </c>
      <c r="AN365" s="3519" t="s">
        <v>296</v>
      </c>
      <c r="AO365" s="3530" t="s">
        <v>296</v>
      </c>
      <c r="AP365" s="3512"/>
    </row>
    <row r="366" spans="1:42" ht="13" thickTop="1">
      <c r="A366" s="5059" t="s">
        <v>5</v>
      </c>
      <c r="B366" s="5060"/>
      <c r="C366" s="3518"/>
      <c r="D366" s="3518"/>
      <c r="E366" s="3518"/>
      <c r="F366" s="3518"/>
      <c r="G366" s="3518"/>
      <c r="H366" s="3518"/>
      <c r="I366" s="3518"/>
      <c r="J366" s="3518"/>
      <c r="K366" s="3518"/>
      <c r="L366" s="3535">
        <v>0</v>
      </c>
      <c r="M366" s="3518"/>
      <c r="N366" s="3535">
        <v>0</v>
      </c>
      <c r="O366" s="3518"/>
      <c r="P366" s="3518"/>
      <c r="Q366" s="3518"/>
      <c r="R366" s="3518"/>
      <c r="S366" s="3518"/>
      <c r="T366" s="3518"/>
      <c r="U366" s="3518"/>
      <c r="V366" s="3518"/>
      <c r="W366" s="3518"/>
      <c r="X366" s="3518"/>
      <c r="Y366" s="3518"/>
      <c r="Z366" s="3518"/>
      <c r="AA366" s="3518"/>
      <c r="AB366" s="3518"/>
      <c r="AC366" s="3518"/>
      <c r="AD366" s="3518"/>
      <c r="AE366" s="3518"/>
      <c r="AF366" s="3518"/>
      <c r="AG366" s="3518"/>
      <c r="AH366" s="3518"/>
      <c r="AI366" s="3518"/>
      <c r="AJ366" s="3518"/>
      <c r="AK366" s="3518"/>
      <c r="AL366" s="3518"/>
      <c r="AM366" s="3518"/>
      <c r="AN366" s="3518"/>
      <c r="AO366" s="3586"/>
      <c r="AP366" s="3512"/>
    </row>
    <row r="367" spans="1:42">
      <c r="A367" s="5057" t="s">
        <v>674</v>
      </c>
      <c r="B367" s="5058"/>
      <c r="C367" s="3518"/>
      <c r="D367" s="3518"/>
      <c r="E367" s="3518"/>
      <c r="F367" s="3518"/>
      <c r="G367" s="3518"/>
      <c r="H367" s="3518"/>
      <c r="I367" s="3518"/>
      <c r="J367" s="3518"/>
      <c r="K367" s="3518"/>
      <c r="L367" s="3545">
        <v>0.34868419714693299</v>
      </c>
      <c r="M367" s="3518"/>
      <c r="N367" s="3545">
        <v>0.27113865914193702</v>
      </c>
      <c r="O367" s="3518"/>
      <c r="P367" s="3518"/>
      <c r="Q367" s="3518"/>
      <c r="R367" s="3518"/>
      <c r="S367" s="3518"/>
      <c r="T367" s="3518"/>
      <c r="U367" s="3518"/>
      <c r="V367" s="3518"/>
      <c r="W367" s="3518"/>
      <c r="X367" s="3518"/>
      <c r="Y367" s="3518"/>
      <c r="Z367" s="3518"/>
      <c r="AA367" s="3518"/>
      <c r="AB367" s="3518"/>
      <c r="AC367" s="3518"/>
      <c r="AD367" s="3518"/>
      <c r="AE367" s="3518"/>
      <c r="AF367" s="3518"/>
      <c r="AG367" s="3518"/>
      <c r="AH367" s="3518"/>
      <c r="AI367" s="3518"/>
      <c r="AJ367" s="3518"/>
      <c r="AK367" s="3518"/>
      <c r="AL367" s="3518"/>
      <c r="AM367" s="3518"/>
      <c r="AN367" s="3518"/>
      <c r="AO367" s="3586"/>
      <c r="AP367" s="3512"/>
    </row>
    <row r="368" spans="1:42">
      <c r="A368" s="5057" t="s">
        <v>3</v>
      </c>
      <c r="B368" s="5058"/>
      <c r="C368" s="3518"/>
      <c r="D368" s="3518"/>
      <c r="E368" s="3518"/>
      <c r="F368" s="3518"/>
      <c r="G368" s="3518"/>
      <c r="H368" s="3518"/>
      <c r="I368" s="3518"/>
      <c r="J368" s="3518"/>
      <c r="K368" s="3518"/>
      <c r="L368" s="3544">
        <v>1.99318386492606</v>
      </c>
      <c r="M368" s="3518"/>
      <c r="N368" s="3544">
        <v>1.51743035608832</v>
      </c>
      <c r="O368" s="3518"/>
      <c r="P368" s="3518"/>
      <c r="Q368" s="3518"/>
      <c r="R368" s="3518"/>
      <c r="S368" s="3518"/>
      <c r="T368" s="3518"/>
      <c r="U368" s="3518"/>
      <c r="V368" s="3518"/>
      <c r="W368" s="3518"/>
      <c r="X368" s="3518"/>
      <c r="Y368" s="3518"/>
      <c r="Z368" s="3518"/>
      <c r="AA368" s="3518"/>
      <c r="AB368" s="3518"/>
      <c r="AC368" s="3518"/>
      <c r="AD368" s="3518"/>
      <c r="AE368" s="3518"/>
      <c r="AF368" s="3518"/>
      <c r="AG368" s="3518"/>
      <c r="AH368" s="3518"/>
      <c r="AI368" s="3518"/>
      <c r="AJ368" s="3518"/>
      <c r="AK368" s="3518"/>
      <c r="AL368" s="3518"/>
      <c r="AM368" s="3518"/>
      <c r="AN368" s="3518"/>
      <c r="AO368" s="3586"/>
      <c r="AP368" s="3512"/>
    </row>
    <row r="369" spans="1:42">
      <c r="A369" s="5057" t="s">
        <v>6</v>
      </c>
      <c r="B369" s="5058"/>
      <c r="C369" s="3518"/>
      <c r="D369" s="3518"/>
      <c r="E369" s="3518"/>
      <c r="F369" s="3518"/>
      <c r="G369" s="3518"/>
      <c r="H369" s="3518"/>
      <c r="I369" s="3518"/>
      <c r="J369" s="3518"/>
      <c r="K369" s="3518"/>
      <c r="L369" s="3546">
        <v>13.573363097672001</v>
      </c>
      <c r="M369" s="3518"/>
      <c r="N369" s="3546">
        <v>10.411716040849001</v>
      </c>
      <c r="O369" s="3518"/>
      <c r="P369" s="3518"/>
      <c r="Q369" s="3518"/>
      <c r="R369" s="3518"/>
      <c r="S369" s="3518"/>
      <c r="T369" s="3518"/>
      <c r="U369" s="3518"/>
      <c r="V369" s="3518"/>
      <c r="W369" s="3518"/>
      <c r="X369" s="3518"/>
      <c r="Y369" s="3518"/>
      <c r="Z369" s="3518"/>
      <c r="AA369" s="3518"/>
      <c r="AB369" s="3518"/>
      <c r="AC369" s="3518"/>
      <c r="AD369" s="3518"/>
      <c r="AE369" s="3518"/>
      <c r="AF369" s="3518"/>
      <c r="AG369" s="3518"/>
      <c r="AH369" s="3518"/>
      <c r="AI369" s="3518"/>
      <c r="AJ369" s="3518"/>
      <c r="AK369" s="3518"/>
      <c r="AL369" s="3518"/>
      <c r="AM369" s="3518"/>
      <c r="AN369" s="3518"/>
      <c r="AO369" s="3586"/>
      <c r="AP369" s="3512"/>
    </row>
    <row r="370" spans="1:42">
      <c r="A370" s="5057" t="s">
        <v>7</v>
      </c>
      <c r="B370" s="5058"/>
      <c r="C370" s="3518"/>
      <c r="D370" s="3518"/>
      <c r="E370" s="3518"/>
      <c r="F370" s="3518"/>
      <c r="G370" s="3518"/>
      <c r="H370" s="3518"/>
      <c r="I370" s="3518"/>
      <c r="J370" s="3518"/>
      <c r="K370" s="3518"/>
      <c r="L370" s="3546">
        <v>14.3405383215608</v>
      </c>
      <c r="M370" s="3518"/>
      <c r="N370" s="3546">
        <v>11.271730356799299</v>
      </c>
      <c r="O370" s="3518"/>
      <c r="P370" s="3518"/>
      <c r="Q370" s="3518"/>
      <c r="R370" s="3518"/>
      <c r="S370" s="3518"/>
      <c r="T370" s="3518"/>
      <c r="U370" s="3518"/>
      <c r="V370" s="3518"/>
      <c r="W370" s="3518"/>
      <c r="X370" s="3518"/>
      <c r="Y370" s="3518"/>
      <c r="Z370" s="3518"/>
      <c r="AA370" s="3518"/>
      <c r="AB370" s="3518"/>
      <c r="AC370" s="3518"/>
      <c r="AD370" s="3518"/>
      <c r="AE370" s="3518"/>
      <c r="AF370" s="3518"/>
      <c r="AG370" s="3518"/>
      <c r="AH370" s="3518"/>
      <c r="AI370" s="3518"/>
      <c r="AJ370" s="3518"/>
      <c r="AK370" s="3518"/>
      <c r="AL370" s="3518"/>
      <c r="AM370" s="3518"/>
      <c r="AN370" s="3518"/>
      <c r="AO370" s="3586"/>
      <c r="AP370" s="3512"/>
    </row>
    <row r="371" spans="1:42">
      <c r="A371" s="5057" t="s">
        <v>8</v>
      </c>
      <c r="B371" s="5058"/>
      <c r="C371" s="3518"/>
      <c r="D371" s="3518"/>
      <c r="E371" s="3518"/>
      <c r="F371" s="3518"/>
      <c r="G371" s="3518"/>
      <c r="H371" s="3518"/>
      <c r="I371" s="3518"/>
      <c r="J371" s="3518"/>
      <c r="K371" s="3518"/>
      <c r="L371" s="3546">
        <v>24.3000113008518</v>
      </c>
      <c r="M371" s="3518"/>
      <c r="N371" s="3546">
        <v>20.379947745427099</v>
      </c>
      <c r="O371" s="3518"/>
      <c r="P371" s="3518"/>
      <c r="Q371" s="3518"/>
      <c r="R371" s="3518"/>
      <c r="S371" s="3518"/>
      <c r="T371" s="3518"/>
      <c r="U371" s="3518"/>
      <c r="V371" s="3518"/>
      <c r="W371" s="3518"/>
      <c r="X371" s="3518"/>
      <c r="Y371" s="3518"/>
      <c r="Z371" s="3518"/>
      <c r="AA371" s="3518"/>
      <c r="AB371" s="3518"/>
      <c r="AC371" s="3518"/>
      <c r="AD371" s="3518"/>
      <c r="AE371" s="3518"/>
      <c r="AF371" s="3518"/>
      <c r="AG371" s="3518"/>
      <c r="AH371" s="3518"/>
      <c r="AI371" s="3518"/>
      <c r="AJ371" s="3518"/>
      <c r="AK371" s="3518"/>
      <c r="AL371" s="3518"/>
      <c r="AM371" s="3518"/>
      <c r="AN371" s="3518"/>
      <c r="AO371" s="3586"/>
      <c r="AP371" s="3512"/>
    </row>
    <row r="372" spans="1:42">
      <c r="A372" s="5057" t="s">
        <v>678</v>
      </c>
      <c r="B372" s="5058"/>
      <c r="C372" s="3518"/>
      <c r="D372" s="3518"/>
      <c r="E372" s="3518"/>
      <c r="F372" s="3518"/>
      <c r="G372" s="3518"/>
      <c r="H372" s="3518"/>
      <c r="I372" s="3518"/>
      <c r="J372" s="3518"/>
      <c r="K372" s="3518"/>
      <c r="L372" s="3544">
        <v>5.4287007868065604</v>
      </c>
      <c r="M372" s="3518"/>
      <c r="N372" s="3544">
        <v>5.0566261771452004</v>
      </c>
      <c r="O372" s="3518"/>
      <c r="P372" s="3518"/>
      <c r="Q372" s="3518"/>
      <c r="R372" s="3518"/>
      <c r="S372" s="3518"/>
      <c r="T372" s="3518"/>
      <c r="U372" s="3518"/>
      <c r="V372" s="3518"/>
      <c r="W372" s="3518"/>
      <c r="X372" s="3518"/>
      <c r="Y372" s="3518"/>
      <c r="Z372" s="3518"/>
      <c r="AA372" s="3518"/>
      <c r="AB372" s="3518"/>
      <c r="AC372" s="3518"/>
      <c r="AD372" s="3518"/>
      <c r="AE372" s="3518"/>
      <c r="AF372" s="3518"/>
      <c r="AG372" s="3518"/>
      <c r="AH372" s="3518"/>
      <c r="AI372" s="3518"/>
      <c r="AJ372" s="3518"/>
      <c r="AK372" s="3518"/>
      <c r="AL372" s="3518"/>
      <c r="AM372" s="3518"/>
      <c r="AN372" s="3518"/>
      <c r="AO372" s="3586"/>
      <c r="AP372" s="3512"/>
    </row>
    <row r="373" spans="1:42">
      <c r="A373" s="5057" t="s">
        <v>67</v>
      </c>
      <c r="B373" s="5058"/>
      <c r="C373" s="3518"/>
      <c r="D373" s="3518"/>
      <c r="E373" s="3518"/>
      <c r="F373" s="3518"/>
      <c r="G373" s="3518"/>
      <c r="H373" s="3518"/>
      <c r="I373" s="3518"/>
      <c r="J373" s="3518"/>
      <c r="K373" s="3518"/>
      <c r="L373" s="3546">
        <v>16.513999880713499</v>
      </c>
      <c r="M373" s="3518"/>
      <c r="N373" s="3546">
        <v>16.540111366984501</v>
      </c>
      <c r="O373" s="3518"/>
      <c r="P373" s="3518"/>
      <c r="Q373" s="3518"/>
      <c r="R373" s="3518"/>
      <c r="S373" s="3518"/>
      <c r="T373" s="3518"/>
      <c r="U373" s="3518"/>
      <c r="V373" s="3518"/>
      <c r="W373" s="3518"/>
      <c r="X373" s="3518"/>
      <c r="Y373" s="3518"/>
      <c r="Z373" s="3518"/>
      <c r="AA373" s="3518"/>
      <c r="AB373" s="3518"/>
      <c r="AC373" s="3518"/>
      <c r="AD373" s="3518"/>
      <c r="AE373" s="3518"/>
      <c r="AF373" s="3518"/>
      <c r="AG373" s="3518"/>
      <c r="AH373" s="3518"/>
      <c r="AI373" s="3518"/>
      <c r="AJ373" s="3518"/>
      <c r="AK373" s="3518"/>
      <c r="AL373" s="3518"/>
      <c r="AM373" s="3518"/>
      <c r="AN373" s="3518"/>
      <c r="AO373" s="3586"/>
      <c r="AP373" s="3512"/>
    </row>
    <row r="374" spans="1:42">
      <c r="A374" s="5057" t="s">
        <v>679</v>
      </c>
      <c r="B374" s="5058"/>
      <c r="C374" s="3518"/>
      <c r="D374" s="3518"/>
      <c r="E374" s="3518"/>
      <c r="F374" s="3518"/>
      <c r="G374" s="3518"/>
      <c r="H374" s="3518"/>
      <c r="I374" s="3518"/>
      <c r="J374" s="3518"/>
      <c r="K374" s="3518"/>
      <c r="L374" s="3544">
        <v>5.3319437395845197</v>
      </c>
      <c r="M374" s="3518"/>
      <c r="N374" s="3544">
        <v>6.2100595394368598</v>
      </c>
      <c r="O374" s="3518"/>
      <c r="P374" s="3518"/>
      <c r="Q374" s="3518"/>
      <c r="R374" s="3518"/>
      <c r="S374" s="3518"/>
      <c r="T374" s="3518"/>
      <c r="U374" s="3518"/>
      <c r="V374" s="3518"/>
      <c r="W374" s="3518"/>
      <c r="X374" s="3518"/>
      <c r="Y374" s="3518"/>
      <c r="Z374" s="3518"/>
      <c r="AA374" s="3518"/>
      <c r="AB374" s="3518"/>
      <c r="AC374" s="3518"/>
      <c r="AD374" s="3518"/>
      <c r="AE374" s="3518"/>
      <c r="AF374" s="3518"/>
      <c r="AG374" s="3518"/>
      <c r="AH374" s="3518"/>
      <c r="AI374" s="3518"/>
      <c r="AJ374" s="3518"/>
      <c r="AK374" s="3518"/>
      <c r="AL374" s="3518"/>
      <c r="AM374" s="3518"/>
      <c r="AN374" s="3518"/>
      <c r="AO374" s="3586"/>
      <c r="AP374" s="3512"/>
    </row>
    <row r="375" spans="1:42">
      <c r="A375" s="5057" t="s">
        <v>69</v>
      </c>
      <c r="B375" s="5058"/>
      <c r="C375" s="3518"/>
      <c r="D375" s="3518"/>
      <c r="E375" s="3518"/>
      <c r="F375" s="3518"/>
      <c r="G375" s="3518"/>
      <c r="H375" s="3518"/>
      <c r="I375" s="3518"/>
      <c r="J375" s="3518"/>
      <c r="K375" s="3518"/>
      <c r="L375" s="3544">
        <v>6.0943642464674399</v>
      </c>
      <c r="M375" s="3518"/>
      <c r="N375" s="3544">
        <v>7.5767578520797798</v>
      </c>
      <c r="O375" s="3518"/>
      <c r="P375" s="3518"/>
      <c r="Q375" s="3518"/>
      <c r="R375" s="3518"/>
      <c r="S375" s="3518"/>
      <c r="T375" s="3518"/>
      <c r="U375" s="3518"/>
      <c r="V375" s="3518"/>
      <c r="W375" s="3518"/>
      <c r="X375" s="3518"/>
      <c r="Y375" s="3518"/>
      <c r="Z375" s="3518"/>
      <c r="AA375" s="3518"/>
      <c r="AB375" s="3518"/>
      <c r="AC375" s="3518"/>
      <c r="AD375" s="3518"/>
      <c r="AE375" s="3518"/>
      <c r="AF375" s="3518"/>
      <c r="AG375" s="3518"/>
      <c r="AH375" s="3518"/>
      <c r="AI375" s="3518"/>
      <c r="AJ375" s="3518"/>
      <c r="AK375" s="3518"/>
      <c r="AL375" s="3518"/>
      <c r="AM375" s="3518"/>
      <c r="AN375" s="3518"/>
      <c r="AO375" s="3586"/>
      <c r="AP375" s="3512"/>
    </row>
    <row r="376" spans="1:42">
      <c r="A376" s="5057" t="s">
        <v>10</v>
      </c>
      <c r="B376" s="5058"/>
      <c r="C376" s="3518"/>
      <c r="D376" s="3518"/>
      <c r="E376" s="3518"/>
      <c r="F376" s="3518"/>
      <c r="G376" s="3518"/>
      <c r="H376" s="3518"/>
      <c r="I376" s="3518"/>
      <c r="J376" s="3518"/>
      <c r="K376" s="3518"/>
      <c r="L376" s="3546">
        <v>11.694440354975701</v>
      </c>
      <c r="M376" s="3518"/>
      <c r="N376" s="3546">
        <v>20.194391051518402</v>
      </c>
      <c r="O376" s="3518"/>
      <c r="P376" s="3518"/>
      <c r="Q376" s="3518"/>
      <c r="R376" s="3518"/>
      <c r="S376" s="3518"/>
      <c r="T376" s="3518"/>
      <c r="U376" s="3518"/>
      <c r="V376" s="3518"/>
      <c r="W376" s="3518"/>
      <c r="X376" s="3518"/>
      <c r="Y376" s="3518"/>
      <c r="Z376" s="3518"/>
      <c r="AA376" s="3518"/>
      <c r="AB376" s="3518"/>
      <c r="AC376" s="3518"/>
      <c r="AD376" s="3518"/>
      <c r="AE376" s="3518"/>
      <c r="AF376" s="3518"/>
      <c r="AG376" s="3518"/>
      <c r="AH376" s="3518"/>
      <c r="AI376" s="3518"/>
      <c r="AJ376" s="3518"/>
      <c r="AK376" s="3518"/>
      <c r="AL376" s="3518"/>
      <c r="AM376" s="3518"/>
      <c r="AN376" s="3518"/>
      <c r="AO376" s="3586"/>
      <c r="AP376" s="3512"/>
    </row>
    <row r="377" spans="1:42">
      <c r="A377" s="5057" t="s">
        <v>298</v>
      </c>
      <c r="B377" s="5058"/>
      <c r="C377" s="3518"/>
      <c r="D377" s="3518"/>
      <c r="E377" s="3518"/>
      <c r="F377" s="3518"/>
      <c r="G377" s="3518"/>
      <c r="H377" s="3518"/>
      <c r="I377" s="3518"/>
      <c r="J377" s="3518"/>
      <c r="K377" s="3518"/>
      <c r="L377" s="3545">
        <v>0.380770209294722</v>
      </c>
      <c r="M377" s="3518"/>
      <c r="N377" s="3545">
        <v>0.57009085452958297</v>
      </c>
      <c r="O377" s="3518"/>
      <c r="P377" s="3518"/>
      <c r="Q377" s="3518"/>
      <c r="R377" s="3518"/>
      <c r="S377" s="3518"/>
      <c r="T377" s="3518"/>
      <c r="U377" s="3518"/>
      <c r="V377" s="3518"/>
      <c r="W377" s="3518"/>
      <c r="X377" s="3518"/>
      <c r="Y377" s="3518"/>
      <c r="Z377" s="3518"/>
      <c r="AA377" s="3518"/>
      <c r="AB377" s="3518"/>
      <c r="AC377" s="3518"/>
      <c r="AD377" s="3518"/>
      <c r="AE377" s="3518"/>
      <c r="AF377" s="3518"/>
      <c r="AG377" s="3518"/>
      <c r="AH377" s="3518"/>
      <c r="AI377" s="3518"/>
      <c r="AJ377" s="3518"/>
      <c r="AK377" s="3518"/>
      <c r="AL377" s="3518"/>
      <c r="AM377" s="3518"/>
      <c r="AN377" s="3518"/>
      <c r="AO377" s="3586"/>
      <c r="AP377" s="3512"/>
    </row>
    <row r="378" spans="1:42">
      <c r="A378" s="5057" t="s">
        <v>680</v>
      </c>
      <c r="B378" s="5058"/>
      <c r="C378" s="3518"/>
      <c r="D378" s="3518"/>
      <c r="E378" s="3518"/>
      <c r="F378" s="3518"/>
      <c r="G378" s="3518"/>
      <c r="H378" s="3518"/>
      <c r="I378" s="3518"/>
      <c r="J378" s="3518"/>
      <c r="K378" s="3518"/>
      <c r="L378" s="3535">
        <v>0</v>
      </c>
      <c r="M378" s="3518"/>
      <c r="N378" s="3535">
        <v>0</v>
      </c>
      <c r="O378" s="3518"/>
      <c r="P378" s="3518"/>
      <c r="Q378" s="3518"/>
      <c r="R378" s="3518"/>
      <c r="S378" s="3518"/>
      <c r="T378" s="3518"/>
      <c r="U378" s="3518"/>
      <c r="V378" s="3518"/>
      <c r="W378" s="3518"/>
      <c r="X378" s="3518"/>
      <c r="Y378" s="3518"/>
      <c r="Z378" s="3518"/>
      <c r="AA378" s="3518"/>
      <c r="AB378" s="3518"/>
      <c r="AC378" s="3518"/>
      <c r="AD378" s="3518"/>
      <c r="AE378" s="3518"/>
      <c r="AF378" s="3518"/>
      <c r="AG378" s="3518"/>
      <c r="AH378" s="3518"/>
      <c r="AI378" s="3518"/>
      <c r="AJ378" s="3518"/>
      <c r="AK378" s="3518"/>
      <c r="AL378" s="3518"/>
      <c r="AM378" s="3518"/>
      <c r="AN378" s="3518"/>
      <c r="AO378" s="3586"/>
      <c r="AP378" s="3512"/>
    </row>
    <row r="379" spans="1:42">
      <c r="A379" s="5057" t="s">
        <v>681</v>
      </c>
      <c r="B379" s="5058"/>
      <c r="C379" s="3518"/>
      <c r="D379" s="3518"/>
      <c r="E379" s="3518"/>
      <c r="F379" s="3518"/>
      <c r="G379" s="3518"/>
      <c r="H379" s="3518"/>
      <c r="I379" s="3518"/>
      <c r="J379" s="3518"/>
      <c r="K379" s="3518"/>
      <c r="L379" s="3535">
        <v>0</v>
      </c>
      <c r="M379" s="3518"/>
      <c r="N379" s="3535">
        <v>0</v>
      </c>
      <c r="O379" s="3518"/>
      <c r="P379" s="3518"/>
      <c r="Q379" s="3518"/>
      <c r="R379" s="3518"/>
      <c r="S379" s="3518"/>
      <c r="T379" s="3518"/>
      <c r="U379" s="3518"/>
      <c r="V379" s="3518"/>
      <c r="W379" s="3518"/>
      <c r="X379" s="3518"/>
      <c r="Y379" s="3518"/>
      <c r="Z379" s="3518"/>
      <c r="AA379" s="3518"/>
      <c r="AB379" s="3518"/>
      <c r="AC379" s="3518"/>
      <c r="AD379" s="3518"/>
      <c r="AE379" s="3518"/>
      <c r="AF379" s="3518"/>
      <c r="AG379" s="3518"/>
      <c r="AH379" s="3518"/>
      <c r="AI379" s="3518"/>
      <c r="AJ379" s="3518"/>
      <c r="AK379" s="3518"/>
      <c r="AL379" s="3518"/>
      <c r="AM379" s="3518"/>
      <c r="AN379" s="3518"/>
      <c r="AO379" s="3586"/>
      <c r="AP379" s="3512"/>
    </row>
    <row r="380" spans="1:42">
      <c r="A380" s="5057" t="s">
        <v>675</v>
      </c>
      <c r="B380" s="5058"/>
      <c r="C380" s="3518"/>
      <c r="D380" s="3518"/>
      <c r="E380" s="3518"/>
      <c r="F380" s="3518"/>
      <c r="G380" s="3518"/>
      <c r="H380" s="3518"/>
      <c r="I380" s="3518"/>
      <c r="J380" s="3518"/>
      <c r="K380" s="3518"/>
      <c r="L380" s="3535">
        <v>0</v>
      </c>
      <c r="M380" s="3518"/>
      <c r="N380" s="3535">
        <v>0</v>
      </c>
      <c r="O380" s="3518"/>
      <c r="P380" s="3518"/>
      <c r="Q380" s="3518"/>
      <c r="R380" s="3518"/>
      <c r="S380" s="3518"/>
      <c r="T380" s="3518"/>
      <c r="U380" s="3518"/>
      <c r="V380" s="3518"/>
      <c r="W380" s="3518"/>
      <c r="X380" s="3518"/>
      <c r="Y380" s="3518"/>
      <c r="Z380" s="3518"/>
      <c r="AA380" s="3518"/>
      <c r="AB380" s="3518"/>
      <c r="AC380" s="3518"/>
      <c r="AD380" s="3518"/>
      <c r="AE380" s="3518"/>
      <c r="AF380" s="3518"/>
      <c r="AG380" s="3518"/>
      <c r="AH380" s="3518"/>
      <c r="AI380" s="3518"/>
      <c r="AJ380" s="3518"/>
      <c r="AK380" s="3518"/>
      <c r="AL380" s="3518"/>
      <c r="AM380" s="3518"/>
      <c r="AN380" s="3518"/>
      <c r="AO380" s="3586"/>
      <c r="AP380" s="3512"/>
    </row>
    <row r="381" spans="1:42" ht="13" thickBot="1">
      <c r="A381" s="5055" t="s">
        <v>425</v>
      </c>
      <c r="B381" s="5056"/>
      <c r="C381" s="3519" t="s">
        <v>426</v>
      </c>
      <c r="D381" s="3519" t="s">
        <v>426</v>
      </c>
      <c r="E381" s="3519" t="s">
        <v>426</v>
      </c>
      <c r="F381" s="3519" t="s">
        <v>426</v>
      </c>
      <c r="G381" s="3519" t="s">
        <v>426</v>
      </c>
      <c r="H381" s="3519" t="s">
        <v>426</v>
      </c>
      <c r="I381" s="3519" t="s">
        <v>426</v>
      </c>
      <c r="J381" s="3519" t="s">
        <v>426</v>
      </c>
      <c r="K381" s="3519" t="s">
        <v>426</v>
      </c>
      <c r="L381" s="3519" t="s">
        <v>426</v>
      </c>
      <c r="M381" s="3519" t="s">
        <v>426</v>
      </c>
      <c r="N381" s="3519" t="s">
        <v>426</v>
      </c>
      <c r="O381" s="3519" t="s">
        <v>426</v>
      </c>
      <c r="P381" s="3519" t="s">
        <v>426</v>
      </c>
      <c r="Q381" s="3519" t="s">
        <v>426</v>
      </c>
      <c r="R381" s="3519" t="s">
        <v>426</v>
      </c>
      <c r="S381" s="3519" t="s">
        <v>426</v>
      </c>
      <c r="T381" s="3519" t="s">
        <v>426</v>
      </c>
      <c r="U381" s="3519" t="s">
        <v>426</v>
      </c>
      <c r="V381" s="3519" t="s">
        <v>426</v>
      </c>
      <c r="W381" s="3519" t="s">
        <v>426</v>
      </c>
      <c r="X381" s="3519" t="s">
        <v>426</v>
      </c>
      <c r="Y381" s="3519" t="s">
        <v>426</v>
      </c>
      <c r="Z381" s="3519" t="s">
        <v>426</v>
      </c>
      <c r="AA381" s="3519" t="s">
        <v>426</v>
      </c>
      <c r="AB381" s="3519" t="s">
        <v>426</v>
      </c>
      <c r="AC381" s="3519" t="s">
        <v>426</v>
      </c>
      <c r="AD381" s="3519" t="s">
        <v>426</v>
      </c>
      <c r="AE381" s="3519" t="s">
        <v>426</v>
      </c>
      <c r="AF381" s="3519" t="s">
        <v>426</v>
      </c>
      <c r="AG381" s="3519" t="s">
        <v>426</v>
      </c>
      <c r="AH381" s="3519" t="s">
        <v>426</v>
      </c>
      <c r="AI381" s="3519" t="s">
        <v>426</v>
      </c>
      <c r="AJ381" s="3519" t="s">
        <v>426</v>
      </c>
      <c r="AK381" s="3519" t="s">
        <v>426</v>
      </c>
      <c r="AL381" s="3519" t="s">
        <v>426</v>
      </c>
      <c r="AM381" s="3519" t="s">
        <v>426</v>
      </c>
      <c r="AN381" s="3519" t="s">
        <v>426</v>
      </c>
      <c r="AO381" s="3530" t="s">
        <v>426</v>
      </c>
      <c r="AP381" s="3512"/>
    </row>
    <row r="382" spans="1:42" ht="13" thickTop="1">
      <c r="A382" s="5059" t="s">
        <v>5</v>
      </c>
      <c r="B382" s="5060"/>
      <c r="C382" s="3518"/>
      <c r="D382" s="3518"/>
      <c r="E382" s="3518"/>
      <c r="F382" s="3518"/>
      <c r="G382" s="3518"/>
      <c r="H382" s="3518"/>
      <c r="I382" s="3518"/>
      <c r="J382" s="3518"/>
      <c r="K382" s="3518"/>
      <c r="L382" s="3535">
        <v>0</v>
      </c>
      <c r="M382" s="3518"/>
      <c r="N382" s="3535">
        <v>0</v>
      </c>
      <c r="O382" s="3518"/>
      <c r="P382" s="3518"/>
      <c r="Q382" s="3518"/>
      <c r="R382" s="3518"/>
      <c r="S382" s="3518"/>
      <c r="T382" s="3518"/>
      <c r="U382" s="3518"/>
      <c r="V382" s="3518"/>
      <c r="W382" s="3518"/>
      <c r="X382" s="3518"/>
      <c r="Y382" s="3518"/>
      <c r="Z382" s="3518"/>
      <c r="AA382" s="3518"/>
      <c r="AB382" s="3518"/>
      <c r="AC382" s="3518"/>
      <c r="AD382" s="3518"/>
      <c r="AE382" s="3518"/>
      <c r="AF382" s="3518"/>
      <c r="AG382" s="3518"/>
      <c r="AH382" s="3518"/>
      <c r="AI382" s="3518"/>
      <c r="AJ382" s="3518"/>
      <c r="AK382" s="3518"/>
      <c r="AL382" s="3518"/>
      <c r="AM382" s="3518"/>
      <c r="AN382" s="3518"/>
      <c r="AO382" s="3586"/>
      <c r="AP382" s="3512"/>
    </row>
    <row r="383" spans="1:42">
      <c r="A383" s="5057" t="s">
        <v>674</v>
      </c>
      <c r="B383" s="5058"/>
      <c r="C383" s="3518"/>
      <c r="D383" s="3518"/>
      <c r="E383" s="3518"/>
      <c r="F383" s="3518"/>
      <c r="G383" s="3518"/>
      <c r="H383" s="3518"/>
      <c r="I383" s="3518"/>
      <c r="J383" s="3518"/>
      <c r="K383" s="3518"/>
      <c r="L383" s="3558">
        <v>258.29627726072601</v>
      </c>
      <c r="M383" s="3518"/>
      <c r="N383" s="3546">
        <v>55.404806078119499</v>
      </c>
      <c r="O383" s="3518"/>
      <c r="P383" s="3518"/>
      <c r="Q383" s="3518"/>
      <c r="R383" s="3518"/>
      <c r="S383" s="3518"/>
      <c r="T383" s="3518"/>
      <c r="U383" s="3518"/>
      <c r="V383" s="3518"/>
      <c r="W383" s="3518"/>
      <c r="X383" s="3518"/>
      <c r="Y383" s="3518"/>
      <c r="Z383" s="3518"/>
      <c r="AA383" s="3518"/>
      <c r="AB383" s="3518"/>
      <c r="AC383" s="3518"/>
      <c r="AD383" s="3518"/>
      <c r="AE383" s="3518"/>
      <c r="AF383" s="3518"/>
      <c r="AG383" s="3518"/>
      <c r="AH383" s="3518"/>
      <c r="AI383" s="3518"/>
      <c r="AJ383" s="3518"/>
      <c r="AK383" s="3518"/>
      <c r="AL383" s="3518"/>
      <c r="AM383" s="3518"/>
      <c r="AN383" s="3518"/>
      <c r="AO383" s="3586"/>
      <c r="AP383" s="3512"/>
    </row>
    <row r="384" spans="1:42">
      <c r="A384" s="5057" t="s">
        <v>3</v>
      </c>
      <c r="B384" s="5058"/>
      <c r="C384" s="3518"/>
      <c r="D384" s="3518"/>
      <c r="E384" s="3518"/>
      <c r="F384" s="3518"/>
      <c r="G384" s="3518"/>
      <c r="H384" s="3518"/>
      <c r="I384" s="3518"/>
      <c r="J384" s="3518"/>
      <c r="K384" s="3518"/>
      <c r="L384" s="3562">
        <v>1476.49929770003</v>
      </c>
      <c r="M384" s="3518"/>
      <c r="N384" s="3558">
        <v>310.07357962965398</v>
      </c>
      <c r="O384" s="3518"/>
      <c r="P384" s="3518"/>
      <c r="Q384" s="3518"/>
      <c r="R384" s="3518"/>
      <c r="S384" s="3518"/>
      <c r="T384" s="3518"/>
      <c r="U384" s="3518"/>
      <c r="V384" s="3518"/>
      <c r="W384" s="3518"/>
      <c r="X384" s="3518"/>
      <c r="Y384" s="3518"/>
      <c r="Z384" s="3518"/>
      <c r="AA384" s="3518"/>
      <c r="AB384" s="3518"/>
      <c r="AC384" s="3518"/>
      <c r="AD384" s="3518"/>
      <c r="AE384" s="3518"/>
      <c r="AF384" s="3518"/>
      <c r="AG384" s="3518"/>
      <c r="AH384" s="3518"/>
      <c r="AI384" s="3518"/>
      <c r="AJ384" s="3518"/>
      <c r="AK384" s="3518"/>
      <c r="AL384" s="3518"/>
      <c r="AM384" s="3518"/>
      <c r="AN384" s="3518"/>
      <c r="AO384" s="3586"/>
      <c r="AP384" s="3512"/>
    </row>
    <row r="385" spans="1:42">
      <c r="A385" s="5057" t="s">
        <v>6</v>
      </c>
      <c r="B385" s="5058"/>
      <c r="C385" s="3518"/>
      <c r="D385" s="3518"/>
      <c r="E385" s="3518"/>
      <c r="F385" s="3518"/>
      <c r="G385" s="3518"/>
      <c r="H385" s="3518"/>
      <c r="I385" s="3518"/>
      <c r="J385" s="3518"/>
      <c r="K385" s="3518"/>
      <c r="L385" s="3557">
        <v>10054.7979711263</v>
      </c>
      <c r="M385" s="3518"/>
      <c r="N385" s="3562">
        <v>2127.5428225884598</v>
      </c>
      <c r="O385" s="3518"/>
      <c r="P385" s="3518"/>
      <c r="Q385" s="3518"/>
      <c r="R385" s="3518"/>
      <c r="S385" s="3518"/>
      <c r="T385" s="3518"/>
      <c r="U385" s="3518"/>
      <c r="V385" s="3518"/>
      <c r="W385" s="3518"/>
      <c r="X385" s="3518"/>
      <c r="Y385" s="3518"/>
      <c r="Z385" s="3518"/>
      <c r="AA385" s="3518"/>
      <c r="AB385" s="3518"/>
      <c r="AC385" s="3518"/>
      <c r="AD385" s="3518"/>
      <c r="AE385" s="3518"/>
      <c r="AF385" s="3518"/>
      <c r="AG385" s="3518"/>
      <c r="AH385" s="3518"/>
      <c r="AI385" s="3518"/>
      <c r="AJ385" s="3518"/>
      <c r="AK385" s="3518"/>
      <c r="AL385" s="3518"/>
      <c r="AM385" s="3518"/>
      <c r="AN385" s="3518"/>
      <c r="AO385" s="3586"/>
      <c r="AP385" s="3512"/>
    </row>
    <row r="386" spans="1:42">
      <c r="A386" s="5057" t="s">
        <v>7</v>
      </c>
      <c r="B386" s="5058"/>
      <c r="C386" s="3518"/>
      <c r="D386" s="3518"/>
      <c r="E386" s="3518"/>
      <c r="F386" s="3518"/>
      <c r="G386" s="3518"/>
      <c r="H386" s="3518"/>
      <c r="I386" s="3518"/>
      <c r="J386" s="3518"/>
      <c r="K386" s="3518"/>
      <c r="L386" s="3557">
        <v>10623.101628012901</v>
      </c>
      <c r="M386" s="3518"/>
      <c r="N386" s="3562">
        <v>2303.2792024555902</v>
      </c>
      <c r="O386" s="3518"/>
      <c r="P386" s="3518"/>
      <c r="Q386" s="3518"/>
      <c r="R386" s="3518"/>
      <c r="S386" s="3518"/>
      <c r="T386" s="3518"/>
      <c r="U386" s="3518"/>
      <c r="V386" s="3518"/>
      <c r="W386" s="3518"/>
      <c r="X386" s="3518"/>
      <c r="Y386" s="3518"/>
      <c r="Z386" s="3518"/>
      <c r="AA386" s="3518"/>
      <c r="AB386" s="3518"/>
      <c r="AC386" s="3518"/>
      <c r="AD386" s="3518"/>
      <c r="AE386" s="3518"/>
      <c r="AF386" s="3518"/>
      <c r="AG386" s="3518"/>
      <c r="AH386" s="3518"/>
      <c r="AI386" s="3518"/>
      <c r="AJ386" s="3518"/>
      <c r="AK386" s="3518"/>
      <c r="AL386" s="3518"/>
      <c r="AM386" s="3518"/>
      <c r="AN386" s="3518"/>
      <c r="AO386" s="3586"/>
      <c r="AP386" s="3512"/>
    </row>
    <row r="387" spans="1:42">
      <c r="A387" s="5057" t="s">
        <v>8</v>
      </c>
      <c r="B387" s="5058"/>
      <c r="C387" s="3518"/>
      <c r="D387" s="3518"/>
      <c r="E387" s="3518"/>
      <c r="F387" s="3518"/>
      <c r="G387" s="3518"/>
      <c r="H387" s="3518"/>
      <c r="I387" s="3518"/>
      <c r="J387" s="3518"/>
      <c r="K387" s="3518"/>
      <c r="L387" s="3557">
        <v>18000.822829830398</v>
      </c>
      <c r="M387" s="3518"/>
      <c r="N387" s="3562">
        <v>4164.4635121047304</v>
      </c>
      <c r="O387" s="3518"/>
      <c r="P387" s="3518"/>
      <c r="Q387" s="3518"/>
      <c r="R387" s="3518"/>
      <c r="S387" s="3518"/>
      <c r="T387" s="3518"/>
      <c r="U387" s="3518"/>
      <c r="V387" s="3518"/>
      <c r="W387" s="3518"/>
      <c r="X387" s="3518"/>
      <c r="Y387" s="3518"/>
      <c r="Z387" s="3518"/>
      <c r="AA387" s="3518"/>
      <c r="AB387" s="3518"/>
      <c r="AC387" s="3518"/>
      <c r="AD387" s="3518"/>
      <c r="AE387" s="3518"/>
      <c r="AF387" s="3518"/>
      <c r="AG387" s="3518"/>
      <c r="AH387" s="3518"/>
      <c r="AI387" s="3518"/>
      <c r="AJ387" s="3518"/>
      <c r="AK387" s="3518"/>
      <c r="AL387" s="3518"/>
      <c r="AM387" s="3518"/>
      <c r="AN387" s="3518"/>
      <c r="AO387" s="3586"/>
      <c r="AP387" s="3512"/>
    </row>
    <row r="388" spans="1:42">
      <c r="A388" s="5057" t="s">
        <v>678</v>
      </c>
      <c r="B388" s="5058"/>
      <c r="C388" s="3518"/>
      <c r="D388" s="3518"/>
      <c r="E388" s="3518"/>
      <c r="F388" s="3518"/>
      <c r="G388" s="3518"/>
      <c r="H388" s="3518"/>
      <c r="I388" s="3518"/>
      <c r="J388" s="3518"/>
      <c r="K388" s="3518"/>
      <c r="L388" s="3562">
        <v>4021.4417948044402</v>
      </c>
      <c r="M388" s="3518"/>
      <c r="N388" s="3562">
        <v>1033.2771934510899</v>
      </c>
      <c r="O388" s="3518"/>
      <c r="P388" s="3518"/>
      <c r="Q388" s="3518"/>
      <c r="R388" s="3518"/>
      <c r="S388" s="3518"/>
      <c r="T388" s="3518"/>
      <c r="U388" s="3518"/>
      <c r="V388" s="3518"/>
      <c r="W388" s="3518"/>
      <c r="X388" s="3518"/>
      <c r="Y388" s="3518"/>
      <c r="Z388" s="3518"/>
      <c r="AA388" s="3518"/>
      <c r="AB388" s="3518"/>
      <c r="AC388" s="3518"/>
      <c r="AD388" s="3518"/>
      <c r="AE388" s="3518"/>
      <c r="AF388" s="3518"/>
      <c r="AG388" s="3518"/>
      <c r="AH388" s="3518"/>
      <c r="AI388" s="3518"/>
      <c r="AJ388" s="3518"/>
      <c r="AK388" s="3518"/>
      <c r="AL388" s="3518"/>
      <c r="AM388" s="3518"/>
      <c r="AN388" s="3518"/>
      <c r="AO388" s="3586"/>
      <c r="AP388" s="3512"/>
    </row>
    <row r="389" spans="1:42">
      <c r="A389" s="5057" t="s">
        <v>67</v>
      </c>
      <c r="B389" s="5058"/>
      <c r="C389" s="3518"/>
      <c r="D389" s="3518"/>
      <c r="E389" s="3518"/>
      <c r="F389" s="3518"/>
      <c r="G389" s="3518"/>
      <c r="H389" s="3518"/>
      <c r="I389" s="3518"/>
      <c r="J389" s="3518"/>
      <c r="K389" s="3518"/>
      <c r="L389" s="3557">
        <v>12233.1460008063</v>
      </c>
      <c r="M389" s="3518"/>
      <c r="N389" s="3562">
        <v>3379.8266381429398</v>
      </c>
      <c r="O389" s="3518"/>
      <c r="P389" s="3518"/>
      <c r="Q389" s="3518"/>
      <c r="R389" s="3518"/>
      <c r="S389" s="3518"/>
      <c r="T389" s="3518"/>
      <c r="U389" s="3518"/>
      <c r="V389" s="3518"/>
      <c r="W389" s="3518"/>
      <c r="X389" s="3518"/>
      <c r="Y389" s="3518"/>
      <c r="Z389" s="3518"/>
      <c r="AA389" s="3518"/>
      <c r="AB389" s="3518"/>
      <c r="AC389" s="3518"/>
      <c r="AD389" s="3518"/>
      <c r="AE389" s="3518"/>
      <c r="AF389" s="3518"/>
      <c r="AG389" s="3518"/>
      <c r="AH389" s="3518"/>
      <c r="AI389" s="3518"/>
      <c r="AJ389" s="3518"/>
      <c r="AK389" s="3518"/>
      <c r="AL389" s="3518"/>
      <c r="AM389" s="3518"/>
      <c r="AN389" s="3518"/>
      <c r="AO389" s="3586"/>
      <c r="AP389" s="3512"/>
    </row>
    <row r="390" spans="1:42">
      <c r="A390" s="5057" t="s">
        <v>679</v>
      </c>
      <c r="B390" s="5058"/>
      <c r="C390" s="3518"/>
      <c r="D390" s="3518"/>
      <c r="E390" s="3518"/>
      <c r="F390" s="3518"/>
      <c r="G390" s="3518"/>
      <c r="H390" s="3518"/>
      <c r="I390" s="3518"/>
      <c r="J390" s="3518"/>
      <c r="K390" s="3518"/>
      <c r="L390" s="3562">
        <v>3949.7666649858702</v>
      </c>
      <c r="M390" s="3518"/>
      <c r="N390" s="3562">
        <v>1268.9711810367901</v>
      </c>
      <c r="O390" s="3518"/>
      <c r="P390" s="3518"/>
      <c r="Q390" s="3518"/>
      <c r="R390" s="3518"/>
      <c r="S390" s="3518"/>
      <c r="T390" s="3518"/>
      <c r="U390" s="3518"/>
      <c r="V390" s="3518"/>
      <c r="W390" s="3518"/>
      <c r="X390" s="3518"/>
      <c r="Y390" s="3518"/>
      <c r="Z390" s="3518"/>
      <c r="AA390" s="3518"/>
      <c r="AB390" s="3518"/>
      <c r="AC390" s="3518"/>
      <c r="AD390" s="3518"/>
      <c r="AE390" s="3518"/>
      <c r="AF390" s="3518"/>
      <c r="AG390" s="3518"/>
      <c r="AH390" s="3518"/>
      <c r="AI390" s="3518"/>
      <c r="AJ390" s="3518"/>
      <c r="AK390" s="3518"/>
      <c r="AL390" s="3518"/>
      <c r="AM390" s="3518"/>
      <c r="AN390" s="3518"/>
      <c r="AO390" s="3586"/>
      <c r="AP390" s="3512"/>
    </row>
    <row r="391" spans="1:42">
      <c r="A391" s="5057" t="s">
        <v>69</v>
      </c>
      <c r="B391" s="5058"/>
      <c r="C391" s="3518"/>
      <c r="D391" s="3518"/>
      <c r="E391" s="3518"/>
      <c r="F391" s="3518"/>
      <c r="G391" s="3518"/>
      <c r="H391" s="3518"/>
      <c r="I391" s="3518"/>
      <c r="J391" s="3518"/>
      <c r="K391" s="3518"/>
      <c r="L391" s="3562">
        <v>4514.5481499124999</v>
      </c>
      <c r="M391" s="3518"/>
      <c r="N391" s="3562">
        <v>1548.2439900818299</v>
      </c>
      <c r="O391" s="3518"/>
      <c r="P391" s="3518"/>
      <c r="Q391" s="3518"/>
      <c r="R391" s="3518"/>
      <c r="S391" s="3518"/>
      <c r="T391" s="3518"/>
      <c r="U391" s="3518"/>
      <c r="V391" s="3518"/>
      <c r="W391" s="3518"/>
      <c r="X391" s="3518"/>
      <c r="Y391" s="3518"/>
      <c r="Z391" s="3518"/>
      <c r="AA391" s="3518"/>
      <c r="AB391" s="3518"/>
      <c r="AC391" s="3518"/>
      <c r="AD391" s="3518"/>
      <c r="AE391" s="3518"/>
      <c r="AF391" s="3518"/>
      <c r="AG391" s="3518"/>
      <c r="AH391" s="3518"/>
      <c r="AI391" s="3518"/>
      <c r="AJ391" s="3518"/>
      <c r="AK391" s="3518"/>
      <c r="AL391" s="3518"/>
      <c r="AM391" s="3518"/>
      <c r="AN391" s="3518"/>
      <c r="AO391" s="3586"/>
      <c r="AP391" s="3512"/>
    </row>
    <row r="392" spans="1:42">
      <c r="A392" s="5057" t="s">
        <v>10</v>
      </c>
      <c r="B392" s="5058"/>
      <c r="C392" s="3518"/>
      <c r="D392" s="3518"/>
      <c r="E392" s="3518"/>
      <c r="F392" s="3518"/>
      <c r="G392" s="3518"/>
      <c r="H392" s="3518"/>
      <c r="I392" s="3518"/>
      <c r="J392" s="3518"/>
      <c r="K392" s="3518"/>
      <c r="L392" s="3562">
        <v>8662.9403714128293</v>
      </c>
      <c r="M392" s="3518"/>
      <c r="N392" s="3562">
        <v>4126.5466297426001</v>
      </c>
      <c r="O392" s="3518"/>
      <c r="P392" s="3518"/>
      <c r="Q392" s="3518"/>
      <c r="R392" s="3518"/>
      <c r="S392" s="3518"/>
      <c r="T392" s="3518"/>
      <c r="U392" s="3518"/>
      <c r="V392" s="3518"/>
      <c r="W392" s="3518"/>
      <c r="X392" s="3518"/>
      <c r="Y392" s="3518"/>
      <c r="Z392" s="3518"/>
      <c r="AA392" s="3518"/>
      <c r="AB392" s="3518"/>
      <c r="AC392" s="3518"/>
      <c r="AD392" s="3518"/>
      <c r="AE392" s="3518"/>
      <c r="AF392" s="3518"/>
      <c r="AG392" s="3518"/>
      <c r="AH392" s="3518"/>
      <c r="AI392" s="3518"/>
      <c r="AJ392" s="3518"/>
      <c r="AK392" s="3518"/>
      <c r="AL392" s="3518"/>
      <c r="AM392" s="3518"/>
      <c r="AN392" s="3518"/>
      <c r="AO392" s="3586"/>
      <c r="AP392" s="3512"/>
    </row>
    <row r="393" spans="1:42">
      <c r="A393" s="5057" t="s">
        <v>298</v>
      </c>
      <c r="B393" s="5058"/>
      <c r="C393" s="3518"/>
      <c r="D393" s="3518"/>
      <c r="E393" s="3518"/>
      <c r="F393" s="3518"/>
      <c r="G393" s="3518"/>
      <c r="H393" s="3518"/>
      <c r="I393" s="3518"/>
      <c r="J393" s="3518"/>
      <c r="K393" s="3518"/>
      <c r="L393" s="3558">
        <v>282.06476908722601</v>
      </c>
      <c r="M393" s="3518"/>
      <c r="N393" s="3558">
        <v>116.493064257526</v>
      </c>
      <c r="O393" s="3518"/>
      <c r="P393" s="3518"/>
      <c r="Q393" s="3518"/>
      <c r="R393" s="3518"/>
      <c r="S393" s="3518"/>
      <c r="T393" s="3518"/>
      <c r="U393" s="3518"/>
      <c r="V393" s="3518"/>
      <c r="W393" s="3518"/>
      <c r="X393" s="3518"/>
      <c r="Y393" s="3518"/>
      <c r="Z393" s="3518"/>
      <c r="AA393" s="3518"/>
      <c r="AB393" s="3518"/>
      <c r="AC393" s="3518"/>
      <c r="AD393" s="3518"/>
      <c r="AE393" s="3518"/>
      <c r="AF393" s="3518"/>
      <c r="AG393" s="3518"/>
      <c r="AH393" s="3518"/>
      <c r="AI393" s="3518"/>
      <c r="AJ393" s="3518"/>
      <c r="AK393" s="3518"/>
      <c r="AL393" s="3518"/>
      <c r="AM393" s="3518"/>
      <c r="AN393" s="3518"/>
      <c r="AO393" s="3586"/>
      <c r="AP393" s="3512"/>
    </row>
    <row r="394" spans="1:42">
      <c r="A394" s="5057" t="s">
        <v>680</v>
      </c>
      <c r="B394" s="5058"/>
      <c r="C394" s="3518"/>
      <c r="D394" s="3518"/>
      <c r="E394" s="3518"/>
      <c r="F394" s="3518"/>
      <c r="G394" s="3518"/>
      <c r="H394" s="3518"/>
      <c r="I394" s="3518"/>
      <c r="J394" s="3518"/>
      <c r="K394" s="3518"/>
      <c r="L394" s="3535">
        <v>0</v>
      </c>
      <c r="M394" s="3518"/>
      <c r="N394" s="3535">
        <v>0</v>
      </c>
      <c r="O394" s="3518"/>
      <c r="P394" s="3518"/>
      <c r="Q394" s="3518"/>
      <c r="R394" s="3518"/>
      <c r="S394" s="3518"/>
      <c r="T394" s="3518"/>
      <c r="U394" s="3518"/>
      <c r="V394" s="3518"/>
      <c r="W394" s="3518"/>
      <c r="X394" s="3518"/>
      <c r="Y394" s="3518"/>
      <c r="Z394" s="3518"/>
      <c r="AA394" s="3518"/>
      <c r="AB394" s="3518"/>
      <c r="AC394" s="3518"/>
      <c r="AD394" s="3518"/>
      <c r="AE394" s="3518"/>
      <c r="AF394" s="3518"/>
      <c r="AG394" s="3518"/>
      <c r="AH394" s="3518"/>
      <c r="AI394" s="3518"/>
      <c r="AJ394" s="3518"/>
      <c r="AK394" s="3518"/>
      <c r="AL394" s="3518"/>
      <c r="AM394" s="3518"/>
      <c r="AN394" s="3518"/>
      <c r="AO394" s="3586"/>
      <c r="AP394" s="3512"/>
    </row>
    <row r="395" spans="1:42">
      <c r="A395" s="5057" t="s">
        <v>681</v>
      </c>
      <c r="B395" s="5058"/>
      <c r="C395" s="3518"/>
      <c r="D395" s="3518"/>
      <c r="E395" s="3518"/>
      <c r="F395" s="3518"/>
      <c r="G395" s="3518"/>
      <c r="H395" s="3518"/>
      <c r="I395" s="3518"/>
      <c r="J395" s="3518"/>
      <c r="K395" s="3518"/>
      <c r="L395" s="3535">
        <v>0</v>
      </c>
      <c r="M395" s="3518"/>
      <c r="N395" s="3535">
        <v>0</v>
      </c>
      <c r="O395" s="3518"/>
      <c r="P395" s="3518"/>
      <c r="Q395" s="3518"/>
      <c r="R395" s="3518"/>
      <c r="S395" s="3518"/>
      <c r="T395" s="3518"/>
      <c r="U395" s="3518"/>
      <c r="V395" s="3518"/>
      <c r="W395" s="3518"/>
      <c r="X395" s="3518"/>
      <c r="Y395" s="3518"/>
      <c r="Z395" s="3518"/>
      <c r="AA395" s="3518"/>
      <c r="AB395" s="3518"/>
      <c r="AC395" s="3518"/>
      <c r="AD395" s="3518"/>
      <c r="AE395" s="3518"/>
      <c r="AF395" s="3518"/>
      <c r="AG395" s="3518"/>
      <c r="AH395" s="3518"/>
      <c r="AI395" s="3518"/>
      <c r="AJ395" s="3518"/>
      <c r="AK395" s="3518"/>
      <c r="AL395" s="3518"/>
      <c r="AM395" s="3518"/>
      <c r="AN395" s="3518"/>
      <c r="AO395" s="3586"/>
      <c r="AP395" s="3512"/>
    </row>
    <row r="396" spans="1:42">
      <c r="A396" s="5057" t="s">
        <v>675</v>
      </c>
      <c r="B396" s="5058"/>
      <c r="C396" s="3518"/>
      <c r="D396" s="3518"/>
      <c r="E396" s="3518"/>
      <c r="F396" s="3518"/>
      <c r="G396" s="3518"/>
      <c r="H396" s="3518"/>
      <c r="I396" s="3518"/>
      <c r="J396" s="3518"/>
      <c r="K396" s="3518"/>
      <c r="L396" s="3535">
        <v>0</v>
      </c>
      <c r="M396" s="3518"/>
      <c r="N396" s="3535">
        <v>0</v>
      </c>
      <c r="O396" s="3518"/>
      <c r="P396" s="3518"/>
      <c r="Q396" s="3518"/>
      <c r="R396" s="3518"/>
      <c r="S396" s="3518"/>
      <c r="T396" s="3518"/>
      <c r="U396" s="3518"/>
      <c r="V396" s="3518"/>
      <c r="W396" s="3518"/>
      <c r="X396" s="3518"/>
      <c r="Y396" s="3518"/>
      <c r="Z396" s="3518"/>
      <c r="AA396" s="3518"/>
      <c r="AB396" s="3518"/>
      <c r="AC396" s="3518"/>
      <c r="AD396" s="3518"/>
      <c r="AE396" s="3518"/>
      <c r="AF396" s="3518"/>
      <c r="AG396" s="3518"/>
      <c r="AH396" s="3518"/>
      <c r="AI396" s="3518"/>
      <c r="AJ396" s="3518"/>
      <c r="AK396" s="3518"/>
      <c r="AL396" s="3518"/>
      <c r="AM396" s="3518"/>
      <c r="AN396" s="3518"/>
      <c r="AO396" s="3586"/>
      <c r="AP396" s="3512"/>
    </row>
    <row r="397" spans="1:42" ht="13" thickBot="1">
      <c r="A397" s="5055" t="s">
        <v>430</v>
      </c>
      <c r="B397" s="5056"/>
      <c r="C397" s="3519" t="s">
        <v>57</v>
      </c>
      <c r="D397" s="3519" t="s">
        <v>57</v>
      </c>
      <c r="E397" s="3519" t="s">
        <v>57</v>
      </c>
      <c r="F397" s="3519" t="s">
        <v>57</v>
      </c>
      <c r="G397" s="3519" t="s">
        <v>57</v>
      </c>
      <c r="H397" s="3519" t="s">
        <v>57</v>
      </c>
      <c r="I397" s="3519" t="s">
        <v>57</v>
      </c>
      <c r="J397" s="3519" t="s">
        <v>57</v>
      </c>
      <c r="K397" s="3519" t="s">
        <v>57</v>
      </c>
      <c r="L397" s="3519" t="s">
        <v>57</v>
      </c>
      <c r="M397" s="3519" t="s">
        <v>57</v>
      </c>
      <c r="N397" s="3519" t="s">
        <v>57</v>
      </c>
      <c r="O397" s="3519" t="s">
        <v>57</v>
      </c>
      <c r="P397" s="3519" t="s">
        <v>57</v>
      </c>
      <c r="Q397" s="3519" t="s">
        <v>57</v>
      </c>
      <c r="R397" s="3519" t="s">
        <v>57</v>
      </c>
      <c r="S397" s="3519" t="s">
        <v>57</v>
      </c>
      <c r="T397" s="3519" t="s">
        <v>57</v>
      </c>
      <c r="U397" s="3519" t="s">
        <v>57</v>
      </c>
      <c r="V397" s="3519" t="s">
        <v>57</v>
      </c>
      <c r="W397" s="3519" t="s">
        <v>57</v>
      </c>
      <c r="X397" s="3519" t="s">
        <v>57</v>
      </c>
      <c r="Y397" s="3519" t="s">
        <v>57</v>
      </c>
      <c r="Z397" s="3519" t="s">
        <v>57</v>
      </c>
      <c r="AA397" s="3519" t="s">
        <v>57</v>
      </c>
      <c r="AB397" s="3519" t="s">
        <v>57</v>
      </c>
      <c r="AC397" s="3519" t="s">
        <v>57</v>
      </c>
      <c r="AD397" s="3519" t="s">
        <v>57</v>
      </c>
      <c r="AE397" s="3519" t="s">
        <v>57</v>
      </c>
      <c r="AF397" s="3519" t="s">
        <v>57</v>
      </c>
      <c r="AG397" s="3519" t="s">
        <v>57</v>
      </c>
      <c r="AH397" s="3519" t="s">
        <v>57</v>
      </c>
      <c r="AI397" s="3519" t="s">
        <v>57</v>
      </c>
      <c r="AJ397" s="3519" t="s">
        <v>57</v>
      </c>
      <c r="AK397" s="3519" t="s">
        <v>57</v>
      </c>
      <c r="AL397" s="3519" t="s">
        <v>57</v>
      </c>
      <c r="AM397" s="3519" t="s">
        <v>57</v>
      </c>
      <c r="AN397" s="3519" t="s">
        <v>57</v>
      </c>
      <c r="AO397" s="3530" t="s">
        <v>57</v>
      </c>
      <c r="AP397" s="3512"/>
    </row>
    <row r="398" spans="1:42" ht="13" thickTop="1">
      <c r="A398" s="5059" t="s">
        <v>5</v>
      </c>
      <c r="B398" s="5060"/>
      <c r="C398" s="3518"/>
      <c r="D398" s="3518"/>
      <c r="E398" s="3518"/>
      <c r="F398" s="3518"/>
      <c r="G398" s="3518"/>
      <c r="H398" s="3518"/>
      <c r="I398" s="3518"/>
      <c r="J398" s="3518"/>
      <c r="K398" s="3518"/>
      <c r="L398" s="3535">
        <v>0</v>
      </c>
      <c r="M398" s="3518"/>
      <c r="N398" s="3535">
        <v>0</v>
      </c>
      <c r="O398" s="3518"/>
      <c r="P398" s="3518"/>
      <c r="Q398" s="3518"/>
      <c r="R398" s="3518"/>
      <c r="S398" s="3518"/>
      <c r="T398" s="3518"/>
      <c r="U398" s="3518"/>
      <c r="V398" s="3518"/>
      <c r="W398" s="3518"/>
      <c r="X398" s="3518"/>
      <c r="Y398" s="3518"/>
      <c r="Z398" s="3518"/>
      <c r="AA398" s="3518"/>
      <c r="AB398" s="3518"/>
      <c r="AC398" s="3518"/>
      <c r="AD398" s="3518"/>
      <c r="AE398" s="3518"/>
      <c r="AF398" s="3518"/>
      <c r="AG398" s="3518"/>
      <c r="AH398" s="3518"/>
      <c r="AI398" s="3518"/>
      <c r="AJ398" s="3518"/>
      <c r="AK398" s="3518"/>
      <c r="AL398" s="3518"/>
      <c r="AM398" s="3518"/>
      <c r="AN398" s="3518"/>
      <c r="AO398" s="3586"/>
      <c r="AP398" s="3512"/>
    </row>
    <row r="399" spans="1:42">
      <c r="A399" s="5057" t="s">
        <v>674</v>
      </c>
      <c r="B399" s="5058"/>
      <c r="C399" s="3518"/>
      <c r="D399" s="3518"/>
      <c r="E399" s="3518"/>
      <c r="F399" s="3518"/>
      <c r="G399" s="3518"/>
      <c r="H399" s="3518"/>
      <c r="I399" s="3518"/>
      <c r="J399" s="3518"/>
      <c r="K399" s="3518"/>
      <c r="L399" s="3543">
        <v>8.3976348230816095E-2</v>
      </c>
      <c r="M399" s="3518"/>
      <c r="N399" s="3543">
        <v>1.8013009471989201E-2</v>
      </c>
      <c r="O399" s="3518"/>
      <c r="P399" s="3518"/>
      <c r="Q399" s="3518"/>
      <c r="R399" s="3518"/>
      <c r="S399" s="3518"/>
      <c r="T399" s="3518"/>
      <c r="U399" s="3518"/>
      <c r="V399" s="3518"/>
      <c r="W399" s="3518"/>
      <c r="X399" s="3518"/>
      <c r="Y399" s="3518"/>
      <c r="Z399" s="3518"/>
      <c r="AA399" s="3518"/>
      <c r="AB399" s="3518"/>
      <c r="AC399" s="3518"/>
      <c r="AD399" s="3518"/>
      <c r="AE399" s="3518"/>
      <c r="AF399" s="3518"/>
      <c r="AG399" s="3518"/>
      <c r="AH399" s="3518"/>
      <c r="AI399" s="3518"/>
      <c r="AJ399" s="3518"/>
      <c r="AK399" s="3518"/>
      <c r="AL399" s="3518"/>
      <c r="AM399" s="3518"/>
      <c r="AN399" s="3518"/>
      <c r="AO399" s="3586"/>
      <c r="AP399" s="3512"/>
    </row>
    <row r="400" spans="1:42">
      <c r="A400" s="5057" t="s">
        <v>3</v>
      </c>
      <c r="B400" s="5058"/>
      <c r="C400" s="3518"/>
      <c r="D400" s="3518"/>
      <c r="E400" s="3518"/>
      <c r="F400" s="3518"/>
      <c r="G400" s="3518"/>
      <c r="H400" s="3518"/>
      <c r="I400" s="3518"/>
      <c r="J400" s="3518"/>
      <c r="K400" s="3518"/>
      <c r="L400" s="3545">
        <v>0.30555646079837401</v>
      </c>
      <c r="M400" s="3518"/>
      <c r="N400" s="3543">
        <v>6.4168662813660599E-2</v>
      </c>
      <c r="O400" s="3518"/>
      <c r="P400" s="3518"/>
      <c r="Q400" s="3518"/>
      <c r="R400" s="3518"/>
      <c r="S400" s="3518"/>
      <c r="T400" s="3518"/>
      <c r="U400" s="3518"/>
      <c r="V400" s="3518"/>
      <c r="W400" s="3518"/>
      <c r="X400" s="3518"/>
      <c r="Y400" s="3518"/>
      <c r="Z400" s="3518"/>
      <c r="AA400" s="3518"/>
      <c r="AB400" s="3518"/>
      <c r="AC400" s="3518"/>
      <c r="AD400" s="3518"/>
      <c r="AE400" s="3518"/>
      <c r="AF400" s="3518"/>
      <c r="AG400" s="3518"/>
      <c r="AH400" s="3518"/>
      <c r="AI400" s="3518"/>
      <c r="AJ400" s="3518"/>
      <c r="AK400" s="3518"/>
      <c r="AL400" s="3518"/>
      <c r="AM400" s="3518"/>
      <c r="AN400" s="3518"/>
      <c r="AO400" s="3586"/>
      <c r="AP400" s="3512"/>
    </row>
    <row r="401" spans="1:42">
      <c r="A401" s="5057" t="s">
        <v>6</v>
      </c>
      <c r="B401" s="5058"/>
      <c r="C401" s="3518"/>
      <c r="D401" s="3518"/>
      <c r="E401" s="3518"/>
      <c r="F401" s="3518"/>
      <c r="G401" s="3518"/>
      <c r="H401" s="3518"/>
      <c r="I401" s="3518"/>
      <c r="J401" s="3518"/>
      <c r="K401" s="3518"/>
      <c r="L401" s="3544">
        <v>5.7083033532788496</v>
      </c>
      <c r="M401" s="3518"/>
      <c r="N401" s="3544">
        <v>1.20784722510597</v>
      </c>
      <c r="O401" s="3518"/>
      <c r="P401" s="3518"/>
      <c r="Q401" s="3518"/>
      <c r="R401" s="3518"/>
      <c r="S401" s="3518"/>
      <c r="T401" s="3518"/>
      <c r="U401" s="3518"/>
      <c r="V401" s="3518"/>
      <c r="W401" s="3518"/>
      <c r="X401" s="3518"/>
      <c r="Y401" s="3518"/>
      <c r="Z401" s="3518"/>
      <c r="AA401" s="3518"/>
      <c r="AB401" s="3518"/>
      <c r="AC401" s="3518"/>
      <c r="AD401" s="3518"/>
      <c r="AE401" s="3518"/>
      <c r="AF401" s="3518"/>
      <c r="AG401" s="3518"/>
      <c r="AH401" s="3518"/>
      <c r="AI401" s="3518"/>
      <c r="AJ401" s="3518"/>
      <c r="AK401" s="3518"/>
      <c r="AL401" s="3518"/>
      <c r="AM401" s="3518"/>
      <c r="AN401" s="3518"/>
      <c r="AO401" s="3586"/>
      <c r="AP401" s="3512"/>
    </row>
    <row r="402" spans="1:42">
      <c r="A402" s="5057" t="s">
        <v>7</v>
      </c>
      <c r="B402" s="5058"/>
      <c r="C402" s="3518"/>
      <c r="D402" s="3518"/>
      <c r="E402" s="3518"/>
      <c r="F402" s="3518"/>
      <c r="G402" s="3518"/>
      <c r="H402" s="3518"/>
      <c r="I402" s="3518"/>
      <c r="J402" s="3518"/>
      <c r="K402" s="3518"/>
      <c r="L402" s="3544">
        <v>3.2176324581139002</v>
      </c>
      <c r="M402" s="3518"/>
      <c r="N402" s="3545">
        <v>0.69764049911533199</v>
      </c>
      <c r="O402" s="3518"/>
      <c r="P402" s="3518"/>
      <c r="Q402" s="3518"/>
      <c r="R402" s="3518"/>
      <c r="S402" s="3518"/>
      <c r="T402" s="3518"/>
      <c r="U402" s="3518"/>
      <c r="V402" s="3518"/>
      <c r="W402" s="3518"/>
      <c r="X402" s="3518"/>
      <c r="Y402" s="3518"/>
      <c r="Z402" s="3518"/>
      <c r="AA402" s="3518"/>
      <c r="AB402" s="3518"/>
      <c r="AC402" s="3518"/>
      <c r="AD402" s="3518"/>
      <c r="AE402" s="3518"/>
      <c r="AF402" s="3518"/>
      <c r="AG402" s="3518"/>
      <c r="AH402" s="3518"/>
      <c r="AI402" s="3518"/>
      <c r="AJ402" s="3518"/>
      <c r="AK402" s="3518"/>
      <c r="AL402" s="3518"/>
      <c r="AM402" s="3518"/>
      <c r="AN402" s="3518"/>
      <c r="AO402" s="3586"/>
      <c r="AP402" s="3512"/>
    </row>
    <row r="403" spans="1:42">
      <c r="A403" s="5057" t="s">
        <v>8</v>
      </c>
      <c r="B403" s="5058"/>
      <c r="C403" s="3518"/>
      <c r="D403" s="3518"/>
      <c r="E403" s="3518"/>
      <c r="F403" s="3518"/>
      <c r="G403" s="3518"/>
      <c r="H403" s="3518"/>
      <c r="I403" s="3518"/>
      <c r="J403" s="3518"/>
      <c r="K403" s="3518"/>
      <c r="L403" s="3544">
        <v>3.7179330492127098</v>
      </c>
      <c r="M403" s="3518"/>
      <c r="N403" s="3545">
        <v>0.86013826535953497</v>
      </c>
      <c r="O403" s="3518"/>
      <c r="P403" s="3518"/>
      <c r="Q403" s="3518"/>
      <c r="R403" s="3518"/>
      <c r="S403" s="3518"/>
      <c r="T403" s="3518"/>
      <c r="U403" s="3518"/>
      <c r="V403" s="3518"/>
      <c r="W403" s="3518"/>
      <c r="X403" s="3518"/>
      <c r="Y403" s="3518"/>
      <c r="Z403" s="3518"/>
      <c r="AA403" s="3518"/>
      <c r="AB403" s="3518"/>
      <c r="AC403" s="3518"/>
      <c r="AD403" s="3518"/>
      <c r="AE403" s="3518"/>
      <c r="AF403" s="3518"/>
      <c r="AG403" s="3518"/>
      <c r="AH403" s="3518"/>
      <c r="AI403" s="3518"/>
      <c r="AJ403" s="3518"/>
      <c r="AK403" s="3518"/>
      <c r="AL403" s="3518"/>
      <c r="AM403" s="3518"/>
      <c r="AN403" s="3518"/>
      <c r="AO403" s="3586"/>
      <c r="AP403" s="3512"/>
    </row>
    <row r="404" spans="1:42">
      <c r="A404" s="5057" t="s">
        <v>678</v>
      </c>
      <c r="B404" s="5058"/>
      <c r="C404" s="3518"/>
      <c r="D404" s="3518"/>
      <c r="E404" s="3518"/>
      <c r="F404" s="3518"/>
      <c r="G404" s="3518"/>
      <c r="H404" s="3518"/>
      <c r="I404" s="3518"/>
      <c r="J404" s="3518"/>
      <c r="K404" s="3518"/>
      <c r="L404" s="3545">
        <v>0.63015067164756</v>
      </c>
      <c r="M404" s="3518"/>
      <c r="N404" s="3545">
        <v>0.16191215754820401</v>
      </c>
      <c r="O404" s="3518"/>
      <c r="P404" s="3518"/>
      <c r="Q404" s="3518"/>
      <c r="R404" s="3518"/>
      <c r="S404" s="3518"/>
      <c r="T404" s="3518"/>
      <c r="U404" s="3518"/>
      <c r="V404" s="3518"/>
      <c r="W404" s="3518"/>
      <c r="X404" s="3518"/>
      <c r="Y404" s="3518"/>
      <c r="Z404" s="3518"/>
      <c r="AA404" s="3518"/>
      <c r="AB404" s="3518"/>
      <c r="AC404" s="3518"/>
      <c r="AD404" s="3518"/>
      <c r="AE404" s="3518"/>
      <c r="AF404" s="3518"/>
      <c r="AG404" s="3518"/>
      <c r="AH404" s="3518"/>
      <c r="AI404" s="3518"/>
      <c r="AJ404" s="3518"/>
      <c r="AK404" s="3518"/>
      <c r="AL404" s="3518"/>
      <c r="AM404" s="3518"/>
      <c r="AN404" s="3518"/>
      <c r="AO404" s="3586"/>
      <c r="AP404" s="3512"/>
    </row>
    <row r="405" spans="1:42">
      <c r="A405" s="5057" t="s">
        <v>67</v>
      </c>
      <c r="B405" s="5058"/>
      <c r="C405" s="3518"/>
      <c r="D405" s="3518"/>
      <c r="E405" s="3518"/>
      <c r="F405" s="3518"/>
      <c r="G405" s="3518"/>
      <c r="H405" s="3518"/>
      <c r="I405" s="3518"/>
      <c r="J405" s="3518"/>
      <c r="K405" s="3518"/>
      <c r="L405" s="3544">
        <v>1.91690581689636</v>
      </c>
      <c r="M405" s="3518"/>
      <c r="N405" s="3545">
        <v>0.52961105363497096</v>
      </c>
      <c r="O405" s="3518"/>
      <c r="P405" s="3518"/>
      <c r="Q405" s="3518"/>
      <c r="R405" s="3518"/>
      <c r="S405" s="3518"/>
      <c r="T405" s="3518"/>
      <c r="U405" s="3518"/>
      <c r="V405" s="3518"/>
      <c r="W405" s="3518"/>
      <c r="X405" s="3518"/>
      <c r="Y405" s="3518"/>
      <c r="Z405" s="3518"/>
      <c r="AA405" s="3518"/>
      <c r="AB405" s="3518"/>
      <c r="AC405" s="3518"/>
      <c r="AD405" s="3518"/>
      <c r="AE405" s="3518"/>
      <c r="AF405" s="3518"/>
      <c r="AG405" s="3518"/>
      <c r="AH405" s="3518"/>
      <c r="AI405" s="3518"/>
      <c r="AJ405" s="3518"/>
      <c r="AK405" s="3518"/>
      <c r="AL405" s="3518"/>
      <c r="AM405" s="3518"/>
      <c r="AN405" s="3518"/>
      <c r="AO405" s="3586"/>
      <c r="AP405" s="3512"/>
    </row>
    <row r="406" spans="1:42">
      <c r="A406" s="5057" t="s">
        <v>679</v>
      </c>
      <c r="B406" s="5058"/>
      <c r="C406" s="3518"/>
      <c r="D406" s="3518"/>
      <c r="E406" s="3518"/>
      <c r="F406" s="3518"/>
      <c r="G406" s="3518"/>
      <c r="H406" s="3518"/>
      <c r="I406" s="3518"/>
      <c r="J406" s="3518"/>
      <c r="K406" s="3518"/>
      <c r="L406" s="3545">
        <v>0.49859407026045899</v>
      </c>
      <c r="M406" s="3518"/>
      <c r="N406" s="3545">
        <v>0.16018705910026701</v>
      </c>
      <c r="O406" s="3518"/>
      <c r="P406" s="3518"/>
      <c r="Q406" s="3518"/>
      <c r="R406" s="3518"/>
      <c r="S406" s="3518"/>
      <c r="T406" s="3518"/>
      <c r="U406" s="3518"/>
      <c r="V406" s="3518"/>
      <c r="W406" s="3518"/>
      <c r="X406" s="3518"/>
      <c r="Y406" s="3518"/>
      <c r="Z406" s="3518"/>
      <c r="AA406" s="3518"/>
      <c r="AB406" s="3518"/>
      <c r="AC406" s="3518"/>
      <c r="AD406" s="3518"/>
      <c r="AE406" s="3518"/>
      <c r="AF406" s="3518"/>
      <c r="AG406" s="3518"/>
      <c r="AH406" s="3518"/>
      <c r="AI406" s="3518"/>
      <c r="AJ406" s="3518"/>
      <c r="AK406" s="3518"/>
      <c r="AL406" s="3518"/>
      <c r="AM406" s="3518"/>
      <c r="AN406" s="3518"/>
      <c r="AO406" s="3586"/>
      <c r="AP406" s="3512"/>
    </row>
    <row r="407" spans="1:42">
      <c r="A407" s="5057" t="s">
        <v>69</v>
      </c>
      <c r="B407" s="5058"/>
      <c r="C407" s="3518"/>
      <c r="D407" s="3518"/>
      <c r="E407" s="3518"/>
      <c r="F407" s="3518"/>
      <c r="G407" s="3518"/>
      <c r="H407" s="3518"/>
      <c r="I407" s="3518"/>
      <c r="J407" s="3518"/>
      <c r="K407" s="3518"/>
      <c r="L407" s="3545">
        <v>0.56988858542096898</v>
      </c>
      <c r="M407" s="3518"/>
      <c r="N407" s="3545">
        <v>0.195440728085124</v>
      </c>
      <c r="O407" s="3518"/>
      <c r="P407" s="3518"/>
      <c r="Q407" s="3518"/>
      <c r="R407" s="3518"/>
      <c r="S407" s="3518"/>
      <c r="T407" s="3518"/>
      <c r="U407" s="3518"/>
      <c r="V407" s="3518"/>
      <c r="W407" s="3518"/>
      <c r="X407" s="3518"/>
      <c r="Y407" s="3518"/>
      <c r="Z407" s="3518"/>
      <c r="AA407" s="3518"/>
      <c r="AB407" s="3518"/>
      <c r="AC407" s="3518"/>
      <c r="AD407" s="3518"/>
      <c r="AE407" s="3518"/>
      <c r="AF407" s="3518"/>
      <c r="AG407" s="3518"/>
      <c r="AH407" s="3518"/>
      <c r="AI407" s="3518"/>
      <c r="AJ407" s="3518"/>
      <c r="AK407" s="3518"/>
      <c r="AL407" s="3518"/>
      <c r="AM407" s="3518"/>
      <c r="AN407" s="3518"/>
      <c r="AO407" s="3586"/>
      <c r="AP407" s="3512"/>
    </row>
    <row r="408" spans="1:42">
      <c r="A408" s="5057" t="s">
        <v>10</v>
      </c>
      <c r="B408" s="5058"/>
      <c r="C408" s="3518"/>
      <c r="D408" s="3518"/>
      <c r="E408" s="3518"/>
      <c r="F408" s="3518"/>
      <c r="G408" s="3518"/>
      <c r="H408" s="3518"/>
      <c r="I408" s="3518"/>
      <c r="J408" s="3518"/>
      <c r="K408" s="3518"/>
      <c r="L408" s="3545">
        <v>0.91556014554973197</v>
      </c>
      <c r="M408" s="3518"/>
      <c r="N408" s="3545">
        <v>0.43612231770778298</v>
      </c>
      <c r="O408" s="3518"/>
      <c r="P408" s="3518"/>
      <c r="Q408" s="3518"/>
      <c r="R408" s="3518"/>
      <c r="S408" s="3518"/>
      <c r="T408" s="3518"/>
      <c r="U408" s="3518"/>
      <c r="V408" s="3518"/>
      <c r="W408" s="3518"/>
      <c r="X408" s="3518"/>
      <c r="Y408" s="3518"/>
      <c r="Z408" s="3518"/>
      <c r="AA408" s="3518"/>
      <c r="AB408" s="3518"/>
      <c r="AC408" s="3518"/>
      <c r="AD408" s="3518"/>
      <c r="AE408" s="3518"/>
      <c r="AF408" s="3518"/>
      <c r="AG408" s="3518"/>
      <c r="AH408" s="3518"/>
      <c r="AI408" s="3518"/>
      <c r="AJ408" s="3518"/>
      <c r="AK408" s="3518"/>
      <c r="AL408" s="3518"/>
      <c r="AM408" s="3518"/>
      <c r="AN408" s="3518"/>
      <c r="AO408" s="3586"/>
      <c r="AP408" s="3512"/>
    </row>
    <row r="409" spans="1:42">
      <c r="A409" s="5057" t="s">
        <v>298</v>
      </c>
      <c r="B409" s="5058"/>
      <c r="C409" s="3518"/>
      <c r="D409" s="3518"/>
      <c r="E409" s="3518"/>
      <c r="F409" s="3518"/>
      <c r="G409" s="3518"/>
      <c r="H409" s="3518"/>
      <c r="I409" s="3518"/>
      <c r="J409" s="3518"/>
      <c r="K409" s="3518"/>
      <c r="L409" s="3545">
        <v>0.142597689559713</v>
      </c>
      <c r="M409" s="3518"/>
      <c r="N409" s="3543">
        <v>5.8893004846405798E-2</v>
      </c>
      <c r="O409" s="3518"/>
      <c r="P409" s="3518"/>
      <c r="Q409" s="3518"/>
      <c r="R409" s="3518"/>
      <c r="S409" s="3518"/>
      <c r="T409" s="3518"/>
      <c r="U409" s="3518"/>
      <c r="V409" s="3518"/>
      <c r="W409" s="3518"/>
      <c r="X409" s="3518"/>
      <c r="Y409" s="3518"/>
      <c r="Z409" s="3518"/>
      <c r="AA409" s="3518"/>
      <c r="AB409" s="3518"/>
      <c r="AC409" s="3518"/>
      <c r="AD409" s="3518"/>
      <c r="AE409" s="3518"/>
      <c r="AF409" s="3518"/>
      <c r="AG409" s="3518"/>
      <c r="AH409" s="3518"/>
      <c r="AI409" s="3518"/>
      <c r="AJ409" s="3518"/>
      <c r="AK409" s="3518"/>
      <c r="AL409" s="3518"/>
      <c r="AM409" s="3518"/>
      <c r="AN409" s="3518"/>
      <c r="AO409" s="3586"/>
      <c r="AP409" s="3512"/>
    </row>
    <row r="410" spans="1:42">
      <c r="A410" s="5057" t="s">
        <v>680</v>
      </c>
      <c r="B410" s="5058"/>
      <c r="C410" s="3518"/>
      <c r="D410" s="3518"/>
      <c r="E410" s="3518"/>
      <c r="F410" s="3518"/>
      <c r="G410" s="3518"/>
      <c r="H410" s="3518"/>
      <c r="I410" s="3518"/>
      <c r="J410" s="3518"/>
      <c r="K410" s="3518"/>
      <c r="L410" s="3535">
        <v>0</v>
      </c>
      <c r="M410" s="3518"/>
      <c r="N410" s="3535">
        <v>0</v>
      </c>
      <c r="O410" s="3518"/>
      <c r="P410" s="3518"/>
      <c r="Q410" s="3518"/>
      <c r="R410" s="3518"/>
      <c r="S410" s="3518"/>
      <c r="T410" s="3518"/>
      <c r="U410" s="3518"/>
      <c r="V410" s="3518"/>
      <c r="W410" s="3518"/>
      <c r="X410" s="3518"/>
      <c r="Y410" s="3518"/>
      <c r="Z410" s="3518"/>
      <c r="AA410" s="3518"/>
      <c r="AB410" s="3518"/>
      <c r="AC410" s="3518"/>
      <c r="AD410" s="3518"/>
      <c r="AE410" s="3518"/>
      <c r="AF410" s="3518"/>
      <c r="AG410" s="3518"/>
      <c r="AH410" s="3518"/>
      <c r="AI410" s="3518"/>
      <c r="AJ410" s="3518"/>
      <c r="AK410" s="3518"/>
      <c r="AL410" s="3518"/>
      <c r="AM410" s="3518"/>
      <c r="AN410" s="3518"/>
      <c r="AO410" s="3586"/>
      <c r="AP410" s="3512"/>
    </row>
    <row r="411" spans="1:42">
      <c r="A411" s="5057" t="s">
        <v>681</v>
      </c>
      <c r="B411" s="5058"/>
      <c r="C411" s="3518"/>
      <c r="D411" s="3518"/>
      <c r="E411" s="3518"/>
      <c r="F411" s="3518"/>
      <c r="G411" s="3518"/>
      <c r="H411" s="3518"/>
      <c r="I411" s="3518"/>
      <c r="J411" s="3518"/>
      <c r="K411" s="3518"/>
      <c r="L411" s="3535">
        <v>0</v>
      </c>
      <c r="M411" s="3518"/>
      <c r="N411" s="3535">
        <v>0</v>
      </c>
      <c r="O411" s="3518"/>
      <c r="P411" s="3518"/>
      <c r="Q411" s="3518"/>
      <c r="R411" s="3518"/>
      <c r="S411" s="3518"/>
      <c r="T411" s="3518"/>
      <c r="U411" s="3518"/>
      <c r="V411" s="3518"/>
      <c r="W411" s="3518"/>
      <c r="X411" s="3518"/>
      <c r="Y411" s="3518"/>
      <c r="Z411" s="3518"/>
      <c r="AA411" s="3518"/>
      <c r="AB411" s="3518"/>
      <c r="AC411" s="3518"/>
      <c r="AD411" s="3518"/>
      <c r="AE411" s="3518"/>
      <c r="AF411" s="3518"/>
      <c r="AG411" s="3518"/>
      <c r="AH411" s="3518"/>
      <c r="AI411" s="3518"/>
      <c r="AJ411" s="3518"/>
      <c r="AK411" s="3518"/>
      <c r="AL411" s="3518"/>
      <c r="AM411" s="3518"/>
      <c r="AN411" s="3518"/>
      <c r="AO411" s="3586"/>
      <c r="AP411" s="3512"/>
    </row>
    <row r="412" spans="1:42" ht="13" thickBot="1">
      <c r="A412" s="5063" t="s">
        <v>675</v>
      </c>
      <c r="B412" s="5064"/>
      <c r="C412" s="3587"/>
      <c r="D412" s="3587"/>
      <c r="E412" s="3587"/>
      <c r="F412" s="3587"/>
      <c r="G412" s="3587"/>
      <c r="H412" s="3587"/>
      <c r="I412" s="3587"/>
      <c r="J412" s="3587"/>
      <c r="K412" s="3587"/>
      <c r="L412" s="3568">
        <v>0</v>
      </c>
      <c r="M412" s="3587"/>
      <c r="N412" s="3568">
        <v>0</v>
      </c>
      <c r="O412" s="3587"/>
      <c r="P412" s="3587"/>
      <c r="Q412" s="3587"/>
      <c r="R412" s="3587"/>
      <c r="S412" s="3587"/>
      <c r="T412" s="3587"/>
      <c r="U412" s="3587"/>
      <c r="V412" s="3587"/>
      <c r="W412" s="3587"/>
      <c r="X412" s="3587"/>
      <c r="Y412" s="3587"/>
      <c r="Z412" s="3587"/>
      <c r="AA412" s="3587"/>
      <c r="AB412" s="3587"/>
      <c r="AC412" s="3587"/>
      <c r="AD412" s="3587"/>
      <c r="AE412" s="3587"/>
      <c r="AF412" s="3587"/>
      <c r="AG412" s="3587"/>
      <c r="AH412" s="3587"/>
      <c r="AI412" s="3587"/>
      <c r="AJ412" s="3587"/>
      <c r="AK412" s="3587"/>
      <c r="AL412" s="3587"/>
      <c r="AM412" s="3587"/>
      <c r="AN412" s="3587"/>
      <c r="AO412" s="3588"/>
      <c r="AP412" s="3512"/>
    </row>
    <row r="413" spans="1:42" ht="13" thickTop="1">
      <c r="A413" s="3512"/>
      <c r="B413" s="3512"/>
      <c r="C413" s="3512"/>
      <c r="D413" s="3512"/>
      <c r="E413" s="3512"/>
      <c r="F413" s="3512"/>
      <c r="G413" s="3512"/>
      <c r="H413" s="3512"/>
      <c r="I413" s="3512"/>
      <c r="J413" s="3512"/>
      <c r="K413" s="3512"/>
      <c r="L413" s="3512"/>
      <c r="M413" s="3512"/>
      <c r="N413" s="3512"/>
      <c r="O413" s="3512"/>
      <c r="P413" s="3512"/>
      <c r="Q413" s="3512"/>
      <c r="R413" s="3512"/>
      <c r="S413" s="3512"/>
      <c r="T413" s="3512"/>
      <c r="U413" s="3512"/>
      <c r="V413" s="3512"/>
      <c r="W413" s="3512"/>
      <c r="X413" s="3512"/>
      <c r="Y413" s="3512"/>
      <c r="Z413" s="3512"/>
      <c r="AA413" s="3512"/>
      <c r="AB413" s="3512"/>
      <c r="AC413" s="3512"/>
      <c r="AD413" s="3512"/>
      <c r="AE413" s="3512"/>
      <c r="AF413" s="3512"/>
      <c r="AG413" s="3512"/>
      <c r="AH413" s="3512"/>
      <c r="AI413" s="3512"/>
      <c r="AJ413" s="3512"/>
      <c r="AK413" s="3512"/>
      <c r="AL413" s="3512"/>
      <c r="AM413" s="3512"/>
      <c r="AN413" s="3512"/>
      <c r="AO413" s="3512"/>
      <c r="AP413" s="3512"/>
    </row>
    <row r="414" spans="1:42" ht="13" thickBot="1">
      <c r="A414" s="3512"/>
      <c r="B414" s="3512"/>
      <c r="C414" s="3512"/>
      <c r="D414" s="3512"/>
      <c r="E414" s="3512"/>
      <c r="F414" s="3512"/>
      <c r="G414" s="3512"/>
      <c r="H414" s="3512"/>
      <c r="I414" s="3512"/>
      <c r="J414" s="3512"/>
      <c r="K414" s="3512"/>
      <c r="L414" s="3512"/>
      <c r="M414" s="3512"/>
      <c r="N414" s="3512"/>
      <c r="O414" s="3512"/>
      <c r="P414" s="3512"/>
      <c r="Q414" s="3512"/>
      <c r="R414" s="3512"/>
      <c r="S414" s="3512"/>
      <c r="T414" s="3512"/>
      <c r="U414" s="3512"/>
      <c r="V414" s="3512"/>
      <c r="W414" s="3512"/>
      <c r="X414" s="3512"/>
      <c r="Y414" s="3512"/>
      <c r="Z414" s="3512"/>
      <c r="AA414" s="3512"/>
      <c r="AB414" s="3512"/>
      <c r="AC414" s="3512"/>
      <c r="AD414" s="3512"/>
      <c r="AE414" s="3512"/>
      <c r="AF414" s="3512"/>
      <c r="AG414" s="3512"/>
      <c r="AH414" s="3512"/>
      <c r="AI414" s="3512"/>
      <c r="AJ414" s="3512"/>
      <c r="AK414" s="3512"/>
      <c r="AL414" s="3512"/>
      <c r="AM414" s="3512"/>
      <c r="AN414" s="3512"/>
      <c r="AO414" s="3512"/>
      <c r="AP414" s="3512"/>
    </row>
    <row r="415" spans="1:42" ht="14" thickTop="1" thickBot="1">
      <c r="A415" s="3520" t="s">
        <v>389</v>
      </c>
      <c r="B415" s="3521"/>
      <c r="C415" s="3522" t="s">
        <v>707</v>
      </c>
      <c r="D415" s="3522" t="s">
        <v>561</v>
      </c>
      <c r="E415" s="3522" t="s">
        <v>708</v>
      </c>
      <c r="F415" s="3522" t="s">
        <v>709</v>
      </c>
      <c r="G415" s="3522" t="s">
        <v>710</v>
      </c>
      <c r="H415" s="3522" t="s">
        <v>711</v>
      </c>
      <c r="I415" s="3522" t="s">
        <v>712</v>
      </c>
      <c r="J415" s="3522" t="s">
        <v>713</v>
      </c>
      <c r="K415" s="3522" t="s">
        <v>390</v>
      </c>
      <c r="L415" s="3522" t="s">
        <v>391</v>
      </c>
      <c r="M415" s="3522" t="s">
        <v>392</v>
      </c>
      <c r="N415" s="3522" t="s">
        <v>393</v>
      </c>
      <c r="O415" s="3522" t="s">
        <v>714</v>
      </c>
      <c r="P415" s="3522" t="s">
        <v>394</v>
      </c>
      <c r="Q415" s="3522" t="s">
        <v>715</v>
      </c>
      <c r="R415" s="3522" t="s">
        <v>395</v>
      </c>
      <c r="S415" s="3522" t="s">
        <v>716</v>
      </c>
      <c r="T415" s="3522" t="s">
        <v>396</v>
      </c>
      <c r="U415" s="3522" t="s">
        <v>397</v>
      </c>
      <c r="V415" s="3522" t="s">
        <v>398</v>
      </c>
      <c r="W415" s="3522" t="s">
        <v>399</v>
      </c>
      <c r="X415" s="3522" t="s">
        <v>400</v>
      </c>
      <c r="Y415" s="3522" t="s">
        <v>717</v>
      </c>
      <c r="Z415" s="3522" t="s">
        <v>401</v>
      </c>
      <c r="AA415" s="3522" t="s">
        <v>402</v>
      </c>
      <c r="AB415" s="3522" t="s">
        <v>403</v>
      </c>
      <c r="AC415" s="3522" t="s">
        <v>718</v>
      </c>
      <c r="AD415" s="3522" t="s">
        <v>404</v>
      </c>
      <c r="AE415" s="3522" t="s">
        <v>405</v>
      </c>
      <c r="AF415" s="3522" t="s">
        <v>406</v>
      </c>
      <c r="AG415" s="3522" t="s">
        <v>407</v>
      </c>
      <c r="AH415" s="3522" t="s">
        <v>408</v>
      </c>
      <c r="AI415" s="3522" t="s">
        <v>409</v>
      </c>
      <c r="AJ415" s="3522" t="s">
        <v>410</v>
      </c>
      <c r="AK415" s="3522" t="s">
        <v>411</v>
      </c>
      <c r="AL415" s="3522" t="s">
        <v>412</v>
      </c>
      <c r="AM415" s="3522" t="s">
        <v>439</v>
      </c>
      <c r="AN415" s="3522" t="s">
        <v>440</v>
      </c>
      <c r="AO415" s="3523" t="s">
        <v>441</v>
      </c>
      <c r="AP415" s="3512"/>
    </row>
    <row r="416" spans="1:42" ht="13">
      <c r="A416" s="3524" t="s">
        <v>427</v>
      </c>
      <c r="B416" s="3513" t="s">
        <v>413</v>
      </c>
      <c r="C416" s="3514" t="s">
        <v>414</v>
      </c>
      <c r="D416" s="3514" t="s">
        <v>414</v>
      </c>
      <c r="E416" s="3514" t="s">
        <v>414</v>
      </c>
      <c r="F416" s="3514" t="s">
        <v>414</v>
      </c>
      <c r="G416" s="3514" t="s">
        <v>414</v>
      </c>
      <c r="H416" s="3514" t="s">
        <v>414</v>
      </c>
      <c r="I416" s="3514" t="s">
        <v>414</v>
      </c>
      <c r="J416" s="3514" t="s">
        <v>414</v>
      </c>
      <c r="K416" s="3514" t="s">
        <v>414</v>
      </c>
      <c r="L416" s="3514" t="s">
        <v>414</v>
      </c>
      <c r="M416" s="3514" t="s">
        <v>414</v>
      </c>
      <c r="N416" s="3514" t="s">
        <v>414</v>
      </c>
      <c r="O416" s="3514" t="s">
        <v>414</v>
      </c>
      <c r="P416" s="3514" t="s">
        <v>414</v>
      </c>
      <c r="Q416" s="3514" t="s">
        <v>414</v>
      </c>
      <c r="R416" s="3514" t="s">
        <v>414</v>
      </c>
      <c r="S416" s="3514" t="s">
        <v>414</v>
      </c>
      <c r="T416" s="3514" t="s">
        <v>414</v>
      </c>
      <c r="U416" s="3514" t="s">
        <v>414</v>
      </c>
      <c r="V416" s="3514" t="s">
        <v>414</v>
      </c>
      <c r="W416" s="3514" t="s">
        <v>414</v>
      </c>
      <c r="X416" s="3514" t="s">
        <v>414</v>
      </c>
      <c r="Y416" s="3514" t="s">
        <v>414</v>
      </c>
      <c r="Z416" s="3514" t="s">
        <v>414</v>
      </c>
      <c r="AA416" s="3514" t="s">
        <v>414</v>
      </c>
      <c r="AB416" s="3514" t="s">
        <v>414</v>
      </c>
      <c r="AC416" s="3514" t="s">
        <v>414</v>
      </c>
      <c r="AD416" s="3514" t="s">
        <v>414</v>
      </c>
      <c r="AE416" s="3514" t="s">
        <v>414</v>
      </c>
      <c r="AF416" s="3514" t="s">
        <v>414</v>
      </c>
      <c r="AG416" s="3514" t="s">
        <v>414</v>
      </c>
      <c r="AH416" s="3514" t="s">
        <v>414</v>
      </c>
      <c r="AI416" s="3514" t="s">
        <v>414</v>
      </c>
      <c r="AJ416" s="3514" t="s">
        <v>414</v>
      </c>
      <c r="AK416" s="3514" t="s">
        <v>414</v>
      </c>
      <c r="AL416" s="3514" t="s">
        <v>414</v>
      </c>
      <c r="AM416" s="3514" t="s">
        <v>414</v>
      </c>
      <c r="AN416" s="3514" t="s">
        <v>414</v>
      </c>
      <c r="AO416" s="3525" t="s">
        <v>414</v>
      </c>
      <c r="AP416" s="3512"/>
    </row>
    <row r="417" spans="1:42" ht="13">
      <c r="A417" s="3526" t="s">
        <v>438</v>
      </c>
      <c r="B417" s="3515" t="s">
        <v>416</v>
      </c>
      <c r="C417" s="3515" t="s">
        <v>719</v>
      </c>
      <c r="D417" s="3515" t="s">
        <v>720</v>
      </c>
      <c r="E417" s="3515" t="s">
        <v>445</v>
      </c>
      <c r="F417" s="3515" t="s">
        <v>719</v>
      </c>
      <c r="G417" s="3515" t="s">
        <v>445</v>
      </c>
      <c r="H417" s="3515" t="s">
        <v>721</v>
      </c>
      <c r="I417" s="3515" t="s">
        <v>442</v>
      </c>
      <c r="J417" s="3515" t="s">
        <v>445</v>
      </c>
      <c r="K417" s="3515" t="s">
        <v>722</v>
      </c>
      <c r="L417" s="3515" t="s">
        <v>445</v>
      </c>
      <c r="M417" s="3515" t="s">
        <v>445</v>
      </c>
      <c r="N417" s="3515" t="s">
        <v>444</v>
      </c>
      <c r="O417" s="3515" t="s">
        <v>442</v>
      </c>
      <c r="P417" s="3515" t="s">
        <v>446</v>
      </c>
      <c r="Q417" s="3515" t="s">
        <v>722</v>
      </c>
      <c r="R417" s="3515" t="s">
        <v>445</v>
      </c>
      <c r="S417" s="3515" t="s">
        <v>723</v>
      </c>
      <c r="T417" s="3515" t="s">
        <v>723</v>
      </c>
      <c r="U417" s="3515" t="s">
        <v>724</v>
      </c>
      <c r="V417" s="3515" t="s">
        <v>725</v>
      </c>
      <c r="W417" s="3515" t="s">
        <v>726</v>
      </c>
      <c r="X417" s="3515" t="s">
        <v>443</v>
      </c>
      <c r="Y417" s="3515" t="s">
        <v>726</v>
      </c>
      <c r="Z417" s="3515" t="s">
        <v>725</v>
      </c>
      <c r="AA417" s="3515" t="s">
        <v>291</v>
      </c>
      <c r="AB417" s="3515" t="s">
        <v>445</v>
      </c>
      <c r="AC417" s="3515" t="s">
        <v>291</v>
      </c>
      <c r="AD417" s="3515" t="s">
        <v>724</v>
      </c>
      <c r="AE417" s="3515" t="s">
        <v>443</v>
      </c>
      <c r="AF417" s="3515" t="s">
        <v>420</v>
      </c>
      <c r="AG417" s="3515" t="s">
        <v>420</v>
      </c>
      <c r="AH417" s="3515" t="s">
        <v>418</v>
      </c>
      <c r="AI417" s="3515" t="s">
        <v>727</v>
      </c>
      <c r="AJ417" s="3515" t="s">
        <v>728</v>
      </c>
      <c r="AK417" s="3515" t="s">
        <v>417</v>
      </c>
      <c r="AL417" s="3515" t="s">
        <v>445</v>
      </c>
      <c r="AM417" s="3515" t="s">
        <v>445</v>
      </c>
      <c r="AN417" s="3515" t="s">
        <v>729</v>
      </c>
      <c r="AO417" s="3527" t="s">
        <v>729</v>
      </c>
      <c r="AP417" s="3512"/>
    </row>
    <row r="418" spans="1:42">
      <c r="A418" s="3575"/>
      <c r="B418" s="3516" t="s">
        <v>421</v>
      </c>
      <c r="C418" s="3516" t="s">
        <v>445</v>
      </c>
      <c r="D418" s="3516" t="s">
        <v>445</v>
      </c>
      <c r="E418" s="3516" t="s">
        <v>445</v>
      </c>
      <c r="F418" s="3516" t="s">
        <v>727</v>
      </c>
      <c r="G418" s="3516" t="s">
        <v>719</v>
      </c>
      <c r="H418" s="3516" t="s">
        <v>719</v>
      </c>
      <c r="I418" s="3516" t="s">
        <v>722</v>
      </c>
      <c r="J418" s="3516" t="s">
        <v>720</v>
      </c>
      <c r="K418" s="3516" t="s">
        <v>446</v>
      </c>
      <c r="L418" s="3516" t="s">
        <v>444</v>
      </c>
      <c r="M418" s="3516" t="s">
        <v>420</v>
      </c>
      <c r="N418" s="3516" t="s">
        <v>445</v>
      </c>
      <c r="O418" s="3516" t="s">
        <v>418</v>
      </c>
      <c r="P418" s="3516" t="s">
        <v>442</v>
      </c>
      <c r="Q418" s="3516" t="s">
        <v>723</v>
      </c>
      <c r="R418" s="3516" t="s">
        <v>443</v>
      </c>
      <c r="S418" s="3516" t="s">
        <v>445</v>
      </c>
      <c r="T418" s="3516" t="s">
        <v>724</v>
      </c>
      <c r="U418" s="3516" t="s">
        <v>725</v>
      </c>
      <c r="V418" s="3516" t="s">
        <v>726</v>
      </c>
      <c r="W418" s="3516" t="s">
        <v>725</v>
      </c>
      <c r="X418" s="3516" t="s">
        <v>445</v>
      </c>
      <c r="Y418" s="3516" t="s">
        <v>445</v>
      </c>
      <c r="Z418" s="3516" t="s">
        <v>291</v>
      </c>
      <c r="AA418" s="3516" t="s">
        <v>725</v>
      </c>
      <c r="AB418" s="3516" t="s">
        <v>443</v>
      </c>
      <c r="AC418" s="3516" t="s">
        <v>724</v>
      </c>
      <c r="AD418" s="3516" t="s">
        <v>721</v>
      </c>
      <c r="AE418" s="3516" t="s">
        <v>445</v>
      </c>
      <c r="AF418" s="3516" t="s">
        <v>442</v>
      </c>
      <c r="AG418" s="3516" t="s">
        <v>418</v>
      </c>
      <c r="AH418" s="3516" t="s">
        <v>445</v>
      </c>
      <c r="AI418" s="3516" t="s">
        <v>728</v>
      </c>
      <c r="AJ418" s="3516" t="s">
        <v>722</v>
      </c>
      <c r="AK418" s="3516" t="s">
        <v>445</v>
      </c>
      <c r="AL418" s="3516" t="s">
        <v>417</v>
      </c>
      <c r="AM418" s="3516" t="s">
        <v>729</v>
      </c>
      <c r="AN418" s="3516" t="s">
        <v>445</v>
      </c>
      <c r="AO418" s="3529" t="s">
        <v>445</v>
      </c>
      <c r="AP418" s="3512"/>
    </row>
    <row r="419" spans="1:42" ht="13" thickBot="1">
      <c r="A419" s="3554" t="s">
        <v>71</v>
      </c>
      <c r="B419" s="3572" t="s">
        <v>72</v>
      </c>
      <c r="C419" s="3519"/>
      <c r="D419" s="3519"/>
      <c r="E419" s="3519"/>
      <c r="F419" s="3519"/>
      <c r="G419" s="3519"/>
      <c r="H419" s="3519"/>
      <c r="I419" s="3519"/>
      <c r="J419" s="3519"/>
      <c r="K419" s="3519"/>
      <c r="L419" s="3519"/>
      <c r="M419" s="3519"/>
      <c r="N419" s="3519"/>
      <c r="O419" s="3519"/>
      <c r="P419" s="3519"/>
      <c r="Q419" s="3519"/>
      <c r="R419" s="3519"/>
      <c r="S419" s="3519"/>
      <c r="T419" s="3519"/>
      <c r="U419" s="3519"/>
      <c r="V419" s="3519"/>
      <c r="W419" s="3519"/>
      <c r="X419" s="3519"/>
      <c r="Y419" s="3519"/>
      <c r="Z419" s="3519"/>
      <c r="AA419" s="3519"/>
      <c r="AB419" s="3519"/>
      <c r="AC419" s="3519"/>
      <c r="AD419" s="3519"/>
      <c r="AE419" s="3519"/>
      <c r="AF419" s="3519"/>
      <c r="AG419" s="3519"/>
      <c r="AH419" s="3519"/>
      <c r="AI419" s="3519"/>
      <c r="AJ419" s="3519"/>
      <c r="AK419" s="3519"/>
      <c r="AL419" s="3519"/>
      <c r="AM419" s="3519"/>
      <c r="AN419" s="3519"/>
      <c r="AO419" s="3530"/>
      <c r="AP419" s="3512"/>
    </row>
    <row r="420" spans="1:42" ht="13" thickTop="1">
      <c r="A420" s="3531" t="s">
        <v>428</v>
      </c>
      <c r="B420" s="3573" t="s">
        <v>299</v>
      </c>
      <c r="C420" s="3518"/>
      <c r="D420" s="3518"/>
      <c r="E420" s="3518"/>
      <c r="F420" s="3518"/>
      <c r="G420" s="3518"/>
      <c r="H420" s="3518"/>
      <c r="I420" s="3518"/>
      <c r="J420" s="3518"/>
      <c r="K420" s="3518"/>
      <c r="L420" s="3535">
        <v>50</v>
      </c>
      <c r="M420" s="3518"/>
      <c r="N420" s="3535">
        <v>80</v>
      </c>
      <c r="O420" s="3518"/>
      <c r="P420" s="3518"/>
      <c r="Q420" s="3518"/>
      <c r="R420" s="3518"/>
      <c r="S420" s="3518"/>
      <c r="T420" s="3518"/>
      <c r="U420" s="3518"/>
      <c r="V420" s="3518"/>
      <c r="W420" s="3518"/>
      <c r="X420" s="3518"/>
      <c r="Y420" s="3518"/>
      <c r="Z420" s="3518"/>
      <c r="AA420" s="3518"/>
      <c r="AB420" s="3518"/>
      <c r="AC420" s="3518"/>
      <c r="AD420" s="3518"/>
      <c r="AE420" s="3518"/>
      <c r="AF420" s="3518"/>
      <c r="AG420" s="3518"/>
      <c r="AH420" s="3518"/>
      <c r="AI420" s="3518"/>
      <c r="AJ420" s="3518"/>
      <c r="AK420" s="3518"/>
      <c r="AL420" s="3518"/>
      <c r="AM420" s="3518"/>
      <c r="AN420" s="3518"/>
      <c r="AO420" s="3586"/>
      <c r="AP420" s="3512"/>
    </row>
    <row r="421" spans="1:42">
      <c r="A421" s="3541" t="s">
        <v>730</v>
      </c>
      <c r="B421" s="3574" t="s">
        <v>295</v>
      </c>
      <c r="C421" s="3518"/>
      <c r="D421" s="3518"/>
      <c r="E421" s="3518"/>
      <c r="F421" s="3518"/>
      <c r="G421" s="3518"/>
      <c r="H421" s="3518"/>
      <c r="I421" s="3518"/>
      <c r="J421" s="3518"/>
      <c r="K421" s="3518"/>
      <c r="L421" s="3535">
        <v>1000</v>
      </c>
      <c r="M421" s="3518"/>
      <c r="N421" s="3535">
        <v>1000</v>
      </c>
      <c r="O421" s="3518"/>
      <c r="P421" s="3518"/>
      <c r="Q421" s="3518"/>
      <c r="R421" s="3518"/>
      <c r="S421" s="3518"/>
      <c r="T421" s="3518"/>
      <c r="U421" s="3518"/>
      <c r="V421" s="3518"/>
      <c r="W421" s="3518"/>
      <c r="X421" s="3518"/>
      <c r="Y421" s="3518"/>
      <c r="Z421" s="3518"/>
      <c r="AA421" s="3518"/>
      <c r="AB421" s="3518"/>
      <c r="AC421" s="3518"/>
      <c r="AD421" s="3518"/>
      <c r="AE421" s="3518"/>
      <c r="AF421" s="3518"/>
      <c r="AG421" s="3518"/>
      <c r="AH421" s="3518"/>
      <c r="AI421" s="3518"/>
      <c r="AJ421" s="3518"/>
      <c r="AK421" s="3518"/>
      <c r="AL421" s="3518"/>
      <c r="AM421" s="3518"/>
      <c r="AN421" s="3518"/>
      <c r="AO421" s="3586"/>
      <c r="AP421" s="3512"/>
    </row>
    <row r="422" spans="1:42">
      <c r="A422" s="3541" t="s">
        <v>20</v>
      </c>
      <c r="B422" s="3574" t="s">
        <v>429</v>
      </c>
      <c r="C422" s="3518"/>
      <c r="D422" s="3518"/>
      <c r="E422" s="3518"/>
      <c r="F422" s="3518"/>
      <c r="G422" s="3518"/>
      <c r="H422" s="3518"/>
      <c r="I422" s="3518"/>
      <c r="J422" s="3518"/>
      <c r="K422" s="3518"/>
      <c r="L422" s="3546">
        <v>38.101593199470202</v>
      </c>
      <c r="M422" s="3518"/>
      <c r="N422" s="3546">
        <v>42.3934449656917</v>
      </c>
      <c r="O422" s="3518"/>
      <c r="P422" s="3518"/>
      <c r="Q422" s="3518"/>
      <c r="R422" s="3518"/>
      <c r="S422" s="3518"/>
      <c r="T422" s="3518"/>
      <c r="U422" s="3518"/>
      <c r="V422" s="3518"/>
      <c r="W422" s="3518"/>
      <c r="X422" s="3518"/>
      <c r="Y422" s="3518"/>
      <c r="Z422" s="3518"/>
      <c r="AA422" s="3518"/>
      <c r="AB422" s="3518"/>
      <c r="AC422" s="3518"/>
      <c r="AD422" s="3518"/>
      <c r="AE422" s="3518"/>
      <c r="AF422" s="3518"/>
      <c r="AG422" s="3518"/>
      <c r="AH422" s="3518"/>
      <c r="AI422" s="3518"/>
      <c r="AJ422" s="3518"/>
      <c r="AK422" s="3518"/>
      <c r="AL422" s="3518"/>
      <c r="AM422" s="3518"/>
      <c r="AN422" s="3518"/>
      <c r="AO422" s="3586"/>
      <c r="AP422" s="3512"/>
    </row>
    <row r="423" spans="1:42">
      <c r="A423" s="3541" t="s">
        <v>425</v>
      </c>
      <c r="B423" s="3574" t="s">
        <v>426</v>
      </c>
      <c r="C423" s="3518"/>
      <c r="D423" s="3518"/>
      <c r="E423" s="3518"/>
      <c r="F423" s="3518"/>
      <c r="G423" s="3518"/>
      <c r="H423" s="3518"/>
      <c r="I423" s="3518"/>
      <c r="J423" s="3518"/>
      <c r="K423" s="3518"/>
      <c r="L423" s="3557">
        <v>74077.425754939497</v>
      </c>
      <c r="M423" s="3518"/>
      <c r="N423" s="3557">
        <v>20434.122619569302</v>
      </c>
      <c r="O423" s="3518"/>
      <c r="P423" s="3518"/>
      <c r="Q423" s="3518"/>
      <c r="R423" s="3518"/>
      <c r="S423" s="3518"/>
      <c r="T423" s="3518"/>
      <c r="U423" s="3518"/>
      <c r="V423" s="3518"/>
      <c r="W423" s="3518"/>
      <c r="X423" s="3518"/>
      <c r="Y423" s="3518"/>
      <c r="Z423" s="3518"/>
      <c r="AA423" s="3518"/>
      <c r="AB423" s="3518"/>
      <c r="AC423" s="3518"/>
      <c r="AD423" s="3518"/>
      <c r="AE423" s="3518"/>
      <c r="AF423" s="3518"/>
      <c r="AG423" s="3518"/>
      <c r="AH423" s="3518"/>
      <c r="AI423" s="3518"/>
      <c r="AJ423" s="3518"/>
      <c r="AK423" s="3518"/>
      <c r="AL423" s="3518"/>
      <c r="AM423" s="3518"/>
      <c r="AN423" s="3518"/>
      <c r="AO423" s="3586"/>
      <c r="AP423" s="3512"/>
    </row>
    <row r="424" spans="1:42">
      <c r="A424" s="3541" t="s">
        <v>430</v>
      </c>
      <c r="B424" s="3574" t="s">
        <v>57</v>
      </c>
      <c r="C424" s="3518"/>
      <c r="D424" s="3518"/>
      <c r="E424" s="3518"/>
      <c r="F424" s="3518"/>
      <c r="G424" s="3518"/>
      <c r="H424" s="3518"/>
      <c r="I424" s="3518"/>
      <c r="J424" s="3518"/>
      <c r="K424" s="3518"/>
      <c r="L424" s="3546">
        <v>17.707098648969399</v>
      </c>
      <c r="M424" s="3518"/>
      <c r="N424" s="3544">
        <v>4.3899739827892397</v>
      </c>
      <c r="O424" s="3518"/>
      <c r="P424" s="3518"/>
      <c r="Q424" s="3518"/>
      <c r="R424" s="3518"/>
      <c r="S424" s="3518"/>
      <c r="T424" s="3518"/>
      <c r="U424" s="3518"/>
      <c r="V424" s="3518"/>
      <c r="W424" s="3518"/>
      <c r="X424" s="3518"/>
      <c r="Y424" s="3518"/>
      <c r="Z424" s="3518"/>
      <c r="AA424" s="3518"/>
      <c r="AB424" s="3518"/>
      <c r="AC424" s="3518"/>
      <c r="AD424" s="3518"/>
      <c r="AE424" s="3518"/>
      <c r="AF424" s="3518"/>
      <c r="AG424" s="3518"/>
      <c r="AH424" s="3518"/>
      <c r="AI424" s="3518"/>
      <c r="AJ424" s="3518"/>
      <c r="AK424" s="3518"/>
      <c r="AL424" s="3518"/>
      <c r="AM424" s="3518"/>
      <c r="AN424" s="3518"/>
      <c r="AO424" s="3586"/>
      <c r="AP424" s="3512"/>
    </row>
    <row r="425" spans="1:42">
      <c r="A425" s="3541" t="s">
        <v>431</v>
      </c>
      <c r="B425" s="3574" t="s">
        <v>432</v>
      </c>
      <c r="C425" s="3518"/>
      <c r="D425" s="3518"/>
      <c r="E425" s="3518"/>
      <c r="F425" s="3518"/>
      <c r="G425" s="3518"/>
      <c r="H425" s="3518"/>
      <c r="I425" s="3518"/>
      <c r="J425" s="3518"/>
      <c r="K425" s="3518"/>
      <c r="L425" s="3558">
        <v>311.56537154283399</v>
      </c>
      <c r="M425" s="3518"/>
      <c r="N425" s="3546">
        <v>81.272977280916507</v>
      </c>
      <c r="O425" s="3518"/>
      <c r="P425" s="3518"/>
      <c r="Q425" s="3518"/>
      <c r="R425" s="3518"/>
      <c r="S425" s="3518"/>
      <c r="T425" s="3518"/>
      <c r="U425" s="3518"/>
      <c r="V425" s="3518"/>
      <c r="W425" s="3518"/>
      <c r="X425" s="3518"/>
      <c r="Y425" s="3518"/>
      <c r="Z425" s="3518"/>
      <c r="AA425" s="3518"/>
      <c r="AB425" s="3518"/>
      <c r="AC425" s="3518"/>
      <c r="AD425" s="3518"/>
      <c r="AE425" s="3518"/>
      <c r="AF425" s="3518"/>
      <c r="AG425" s="3518"/>
      <c r="AH425" s="3518"/>
      <c r="AI425" s="3518"/>
      <c r="AJ425" s="3518"/>
      <c r="AK425" s="3518"/>
      <c r="AL425" s="3518"/>
      <c r="AM425" s="3518"/>
      <c r="AN425" s="3518"/>
      <c r="AO425" s="3586"/>
      <c r="AP425" s="3512"/>
    </row>
    <row r="426" spans="1:42">
      <c r="A426" s="3541" t="s">
        <v>2007</v>
      </c>
      <c r="B426" s="3574" t="s">
        <v>2008</v>
      </c>
      <c r="C426" s="3518"/>
      <c r="D426" s="3518"/>
      <c r="E426" s="3518"/>
      <c r="F426" s="3518"/>
      <c r="G426" s="3518"/>
      <c r="H426" s="3518"/>
      <c r="I426" s="3518"/>
      <c r="J426" s="3518"/>
      <c r="K426" s="3518"/>
      <c r="L426" s="3545">
        <v>0.69917697462374995</v>
      </c>
      <c r="M426" s="3518"/>
      <c r="N426" s="3545">
        <v>0.68732307780074597</v>
      </c>
      <c r="O426" s="3518"/>
      <c r="P426" s="3518"/>
      <c r="Q426" s="3518"/>
      <c r="R426" s="3518"/>
      <c r="S426" s="3518"/>
      <c r="T426" s="3518"/>
      <c r="U426" s="3518"/>
      <c r="V426" s="3518"/>
      <c r="W426" s="3518"/>
      <c r="X426" s="3518"/>
      <c r="Y426" s="3518"/>
      <c r="Z426" s="3518"/>
      <c r="AA426" s="3518"/>
      <c r="AB426" s="3518"/>
      <c r="AC426" s="3518"/>
      <c r="AD426" s="3518"/>
      <c r="AE426" s="3518"/>
      <c r="AF426" s="3518"/>
      <c r="AG426" s="3518"/>
      <c r="AH426" s="3518"/>
      <c r="AI426" s="3518"/>
      <c r="AJ426" s="3518"/>
      <c r="AK426" s="3518"/>
      <c r="AL426" s="3518"/>
      <c r="AM426" s="3518"/>
      <c r="AN426" s="3518"/>
      <c r="AO426" s="3586"/>
      <c r="AP426" s="3512"/>
    </row>
    <row r="427" spans="1:42">
      <c r="A427" s="3541" t="s">
        <v>731</v>
      </c>
      <c r="B427" s="3574" t="s">
        <v>434</v>
      </c>
      <c r="C427" s="3518"/>
      <c r="D427" s="3518"/>
      <c r="E427" s="3518"/>
      <c r="F427" s="3518"/>
      <c r="G427" s="3518"/>
      <c r="H427" s="3518"/>
      <c r="I427" s="3518"/>
      <c r="J427" s="3518"/>
      <c r="K427" s="3518"/>
      <c r="L427" s="3562">
        <v>1957.33657319238</v>
      </c>
      <c r="M427" s="3518"/>
      <c r="N427" s="3562">
        <v>2172.5015021102299</v>
      </c>
      <c r="O427" s="3518"/>
      <c r="P427" s="3518"/>
      <c r="Q427" s="3518"/>
      <c r="R427" s="3518"/>
      <c r="S427" s="3518"/>
      <c r="T427" s="3518"/>
      <c r="U427" s="3518"/>
      <c r="V427" s="3518"/>
      <c r="W427" s="3518"/>
      <c r="X427" s="3518"/>
      <c r="Y427" s="3518"/>
      <c r="Z427" s="3518"/>
      <c r="AA427" s="3518"/>
      <c r="AB427" s="3518"/>
      <c r="AC427" s="3518"/>
      <c r="AD427" s="3518"/>
      <c r="AE427" s="3518"/>
      <c r="AF427" s="3518"/>
      <c r="AG427" s="3518"/>
      <c r="AH427" s="3518"/>
      <c r="AI427" s="3518"/>
      <c r="AJ427" s="3518"/>
      <c r="AK427" s="3518"/>
      <c r="AL427" s="3518"/>
      <c r="AM427" s="3518"/>
      <c r="AN427" s="3518"/>
      <c r="AO427" s="3586"/>
      <c r="AP427" s="3512"/>
    </row>
    <row r="428" spans="1:42" ht="13" thickBot="1">
      <c r="A428" s="3566" t="s">
        <v>433</v>
      </c>
      <c r="B428" s="3580" t="s">
        <v>434</v>
      </c>
      <c r="C428" s="3587"/>
      <c r="D428" s="3587"/>
      <c r="E428" s="3587"/>
      <c r="F428" s="3587"/>
      <c r="G428" s="3587"/>
      <c r="H428" s="3587"/>
      <c r="I428" s="3587"/>
      <c r="J428" s="3587"/>
      <c r="K428" s="3587"/>
      <c r="L428" s="3582">
        <v>2132.3569395098498</v>
      </c>
      <c r="M428" s="3587"/>
      <c r="N428" s="3582">
        <v>2363.2210563158501</v>
      </c>
      <c r="O428" s="3587"/>
      <c r="P428" s="3587"/>
      <c r="Q428" s="3587"/>
      <c r="R428" s="3587"/>
      <c r="S428" s="3587"/>
      <c r="T428" s="3587"/>
      <c r="U428" s="3587"/>
      <c r="V428" s="3587"/>
      <c r="W428" s="3587"/>
      <c r="X428" s="3587"/>
      <c r="Y428" s="3587"/>
      <c r="Z428" s="3587"/>
      <c r="AA428" s="3587"/>
      <c r="AB428" s="3587"/>
      <c r="AC428" s="3587"/>
      <c r="AD428" s="3587"/>
      <c r="AE428" s="3587"/>
      <c r="AF428" s="3587"/>
      <c r="AG428" s="3587"/>
      <c r="AH428" s="3587"/>
      <c r="AI428" s="3587"/>
      <c r="AJ428" s="3587"/>
      <c r="AK428" s="3587"/>
      <c r="AL428" s="3587"/>
      <c r="AM428" s="3587"/>
      <c r="AN428" s="3587"/>
      <c r="AO428" s="3588"/>
      <c r="AP428" s="3512"/>
    </row>
    <row r="429" spans="1:42" ht="13" thickTop="1">
      <c r="A429" s="3512"/>
      <c r="B429" s="3512"/>
      <c r="C429" s="3512"/>
      <c r="D429" s="3512"/>
      <c r="E429" s="3512"/>
      <c r="F429" s="3512"/>
      <c r="G429" s="3512"/>
      <c r="H429" s="3512"/>
      <c r="I429" s="3512"/>
      <c r="J429" s="3512"/>
      <c r="K429" s="3512"/>
      <c r="L429" s="3512"/>
      <c r="M429" s="3512"/>
      <c r="N429" s="3512"/>
      <c r="O429" s="3512"/>
      <c r="P429" s="3512"/>
      <c r="Q429" s="3512"/>
      <c r="R429" s="3512"/>
      <c r="S429" s="3512"/>
      <c r="T429" s="3512"/>
      <c r="U429" s="3512"/>
      <c r="V429" s="3512"/>
      <c r="W429" s="3512"/>
      <c r="X429" s="3512"/>
      <c r="Y429" s="3512"/>
      <c r="Z429" s="3512"/>
      <c r="AA429" s="3512"/>
      <c r="AB429" s="3512"/>
      <c r="AC429" s="3512"/>
      <c r="AD429" s="3512"/>
      <c r="AE429" s="3512"/>
      <c r="AF429" s="3512"/>
      <c r="AG429" s="3512"/>
      <c r="AH429" s="3512"/>
      <c r="AI429" s="3512"/>
      <c r="AJ429" s="3512"/>
      <c r="AK429" s="3512"/>
      <c r="AL429" s="3512"/>
      <c r="AM429" s="3512"/>
      <c r="AN429" s="3512"/>
      <c r="AO429" s="3512"/>
      <c r="AP429" s="3512"/>
    </row>
  </sheetData>
  <mergeCells count="320">
    <mergeCell ref="A48:B48"/>
    <mergeCell ref="A49:B49"/>
    <mergeCell ref="A50:B50"/>
    <mergeCell ref="A51:B51"/>
    <mergeCell ref="A52:B52"/>
    <mergeCell ref="A53:B53"/>
    <mergeCell ref="A129:B129"/>
    <mergeCell ref="A130:B130"/>
    <mergeCell ref="A131:B13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32:B132"/>
    <mergeCell ref="A133:B133"/>
    <mergeCell ref="A134:B134"/>
    <mergeCell ref="A65:B65"/>
    <mergeCell ref="A54:B54"/>
    <mergeCell ref="A55:B55"/>
    <mergeCell ref="A56:B56"/>
    <mergeCell ref="A57:B57"/>
    <mergeCell ref="A58:B58"/>
    <mergeCell ref="A59:B59"/>
    <mergeCell ref="A66:B66"/>
    <mergeCell ref="A67:B67"/>
    <mergeCell ref="A68:B68"/>
    <mergeCell ref="A69:B69"/>
    <mergeCell ref="A91:B91"/>
    <mergeCell ref="A92:B92"/>
    <mergeCell ref="A60:B60"/>
    <mergeCell ref="A61:B61"/>
    <mergeCell ref="A62:B62"/>
    <mergeCell ref="A63:B63"/>
    <mergeCell ref="A64:B64"/>
    <mergeCell ref="A99:B99"/>
    <mergeCell ref="A100:B100"/>
    <mergeCell ref="A101:B101"/>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87:B187"/>
    <mergeCell ref="A188:B188"/>
    <mergeCell ref="A189:B189"/>
    <mergeCell ref="A190:B190"/>
    <mergeCell ref="A191:B191"/>
    <mergeCell ref="A192:B192"/>
    <mergeCell ref="A180:B180"/>
    <mergeCell ref="A147:B147"/>
    <mergeCell ref="A148:B148"/>
    <mergeCell ref="A149:B149"/>
    <mergeCell ref="A150:B150"/>
    <mergeCell ref="A151:B151"/>
    <mergeCell ref="A152:B152"/>
    <mergeCell ref="A181:B181"/>
    <mergeCell ref="A182:B182"/>
    <mergeCell ref="A183:B183"/>
    <mergeCell ref="A184:B184"/>
    <mergeCell ref="A185:B185"/>
    <mergeCell ref="A186:B186"/>
    <mergeCell ref="A153:B153"/>
    <mergeCell ref="A154:B154"/>
    <mergeCell ref="A177:B177"/>
    <mergeCell ref="A178:B178"/>
    <mergeCell ref="A179:B179"/>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63:B263"/>
    <mergeCell ref="A264:B264"/>
    <mergeCell ref="A265:B265"/>
    <mergeCell ref="A266:B266"/>
    <mergeCell ref="A267:B267"/>
    <mergeCell ref="A268:B268"/>
    <mergeCell ref="A205:B205"/>
    <mergeCell ref="A206:B206"/>
    <mergeCell ref="A207:B207"/>
    <mergeCell ref="A208:B208"/>
    <mergeCell ref="A209:B209"/>
    <mergeCell ref="A210:B210"/>
    <mergeCell ref="A235:B235"/>
    <mergeCell ref="A236:B236"/>
    <mergeCell ref="A237:B237"/>
    <mergeCell ref="A238:B238"/>
    <mergeCell ref="A239:B239"/>
    <mergeCell ref="A240:B240"/>
    <mergeCell ref="A217:B217"/>
    <mergeCell ref="A218:B218"/>
    <mergeCell ref="A219:B219"/>
    <mergeCell ref="A220:B220"/>
    <mergeCell ref="A221:B221"/>
    <mergeCell ref="A222:B222"/>
    <mergeCell ref="A275:B275"/>
    <mergeCell ref="A276:B276"/>
    <mergeCell ref="A277:B277"/>
    <mergeCell ref="A278:B278"/>
    <mergeCell ref="A279:B279"/>
    <mergeCell ref="A280:B280"/>
    <mergeCell ref="A269:B269"/>
    <mergeCell ref="A270:B270"/>
    <mergeCell ref="A271:B271"/>
    <mergeCell ref="A272:B272"/>
    <mergeCell ref="A273:B273"/>
    <mergeCell ref="A274:B274"/>
    <mergeCell ref="A323:B323"/>
    <mergeCell ref="A324:B324"/>
    <mergeCell ref="A325:B325"/>
    <mergeCell ref="A326:B326"/>
    <mergeCell ref="A349:B349"/>
    <mergeCell ref="A350:B350"/>
    <mergeCell ref="A316:B316"/>
    <mergeCell ref="A305:B305"/>
    <mergeCell ref="A306:B306"/>
    <mergeCell ref="A307:B307"/>
    <mergeCell ref="A308:B308"/>
    <mergeCell ref="A309:B309"/>
    <mergeCell ref="A310:B310"/>
    <mergeCell ref="A317:B317"/>
    <mergeCell ref="A318:B318"/>
    <mergeCell ref="A319:B319"/>
    <mergeCell ref="A320:B320"/>
    <mergeCell ref="A321:B321"/>
    <mergeCell ref="A322:B322"/>
    <mergeCell ref="A311:B311"/>
    <mergeCell ref="A312:B312"/>
    <mergeCell ref="A313:B313"/>
    <mergeCell ref="A314:B314"/>
    <mergeCell ref="A315:B315"/>
    <mergeCell ref="A360:B360"/>
    <mergeCell ref="A361:B361"/>
    <mergeCell ref="A362:B362"/>
    <mergeCell ref="A351:B351"/>
    <mergeCell ref="A352:B352"/>
    <mergeCell ref="A353:B353"/>
    <mergeCell ref="A354:B354"/>
    <mergeCell ref="A355:B355"/>
    <mergeCell ref="A356:B356"/>
    <mergeCell ref="A411:B411"/>
    <mergeCell ref="A412:B41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24:B24"/>
    <mergeCell ref="A25:B25"/>
    <mergeCell ref="A26:B26"/>
    <mergeCell ref="A27:B27"/>
    <mergeCell ref="A28:B28"/>
    <mergeCell ref="A29:B29"/>
    <mergeCell ref="A6:B6"/>
    <mergeCell ref="A7:B7"/>
    <mergeCell ref="A8:B8"/>
    <mergeCell ref="A9:B9"/>
    <mergeCell ref="A10:B10"/>
    <mergeCell ref="A11:B11"/>
    <mergeCell ref="A21:B21"/>
    <mergeCell ref="A22:B22"/>
    <mergeCell ref="A23:B23"/>
    <mergeCell ref="A18:B18"/>
    <mergeCell ref="A19:B19"/>
    <mergeCell ref="A20:B20"/>
    <mergeCell ref="A12:B12"/>
    <mergeCell ref="A13:B13"/>
    <mergeCell ref="A14:B14"/>
    <mergeCell ref="A15:B15"/>
    <mergeCell ref="A16:B16"/>
    <mergeCell ref="A17:B17"/>
    <mergeCell ref="A36:B36"/>
    <mergeCell ref="A37:B37"/>
    <mergeCell ref="A38:B38"/>
    <mergeCell ref="A39:B39"/>
    <mergeCell ref="A40:B40"/>
    <mergeCell ref="A41:B41"/>
    <mergeCell ref="A30:B30"/>
    <mergeCell ref="A31:B31"/>
    <mergeCell ref="A32:B32"/>
    <mergeCell ref="A33:B33"/>
    <mergeCell ref="A34:B34"/>
    <mergeCell ref="A35:B35"/>
    <mergeCell ref="A293:B293"/>
    <mergeCell ref="A294:B294"/>
    <mergeCell ref="A295:B295"/>
    <mergeCell ref="A296:B296"/>
    <mergeCell ref="A297:B297"/>
    <mergeCell ref="A298:B298"/>
    <mergeCell ref="A42:B42"/>
    <mergeCell ref="A43:B43"/>
    <mergeCell ref="A44:B44"/>
    <mergeCell ref="A45:B45"/>
    <mergeCell ref="A46:B46"/>
    <mergeCell ref="A47:B47"/>
    <mergeCell ref="A290:B290"/>
    <mergeCell ref="A291:B291"/>
    <mergeCell ref="A292:B292"/>
    <mergeCell ref="A281:B281"/>
    <mergeCell ref="A282:B282"/>
    <mergeCell ref="A283:B283"/>
    <mergeCell ref="A284:B284"/>
    <mergeCell ref="A285:B285"/>
    <mergeCell ref="A286:B286"/>
    <mergeCell ref="A287:B287"/>
    <mergeCell ref="A288:B288"/>
    <mergeCell ref="A289:B289"/>
    <mergeCell ref="A384:B384"/>
    <mergeCell ref="A385:B385"/>
    <mergeCell ref="A386:B386"/>
    <mergeCell ref="A375:B375"/>
    <mergeCell ref="A376:B376"/>
    <mergeCell ref="A377:B377"/>
    <mergeCell ref="A299:B299"/>
    <mergeCell ref="A300:B300"/>
    <mergeCell ref="A301:B301"/>
    <mergeCell ref="A302:B302"/>
    <mergeCell ref="A303:B303"/>
    <mergeCell ref="A304:B304"/>
    <mergeCell ref="A378:B378"/>
    <mergeCell ref="A379:B379"/>
    <mergeCell ref="A380:B380"/>
    <mergeCell ref="A363:B363"/>
    <mergeCell ref="A364:B364"/>
    <mergeCell ref="A365:B365"/>
    <mergeCell ref="A366:B366"/>
    <mergeCell ref="A367:B367"/>
    <mergeCell ref="A368:B368"/>
    <mergeCell ref="A357:B357"/>
    <mergeCell ref="A358:B358"/>
    <mergeCell ref="A359:B359"/>
    <mergeCell ref="A369:B369"/>
    <mergeCell ref="A370:B370"/>
    <mergeCell ref="A371:B371"/>
    <mergeCell ref="A372:B372"/>
    <mergeCell ref="A373:B373"/>
    <mergeCell ref="A374:B374"/>
    <mergeCell ref="A381:B381"/>
    <mergeCell ref="A382:B382"/>
    <mergeCell ref="A383:B383"/>
    <mergeCell ref="A394:B394"/>
    <mergeCell ref="A395:B395"/>
    <mergeCell ref="A396:B396"/>
    <mergeCell ref="A397:B397"/>
    <mergeCell ref="A398:B398"/>
    <mergeCell ref="A387:B387"/>
    <mergeCell ref="A388:B388"/>
    <mergeCell ref="A389:B389"/>
    <mergeCell ref="A390:B390"/>
    <mergeCell ref="A391:B391"/>
    <mergeCell ref="A392:B392"/>
    <mergeCell ref="A393:B393"/>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211:B211"/>
    <mergeCell ref="A212:B212"/>
    <mergeCell ref="A213:B213"/>
    <mergeCell ref="A214:B214"/>
    <mergeCell ref="A215:B215"/>
    <mergeCell ref="A216:B216"/>
    <mergeCell ref="A229:B229"/>
    <mergeCell ref="A230:B230"/>
    <mergeCell ref="A231:B231"/>
    <mergeCell ref="A232:B232"/>
    <mergeCell ref="A233:B233"/>
    <mergeCell ref="A234:B234"/>
    <mergeCell ref="A223:B223"/>
    <mergeCell ref="A224:B224"/>
    <mergeCell ref="A225:B225"/>
    <mergeCell ref="A226:B226"/>
    <mergeCell ref="A227:B227"/>
    <mergeCell ref="A228:B228"/>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0">
    <tabColor rgb="FF00FFCC"/>
  </sheetPr>
  <dimension ref="A1:M114"/>
  <sheetViews>
    <sheetView view="pageBreakPreview" topLeftCell="A3" zoomScale="115" zoomScaleNormal="100" zoomScaleSheetLayoutView="115" workbookViewId="0">
      <selection activeCell="I16" sqref="I16"/>
    </sheetView>
  </sheetViews>
  <sheetFormatPr defaultRowHeight="12.5"/>
  <cols>
    <col min="1" max="1" width="9.36328125" style="47"/>
    <col min="2" max="2" width="24.453125" style="47" customWidth="1"/>
    <col min="3" max="3" width="16.54296875" style="47" customWidth="1"/>
    <col min="4" max="4" width="5.36328125" style="47" customWidth="1"/>
    <col min="5" max="5" width="9.36328125" style="47"/>
    <col min="6" max="6" width="2.453125" style="47" customWidth="1"/>
    <col min="7" max="7" width="23.453125" style="47" customWidth="1"/>
    <col min="8" max="8" width="19" style="47" customWidth="1"/>
    <col min="9" max="9" width="17.453125" style="47" customWidth="1"/>
    <col min="10" max="10" width="9.36328125" style="47"/>
    <col min="11" max="11" width="2.54296875" style="47" customWidth="1"/>
    <col min="12" max="12" width="9.36328125" style="47"/>
  </cols>
  <sheetData>
    <row r="1" spans="1:12" ht="13" thickBot="1">
      <c r="A1" s="774"/>
      <c r="B1" s="775"/>
      <c r="C1" s="775"/>
      <c r="D1" s="775"/>
      <c r="E1" s="775"/>
      <c r="F1" s="775"/>
      <c r="G1" s="775"/>
      <c r="H1" s="775"/>
      <c r="I1" s="775"/>
      <c r="J1" s="775"/>
      <c r="K1" s="775"/>
      <c r="L1" s="776"/>
    </row>
    <row r="2" spans="1:12" ht="18">
      <c r="A2" s="643"/>
      <c r="B2" s="4480" t="str">
        <f>'TO Hrly (TO1-TO3)'!B2:M2</f>
        <v>XTO ENERGY INC.</v>
      </c>
      <c r="C2" s="4481"/>
      <c r="D2" s="4481"/>
      <c r="E2" s="4481"/>
      <c r="F2" s="4481"/>
      <c r="G2" s="4481"/>
      <c r="H2" s="4481"/>
      <c r="I2" s="4481"/>
      <c r="J2" s="4481"/>
      <c r="K2" s="4482"/>
      <c r="L2" s="644"/>
    </row>
    <row r="3" spans="1:12" ht="18">
      <c r="A3" s="643"/>
      <c r="B3" s="4483" t="str">
        <f>'TO Hrly (TO1-TO3)'!B3:M3</f>
        <v>HUSKY CDP</v>
      </c>
      <c r="C3" s="4484"/>
      <c r="D3" s="4484"/>
      <c r="E3" s="4484"/>
      <c r="F3" s="4484"/>
      <c r="G3" s="4484"/>
      <c r="H3" s="4484"/>
      <c r="I3" s="4484"/>
      <c r="J3" s="4484"/>
      <c r="K3" s="4485"/>
      <c r="L3" s="644"/>
    </row>
    <row r="4" spans="1:12" ht="18.5" thickBot="1">
      <c r="A4" s="643"/>
      <c r="B4" s="5067" t="s">
        <v>809</v>
      </c>
      <c r="C4" s="5068"/>
      <c r="D4" s="5068"/>
      <c r="E4" s="5068"/>
      <c r="F4" s="5068"/>
      <c r="G4" s="5068"/>
      <c r="H4" s="5068"/>
      <c r="I4" s="4487"/>
      <c r="J4" s="5068"/>
      <c r="K4" s="5069"/>
      <c r="L4" s="644"/>
    </row>
    <row r="5" spans="1:12" ht="18.5" thickBot="1">
      <c r="A5" s="645"/>
      <c r="B5" s="646"/>
      <c r="C5" s="646"/>
      <c r="D5" s="646"/>
      <c r="E5" s="646"/>
      <c r="F5" s="646"/>
      <c r="G5" s="646"/>
      <c r="H5" s="646"/>
      <c r="I5" s="1215"/>
      <c r="J5" s="646"/>
      <c r="K5" s="646"/>
      <c r="L5" s="647"/>
    </row>
    <row r="6" spans="1:12" ht="13.5" thickBot="1">
      <c r="A6" s="4779" t="s">
        <v>1222</v>
      </c>
      <c r="B6" s="4689"/>
      <c r="C6" s="4689"/>
      <c r="D6" s="4689"/>
      <c r="E6" s="4689"/>
      <c r="F6" s="4689"/>
      <c r="G6" s="4689"/>
      <c r="H6" s="4689"/>
      <c r="I6" s="4689"/>
      <c r="J6" s="4689"/>
      <c r="K6" s="4689"/>
      <c r="L6" s="4780"/>
    </row>
    <row r="7" spans="1:12" ht="16" thickBot="1">
      <c r="A7" s="760"/>
      <c r="B7" s="30"/>
      <c r="C7" s="761"/>
      <c r="D7" s="761"/>
      <c r="E7" s="746"/>
      <c r="F7" s="30"/>
      <c r="G7" s="747"/>
      <c r="H7" s="748"/>
      <c r="I7" s="748"/>
      <c r="J7" s="746"/>
      <c r="K7" s="30"/>
      <c r="L7" s="762"/>
    </row>
    <row r="8" spans="1:12" s="47" customFormat="1" ht="28.5" customHeight="1" thickBot="1">
      <c r="A8" s="760"/>
      <c r="B8" s="2583" t="s">
        <v>1781</v>
      </c>
      <c r="C8" s="2584" t="s">
        <v>1304</v>
      </c>
      <c r="D8" s="761"/>
      <c r="E8" s="746"/>
      <c r="F8" s="30"/>
      <c r="G8" s="2585" t="s">
        <v>1782</v>
      </c>
      <c r="H8" s="5085" t="s">
        <v>1304</v>
      </c>
      <c r="I8" s="5086"/>
      <c r="J8" s="746"/>
      <c r="K8" s="30"/>
      <c r="L8" s="762"/>
    </row>
    <row r="9" spans="1:12" ht="16" thickBot="1">
      <c r="A9" s="760"/>
      <c r="B9" s="5070" t="s">
        <v>807</v>
      </c>
      <c r="C9" s="5071"/>
      <c r="D9" s="749"/>
      <c r="E9" s="746"/>
      <c r="F9" s="30"/>
      <c r="G9" s="5072" t="s">
        <v>808</v>
      </c>
      <c r="H9" s="5073"/>
      <c r="I9" s="5074"/>
      <c r="J9" s="746"/>
      <c r="K9" s="30"/>
      <c r="L9" s="762"/>
    </row>
    <row r="10" spans="1:12" ht="15.5">
      <c r="A10" s="760"/>
      <c r="B10" s="5075" t="s">
        <v>2</v>
      </c>
      <c r="C10" s="5077" t="s">
        <v>746</v>
      </c>
      <c r="D10" s="750"/>
      <c r="E10" s="746"/>
      <c r="F10" s="30"/>
      <c r="G10" s="5079" t="s">
        <v>2</v>
      </c>
      <c r="H10" s="5081" t="s">
        <v>746</v>
      </c>
      <c r="I10" s="5083" t="s">
        <v>1228</v>
      </c>
      <c r="J10" s="746"/>
      <c r="K10" s="30"/>
      <c r="L10" s="762"/>
    </row>
    <row r="11" spans="1:12" ht="16" thickBot="1">
      <c r="A11" s="760"/>
      <c r="B11" s="5076"/>
      <c r="C11" s="5078"/>
      <c r="D11" s="750"/>
      <c r="E11" s="30"/>
      <c r="F11" s="30"/>
      <c r="G11" s="5080"/>
      <c r="H11" s="5082"/>
      <c r="I11" s="5084"/>
      <c r="J11" s="754"/>
      <c r="K11" s="30"/>
      <c r="L11" s="762"/>
    </row>
    <row r="12" spans="1:12" ht="18">
      <c r="A12" s="760"/>
      <c r="B12" s="687" t="s">
        <v>755</v>
      </c>
      <c r="C12" s="689">
        <v>0</v>
      </c>
      <c r="D12" s="711"/>
      <c r="E12" s="751"/>
      <c r="F12" s="30"/>
      <c r="G12" s="738" t="s">
        <v>298</v>
      </c>
      <c r="H12" s="1218" t="s">
        <v>1967</v>
      </c>
      <c r="I12" s="1323" t="s">
        <v>1967</v>
      </c>
      <c r="J12" s="755"/>
      <c r="K12" s="755"/>
      <c r="L12" s="763"/>
    </row>
    <row r="13" spans="1:12" ht="19.5" customHeight="1">
      <c r="A13" s="760"/>
      <c r="B13" s="687" t="s">
        <v>47</v>
      </c>
      <c r="C13" s="689">
        <v>0</v>
      </c>
      <c r="D13" s="711"/>
      <c r="E13" s="746"/>
      <c r="F13" s="30"/>
      <c r="G13" s="720" t="s">
        <v>5</v>
      </c>
      <c r="H13" s="1218" t="s">
        <v>1968</v>
      </c>
      <c r="I13" s="1323" t="s">
        <v>1982</v>
      </c>
      <c r="J13" s="743"/>
      <c r="K13" s="743"/>
      <c r="L13" s="764"/>
    </row>
    <row r="14" spans="1:12" ht="18">
      <c r="A14" s="760"/>
      <c r="B14" s="687" t="s">
        <v>4</v>
      </c>
      <c r="C14" s="689">
        <v>1.6010474048031399E-2</v>
      </c>
      <c r="D14" s="711"/>
      <c r="E14" s="30"/>
      <c r="F14" s="30"/>
      <c r="G14" s="720" t="s">
        <v>4</v>
      </c>
      <c r="H14" s="1218" t="s">
        <v>1969</v>
      </c>
      <c r="I14" s="1323" t="s">
        <v>1983</v>
      </c>
      <c r="J14" s="743"/>
      <c r="K14" s="743"/>
      <c r="L14" s="764"/>
    </row>
    <row r="15" spans="1:12" ht="18">
      <c r="A15" s="760"/>
      <c r="B15" s="687" t="s">
        <v>290</v>
      </c>
      <c r="C15" s="689">
        <v>1.71479500514439E-3</v>
      </c>
      <c r="D15" s="711"/>
      <c r="E15" s="751"/>
      <c r="F15" s="30"/>
      <c r="G15" s="720" t="s">
        <v>3</v>
      </c>
      <c r="H15" s="1218" t="s">
        <v>1970</v>
      </c>
      <c r="I15" s="1323">
        <v>0.32907799999999998</v>
      </c>
      <c r="J15" s="743"/>
      <c r="K15" s="743"/>
      <c r="L15" s="764"/>
    </row>
    <row r="16" spans="1:12" ht="18">
      <c r="A16" s="760"/>
      <c r="B16" s="687" t="s">
        <v>6</v>
      </c>
      <c r="C16" s="689">
        <v>0.69515586208546798</v>
      </c>
      <c r="D16" s="711"/>
      <c r="E16" s="752"/>
      <c r="F16" s="30"/>
      <c r="G16" s="720" t="s">
        <v>6</v>
      </c>
      <c r="H16" s="1218" t="s">
        <v>1971</v>
      </c>
      <c r="I16" s="1323" t="s">
        <v>1984</v>
      </c>
      <c r="J16" s="743"/>
      <c r="K16" s="743"/>
      <c r="L16" s="764"/>
    </row>
    <row r="17" spans="1:13" ht="18">
      <c r="A17" s="760"/>
      <c r="B17" s="687" t="s">
        <v>7</v>
      </c>
      <c r="C17" s="689">
        <v>0.15428845746286499</v>
      </c>
      <c r="D17" s="711"/>
      <c r="E17" s="753"/>
      <c r="F17" s="30"/>
      <c r="G17" s="720" t="s">
        <v>7</v>
      </c>
      <c r="H17" s="1218" t="s">
        <v>1972</v>
      </c>
      <c r="I17" s="1323" t="s">
        <v>1985</v>
      </c>
      <c r="J17" s="743"/>
      <c r="K17" s="743"/>
      <c r="L17" s="764"/>
    </row>
    <row r="18" spans="1:13" ht="18">
      <c r="A18" s="760"/>
      <c r="B18" s="687" t="s">
        <v>8</v>
      </c>
      <c r="C18" s="689">
        <v>8.78487282635462E-2</v>
      </c>
      <c r="D18" s="711"/>
      <c r="E18" s="753"/>
      <c r="F18" s="30"/>
      <c r="G18" s="720" t="s">
        <v>8</v>
      </c>
      <c r="H18" s="1218" t="s">
        <v>1973</v>
      </c>
      <c r="I18" s="1323" t="s">
        <v>1986</v>
      </c>
      <c r="J18" s="743"/>
      <c r="K18" s="743"/>
      <c r="L18" s="764"/>
    </row>
    <row r="19" spans="1:13" ht="18">
      <c r="A19" s="760"/>
      <c r="B19" s="687" t="s">
        <v>678</v>
      </c>
      <c r="C19" s="689">
        <v>1.05979350317938E-2</v>
      </c>
      <c r="D19" s="711"/>
      <c r="E19" s="753"/>
      <c r="F19" s="30"/>
      <c r="G19" s="720" t="s">
        <v>747</v>
      </c>
      <c r="H19" s="1218" t="s">
        <v>1974</v>
      </c>
      <c r="I19" s="1323" t="s">
        <v>1987</v>
      </c>
      <c r="J19" s="743"/>
      <c r="K19" s="743"/>
      <c r="L19" s="764"/>
      <c r="M19" s="42" t="s">
        <v>1267</v>
      </c>
    </row>
    <row r="20" spans="1:13" ht="18">
      <c r="A20" s="760"/>
      <c r="B20" s="777" t="s">
        <v>67</v>
      </c>
      <c r="C20" s="690">
        <v>2.4342843073028499E-2</v>
      </c>
      <c r="D20" s="711"/>
      <c r="E20" s="753"/>
      <c r="F20" s="30"/>
      <c r="G20" s="720" t="s">
        <v>748</v>
      </c>
      <c r="H20" s="1218" t="s">
        <v>1975</v>
      </c>
      <c r="I20" s="1323" t="s">
        <v>1988</v>
      </c>
      <c r="J20" s="743"/>
      <c r="K20" s="743"/>
      <c r="L20" s="764"/>
    </row>
    <row r="21" spans="1:13" ht="18">
      <c r="A21" s="760"/>
      <c r="B21" s="706" t="s">
        <v>756</v>
      </c>
      <c r="C21" s="712">
        <v>1.8213200054639599E-4</v>
      </c>
      <c r="D21" s="711"/>
      <c r="E21" s="753"/>
      <c r="F21" s="30"/>
      <c r="G21" s="720" t="s">
        <v>749</v>
      </c>
      <c r="H21" s="1218" t="s">
        <v>1976</v>
      </c>
      <c r="I21" s="1323" t="s">
        <v>1989</v>
      </c>
      <c r="J21" s="743"/>
      <c r="K21" s="743"/>
      <c r="L21" s="764"/>
    </row>
    <row r="22" spans="1:13" ht="18">
      <c r="A22" s="760"/>
      <c r="B22" s="687" t="s">
        <v>679</v>
      </c>
      <c r="C22" s="689">
        <v>4.1061350123184097E-3</v>
      </c>
      <c r="D22" s="711"/>
      <c r="E22" s="753"/>
      <c r="F22" s="30"/>
      <c r="G22" s="720" t="s">
        <v>750</v>
      </c>
      <c r="H22" s="1218" t="s">
        <v>1977</v>
      </c>
      <c r="I22" s="1323" t="s">
        <v>1990</v>
      </c>
      <c r="J22" s="743"/>
      <c r="K22" s="743"/>
      <c r="L22" s="764"/>
    </row>
    <row r="23" spans="1:13" ht="18">
      <c r="A23" s="760"/>
      <c r="B23" s="691" t="s">
        <v>69</v>
      </c>
      <c r="C23" s="689">
        <v>3.71854901115565E-3</v>
      </c>
      <c r="D23" s="711"/>
      <c r="E23" s="30"/>
      <c r="F23" s="30"/>
      <c r="G23" s="720" t="s">
        <v>800</v>
      </c>
      <c r="H23" s="1218" t="s">
        <v>1967</v>
      </c>
      <c r="I23" s="1323" t="s">
        <v>1967</v>
      </c>
      <c r="J23" s="743"/>
      <c r="K23" s="743"/>
      <c r="L23" s="764"/>
    </row>
    <row r="24" spans="1:13" ht="18">
      <c r="A24" s="760"/>
      <c r="B24" s="707" t="s">
        <v>757</v>
      </c>
      <c r="C24" s="712">
        <v>1.4607000043821E-5</v>
      </c>
      <c r="D24" s="711"/>
      <c r="E24" s="30"/>
      <c r="F24" s="30"/>
      <c r="G24" s="721" t="s">
        <v>292</v>
      </c>
      <c r="H24" s="1219" t="s">
        <v>1978</v>
      </c>
      <c r="I24" s="1323" t="s">
        <v>1991</v>
      </c>
      <c r="J24" s="743"/>
      <c r="K24" s="743"/>
      <c r="L24" s="764"/>
    </row>
    <row r="25" spans="1:13" ht="18">
      <c r="A25" s="760"/>
      <c r="B25" s="691" t="s">
        <v>99</v>
      </c>
      <c r="C25" s="689">
        <v>0</v>
      </c>
      <c r="D25" s="711"/>
      <c r="E25" s="30"/>
      <c r="F25" s="30"/>
      <c r="G25" s="720" t="s">
        <v>10</v>
      </c>
      <c r="H25" s="1218" t="s">
        <v>1979</v>
      </c>
      <c r="I25" s="1323" t="s">
        <v>1992</v>
      </c>
      <c r="J25" s="743"/>
      <c r="K25" s="743"/>
      <c r="L25" s="764"/>
    </row>
    <row r="26" spans="1:13" ht="18">
      <c r="A26" s="760"/>
      <c r="B26" s="707" t="s">
        <v>758</v>
      </c>
      <c r="C26" s="712">
        <v>1.3460400040381199E-4</v>
      </c>
      <c r="D26" s="711"/>
      <c r="E26" s="30"/>
      <c r="F26" s="30"/>
      <c r="G26" s="720" t="s">
        <v>9</v>
      </c>
      <c r="H26" s="1218" t="s">
        <v>1980</v>
      </c>
      <c r="I26" s="1323" t="s">
        <v>1993</v>
      </c>
      <c r="J26" s="743"/>
      <c r="K26" s="743"/>
      <c r="L26" s="764"/>
    </row>
    <row r="27" spans="1:13" ht="18">
      <c r="A27" s="760"/>
      <c r="B27" s="707" t="s">
        <v>759</v>
      </c>
      <c r="C27" s="712">
        <v>3.5633300106899902E-4</v>
      </c>
      <c r="D27" s="711"/>
      <c r="E27" s="30"/>
      <c r="F27" s="30"/>
      <c r="G27" s="720" t="s">
        <v>11</v>
      </c>
      <c r="H27" s="1218" t="s">
        <v>1980</v>
      </c>
      <c r="I27" s="1323" t="s">
        <v>1994</v>
      </c>
      <c r="J27" s="743"/>
      <c r="K27" s="743"/>
      <c r="L27" s="764"/>
    </row>
    <row r="28" spans="1:13" ht="18">
      <c r="A28" s="760"/>
      <c r="B28" s="707" t="s">
        <v>760</v>
      </c>
      <c r="C28" s="712">
        <v>1.7121600051364801E-4</v>
      </c>
      <c r="D28" s="711"/>
      <c r="E28" s="30"/>
      <c r="F28" s="30"/>
      <c r="G28" s="720" t="s">
        <v>12</v>
      </c>
      <c r="H28" s="1218" t="s">
        <v>1979</v>
      </c>
      <c r="I28" s="1323" t="s">
        <v>1995</v>
      </c>
      <c r="J28" s="743"/>
      <c r="K28" s="743"/>
      <c r="L28" s="764"/>
    </row>
    <row r="29" spans="1:13" ht="36">
      <c r="A29" s="760"/>
      <c r="B29" s="701" t="s">
        <v>10</v>
      </c>
      <c r="C29" s="690">
        <v>3.1223700093671098E-4</v>
      </c>
      <c r="D29" s="711"/>
      <c r="E29" s="30"/>
      <c r="F29" s="30"/>
      <c r="G29" s="720" t="s">
        <v>286</v>
      </c>
      <c r="H29" s="1218" t="s">
        <v>1967</v>
      </c>
      <c r="I29" s="1323" t="s">
        <v>1967</v>
      </c>
      <c r="J29" s="743"/>
      <c r="K29" s="743"/>
      <c r="L29" s="764"/>
    </row>
    <row r="30" spans="1:13" ht="18">
      <c r="A30" s="760"/>
      <c r="B30" s="701" t="s">
        <v>761</v>
      </c>
      <c r="C30" s="690">
        <v>0</v>
      </c>
      <c r="D30" s="711"/>
      <c r="E30" s="30"/>
      <c r="F30" s="30"/>
      <c r="G30" s="723" t="s">
        <v>801</v>
      </c>
      <c r="H30" s="1220" t="s">
        <v>1981</v>
      </c>
      <c r="I30" s="1323" t="s">
        <v>1996</v>
      </c>
      <c r="J30" s="743"/>
      <c r="K30" s="743"/>
      <c r="L30" s="764"/>
    </row>
    <row r="31" spans="1:13" ht="18">
      <c r="A31" s="760"/>
      <c r="B31" s="701" t="s">
        <v>762</v>
      </c>
      <c r="C31" s="690">
        <v>2.24079000672237E-4</v>
      </c>
      <c r="D31" s="711"/>
      <c r="E31" s="30"/>
      <c r="F31" s="30"/>
      <c r="G31" s="725" t="s">
        <v>65</v>
      </c>
      <c r="H31" s="1221" t="s">
        <v>1981</v>
      </c>
      <c r="I31" s="1323" t="s">
        <v>1997</v>
      </c>
      <c r="J31" s="743"/>
      <c r="K31" s="743"/>
      <c r="L31" s="764"/>
    </row>
    <row r="32" spans="1:13" ht="18">
      <c r="A32" s="760"/>
      <c r="B32" s="701" t="s">
        <v>11</v>
      </c>
      <c r="C32" s="690">
        <v>2.07438000622314E-4</v>
      </c>
      <c r="D32" s="711"/>
      <c r="E32" s="30"/>
      <c r="F32" s="30"/>
      <c r="G32" s="720" t="s">
        <v>13</v>
      </c>
      <c r="H32" s="1218" t="s">
        <v>1967</v>
      </c>
      <c r="I32" s="1323" t="s">
        <v>1967</v>
      </c>
      <c r="J32" s="743"/>
      <c r="K32" s="743"/>
      <c r="L32" s="764"/>
    </row>
    <row r="33" spans="1:12" ht="18">
      <c r="A33" s="760"/>
      <c r="B33" s="701" t="s">
        <v>12</v>
      </c>
      <c r="C33" s="690">
        <v>3.4658200103974599E-4</v>
      </c>
      <c r="D33" s="711"/>
      <c r="E33" s="30"/>
      <c r="F33" s="30"/>
      <c r="G33" s="720" t="s">
        <v>14</v>
      </c>
      <c r="H33" s="1218" t="s">
        <v>1967</v>
      </c>
      <c r="I33" s="1323" t="s">
        <v>1967</v>
      </c>
      <c r="J33" s="743"/>
      <c r="K33" s="743"/>
      <c r="L33" s="764"/>
    </row>
    <row r="34" spans="1:12" ht="18">
      <c r="A34" s="760"/>
      <c r="B34" s="692" t="s">
        <v>763</v>
      </c>
      <c r="C34" s="713">
        <v>2.2618000067853999E-5</v>
      </c>
      <c r="D34" s="711"/>
      <c r="E34" s="30"/>
      <c r="F34" s="30"/>
      <c r="G34" s="727" t="s">
        <v>804</v>
      </c>
      <c r="H34" s="1222" t="s">
        <v>1967</v>
      </c>
      <c r="I34" s="1323" t="s">
        <v>1967</v>
      </c>
      <c r="J34" s="743"/>
      <c r="K34" s="743"/>
      <c r="L34" s="764"/>
    </row>
    <row r="35" spans="1:12" ht="18">
      <c r="A35" s="760"/>
      <c r="B35" s="692" t="s">
        <v>764</v>
      </c>
      <c r="C35" s="713">
        <v>1.8659000055977001E-5</v>
      </c>
      <c r="D35" s="711"/>
      <c r="E35" s="30"/>
      <c r="F35" s="30"/>
      <c r="G35" s="720" t="s">
        <v>16</v>
      </c>
      <c r="H35" s="1218" t="s">
        <v>1967</v>
      </c>
      <c r="I35" s="1323" t="s">
        <v>1967</v>
      </c>
      <c r="J35" s="743"/>
      <c r="K35" s="743"/>
      <c r="L35" s="764"/>
    </row>
    <row r="36" spans="1:12" ht="18">
      <c r="A36" s="760"/>
      <c r="B36" s="701" t="s">
        <v>765</v>
      </c>
      <c r="C36" s="690">
        <v>0</v>
      </c>
      <c r="D36" s="711"/>
      <c r="E36" s="30"/>
      <c r="F36" s="30"/>
      <c r="G36" s="729" t="s">
        <v>802</v>
      </c>
      <c r="H36" s="1223" t="s">
        <v>1967</v>
      </c>
      <c r="I36" s="1323" t="s">
        <v>1967</v>
      </c>
      <c r="J36" s="743"/>
      <c r="K36" s="743"/>
      <c r="L36" s="764"/>
    </row>
    <row r="37" spans="1:12" ht="18">
      <c r="A37" s="760"/>
      <c r="B37" s="701" t="s">
        <v>13</v>
      </c>
      <c r="C37" s="690">
        <v>2.6038000078113999E-5</v>
      </c>
      <c r="D37" s="711"/>
      <c r="E37" s="30"/>
      <c r="F37" s="30"/>
      <c r="G37" s="731" t="s">
        <v>803</v>
      </c>
      <c r="H37" s="1224" t="s">
        <v>1967</v>
      </c>
      <c r="I37" s="1323" t="s">
        <v>1967</v>
      </c>
      <c r="J37" s="743"/>
      <c r="K37" s="743"/>
      <c r="L37" s="764"/>
    </row>
    <row r="38" spans="1:12" ht="18">
      <c r="A38" s="760"/>
      <c r="B38" s="692" t="s">
        <v>766</v>
      </c>
      <c r="C38" s="713">
        <v>3.4009000102027001E-5</v>
      </c>
      <c r="D38" s="711"/>
      <c r="E38" s="30"/>
      <c r="F38" s="30"/>
      <c r="G38" s="733" t="s">
        <v>805</v>
      </c>
      <c r="H38" s="1225" t="s">
        <v>1967</v>
      </c>
      <c r="I38" s="1323" t="s">
        <v>1967</v>
      </c>
      <c r="J38" s="743"/>
      <c r="K38" s="743"/>
      <c r="L38" s="764"/>
    </row>
    <row r="39" spans="1:12" ht="18">
      <c r="A39" s="760"/>
      <c r="B39" s="701" t="s">
        <v>767</v>
      </c>
      <c r="C39" s="690">
        <v>8.6114000258341995E-5</v>
      </c>
      <c r="D39" s="711"/>
      <c r="E39" s="30"/>
      <c r="F39" s="30"/>
      <c r="G39" s="735" t="s">
        <v>806</v>
      </c>
      <c r="H39" s="1226" t="s">
        <v>1967</v>
      </c>
      <c r="I39" s="1323" t="s">
        <v>1967</v>
      </c>
      <c r="J39" s="743"/>
      <c r="K39" s="743"/>
      <c r="L39" s="764"/>
    </row>
    <row r="40" spans="1:12" ht="18" thickBot="1">
      <c r="A40" s="760"/>
      <c r="B40" s="701" t="s">
        <v>14</v>
      </c>
      <c r="C40" s="690">
        <v>2.8672000086015999E-5</v>
      </c>
      <c r="D40" s="711"/>
      <c r="E40" s="30"/>
      <c r="F40" s="30"/>
      <c r="G40" s="737"/>
      <c r="H40" s="1227"/>
      <c r="I40" s="1324"/>
      <c r="J40" s="743"/>
      <c r="K40" s="743"/>
      <c r="L40" s="764"/>
    </row>
    <row r="41" spans="1:12" ht="18" thickBot="1">
      <c r="A41" s="760"/>
      <c r="B41" s="694" t="s">
        <v>100</v>
      </c>
      <c r="C41" s="714">
        <v>1.4710000044129999E-6</v>
      </c>
      <c r="D41" s="711"/>
      <c r="E41" s="30"/>
      <c r="F41" s="30"/>
      <c r="G41" s="739" t="s">
        <v>692</v>
      </c>
      <c r="H41" s="740">
        <f>SUM(H12:H39)</f>
        <v>0</v>
      </c>
      <c r="I41" s="1232"/>
      <c r="J41" s="743"/>
      <c r="K41" s="743"/>
      <c r="L41" s="764"/>
    </row>
    <row r="42" spans="1:12" ht="18" thickBot="1">
      <c r="A42" s="760"/>
      <c r="B42" s="694" t="s">
        <v>768</v>
      </c>
      <c r="C42" s="714">
        <v>1.2336000037008E-5</v>
      </c>
      <c r="D42" s="711"/>
      <c r="E42" s="30"/>
      <c r="F42" s="30"/>
      <c r="G42" s="742"/>
      <c r="H42" s="708"/>
      <c r="I42" s="708"/>
      <c r="J42" s="743"/>
      <c r="K42" s="743"/>
      <c r="L42" s="764"/>
    </row>
    <row r="43" spans="1:12" ht="16" thickBot="1">
      <c r="A43" s="760"/>
      <c r="B43" s="701" t="s">
        <v>769</v>
      </c>
      <c r="C43" s="690">
        <v>9.2000000275999998E-8</v>
      </c>
      <c r="D43" s="711"/>
      <c r="E43" s="30"/>
      <c r="F43" s="30"/>
      <c r="G43" s="5065" t="s">
        <v>810</v>
      </c>
      <c r="H43" s="5066"/>
      <c r="I43" s="1229"/>
      <c r="J43" s="743"/>
      <c r="K43" s="743"/>
      <c r="L43" s="764"/>
    </row>
    <row r="44" spans="1:12" ht="17.5">
      <c r="A44" s="760"/>
      <c r="B44" s="709" t="s">
        <v>770</v>
      </c>
      <c r="C44" s="715">
        <v>2.6800000080399999E-7</v>
      </c>
      <c r="D44" s="711"/>
      <c r="E44" s="30"/>
      <c r="F44" s="30"/>
      <c r="G44" s="1233" t="s">
        <v>754</v>
      </c>
      <c r="H44" s="1234">
        <v>0.86609999999999998</v>
      </c>
      <c r="I44" s="1230"/>
      <c r="J44" s="743"/>
      <c r="K44" s="743"/>
      <c r="L44" s="764"/>
    </row>
    <row r="45" spans="1:12" ht="31">
      <c r="A45" s="760"/>
      <c r="B45" s="709" t="s">
        <v>423</v>
      </c>
      <c r="C45" s="715">
        <v>1.09000000327E-7</v>
      </c>
      <c r="D45" s="711"/>
      <c r="E45" s="30"/>
      <c r="F45" s="30"/>
      <c r="G45" s="1235" t="s">
        <v>811</v>
      </c>
      <c r="H45" s="1236">
        <v>262.91199999999998</v>
      </c>
      <c r="I45" s="1231"/>
      <c r="J45" s="743"/>
      <c r="K45" s="743"/>
      <c r="L45" s="764"/>
    </row>
    <row r="46" spans="1:12" ht="17.5">
      <c r="A46" s="760"/>
      <c r="B46" s="709" t="s">
        <v>771</v>
      </c>
      <c r="C46" s="715">
        <v>2.7100000081299999E-7</v>
      </c>
      <c r="D46" s="711"/>
      <c r="E46" s="30"/>
      <c r="F46" s="30"/>
      <c r="G46" s="1237" t="s">
        <v>1229</v>
      </c>
      <c r="H46" s="1239">
        <f>SUM(I18:I39)</f>
        <v>0</v>
      </c>
      <c r="I46" s="708"/>
      <c r="J46" s="743"/>
      <c r="K46" s="743"/>
      <c r="L46" s="764"/>
    </row>
    <row r="47" spans="1:12" ht="18" thickBot="1">
      <c r="A47" s="760"/>
      <c r="B47" s="693" t="s">
        <v>772</v>
      </c>
      <c r="C47" s="716">
        <v>7.5400000226200001E-7</v>
      </c>
      <c r="D47" s="711"/>
      <c r="E47" s="30"/>
      <c r="F47" s="30"/>
      <c r="G47" s="1217" t="s">
        <v>1230</v>
      </c>
      <c r="H47" s="1238">
        <f>SUM(I27,I29,I33,I35,I25)</f>
        <v>0</v>
      </c>
      <c r="I47" s="708"/>
      <c r="J47" s="743"/>
      <c r="K47" s="743"/>
      <c r="L47" s="764"/>
    </row>
    <row r="48" spans="1:12" ht="17.5">
      <c r="A48" s="760"/>
      <c r="B48" s="696" t="s">
        <v>773</v>
      </c>
      <c r="C48" s="717">
        <v>3.5000000105E-8</v>
      </c>
      <c r="D48" s="711"/>
      <c r="E48" s="30"/>
      <c r="F48" s="30"/>
      <c r="G48" s="742"/>
      <c r="H48" s="708"/>
      <c r="I48" s="708"/>
      <c r="J48" s="743"/>
      <c r="K48" s="743"/>
      <c r="L48" s="764"/>
    </row>
    <row r="49" spans="1:12" ht="15.5">
      <c r="A49" s="760"/>
      <c r="B49" s="695" t="s">
        <v>774</v>
      </c>
      <c r="C49" s="718">
        <v>1.0000000030000001E-9</v>
      </c>
      <c r="D49" s="711"/>
      <c r="E49" s="30"/>
      <c r="F49" s="30"/>
      <c r="G49" s="742"/>
      <c r="H49" s="743"/>
      <c r="I49" s="743"/>
      <c r="J49" s="743"/>
      <c r="K49" s="743"/>
      <c r="L49" s="764"/>
    </row>
    <row r="50" spans="1:12" ht="15.5">
      <c r="A50" s="760"/>
      <c r="B50" s="695" t="s">
        <v>775</v>
      </c>
      <c r="C50" s="718">
        <v>0</v>
      </c>
      <c r="D50" s="711"/>
      <c r="E50" s="30"/>
      <c r="F50" s="30"/>
      <c r="G50" s="742"/>
      <c r="H50" s="743"/>
      <c r="I50" s="743"/>
      <c r="J50" s="743"/>
      <c r="K50" s="743"/>
      <c r="L50" s="764"/>
    </row>
    <row r="51" spans="1:12" ht="15.5">
      <c r="A51" s="760"/>
      <c r="B51" s="695" t="s">
        <v>776</v>
      </c>
      <c r="C51" s="718">
        <v>0</v>
      </c>
      <c r="D51" s="711"/>
      <c r="E51" s="30"/>
      <c r="F51" s="30"/>
      <c r="G51" s="744"/>
      <c r="H51" s="743"/>
      <c r="I51" s="743"/>
      <c r="J51" s="765"/>
      <c r="K51" s="765"/>
      <c r="L51" s="766"/>
    </row>
    <row r="52" spans="1:12" ht="15.5">
      <c r="A52" s="760"/>
      <c r="B52" s="695" t="s">
        <v>777</v>
      </c>
      <c r="C52" s="718">
        <v>0</v>
      </c>
      <c r="D52" s="711"/>
      <c r="E52" s="30"/>
      <c r="F52" s="30"/>
      <c r="G52" s="742"/>
      <c r="H52" s="743"/>
      <c r="I52" s="743"/>
      <c r="J52" s="754"/>
      <c r="K52" s="30"/>
      <c r="L52" s="762"/>
    </row>
    <row r="53" spans="1:12" ht="15.5">
      <c r="A53" s="760"/>
      <c r="B53" s="695" t="s">
        <v>778</v>
      </c>
      <c r="C53" s="718">
        <v>0</v>
      </c>
      <c r="D53" s="711"/>
      <c r="E53" s="30"/>
      <c r="F53" s="30"/>
      <c r="G53" s="767"/>
      <c r="H53" s="765"/>
      <c r="I53" s="765"/>
      <c r="J53" s="754"/>
      <c r="K53" s="30"/>
      <c r="L53" s="762"/>
    </row>
    <row r="54" spans="1:12" ht="15.5">
      <c r="A54" s="760"/>
      <c r="B54" s="695" t="s">
        <v>779</v>
      </c>
      <c r="C54" s="718">
        <v>0</v>
      </c>
      <c r="D54" s="711"/>
      <c r="E54" s="30"/>
      <c r="F54" s="30"/>
      <c r="G54" s="30"/>
      <c r="H54" s="745"/>
      <c r="I54" s="745"/>
      <c r="J54" s="754"/>
      <c r="K54" s="30"/>
      <c r="L54" s="762"/>
    </row>
    <row r="55" spans="1:12" ht="15.5">
      <c r="A55" s="760"/>
      <c r="B55" s="695" t="s">
        <v>780</v>
      </c>
      <c r="C55" s="718">
        <v>0</v>
      </c>
      <c r="D55" s="711"/>
      <c r="E55" s="30"/>
      <c r="F55" s="30"/>
      <c r="G55" s="30"/>
      <c r="H55" s="745"/>
      <c r="I55" s="745"/>
      <c r="J55" s="754"/>
      <c r="K55" s="30"/>
      <c r="L55" s="762"/>
    </row>
    <row r="56" spans="1:12" ht="15.5">
      <c r="A56" s="760"/>
      <c r="B56" s="695" t="s">
        <v>781</v>
      </c>
      <c r="C56" s="718">
        <v>0</v>
      </c>
      <c r="D56" s="711"/>
      <c r="E56" s="30"/>
      <c r="F56" s="30"/>
      <c r="G56" s="30"/>
      <c r="H56" s="745"/>
      <c r="I56" s="745"/>
      <c r="J56" s="754"/>
      <c r="K56" s="30"/>
      <c r="L56" s="762"/>
    </row>
    <row r="57" spans="1:12" ht="15.5">
      <c r="A57" s="760"/>
      <c r="B57" s="695" t="s">
        <v>782</v>
      </c>
      <c r="C57" s="718">
        <v>0</v>
      </c>
      <c r="D57" s="711"/>
      <c r="E57" s="30"/>
      <c r="F57" s="30"/>
      <c r="G57" s="30"/>
      <c r="H57" s="745"/>
      <c r="I57" s="745"/>
      <c r="J57" s="754"/>
      <c r="K57" s="30"/>
      <c r="L57" s="762"/>
    </row>
    <row r="58" spans="1:12" ht="15.5">
      <c r="A58" s="760"/>
      <c r="B58" s="695" t="s">
        <v>783</v>
      </c>
      <c r="C58" s="718">
        <v>0</v>
      </c>
      <c r="D58" s="711"/>
      <c r="E58" s="30"/>
      <c r="F58" s="30"/>
      <c r="G58" s="30"/>
      <c r="H58" s="745"/>
      <c r="I58" s="745"/>
      <c r="J58" s="754"/>
      <c r="K58" s="30"/>
      <c r="L58" s="762"/>
    </row>
    <row r="59" spans="1:12" ht="15.5">
      <c r="A59" s="760"/>
      <c r="B59" s="695" t="s">
        <v>784</v>
      </c>
      <c r="C59" s="718">
        <v>0</v>
      </c>
      <c r="D59" s="711"/>
      <c r="E59" s="30"/>
      <c r="F59" s="30"/>
      <c r="G59" s="30"/>
      <c r="H59" s="745"/>
      <c r="I59" s="745"/>
      <c r="J59" s="754"/>
      <c r="K59" s="30"/>
      <c r="L59" s="762"/>
    </row>
    <row r="60" spans="1:12" ht="15.5">
      <c r="A60" s="760"/>
      <c r="B60" s="695" t="s">
        <v>785</v>
      </c>
      <c r="C60" s="718">
        <v>0</v>
      </c>
      <c r="D60" s="711"/>
      <c r="E60" s="30"/>
      <c r="F60" s="30"/>
      <c r="G60" s="30"/>
      <c r="H60" s="745"/>
      <c r="I60" s="745"/>
      <c r="J60" s="754"/>
      <c r="K60" s="30"/>
      <c r="L60" s="762"/>
    </row>
    <row r="61" spans="1:12" ht="15.5">
      <c r="A61" s="760"/>
      <c r="B61" s="695" t="s">
        <v>786</v>
      </c>
      <c r="C61" s="718">
        <v>0</v>
      </c>
      <c r="D61" s="711"/>
      <c r="E61" s="30"/>
      <c r="F61" s="30"/>
      <c r="G61" s="30"/>
      <c r="H61" s="745"/>
      <c r="I61" s="745"/>
      <c r="J61" s="754"/>
      <c r="K61" s="30"/>
      <c r="L61" s="762"/>
    </row>
    <row r="62" spans="1:12" ht="15.5">
      <c r="A62" s="760"/>
      <c r="B62" s="695" t="s">
        <v>787</v>
      </c>
      <c r="C62" s="718">
        <v>0</v>
      </c>
      <c r="D62" s="711"/>
      <c r="E62" s="30"/>
      <c r="F62" s="30"/>
      <c r="G62" s="30"/>
      <c r="H62" s="745"/>
      <c r="I62" s="745"/>
      <c r="J62" s="754"/>
      <c r="K62" s="30"/>
      <c r="L62" s="762"/>
    </row>
    <row r="63" spans="1:12" ht="15.5">
      <c r="A63" s="760"/>
      <c r="B63" s="695" t="s">
        <v>788</v>
      </c>
      <c r="C63" s="718">
        <v>0</v>
      </c>
      <c r="D63" s="711"/>
      <c r="E63" s="30"/>
      <c r="F63" s="30"/>
      <c r="G63" s="30"/>
      <c r="H63" s="745"/>
      <c r="I63" s="745"/>
      <c r="J63" s="754"/>
      <c r="K63" s="30"/>
      <c r="L63" s="762"/>
    </row>
    <row r="64" spans="1:12" ht="15.5">
      <c r="A64" s="760"/>
      <c r="B64" s="695" t="s">
        <v>789</v>
      </c>
      <c r="C64" s="718">
        <v>0</v>
      </c>
      <c r="D64" s="711"/>
      <c r="E64" s="30"/>
      <c r="F64" s="30"/>
      <c r="G64" s="30"/>
      <c r="H64" s="745"/>
      <c r="I64" s="745"/>
      <c r="J64" s="754"/>
      <c r="K64" s="30"/>
      <c r="L64" s="762"/>
    </row>
    <row r="65" spans="1:12" ht="15.5">
      <c r="A65" s="760"/>
      <c r="B65" s="695" t="s">
        <v>790</v>
      </c>
      <c r="C65" s="718">
        <v>0</v>
      </c>
      <c r="D65" s="711"/>
      <c r="E65" s="30"/>
      <c r="F65" s="30"/>
      <c r="G65" s="30"/>
      <c r="H65" s="745"/>
      <c r="I65" s="745"/>
      <c r="J65" s="754"/>
      <c r="K65" s="30"/>
      <c r="L65" s="762"/>
    </row>
    <row r="66" spans="1:12" ht="15.5">
      <c r="A66" s="760"/>
      <c r="B66" s="695" t="s">
        <v>791</v>
      </c>
      <c r="C66" s="718">
        <v>0</v>
      </c>
      <c r="D66" s="711"/>
      <c r="E66" s="30"/>
      <c r="F66" s="30"/>
      <c r="G66" s="30"/>
      <c r="H66" s="745"/>
      <c r="I66" s="745"/>
      <c r="J66" s="754"/>
      <c r="K66" s="30"/>
      <c r="L66" s="762"/>
    </row>
    <row r="67" spans="1:12" ht="15.5">
      <c r="A67" s="760"/>
      <c r="B67" s="695" t="s">
        <v>792</v>
      </c>
      <c r="C67" s="718">
        <v>0</v>
      </c>
      <c r="D67" s="711"/>
      <c r="E67" s="30"/>
      <c r="F67" s="30"/>
      <c r="G67" s="30"/>
      <c r="H67" s="745"/>
      <c r="I67" s="745"/>
      <c r="J67" s="754"/>
      <c r="K67" s="30"/>
      <c r="L67" s="762"/>
    </row>
    <row r="68" spans="1:12" ht="15.5">
      <c r="A68" s="760"/>
      <c r="B68" s="695" t="s">
        <v>793</v>
      </c>
      <c r="C68" s="718">
        <v>0</v>
      </c>
      <c r="D68" s="711"/>
      <c r="E68" s="30"/>
      <c r="F68" s="30"/>
      <c r="G68" s="30"/>
      <c r="H68" s="745"/>
      <c r="I68" s="745"/>
      <c r="J68" s="754"/>
      <c r="K68" s="30"/>
      <c r="L68" s="762"/>
    </row>
    <row r="69" spans="1:12" ht="15.5">
      <c r="A69" s="760"/>
      <c r="B69" s="695" t="s">
        <v>794</v>
      </c>
      <c r="C69" s="718">
        <v>0</v>
      </c>
      <c r="D69" s="711"/>
      <c r="E69" s="30"/>
      <c r="F69" s="30"/>
      <c r="G69" s="30"/>
      <c r="H69" s="745"/>
      <c r="I69" s="745"/>
      <c r="J69" s="754"/>
      <c r="K69" s="30"/>
      <c r="L69" s="762"/>
    </row>
    <row r="70" spans="1:12" ht="15.5">
      <c r="A70" s="760"/>
      <c r="B70" s="701" t="s">
        <v>673</v>
      </c>
      <c r="C70" s="690">
        <v>3.5546000106638E-5</v>
      </c>
      <c r="D70" s="711"/>
      <c r="E70" s="30"/>
      <c r="F70" s="30"/>
      <c r="G70" s="30"/>
      <c r="H70" s="745"/>
      <c r="I70" s="745"/>
      <c r="J70" s="754"/>
      <c r="K70" s="30"/>
      <c r="L70" s="762"/>
    </row>
    <row r="71" spans="1:12" ht="15.5">
      <c r="A71" s="760"/>
      <c r="B71" s="701" t="s">
        <v>795</v>
      </c>
      <c r="C71" s="690">
        <v>0</v>
      </c>
      <c r="D71" s="711"/>
      <c r="E71" s="30"/>
      <c r="F71" s="30"/>
      <c r="G71" s="30"/>
      <c r="H71" s="745"/>
      <c r="I71" s="745"/>
      <c r="J71" s="754"/>
      <c r="K71" s="30"/>
      <c r="L71" s="762"/>
    </row>
    <row r="72" spans="1:12" ht="15.5">
      <c r="A72" s="760"/>
      <c r="B72" s="701" t="s">
        <v>796</v>
      </c>
      <c r="C72" s="690">
        <v>0</v>
      </c>
      <c r="D72" s="711"/>
      <c r="E72" s="30"/>
      <c r="F72" s="30"/>
      <c r="G72" s="30"/>
      <c r="H72" s="745"/>
      <c r="I72" s="745"/>
      <c r="J72" s="754"/>
      <c r="K72" s="30"/>
      <c r="L72" s="762"/>
    </row>
    <row r="73" spans="1:12" ht="15.5">
      <c r="A73" s="760"/>
      <c r="B73" s="693" t="s">
        <v>101</v>
      </c>
      <c r="C73" s="716">
        <v>0</v>
      </c>
      <c r="D73" s="711"/>
      <c r="E73" s="30"/>
      <c r="F73" s="30"/>
      <c r="G73" s="30"/>
      <c r="H73" s="745"/>
      <c r="I73" s="745"/>
      <c r="J73" s="754"/>
      <c r="K73" s="30"/>
      <c r="L73" s="762"/>
    </row>
    <row r="74" spans="1:12" ht="15.5">
      <c r="A74" s="760"/>
      <c r="B74" s="696" t="s">
        <v>117</v>
      </c>
      <c r="C74" s="717">
        <v>0</v>
      </c>
      <c r="D74" s="711"/>
      <c r="E74" s="30"/>
      <c r="F74" s="30"/>
      <c r="G74" s="30"/>
      <c r="H74" s="745"/>
      <c r="I74" s="745"/>
      <c r="J74" s="754"/>
      <c r="K74" s="30"/>
      <c r="L74" s="762"/>
    </row>
    <row r="75" spans="1:12" ht="15.5">
      <c r="A75" s="760"/>
      <c r="B75" s="701" t="s">
        <v>797</v>
      </c>
      <c r="C75" s="690">
        <v>0</v>
      </c>
      <c r="D75" s="711"/>
      <c r="E75" s="30"/>
      <c r="F75" s="30"/>
      <c r="G75" s="30"/>
      <c r="H75" s="745"/>
      <c r="I75" s="745"/>
      <c r="J75" s="754"/>
      <c r="K75" s="30"/>
      <c r="L75" s="762"/>
    </row>
    <row r="76" spans="1:12" ht="15.5">
      <c r="A76" s="760"/>
      <c r="B76" s="701" t="s">
        <v>798</v>
      </c>
      <c r="C76" s="690">
        <v>0</v>
      </c>
      <c r="D76" s="711"/>
      <c r="E76" s="30"/>
      <c r="F76" s="30"/>
      <c r="G76" s="30"/>
      <c r="H76" s="745"/>
      <c r="I76" s="745"/>
      <c r="J76" s="754"/>
      <c r="K76" s="30"/>
      <c r="L76" s="762"/>
    </row>
    <row r="77" spans="1:12" ht="15.5">
      <c r="A77" s="760"/>
      <c r="B77" s="701" t="s">
        <v>799</v>
      </c>
      <c r="C77" s="690">
        <v>0</v>
      </c>
      <c r="D77" s="711"/>
      <c r="E77" s="30"/>
      <c r="F77" s="30"/>
      <c r="G77" s="30"/>
      <c r="H77" s="745"/>
      <c r="I77" s="745"/>
      <c r="J77" s="754"/>
      <c r="K77" s="30"/>
      <c r="L77" s="762"/>
    </row>
    <row r="78" spans="1:12" ht="16" thickBot="1">
      <c r="A78" s="760"/>
      <c r="B78" s="701" t="s">
        <v>0</v>
      </c>
      <c r="C78" s="690">
        <v>0</v>
      </c>
      <c r="D78" s="711"/>
      <c r="E78" s="30"/>
      <c r="F78" s="30"/>
      <c r="G78" s="30"/>
      <c r="H78" s="745"/>
      <c r="I78" s="745"/>
      <c r="J78" s="754"/>
      <c r="K78" s="30"/>
      <c r="L78" s="762"/>
    </row>
    <row r="79" spans="1:12" ht="16" thickBot="1">
      <c r="A79" s="768"/>
      <c r="B79" s="741" t="s">
        <v>753</v>
      </c>
      <c r="C79" s="710">
        <v>100</v>
      </c>
      <c r="D79" s="769"/>
      <c r="E79" s="770"/>
      <c r="F79" s="770"/>
      <c r="G79" s="770"/>
      <c r="H79" s="771"/>
      <c r="I79" s="1228"/>
      <c r="J79" s="772"/>
      <c r="K79" s="770"/>
      <c r="L79" s="773"/>
    </row>
    <row r="80" spans="1:12" ht="15.5">
      <c r="B80" s="697"/>
      <c r="C80" s="688"/>
      <c r="D80" s="688"/>
      <c r="H80" s="699"/>
      <c r="I80" s="699"/>
      <c r="J80" s="698"/>
    </row>
    <row r="81" spans="2:10" ht="15.5">
      <c r="B81" s="686"/>
      <c r="C81" s="686"/>
      <c r="D81" s="686"/>
      <c r="H81" s="699"/>
      <c r="I81" s="699"/>
      <c r="J81" s="698"/>
    </row>
    <row r="82" spans="2:10" ht="15.5">
      <c r="B82" s="686"/>
      <c r="C82" s="686"/>
      <c r="D82" s="686"/>
      <c r="H82" s="699"/>
      <c r="I82" s="699"/>
      <c r="J82" s="698"/>
    </row>
    <row r="83" spans="2:10" ht="15.5">
      <c r="B83" s="686"/>
      <c r="C83" s="686"/>
      <c r="D83" s="686"/>
      <c r="H83" s="699"/>
      <c r="I83" s="699"/>
      <c r="J83" s="698"/>
    </row>
    <row r="84" spans="2:10" ht="15.5">
      <c r="B84" s="686"/>
      <c r="C84" s="686"/>
      <c r="D84" s="686"/>
      <c r="H84" s="699"/>
      <c r="I84" s="699"/>
      <c r="J84" s="698"/>
    </row>
    <row r="85" spans="2:10" ht="15.5">
      <c r="B85" s="686"/>
      <c r="C85" s="686"/>
      <c r="D85" s="686"/>
      <c r="H85" s="699"/>
      <c r="I85" s="699"/>
      <c r="J85" s="698"/>
    </row>
    <row r="86" spans="2:10" ht="15.5">
      <c r="B86" s="686"/>
      <c r="C86" s="686"/>
      <c r="D86" s="686"/>
      <c r="H86" s="699"/>
      <c r="I86" s="699"/>
      <c r="J86" s="698"/>
    </row>
    <row r="87" spans="2:10" ht="15.5">
      <c r="B87" s="686"/>
      <c r="C87" s="686"/>
      <c r="D87" s="686"/>
      <c r="H87" s="699"/>
      <c r="I87" s="699"/>
      <c r="J87" s="698"/>
    </row>
    <row r="88" spans="2:10" ht="15.5">
      <c r="B88" s="686"/>
      <c r="C88" s="686"/>
      <c r="D88" s="686"/>
      <c r="H88" s="699"/>
      <c r="I88" s="699"/>
      <c r="J88" s="698"/>
    </row>
    <row r="89" spans="2:10" ht="15.5">
      <c r="B89" s="686"/>
      <c r="C89" s="686"/>
      <c r="D89" s="686"/>
      <c r="H89" s="699"/>
      <c r="I89" s="699"/>
      <c r="J89" s="698"/>
    </row>
    <row r="90" spans="2:10" ht="15.5">
      <c r="B90" s="686"/>
      <c r="C90" s="686"/>
      <c r="D90" s="686"/>
      <c r="H90" s="699"/>
      <c r="I90" s="699"/>
      <c r="J90" s="698"/>
    </row>
    <row r="91" spans="2:10" ht="15.5">
      <c r="B91" s="686"/>
      <c r="C91" s="686"/>
      <c r="D91" s="686"/>
      <c r="H91" s="699"/>
      <c r="I91" s="699"/>
      <c r="J91" s="698"/>
    </row>
    <row r="92" spans="2:10" ht="15.5">
      <c r="B92" s="686"/>
      <c r="C92" s="686"/>
      <c r="D92" s="686"/>
      <c r="H92" s="699"/>
      <c r="I92" s="699"/>
      <c r="J92" s="698"/>
    </row>
    <row r="93" spans="2:10" ht="15.5">
      <c r="B93" s="686"/>
      <c r="C93" s="686"/>
      <c r="D93" s="686"/>
      <c r="H93" s="699"/>
      <c r="I93" s="699"/>
      <c r="J93" s="698"/>
    </row>
    <row r="94" spans="2:10" ht="15.5">
      <c r="B94" s="686"/>
      <c r="C94" s="686"/>
      <c r="D94" s="686"/>
      <c r="H94" s="699"/>
      <c r="I94" s="699"/>
    </row>
    <row r="95" spans="2:10" ht="15.5">
      <c r="B95" s="686"/>
      <c r="C95" s="686"/>
      <c r="D95" s="686"/>
      <c r="H95" s="699"/>
      <c r="I95" s="699"/>
      <c r="J95" s="698"/>
    </row>
    <row r="96" spans="2:10" ht="15.5">
      <c r="B96" s="686"/>
      <c r="C96" s="686"/>
      <c r="D96" s="686"/>
      <c r="H96" s="699"/>
      <c r="I96" s="699"/>
    </row>
    <row r="97" spans="2:10" ht="15.5">
      <c r="B97" s="686"/>
      <c r="C97" s="686"/>
      <c r="D97" s="686"/>
      <c r="H97" s="699"/>
      <c r="I97" s="699"/>
    </row>
    <row r="98" spans="2:10" ht="15.5">
      <c r="B98" s="686"/>
      <c r="C98" s="686"/>
      <c r="D98" s="686"/>
      <c r="H98" s="699"/>
      <c r="I98" s="699"/>
      <c r="J98" s="698"/>
    </row>
    <row r="99" spans="2:10" ht="15.5">
      <c r="B99" s="686"/>
      <c r="C99" s="686"/>
      <c r="D99" s="686"/>
      <c r="H99" s="699"/>
      <c r="I99" s="699"/>
      <c r="J99" s="698"/>
    </row>
    <row r="100" spans="2:10" ht="15.5">
      <c r="B100" s="686"/>
      <c r="C100" s="686"/>
      <c r="D100" s="686"/>
      <c r="H100" s="699"/>
      <c r="I100" s="699"/>
      <c r="J100" s="698"/>
    </row>
    <row r="101" spans="2:10" ht="15.5">
      <c r="B101" s="686"/>
      <c r="C101" s="686"/>
      <c r="D101" s="686"/>
      <c r="H101" s="699"/>
      <c r="I101" s="699"/>
    </row>
    <row r="102" spans="2:10" ht="15.5">
      <c r="B102" s="686"/>
      <c r="C102" s="686"/>
      <c r="D102" s="686"/>
      <c r="H102" s="699"/>
      <c r="I102" s="699"/>
    </row>
    <row r="103" spans="2:10" ht="15.5">
      <c r="B103" s="686"/>
      <c r="C103" s="686"/>
      <c r="D103" s="686"/>
      <c r="H103" s="699"/>
      <c r="I103" s="699"/>
    </row>
    <row r="104" spans="2:10" ht="15.5">
      <c r="B104" s="686"/>
      <c r="C104" s="686"/>
      <c r="D104" s="686"/>
      <c r="H104" s="699"/>
      <c r="I104" s="699"/>
    </row>
    <row r="105" spans="2:10" ht="15.5">
      <c r="B105" s="686"/>
      <c r="C105" s="686"/>
      <c r="D105" s="686"/>
      <c r="H105" s="699"/>
      <c r="I105" s="699"/>
    </row>
    <row r="106" spans="2:10" ht="15.5">
      <c r="B106" s="686"/>
      <c r="C106" s="686"/>
      <c r="D106" s="686"/>
      <c r="H106" s="699"/>
      <c r="I106" s="699"/>
    </row>
    <row r="107" spans="2:10" ht="15.5">
      <c r="B107" s="686"/>
      <c r="C107" s="686"/>
      <c r="D107" s="686"/>
    </row>
    <row r="108" spans="2:10" ht="15.5">
      <c r="B108" s="686"/>
      <c r="C108" s="686"/>
      <c r="D108" s="686"/>
      <c r="H108" s="700"/>
      <c r="I108" s="700"/>
    </row>
    <row r="109" spans="2:10" ht="15.5">
      <c r="B109" s="686"/>
      <c r="C109" s="686"/>
      <c r="D109" s="686"/>
    </row>
    <row r="110" spans="2:10" ht="15.5">
      <c r="B110" s="686"/>
      <c r="C110" s="686"/>
      <c r="D110" s="686"/>
    </row>
    <row r="111" spans="2:10" ht="15.5">
      <c r="B111" s="686"/>
      <c r="C111" s="686"/>
      <c r="D111" s="686"/>
    </row>
    <row r="112" spans="2:10" ht="15.5">
      <c r="B112" s="686"/>
      <c r="C112" s="686"/>
      <c r="D112" s="686"/>
    </row>
    <row r="113" spans="2:4" ht="15.5">
      <c r="B113" s="686"/>
      <c r="C113" s="686"/>
      <c r="D113" s="686"/>
    </row>
    <row r="114" spans="2:4" ht="15.5">
      <c r="B114" s="686"/>
      <c r="C114" s="686"/>
      <c r="D114" s="686"/>
    </row>
  </sheetData>
  <mergeCells count="13">
    <mergeCell ref="G43:H43"/>
    <mergeCell ref="B2:K2"/>
    <mergeCell ref="B3:K3"/>
    <mergeCell ref="B4:K4"/>
    <mergeCell ref="A6:L6"/>
    <mergeCell ref="B9:C9"/>
    <mergeCell ref="G9:I9"/>
    <mergeCell ref="B10:B11"/>
    <mergeCell ref="C10:C11"/>
    <mergeCell ref="G10:G11"/>
    <mergeCell ref="H10:H11"/>
    <mergeCell ref="I10:I11"/>
    <mergeCell ref="H8:I8"/>
  </mergeCells>
  <pageMargins left="0.7" right="0.7" top="0.75" bottom="0.75" header="0.3" footer="0.3"/>
  <pageSetup scale="5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tabColor rgb="FF00FFCC"/>
  </sheetPr>
  <dimension ref="A1:P114"/>
  <sheetViews>
    <sheetView view="pageBreakPreview" zoomScaleNormal="85" zoomScaleSheetLayoutView="100" workbookViewId="0">
      <selection activeCell="C8" sqref="C8"/>
    </sheetView>
  </sheetViews>
  <sheetFormatPr defaultRowHeight="12.5"/>
  <cols>
    <col min="1" max="1" width="8.54296875" style="47"/>
    <col min="2" max="2" width="24.453125" style="47" customWidth="1"/>
    <col min="3" max="3" width="17.6328125" style="47" customWidth="1"/>
    <col min="4" max="4" width="5.36328125" style="47" customWidth="1"/>
    <col min="5" max="5" width="8.54296875" style="47"/>
    <col min="6" max="6" width="2.453125" style="47" customWidth="1"/>
    <col min="7" max="7" width="23.453125" style="47" customWidth="1"/>
    <col min="8" max="8" width="17.453125" style="47" customWidth="1"/>
    <col min="9" max="9" width="8.54296875" style="47"/>
    <col min="10" max="10" width="2.54296875" style="47" customWidth="1"/>
    <col min="11" max="247" width="8.54296875" style="47"/>
    <col min="248" max="248" width="24.453125" style="47" customWidth="1"/>
    <col min="249" max="251" width="16.54296875" style="47" customWidth="1"/>
    <col min="252" max="253" width="17.54296875" style="47" customWidth="1"/>
    <col min="254" max="254" width="16.54296875" style="47" customWidth="1"/>
    <col min="255" max="255" width="16" style="47" customWidth="1"/>
    <col min="256" max="256" width="11.453125" style="47" customWidth="1"/>
    <col min="257" max="258" width="8.54296875" style="47"/>
    <col min="259" max="259" width="2.453125" style="47" customWidth="1"/>
    <col min="260" max="260" width="23.453125" style="47" customWidth="1"/>
    <col min="261" max="262" width="8.54296875" style="47"/>
    <col min="263" max="263" width="2.54296875" style="47" customWidth="1"/>
    <col min="264" max="264" width="24.453125" style="47" customWidth="1"/>
    <col min="265" max="503" width="8.54296875" style="47"/>
    <col min="504" max="504" width="24.453125" style="47" customWidth="1"/>
    <col min="505" max="507" width="16.54296875" style="47" customWidth="1"/>
    <col min="508" max="509" width="17.54296875" style="47" customWidth="1"/>
    <col min="510" max="510" width="16.54296875" style="47" customWidth="1"/>
    <col min="511" max="511" width="16" style="47" customWidth="1"/>
    <col min="512" max="512" width="11.453125" style="47" customWidth="1"/>
    <col min="513" max="514" width="8.54296875" style="47"/>
    <col min="515" max="515" width="2.453125" style="47" customWidth="1"/>
    <col min="516" max="516" width="23.453125" style="47" customWidth="1"/>
    <col min="517" max="518" width="8.54296875" style="47"/>
    <col min="519" max="519" width="2.54296875" style="47" customWidth="1"/>
    <col min="520" max="520" width="24.453125" style="47" customWidth="1"/>
    <col min="521" max="759" width="8.54296875" style="47"/>
    <col min="760" max="760" width="24.453125" style="47" customWidth="1"/>
    <col min="761" max="763" width="16.54296875" style="47" customWidth="1"/>
    <col min="764" max="765" width="17.54296875" style="47" customWidth="1"/>
    <col min="766" max="766" width="16.54296875" style="47" customWidth="1"/>
    <col min="767" max="767" width="16" style="47" customWidth="1"/>
    <col min="768" max="768" width="11.453125" style="47" customWidth="1"/>
    <col min="769" max="770" width="8.54296875" style="47"/>
    <col min="771" max="771" width="2.453125" style="47" customWidth="1"/>
    <col min="772" max="772" width="23.453125" style="47" customWidth="1"/>
    <col min="773" max="774" width="8.54296875" style="47"/>
    <col min="775" max="775" width="2.54296875" style="47" customWidth="1"/>
    <col min="776" max="776" width="24.453125" style="47" customWidth="1"/>
    <col min="777" max="1015" width="8.54296875" style="47"/>
    <col min="1016" max="1016" width="24.453125" style="47" customWidth="1"/>
    <col min="1017" max="1019" width="16.54296875" style="47" customWidth="1"/>
    <col min="1020" max="1021" width="17.54296875" style="47" customWidth="1"/>
    <col min="1022" max="1022" width="16.54296875" style="47" customWidth="1"/>
    <col min="1023" max="1023" width="16" style="47" customWidth="1"/>
    <col min="1024" max="1024" width="11.453125" style="47" customWidth="1"/>
    <col min="1025" max="1026" width="8.54296875" style="47"/>
    <col min="1027" max="1027" width="2.453125" style="47" customWidth="1"/>
    <col min="1028" max="1028" width="23.453125" style="47" customWidth="1"/>
    <col min="1029" max="1030" width="8.54296875" style="47"/>
    <col min="1031" max="1031" width="2.54296875" style="47" customWidth="1"/>
    <col min="1032" max="1032" width="24.453125" style="47" customWidth="1"/>
    <col min="1033" max="1271" width="8.54296875" style="47"/>
    <col min="1272" max="1272" width="24.453125" style="47" customWidth="1"/>
    <col min="1273" max="1275" width="16.54296875" style="47" customWidth="1"/>
    <col min="1276" max="1277" width="17.54296875" style="47" customWidth="1"/>
    <col min="1278" max="1278" width="16.54296875" style="47" customWidth="1"/>
    <col min="1279" max="1279" width="16" style="47" customWidth="1"/>
    <col min="1280" max="1280" width="11.453125" style="47" customWidth="1"/>
    <col min="1281" max="1282" width="8.54296875" style="47"/>
    <col min="1283" max="1283" width="2.453125" style="47" customWidth="1"/>
    <col min="1284" max="1284" width="23.453125" style="47" customWidth="1"/>
    <col min="1285" max="1286" width="8.54296875" style="47"/>
    <col min="1287" max="1287" width="2.54296875" style="47" customWidth="1"/>
    <col min="1288" max="1288" width="24.453125" style="47" customWidth="1"/>
    <col min="1289" max="1527" width="8.54296875" style="47"/>
    <col min="1528" max="1528" width="24.453125" style="47" customWidth="1"/>
    <col min="1529" max="1531" width="16.54296875" style="47" customWidth="1"/>
    <col min="1532" max="1533" width="17.54296875" style="47" customWidth="1"/>
    <col min="1534" max="1534" width="16.54296875" style="47" customWidth="1"/>
    <col min="1535" max="1535" width="16" style="47" customWidth="1"/>
    <col min="1536" max="1536" width="11.453125" style="47" customWidth="1"/>
    <col min="1537" max="1538" width="8.54296875" style="47"/>
    <col min="1539" max="1539" width="2.453125" style="47" customWidth="1"/>
    <col min="1540" max="1540" width="23.453125" style="47" customWidth="1"/>
    <col min="1541" max="1542" width="8.54296875" style="47"/>
    <col min="1543" max="1543" width="2.54296875" style="47" customWidth="1"/>
    <col min="1544" max="1544" width="24.453125" style="47" customWidth="1"/>
    <col min="1545" max="1783" width="8.54296875" style="47"/>
    <col min="1784" max="1784" width="24.453125" style="47" customWidth="1"/>
    <col min="1785" max="1787" width="16.54296875" style="47" customWidth="1"/>
    <col min="1788" max="1789" width="17.54296875" style="47" customWidth="1"/>
    <col min="1790" max="1790" width="16.54296875" style="47" customWidth="1"/>
    <col min="1791" max="1791" width="16" style="47" customWidth="1"/>
    <col min="1792" max="1792" width="11.453125" style="47" customWidth="1"/>
    <col min="1793" max="1794" width="8.54296875" style="47"/>
    <col min="1795" max="1795" width="2.453125" style="47" customWidth="1"/>
    <col min="1796" max="1796" width="23.453125" style="47" customWidth="1"/>
    <col min="1797" max="1798" width="8.54296875" style="47"/>
    <col min="1799" max="1799" width="2.54296875" style="47" customWidth="1"/>
    <col min="1800" max="1800" width="24.453125" style="47" customWidth="1"/>
    <col min="1801" max="2039" width="8.54296875" style="47"/>
    <col min="2040" max="2040" width="24.453125" style="47" customWidth="1"/>
    <col min="2041" max="2043" width="16.54296875" style="47" customWidth="1"/>
    <col min="2044" max="2045" width="17.54296875" style="47" customWidth="1"/>
    <col min="2046" max="2046" width="16.54296875" style="47" customWidth="1"/>
    <col min="2047" max="2047" width="16" style="47" customWidth="1"/>
    <col min="2048" max="2048" width="11.453125" style="47" customWidth="1"/>
    <col min="2049" max="2050" width="8.54296875" style="47"/>
    <col min="2051" max="2051" width="2.453125" style="47" customWidth="1"/>
    <col min="2052" max="2052" width="23.453125" style="47" customWidth="1"/>
    <col min="2053" max="2054" width="8.54296875" style="47"/>
    <col min="2055" max="2055" width="2.54296875" style="47" customWidth="1"/>
    <col min="2056" max="2056" width="24.453125" style="47" customWidth="1"/>
    <col min="2057" max="2295" width="8.54296875" style="47"/>
    <col min="2296" max="2296" width="24.453125" style="47" customWidth="1"/>
    <col min="2297" max="2299" width="16.54296875" style="47" customWidth="1"/>
    <col min="2300" max="2301" width="17.54296875" style="47" customWidth="1"/>
    <col min="2302" max="2302" width="16.54296875" style="47" customWidth="1"/>
    <col min="2303" max="2303" width="16" style="47" customWidth="1"/>
    <col min="2304" max="2304" width="11.453125" style="47" customWidth="1"/>
    <col min="2305" max="2306" width="8.54296875" style="47"/>
    <col min="2307" max="2307" width="2.453125" style="47" customWidth="1"/>
    <col min="2308" max="2308" width="23.453125" style="47" customWidth="1"/>
    <col min="2309" max="2310" width="8.54296875" style="47"/>
    <col min="2311" max="2311" width="2.54296875" style="47" customWidth="1"/>
    <col min="2312" max="2312" width="24.453125" style="47" customWidth="1"/>
    <col min="2313" max="2551" width="8.54296875" style="47"/>
    <col min="2552" max="2552" width="24.453125" style="47" customWidth="1"/>
    <col min="2553" max="2555" width="16.54296875" style="47" customWidth="1"/>
    <col min="2556" max="2557" width="17.54296875" style="47" customWidth="1"/>
    <col min="2558" max="2558" width="16.54296875" style="47" customWidth="1"/>
    <col min="2559" max="2559" width="16" style="47" customWidth="1"/>
    <col min="2560" max="2560" width="11.453125" style="47" customWidth="1"/>
    <col min="2561" max="2562" width="8.54296875" style="47"/>
    <col min="2563" max="2563" width="2.453125" style="47" customWidth="1"/>
    <col min="2564" max="2564" width="23.453125" style="47" customWidth="1"/>
    <col min="2565" max="2566" width="8.54296875" style="47"/>
    <col min="2567" max="2567" width="2.54296875" style="47" customWidth="1"/>
    <col min="2568" max="2568" width="24.453125" style="47" customWidth="1"/>
    <col min="2569" max="2807" width="8.54296875" style="47"/>
    <col min="2808" max="2808" width="24.453125" style="47" customWidth="1"/>
    <col min="2809" max="2811" width="16.54296875" style="47" customWidth="1"/>
    <col min="2812" max="2813" width="17.54296875" style="47" customWidth="1"/>
    <col min="2814" max="2814" width="16.54296875" style="47" customWidth="1"/>
    <col min="2815" max="2815" width="16" style="47" customWidth="1"/>
    <col min="2816" max="2816" width="11.453125" style="47" customWidth="1"/>
    <col min="2817" max="2818" width="8.54296875" style="47"/>
    <col min="2819" max="2819" width="2.453125" style="47" customWidth="1"/>
    <col min="2820" max="2820" width="23.453125" style="47" customWidth="1"/>
    <col min="2821" max="2822" width="8.54296875" style="47"/>
    <col min="2823" max="2823" width="2.54296875" style="47" customWidth="1"/>
    <col min="2824" max="2824" width="24.453125" style="47" customWidth="1"/>
    <col min="2825" max="3063" width="8.54296875" style="47"/>
    <col min="3064" max="3064" width="24.453125" style="47" customWidth="1"/>
    <col min="3065" max="3067" width="16.54296875" style="47" customWidth="1"/>
    <col min="3068" max="3069" width="17.54296875" style="47" customWidth="1"/>
    <col min="3070" max="3070" width="16.54296875" style="47" customWidth="1"/>
    <col min="3071" max="3071" width="16" style="47" customWidth="1"/>
    <col min="3072" max="3072" width="11.453125" style="47" customWidth="1"/>
    <col min="3073" max="3074" width="8.54296875" style="47"/>
    <col min="3075" max="3075" width="2.453125" style="47" customWidth="1"/>
    <col min="3076" max="3076" width="23.453125" style="47" customWidth="1"/>
    <col min="3077" max="3078" width="8.54296875" style="47"/>
    <col min="3079" max="3079" width="2.54296875" style="47" customWidth="1"/>
    <col min="3080" max="3080" width="24.453125" style="47" customWidth="1"/>
    <col min="3081" max="3319" width="8.54296875" style="47"/>
    <col min="3320" max="3320" width="24.453125" style="47" customWidth="1"/>
    <col min="3321" max="3323" width="16.54296875" style="47" customWidth="1"/>
    <col min="3324" max="3325" width="17.54296875" style="47" customWidth="1"/>
    <col min="3326" max="3326" width="16.54296875" style="47" customWidth="1"/>
    <col min="3327" max="3327" width="16" style="47" customWidth="1"/>
    <col min="3328" max="3328" width="11.453125" style="47" customWidth="1"/>
    <col min="3329" max="3330" width="8.54296875" style="47"/>
    <col min="3331" max="3331" width="2.453125" style="47" customWidth="1"/>
    <col min="3332" max="3332" width="23.453125" style="47" customWidth="1"/>
    <col min="3333" max="3334" width="8.54296875" style="47"/>
    <col min="3335" max="3335" width="2.54296875" style="47" customWidth="1"/>
    <col min="3336" max="3336" width="24.453125" style="47" customWidth="1"/>
    <col min="3337" max="3575" width="8.54296875" style="47"/>
    <col min="3576" max="3576" width="24.453125" style="47" customWidth="1"/>
    <col min="3577" max="3579" width="16.54296875" style="47" customWidth="1"/>
    <col min="3580" max="3581" width="17.54296875" style="47" customWidth="1"/>
    <col min="3582" max="3582" width="16.54296875" style="47" customWidth="1"/>
    <col min="3583" max="3583" width="16" style="47" customWidth="1"/>
    <col min="3584" max="3584" width="11.453125" style="47" customWidth="1"/>
    <col min="3585" max="3586" width="8.54296875" style="47"/>
    <col min="3587" max="3587" width="2.453125" style="47" customWidth="1"/>
    <col min="3588" max="3588" width="23.453125" style="47" customWidth="1"/>
    <col min="3589" max="3590" width="8.54296875" style="47"/>
    <col min="3591" max="3591" width="2.54296875" style="47" customWidth="1"/>
    <col min="3592" max="3592" width="24.453125" style="47" customWidth="1"/>
    <col min="3593" max="3831" width="8.54296875" style="47"/>
    <col min="3832" max="3832" width="24.453125" style="47" customWidth="1"/>
    <col min="3833" max="3835" width="16.54296875" style="47" customWidth="1"/>
    <col min="3836" max="3837" width="17.54296875" style="47" customWidth="1"/>
    <col min="3838" max="3838" width="16.54296875" style="47" customWidth="1"/>
    <col min="3839" max="3839" width="16" style="47" customWidth="1"/>
    <col min="3840" max="3840" width="11.453125" style="47" customWidth="1"/>
    <col min="3841" max="3842" width="8.54296875" style="47"/>
    <col min="3843" max="3843" width="2.453125" style="47" customWidth="1"/>
    <col min="3844" max="3844" width="23.453125" style="47" customWidth="1"/>
    <col min="3845" max="3846" width="8.54296875" style="47"/>
    <col min="3847" max="3847" width="2.54296875" style="47" customWidth="1"/>
    <col min="3848" max="3848" width="24.453125" style="47" customWidth="1"/>
    <col min="3849" max="4087" width="8.54296875" style="47"/>
    <col min="4088" max="4088" width="24.453125" style="47" customWidth="1"/>
    <col min="4089" max="4091" width="16.54296875" style="47" customWidth="1"/>
    <col min="4092" max="4093" width="17.54296875" style="47" customWidth="1"/>
    <col min="4094" max="4094" width="16.54296875" style="47" customWidth="1"/>
    <col min="4095" max="4095" width="16" style="47" customWidth="1"/>
    <col min="4096" max="4096" width="11.453125" style="47" customWidth="1"/>
    <col min="4097" max="4098" width="8.54296875" style="47"/>
    <col min="4099" max="4099" width="2.453125" style="47" customWidth="1"/>
    <col min="4100" max="4100" width="23.453125" style="47" customWidth="1"/>
    <col min="4101" max="4102" width="8.54296875" style="47"/>
    <col min="4103" max="4103" width="2.54296875" style="47" customWidth="1"/>
    <col min="4104" max="4104" width="24.453125" style="47" customWidth="1"/>
    <col min="4105" max="4343" width="8.54296875" style="47"/>
    <col min="4344" max="4344" width="24.453125" style="47" customWidth="1"/>
    <col min="4345" max="4347" width="16.54296875" style="47" customWidth="1"/>
    <col min="4348" max="4349" width="17.54296875" style="47" customWidth="1"/>
    <col min="4350" max="4350" width="16.54296875" style="47" customWidth="1"/>
    <col min="4351" max="4351" width="16" style="47" customWidth="1"/>
    <col min="4352" max="4352" width="11.453125" style="47" customWidth="1"/>
    <col min="4353" max="4354" width="8.54296875" style="47"/>
    <col min="4355" max="4355" width="2.453125" style="47" customWidth="1"/>
    <col min="4356" max="4356" width="23.453125" style="47" customWidth="1"/>
    <col min="4357" max="4358" width="8.54296875" style="47"/>
    <col min="4359" max="4359" width="2.54296875" style="47" customWidth="1"/>
    <col min="4360" max="4360" width="24.453125" style="47" customWidth="1"/>
    <col min="4361" max="4599" width="8.54296875" style="47"/>
    <col min="4600" max="4600" width="24.453125" style="47" customWidth="1"/>
    <col min="4601" max="4603" width="16.54296875" style="47" customWidth="1"/>
    <col min="4604" max="4605" width="17.54296875" style="47" customWidth="1"/>
    <col min="4606" max="4606" width="16.54296875" style="47" customWidth="1"/>
    <col min="4607" max="4607" width="16" style="47" customWidth="1"/>
    <col min="4608" max="4608" width="11.453125" style="47" customWidth="1"/>
    <col min="4609" max="4610" width="8.54296875" style="47"/>
    <col min="4611" max="4611" width="2.453125" style="47" customWidth="1"/>
    <col min="4612" max="4612" width="23.453125" style="47" customWidth="1"/>
    <col min="4613" max="4614" width="8.54296875" style="47"/>
    <col min="4615" max="4615" width="2.54296875" style="47" customWidth="1"/>
    <col min="4616" max="4616" width="24.453125" style="47" customWidth="1"/>
    <col min="4617" max="4855" width="8.54296875" style="47"/>
    <col min="4856" max="4856" width="24.453125" style="47" customWidth="1"/>
    <col min="4857" max="4859" width="16.54296875" style="47" customWidth="1"/>
    <col min="4860" max="4861" width="17.54296875" style="47" customWidth="1"/>
    <col min="4862" max="4862" width="16.54296875" style="47" customWidth="1"/>
    <col min="4863" max="4863" width="16" style="47" customWidth="1"/>
    <col min="4864" max="4864" width="11.453125" style="47" customWidth="1"/>
    <col min="4865" max="4866" width="8.54296875" style="47"/>
    <col min="4867" max="4867" width="2.453125" style="47" customWidth="1"/>
    <col min="4868" max="4868" width="23.453125" style="47" customWidth="1"/>
    <col min="4869" max="4870" width="8.54296875" style="47"/>
    <col min="4871" max="4871" width="2.54296875" style="47" customWidth="1"/>
    <col min="4872" max="4872" width="24.453125" style="47" customWidth="1"/>
    <col min="4873" max="5111" width="8.54296875" style="47"/>
    <col min="5112" max="5112" width="24.453125" style="47" customWidth="1"/>
    <col min="5113" max="5115" width="16.54296875" style="47" customWidth="1"/>
    <col min="5116" max="5117" width="17.54296875" style="47" customWidth="1"/>
    <col min="5118" max="5118" width="16.54296875" style="47" customWidth="1"/>
    <col min="5119" max="5119" width="16" style="47" customWidth="1"/>
    <col min="5120" max="5120" width="11.453125" style="47" customWidth="1"/>
    <col min="5121" max="5122" width="8.54296875" style="47"/>
    <col min="5123" max="5123" width="2.453125" style="47" customWidth="1"/>
    <col min="5124" max="5124" width="23.453125" style="47" customWidth="1"/>
    <col min="5125" max="5126" width="8.54296875" style="47"/>
    <col min="5127" max="5127" width="2.54296875" style="47" customWidth="1"/>
    <col min="5128" max="5128" width="24.453125" style="47" customWidth="1"/>
    <col min="5129" max="5367" width="8.54296875" style="47"/>
    <col min="5368" max="5368" width="24.453125" style="47" customWidth="1"/>
    <col min="5369" max="5371" width="16.54296875" style="47" customWidth="1"/>
    <col min="5372" max="5373" width="17.54296875" style="47" customWidth="1"/>
    <col min="5374" max="5374" width="16.54296875" style="47" customWidth="1"/>
    <col min="5375" max="5375" width="16" style="47" customWidth="1"/>
    <col min="5376" max="5376" width="11.453125" style="47" customWidth="1"/>
    <col min="5377" max="5378" width="8.54296875" style="47"/>
    <col min="5379" max="5379" width="2.453125" style="47" customWidth="1"/>
    <col min="5380" max="5380" width="23.453125" style="47" customWidth="1"/>
    <col min="5381" max="5382" width="8.54296875" style="47"/>
    <col min="5383" max="5383" width="2.54296875" style="47" customWidth="1"/>
    <col min="5384" max="5384" width="24.453125" style="47" customWidth="1"/>
    <col min="5385" max="5623" width="8.54296875" style="47"/>
    <col min="5624" max="5624" width="24.453125" style="47" customWidth="1"/>
    <col min="5625" max="5627" width="16.54296875" style="47" customWidth="1"/>
    <col min="5628" max="5629" width="17.54296875" style="47" customWidth="1"/>
    <col min="5630" max="5630" width="16.54296875" style="47" customWidth="1"/>
    <col min="5631" max="5631" width="16" style="47" customWidth="1"/>
    <col min="5632" max="5632" width="11.453125" style="47" customWidth="1"/>
    <col min="5633" max="5634" width="8.54296875" style="47"/>
    <col min="5635" max="5635" width="2.453125" style="47" customWidth="1"/>
    <col min="5636" max="5636" width="23.453125" style="47" customWidth="1"/>
    <col min="5637" max="5638" width="8.54296875" style="47"/>
    <col min="5639" max="5639" width="2.54296875" style="47" customWidth="1"/>
    <col min="5640" max="5640" width="24.453125" style="47" customWidth="1"/>
    <col min="5641" max="5879" width="8.54296875" style="47"/>
    <col min="5880" max="5880" width="24.453125" style="47" customWidth="1"/>
    <col min="5881" max="5883" width="16.54296875" style="47" customWidth="1"/>
    <col min="5884" max="5885" width="17.54296875" style="47" customWidth="1"/>
    <col min="5886" max="5886" width="16.54296875" style="47" customWidth="1"/>
    <col min="5887" max="5887" width="16" style="47" customWidth="1"/>
    <col min="5888" max="5888" width="11.453125" style="47" customWidth="1"/>
    <col min="5889" max="5890" width="8.54296875" style="47"/>
    <col min="5891" max="5891" width="2.453125" style="47" customWidth="1"/>
    <col min="5892" max="5892" width="23.453125" style="47" customWidth="1"/>
    <col min="5893" max="5894" width="8.54296875" style="47"/>
    <col min="5895" max="5895" width="2.54296875" style="47" customWidth="1"/>
    <col min="5896" max="5896" width="24.453125" style="47" customWidth="1"/>
    <col min="5897" max="6135" width="8.54296875" style="47"/>
    <col min="6136" max="6136" width="24.453125" style="47" customWidth="1"/>
    <col min="6137" max="6139" width="16.54296875" style="47" customWidth="1"/>
    <col min="6140" max="6141" width="17.54296875" style="47" customWidth="1"/>
    <col min="6142" max="6142" width="16.54296875" style="47" customWidth="1"/>
    <col min="6143" max="6143" width="16" style="47" customWidth="1"/>
    <col min="6144" max="6144" width="11.453125" style="47" customWidth="1"/>
    <col min="6145" max="6146" width="8.54296875" style="47"/>
    <col min="6147" max="6147" width="2.453125" style="47" customWidth="1"/>
    <col min="6148" max="6148" width="23.453125" style="47" customWidth="1"/>
    <col min="6149" max="6150" width="8.54296875" style="47"/>
    <col min="6151" max="6151" width="2.54296875" style="47" customWidth="1"/>
    <col min="6152" max="6152" width="24.453125" style="47" customWidth="1"/>
    <col min="6153" max="6391" width="8.54296875" style="47"/>
    <col min="6392" max="6392" width="24.453125" style="47" customWidth="1"/>
    <col min="6393" max="6395" width="16.54296875" style="47" customWidth="1"/>
    <col min="6396" max="6397" width="17.54296875" style="47" customWidth="1"/>
    <col min="6398" max="6398" width="16.54296875" style="47" customWidth="1"/>
    <col min="6399" max="6399" width="16" style="47" customWidth="1"/>
    <col min="6400" max="6400" width="11.453125" style="47" customWidth="1"/>
    <col min="6401" max="6402" width="8.54296875" style="47"/>
    <col min="6403" max="6403" width="2.453125" style="47" customWidth="1"/>
    <col min="6404" max="6404" width="23.453125" style="47" customWidth="1"/>
    <col min="6405" max="6406" width="8.54296875" style="47"/>
    <col min="6407" max="6407" width="2.54296875" style="47" customWidth="1"/>
    <col min="6408" max="6408" width="24.453125" style="47" customWidth="1"/>
    <col min="6409" max="6647" width="8.54296875" style="47"/>
    <col min="6648" max="6648" width="24.453125" style="47" customWidth="1"/>
    <col min="6649" max="6651" width="16.54296875" style="47" customWidth="1"/>
    <col min="6652" max="6653" width="17.54296875" style="47" customWidth="1"/>
    <col min="6654" max="6654" width="16.54296875" style="47" customWidth="1"/>
    <col min="6655" max="6655" width="16" style="47" customWidth="1"/>
    <col min="6656" max="6656" width="11.453125" style="47" customWidth="1"/>
    <col min="6657" max="6658" width="8.54296875" style="47"/>
    <col min="6659" max="6659" width="2.453125" style="47" customWidth="1"/>
    <col min="6660" max="6660" width="23.453125" style="47" customWidth="1"/>
    <col min="6661" max="6662" width="8.54296875" style="47"/>
    <col min="6663" max="6663" width="2.54296875" style="47" customWidth="1"/>
    <col min="6664" max="6664" width="24.453125" style="47" customWidth="1"/>
    <col min="6665" max="6903" width="8.54296875" style="47"/>
    <col min="6904" max="6904" width="24.453125" style="47" customWidth="1"/>
    <col min="6905" max="6907" width="16.54296875" style="47" customWidth="1"/>
    <col min="6908" max="6909" width="17.54296875" style="47" customWidth="1"/>
    <col min="6910" max="6910" width="16.54296875" style="47" customWidth="1"/>
    <col min="6911" max="6911" width="16" style="47" customWidth="1"/>
    <col min="6912" max="6912" width="11.453125" style="47" customWidth="1"/>
    <col min="6913" max="6914" width="8.54296875" style="47"/>
    <col min="6915" max="6915" width="2.453125" style="47" customWidth="1"/>
    <col min="6916" max="6916" width="23.453125" style="47" customWidth="1"/>
    <col min="6917" max="6918" width="8.54296875" style="47"/>
    <col min="6919" max="6919" width="2.54296875" style="47" customWidth="1"/>
    <col min="6920" max="6920" width="24.453125" style="47" customWidth="1"/>
    <col min="6921" max="7159" width="8.54296875" style="47"/>
    <col min="7160" max="7160" width="24.453125" style="47" customWidth="1"/>
    <col min="7161" max="7163" width="16.54296875" style="47" customWidth="1"/>
    <col min="7164" max="7165" width="17.54296875" style="47" customWidth="1"/>
    <col min="7166" max="7166" width="16.54296875" style="47" customWidth="1"/>
    <col min="7167" max="7167" width="16" style="47" customWidth="1"/>
    <col min="7168" max="7168" width="11.453125" style="47" customWidth="1"/>
    <col min="7169" max="7170" width="8.54296875" style="47"/>
    <col min="7171" max="7171" width="2.453125" style="47" customWidth="1"/>
    <col min="7172" max="7172" width="23.453125" style="47" customWidth="1"/>
    <col min="7173" max="7174" width="8.54296875" style="47"/>
    <col min="7175" max="7175" width="2.54296875" style="47" customWidth="1"/>
    <col min="7176" max="7176" width="24.453125" style="47" customWidth="1"/>
    <col min="7177" max="7415" width="8.54296875" style="47"/>
    <col min="7416" max="7416" width="24.453125" style="47" customWidth="1"/>
    <col min="7417" max="7419" width="16.54296875" style="47" customWidth="1"/>
    <col min="7420" max="7421" width="17.54296875" style="47" customWidth="1"/>
    <col min="7422" max="7422" width="16.54296875" style="47" customWidth="1"/>
    <col min="7423" max="7423" width="16" style="47" customWidth="1"/>
    <col min="7424" max="7424" width="11.453125" style="47" customWidth="1"/>
    <col min="7425" max="7426" width="8.54296875" style="47"/>
    <col min="7427" max="7427" width="2.453125" style="47" customWidth="1"/>
    <col min="7428" max="7428" width="23.453125" style="47" customWidth="1"/>
    <col min="7429" max="7430" width="8.54296875" style="47"/>
    <col min="7431" max="7431" width="2.54296875" style="47" customWidth="1"/>
    <col min="7432" max="7432" width="24.453125" style="47" customWidth="1"/>
    <col min="7433" max="7671" width="8.54296875" style="47"/>
    <col min="7672" max="7672" width="24.453125" style="47" customWidth="1"/>
    <col min="7673" max="7675" width="16.54296875" style="47" customWidth="1"/>
    <col min="7676" max="7677" width="17.54296875" style="47" customWidth="1"/>
    <col min="7678" max="7678" width="16.54296875" style="47" customWidth="1"/>
    <col min="7679" max="7679" width="16" style="47" customWidth="1"/>
    <col min="7680" max="7680" width="11.453125" style="47" customWidth="1"/>
    <col min="7681" max="7682" width="8.54296875" style="47"/>
    <col min="7683" max="7683" width="2.453125" style="47" customWidth="1"/>
    <col min="7684" max="7684" width="23.453125" style="47" customWidth="1"/>
    <col min="7685" max="7686" width="8.54296875" style="47"/>
    <col min="7687" max="7687" width="2.54296875" style="47" customWidth="1"/>
    <col min="7688" max="7688" width="24.453125" style="47" customWidth="1"/>
    <col min="7689" max="7927" width="8.54296875" style="47"/>
    <col min="7928" max="7928" width="24.453125" style="47" customWidth="1"/>
    <col min="7929" max="7931" width="16.54296875" style="47" customWidth="1"/>
    <col min="7932" max="7933" width="17.54296875" style="47" customWidth="1"/>
    <col min="7934" max="7934" width="16.54296875" style="47" customWidth="1"/>
    <col min="7935" max="7935" width="16" style="47" customWidth="1"/>
    <col min="7936" max="7936" width="11.453125" style="47" customWidth="1"/>
    <col min="7937" max="7938" width="8.54296875" style="47"/>
    <col min="7939" max="7939" width="2.453125" style="47" customWidth="1"/>
    <col min="7940" max="7940" width="23.453125" style="47" customWidth="1"/>
    <col min="7941" max="7942" width="8.54296875" style="47"/>
    <col min="7943" max="7943" width="2.54296875" style="47" customWidth="1"/>
    <col min="7944" max="7944" width="24.453125" style="47" customWidth="1"/>
    <col min="7945" max="8183" width="8.54296875" style="47"/>
    <col min="8184" max="8184" width="24.453125" style="47" customWidth="1"/>
    <col min="8185" max="8187" width="16.54296875" style="47" customWidth="1"/>
    <col min="8188" max="8189" width="17.54296875" style="47" customWidth="1"/>
    <col min="8190" max="8190" width="16.54296875" style="47" customWidth="1"/>
    <col min="8191" max="8191" width="16" style="47" customWidth="1"/>
    <col min="8192" max="8192" width="11.453125" style="47" customWidth="1"/>
    <col min="8193" max="8194" width="8.54296875" style="47"/>
    <col min="8195" max="8195" width="2.453125" style="47" customWidth="1"/>
    <col min="8196" max="8196" width="23.453125" style="47" customWidth="1"/>
    <col min="8197" max="8198" width="8.54296875" style="47"/>
    <col min="8199" max="8199" width="2.54296875" style="47" customWidth="1"/>
    <col min="8200" max="8200" width="24.453125" style="47" customWidth="1"/>
    <col min="8201" max="8439" width="8.54296875" style="47"/>
    <col min="8440" max="8440" width="24.453125" style="47" customWidth="1"/>
    <col min="8441" max="8443" width="16.54296875" style="47" customWidth="1"/>
    <col min="8444" max="8445" width="17.54296875" style="47" customWidth="1"/>
    <col min="8446" max="8446" width="16.54296875" style="47" customWidth="1"/>
    <col min="8447" max="8447" width="16" style="47" customWidth="1"/>
    <col min="8448" max="8448" width="11.453125" style="47" customWidth="1"/>
    <col min="8449" max="8450" width="8.54296875" style="47"/>
    <col min="8451" max="8451" width="2.453125" style="47" customWidth="1"/>
    <col min="8452" max="8452" width="23.453125" style="47" customWidth="1"/>
    <col min="8453" max="8454" width="8.54296875" style="47"/>
    <col min="8455" max="8455" width="2.54296875" style="47" customWidth="1"/>
    <col min="8456" max="8456" width="24.453125" style="47" customWidth="1"/>
    <col min="8457" max="8695" width="8.54296875" style="47"/>
    <col min="8696" max="8696" width="24.453125" style="47" customWidth="1"/>
    <col min="8697" max="8699" width="16.54296875" style="47" customWidth="1"/>
    <col min="8700" max="8701" width="17.54296875" style="47" customWidth="1"/>
    <col min="8702" max="8702" width="16.54296875" style="47" customWidth="1"/>
    <col min="8703" max="8703" width="16" style="47" customWidth="1"/>
    <col min="8704" max="8704" width="11.453125" style="47" customWidth="1"/>
    <col min="8705" max="8706" width="8.54296875" style="47"/>
    <col min="8707" max="8707" width="2.453125" style="47" customWidth="1"/>
    <col min="8708" max="8708" width="23.453125" style="47" customWidth="1"/>
    <col min="8709" max="8710" width="8.54296875" style="47"/>
    <col min="8711" max="8711" width="2.54296875" style="47" customWidth="1"/>
    <col min="8712" max="8712" width="24.453125" style="47" customWidth="1"/>
    <col min="8713" max="8951" width="8.54296875" style="47"/>
    <col min="8952" max="8952" width="24.453125" style="47" customWidth="1"/>
    <col min="8953" max="8955" width="16.54296875" style="47" customWidth="1"/>
    <col min="8956" max="8957" width="17.54296875" style="47" customWidth="1"/>
    <col min="8958" max="8958" width="16.54296875" style="47" customWidth="1"/>
    <col min="8959" max="8959" width="16" style="47" customWidth="1"/>
    <col min="8960" max="8960" width="11.453125" style="47" customWidth="1"/>
    <col min="8961" max="8962" width="8.54296875" style="47"/>
    <col min="8963" max="8963" width="2.453125" style="47" customWidth="1"/>
    <col min="8964" max="8964" width="23.453125" style="47" customWidth="1"/>
    <col min="8965" max="8966" width="8.54296875" style="47"/>
    <col min="8967" max="8967" width="2.54296875" style="47" customWidth="1"/>
    <col min="8968" max="8968" width="24.453125" style="47" customWidth="1"/>
    <col min="8969" max="9207" width="8.54296875" style="47"/>
    <col min="9208" max="9208" width="24.453125" style="47" customWidth="1"/>
    <col min="9209" max="9211" width="16.54296875" style="47" customWidth="1"/>
    <col min="9212" max="9213" width="17.54296875" style="47" customWidth="1"/>
    <col min="9214" max="9214" width="16.54296875" style="47" customWidth="1"/>
    <col min="9215" max="9215" width="16" style="47" customWidth="1"/>
    <col min="9216" max="9216" width="11.453125" style="47" customWidth="1"/>
    <col min="9217" max="9218" width="8.54296875" style="47"/>
    <col min="9219" max="9219" width="2.453125" style="47" customWidth="1"/>
    <col min="9220" max="9220" width="23.453125" style="47" customWidth="1"/>
    <col min="9221" max="9222" width="8.54296875" style="47"/>
    <col min="9223" max="9223" width="2.54296875" style="47" customWidth="1"/>
    <col min="9224" max="9224" width="24.453125" style="47" customWidth="1"/>
    <col min="9225" max="9463" width="8.54296875" style="47"/>
    <col min="9464" max="9464" width="24.453125" style="47" customWidth="1"/>
    <col min="9465" max="9467" width="16.54296875" style="47" customWidth="1"/>
    <col min="9468" max="9469" width="17.54296875" style="47" customWidth="1"/>
    <col min="9470" max="9470" width="16.54296875" style="47" customWidth="1"/>
    <col min="9471" max="9471" width="16" style="47" customWidth="1"/>
    <col min="9472" max="9472" width="11.453125" style="47" customWidth="1"/>
    <col min="9473" max="9474" width="8.54296875" style="47"/>
    <col min="9475" max="9475" width="2.453125" style="47" customWidth="1"/>
    <col min="9476" max="9476" width="23.453125" style="47" customWidth="1"/>
    <col min="9477" max="9478" width="8.54296875" style="47"/>
    <col min="9479" max="9479" width="2.54296875" style="47" customWidth="1"/>
    <col min="9480" max="9480" width="24.453125" style="47" customWidth="1"/>
    <col min="9481" max="9719" width="8.54296875" style="47"/>
    <col min="9720" max="9720" width="24.453125" style="47" customWidth="1"/>
    <col min="9721" max="9723" width="16.54296875" style="47" customWidth="1"/>
    <col min="9724" max="9725" width="17.54296875" style="47" customWidth="1"/>
    <col min="9726" max="9726" width="16.54296875" style="47" customWidth="1"/>
    <col min="9727" max="9727" width="16" style="47" customWidth="1"/>
    <col min="9728" max="9728" width="11.453125" style="47" customWidth="1"/>
    <col min="9729" max="9730" width="8.54296875" style="47"/>
    <col min="9731" max="9731" width="2.453125" style="47" customWidth="1"/>
    <col min="9732" max="9732" width="23.453125" style="47" customWidth="1"/>
    <col min="9733" max="9734" width="8.54296875" style="47"/>
    <col min="9735" max="9735" width="2.54296875" style="47" customWidth="1"/>
    <col min="9736" max="9736" width="24.453125" style="47" customWidth="1"/>
    <col min="9737" max="9975" width="8.54296875" style="47"/>
    <col min="9976" max="9976" width="24.453125" style="47" customWidth="1"/>
    <col min="9977" max="9979" width="16.54296875" style="47" customWidth="1"/>
    <col min="9980" max="9981" width="17.54296875" style="47" customWidth="1"/>
    <col min="9982" max="9982" width="16.54296875" style="47" customWidth="1"/>
    <col min="9983" max="9983" width="16" style="47" customWidth="1"/>
    <col min="9984" max="9984" width="11.453125" style="47" customWidth="1"/>
    <col min="9985" max="9986" width="8.54296875" style="47"/>
    <col min="9987" max="9987" width="2.453125" style="47" customWidth="1"/>
    <col min="9988" max="9988" width="23.453125" style="47" customWidth="1"/>
    <col min="9989" max="9990" width="8.54296875" style="47"/>
    <col min="9991" max="9991" width="2.54296875" style="47" customWidth="1"/>
    <col min="9992" max="9992" width="24.453125" style="47" customWidth="1"/>
    <col min="9993" max="10231" width="8.54296875" style="47"/>
    <col min="10232" max="10232" width="24.453125" style="47" customWidth="1"/>
    <col min="10233" max="10235" width="16.54296875" style="47" customWidth="1"/>
    <col min="10236" max="10237" width="17.54296875" style="47" customWidth="1"/>
    <col min="10238" max="10238" width="16.54296875" style="47" customWidth="1"/>
    <col min="10239" max="10239" width="16" style="47" customWidth="1"/>
    <col min="10240" max="10240" width="11.453125" style="47" customWidth="1"/>
    <col min="10241" max="10242" width="8.54296875" style="47"/>
    <col min="10243" max="10243" width="2.453125" style="47" customWidth="1"/>
    <col min="10244" max="10244" width="23.453125" style="47" customWidth="1"/>
    <col min="10245" max="10246" width="8.54296875" style="47"/>
    <col min="10247" max="10247" width="2.54296875" style="47" customWidth="1"/>
    <col min="10248" max="10248" width="24.453125" style="47" customWidth="1"/>
    <col min="10249" max="10487" width="8.54296875" style="47"/>
    <col min="10488" max="10488" width="24.453125" style="47" customWidth="1"/>
    <col min="10489" max="10491" width="16.54296875" style="47" customWidth="1"/>
    <col min="10492" max="10493" width="17.54296875" style="47" customWidth="1"/>
    <col min="10494" max="10494" width="16.54296875" style="47" customWidth="1"/>
    <col min="10495" max="10495" width="16" style="47" customWidth="1"/>
    <col min="10496" max="10496" width="11.453125" style="47" customWidth="1"/>
    <col min="10497" max="10498" width="8.54296875" style="47"/>
    <col min="10499" max="10499" width="2.453125" style="47" customWidth="1"/>
    <col min="10500" max="10500" width="23.453125" style="47" customWidth="1"/>
    <col min="10501" max="10502" width="8.54296875" style="47"/>
    <col min="10503" max="10503" width="2.54296875" style="47" customWidth="1"/>
    <col min="10504" max="10504" width="24.453125" style="47" customWidth="1"/>
    <col min="10505" max="10743" width="8.54296875" style="47"/>
    <col min="10744" max="10744" width="24.453125" style="47" customWidth="1"/>
    <col min="10745" max="10747" width="16.54296875" style="47" customWidth="1"/>
    <col min="10748" max="10749" width="17.54296875" style="47" customWidth="1"/>
    <col min="10750" max="10750" width="16.54296875" style="47" customWidth="1"/>
    <col min="10751" max="10751" width="16" style="47" customWidth="1"/>
    <col min="10752" max="10752" width="11.453125" style="47" customWidth="1"/>
    <col min="10753" max="10754" width="8.54296875" style="47"/>
    <col min="10755" max="10755" width="2.453125" style="47" customWidth="1"/>
    <col min="10756" max="10756" width="23.453125" style="47" customWidth="1"/>
    <col min="10757" max="10758" width="8.54296875" style="47"/>
    <col min="10759" max="10759" width="2.54296875" style="47" customWidth="1"/>
    <col min="10760" max="10760" width="24.453125" style="47" customWidth="1"/>
    <col min="10761" max="10999" width="8.54296875" style="47"/>
    <col min="11000" max="11000" width="24.453125" style="47" customWidth="1"/>
    <col min="11001" max="11003" width="16.54296875" style="47" customWidth="1"/>
    <col min="11004" max="11005" width="17.54296875" style="47" customWidth="1"/>
    <col min="11006" max="11006" width="16.54296875" style="47" customWidth="1"/>
    <col min="11007" max="11007" width="16" style="47" customWidth="1"/>
    <col min="11008" max="11008" width="11.453125" style="47" customWidth="1"/>
    <col min="11009" max="11010" width="8.54296875" style="47"/>
    <col min="11011" max="11011" width="2.453125" style="47" customWidth="1"/>
    <col min="11012" max="11012" width="23.453125" style="47" customWidth="1"/>
    <col min="11013" max="11014" width="8.54296875" style="47"/>
    <col min="11015" max="11015" width="2.54296875" style="47" customWidth="1"/>
    <col min="11016" max="11016" width="24.453125" style="47" customWidth="1"/>
    <col min="11017" max="11255" width="8.54296875" style="47"/>
    <col min="11256" max="11256" width="24.453125" style="47" customWidth="1"/>
    <col min="11257" max="11259" width="16.54296875" style="47" customWidth="1"/>
    <col min="11260" max="11261" width="17.54296875" style="47" customWidth="1"/>
    <col min="11262" max="11262" width="16.54296875" style="47" customWidth="1"/>
    <col min="11263" max="11263" width="16" style="47" customWidth="1"/>
    <col min="11264" max="11264" width="11.453125" style="47" customWidth="1"/>
    <col min="11265" max="11266" width="8.54296875" style="47"/>
    <col min="11267" max="11267" width="2.453125" style="47" customWidth="1"/>
    <col min="11268" max="11268" width="23.453125" style="47" customWidth="1"/>
    <col min="11269" max="11270" width="8.54296875" style="47"/>
    <col min="11271" max="11271" width="2.54296875" style="47" customWidth="1"/>
    <col min="11272" max="11272" width="24.453125" style="47" customWidth="1"/>
    <col min="11273" max="11511" width="8.54296875" style="47"/>
    <col min="11512" max="11512" width="24.453125" style="47" customWidth="1"/>
    <col min="11513" max="11515" width="16.54296875" style="47" customWidth="1"/>
    <col min="11516" max="11517" width="17.54296875" style="47" customWidth="1"/>
    <col min="11518" max="11518" width="16.54296875" style="47" customWidth="1"/>
    <col min="11519" max="11519" width="16" style="47" customWidth="1"/>
    <col min="11520" max="11520" width="11.453125" style="47" customWidth="1"/>
    <col min="11521" max="11522" width="8.54296875" style="47"/>
    <col min="11523" max="11523" width="2.453125" style="47" customWidth="1"/>
    <col min="11524" max="11524" width="23.453125" style="47" customWidth="1"/>
    <col min="11525" max="11526" width="8.54296875" style="47"/>
    <col min="11527" max="11527" width="2.54296875" style="47" customWidth="1"/>
    <col min="11528" max="11528" width="24.453125" style="47" customWidth="1"/>
    <col min="11529" max="11767" width="8.54296875" style="47"/>
    <col min="11768" max="11768" width="24.453125" style="47" customWidth="1"/>
    <col min="11769" max="11771" width="16.54296875" style="47" customWidth="1"/>
    <col min="11772" max="11773" width="17.54296875" style="47" customWidth="1"/>
    <col min="11774" max="11774" width="16.54296875" style="47" customWidth="1"/>
    <col min="11775" max="11775" width="16" style="47" customWidth="1"/>
    <col min="11776" max="11776" width="11.453125" style="47" customWidth="1"/>
    <col min="11777" max="11778" width="8.54296875" style="47"/>
    <col min="11779" max="11779" width="2.453125" style="47" customWidth="1"/>
    <col min="11780" max="11780" width="23.453125" style="47" customWidth="1"/>
    <col min="11781" max="11782" width="8.54296875" style="47"/>
    <col min="11783" max="11783" width="2.54296875" style="47" customWidth="1"/>
    <col min="11784" max="11784" width="24.453125" style="47" customWidth="1"/>
    <col min="11785" max="12023" width="8.54296875" style="47"/>
    <col min="12024" max="12024" width="24.453125" style="47" customWidth="1"/>
    <col min="12025" max="12027" width="16.54296875" style="47" customWidth="1"/>
    <col min="12028" max="12029" width="17.54296875" style="47" customWidth="1"/>
    <col min="12030" max="12030" width="16.54296875" style="47" customWidth="1"/>
    <col min="12031" max="12031" width="16" style="47" customWidth="1"/>
    <col min="12032" max="12032" width="11.453125" style="47" customWidth="1"/>
    <col min="12033" max="12034" width="8.54296875" style="47"/>
    <col min="12035" max="12035" width="2.453125" style="47" customWidth="1"/>
    <col min="12036" max="12036" width="23.453125" style="47" customWidth="1"/>
    <col min="12037" max="12038" width="8.54296875" style="47"/>
    <col min="12039" max="12039" width="2.54296875" style="47" customWidth="1"/>
    <col min="12040" max="12040" width="24.453125" style="47" customWidth="1"/>
    <col min="12041" max="12279" width="8.54296875" style="47"/>
    <col min="12280" max="12280" width="24.453125" style="47" customWidth="1"/>
    <col min="12281" max="12283" width="16.54296875" style="47" customWidth="1"/>
    <col min="12284" max="12285" width="17.54296875" style="47" customWidth="1"/>
    <col min="12286" max="12286" width="16.54296875" style="47" customWidth="1"/>
    <col min="12287" max="12287" width="16" style="47" customWidth="1"/>
    <col min="12288" max="12288" width="11.453125" style="47" customWidth="1"/>
    <col min="12289" max="12290" width="8.54296875" style="47"/>
    <col min="12291" max="12291" width="2.453125" style="47" customWidth="1"/>
    <col min="12292" max="12292" width="23.453125" style="47" customWidth="1"/>
    <col min="12293" max="12294" width="8.54296875" style="47"/>
    <col min="12295" max="12295" width="2.54296875" style="47" customWidth="1"/>
    <col min="12296" max="12296" width="24.453125" style="47" customWidth="1"/>
    <col min="12297" max="12535" width="8.54296875" style="47"/>
    <col min="12536" max="12536" width="24.453125" style="47" customWidth="1"/>
    <col min="12537" max="12539" width="16.54296875" style="47" customWidth="1"/>
    <col min="12540" max="12541" width="17.54296875" style="47" customWidth="1"/>
    <col min="12542" max="12542" width="16.54296875" style="47" customWidth="1"/>
    <col min="12543" max="12543" width="16" style="47" customWidth="1"/>
    <col min="12544" max="12544" width="11.453125" style="47" customWidth="1"/>
    <col min="12545" max="12546" width="8.54296875" style="47"/>
    <col min="12547" max="12547" width="2.453125" style="47" customWidth="1"/>
    <col min="12548" max="12548" width="23.453125" style="47" customWidth="1"/>
    <col min="12549" max="12550" width="8.54296875" style="47"/>
    <col min="12551" max="12551" width="2.54296875" style="47" customWidth="1"/>
    <col min="12552" max="12552" width="24.453125" style="47" customWidth="1"/>
    <col min="12553" max="12791" width="8.54296875" style="47"/>
    <col min="12792" max="12792" width="24.453125" style="47" customWidth="1"/>
    <col min="12793" max="12795" width="16.54296875" style="47" customWidth="1"/>
    <col min="12796" max="12797" width="17.54296875" style="47" customWidth="1"/>
    <col min="12798" max="12798" width="16.54296875" style="47" customWidth="1"/>
    <col min="12799" max="12799" width="16" style="47" customWidth="1"/>
    <col min="12800" max="12800" width="11.453125" style="47" customWidth="1"/>
    <col min="12801" max="12802" width="8.54296875" style="47"/>
    <col min="12803" max="12803" width="2.453125" style="47" customWidth="1"/>
    <col min="12804" max="12804" width="23.453125" style="47" customWidth="1"/>
    <col min="12805" max="12806" width="8.54296875" style="47"/>
    <col min="12807" max="12807" width="2.54296875" style="47" customWidth="1"/>
    <col min="12808" max="12808" width="24.453125" style="47" customWidth="1"/>
    <col min="12809" max="13047" width="8.54296875" style="47"/>
    <col min="13048" max="13048" width="24.453125" style="47" customWidth="1"/>
    <col min="13049" max="13051" width="16.54296875" style="47" customWidth="1"/>
    <col min="13052" max="13053" width="17.54296875" style="47" customWidth="1"/>
    <col min="13054" max="13054" width="16.54296875" style="47" customWidth="1"/>
    <col min="13055" max="13055" width="16" style="47" customWidth="1"/>
    <col min="13056" max="13056" width="11.453125" style="47" customWidth="1"/>
    <col min="13057" max="13058" width="8.54296875" style="47"/>
    <col min="13059" max="13059" width="2.453125" style="47" customWidth="1"/>
    <col min="13060" max="13060" width="23.453125" style="47" customWidth="1"/>
    <col min="13061" max="13062" width="8.54296875" style="47"/>
    <col min="13063" max="13063" width="2.54296875" style="47" customWidth="1"/>
    <col min="13064" max="13064" width="24.453125" style="47" customWidth="1"/>
    <col min="13065" max="13303" width="8.54296875" style="47"/>
    <col min="13304" max="13304" width="24.453125" style="47" customWidth="1"/>
    <col min="13305" max="13307" width="16.54296875" style="47" customWidth="1"/>
    <col min="13308" max="13309" width="17.54296875" style="47" customWidth="1"/>
    <col min="13310" max="13310" width="16.54296875" style="47" customWidth="1"/>
    <col min="13311" max="13311" width="16" style="47" customWidth="1"/>
    <col min="13312" max="13312" width="11.453125" style="47" customWidth="1"/>
    <col min="13313" max="13314" width="8.54296875" style="47"/>
    <col min="13315" max="13315" width="2.453125" style="47" customWidth="1"/>
    <col min="13316" max="13316" width="23.453125" style="47" customWidth="1"/>
    <col min="13317" max="13318" width="8.54296875" style="47"/>
    <col min="13319" max="13319" width="2.54296875" style="47" customWidth="1"/>
    <col min="13320" max="13320" width="24.453125" style="47" customWidth="1"/>
    <col min="13321" max="13559" width="8.54296875" style="47"/>
    <col min="13560" max="13560" width="24.453125" style="47" customWidth="1"/>
    <col min="13561" max="13563" width="16.54296875" style="47" customWidth="1"/>
    <col min="13564" max="13565" width="17.54296875" style="47" customWidth="1"/>
    <col min="13566" max="13566" width="16.54296875" style="47" customWidth="1"/>
    <col min="13567" max="13567" width="16" style="47" customWidth="1"/>
    <col min="13568" max="13568" width="11.453125" style="47" customWidth="1"/>
    <col min="13569" max="13570" width="8.54296875" style="47"/>
    <col min="13571" max="13571" width="2.453125" style="47" customWidth="1"/>
    <col min="13572" max="13572" width="23.453125" style="47" customWidth="1"/>
    <col min="13573" max="13574" width="8.54296875" style="47"/>
    <col min="13575" max="13575" width="2.54296875" style="47" customWidth="1"/>
    <col min="13576" max="13576" width="24.453125" style="47" customWidth="1"/>
    <col min="13577" max="13815" width="8.54296875" style="47"/>
    <col min="13816" max="13816" width="24.453125" style="47" customWidth="1"/>
    <col min="13817" max="13819" width="16.54296875" style="47" customWidth="1"/>
    <col min="13820" max="13821" width="17.54296875" style="47" customWidth="1"/>
    <col min="13822" max="13822" width="16.54296875" style="47" customWidth="1"/>
    <col min="13823" max="13823" width="16" style="47" customWidth="1"/>
    <col min="13824" max="13824" width="11.453125" style="47" customWidth="1"/>
    <col min="13825" max="13826" width="8.54296875" style="47"/>
    <col min="13827" max="13827" width="2.453125" style="47" customWidth="1"/>
    <col min="13828" max="13828" width="23.453125" style="47" customWidth="1"/>
    <col min="13829" max="13830" width="8.54296875" style="47"/>
    <col min="13831" max="13831" width="2.54296875" style="47" customWidth="1"/>
    <col min="13832" max="13832" width="24.453125" style="47" customWidth="1"/>
    <col min="13833" max="14071" width="8.54296875" style="47"/>
    <col min="14072" max="14072" width="24.453125" style="47" customWidth="1"/>
    <col min="14073" max="14075" width="16.54296875" style="47" customWidth="1"/>
    <col min="14076" max="14077" width="17.54296875" style="47" customWidth="1"/>
    <col min="14078" max="14078" width="16.54296875" style="47" customWidth="1"/>
    <col min="14079" max="14079" width="16" style="47" customWidth="1"/>
    <col min="14080" max="14080" width="11.453125" style="47" customWidth="1"/>
    <col min="14081" max="14082" width="8.54296875" style="47"/>
    <col min="14083" max="14083" width="2.453125" style="47" customWidth="1"/>
    <col min="14084" max="14084" width="23.453125" style="47" customWidth="1"/>
    <col min="14085" max="14086" width="8.54296875" style="47"/>
    <col min="14087" max="14087" width="2.54296875" style="47" customWidth="1"/>
    <col min="14088" max="14088" width="24.453125" style="47" customWidth="1"/>
    <col min="14089" max="14327" width="8.54296875" style="47"/>
    <col min="14328" max="14328" width="24.453125" style="47" customWidth="1"/>
    <col min="14329" max="14331" width="16.54296875" style="47" customWidth="1"/>
    <col min="14332" max="14333" width="17.54296875" style="47" customWidth="1"/>
    <col min="14334" max="14334" width="16.54296875" style="47" customWidth="1"/>
    <col min="14335" max="14335" width="16" style="47" customWidth="1"/>
    <col min="14336" max="14336" width="11.453125" style="47" customWidth="1"/>
    <col min="14337" max="14338" width="8.54296875" style="47"/>
    <col min="14339" max="14339" width="2.453125" style="47" customWidth="1"/>
    <col min="14340" max="14340" width="23.453125" style="47" customWidth="1"/>
    <col min="14341" max="14342" width="8.54296875" style="47"/>
    <col min="14343" max="14343" width="2.54296875" style="47" customWidth="1"/>
    <col min="14344" max="14344" width="24.453125" style="47" customWidth="1"/>
    <col min="14345" max="14583" width="8.54296875" style="47"/>
    <col min="14584" max="14584" width="24.453125" style="47" customWidth="1"/>
    <col min="14585" max="14587" width="16.54296875" style="47" customWidth="1"/>
    <col min="14588" max="14589" width="17.54296875" style="47" customWidth="1"/>
    <col min="14590" max="14590" width="16.54296875" style="47" customWidth="1"/>
    <col min="14591" max="14591" width="16" style="47" customWidth="1"/>
    <col min="14592" max="14592" width="11.453125" style="47" customWidth="1"/>
    <col min="14593" max="14594" width="8.54296875" style="47"/>
    <col min="14595" max="14595" width="2.453125" style="47" customWidth="1"/>
    <col min="14596" max="14596" width="23.453125" style="47" customWidth="1"/>
    <col min="14597" max="14598" width="8.54296875" style="47"/>
    <col min="14599" max="14599" width="2.54296875" style="47" customWidth="1"/>
    <col min="14600" max="14600" width="24.453125" style="47" customWidth="1"/>
    <col min="14601" max="14839" width="8.54296875" style="47"/>
    <col min="14840" max="14840" width="24.453125" style="47" customWidth="1"/>
    <col min="14841" max="14843" width="16.54296875" style="47" customWidth="1"/>
    <col min="14844" max="14845" width="17.54296875" style="47" customWidth="1"/>
    <col min="14846" max="14846" width="16.54296875" style="47" customWidth="1"/>
    <col min="14847" max="14847" width="16" style="47" customWidth="1"/>
    <col min="14848" max="14848" width="11.453125" style="47" customWidth="1"/>
    <col min="14849" max="14850" width="8.54296875" style="47"/>
    <col min="14851" max="14851" width="2.453125" style="47" customWidth="1"/>
    <col min="14852" max="14852" width="23.453125" style="47" customWidth="1"/>
    <col min="14853" max="14854" width="8.54296875" style="47"/>
    <col min="14855" max="14855" width="2.54296875" style="47" customWidth="1"/>
    <col min="14856" max="14856" width="24.453125" style="47" customWidth="1"/>
    <col min="14857" max="15095" width="8.54296875" style="47"/>
    <col min="15096" max="15096" width="24.453125" style="47" customWidth="1"/>
    <col min="15097" max="15099" width="16.54296875" style="47" customWidth="1"/>
    <col min="15100" max="15101" width="17.54296875" style="47" customWidth="1"/>
    <col min="15102" max="15102" width="16.54296875" style="47" customWidth="1"/>
    <col min="15103" max="15103" width="16" style="47" customWidth="1"/>
    <col min="15104" max="15104" width="11.453125" style="47" customWidth="1"/>
    <col min="15105" max="15106" width="8.54296875" style="47"/>
    <col min="15107" max="15107" width="2.453125" style="47" customWidth="1"/>
    <col min="15108" max="15108" width="23.453125" style="47" customWidth="1"/>
    <col min="15109" max="15110" width="8.54296875" style="47"/>
    <col min="15111" max="15111" width="2.54296875" style="47" customWidth="1"/>
    <col min="15112" max="15112" width="24.453125" style="47" customWidth="1"/>
    <col min="15113" max="15351" width="8.54296875" style="47"/>
    <col min="15352" max="15352" width="24.453125" style="47" customWidth="1"/>
    <col min="15353" max="15355" width="16.54296875" style="47" customWidth="1"/>
    <col min="15356" max="15357" width="17.54296875" style="47" customWidth="1"/>
    <col min="15358" max="15358" width="16.54296875" style="47" customWidth="1"/>
    <col min="15359" max="15359" width="16" style="47" customWidth="1"/>
    <col min="15360" max="15360" width="11.453125" style="47" customWidth="1"/>
    <col min="15361" max="15362" width="8.54296875" style="47"/>
    <col min="15363" max="15363" width="2.453125" style="47" customWidth="1"/>
    <col min="15364" max="15364" width="23.453125" style="47" customWidth="1"/>
    <col min="15365" max="15366" width="8.54296875" style="47"/>
    <col min="15367" max="15367" width="2.54296875" style="47" customWidth="1"/>
    <col min="15368" max="15368" width="24.453125" style="47" customWidth="1"/>
    <col min="15369" max="15607" width="8.54296875" style="47"/>
    <col min="15608" max="15608" width="24.453125" style="47" customWidth="1"/>
    <col min="15609" max="15611" width="16.54296875" style="47" customWidth="1"/>
    <col min="15612" max="15613" width="17.54296875" style="47" customWidth="1"/>
    <col min="15614" max="15614" width="16.54296875" style="47" customWidth="1"/>
    <col min="15615" max="15615" width="16" style="47" customWidth="1"/>
    <col min="15616" max="15616" width="11.453125" style="47" customWidth="1"/>
    <col min="15617" max="15618" width="8.54296875" style="47"/>
    <col min="15619" max="15619" width="2.453125" style="47" customWidth="1"/>
    <col min="15620" max="15620" width="23.453125" style="47" customWidth="1"/>
    <col min="15621" max="15622" width="8.54296875" style="47"/>
    <col min="15623" max="15623" width="2.54296875" style="47" customWidth="1"/>
    <col min="15624" max="15624" width="24.453125" style="47" customWidth="1"/>
    <col min="15625" max="15863" width="8.54296875" style="47"/>
    <col min="15864" max="15864" width="24.453125" style="47" customWidth="1"/>
    <col min="15865" max="15867" width="16.54296875" style="47" customWidth="1"/>
    <col min="15868" max="15869" width="17.54296875" style="47" customWidth="1"/>
    <col min="15870" max="15870" width="16.54296875" style="47" customWidth="1"/>
    <col min="15871" max="15871" width="16" style="47" customWidth="1"/>
    <col min="15872" max="15872" width="11.453125" style="47" customWidth="1"/>
    <col min="15873" max="15874" width="8.54296875" style="47"/>
    <col min="15875" max="15875" width="2.453125" style="47" customWidth="1"/>
    <col min="15876" max="15876" width="23.453125" style="47" customWidth="1"/>
    <col min="15877" max="15878" width="8.54296875" style="47"/>
    <col min="15879" max="15879" width="2.54296875" style="47" customWidth="1"/>
    <col min="15880" max="15880" width="24.453125" style="47" customWidth="1"/>
    <col min="15881" max="16119" width="8.54296875" style="47"/>
    <col min="16120" max="16120" width="24.453125" style="47" customWidth="1"/>
    <col min="16121" max="16123" width="16.54296875" style="47" customWidth="1"/>
    <col min="16124" max="16125" width="17.54296875" style="47" customWidth="1"/>
    <col min="16126" max="16126" width="16.54296875" style="47" customWidth="1"/>
    <col min="16127" max="16127" width="16" style="47" customWidth="1"/>
    <col min="16128" max="16128" width="11.453125" style="47" customWidth="1"/>
    <col min="16129" max="16130" width="8.54296875" style="47"/>
    <col min="16131" max="16131" width="2.453125" style="47" customWidth="1"/>
    <col min="16132" max="16132" width="23.453125" style="47" customWidth="1"/>
    <col min="16133" max="16134" width="8.54296875" style="47"/>
    <col min="16135" max="16135" width="2.54296875" style="47" customWidth="1"/>
    <col min="16136" max="16136" width="24.453125" style="47" customWidth="1"/>
    <col min="16137" max="16384" width="8.54296875" style="47"/>
  </cols>
  <sheetData>
    <row r="1" spans="1:16" ht="13" thickBot="1">
      <c r="A1" s="3621"/>
      <c r="B1" s="3622"/>
      <c r="C1" s="3622"/>
      <c r="D1" s="3622"/>
      <c r="E1" s="3622"/>
      <c r="F1" s="3622"/>
      <c r="G1" s="3622"/>
      <c r="H1" s="3622"/>
      <c r="I1" s="3622"/>
      <c r="J1" s="3622"/>
      <c r="K1" s="3623"/>
      <c r="L1" s="3620"/>
      <c r="M1" s="3620"/>
      <c r="N1" s="3620"/>
      <c r="O1" s="3620"/>
      <c r="P1" s="3620"/>
    </row>
    <row r="2" spans="1:16" ht="18">
      <c r="A2" s="3624"/>
      <c r="B2" s="4480" t="s">
        <v>54</v>
      </c>
      <c r="C2" s="4481"/>
      <c r="D2" s="4481"/>
      <c r="E2" s="4481"/>
      <c r="F2" s="4481"/>
      <c r="G2" s="4481"/>
      <c r="H2" s="4481"/>
      <c r="I2" s="4481"/>
      <c r="J2" s="4482"/>
      <c r="K2" s="3625"/>
      <c r="L2" s="3620"/>
      <c r="M2" s="3620"/>
      <c r="N2" s="3620"/>
      <c r="O2" s="3620"/>
      <c r="P2" s="3620"/>
    </row>
    <row r="3" spans="1:16" ht="18">
      <c r="A3" s="3624"/>
      <c r="B3" s="4483" t="s">
        <v>634</v>
      </c>
      <c r="C3" s="4484"/>
      <c r="D3" s="4484"/>
      <c r="E3" s="4484"/>
      <c r="F3" s="4484"/>
      <c r="G3" s="4484"/>
      <c r="H3" s="4484"/>
      <c r="I3" s="4484"/>
      <c r="J3" s="4485"/>
      <c r="K3" s="3625"/>
      <c r="L3" s="3620"/>
      <c r="M3" s="3620"/>
      <c r="N3" s="3620"/>
      <c r="O3" s="3620"/>
      <c r="P3" s="3620"/>
    </row>
    <row r="4" spans="1:16" ht="18.5" thickBot="1">
      <c r="A4" s="3624"/>
      <c r="B4" s="4486" t="s">
        <v>809</v>
      </c>
      <c r="C4" s="4487"/>
      <c r="D4" s="4487"/>
      <c r="E4" s="4487"/>
      <c r="F4" s="4487"/>
      <c r="G4" s="4487"/>
      <c r="H4" s="4487"/>
      <c r="I4" s="4487"/>
      <c r="J4" s="4488"/>
      <c r="K4" s="3625"/>
      <c r="L4" s="3620"/>
      <c r="M4" s="3620"/>
      <c r="N4" s="3620"/>
      <c r="O4" s="3620"/>
      <c r="P4" s="3620"/>
    </row>
    <row r="5" spans="1:16" ht="18.5" thickBot="1">
      <c r="A5" s="3626"/>
      <c r="B5" s="3627"/>
      <c r="C5" s="3627"/>
      <c r="D5" s="3627"/>
      <c r="E5" s="3627"/>
      <c r="F5" s="3627"/>
      <c r="G5" s="3627"/>
      <c r="H5" s="3627"/>
      <c r="I5" s="3627"/>
      <c r="J5" s="3627"/>
      <c r="K5" s="3628"/>
      <c r="L5" s="3620"/>
      <c r="M5" s="3620"/>
      <c r="N5" s="3620"/>
      <c r="O5" s="3620"/>
      <c r="P5" s="3620"/>
    </row>
    <row r="6" spans="1:16" ht="13.5" thickBot="1">
      <c r="A6" s="4779" t="s">
        <v>813</v>
      </c>
      <c r="B6" s="4689"/>
      <c r="C6" s="4689"/>
      <c r="D6" s="4689"/>
      <c r="E6" s="4689"/>
      <c r="F6" s="4689"/>
      <c r="G6" s="4689"/>
      <c r="H6" s="4689"/>
      <c r="I6" s="4689"/>
      <c r="J6" s="4689"/>
      <c r="K6" s="4780"/>
      <c r="L6" s="3620"/>
      <c r="M6" s="3620"/>
      <c r="N6" s="3620"/>
      <c r="O6" s="3620"/>
      <c r="P6" s="3620"/>
    </row>
    <row r="7" spans="1:16" ht="16" thickBot="1">
      <c r="A7" s="3629"/>
      <c r="B7" s="3630"/>
      <c r="C7" s="3631"/>
      <c r="D7" s="3631"/>
      <c r="E7" s="3632"/>
      <c r="F7" s="3630"/>
      <c r="G7" s="3633"/>
      <c r="H7" s="3634"/>
      <c r="I7" s="3632"/>
      <c r="J7" s="3630"/>
      <c r="K7" s="3635"/>
      <c r="L7" s="3620"/>
      <c r="M7" s="3620"/>
      <c r="N7" s="3620"/>
      <c r="O7" s="3620"/>
      <c r="P7" s="3620"/>
    </row>
    <row r="8" spans="1:16" ht="28.5" customHeight="1" thickBot="1">
      <c r="A8" s="3629"/>
      <c r="B8" s="3636" t="s">
        <v>1781</v>
      </c>
      <c r="C8" s="3637" t="s">
        <v>2038</v>
      </c>
      <c r="D8" s="3631"/>
      <c r="E8" s="3632"/>
      <c r="F8" s="3630"/>
      <c r="G8" s="3636" t="s">
        <v>1781</v>
      </c>
      <c r="H8" s="3637" t="s">
        <v>1783</v>
      </c>
      <c r="I8" s="3632"/>
      <c r="J8" s="3630"/>
      <c r="K8" s="3635"/>
      <c r="L8" s="3620"/>
      <c r="M8" s="3620"/>
      <c r="N8" s="3620"/>
      <c r="O8" s="3620"/>
      <c r="P8" s="3620"/>
    </row>
    <row r="9" spans="1:16" ht="16" thickBot="1">
      <c r="A9" s="3629"/>
      <c r="B9" s="5087" t="s">
        <v>807</v>
      </c>
      <c r="C9" s="5088"/>
      <c r="D9" s="3638"/>
      <c r="E9" s="3632"/>
      <c r="F9" s="3630"/>
      <c r="G9" s="5089" t="s">
        <v>808</v>
      </c>
      <c r="H9" s="5090"/>
      <c r="I9" s="3632"/>
      <c r="J9" s="3630"/>
      <c r="K9" s="3635"/>
      <c r="L9" s="3620"/>
      <c r="M9" s="3620"/>
      <c r="N9" s="3620"/>
      <c r="O9" s="3620"/>
      <c r="P9" s="3620"/>
    </row>
    <row r="10" spans="1:16" ht="15.5">
      <c r="A10" s="3629"/>
      <c r="B10" s="5075" t="s">
        <v>2</v>
      </c>
      <c r="C10" s="5077" t="s">
        <v>746</v>
      </c>
      <c r="D10" s="3639"/>
      <c r="E10" s="3632"/>
      <c r="F10" s="3630"/>
      <c r="G10" s="5079" t="s">
        <v>2</v>
      </c>
      <c r="H10" s="5083" t="s">
        <v>746</v>
      </c>
      <c r="I10" s="3632"/>
      <c r="J10" s="3630"/>
      <c r="K10" s="3635"/>
      <c r="L10" s="3620"/>
      <c r="M10" s="3620"/>
      <c r="N10" s="3620"/>
      <c r="O10" s="3620"/>
      <c r="P10" s="3620"/>
    </row>
    <row r="11" spans="1:16" ht="16" thickBot="1">
      <c r="A11" s="3629"/>
      <c r="B11" s="5091"/>
      <c r="C11" s="5078"/>
      <c r="D11" s="3639"/>
      <c r="E11" s="3630"/>
      <c r="F11" s="3630"/>
      <c r="G11" s="5080"/>
      <c r="H11" s="5084"/>
      <c r="I11" s="3640"/>
      <c r="J11" s="3630"/>
      <c r="K11" s="3635"/>
      <c r="L11" s="3620"/>
      <c r="M11" s="3620"/>
      <c r="N11" s="3620"/>
      <c r="O11" s="3620"/>
      <c r="P11" s="3620"/>
    </row>
    <row r="12" spans="1:16" ht="18">
      <c r="A12" s="3629"/>
      <c r="B12" s="3641" t="s">
        <v>755</v>
      </c>
      <c r="C12" s="3642">
        <v>0</v>
      </c>
      <c r="D12" s="3643"/>
      <c r="E12" s="3644"/>
      <c r="F12" s="3630"/>
      <c r="G12" s="3645" t="s">
        <v>298</v>
      </c>
      <c r="H12" s="3646">
        <v>7.1075992885171602E-5</v>
      </c>
      <c r="I12" s="3647"/>
      <c r="J12" s="3647"/>
      <c r="K12" s="3648"/>
      <c r="L12" s="3649"/>
      <c r="M12" s="3649"/>
      <c r="N12" s="3649"/>
      <c r="O12" s="3649"/>
      <c r="P12" s="3650"/>
    </row>
    <row r="13" spans="1:16" ht="18">
      <c r="A13" s="3629"/>
      <c r="B13" s="3641" t="s">
        <v>47</v>
      </c>
      <c r="C13" s="3642">
        <v>0</v>
      </c>
      <c r="D13" s="3643"/>
      <c r="E13" s="3632"/>
      <c r="F13" s="3630"/>
      <c r="G13" s="3651" t="s">
        <v>5</v>
      </c>
      <c r="H13" s="3646">
        <v>0</v>
      </c>
      <c r="I13" s="3652"/>
      <c r="J13" s="3652"/>
      <c r="K13" s="3653"/>
      <c r="L13" s="3654"/>
      <c r="M13" s="3654"/>
      <c r="N13" s="3654"/>
      <c r="O13" s="3655"/>
      <c r="P13" s="3650"/>
    </row>
    <row r="14" spans="1:16" ht="18">
      <c r="A14" s="3629"/>
      <c r="B14" s="3641" t="s">
        <v>4</v>
      </c>
      <c r="C14" s="3642">
        <v>2.5188037803822501E-10</v>
      </c>
      <c r="D14" s="3643"/>
      <c r="E14" s="3630"/>
      <c r="F14" s="3630"/>
      <c r="G14" s="3651" t="s">
        <v>4</v>
      </c>
      <c r="H14" s="3646">
        <v>2.5188037803822501E-10</v>
      </c>
      <c r="I14" s="3652"/>
      <c r="J14" s="3652"/>
      <c r="K14" s="3653"/>
      <c r="L14" s="3654"/>
      <c r="M14" s="3654"/>
      <c r="N14" s="3654"/>
      <c r="O14" s="3655"/>
      <c r="P14" s="3650"/>
    </row>
    <row r="15" spans="1:16" ht="18">
      <c r="A15" s="3629"/>
      <c r="B15" s="3641" t="s">
        <v>290</v>
      </c>
      <c r="C15" s="3642">
        <v>6.92821156392122E-6</v>
      </c>
      <c r="D15" s="3643"/>
      <c r="E15" s="3644"/>
      <c r="F15" s="3630"/>
      <c r="G15" s="3651" t="s">
        <v>3</v>
      </c>
      <c r="H15" s="3646">
        <v>6.92821156392122E-6</v>
      </c>
      <c r="I15" s="3652"/>
      <c r="J15" s="3652"/>
      <c r="K15" s="3653"/>
      <c r="L15" s="3654"/>
      <c r="M15" s="3654"/>
      <c r="N15" s="3654"/>
      <c r="O15" s="3655"/>
      <c r="P15" s="3650"/>
    </row>
    <row r="16" spans="1:16" ht="18">
      <c r="A16" s="3629"/>
      <c r="B16" s="3641" t="s">
        <v>6</v>
      </c>
      <c r="C16" s="3642">
        <v>2.5768005547794098E-6</v>
      </c>
      <c r="D16" s="3643"/>
      <c r="E16" s="3656"/>
      <c r="F16" s="3630"/>
      <c r="G16" s="3651" t="s">
        <v>6</v>
      </c>
      <c r="H16" s="3646">
        <v>2.5768005547794098E-6</v>
      </c>
      <c r="I16" s="3652"/>
      <c r="J16" s="3652"/>
      <c r="K16" s="3653"/>
      <c r="L16" s="3654"/>
      <c r="M16" s="3654"/>
      <c r="N16" s="3654"/>
      <c r="O16" s="3655"/>
      <c r="P16" s="3650"/>
    </row>
    <row r="17" spans="1:16" ht="18">
      <c r="A17" s="3629"/>
      <c r="B17" s="3641" t="s">
        <v>7</v>
      </c>
      <c r="C17" s="3642">
        <v>2.0236572661471199E-3</v>
      </c>
      <c r="D17" s="3643"/>
      <c r="E17" s="3657"/>
      <c r="F17" s="3630"/>
      <c r="G17" s="3651" t="s">
        <v>7</v>
      </c>
      <c r="H17" s="3646">
        <v>2.0236572661471199E-3</v>
      </c>
      <c r="I17" s="3652"/>
      <c r="J17" s="3652"/>
      <c r="K17" s="3653"/>
      <c r="L17" s="3654"/>
      <c r="M17" s="3654"/>
      <c r="N17" s="3654"/>
      <c r="O17" s="3655"/>
      <c r="P17" s="3650"/>
    </row>
    <row r="18" spans="1:16" ht="18">
      <c r="A18" s="3629"/>
      <c r="B18" s="3641" t="s">
        <v>8</v>
      </c>
      <c r="C18" s="3642">
        <v>1.0010017151992699E-2</v>
      </c>
      <c r="D18" s="3643"/>
      <c r="E18" s="3657"/>
      <c r="F18" s="3630"/>
      <c r="G18" s="3651" t="s">
        <v>8</v>
      </c>
      <c r="H18" s="3646">
        <v>1.0010017151992699E-2</v>
      </c>
      <c r="I18" s="3652"/>
      <c r="J18" s="3652"/>
      <c r="K18" s="3653"/>
      <c r="L18" s="3654"/>
      <c r="M18" s="3654"/>
      <c r="N18" s="3654"/>
      <c r="O18" s="3655"/>
      <c r="P18" s="3650"/>
    </row>
    <row r="19" spans="1:16" ht="18">
      <c r="A19" s="3629"/>
      <c r="B19" s="3641" t="s">
        <v>678</v>
      </c>
      <c r="C19" s="3642">
        <v>1.1556182657934899E-2</v>
      </c>
      <c r="D19" s="3643"/>
      <c r="E19" s="3657"/>
      <c r="F19" s="3630"/>
      <c r="G19" s="3651" t="s">
        <v>747</v>
      </c>
      <c r="H19" s="3646">
        <v>1.1556182657934899E-2</v>
      </c>
      <c r="I19" s="3652"/>
      <c r="J19" s="3652"/>
      <c r="K19" s="3653"/>
      <c r="L19" s="3654"/>
      <c r="M19" s="3654"/>
      <c r="N19" s="3654"/>
      <c r="O19" s="3655"/>
      <c r="P19" s="3650"/>
    </row>
    <row r="20" spans="1:16" ht="18">
      <c r="A20" s="3629"/>
      <c r="B20" s="3658" t="s">
        <v>67</v>
      </c>
      <c r="C20" s="3659">
        <v>4.7009282607921601E-2</v>
      </c>
      <c r="D20" s="3643"/>
      <c r="E20" s="3657"/>
      <c r="F20" s="3630"/>
      <c r="G20" s="3651" t="s">
        <v>748</v>
      </c>
      <c r="H20" s="3646">
        <v>4.7009282607921601E-2</v>
      </c>
      <c r="I20" s="3652"/>
      <c r="J20" s="3652"/>
      <c r="K20" s="3653"/>
      <c r="L20" s="3654"/>
      <c r="M20" s="3654"/>
      <c r="N20" s="3654"/>
      <c r="O20" s="3655"/>
      <c r="P20" s="3650"/>
    </row>
    <row r="21" spans="1:16" ht="18">
      <c r="A21" s="3629"/>
      <c r="B21" s="3660" t="s">
        <v>756</v>
      </c>
      <c r="C21" s="3661">
        <v>5.8968893055047803E-4</v>
      </c>
      <c r="D21" s="3643"/>
      <c r="E21" s="3657"/>
      <c r="F21" s="3630"/>
      <c r="G21" s="3651" t="s">
        <v>749</v>
      </c>
      <c r="H21" s="3646">
        <v>3.7890180891215999E-2</v>
      </c>
      <c r="I21" s="3652"/>
      <c r="J21" s="3652"/>
      <c r="K21" s="3653"/>
      <c r="L21" s="3654"/>
      <c r="M21" s="3654"/>
      <c r="N21" s="3654"/>
      <c r="O21" s="3655"/>
      <c r="P21" s="3650"/>
    </row>
    <row r="22" spans="1:16" ht="18">
      <c r="A22" s="3629"/>
      <c r="B22" s="3641" t="s">
        <v>679</v>
      </c>
      <c r="C22" s="3642">
        <v>3.7890180891215999E-2</v>
      </c>
      <c r="D22" s="3643"/>
      <c r="E22" s="3657"/>
      <c r="F22" s="3630"/>
      <c r="G22" s="3651" t="s">
        <v>750</v>
      </c>
      <c r="H22" s="3646">
        <v>5.3987609734404501E-2</v>
      </c>
      <c r="I22" s="3652"/>
      <c r="J22" s="3652"/>
      <c r="K22" s="3653"/>
      <c r="L22" s="3654"/>
      <c r="M22" s="3654"/>
      <c r="N22" s="3654"/>
      <c r="O22" s="3655"/>
      <c r="P22" s="3650"/>
    </row>
    <row r="23" spans="1:16" ht="18">
      <c r="A23" s="3629"/>
      <c r="B23" s="3662" t="s">
        <v>69</v>
      </c>
      <c r="C23" s="3642">
        <v>5.3987609734404501E-2</v>
      </c>
      <c r="D23" s="3643"/>
      <c r="E23" s="3630"/>
      <c r="F23" s="3630"/>
      <c r="G23" s="3651" t="s">
        <v>800</v>
      </c>
      <c r="H23" s="3646">
        <v>0</v>
      </c>
      <c r="I23" s="3652"/>
      <c r="J23" s="3652"/>
      <c r="K23" s="3653"/>
      <c r="L23" s="3654"/>
      <c r="M23" s="3654"/>
      <c r="N23" s="3654"/>
      <c r="O23" s="3655"/>
      <c r="P23" s="3650"/>
    </row>
    <row r="24" spans="1:16" ht="18">
      <c r="A24" s="3629"/>
      <c r="B24" s="3663" t="s">
        <v>757</v>
      </c>
      <c r="C24" s="3661">
        <v>5.4419947890042798E-4</v>
      </c>
      <c r="D24" s="3643"/>
      <c r="E24" s="3630"/>
      <c r="F24" s="3630"/>
      <c r="G24" s="3664" t="s">
        <v>292</v>
      </c>
      <c r="H24" s="3665">
        <v>3.9558869691642747E-2</v>
      </c>
      <c r="I24" s="3652"/>
      <c r="J24" s="3652"/>
      <c r="K24" s="3653"/>
      <c r="L24" s="3654"/>
      <c r="M24" s="3654"/>
      <c r="N24" s="3654"/>
      <c r="O24" s="3655"/>
      <c r="P24" s="3650"/>
    </row>
    <row r="25" spans="1:16" ht="18">
      <c r="A25" s="3629"/>
      <c r="B25" s="3662" t="s">
        <v>99</v>
      </c>
      <c r="C25" s="3642">
        <v>0</v>
      </c>
      <c r="D25" s="3643"/>
      <c r="E25" s="3630"/>
      <c r="F25" s="3630"/>
      <c r="G25" s="3651" t="s">
        <v>10</v>
      </c>
      <c r="H25" s="3646">
        <v>2.9742316792558399E-2</v>
      </c>
      <c r="I25" s="3652"/>
      <c r="J25" s="3652"/>
      <c r="K25" s="3653"/>
      <c r="L25" s="3654"/>
      <c r="M25" s="3654"/>
      <c r="N25" s="3654"/>
      <c r="O25" s="3655"/>
      <c r="P25" s="3650"/>
    </row>
    <row r="26" spans="1:16" ht="18">
      <c r="A26" s="3629"/>
      <c r="B26" s="3663" t="s">
        <v>758</v>
      </c>
      <c r="C26" s="3661">
        <v>7.09737575881464E-3</v>
      </c>
      <c r="D26" s="3643"/>
      <c r="E26" s="3630"/>
      <c r="F26" s="3630"/>
      <c r="G26" s="3651" t="s">
        <v>9</v>
      </c>
      <c r="H26" s="3646">
        <v>2.3820661424693201E-2</v>
      </c>
      <c r="I26" s="3652"/>
      <c r="J26" s="3652"/>
      <c r="K26" s="3653"/>
      <c r="L26" s="3654"/>
      <c r="M26" s="3654"/>
      <c r="N26" s="3654"/>
      <c r="O26" s="3655"/>
      <c r="P26" s="3650"/>
    </row>
    <row r="27" spans="1:16" ht="18">
      <c r="A27" s="3629"/>
      <c r="B27" s="3663" t="s">
        <v>759</v>
      </c>
      <c r="C27" s="3661">
        <v>1.9698017863424001E-2</v>
      </c>
      <c r="D27" s="3643"/>
      <c r="E27" s="3630"/>
      <c r="F27" s="3630"/>
      <c r="G27" s="3651" t="s">
        <v>11</v>
      </c>
      <c r="H27" s="3646">
        <v>2.4058192361469999E-2</v>
      </c>
      <c r="I27" s="3652"/>
      <c r="J27" s="3652"/>
      <c r="K27" s="3653"/>
      <c r="L27" s="3654"/>
      <c r="M27" s="3654"/>
      <c r="N27" s="3654"/>
      <c r="O27" s="3655"/>
      <c r="P27" s="3650"/>
    </row>
    <row r="28" spans="1:16" ht="18">
      <c r="A28" s="3629"/>
      <c r="B28" s="3663" t="s">
        <v>760</v>
      </c>
      <c r="C28" s="3661">
        <v>1.16295876599532E-2</v>
      </c>
      <c r="D28" s="3643"/>
      <c r="E28" s="3630"/>
      <c r="F28" s="3630"/>
      <c r="G28" s="3651" t="s">
        <v>12</v>
      </c>
      <c r="H28" s="3646">
        <v>5.3395873627285297E-2</v>
      </c>
      <c r="I28" s="3652"/>
      <c r="J28" s="3652"/>
      <c r="K28" s="3653"/>
      <c r="L28" s="3654"/>
      <c r="M28" s="3654"/>
      <c r="N28" s="3654"/>
      <c r="O28" s="3655"/>
      <c r="P28" s="3650"/>
    </row>
    <row r="29" spans="1:16" ht="36">
      <c r="A29" s="3629"/>
      <c r="B29" s="3666" t="s">
        <v>10</v>
      </c>
      <c r="C29" s="3659">
        <v>2.9742316792558399E-2</v>
      </c>
      <c r="D29" s="3643"/>
      <c r="E29" s="3630"/>
      <c r="F29" s="3630"/>
      <c r="G29" s="3651" t="s">
        <v>286</v>
      </c>
      <c r="H29" s="3646">
        <v>0</v>
      </c>
      <c r="I29" s="3652"/>
      <c r="J29" s="3652"/>
      <c r="K29" s="3653"/>
      <c r="L29" s="3654"/>
      <c r="M29" s="3654"/>
      <c r="N29" s="3654"/>
      <c r="O29" s="3655"/>
      <c r="P29" s="3650"/>
    </row>
    <row r="30" spans="1:16" ht="18">
      <c r="A30" s="3629"/>
      <c r="B30" s="3666" t="s">
        <v>761</v>
      </c>
      <c r="C30" s="3659">
        <v>0</v>
      </c>
      <c r="D30" s="3643"/>
      <c r="E30" s="3630"/>
      <c r="F30" s="3630"/>
      <c r="G30" s="3667" t="s">
        <v>801</v>
      </c>
      <c r="H30" s="3668">
        <v>2.008956685934972E-2</v>
      </c>
      <c r="I30" s="3652"/>
      <c r="J30" s="3652"/>
      <c r="K30" s="3653"/>
      <c r="L30" s="3654"/>
      <c r="M30" s="3654"/>
      <c r="N30" s="3654"/>
      <c r="O30" s="3655"/>
      <c r="P30" s="3650"/>
    </row>
    <row r="31" spans="1:16" ht="18">
      <c r="A31" s="3629"/>
      <c r="B31" s="3666" t="s">
        <v>762</v>
      </c>
      <c r="C31" s="3659">
        <v>2.3820661424693201E-2</v>
      </c>
      <c r="D31" s="3643"/>
      <c r="E31" s="3630"/>
      <c r="F31" s="3630"/>
      <c r="G31" s="3669" t="s">
        <v>65</v>
      </c>
      <c r="H31" s="3670">
        <v>5.8719762587801601E-2</v>
      </c>
      <c r="I31" s="3652"/>
      <c r="J31" s="3652"/>
      <c r="K31" s="3653"/>
      <c r="L31" s="3654"/>
      <c r="M31" s="3654"/>
      <c r="N31" s="3654"/>
      <c r="O31" s="3655"/>
      <c r="P31" s="3650"/>
    </row>
    <row r="32" spans="1:16" ht="18">
      <c r="A32" s="3629"/>
      <c r="B32" s="3666" t="s">
        <v>11</v>
      </c>
      <c r="C32" s="3659">
        <v>2.4058192361469999E-2</v>
      </c>
      <c r="D32" s="3643"/>
      <c r="E32" s="3630"/>
      <c r="F32" s="3630"/>
      <c r="G32" s="3651" t="s">
        <v>13</v>
      </c>
      <c r="H32" s="3646">
        <v>3.7421087735642698E-2</v>
      </c>
      <c r="I32" s="3652"/>
      <c r="J32" s="3652"/>
      <c r="K32" s="3653"/>
      <c r="L32" s="3654"/>
      <c r="M32" s="3654"/>
      <c r="N32" s="3654"/>
      <c r="O32" s="3655"/>
      <c r="P32" s="3650"/>
    </row>
    <row r="33" spans="1:16" ht="18">
      <c r="A33" s="3629"/>
      <c r="B33" s="3666" t="s">
        <v>12</v>
      </c>
      <c r="C33" s="3659">
        <v>5.3395873627285297E-2</v>
      </c>
      <c r="D33" s="3643"/>
      <c r="E33" s="3630"/>
      <c r="F33" s="3630"/>
      <c r="G33" s="3651" t="s">
        <v>14</v>
      </c>
      <c r="H33" s="3646">
        <v>3.52897660899084E-2</v>
      </c>
      <c r="I33" s="3652"/>
      <c r="J33" s="3652"/>
      <c r="K33" s="3653"/>
      <c r="L33" s="3654"/>
      <c r="M33" s="3654"/>
      <c r="N33" s="3654"/>
      <c r="O33" s="3655"/>
      <c r="P33" s="3650"/>
    </row>
    <row r="34" spans="1:16" ht="18">
      <c r="A34" s="3629"/>
      <c r="B34" s="3671" t="s">
        <v>763</v>
      </c>
      <c r="C34" s="3672">
        <v>9.4867472543779495E-3</v>
      </c>
      <c r="D34" s="3643"/>
      <c r="E34" s="3630"/>
      <c r="F34" s="3630"/>
      <c r="G34" s="3673" t="s">
        <v>804</v>
      </c>
      <c r="H34" s="3674">
        <v>6.8045656507306637E-2</v>
      </c>
      <c r="I34" s="3652"/>
      <c r="J34" s="3652"/>
      <c r="K34" s="3653"/>
      <c r="L34" s="3654"/>
      <c r="M34" s="3654"/>
      <c r="N34" s="3654"/>
      <c r="O34" s="3655"/>
      <c r="P34" s="3650"/>
    </row>
    <row r="35" spans="1:16" ht="18">
      <c r="A35" s="3629"/>
      <c r="B35" s="3671" t="s">
        <v>764</v>
      </c>
      <c r="C35" s="3672">
        <v>8.5709569246837005E-3</v>
      </c>
      <c r="D35" s="3643"/>
      <c r="E35" s="3630"/>
      <c r="F35" s="3630"/>
      <c r="G35" s="3651" t="s">
        <v>16</v>
      </c>
      <c r="H35" s="3646">
        <v>1.83423632609768E-3</v>
      </c>
      <c r="I35" s="3652"/>
      <c r="J35" s="3652"/>
      <c r="K35" s="3653"/>
      <c r="L35" s="3654"/>
      <c r="M35" s="3654"/>
      <c r="N35" s="3654"/>
      <c r="O35" s="3655"/>
      <c r="P35" s="3650"/>
    </row>
    <row r="36" spans="1:16" ht="18">
      <c r="A36" s="3629"/>
      <c r="B36" s="3666" t="s">
        <v>765</v>
      </c>
      <c r="C36" s="3659">
        <v>0</v>
      </c>
      <c r="D36" s="3643"/>
      <c r="E36" s="3630"/>
      <c r="F36" s="3630"/>
      <c r="G36" s="3675" t="s">
        <v>802</v>
      </c>
      <c r="H36" s="3676">
        <v>2.1256406781071241E-2</v>
      </c>
      <c r="I36" s="3652"/>
      <c r="J36" s="3652"/>
      <c r="K36" s="3653"/>
      <c r="L36" s="3654"/>
      <c r="M36" s="3654"/>
      <c r="N36" s="3654"/>
      <c r="O36" s="3655"/>
      <c r="P36" s="3650"/>
    </row>
    <row r="37" spans="1:16" ht="18">
      <c r="A37" s="3629"/>
      <c r="B37" s="3666" t="s">
        <v>13</v>
      </c>
      <c r="C37" s="3659">
        <v>3.7421087735642698E-2</v>
      </c>
      <c r="D37" s="3643"/>
      <c r="E37" s="3630"/>
      <c r="F37" s="3630"/>
      <c r="G37" s="3677" t="s">
        <v>803</v>
      </c>
      <c r="H37" s="3678">
        <v>6.2328846677866846E-2</v>
      </c>
      <c r="I37" s="3652"/>
      <c r="J37" s="3652"/>
      <c r="K37" s="3653"/>
      <c r="L37" s="3654"/>
      <c r="M37" s="3654"/>
      <c r="N37" s="3654"/>
      <c r="O37" s="3655"/>
      <c r="P37" s="3650"/>
    </row>
    <row r="38" spans="1:16" ht="18">
      <c r="A38" s="3629"/>
      <c r="B38" s="3671" t="s">
        <v>766</v>
      </c>
      <c r="C38" s="3672">
        <v>2.03186268028807E-3</v>
      </c>
      <c r="D38" s="3643"/>
      <c r="E38" s="3630"/>
      <c r="F38" s="3630"/>
      <c r="G38" s="3679" t="s">
        <v>805</v>
      </c>
      <c r="H38" s="3680">
        <v>5.6173918317253838E-2</v>
      </c>
      <c r="I38" s="3652"/>
      <c r="J38" s="3652"/>
      <c r="K38" s="3653"/>
      <c r="L38" s="3654"/>
      <c r="M38" s="3654"/>
      <c r="N38" s="3654"/>
      <c r="O38" s="3655"/>
      <c r="P38" s="3650"/>
    </row>
    <row r="39" spans="1:16" ht="18">
      <c r="A39" s="3629"/>
      <c r="B39" s="3666" t="s">
        <v>767</v>
      </c>
      <c r="C39" s="3659">
        <v>5.8719762587801601E-2</v>
      </c>
      <c r="D39" s="3643"/>
      <c r="E39" s="3630"/>
      <c r="F39" s="3630"/>
      <c r="G39" s="3681" t="s">
        <v>806</v>
      </c>
      <c r="H39" s="3682">
        <v>0.30570732665355094</v>
      </c>
      <c r="I39" s="3652"/>
      <c r="J39" s="3652"/>
      <c r="K39" s="3653"/>
      <c r="L39" s="3654"/>
      <c r="M39" s="3654"/>
      <c r="N39" s="3654"/>
      <c r="O39" s="3655"/>
      <c r="P39" s="3650"/>
    </row>
    <row r="40" spans="1:16" ht="18" thickBot="1">
      <c r="A40" s="3629"/>
      <c r="B40" s="3666" t="s">
        <v>14</v>
      </c>
      <c r="C40" s="3659">
        <v>3.52897660899084E-2</v>
      </c>
      <c r="D40" s="3643"/>
      <c r="E40" s="3630"/>
      <c r="F40" s="3630"/>
      <c r="G40" s="3683"/>
      <c r="H40" s="3646"/>
      <c r="I40" s="3652"/>
      <c r="J40" s="3652"/>
      <c r="K40" s="3653"/>
      <c r="L40" s="3654"/>
      <c r="M40" s="3654"/>
      <c r="N40" s="3654"/>
      <c r="O40" s="3655"/>
      <c r="P40" s="3650"/>
    </row>
    <row r="41" spans="1:16" ht="18" thickBot="1">
      <c r="A41" s="3629"/>
      <c r="B41" s="3684" t="s">
        <v>100</v>
      </c>
      <c r="C41" s="3685">
        <v>6.5400001518517506E-2</v>
      </c>
      <c r="D41" s="3643"/>
      <c r="E41" s="3630"/>
      <c r="F41" s="3630"/>
      <c r="G41" s="3686" t="s">
        <v>692</v>
      </c>
      <c r="H41" s="3687">
        <v>1.0000000000000002</v>
      </c>
      <c r="I41" s="3652"/>
      <c r="J41" s="3652"/>
      <c r="K41" s="3653"/>
      <c r="L41" s="3654"/>
      <c r="M41" s="3654"/>
      <c r="N41" s="3654"/>
      <c r="O41" s="3655"/>
      <c r="P41" s="3650"/>
    </row>
    <row r="42" spans="1:16" ht="18" thickBot="1">
      <c r="A42" s="3629"/>
      <c r="B42" s="3684" t="s">
        <v>768</v>
      </c>
      <c r="C42" s="3685">
        <v>2.6456549887891299E-3</v>
      </c>
      <c r="D42" s="3643"/>
      <c r="E42" s="3630"/>
      <c r="F42" s="3630"/>
      <c r="G42" s="3688"/>
      <c r="H42" s="3689"/>
      <c r="I42" s="3652"/>
      <c r="J42" s="3652"/>
      <c r="K42" s="3653"/>
      <c r="L42" s="3654"/>
      <c r="M42" s="3654"/>
      <c r="N42" s="3654"/>
      <c r="O42" s="3655"/>
      <c r="P42" s="3650"/>
    </row>
    <row r="43" spans="1:16" ht="21" customHeight="1" thickBot="1">
      <c r="A43" s="3629"/>
      <c r="B43" s="3666" t="s">
        <v>769</v>
      </c>
      <c r="C43" s="3659">
        <v>1.83423632609768E-3</v>
      </c>
      <c r="D43" s="3643"/>
      <c r="E43" s="3630"/>
      <c r="F43" s="3630"/>
      <c r="G43" s="5065" t="s">
        <v>810</v>
      </c>
      <c r="H43" s="5066"/>
      <c r="I43" s="3652"/>
      <c r="J43" s="3652"/>
      <c r="K43" s="3653"/>
      <c r="L43" s="3654"/>
      <c r="M43" s="3654"/>
      <c r="N43" s="3654"/>
      <c r="O43" s="3655"/>
      <c r="P43" s="3650"/>
    </row>
    <row r="44" spans="1:16" ht="17.5">
      <c r="A44" s="3629"/>
      <c r="B44" s="3690" t="s">
        <v>770</v>
      </c>
      <c r="C44" s="3691">
        <v>8.3073144466244992E-3</v>
      </c>
      <c r="D44" s="3643"/>
      <c r="E44" s="3630"/>
      <c r="F44" s="3630"/>
      <c r="G44" s="3692" t="s">
        <v>754</v>
      </c>
      <c r="H44" s="3693">
        <v>0.86609999999999998</v>
      </c>
      <c r="I44" s="3652"/>
      <c r="J44" s="3652"/>
      <c r="K44" s="3653"/>
      <c r="L44" s="3654"/>
      <c r="M44" s="3654"/>
      <c r="N44" s="3654"/>
      <c r="O44" s="3655"/>
      <c r="P44" s="3650"/>
    </row>
    <row r="45" spans="1:16" ht="31.5" thickBot="1">
      <c r="A45" s="3629"/>
      <c r="B45" s="3690" t="s">
        <v>423</v>
      </c>
      <c r="C45" s="3691">
        <v>4.6432057169479403E-3</v>
      </c>
      <c r="D45" s="3643"/>
      <c r="E45" s="3630"/>
      <c r="F45" s="3630"/>
      <c r="G45" s="3694" t="s">
        <v>811</v>
      </c>
      <c r="H45" s="3695">
        <v>262.91199999999998</v>
      </c>
      <c r="I45" s="3652"/>
      <c r="J45" s="3652"/>
      <c r="K45" s="3653"/>
      <c r="L45" s="3654"/>
      <c r="M45" s="3654"/>
      <c r="N45" s="3654"/>
      <c r="O45" s="3655"/>
      <c r="P45" s="3650"/>
    </row>
    <row r="46" spans="1:16" ht="17.5">
      <c r="A46" s="3629"/>
      <c r="B46" s="3690" t="s">
        <v>771</v>
      </c>
      <c r="C46" s="3691">
        <v>8.3058866174988005E-3</v>
      </c>
      <c r="D46" s="3643"/>
      <c r="E46" s="3630"/>
      <c r="F46" s="3630"/>
      <c r="G46" s="3696" t="s">
        <v>1229</v>
      </c>
      <c r="H46" s="3697">
        <v>0</v>
      </c>
      <c r="I46" s="3652"/>
      <c r="J46" s="3652"/>
      <c r="K46" s="3653"/>
      <c r="L46" s="3654"/>
      <c r="M46" s="3654"/>
      <c r="N46" s="3654"/>
      <c r="O46" s="3655"/>
      <c r="P46" s="3650"/>
    </row>
    <row r="47" spans="1:16" ht="18" thickBot="1">
      <c r="A47" s="3629"/>
      <c r="B47" s="3698" t="s">
        <v>772</v>
      </c>
      <c r="C47" s="3699">
        <v>1.1470899547827E-3</v>
      </c>
      <c r="D47" s="3643"/>
      <c r="E47" s="3630"/>
      <c r="F47" s="3630"/>
      <c r="G47" s="3700" t="s">
        <v>1230</v>
      </c>
      <c r="H47" s="3701">
        <v>0</v>
      </c>
      <c r="I47" s="3652"/>
      <c r="J47" s="3652"/>
      <c r="K47" s="3653"/>
      <c r="L47" s="3654"/>
      <c r="M47" s="3654"/>
      <c r="N47" s="3654"/>
      <c r="O47" s="3655"/>
      <c r="P47" s="3650"/>
    </row>
    <row r="48" spans="1:16" ht="17.5">
      <c r="A48" s="3629"/>
      <c r="B48" s="3702" t="s">
        <v>773</v>
      </c>
      <c r="C48" s="3703">
        <v>4.4028265242513601E-4</v>
      </c>
      <c r="D48" s="3643"/>
      <c r="E48" s="3630"/>
      <c r="F48" s="3630"/>
      <c r="G48" s="3688"/>
      <c r="H48" s="3689"/>
      <c r="I48" s="3652"/>
      <c r="J48" s="3652"/>
      <c r="K48" s="3653"/>
      <c r="L48" s="3654"/>
      <c r="M48" s="3654"/>
      <c r="N48" s="3654"/>
      <c r="O48" s="3655"/>
      <c r="P48" s="3650"/>
    </row>
    <row r="49" spans="1:16" ht="15.5">
      <c r="A49" s="3629"/>
      <c r="B49" s="3704" t="s">
        <v>774</v>
      </c>
      <c r="C49" s="3705">
        <v>4.0316071696324902E-2</v>
      </c>
      <c r="D49" s="3643"/>
      <c r="E49" s="3630"/>
      <c r="F49" s="3630"/>
      <c r="G49" s="3688"/>
      <c r="H49" s="3652"/>
      <c r="I49" s="3652"/>
      <c r="J49" s="3652"/>
      <c r="K49" s="3653"/>
      <c r="L49" s="3654"/>
      <c r="M49" s="3654"/>
      <c r="N49" s="3654"/>
      <c r="O49" s="3655"/>
      <c r="P49" s="3650"/>
    </row>
    <row r="50" spans="1:16" ht="15.5">
      <c r="A50" s="3629"/>
      <c r="B50" s="3704" t="s">
        <v>775</v>
      </c>
      <c r="C50" s="3705">
        <v>2.84820188833429E-2</v>
      </c>
      <c r="D50" s="3643"/>
      <c r="E50" s="3630"/>
      <c r="F50" s="3630"/>
      <c r="G50" s="3688"/>
      <c r="H50" s="3652"/>
      <c r="I50" s="3652"/>
      <c r="J50" s="3652"/>
      <c r="K50" s="3653"/>
      <c r="L50" s="3654"/>
      <c r="M50" s="3654"/>
      <c r="N50" s="5092"/>
      <c r="O50" s="5092"/>
      <c r="P50" s="3650"/>
    </row>
    <row r="51" spans="1:16" ht="15.5">
      <c r="A51" s="3629"/>
      <c r="B51" s="3704" t="s">
        <v>776</v>
      </c>
      <c r="C51" s="3705">
        <v>3.0365877354879701E-2</v>
      </c>
      <c r="D51" s="3643"/>
      <c r="E51" s="3630"/>
      <c r="F51" s="3630"/>
      <c r="G51" s="3706"/>
      <c r="H51" s="3652"/>
      <c r="I51" s="3707"/>
      <c r="J51" s="3707"/>
      <c r="K51" s="3708"/>
      <c r="L51" s="3650"/>
      <c r="M51" s="3650"/>
      <c r="N51" s="3650"/>
      <c r="O51" s="3650"/>
      <c r="P51" s="3650"/>
    </row>
    <row r="52" spans="1:16" ht="15.5">
      <c r="A52" s="3629"/>
      <c r="B52" s="3704" t="s">
        <v>777</v>
      </c>
      <c r="C52" s="3705">
        <v>2.54871695170228E-2</v>
      </c>
      <c r="D52" s="3643"/>
      <c r="E52" s="3630"/>
      <c r="F52" s="3630"/>
      <c r="G52" s="3688"/>
      <c r="H52" s="3652"/>
      <c r="I52" s="3640"/>
      <c r="J52" s="3630"/>
      <c r="K52" s="3635"/>
      <c r="L52" s="3620"/>
      <c r="M52" s="3620"/>
      <c r="N52" s="3620"/>
      <c r="O52" s="3620"/>
      <c r="P52" s="3620"/>
    </row>
    <row r="53" spans="1:16" ht="15.5">
      <c r="A53" s="3629"/>
      <c r="B53" s="3704" t="s">
        <v>778</v>
      </c>
      <c r="C53" s="3705">
        <v>2.2429399636426098E-2</v>
      </c>
      <c r="D53" s="3643"/>
      <c r="E53" s="3630"/>
      <c r="F53" s="3630"/>
      <c r="G53" s="3709"/>
      <c r="H53" s="3707"/>
      <c r="I53" s="3640"/>
      <c r="J53" s="3630"/>
      <c r="K53" s="3635"/>
      <c r="L53" s="3620"/>
      <c r="M53" s="3620"/>
      <c r="N53" s="3620"/>
      <c r="O53" s="3620"/>
      <c r="P53" s="3620"/>
    </row>
    <row r="54" spans="1:16" ht="15.5">
      <c r="A54" s="3629"/>
      <c r="B54" s="3704" t="s">
        <v>779</v>
      </c>
      <c r="C54" s="3705">
        <v>1.59385165672907E-2</v>
      </c>
      <c r="D54" s="3643"/>
      <c r="E54" s="3630"/>
      <c r="F54" s="3630"/>
      <c r="G54" s="3630"/>
      <c r="H54" s="3710"/>
      <c r="I54" s="3640"/>
      <c r="J54" s="3630"/>
      <c r="K54" s="3635"/>
      <c r="L54" s="3620"/>
      <c r="M54" s="3620"/>
      <c r="N54" s="3620"/>
      <c r="O54" s="3620"/>
      <c r="P54" s="3620"/>
    </row>
    <row r="55" spans="1:16" ht="15.5">
      <c r="A55" s="3629"/>
      <c r="B55" s="3704" t="s">
        <v>780</v>
      </c>
      <c r="C55" s="3705">
        <v>1.3361363734770201E-2</v>
      </c>
      <c r="D55" s="3643"/>
      <c r="E55" s="3630"/>
      <c r="F55" s="3630"/>
      <c r="G55" s="3630"/>
      <c r="H55" s="3710"/>
      <c r="I55" s="3640"/>
      <c r="J55" s="3630"/>
      <c r="K55" s="3635"/>
      <c r="L55" s="3620"/>
      <c r="M55" s="3620"/>
      <c r="N55" s="3620"/>
      <c r="O55" s="3620"/>
      <c r="P55" s="3620"/>
    </row>
    <row r="56" spans="1:16" ht="15.5">
      <c r="A56" s="3629"/>
      <c r="B56" s="3704" t="s">
        <v>781</v>
      </c>
      <c r="C56" s="3705">
        <v>1.2597769096761399E-2</v>
      </c>
      <c r="D56" s="3643"/>
      <c r="E56" s="3630"/>
      <c r="F56" s="3630"/>
      <c r="G56" s="3630"/>
      <c r="H56" s="3710"/>
      <c r="I56" s="3640"/>
      <c r="J56" s="3630"/>
      <c r="K56" s="3635"/>
      <c r="L56" s="3620"/>
      <c r="M56" s="3620"/>
      <c r="N56" s="3620"/>
      <c r="O56" s="3620"/>
      <c r="P56" s="3620"/>
    </row>
    <row r="57" spans="1:16" ht="15.5">
      <c r="A57" s="3629"/>
      <c r="B57" s="3704" t="s">
        <v>782</v>
      </c>
      <c r="C57" s="3705">
        <v>1.17387731059579E-2</v>
      </c>
      <c r="D57" s="3643"/>
      <c r="E57" s="3630"/>
      <c r="F57" s="3630"/>
      <c r="G57" s="3630"/>
      <c r="H57" s="3710"/>
      <c r="I57" s="3640"/>
      <c r="J57" s="3630"/>
      <c r="K57" s="3635"/>
      <c r="L57" s="3620"/>
      <c r="M57" s="3620"/>
      <c r="N57" s="3620"/>
      <c r="O57" s="3620"/>
      <c r="P57" s="3620"/>
    </row>
    <row r="58" spans="1:16" ht="15.5">
      <c r="A58" s="3629"/>
      <c r="B58" s="3704" t="s">
        <v>783</v>
      </c>
      <c r="C58" s="3705">
        <v>7.7113466180684497E-3</v>
      </c>
      <c r="D58" s="3643"/>
      <c r="E58" s="3630"/>
      <c r="F58" s="3630"/>
      <c r="G58" s="3630"/>
      <c r="H58" s="3710"/>
      <c r="I58" s="3640"/>
      <c r="J58" s="3630"/>
      <c r="K58" s="3635"/>
      <c r="L58" s="3620"/>
      <c r="M58" s="3620"/>
      <c r="N58" s="3620"/>
      <c r="O58" s="3620"/>
      <c r="P58" s="3620"/>
    </row>
    <row r="59" spans="1:16" ht="15.5">
      <c r="A59" s="3629"/>
      <c r="B59" s="3704" t="s">
        <v>784</v>
      </c>
      <c r="C59" s="3705">
        <v>7.7113199716479898E-3</v>
      </c>
      <c r="D59" s="3643"/>
      <c r="E59" s="3630"/>
      <c r="F59" s="3630"/>
      <c r="G59" s="3630"/>
      <c r="H59" s="3710"/>
      <c r="I59" s="3640"/>
      <c r="J59" s="3630"/>
      <c r="K59" s="3635"/>
      <c r="L59" s="3620"/>
      <c r="M59" s="3620"/>
      <c r="N59" s="3620"/>
      <c r="O59" s="3620"/>
      <c r="P59" s="3620"/>
    </row>
    <row r="60" spans="1:16" ht="15.5">
      <c r="A60" s="3629"/>
      <c r="B60" s="3704" t="s">
        <v>785</v>
      </c>
      <c r="C60" s="3705">
        <v>6.2224994911058802E-3</v>
      </c>
      <c r="D60" s="3643"/>
      <c r="E60" s="3630"/>
      <c r="F60" s="3630"/>
      <c r="G60" s="3630"/>
      <c r="H60" s="3710"/>
      <c r="I60" s="3640"/>
      <c r="J60" s="3630"/>
      <c r="K60" s="3635"/>
      <c r="L60" s="3620"/>
      <c r="M60" s="3620"/>
      <c r="N60" s="3620"/>
      <c r="O60" s="3620"/>
      <c r="P60" s="3620"/>
    </row>
    <row r="61" spans="1:16" ht="15.5">
      <c r="A61" s="3629"/>
      <c r="B61" s="3704" t="s">
        <v>786</v>
      </c>
      <c r="C61" s="3705">
        <v>5.5353514965310697E-3</v>
      </c>
      <c r="D61" s="3643"/>
      <c r="E61" s="3630"/>
      <c r="F61" s="3630"/>
      <c r="G61" s="3630"/>
      <c r="H61" s="3710"/>
      <c r="I61" s="3640"/>
      <c r="J61" s="3630"/>
      <c r="K61" s="3635"/>
      <c r="L61" s="3620"/>
      <c r="M61" s="3620"/>
      <c r="N61" s="3620"/>
      <c r="O61" s="3620"/>
      <c r="P61" s="3620"/>
    </row>
    <row r="62" spans="1:16" ht="15.5">
      <c r="A62" s="3629"/>
      <c r="B62" s="3704" t="s">
        <v>787</v>
      </c>
      <c r="C62" s="3705">
        <v>4.7432232379683303E-3</v>
      </c>
      <c r="D62" s="3643"/>
      <c r="E62" s="3630"/>
      <c r="F62" s="3630"/>
      <c r="G62" s="3630"/>
      <c r="H62" s="3710"/>
      <c r="I62" s="3640"/>
      <c r="J62" s="3630"/>
      <c r="K62" s="3635"/>
      <c r="L62" s="3620"/>
      <c r="M62" s="3620"/>
      <c r="N62" s="3620"/>
      <c r="O62" s="3620"/>
      <c r="P62" s="3620"/>
    </row>
    <row r="63" spans="1:16" ht="15.5">
      <c r="A63" s="3629"/>
      <c r="B63" s="3704" t="s">
        <v>788</v>
      </c>
      <c r="C63" s="3705">
        <v>4.0560760243329398E-3</v>
      </c>
      <c r="D63" s="3643"/>
      <c r="E63" s="3630"/>
      <c r="F63" s="3630"/>
      <c r="G63" s="3630"/>
      <c r="H63" s="3710"/>
      <c r="I63" s="3640"/>
      <c r="J63" s="3630"/>
      <c r="K63" s="3635"/>
      <c r="L63" s="3620"/>
      <c r="M63" s="3620"/>
      <c r="N63" s="3620"/>
      <c r="O63" s="3620"/>
      <c r="P63" s="3620"/>
    </row>
    <row r="64" spans="1:16" ht="15.5">
      <c r="A64" s="3629"/>
      <c r="B64" s="3704" t="s">
        <v>789</v>
      </c>
      <c r="C64" s="3705">
        <v>3.8556579018167898E-3</v>
      </c>
      <c r="D64" s="3643"/>
      <c r="E64" s="3630"/>
      <c r="F64" s="3630"/>
      <c r="G64" s="3630"/>
      <c r="H64" s="3710"/>
      <c r="I64" s="3640"/>
      <c r="J64" s="3630"/>
      <c r="K64" s="3635"/>
      <c r="L64" s="3620"/>
      <c r="M64" s="3620"/>
      <c r="N64" s="3620"/>
      <c r="O64" s="3620"/>
      <c r="P64" s="3620"/>
    </row>
    <row r="65" spans="1:11" ht="15.5">
      <c r="A65" s="3629"/>
      <c r="B65" s="3704" t="s">
        <v>790</v>
      </c>
      <c r="C65" s="3705">
        <v>3.76022082513863E-3</v>
      </c>
      <c r="D65" s="3643"/>
      <c r="E65" s="3630"/>
      <c r="F65" s="3630"/>
      <c r="G65" s="3630"/>
      <c r="H65" s="3710"/>
      <c r="I65" s="3640"/>
      <c r="J65" s="3630"/>
      <c r="K65" s="3635"/>
    </row>
    <row r="66" spans="1:11" ht="15.5">
      <c r="A66" s="3629"/>
      <c r="B66" s="3704" t="s">
        <v>791</v>
      </c>
      <c r="C66" s="3705">
        <v>3.4548221794878401E-3</v>
      </c>
      <c r="D66" s="3643"/>
      <c r="E66" s="3630"/>
      <c r="F66" s="3630"/>
      <c r="G66" s="3630"/>
      <c r="H66" s="3710"/>
      <c r="I66" s="3640"/>
      <c r="J66" s="3630"/>
      <c r="K66" s="3635"/>
    </row>
    <row r="67" spans="1:11" ht="15.5">
      <c r="A67" s="3629"/>
      <c r="B67" s="3704" t="s">
        <v>792</v>
      </c>
      <c r="C67" s="3705">
        <v>3.06353016470095E-3</v>
      </c>
      <c r="D67" s="3643"/>
      <c r="E67" s="3630"/>
      <c r="F67" s="3630"/>
      <c r="G67" s="3630"/>
      <c r="H67" s="3710"/>
      <c r="I67" s="3640"/>
      <c r="J67" s="3630"/>
      <c r="K67" s="3635"/>
    </row>
    <row r="68" spans="1:11" ht="15.5">
      <c r="A68" s="3629"/>
      <c r="B68" s="3704" t="s">
        <v>793</v>
      </c>
      <c r="C68" s="3705">
        <v>0</v>
      </c>
      <c r="D68" s="3643"/>
      <c r="E68" s="3630"/>
      <c r="F68" s="3630"/>
      <c r="G68" s="3630"/>
      <c r="H68" s="3710"/>
      <c r="I68" s="3640"/>
      <c r="J68" s="3630"/>
      <c r="K68" s="3635"/>
    </row>
    <row r="69" spans="1:11" ht="15.5">
      <c r="A69" s="3629"/>
      <c r="B69" s="3704" t="s">
        <v>794</v>
      </c>
      <c r="C69" s="3705">
        <v>5.4876319149975497E-2</v>
      </c>
      <c r="D69" s="3643"/>
      <c r="E69" s="3630"/>
      <c r="F69" s="3630"/>
      <c r="G69" s="3630"/>
      <c r="H69" s="3710"/>
      <c r="I69" s="3640"/>
      <c r="J69" s="3630"/>
      <c r="K69" s="3635"/>
    </row>
    <row r="70" spans="1:11" ht="15.5">
      <c r="A70" s="3629"/>
      <c r="B70" s="3666" t="s">
        <v>673</v>
      </c>
      <c r="C70" s="3659">
        <v>7.1075992885171602E-5</v>
      </c>
      <c r="D70" s="3643"/>
      <c r="E70" s="3630"/>
      <c r="F70" s="3630"/>
      <c r="G70" s="3630"/>
      <c r="H70" s="3710"/>
      <c r="I70" s="3640"/>
      <c r="J70" s="3630"/>
      <c r="K70" s="3635"/>
    </row>
    <row r="71" spans="1:11" ht="15.5">
      <c r="A71" s="3629"/>
      <c r="B71" s="3666" t="s">
        <v>795</v>
      </c>
      <c r="C71" s="3659">
        <v>0</v>
      </c>
      <c r="D71" s="3643"/>
      <c r="E71" s="3630"/>
      <c r="F71" s="3630"/>
      <c r="G71" s="3630"/>
      <c r="H71" s="3710"/>
      <c r="I71" s="3640"/>
      <c r="J71" s="3630"/>
      <c r="K71" s="3635"/>
    </row>
    <row r="72" spans="1:11" ht="15.5">
      <c r="A72" s="3629"/>
      <c r="B72" s="3698" t="s">
        <v>796</v>
      </c>
      <c r="C72" s="3699">
        <v>3.15896724150275E-3</v>
      </c>
      <c r="D72" s="3643"/>
      <c r="E72" s="3630"/>
      <c r="F72" s="3630"/>
      <c r="G72" s="3630"/>
      <c r="H72" s="3710"/>
      <c r="I72" s="3640"/>
      <c r="J72" s="3630"/>
      <c r="K72" s="3635"/>
    </row>
    <row r="73" spans="1:11" ht="15.5">
      <c r="A73" s="3629"/>
      <c r="B73" s="3698" t="s">
        <v>101</v>
      </c>
      <c r="C73" s="3699">
        <v>5.8022789481581398E-2</v>
      </c>
      <c r="D73" s="3643"/>
      <c r="E73" s="3630"/>
      <c r="F73" s="3630"/>
      <c r="G73" s="3630"/>
      <c r="H73" s="3710"/>
      <c r="I73" s="3640"/>
      <c r="J73" s="3630"/>
      <c r="K73" s="3635"/>
    </row>
    <row r="74" spans="1:11" ht="15.5">
      <c r="A74" s="3629"/>
      <c r="B74" s="3702" t="s">
        <v>117</v>
      </c>
      <c r="C74" s="3703">
        <v>5.5733635664828703E-2</v>
      </c>
      <c r="D74" s="3643"/>
      <c r="E74" s="3630"/>
      <c r="F74" s="3630"/>
      <c r="G74" s="3630"/>
      <c r="H74" s="3710"/>
      <c r="I74" s="3640"/>
      <c r="J74" s="3630"/>
      <c r="K74" s="3635"/>
    </row>
    <row r="75" spans="1:11" ht="15.5">
      <c r="A75" s="3629"/>
      <c r="B75" s="3666" t="s">
        <v>797</v>
      </c>
      <c r="C75" s="3659">
        <v>0</v>
      </c>
      <c r="D75" s="3643"/>
      <c r="E75" s="3630"/>
      <c r="F75" s="3630"/>
      <c r="G75" s="3630"/>
      <c r="H75" s="3710"/>
      <c r="I75" s="3640"/>
      <c r="J75" s="3630"/>
      <c r="K75" s="3635"/>
    </row>
    <row r="76" spans="1:11" ht="15.5">
      <c r="A76" s="3629"/>
      <c r="B76" s="3666" t="s">
        <v>798</v>
      </c>
      <c r="C76" s="3659">
        <v>0</v>
      </c>
      <c r="D76" s="3643"/>
      <c r="E76" s="3630"/>
      <c r="F76" s="3630"/>
      <c r="G76" s="3630"/>
      <c r="H76" s="3710"/>
      <c r="I76" s="3640"/>
      <c r="J76" s="3630"/>
      <c r="K76" s="3635"/>
    </row>
    <row r="77" spans="1:11" ht="15.5">
      <c r="A77" s="3629"/>
      <c r="B77" s="3666" t="s">
        <v>799</v>
      </c>
      <c r="C77" s="3659">
        <v>0</v>
      </c>
      <c r="D77" s="3643"/>
      <c r="E77" s="3630"/>
      <c r="F77" s="3630"/>
      <c r="G77" s="3630"/>
      <c r="H77" s="3710"/>
      <c r="I77" s="3640"/>
      <c r="J77" s="3630"/>
      <c r="K77" s="3635"/>
    </row>
    <row r="78" spans="1:11" ht="16" thickBot="1">
      <c r="A78" s="3629"/>
      <c r="B78" s="3666" t="s">
        <v>0</v>
      </c>
      <c r="C78" s="3659">
        <v>0</v>
      </c>
      <c r="D78" s="3643"/>
      <c r="E78" s="3630"/>
      <c r="F78" s="3630"/>
      <c r="G78" s="3630"/>
      <c r="H78" s="3710"/>
      <c r="I78" s="3640"/>
      <c r="J78" s="3630"/>
      <c r="K78" s="3635"/>
    </row>
    <row r="79" spans="1:11" ht="16" thickBot="1">
      <c r="A79" s="3711"/>
      <c r="B79" s="3712" t="s">
        <v>753</v>
      </c>
      <c r="C79" s="3713">
        <v>1.0000000000000002</v>
      </c>
      <c r="D79" s="3714"/>
      <c r="E79" s="3715"/>
      <c r="F79" s="3715"/>
      <c r="G79" s="3715"/>
      <c r="H79" s="3716"/>
      <c r="I79" s="3717"/>
      <c r="J79" s="3715"/>
      <c r="K79" s="3718"/>
    </row>
    <row r="80" spans="1:11" ht="15.5">
      <c r="A80" s="3620"/>
      <c r="B80" s="3719"/>
      <c r="C80" s="3720"/>
      <c r="D80" s="3720"/>
      <c r="E80" s="3620"/>
      <c r="F80" s="3620"/>
      <c r="G80" s="3620"/>
      <c r="H80" s="3721"/>
      <c r="I80" s="3722"/>
      <c r="J80" s="3620"/>
      <c r="K80" s="3620"/>
    </row>
    <row r="81" spans="2:9" ht="15.5">
      <c r="B81" s="3723"/>
      <c r="C81" s="3723"/>
      <c r="D81" s="3723"/>
      <c r="E81" s="3620"/>
      <c r="F81" s="3620"/>
      <c r="G81" s="3620"/>
      <c r="H81" s="3721"/>
      <c r="I81" s="3722"/>
    </row>
    <row r="82" spans="2:9" ht="15.5">
      <c r="B82" s="3723"/>
      <c r="C82" s="3723"/>
      <c r="D82" s="3723"/>
      <c r="E82" s="3620"/>
      <c r="F82" s="3620"/>
      <c r="G82" s="3620"/>
      <c r="H82" s="3721"/>
      <c r="I82" s="3722"/>
    </row>
    <row r="83" spans="2:9" ht="15.5">
      <c r="B83" s="3723"/>
      <c r="C83" s="3723"/>
      <c r="D83" s="3723"/>
      <c r="E83" s="3620"/>
      <c r="F83" s="3620"/>
      <c r="G83" s="3620"/>
      <c r="H83" s="3721"/>
      <c r="I83" s="3722"/>
    </row>
    <row r="84" spans="2:9" ht="15.5">
      <c r="B84" s="3723"/>
      <c r="C84" s="3723"/>
      <c r="D84" s="3723"/>
      <c r="E84" s="3620"/>
      <c r="F84" s="3620"/>
      <c r="G84" s="3620"/>
      <c r="H84" s="3721"/>
      <c r="I84" s="3722"/>
    </row>
    <row r="85" spans="2:9" ht="15.5">
      <c r="B85" s="3723"/>
      <c r="C85" s="3723"/>
      <c r="D85" s="3723"/>
      <c r="E85" s="3620"/>
      <c r="F85" s="3620"/>
      <c r="G85" s="3620"/>
      <c r="H85" s="3721"/>
      <c r="I85" s="3722"/>
    </row>
    <row r="86" spans="2:9" ht="15.5">
      <c r="B86" s="3723"/>
      <c r="C86" s="3723"/>
      <c r="D86" s="3723"/>
      <c r="E86" s="3620"/>
      <c r="F86" s="3620"/>
      <c r="G86" s="3620"/>
      <c r="H86" s="3721"/>
      <c r="I86" s="3722"/>
    </row>
    <row r="87" spans="2:9" ht="15.5">
      <c r="B87" s="3723"/>
      <c r="C87" s="3723"/>
      <c r="D87" s="3723"/>
      <c r="E87" s="3620"/>
      <c r="F87" s="3620"/>
      <c r="G87" s="3620"/>
      <c r="H87" s="3721"/>
      <c r="I87" s="3722"/>
    </row>
    <row r="88" spans="2:9" ht="15.5">
      <c r="B88" s="3723"/>
      <c r="C88" s="3723"/>
      <c r="D88" s="3723"/>
      <c r="E88" s="3620"/>
      <c r="F88" s="3620"/>
      <c r="G88" s="3620"/>
      <c r="H88" s="3721"/>
      <c r="I88" s="3722"/>
    </row>
    <row r="89" spans="2:9" ht="15.5">
      <c r="B89" s="3723"/>
      <c r="C89" s="3723"/>
      <c r="D89" s="3723"/>
      <c r="E89" s="3620"/>
      <c r="F89" s="3620"/>
      <c r="G89" s="3620"/>
      <c r="H89" s="3721"/>
      <c r="I89" s="3722"/>
    </row>
    <row r="90" spans="2:9" ht="15.5">
      <c r="B90" s="3723"/>
      <c r="C90" s="3723"/>
      <c r="D90" s="3723"/>
      <c r="E90" s="3620"/>
      <c r="F90" s="3620"/>
      <c r="G90" s="3620"/>
      <c r="H90" s="3721"/>
      <c r="I90" s="3722"/>
    </row>
    <row r="91" spans="2:9" ht="15.5">
      <c r="B91" s="3723"/>
      <c r="C91" s="3723"/>
      <c r="D91" s="3723"/>
      <c r="E91" s="3620"/>
      <c r="F91" s="3620"/>
      <c r="G91" s="3620"/>
      <c r="H91" s="3721"/>
      <c r="I91" s="3722"/>
    </row>
    <row r="92" spans="2:9" ht="15.5">
      <c r="B92" s="3723"/>
      <c r="C92" s="3723"/>
      <c r="D92" s="3723"/>
      <c r="E92" s="3620"/>
      <c r="F92" s="3620"/>
      <c r="G92" s="3620"/>
      <c r="H92" s="3721"/>
      <c r="I92" s="3722"/>
    </row>
    <row r="93" spans="2:9" ht="15.5">
      <c r="B93" s="3723"/>
      <c r="C93" s="3723"/>
      <c r="D93" s="3723"/>
      <c r="E93" s="3620"/>
      <c r="F93" s="3620"/>
      <c r="G93" s="3620"/>
      <c r="H93" s="3721"/>
      <c r="I93" s="3722"/>
    </row>
    <row r="94" spans="2:9" ht="15.5">
      <c r="B94" s="3723"/>
      <c r="C94" s="3723"/>
      <c r="D94" s="3723"/>
      <c r="E94" s="3620"/>
      <c r="F94" s="3620"/>
      <c r="G94" s="3620"/>
      <c r="H94" s="3721"/>
      <c r="I94" s="3620"/>
    </row>
    <row r="95" spans="2:9" ht="15.5">
      <c r="B95" s="3723"/>
      <c r="C95" s="3723"/>
      <c r="D95" s="3723"/>
      <c r="E95" s="3620"/>
      <c r="F95" s="3620"/>
      <c r="G95" s="3620"/>
      <c r="H95" s="3721"/>
      <c r="I95" s="3722"/>
    </row>
    <row r="96" spans="2:9" ht="15.5">
      <c r="B96" s="3723"/>
      <c r="C96" s="3723"/>
      <c r="D96" s="3723"/>
      <c r="E96" s="3620"/>
      <c r="F96" s="3620"/>
      <c r="G96" s="3620"/>
      <c r="H96" s="3721"/>
      <c r="I96" s="3620"/>
    </row>
    <row r="97" spans="2:9" ht="15.5">
      <c r="B97" s="3723"/>
      <c r="C97" s="3723"/>
      <c r="D97" s="3723"/>
      <c r="E97" s="3620"/>
      <c r="F97" s="3620"/>
      <c r="G97" s="3620"/>
      <c r="H97" s="3721"/>
      <c r="I97" s="3620"/>
    </row>
    <row r="98" spans="2:9" ht="15.5">
      <c r="B98" s="3723"/>
      <c r="C98" s="3723"/>
      <c r="D98" s="3723"/>
      <c r="E98" s="3620"/>
      <c r="F98" s="3620"/>
      <c r="G98" s="3620"/>
      <c r="H98" s="3721"/>
      <c r="I98" s="3722"/>
    </row>
    <row r="99" spans="2:9" ht="15.5">
      <c r="B99" s="3723"/>
      <c r="C99" s="3723"/>
      <c r="D99" s="3723"/>
      <c r="E99" s="3620"/>
      <c r="F99" s="3620"/>
      <c r="G99" s="3620"/>
      <c r="H99" s="3721"/>
      <c r="I99" s="3722"/>
    </row>
    <row r="100" spans="2:9" ht="15.5">
      <c r="B100" s="3723"/>
      <c r="C100" s="3723"/>
      <c r="D100" s="3723"/>
      <c r="E100" s="3620"/>
      <c r="F100" s="3620"/>
      <c r="G100" s="3620"/>
      <c r="H100" s="3721"/>
      <c r="I100" s="3722"/>
    </row>
    <row r="101" spans="2:9" ht="15.5">
      <c r="B101" s="3723"/>
      <c r="C101" s="3723"/>
      <c r="D101" s="3723"/>
      <c r="E101" s="3620"/>
      <c r="F101" s="3620"/>
      <c r="G101" s="3620"/>
      <c r="H101" s="3721"/>
      <c r="I101" s="3620"/>
    </row>
    <row r="102" spans="2:9" ht="15.5">
      <c r="B102" s="3723"/>
      <c r="C102" s="3723"/>
      <c r="D102" s="3723"/>
      <c r="E102" s="3620"/>
      <c r="F102" s="3620"/>
      <c r="G102" s="3620"/>
      <c r="H102" s="3721"/>
      <c r="I102" s="3620"/>
    </row>
    <row r="103" spans="2:9" ht="14.75" customHeight="1">
      <c r="B103" s="3723"/>
      <c r="C103" s="3723"/>
      <c r="D103" s="3723"/>
      <c r="E103" s="3620"/>
      <c r="F103" s="3620"/>
      <c r="G103" s="3620"/>
      <c r="H103" s="3721"/>
      <c r="I103" s="3620"/>
    </row>
    <row r="104" spans="2:9" ht="15.5">
      <c r="B104" s="3723"/>
      <c r="C104" s="3723"/>
      <c r="D104" s="3723"/>
      <c r="E104" s="3620"/>
      <c r="F104" s="3620"/>
      <c r="G104" s="3620"/>
      <c r="H104" s="3721"/>
      <c r="I104" s="3620"/>
    </row>
    <row r="105" spans="2:9" ht="15.5">
      <c r="B105" s="3723"/>
      <c r="C105" s="3723"/>
      <c r="D105" s="3723"/>
      <c r="E105" s="3620"/>
      <c r="F105" s="3620"/>
      <c r="G105" s="3620"/>
      <c r="H105" s="3721"/>
      <c r="I105" s="3620"/>
    </row>
    <row r="106" spans="2:9" ht="15.5">
      <c r="B106" s="3723"/>
      <c r="C106" s="3723"/>
      <c r="D106" s="3723"/>
      <c r="E106" s="3620"/>
      <c r="F106" s="3620"/>
      <c r="G106" s="3620"/>
      <c r="H106" s="3721"/>
      <c r="I106" s="3620"/>
    </row>
    <row r="107" spans="2:9" ht="15.5">
      <c r="B107" s="3723"/>
      <c r="C107" s="3723"/>
      <c r="D107" s="3723"/>
      <c r="E107" s="3620"/>
      <c r="F107" s="3620"/>
      <c r="G107" s="3620"/>
      <c r="H107" s="3620"/>
      <c r="I107" s="3620"/>
    </row>
    <row r="108" spans="2:9" ht="15.5">
      <c r="B108" s="3723"/>
      <c r="C108" s="3723"/>
      <c r="D108" s="3723"/>
      <c r="E108" s="3620"/>
      <c r="F108" s="3620"/>
      <c r="G108" s="3620"/>
      <c r="H108" s="3724"/>
      <c r="I108" s="3620"/>
    </row>
    <row r="109" spans="2:9" ht="15.5">
      <c r="B109" s="3723"/>
      <c r="C109" s="3723"/>
      <c r="D109" s="3723"/>
      <c r="E109" s="3620"/>
      <c r="F109" s="3620"/>
      <c r="G109" s="3620"/>
      <c r="H109" s="3620"/>
      <c r="I109" s="3620"/>
    </row>
    <row r="110" spans="2:9" ht="15.5">
      <c r="B110" s="3723"/>
      <c r="C110" s="3723"/>
      <c r="D110" s="3723"/>
      <c r="E110" s="3620"/>
      <c r="F110" s="3620"/>
      <c r="G110" s="3620"/>
      <c r="H110" s="3620"/>
      <c r="I110" s="3620"/>
    </row>
    <row r="111" spans="2:9" ht="15.5">
      <c r="B111" s="3723"/>
      <c r="C111" s="3723"/>
      <c r="D111" s="3723"/>
      <c r="E111" s="3620"/>
      <c r="F111" s="3620"/>
      <c r="G111" s="3620"/>
      <c r="H111" s="3620"/>
      <c r="I111" s="3620"/>
    </row>
    <row r="112" spans="2:9" ht="15.5">
      <c r="B112" s="3723"/>
      <c r="C112" s="3723"/>
      <c r="D112" s="3723"/>
      <c r="E112" s="3620"/>
      <c r="F112" s="3620"/>
      <c r="G112" s="3620"/>
      <c r="H112" s="3620"/>
      <c r="I112" s="3620"/>
    </row>
    <row r="113" spans="2:4" ht="15.5">
      <c r="B113" s="3723"/>
      <c r="C113" s="3723"/>
      <c r="D113" s="3723"/>
    </row>
    <row r="114" spans="2:4" ht="15.5">
      <c r="B114" s="3723"/>
      <c r="C114" s="3723"/>
      <c r="D114" s="3723"/>
    </row>
  </sheetData>
  <mergeCells count="12">
    <mergeCell ref="N50:O50"/>
    <mergeCell ref="B2:J2"/>
    <mergeCell ref="B3:J3"/>
    <mergeCell ref="B4:J4"/>
    <mergeCell ref="G43:H43"/>
    <mergeCell ref="A6:K6"/>
    <mergeCell ref="B9:C9"/>
    <mergeCell ref="G9:H9"/>
    <mergeCell ref="B10:B11"/>
    <mergeCell ref="C10:C11"/>
    <mergeCell ref="G10:G11"/>
    <mergeCell ref="H10:H11"/>
  </mergeCells>
  <pageMargins left="0.75" right="0.75" top="1" bottom="1" header="0.5" footer="0.5"/>
  <pageSetup scale="4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tabColor rgb="FF00FFCC"/>
  </sheetPr>
  <dimension ref="A1:U114"/>
  <sheetViews>
    <sheetView view="pageBreakPreview" zoomScaleNormal="85" zoomScaleSheetLayoutView="100" workbookViewId="0">
      <selection activeCell="A8" sqref="A8:XFD8"/>
    </sheetView>
  </sheetViews>
  <sheetFormatPr defaultRowHeight="12.5"/>
  <cols>
    <col min="1" max="1" width="8.54296875" style="47"/>
    <col min="2" max="2" width="24.453125" style="47" customWidth="1"/>
    <col min="3" max="3" width="16.54296875" style="47" customWidth="1"/>
    <col min="4" max="4" width="5.36328125" style="47" customWidth="1"/>
    <col min="5" max="5" width="8.54296875" style="47"/>
    <col min="6" max="6" width="2.453125" style="47" customWidth="1"/>
    <col min="7" max="7" width="23.453125" style="47" customWidth="1"/>
    <col min="8" max="8" width="19" style="47" customWidth="1"/>
    <col min="9" max="9" width="8.54296875" style="47"/>
    <col min="10" max="10" width="2.54296875" style="47" customWidth="1"/>
    <col min="11" max="247" width="8.54296875" style="47"/>
    <col min="248" max="248" width="24.453125" style="47" customWidth="1"/>
    <col min="249" max="251" width="16.54296875" style="47" customWidth="1"/>
    <col min="252" max="253" width="17.54296875" style="47" customWidth="1"/>
    <col min="254" max="254" width="16.54296875" style="47" customWidth="1"/>
    <col min="255" max="255" width="16" style="47" customWidth="1"/>
    <col min="256" max="256" width="11.453125" style="47" customWidth="1"/>
    <col min="257" max="258" width="8.54296875" style="47"/>
    <col min="259" max="259" width="2.453125" style="47" customWidth="1"/>
    <col min="260" max="260" width="23.453125" style="47" customWidth="1"/>
    <col min="261" max="262" width="8.54296875" style="47"/>
    <col min="263" max="263" width="2.54296875" style="47" customWidth="1"/>
    <col min="264" max="264" width="24.453125" style="47" customWidth="1"/>
    <col min="265" max="503" width="8.54296875" style="47"/>
    <col min="504" max="504" width="24.453125" style="47" customWidth="1"/>
    <col min="505" max="507" width="16.54296875" style="47" customWidth="1"/>
    <col min="508" max="509" width="17.54296875" style="47" customWidth="1"/>
    <col min="510" max="510" width="16.54296875" style="47" customWidth="1"/>
    <col min="511" max="511" width="16" style="47" customWidth="1"/>
    <col min="512" max="512" width="11.453125" style="47" customWidth="1"/>
    <col min="513" max="514" width="8.54296875" style="47"/>
    <col min="515" max="515" width="2.453125" style="47" customWidth="1"/>
    <col min="516" max="516" width="23.453125" style="47" customWidth="1"/>
    <col min="517" max="518" width="8.54296875" style="47"/>
    <col min="519" max="519" width="2.54296875" style="47" customWidth="1"/>
    <col min="520" max="520" width="24.453125" style="47" customWidth="1"/>
    <col min="521" max="759" width="8.54296875" style="47"/>
    <col min="760" max="760" width="24.453125" style="47" customWidth="1"/>
    <col min="761" max="763" width="16.54296875" style="47" customWidth="1"/>
    <col min="764" max="765" width="17.54296875" style="47" customWidth="1"/>
    <col min="766" max="766" width="16.54296875" style="47" customWidth="1"/>
    <col min="767" max="767" width="16" style="47" customWidth="1"/>
    <col min="768" max="768" width="11.453125" style="47" customWidth="1"/>
    <col min="769" max="770" width="8.54296875" style="47"/>
    <col min="771" max="771" width="2.453125" style="47" customWidth="1"/>
    <col min="772" max="772" width="23.453125" style="47" customWidth="1"/>
    <col min="773" max="774" width="8.54296875" style="47"/>
    <col min="775" max="775" width="2.54296875" style="47" customWidth="1"/>
    <col min="776" max="776" width="24.453125" style="47" customWidth="1"/>
    <col min="777" max="1015" width="8.54296875" style="47"/>
    <col min="1016" max="1016" width="24.453125" style="47" customWidth="1"/>
    <col min="1017" max="1019" width="16.54296875" style="47" customWidth="1"/>
    <col min="1020" max="1021" width="17.54296875" style="47" customWidth="1"/>
    <col min="1022" max="1022" width="16.54296875" style="47" customWidth="1"/>
    <col min="1023" max="1023" width="16" style="47" customWidth="1"/>
    <col min="1024" max="1024" width="11.453125" style="47" customWidth="1"/>
    <col min="1025" max="1026" width="8.54296875" style="47"/>
    <col min="1027" max="1027" width="2.453125" style="47" customWidth="1"/>
    <col min="1028" max="1028" width="23.453125" style="47" customWidth="1"/>
    <col min="1029" max="1030" width="8.54296875" style="47"/>
    <col min="1031" max="1031" width="2.54296875" style="47" customWidth="1"/>
    <col min="1032" max="1032" width="24.453125" style="47" customWidth="1"/>
    <col min="1033" max="1271" width="8.54296875" style="47"/>
    <col min="1272" max="1272" width="24.453125" style="47" customWidth="1"/>
    <col min="1273" max="1275" width="16.54296875" style="47" customWidth="1"/>
    <col min="1276" max="1277" width="17.54296875" style="47" customWidth="1"/>
    <col min="1278" max="1278" width="16.54296875" style="47" customWidth="1"/>
    <col min="1279" max="1279" width="16" style="47" customWidth="1"/>
    <col min="1280" max="1280" width="11.453125" style="47" customWidth="1"/>
    <col min="1281" max="1282" width="8.54296875" style="47"/>
    <col min="1283" max="1283" width="2.453125" style="47" customWidth="1"/>
    <col min="1284" max="1284" width="23.453125" style="47" customWidth="1"/>
    <col min="1285" max="1286" width="8.54296875" style="47"/>
    <col min="1287" max="1287" width="2.54296875" style="47" customWidth="1"/>
    <col min="1288" max="1288" width="24.453125" style="47" customWidth="1"/>
    <col min="1289" max="1527" width="8.54296875" style="47"/>
    <col min="1528" max="1528" width="24.453125" style="47" customWidth="1"/>
    <col min="1529" max="1531" width="16.54296875" style="47" customWidth="1"/>
    <col min="1532" max="1533" width="17.54296875" style="47" customWidth="1"/>
    <col min="1534" max="1534" width="16.54296875" style="47" customWidth="1"/>
    <col min="1535" max="1535" width="16" style="47" customWidth="1"/>
    <col min="1536" max="1536" width="11.453125" style="47" customWidth="1"/>
    <col min="1537" max="1538" width="8.54296875" style="47"/>
    <col min="1539" max="1539" width="2.453125" style="47" customWidth="1"/>
    <col min="1540" max="1540" width="23.453125" style="47" customWidth="1"/>
    <col min="1541" max="1542" width="8.54296875" style="47"/>
    <col min="1543" max="1543" width="2.54296875" style="47" customWidth="1"/>
    <col min="1544" max="1544" width="24.453125" style="47" customWidth="1"/>
    <col min="1545" max="1783" width="8.54296875" style="47"/>
    <col min="1784" max="1784" width="24.453125" style="47" customWidth="1"/>
    <col min="1785" max="1787" width="16.54296875" style="47" customWidth="1"/>
    <col min="1788" max="1789" width="17.54296875" style="47" customWidth="1"/>
    <col min="1790" max="1790" width="16.54296875" style="47" customWidth="1"/>
    <col min="1791" max="1791" width="16" style="47" customWidth="1"/>
    <col min="1792" max="1792" width="11.453125" style="47" customWidth="1"/>
    <col min="1793" max="1794" width="8.54296875" style="47"/>
    <col min="1795" max="1795" width="2.453125" style="47" customWidth="1"/>
    <col min="1796" max="1796" width="23.453125" style="47" customWidth="1"/>
    <col min="1797" max="1798" width="8.54296875" style="47"/>
    <col min="1799" max="1799" width="2.54296875" style="47" customWidth="1"/>
    <col min="1800" max="1800" width="24.453125" style="47" customWidth="1"/>
    <col min="1801" max="2039" width="8.54296875" style="47"/>
    <col min="2040" max="2040" width="24.453125" style="47" customWidth="1"/>
    <col min="2041" max="2043" width="16.54296875" style="47" customWidth="1"/>
    <col min="2044" max="2045" width="17.54296875" style="47" customWidth="1"/>
    <col min="2046" max="2046" width="16.54296875" style="47" customWidth="1"/>
    <col min="2047" max="2047" width="16" style="47" customWidth="1"/>
    <col min="2048" max="2048" width="11.453125" style="47" customWidth="1"/>
    <col min="2049" max="2050" width="8.54296875" style="47"/>
    <col min="2051" max="2051" width="2.453125" style="47" customWidth="1"/>
    <col min="2052" max="2052" width="23.453125" style="47" customWidth="1"/>
    <col min="2053" max="2054" width="8.54296875" style="47"/>
    <col min="2055" max="2055" width="2.54296875" style="47" customWidth="1"/>
    <col min="2056" max="2056" width="24.453125" style="47" customWidth="1"/>
    <col min="2057" max="2295" width="8.54296875" style="47"/>
    <col min="2296" max="2296" width="24.453125" style="47" customWidth="1"/>
    <col min="2297" max="2299" width="16.54296875" style="47" customWidth="1"/>
    <col min="2300" max="2301" width="17.54296875" style="47" customWidth="1"/>
    <col min="2302" max="2302" width="16.54296875" style="47" customWidth="1"/>
    <col min="2303" max="2303" width="16" style="47" customWidth="1"/>
    <col min="2304" max="2304" width="11.453125" style="47" customWidth="1"/>
    <col min="2305" max="2306" width="8.54296875" style="47"/>
    <col min="2307" max="2307" width="2.453125" style="47" customWidth="1"/>
    <col min="2308" max="2308" width="23.453125" style="47" customWidth="1"/>
    <col min="2309" max="2310" width="8.54296875" style="47"/>
    <col min="2311" max="2311" width="2.54296875" style="47" customWidth="1"/>
    <col min="2312" max="2312" width="24.453125" style="47" customWidth="1"/>
    <col min="2313" max="2551" width="8.54296875" style="47"/>
    <col min="2552" max="2552" width="24.453125" style="47" customWidth="1"/>
    <col min="2553" max="2555" width="16.54296875" style="47" customWidth="1"/>
    <col min="2556" max="2557" width="17.54296875" style="47" customWidth="1"/>
    <col min="2558" max="2558" width="16.54296875" style="47" customWidth="1"/>
    <col min="2559" max="2559" width="16" style="47" customWidth="1"/>
    <col min="2560" max="2560" width="11.453125" style="47" customWidth="1"/>
    <col min="2561" max="2562" width="8.54296875" style="47"/>
    <col min="2563" max="2563" width="2.453125" style="47" customWidth="1"/>
    <col min="2564" max="2564" width="23.453125" style="47" customWidth="1"/>
    <col min="2565" max="2566" width="8.54296875" style="47"/>
    <col min="2567" max="2567" width="2.54296875" style="47" customWidth="1"/>
    <col min="2568" max="2568" width="24.453125" style="47" customWidth="1"/>
    <col min="2569" max="2807" width="8.54296875" style="47"/>
    <col min="2808" max="2808" width="24.453125" style="47" customWidth="1"/>
    <col min="2809" max="2811" width="16.54296875" style="47" customWidth="1"/>
    <col min="2812" max="2813" width="17.54296875" style="47" customWidth="1"/>
    <col min="2814" max="2814" width="16.54296875" style="47" customWidth="1"/>
    <col min="2815" max="2815" width="16" style="47" customWidth="1"/>
    <col min="2816" max="2816" width="11.453125" style="47" customWidth="1"/>
    <col min="2817" max="2818" width="8.54296875" style="47"/>
    <col min="2819" max="2819" width="2.453125" style="47" customWidth="1"/>
    <col min="2820" max="2820" width="23.453125" style="47" customWidth="1"/>
    <col min="2821" max="2822" width="8.54296875" style="47"/>
    <col min="2823" max="2823" width="2.54296875" style="47" customWidth="1"/>
    <col min="2824" max="2824" width="24.453125" style="47" customWidth="1"/>
    <col min="2825" max="3063" width="8.54296875" style="47"/>
    <col min="3064" max="3064" width="24.453125" style="47" customWidth="1"/>
    <col min="3065" max="3067" width="16.54296875" style="47" customWidth="1"/>
    <col min="3068" max="3069" width="17.54296875" style="47" customWidth="1"/>
    <col min="3070" max="3070" width="16.54296875" style="47" customWidth="1"/>
    <col min="3071" max="3071" width="16" style="47" customWidth="1"/>
    <col min="3072" max="3072" width="11.453125" style="47" customWidth="1"/>
    <col min="3073" max="3074" width="8.54296875" style="47"/>
    <col min="3075" max="3075" width="2.453125" style="47" customWidth="1"/>
    <col min="3076" max="3076" width="23.453125" style="47" customWidth="1"/>
    <col min="3077" max="3078" width="8.54296875" style="47"/>
    <col min="3079" max="3079" width="2.54296875" style="47" customWidth="1"/>
    <col min="3080" max="3080" width="24.453125" style="47" customWidth="1"/>
    <col min="3081" max="3319" width="8.54296875" style="47"/>
    <col min="3320" max="3320" width="24.453125" style="47" customWidth="1"/>
    <col min="3321" max="3323" width="16.54296875" style="47" customWidth="1"/>
    <col min="3324" max="3325" width="17.54296875" style="47" customWidth="1"/>
    <col min="3326" max="3326" width="16.54296875" style="47" customWidth="1"/>
    <col min="3327" max="3327" width="16" style="47" customWidth="1"/>
    <col min="3328" max="3328" width="11.453125" style="47" customWidth="1"/>
    <col min="3329" max="3330" width="8.54296875" style="47"/>
    <col min="3331" max="3331" width="2.453125" style="47" customWidth="1"/>
    <col min="3332" max="3332" width="23.453125" style="47" customWidth="1"/>
    <col min="3333" max="3334" width="8.54296875" style="47"/>
    <col min="3335" max="3335" width="2.54296875" style="47" customWidth="1"/>
    <col min="3336" max="3336" width="24.453125" style="47" customWidth="1"/>
    <col min="3337" max="3575" width="8.54296875" style="47"/>
    <col min="3576" max="3576" width="24.453125" style="47" customWidth="1"/>
    <col min="3577" max="3579" width="16.54296875" style="47" customWidth="1"/>
    <col min="3580" max="3581" width="17.54296875" style="47" customWidth="1"/>
    <col min="3582" max="3582" width="16.54296875" style="47" customWidth="1"/>
    <col min="3583" max="3583" width="16" style="47" customWidth="1"/>
    <col min="3584" max="3584" width="11.453125" style="47" customWidth="1"/>
    <col min="3585" max="3586" width="8.54296875" style="47"/>
    <col min="3587" max="3587" width="2.453125" style="47" customWidth="1"/>
    <col min="3588" max="3588" width="23.453125" style="47" customWidth="1"/>
    <col min="3589" max="3590" width="8.54296875" style="47"/>
    <col min="3591" max="3591" width="2.54296875" style="47" customWidth="1"/>
    <col min="3592" max="3592" width="24.453125" style="47" customWidth="1"/>
    <col min="3593" max="3831" width="8.54296875" style="47"/>
    <col min="3832" max="3832" width="24.453125" style="47" customWidth="1"/>
    <col min="3833" max="3835" width="16.54296875" style="47" customWidth="1"/>
    <col min="3836" max="3837" width="17.54296875" style="47" customWidth="1"/>
    <col min="3838" max="3838" width="16.54296875" style="47" customWidth="1"/>
    <col min="3839" max="3839" width="16" style="47" customWidth="1"/>
    <col min="3840" max="3840" width="11.453125" style="47" customWidth="1"/>
    <col min="3841" max="3842" width="8.54296875" style="47"/>
    <col min="3843" max="3843" width="2.453125" style="47" customWidth="1"/>
    <col min="3844" max="3844" width="23.453125" style="47" customWidth="1"/>
    <col min="3845" max="3846" width="8.54296875" style="47"/>
    <col min="3847" max="3847" width="2.54296875" style="47" customWidth="1"/>
    <col min="3848" max="3848" width="24.453125" style="47" customWidth="1"/>
    <col min="3849" max="4087" width="8.54296875" style="47"/>
    <col min="4088" max="4088" width="24.453125" style="47" customWidth="1"/>
    <col min="4089" max="4091" width="16.54296875" style="47" customWidth="1"/>
    <col min="4092" max="4093" width="17.54296875" style="47" customWidth="1"/>
    <col min="4094" max="4094" width="16.54296875" style="47" customWidth="1"/>
    <col min="4095" max="4095" width="16" style="47" customWidth="1"/>
    <col min="4096" max="4096" width="11.453125" style="47" customWidth="1"/>
    <col min="4097" max="4098" width="8.54296875" style="47"/>
    <col min="4099" max="4099" width="2.453125" style="47" customWidth="1"/>
    <col min="4100" max="4100" width="23.453125" style="47" customWidth="1"/>
    <col min="4101" max="4102" width="8.54296875" style="47"/>
    <col min="4103" max="4103" width="2.54296875" style="47" customWidth="1"/>
    <col min="4104" max="4104" width="24.453125" style="47" customWidth="1"/>
    <col min="4105" max="4343" width="8.54296875" style="47"/>
    <col min="4344" max="4344" width="24.453125" style="47" customWidth="1"/>
    <col min="4345" max="4347" width="16.54296875" style="47" customWidth="1"/>
    <col min="4348" max="4349" width="17.54296875" style="47" customWidth="1"/>
    <col min="4350" max="4350" width="16.54296875" style="47" customWidth="1"/>
    <col min="4351" max="4351" width="16" style="47" customWidth="1"/>
    <col min="4352" max="4352" width="11.453125" style="47" customWidth="1"/>
    <col min="4353" max="4354" width="8.54296875" style="47"/>
    <col min="4355" max="4355" width="2.453125" style="47" customWidth="1"/>
    <col min="4356" max="4356" width="23.453125" style="47" customWidth="1"/>
    <col min="4357" max="4358" width="8.54296875" style="47"/>
    <col min="4359" max="4359" width="2.54296875" style="47" customWidth="1"/>
    <col min="4360" max="4360" width="24.453125" style="47" customWidth="1"/>
    <col min="4361" max="4599" width="8.54296875" style="47"/>
    <col min="4600" max="4600" width="24.453125" style="47" customWidth="1"/>
    <col min="4601" max="4603" width="16.54296875" style="47" customWidth="1"/>
    <col min="4604" max="4605" width="17.54296875" style="47" customWidth="1"/>
    <col min="4606" max="4606" width="16.54296875" style="47" customWidth="1"/>
    <col min="4607" max="4607" width="16" style="47" customWidth="1"/>
    <col min="4608" max="4608" width="11.453125" style="47" customWidth="1"/>
    <col min="4609" max="4610" width="8.54296875" style="47"/>
    <col min="4611" max="4611" width="2.453125" style="47" customWidth="1"/>
    <col min="4612" max="4612" width="23.453125" style="47" customWidth="1"/>
    <col min="4613" max="4614" width="8.54296875" style="47"/>
    <col min="4615" max="4615" width="2.54296875" style="47" customWidth="1"/>
    <col min="4616" max="4616" width="24.453125" style="47" customWidth="1"/>
    <col min="4617" max="4855" width="8.54296875" style="47"/>
    <col min="4856" max="4856" width="24.453125" style="47" customWidth="1"/>
    <col min="4857" max="4859" width="16.54296875" style="47" customWidth="1"/>
    <col min="4860" max="4861" width="17.54296875" style="47" customWidth="1"/>
    <col min="4862" max="4862" width="16.54296875" style="47" customWidth="1"/>
    <col min="4863" max="4863" width="16" style="47" customWidth="1"/>
    <col min="4864" max="4864" width="11.453125" style="47" customWidth="1"/>
    <col min="4865" max="4866" width="8.54296875" style="47"/>
    <col min="4867" max="4867" width="2.453125" style="47" customWidth="1"/>
    <col min="4868" max="4868" width="23.453125" style="47" customWidth="1"/>
    <col min="4869" max="4870" width="8.54296875" style="47"/>
    <col min="4871" max="4871" width="2.54296875" style="47" customWidth="1"/>
    <col min="4872" max="4872" width="24.453125" style="47" customWidth="1"/>
    <col min="4873" max="5111" width="8.54296875" style="47"/>
    <col min="5112" max="5112" width="24.453125" style="47" customWidth="1"/>
    <col min="5113" max="5115" width="16.54296875" style="47" customWidth="1"/>
    <col min="5116" max="5117" width="17.54296875" style="47" customWidth="1"/>
    <col min="5118" max="5118" width="16.54296875" style="47" customWidth="1"/>
    <col min="5119" max="5119" width="16" style="47" customWidth="1"/>
    <col min="5120" max="5120" width="11.453125" style="47" customWidth="1"/>
    <col min="5121" max="5122" width="8.54296875" style="47"/>
    <col min="5123" max="5123" width="2.453125" style="47" customWidth="1"/>
    <col min="5124" max="5124" width="23.453125" style="47" customWidth="1"/>
    <col min="5125" max="5126" width="8.54296875" style="47"/>
    <col min="5127" max="5127" width="2.54296875" style="47" customWidth="1"/>
    <col min="5128" max="5128" width="24.453125" style="47" customWidth="1"/>
    <col min="5129" max="5367" width="8.54296875" style="47"/>
    <col min="5368" max="5368" width="24.453125" style="47" customWidth="1"/>
    <col min="5369" max="5371" width="16.54296875" style="47" customWidth="1"/>
    <col min="5372" max="5373" width="17.54296875" style="47" customWidth="1"/>
    <col min="5374" max="5374" width="16.54296875" style="47" customWidth="1"/>
    <col min="5375" max="5375" width="16" style="47" customWidth="1"/>
    <col min="5376" max="5376" width="11.453125" style="47" customWidth="1"/>
    <col min="5377" max="5378" width="8.54296875" style="47"/>
    <col min="5379" max="5379" width="2.453125" style="47" customWidth="1"/>
    <col min="5380" max="5380" width="23.453125" style="47" customWidth="1"/>
    <col min="5381" max="5382" width="8.54296875" style="47"/>
    <col min="5383" max="5383" width="2.54296875" style="47" customWidth="1"/>
    <col min="5384" max="5384" width="24.453125" style="47" customWidth="1"/>
    <col min="5385" max="5623" width="8.54296875" style="47"/>
    <col min="5624" max="5624" width="24.453125" style="47" customWidth="1"/>
    <col min="5625" max="5627" width="16.54296875" style="47" customWidth="1"/>
    <col min="5628" max="5629" width="17.54296875" style="47" customWidth="1"/>
    <col min="5630" max="5630" width="16.54296875" style="47" customWidth="1"/>
    <col min="5631" max="5631" width="16" style="47" customWidth="1"/>
    <col min="5632" max="5632" width="11.453125" style="47" customWidth="1"/>
    <col min="5633" max="5634" width="8.54296875" style="47"/>
    <col min="5635" max="5635" width="2.453125" style="47" customWidth="1"/>
    <col min="5636" max="5636" width="23.453125" style="47" customWidth="1"/>
    <col min="5637" max="5638" width="8.54296875" style="47"/>
    <col min="5639" max="5639" width="2.54296875" style="47" customWidth="1"/>
    <col min="5640" max="5640" width="24.453125" style="47" customWidth="1"/>
    <col min="5641" max="5879" width="8.54296875" style="47"/>
    <col min="5880" max="5880" width="24.453125" style="47" customWidth="1"/>
    <col min="5881" max="5883" width="16.54296875" style="47" customWidth="1"/>
    <col min="5884" max="5885" width="17.54296875" style="47" customWidth="1"/>
    <col min="5886" max="5886" width="16.54296875" style="47" customWidth="1"/>
    <col min="5887" max="5887" width="16" style="47" customWidth="1"/>
    <col min="5888" max="5888" width="11.453125" style="47" customWidth="1"/>
    <col min="5889" max="5890" width="8.54296875" style="47"/>
    <col min="5891" max="5891" width="2.453125" style="47" customWidth="1"/>
    <col min="5892" max="5892" width="23.453125" style="47" customWidth="1"/>
    <col min="5893" max="5894" width="8.54296875" style="47"/>
    <col min="5895" max="5895" width="2.54296875" style="47" customWidth="1"/>
    <col min="5896" max="5896" width="24.453125" style="47" customWidth="1"/>
    <col min="5897" max="6135" width="8.54296875" style="47"/>
    <col min="6136" max="6136" width="24.453125" style="47" customWidth="1"/>
    <col min="6137" max="6139" width="16.54296875" style="47" customWidth="1"/>
    <col min="6140" max="6141" width="17.54296875" style="47" customWidth="1"/>
    <col min="6142" max="6142" width="16.54296875" style="47" customWidth="1"/>
    <col min="6143" max="6143" width="16" style="47" customWidth="1"/>
    <col min="6144" max="6144" width="11.453125" style="47" customWidth="1"/>
    <col min="6145" max="6146" width="8.54296875" style="47"/>
    <col min="6147" max="6147" width="2.453125" style="47" customWidth="1"/>
    <col min="6148" max="6148" width="23.453125" style="47" customWidth="1"/>
    <col min="6149" max="6150" width="8.54296875" style="47"/>
    <col min="6151" max="6151" width="2.54296875" style="47" customWidth="1"/>
    <col min="6152" max="6152" width="24.453125" style="47" customWidth="1"/>
    <col min="6153" max="6391" width="8.54296875" style="47"/>
    <col min="6392" max="6392" width="24.453125" style="47" customWidth="1"/>
    <col min="6393" max="6395" width="16.54296875" style="47" customWidth="1"/>
    <col min="6396" max="6397" width="17.54296875" style="47" customWidth="1"/>
    <col min="6398" max="6398" width="16.54296875" style="47" customWidth="1"/>
    <col min="6399" max="6399" width="16" style="47" customWidth="1"/>
    <col min="6400" max="6400" width="11.453125" style="47" customWidth="1"/>
    <col min="6401" max="6402" width="8.54296875" style="47"/>
    <col min="6403" max="6403" width="2.453125" style="47" customWidth="1"/>
    <col min="6404" max="6404" width="23.453125" style="47" customWidth="1"/>
    <col min="6405" max="6406" width="8.54296875" style="47"/>
    <col min="6407" max="6407" width="2.54296875" style="47" customWidth="1"/>
    <col min="6408" max="6408" width="24.453125" style="47" customWidth="1"/>
    <col min="6409" max="6647" width="8.54296875" style="47"/>
    <col min="6648" max="6648" width="24.453125" style="47" customWidth="1"/>
    <col min="6649" max="6651" width="16.54296875" style="47" customWidth="1"/>
    <col min="6652" max="6653" width="17.54296875" style="47" customWidth="1"/>
    <col min="6654" max="6654" width="16.54296875" style="47" customWidth="1"/>
    <col min="6655" max="6655" width="16" style="47" customWidth="1"/>
    <col min="6656" max="6656" width="11.453125" style="47" customWidth="1"/>
    <col min="6657" max="6658" width="8.54296875" style="47"/>
    <col min="6659" max="6659" width="2.453125" style="47" customWidth="1"/>
    <col min="6660" max="6660" width="23.453125" style="47" customWidth="1"/>
    <col min="6661" max="6662" width="8.54296875" style="47"/>
    <col min="6663" max="6663" width="2.54296875" style="47" customWidth="1"/>
    <col min="6664" max="6664" width="24.453125" style="47" customWidth="1"/>
    <col min="6665" max="6903" width="8.54296875" style="47"/>
    <col min="6904" max="6904" width="24.453125" style="47" customWidth="1"/>
    <col min="6905" max="6907" width="16.54296875" style="47" customWidth="1"/>
    <col min="6908" max="6909" width="17.54296875" style="47" customWidth="1"/>
    <col min="6910" max="6910" width="16.54296875" style="47" customWidth="1"/>
    <col min="6911" max="6911" width="16" style="47" customWidth="1"/>
    <col min="6912" max="6912" width="11.453125" style="47" customWidth="1"/>
    <col min="6913" max="6914" width="8.54296875" style="47"/>
    <col min="6915" max="6915" width="2.453125" style="47" customWidth="1"/>
    <col min="6916" max="6916" width="23.453125" style="47" customWidth="1"/>
    <col min="6917" max="6918" width="8.54296875" style="47"/>
    <col min="6919" max="6919" width="2.54296875" style="47" customWidth="1"/>
    <col min="6920" max="6920" width="24.453125" style="47" customWidth="1"/>
    <col min="6921" max="7159" width="8.54296875" style="47"/>
    <col min="7160" max="7160" width="24.453125" style="47" customWidth="1"/>
    <col min="7161" max="7163" width="16.54296875" style="47" customWidth="1"/>
    <col min="7164" max="7165" width="17.54296875" style="47" customWidth="1"/>
    <col min="7166" max="7166" width="16.54296875" style="47" customWidth="1"/>
    <col min="7167" max="7167" width="16" style="47" customWidth="1"/>
    <col min="7168" max="7168" width="11.453125" style="47" customWidth="1"/>
    <col min="7169" max="7170" width="8.54296875" style="47"/>
    <col min="7171" max="7171" width="2.453125" style="47" customWidth="1"/>
    <col min="7172" max="7172" width="23.453125" style="47" customWidth="1"/>
    <col min="7173" max="7174" width="8.54296875" style="47"/>
    <col min="7175" max="7175" width="2.54296875" style="47" customWidth="1"/>
    <col min="7176" max="7176" width="24.453125" style="47" customWidth="1"/>
    <col min="7177" max="7415" width="8.54296875" style="47"/>
    <col min="7416" max="7416" width="24.453125" style="47" customWidth="1"/>
    <col min="7417" max="7419" width="16.54296875" style="47" customWidth="1"/>
    <col min="7420" max="7421" width="17.54296875" style="47" customWidth="1"/>
    <col min="7422" max="7422" width="16.54296875" style="47" customWidth="1"/>
    <col min="7423" max="7423" width="16" style="47" customWidth="1"/>
    <col min="7424" max="7424" width="11.453125" style="47" customWidth="1"/>
    <col min="7425" max="7426" width="8.54296875" style="47"/>
    <col min="7427" max="7427" width="2.453125" style="47" customWidth="1"/>
    <col min="7428" max="7428" width="23.453125" style="47" customWidth="1"/>
    <col min="7429" max="7430" width="8.54296875" style="47"/>
    <col min="7431" max="7431" width="2.54296875" style="47" customWidth="1"/>
    <col min="7432" max="7432" width="24.453125" style="47" customWidth="1"/>
    <col min="7433" max="7671" width="8.54296875" style="47"/>
    <col min="7672" max="7672" width="24.453125" style="47" customWidth="1"/>
    <col min="7673" max="7675" width="16.54296875" style="47" customWidth="1"/>
    <col min="7676" max="7677" width="17.54296875" style="47" customWidth="1"/>
    <col min="7678" max="7678" width="16.54296875" style="47" customWidth="1"/>
    <col min="7679" max="7679" width="16" style="47" customWidth="1"/>
    <col min="7680" max="7680" width="11.453125" style="47" customWidth="1"/>
    <col min="7681" max="7682" width="8.54296875" style="47"/>
    <col min="7683" max="7683" width="2.453125" style="47" customWidth="1"/>
    <col min="7684" max="7684" width="23.453125" style="47" customWidth="1"/>
    <col min="7685" max="7686" width="8.54296875" style="47"/>
    <col min="7687" max="7687" width="2.54296875" style="47" customWidth="1"/>
    <col min="7688" max="7688" width="24.453125" style="47" customWidth="1"/>
    <col min="7689" max="7927" width="8.54296875" style="47"/>
    <col min="7928" max="7928" width="24.453125" style="47" customWidth="1"/>
    <col min="7929" max="7931" width="16.54296875" style="47" customWidth="1"/>
    <col min="7932" max="7933" width="17.54296875" style="47" customWidth="1"/>
    <col min="7934" max="7934" width="16.54296875" style="47" customWidth="1"/>
    <col min="7935" max="7935" width="16" style="47" customWidth="1"/>
    <col min="7936" max="7936" width="11.453125" style="47" customWidth="1"/>
    <col min="7937" max="7938" width="8.54296875" style="47"/>
    <col min="7939" max="7939" width="2.453125" style="47" customWidth="1"/>
    <col min="7940" max="7940" width="23.453125" style="47" customWidth="1"/>
    <col min="7941" max="7942" width="8.54296875" style="47"/>
    <col min="7943" max="7943" width="2.54296875" style="47" customWidth="1"/>
    <col min="7944" max="7944" width="24.453125" style="47" customWidth="1"/>
    <col min="7945" max="8183" width="8.54296875" style="47"/>
    <col min="8184" max="8184" width="24.453125" style="47" customWidth="1"/>
    <col min="8185" max="8187" width="16.54296875" style="47" customWidth="1"/>
    <col min="8188" max="8189" width="17.54296875" style="47" customWidth="1"/>
    <col min="8190" max="8190" width="16.54296875" style="47" customWidth="1"/>
    <col min="8191" max="8191" width="16" style="47" customWidth="1"/>
    <col min="8192" max="8192" width="11.453125" style="47" customWidth="1"/>
    <col min="8193" max="8194" width="8.54296875" style="47"/>
    <col min="8195" max="8195" width="2.453125" style="47" customWidth="1"/>
    <col min="8196" max="8196" width="23.453125" style="47" customWidth="1"/>
    <col min="8197" max="8198" width="8.54296875" style="47"/>
    <col min="8199" max="8199" width="2.54296875" style="47" customWidth="1"/>
    <col min="8200" max="8200" width="24.453125" style="47" customWidth="1"/>
    <col min="8201" max="8439" width="8.54296875" style="47"/>
    <col min="8440" max="8440" width="24.453125" style="47" customWidth="1"/>
    <col min="8441" max="8443" width="16.54296875" style="47" customWidth="1"/>
    <col min="8444" max="8445" width="17.54296875" style="47" customWidth="1"/>
    <col min="8446" max="8446" width="16.54296875" style="47" customWidth="1"/>
    <col min="8447" max="8447" width="16" style="47" customWidth="1"/>
    <col min="8448" max="8448" width="11.453125" style="47" customWidth="1"/>
    <col min="8449" max="8450" width="8.54296875" style="47"/>
    <col min="8451" max="8451" width="2.453125" style="47" customWidth="1"/>
    <col min="8452" max="8452" width="23.453125" style="47" customWidth="1"/>
    <col min="8453" max="8454" width="8.54296875" style="47"/>
    <col min="8455" max="8455" width="2.54296875" style="47" customWidth="1"/>
    <col min="8456" max="8456" width="24.453125" style="47" customWidth="1"/>
    <col min="8457" max="8695" width="8.54296875" style="47"/>
    <col min="8696" max="8696" width="24.453125" style="47" customWidth="1"/>
    <col min="8697" max="8699" width="16.54296875" style="47" customWidth="1"/>
    <col min="8700" max="8701" width="17.54296875" style="47" customWidth="1"/>
    <col min="8702" max="8702" width="16.54296875" style="47" customWidth="1"/>
    <col min="8703" max="8703" width="16" style="47" customWidth="1"/>
    <col min="8704" max="8704" width="11.453125" style="47" customWidth="1"/>
    <col min="8705" max="8706" width="8.54296875" style="47"/>
    <col min="8707" max="8707" width="2.453125" style="47" customWidth="1"/>
    <col min="8708" max="8708" width="23.453125" style="47" customWidth="1"/>
    <col min="8709" max="8710" width="8.54296875" style="47"/>
    <col min="8711" max="8711" width="2.54296875" style="47" customWidth="1"/>
    <col min="8712" max="8712" width="24.453125" style="47" customWidth="1"/>
    <col min="8713" max="8951" width="8.54296875" style="47"/>
    <col min="8952" max="8952" width="24.453125" style="47" customWidth="1"/>
    <col min="8953" max="8955" width="16.54296875" style="47" customWidth="1"/>
    <col min="8956" max="8957" width="17.54296875" style="47" customWidth="1"/>
    <col min="8958" max="8958" width="16.54296875" style="47" customWidth="1"/>
    <col min="8959" max="8959" width="16" style="47" customWidth="1"/>
    <col min="8960" max="8960" width="11.453125" style="47" customWidth="1"/>
    <col min="8961" max="8962" width="8.54296875" style="47"/>
    <col min="8963" max="8963" width="2.453125" style="47" customWidth="1"/>
    <col min="8964" max="8964" width="23.453125" style="47" customWidth="1"/>
    <col min="8965" max="8966" width="8.54296875" style="47"/>
    <col min="8967" max="8967" width="2.54296875" style="47" customWidth="1"/>
    <col min="8968" max="8968" width="24.453125" style="47" customWidth="1"/>
    <col min="8969" max="9207" width="8.54296875" style="47"/>
    <col min="9208" max="9208" width="24.453125" style="47" customWidth="1"/>
    <col min="9209" max="9211" width="16.54296875" style="47" customWidth="1"/>
    <col min="9212" max="9213" width="17.54296875" style="47" customWidth="1"/>
    <col min="9214" max="9214" width="16.54296875" style="47" customWidth="1"/>
    <col min="9215" max="9215" width="16" style="47" customWidth="1"/>
    <col min="9216" max="9216" width="11.453125" style="47" customWidth="1"/>
    <col min="9217" max="9218" width="8.54296875" style="47"/>
    <col min="9219" max="9219" width="2.453125" style="47" customWidth="1"/>
    <col min="9220" max="9220" width="23.453125" style="47" customWidth="1"/>
    <col min="9221" max="9222" width="8.54296875" style="47"/>
    <col min="9223" max="9223" width="2.54296875" style="47" customWidth="1"/>
    <col min="9224" max="9224" width="24.453125" style="47" customWidth="1"/>
    <col min="9225" max="9463" width="8.54296875" style="47"/>
    <col min="9464" max="9464" width="24.453125" style="47" customWidth="1"/>
    <col min="9465" max="9467" width="16.54296875" style="47" customWidth="1"/>
    <col min="9468" max="9469" width="17.54296875" style="47" customWidth="1"/>
    <col min="9470" max="9470" width="16.54296875" style="47" customWidth="1"/>
    <col min="9471" max="9471" width="16" style="47" customWidth="1"/>
    <col min="9472" max="9472" width="11.453125" style="47" customWidth="1"/>
    <col min="9473" max="9474" width="8.54296875" style="47"/>
    <col min="9475" max="9475" width="2.453125" style="47" customWidth="1"/>
    <col min="9476" max="9476" width="23.453125" style="47" customWidth="1"/>
    <col min="9477" max="9478" width="8.54296875" style="47"/>
    <col min="9479" max="9479" width="2.54296875" style="47" customWidth="1"/>
    <col min="9480" max="9480" width="24.453125" style="47" customWidth="1"/>
    <col min="9481" max="9719" width="8.54296875" style="47"/>
    <col min="9720" max="9720" width="24.453125" style="47" customWidth="1"/>
    <col min="9721" max="9723" width="16.54296875" style="47" customWidth="1"/>
    <col min="9724" max="9725" width="17.54296875" style="47" customWidth="1"/>
    <col min="9726" max="9726" width="16.54296875" style="47" customWidth="1"/>
    <col min="9727" max="9727" width="16" style="47" customWidth="1"/>
    <col min="9728" max="9728" width="11.453125" style="47" customWidth="1"/>
    <col min="9729" max="9730" width="8.54296875" style="47"/>
    <col min="9731" max="9731" width="2.453125" style="47" customWidth="1"/>
    <col min="9732" max="9732" width="23.453125" style="47" customWidth="1"/>
    <col min="9733" max="9734" width="8.54296875" style="47"/>
    <col min="9735" max="9735" width="2.54296875" style="47" customWidth="1"/>
    <col min="9736" max="9736" width="24.453125" style="47" customWidth="1"/>
    <col min="9737" max="9975" width="8.54296875" style="47"/>
    <col min="9976" max="9976" width="24.453125" style="47" customWidth="1"/>
    <col min="9977" max="9979" width="16.54296875" style="47" customWidth="1"/>
    <col min="9980" max="9981" width="17.54296875" style="47" customWidth="1"/>
    <col min="9982" max="9982" width="16.54296875" style="47" customWidth="1"/>
    <col min="9983" max="9983" width="16" style="47" customWidth="1"/>
    <col min="9984" max="9984" width="11.453125" style="47" customWidth="1"/>
    <col min="9985" max="9986" width="8.54296875" style="47"/>
    <col min="9987" max="9987" width="2.453125" style="47" customWidth="1"/>
    <col min="9988" max="9988" width="23.453125" style="47" customWidth="1"/>
    <col min="9989" max="9990" width="8.54296875" style="47"/>
    <col min="9991" max="9991" width="2.54296875" style="47" customWidth="1"/>
    <col min="9992" max="9992" width="24.453125" style="47" customWidth="1"/>
    <col min="9993" max="10231" width="8.54296875" style="47"/>
    <col min="10232" max="10232" width="24.453125" style="47" customWidth="1"/>
    <col min="10233" max="10235" width="16.54296875" style="47" customWidth="1"/>
    <col min="10236" max="10237" width="17.54296875" style="47" customWidth="1"/>
    <col min="10238" max="10238" width="16.54296875" style="47" customWidth="1"/>
    <col min="10239" max="10239" width="16" style="47" customWidth="1"/>
    <col min="10240" max="10240" width="11.453125" style="47" customWidth="1"/>
    <col min="10241" max="10242" width="8.54296875" style="47"/>
    <col min="10243" max="10243" width="2.453125" style="47" customWidth="1"/>
    <col min="10244" max="10244" width="23.453125" style="47" customWidth="1"/>
    <col min="10245" max="10246" width="8.54296875" style="47"/>
    <col min="10247" max="10247" width="2.54296875" style="47" customWidth="1"/>
    <col min="10248" max="10248" width="24.453125" style="47" customWidth="1"/>
    <col min="10249" max="10487" width="8.54296875" style="47"/>
    <col min="10488" max="10488" width="24.453125" style="47" customWidth="1"/>
    <col min="10489" max="10491" width="16.54296875" style="47" customWidth="1"/>
    <col min="10492" max="10493" width="17.54296875" style="47" customWidth="1"/>
    <col min="10494" max="10494" width="16.54296875" style="47" customWidth="1"/>
    <col min="10495" max="10495" width="16" style="47" customWidth="1"/>
    <col min="10496" max="10496" width="11.453125" style="47" customWidth="1"/>
    <col min="10497" max="10498" width="8.54296875" style="47"/>
    <col min="10499" max="10499" width="2.453125" style="47" customWidth="1"/>
    <col min="10500" max="10500" width="23.453125" style="47" customWidth="1"/>
    <col min="10501" max="10502" width="8.54296875" style="47"/>
    <col min="10503" max="10503" width="2.54296875" style="47" customWidth="1"/>
    <col min="10504" max="10504" width="24.453125" style="47" customWidth="1"/>
    <col min="10505" max="10743" width="8.54296875" style="47"/>
    <col min="10744" max="10744" width="24.453125" style="47" customWidth="1"/>
    <col min="10745" max="10747" width="16.54296875" style="47" customWidth="1"/>
    <col min="10748" max="10749" width="17.54296875" style="47" customWidth="1"/>
    <col min="10750" max="10750" width="16.54296875" style="47" customWidth="1"/>
    <col min="10751" max="10751" width="16" style="47" customWidth="1"/>
    <col min="10752" max="10752" width="11.453125" style="47" customWidth="1"/>
    <col min="10753" max="10754" width="8.54296875" style="47"/>
    <col min="10755" max="10755" width="2.453125" style="47" customWidth="1"/>
    <col min="10756" max="10756" width="23.453125" style="47" customWidth="1"/>
    <col min="10757" max="10758" width="8.54296875" style="47"/>
    <col min="10759" max="10759" width="2.54296875" style="47" customWidth="1"/>
    <col min="10760" max="10760" width="24.453125" style="47" customWidth="1"/>
    <col min="10761" max="10999" width="8.54296875" style="47"/>
    <col min="11000" max="11000" width="24.453125" style="47" customWidth="1"/>
    <col min="11001" max="11003" width="16.54296875" style="47" customWidth="1"/>
    <col min="11004" max="11005" width="17.54296875" style="47" customWidth="1"/>
    <col min="11006" max="11006" width="16.54296875" style="47" customWidth="1"/>
    <col min="11007" max="11007" width="16" style="47" customWidth="1"/>
    <col min="11008" max="11008" width="11.453125" style="47" customWidth="1"/>
    <col min="11009" max="11010" width="8.54296875" style="47"/>
    <col min="11011" max="11011" width="2.453125" style="47" customWidth="1"/>
    <col min="11012" max="11012" width="23.453125" style="47" customWidth="1"/>
    <col min="11013" max="11014" width="8.54296875" style="47"/>
    <col min="11015" max="11015" width="2.54296875" style="47" customWidth="1"/>
    <col min="11016" max="11016" width="24.453125" style="47" customWidth="1"/>
    <col min="11017" max="11255" width="8.54296875" style="47"/>
    <col min="11256" max="11256" width="24.453125" style="47" customWidth="1"/>
    <col min="11257" max="11259" width="16.54296875" style="47" customWidth="1"/>
    <col min="11260" max="11261" width="17.54296875" style="47" customWidth="1"/>
    <col min="11262" max="11262" width="16.54296875" style="47" customWidth="1"/>
    <col min="11263" max="11263" width="16" style="47" customWidth="1"/>
    <col min="11264" max="11264" width="11.453125" style="47" customWidth="1"/>
    <col min="11265" max="11266" width="8.54296875" style="47"/>
    <col min="11267" max="11267" width="2.453125" style="47" customWidth="1"/>
    <col min="11268" max="11268" width="23.453125" style="47" customWidth="1"/>
    <col min="11269" max="11270" width="8.54296875" style="47"/>
    <col min="11271" max="11271" width="2.54296875" style="47" customWidth="1"/>
    <col min="11272" max="11272" width="24.453125" style="47" customWidth="1"/>
    <col min="11273" max="11511" width="8.54296875" style="47"/>
    <col min="11512" max="11512" width="24.453125" style="47" customWidth="1"/>
    <col min="11513" max="11515" width="16.54296875" style="47" customWidth="1"/>
    <col min="11516" max="11517" width="17.54296875" style="47" customWidth="1"/>
    <col min="11518" max="11518" width="16.54296875" style="47" customWidth="1"/>
    <col min="11519" max="11519" width="16" style="47" customWidth="1"/>
    <col min="11520" max="11520" width="11.453125" style="47" customWidth="1"/>
    <col min="11521" max="11522" width="8.54296875" style="47"/>
    <col min="11523" max="11523" width="2.453125" style="47" customWidth="1"/>
    <col min="11524" max="11524" width="23.453125" style="47" customWidth="1"/>
    <col min="11525" max="11526" width="8.54296875" style="47"/>
    <col min="11527" max="11527" width="2.54296875" style="47" customWidth="1"/>
    <col min="11528" max="11528" width="24.453125" style="47" customWidth="1"/>
    <col min="11529" max="11767" width="8.54296875" style="47"/>
    <col min="11768" max="11768" width="24.453125" style="47" customWidth="1"/>
    <col min="11769" max="11771" width="16.54296875" style="47" customWidth="1"/>
    <col min="11772" max="11773" width="17.54296875" style="47" customWidth="1"/>
    <col min="11774" max="11774" width="16.54296875" style="47" customWidth="1"/>
    <col min="11775" max="11775" width="16" style="47" customWidth="1"/>
    <col min="11776" max="11776" width="11.453125" style="47" customWidth="1"/>
    <col min="11777" max="11778" width="8.54296875" style="47"/>
    <col min="11779" max="11779" width="2.453125" style="47" customWidth="1"/>
    <col min="11780" max="11780" width="23.453125" style="47" customWidth="1"/>
    <col min="11781" max="11782" width="8.54296875" style="47"/>
    <col min="11783" max="11783" width="2.54296875" style="47" customWidth="1"/>
    <col min="11784" max="11784" width="24.453125" style="47" customWidth="1"/>
    <col min="11785" max="12023" width="8.54296875" style="47"/>
    <col min="12024" max="12024" width="24.453125" style="47" customWidth="1"/>
    <col min="12025" max="12027" width="16.54296875" style="47" customWidth="1"/>
    <col min="12028" max="12029" width="17.54296875" style="47" customWidth="1"/>
    <col min="12030" max="12030" width="16.54296875" style="47" customWidth="1"/>
    <col min="12031" max="12031" width="16" style="47" customWidth="1"/>
    <col min="12032" max="12032" width="11.453125" style="47" customWidth="1"/>
    <col min="12033" max="12034" width="8.54296875" style="47"/>
    <col min="12035" max="12035" width="2.453125" style="47" customWidth="1"/>
    <col min="12036" max="12036" width="23.453125" style="47" customWidth="1"/>
    <col min="12037" max="12038" width="8.54296875" style="47"/>
    <col min="12039" max="12039" width="2.54296875" style="47" customWidth="1"/>
    <col min="12040" max="12040" width="24.453125" style="47" customWidth="1"/>
    <col min="12041" max="12279" width="8.54296875" style="47"/>
    <col min="12280" max="12280" width="24.453125" style="47" customWidth="1"/>
    <col min="12281" max="12283" width="16.54296875" style="47" customWidth="1"/>
    <col min="12284" max="12285" width="17.54296875" style="47" customWidth="1"/>
    <col min="12286" max="12286" width="16.54296875" style="47" customWidth="1"/>
    <col min="12287" max="12287" width="16" style="47" customWidth="1"/>
    <col min="12288" max="12288" width="11.453125" style="47" customWidth="1"/>
    <col min="12289" max="12290" width="8.54296875" style="47"/>
    <col min="12291" max="12291" width="2.453125" style="47" customWidth="1"/>
    <col min="12292" max="12292" width="23.453125" style="47" customWidth="1"/>
    <col min="12293" max="12294" width="8.54296875" style="47"/>
    <col min="12295" max="12295" width="2.54296875" style="47" customWidth="1"/>
    <col min="12296" max="12296" width="24.453125" style="47" customWidth="1"/>
    <col min="12297" max="12535" width="8.54296875" style="47"/>
    <col min="12536" max="12536" width="24.453125" style="47" customWidth="1"/>
    <col min="12537" max="12539" width="16.54296875" style="47" customWidth="1"/>
    <col min="12540" max="12541" width="17.54296875" style="47" customWidth="1"/>
    <col min="12542" max="12542" width="16.54296875" style="47" customWidth="1"/>
    <col min="12543" max="12543" width="16" style="47" customWidth="1"/>
    <col min="12544" max="12544" width="11.453125" style="47" customWidth="1"/>
    <col min="12545" max="12546" width="8.54296875" style="47"/>
    <col min="12547" max="12547" width="2.453125" style="47" customWidth="1"/>
    <col min="12548" max="12548" width="23.453125" style="47" customWidth="1"/>
    <col min="12549" max="12550" width="8.54296875" style="47"/>
    <col min="12551" max="12551" width="2.54296875" style="47" customWidth="1"/>
    <col min="12552" max="12552" width="24.453125" style="47" customWidth="1"/>
    <col min="12553" max="12791" width="8.54296875" style="47"/>
    <col min="12792" max="12792" width="24.453125" style="47" customWidth="1"/>
    <col min="12793" max="12795" width="16.54296875" style="47" customWidth="1"/>
    <col min="12796" max="12797" width="17.54296875" style="47" customWidth="1"/>
    <col min="12798" max="12798" width="16.54296875" style="47" customWidth="1"/>
    <col min="12799" max="12799" width="16" style="47" customWidth="1"/>
    <col min="12800" max="12800" width="11.453125" style="47" customWidth="1"/>
    <col min="12801" max="12802" width="8.54296875" style="47"/>
    <col min="12803" max="12803" width="2.453125" style="47" customWidth="1"/>
    <col min="12804" max="12804" width="23.453125" style="47" customWidth="1"/>
    <col min="12805" max="12806" width="8.54296875" style="47"/>
    <col min="12807" max="12807" width="2.54296875" style="47" customWidth="1"/>
    <col min="12808" max="12808" width="24.453125" style="47" customWidth="1"/>
    <col min="12809" max="13047" width="8.54296875" style="47"/>
    <col min="13048" max="13048" width="24.453125" style="47" customWidth="1"/>
    <col min="13049" max="13051" width="16.54296875" style="47" customWidth="1"/>
    <col min="13052" max="13053" width="17.54296875" style="47" customWidth="1"/>
    <col min="13054" max="13054" width="16.54296875" style="47" customWidth="1"/>
    <col min="13055" max="13055" width="16" style="47" customWidth="1"/>
    <col min="13056" max="13056" width="11.453125" style="47" customWidth="1"/>
    <col min="13057" max="13058" width="8.54296875" style="47"/>
    <col min="13059" max="13059" width="2.453125" style="47" customWidth="1"/>
    <col min="13060" max="13060" width="23.453125" style="47" customWidth="1"/>
    <col min="13061" max="13062" width="8.54296875" style="47"/>
    <col min="13063" max="13063" width="2.54296875" style="47" customWidth="1"/>
    <col min="13064" max="13064" width="24.453125" style="47" customWidth="1"/>
    <col min="13065" max="13303" width="8.54296875" style="47"/>
    <col min="13304" max="13304" width="24.453125" style="47" customWidth="1"/>
    <col min="13305" max="13307" width="16.54296875" style="47" customWidth="1"/>
    <col min="13308" max="13309" width="17.54296875" style="47" customWidth="1"/>
    <col min="13310" max="13310" width="16.54296875" style="47" customWidth="1"/>
    <col min="13311" max="13311" width="16" style="47" customWidth="1"/>
    <col min="13312" max="13312" width="11.453125" style="47" customWidth="1"/>
    <col min="13313" max="13314" width="8.54296875" style="47"/>
    <col min="13315" max="13315" width="2.453125" style="47" customWidth="1"/>
    <col min="13316" max="13316" width="23.453125" style="47" customWidth="1"/>
    <col min="13317" max="13318" width="8.54296875" style="47"/>
    <col min="13319" max="13319" width="2.54296875" style="47" customWidth="1"/>
    <col min="13320" max="13320" width="24.453125" style="47" customWidth="1"/>
    <col min="13321" max="13559" width="8.54296875" style="47"/>
    <col min="13560" max="13560" width="24.453125" style="47" customWidth="1"/>
    <col min="13561" max="13563" width="16.54296875" style="47" customWidth="1"/>
    <col min="13564" max="13565" width="17.54296875" style="47" customWidth="1"/>
    <col min="13566" max="13566" width="16.54296875" style="47" customWidth="1"/>
    <col min="13567" max="13567" width="16" style="47" customWidth="1"/>
    <col min="13568" max="13568" width="11.453125" style="47" customWidth="1"/>
    <col min="13569" max="13570" width="8.54296875" style="47"/>
    <col min="13571" max="13571" width="2.453125" style="47" customWidth="1"/>
    <col min="13572" max="13572" width="23.453125" style="47" customWidth="1"/>
    <col min="13573" max="13574" width="8.54296875" style="47"/>
    <col min="13575" max="13575" width="2.54296875" style="47" customWidth="1"/>
    <col min="13576" max="13576" width="24.453125" style="47" customWidth="1"/>
    <col min="13577" max="13815" width="8.54296875" style="47"/>
    <col min="13816" max="13816" width="24.453125" style="47" customWidth="1"/>
    <col min="13817" max="13819" width="16.54296875" style="47" customWidth="1"/>
    <col min="13820" max="13821" width="17.54296875" style="47" customWidth="1"/>
    <col min="13822" max="13822" width="16.54296875" style="47" customWidth="1"/>
    <col min="13823" max="13823" width="16" style="47" customWidth="1"/>
    <col min="13824" max="13824" width="11.453125" style="47" customWidth="1"/>
    <col min="13825" max="13826" width="8.54296875" style="47"/>
    <col min="13827" max="13827" width="2.453125" style="47" customWidth="1"/>
    <col min="13828" max="13828" width="23.453125" style="47" customWidth="1"/>
    <col min="13829" max="13830" width="8.54296875" style="47"/>
    <col min="13831" max="13831" width="2.54296875" style="47" customWidth="1"/>
    <col min="13832" max="13832" width="24.453125" style="47" customWidth="1"/>
    <col min="13833" max="14071" width="8.54296875" style="47"/>
    <col min="14072" max="14072" width="24.453125" style="47" customWidth="1"/>
    <col min="14073" max="14075" width="16.54296875" style="47" customWidth="1"/>
    <col min="14076" max="14077" width="17.54296875" style="47" customWidth="1"/>
    <col min="14078" max="14078" width="16.54296875" style="47" customWidth="1"/>
    <col min="14079" max="14079" width="16" style="47" customWidth="1"/>
    <col min="14080" max="14080" width="11.453125" style="47" customWidth="1"/>
    <col min="14081" max="14082" width="8.54296875" style="47"/>
    <col min="14083" max="14083" width="2.453125" style="47" customWidth="1"/>
    <col min="14084" max="14084" width="23.453125" style="47" customWidth="1"/>
    <col min="14085" max="14086" width="8.54296875" style="47"/>
    <col min="14087" max="14087" width="2.54296875" style="47" customWidth="1"/>
    <col min="14088" max="14088" width="24.453125" style="47" customWidth="1"/>
    <col min="14089" max="14327" width="8.54296875" style="47"/>
    <col min="14328" max="14328" width="24.453125" style="47" customWidth="1"/>
    <col min="14329" max="14331" width="16.54296875" style="47" customWidth="1"/>
    <col min="14332" max="14333" width="17.54296875" style="47" customWidth="1"/>
    <col min="14334" max="14334" width="16.54296875" style="47" customWidth="1"/>
    <col min="14335" max="14335" width="16" style="47" customWidth="1"/>
    <col min="14336" max="14336" width="11.453125" style="47" customWidth="1"/>
    <col min="14337" max="14338" width="8.54296875" style="47"/>
    <col min="14339" max="14339" width="2.453125" style="47" customWidth="1"/>
    <col min="14340" max="14340" width="23.453125" style="47" customWidth="1"/>
    <col min="14341" max="14342" width="8.54296875" style="47"/>
    <col min="14343" max="14343" width="2.54296875" style="47" customWidth="1"/>
    <col min="14344" max="14344" width="24.453125" style="47" customWidth="1"/>
    <col min="14345" max="14583" width="8.54296875" style="47"/>
    <col min="14584" max="14584" width="24.453125" style="47" customWidth="1"/>
    <col min="14585" max="14587" width="16.54296875" style="47" customWidth="1"/>
    <col min="14588" max="14589" width="17.54296875" style="47" customWidth="1"/>
    <col min="14590" max="14590" width="16.54296875" style="47" customWidth="1"/>
    <col min="14591" max="14591" width="16" style="47" customWidth="1"/>
    <col min="14592" max="14592" width="11.453125" style="47" customWidth="1"/>
    <col min="14593" max="14594" width="8.54296875" style="47"/>
    <col min="14595" max="14595" width="2.453125" style="47" customWidth="1"/>
    <col min="14596" max="14596" width="23.453125" style="47" customWidth="1"/>
    <col min="14597" max="14598" width="8.54296875" style="47"/>
    <col min="14599" max="14599" width="2.54296875" style="47" customWidth="1"/>
    <col min="14600" max="14600" width="24.453125" style="47" customWidth="1"/>
    <col min="14601" max="14839" width="8.54296875" style="47"/>
    <col min="14840" max="14840" width="24.453125" style="47" customWidth="1"/>
    <col min="14841" max="14843" width="16.54296875" style="47" customWidth="1"/>
    <col min="14844" max="14845" width="17.54296875" style="47" customWidth="1"/>
    <col min="14846" max="14846" width="16.54296875" style="47" customWidth="1"/>
    <col min="14847" max="14847" width="16" style="47" customWidth="1"/>
    <col min="14848" max="14848" width="11.453125" style="47" customWidth="1"/>
    <col min="14849" max="14850" width="8.54296875" style="47"/>
    <col min="14851" max="14851" width="2.453125" style="47" customWidth="1"/>
    <col min="14852" max="14852" width="23.453125" style="47" customWidth="1"/>
    <col min="14853" max="14854" width="8.54296875" style="47"/>
    <col min="14855" max="14855" width="2.54296875" style="47" customWidth="1"/>
    <col min="14856" max="14856" width="24.453125" style="47" customWidth="1"/>
    <col min="14857" max="15095" width="8.54296875" style="47"/>
    <col min="15096" max="15096" width="24.453125" style="47" customWidth="1"/>
    <col min="15097" max="15099" width="16.54296875" style="47" customWidth="1"/>
    <col min="15100" max="15101" width="17.54296875" style="47" customWidth="1"/>
    <col min="15102" max="15102" width="16.54296875" style="47" customWidth="1"/>
    <col min="15103" max="15103" width="16" style="47" customWidth="1"/>
    <col min="15104" max="15104" width="11.453125" style="47" customWidth="1"/>
    <col min="15105" max="15106" width="8.54296875" style="47"/>
    <col min="15107" max="15107" width="2.453125" style="47" customWidth="1"/>
    <col min="15108" max="15108" width="23.453125" style="47" customWidth="1"/>
    <col min="15109" max="15110" width="8.54296875" style="47"/>
    <col min="15111" max="15111" width="2.54296875" style="47" customWidth="1"/>
    <col min="15112" max="15112" width="24.453125" style="47" customWidth="1"/>
    <col min="15113" max="15351" width="8.54296875" style="47"/>
    <col min="15352" max="15352" width="24.453125" style="47" customWidth="1"/>
    <col min="15353" max="15355" width="16.54296875" style="47" customWidth="1"/>
    <col min="15356" max="15357" width="17.54296875" style="47" customWidth="1"/>
    <col min="15358" max="15358" width="16.54296875" style="47" customWidth="1"/>
    <col min="15359" max="15359" width="16" style="47" customWidth="1"/>
    <col min="15360" max="15360" width="11.453125" style="47" customWidth="1"/>
    <col min="15361" max="15362" width="8.54296875" style="47"/>
    <col min="15363" max="15363" width="2.453125" style="47" customWidth="1"/>
    <col min="15364" max="15364" width="23.453125" style="47" customWidth="1"/>
    <col min="15365" max="15366" width="8.54296875" style="47"/>
    <col min="15367" max="15367" width="2.54296875" style="47" customWidth="1"/>
    <col min="15368" max="15368" width="24.453125" style="47" customWidth="1"/>
    <col min="15369" max="15607" width="8.54296875" style="47"/>
    <col min="15608" max="15608" width="24.453125" style="47" customWidth="1"/>
    <col min="15609" max="15611" width="16.54296875" style="47" customWidth="1"/>
    <col min="15612" max="15613" width="17.54296875" style="47" customWidth="1"/>
    <col min="15614" max="15614" width="16.54296875" style="47" customWidth="1"/>
    <col min="15615" max="15615" width="16" style="47" customWidth="1"/>
    <col min="15616" max="15616" width="11.453125" style="47" customWidth="1"/>
    <col min="15617" max="15618" width="8.54296875" style="47"/>
    <col min="15619" max="15619" width="2.453125" style="47" customWidth="1"/>
    <col min="15620" max="15620" width="23.453125" style="47" customWidth="1"/>
    <col min="15621" max="15622" width="8.54296875" style="47"/>
    <col min="15623" max="15623" width="2.54296875" style="47" customWidth="1"/>
    <col min="15624" max="15624" width="24.453125" style="47" customWidth="1"/>
    <col min="15625" max="15863" width="8.54296875" style="47"/>
    <col min="15864" max="15864" width="24.453125" style="47" customWidth="1"/>
    <col min="15865" max="15867" width="16.54296875" style="47" customWidth="1"/>
    <col min="15868" max="15869" width="17.54296875" style="47" customWidth="1"/>
    <col min="15870" max="15870" width="16.54296875" style="47" customWidth="1"/>
    <col min="15871" max="15871" width="16" style="47" customWidth="1"/>
    <col min="15872" max="15872" width="11.453125" style="47" customWidth="1"/>
    <col min="15873" max="15874" width="8.54296875" style="47"/>
    <col min="15875" max="15875" width="2.453125" style="47" customWidth="1"/>
    <col min="15876" max="15876" width="23.453125" style="47" customWidth="1"/>
    <col min="15877" max="15878" width="8.54296875" style="47"/>
    <col min="15879" max="15879" width="2.54296875" style="47" customWidth="1"/>
    <col min="15880" max="15880" width="24.453125" style="47" customWidth="1"/>
    <col min="15881" max="16119" width="8.54296875" style="47"/>
    <col min="16120" max="16120" width="24.453125" style="47" customWidth="1"/>
    <col min="16121" max="16123" width="16.54296875" style="47" customWidth="1"/>
    <col min="16124" max="16125" width="17.54296875" style="47" customWidth="1"/>
    <col min="16126" max="16126" width="16.54296875" style="47" customWidth="1"/>
    <col min="16127" max="16127" width="16" style="47" customWidth="1"/>
    <col min="16128" max="16128" width="11.453125" style="47" customWidth="1"/>
    <col min="16129" max="16130" width="8.54296875" style="47"/>
    <col min="16131" max="16131" width="2.453125" style="47" customWidth="1"/>
    <col min="16132" max="16132" width="23.453125" style="47" customWidth="1"/>
    <col min="16133" max="16134" width="8.54296875" style="47"/>
    <col min="16135" max="16135" width="2.54296875" style="47" customWidth="1"/>
    <col min="16136" max="16136" width="24.453125" style="47" customWidth="1"/>
    <col min="16137" max="16384" width="8.54296875" style="47"/>
  </cols>
  <sheetData>
    <row r="1" spans="1:16" ht="13" thickBot="1">
      <c r="A1" s="774"/>
      <c r="B1" s="775"/>
      <c r="C1" s="775"/>
      <c r="D1" s="775"/>
      <c r="E1" s="775"/>
      <c r="F1" s="775"/>
      <c r="G1" s="775"/>
      <c r="H1" s="775"/>
      <c r="I1" s="775"/>
      <c r="J1" s="775"/>
      <c r="K1" s="776"/>
    </row>
    <row r="2" spans="1:16" ht="18">
      <c r="A2" s="643"/>
      <c r="B2" s="4480" t="str">
        <f>'TO Hrly (TO1-TO3)'!B2:M2</f>
        <v>XTO ENERGY INC.</v>
      </c>
      <c r="C2" s="4481"/>
      <c r="D2" s="4481"/>
      <c r="E2" s="4481"/>
      <c r="F2" s="4481"/>
      <c r="G2" s="4481"/>
      <c r="H2" s="4481"/>
      <c r="I2" s="4481"/>
      <c r="J2" s="4482"/>
      <c r="K2" s="644"/>
    </row>
    <row r="3" spans="1:16" ht="18">
      <c r="A3" s="643"/>
      <c r="B3" s="4483" t="str">
        <f>'TO Hrly (TO1-TO3)'!B3:M3</f>
        <v>HUSKY CDP</v>
      </c>
      <c r="C3" s="4484"/>
      <c r="D3" s="4484"/>
      <c r="E3" s="4484"/>
      <c r="F3" s="4484"/>
      <c r="G3" s="4484"/>
      <c r="H3" s="4484"/>
      <c r="I3" s="4484"/>
      <c r="J3" s="4485"/>
      <c r="K3" s="644"/>
    </row>
    <row r="4" spans="1:16" ht="18.5" thickBot="1">
      <c r="A4" s="643"/>
      <c r="B4" s="5067" t="s">
        <v>809</v>
      </c>
      <c r="C4" s="5068"/>
      <c r="D4" s="5068"/>
      <c r="E4" s="5068"/>
      <c r="F4" s="5068"/>
      <c r="G4" s="5068"/>
      <c r="H4" s="5068"/>
      <c r="I4" s="5068"/>
      <c r="J4" s="5069"/>
      <c r="K4" s="644"/>
    </row>
    <row r="5" spans="1:16" ht="18.5" thickBot="1">
      <c r="A5" s="645"/>
      <c r="B5" s="646"/>
      <c r="C5" s="646"/>
      <c r="D5" s="646"/>
      <c r="E5" s="646"/>
      <c r="F5" s="646"/>
      <c r="G5" s="646"/>
      <c r="H5" s="646"/>
      <c r="I5" s="646"/>
      <c r="J5" s="646"/>
      <c r="K5" s="647"/>
    </row>
    <row r="6" spans="1:16" ht="13.5" thickBot="1">
      <c r="A6" s="4779" t="s">
        <v>815</v>
      </c>
      <c r="B6" s="4689"/>
      <c r="C6" s="4689"/>
      <c r="D6" s="4689"/>
      <c r="E6" s="4689"/>
      <c r="F6" s="4689"/>
      <c r="G6" s="4689"/>
      <c r="H6" s="4689"/>
      <c r="I6" s="4689"/>
      <c r="J6" s="4689"/>
      <c r="K6" s="4780"/>
    </row>
    <row r="7" spans="1:16" ht="16" thickBot="1">
      <c r="A7" s="760"/>
      <c r="B7" s="30"/>
      <c r="C7" s="761"/>
      <c r="D7" s="761"/>
      <c r="E7" s="746"/>
      <c r="F7" s="30"/>
      <c r="G7" s="747"/>
      <c r="H7" s="748"/>
      <c r="I7" s="746"/>
      <c r="J7" s="30"/>
      <c r="K7" s="762"/>
    </row>
    <row r="8" spans="1:16" ht="28.5" customHeight="1" thickBot="1">
      <c r="A8" s="760"/>
      <c r="B8" s="2583" t="s">
        <v>1781</v>
      </c>
      <c r="C8" s="2584" t="s">
        <v>1784</v>
      </c>
      <c r="D8" s="761"/>
      <c r="E8" s="746"/>
      <c r="F8" s="30"/>
      <c r="G8" s="2583" t="s">
        <v>1781</v>
      </c>
      <c r="H8" s="2584" t="s">
        <v>821</v>
      </c>
      <c r="I8" s="746"/>
      <c r="J8" s="30"/>
      <c r="K8" s="762"/>
    </row>
    <row r="9" spans="1:16" ht="16" thickBot="1">
      <c r="A9" s="760"/>
      <c r="B9" s="5087" t="s">
        <v>807</v>
      </c>
      <c r="C9" s="5088"/>
      <c r="D9" s="749"/>
      <c r="E9" s="746"/>
      <c r="F9" s="30"/>
      <c r="G9" s="5089" t="s">
        <v>808</v>
      </c>
      <c r="H9" s="5090"/>
      <c r="I9" s="746"/>
      <c r="J9" s="30"/>
      <c r="K9" s="762"/>
    </row>
    <row r="10" spans="1:16" ht="15.5">
      <c r="A10" s="760"/>
      <c r="B10" s="5075" t="s">
        <v>2</v>
      </c>
      <c r="C10" s="5077" t="s">
        <v>746</v>
      </c>
      <c r="D10" s="750"/>
      <c r="E10" s="746"/>
      <c r="F10" s="30"/>
      <c r="G10" s="5079" t="s">
        <v>2</v>
      </c>
      <c r="H10" s="5083" t="s">
        <v>746</v>
      </c>
      <c r="I10" s="746"/>
      <c r="J10" s="30"/>
      <c r="K10" s="762"/>
    </row>
    <row r="11" spans="1:16" ht="16" thickBot="1">
      <c r="A11" s="760"/>
      <c r="B11" s="5076"/>
      <c r="C11" s="5078"/>
      <c r="D11" s="750"/>
      <c r="E11" s="30"/>
      <c r="F11" s="30"/>
      <c r="G11" s="5080"/>
      <c r="H11" s="5084"/>
      <c r="I11" s="754"/>
      <c r="J11" s="30"/>
      <c r="K11" s="762"/>
    </row>
    <row r="12" spans="1:16" ht="18">
      <c r="A12" s="760"/>
      <c r="B12" s="687" t="s">
        <v>755</v>
      </c>
      <c r="C12" s="689">
        <v>0</v>
      </c>
      <c r="D12" s="711"/>
      <c r="E12" s="751"/>
      <c r="F12" s="30"/>
      <c r="G12" s="738" t="s">
        <v>298</v>
      </c>
      <c r="H12" s="788">
        <f>C70</f>
        <v>1.0353841699616E-3</v>
      </c>
      <c r="I12" s="755"/>
      <c r="J12" s="755"/>
      <c r="K12" s="763"/>
      <c r="L12" s="703"/>
      <c r="M12" s="703"/>
      <c r="N12" s="703"/>
      <c r="O12" s="703"/>
      <c r="P12" s="702"/>
    </row>
    <row r="13" spans="1:16" ht="18">
      <c r="A13" s="760"/>
      <c r="B13" s="687" t="s">
        <v>47</v>
      </c>
      <c r="C13" s="689">
        <v>0</v>
      </c>
      <c r="D13" s="711"/>
      <c r="E13" s="746"/>
      <c r="F13" s="30"/>
      <c r="G13" s="720" t="s">
        <v>5</v>
      </c>
      <c r="H13" s="788">
        <f t="shared" ref="H13:H20" si="0">C13</f>
        <v>0</v>
      </c>
      <c r="I13" s="743"/>
      <c r="J13" s="743"/>
      <c r="K13" s="764"/>
      <c r="L13" s="704"/>
      <c r="M13" s="704"/>
      <c r="N13" s="704"/>
      <c r="O13" s="705"/>
      <c r="P13" s="702"/>
    </row>
    <row r="14" spans="1:16" ht="18">
      <c r="A14" s="760"/>
      <c r="B14" s="687" t="s">
        <v>4</v>
      </c>
      <c r="C14" s="689">
        <v>3.92759671073986E-6</v>
      </c>
      <c r="D14" s="711"/>
      <c r="E14" s="30"/>
      <c r="F14" s="30"/>
      <c r="G14" s="720" t="s">
        <v>4</v>
      </c>
      <c r="H14" s="788">
        <f t="shared" si="0"/>
        <v>3.92759671073986E-6</v>
      </c>
      <c r="I14" s="743"/>
      <c r="J14" s="743"/>
      <c r="K14" s="764"/>
      <c r="L14" s="704"/>
      <c r="M14" s="704"/>
      <c r="N14" s="704"/>
      <c r="O14" s="705"/>
      <c r="P14" s="702"/>
    </row>
    <row r="15" spans="1:16" ht="18">
      <c r="A15" s="760"/>
      <c r="B15" s="687" t="s">
        <v>290</v>
      </c>
      <c r="C15" s="689">
        <v>1.7377264323622299E-5</v>
      </c>
      <c r="D15" s="711"/>
      <c r="E15" s="751"/>
      <c r="F15" s="30"/>
      <c r="G15" s="720" t="s">
        <v>3</v>
      </c>
      <c r="H15" s="788">
        <f t="shared" si="0"/>
        <v>1.7377264323622299E-5</v>
      </c>
      <c r="I15" s="743"/>
      <c r="J15" s="743"/>
      <c r="K15" s="764"/>
      <c r="L15" s="704"/>
      <c r="M15" s="704"/>
      <c r="N15" s="704"/>
      <c r="O15" s="705"/>
      <c r="P15" s="702"/>
    </row>
    <row r="16" spans="1:16" ht="18">
      <c r="A16" s="760"/>
      <c r="B16" s="687" t="s">
        <v>6</v>
      </c>
      <c r="C16" s="689">
        <v>3.6949613677829803E-4</v>
      </c>
      <c r="D16" s="711"/>
      <c r="E16" s="752"/>
      <c r="F16" s="30"/>
      <c r="G16" s="720" t="s">
        <v>6</v>
      </c>
      <c r="H16" s="788">
        <f t="shared" si="0"/>
        <v>3.6949613677829803E-4</v>
      </c>
      <c r="I16" s="743"/>
      <c r="J16" s="743"/>
      <c r="K16" s="764"/>
      <c r="L16" s="704"/>
      <c r="M16" s="704"/>
      <c r="N16" s="704"/>
      <c r="O16" s="705"/>
      <c r="P16" s="702"/>
    </row>
    <row r="17" spans="1:21" ht="18">
      <c r="A17" s="760"/>
      <c r="B17" s="687" t="s">
        <v>7</v>
      </c>
      <c r="C17" s="689">
        <v>6.1436061579639798E-3</v>
      </c>
      <c r="D17" s="711"/>
      <c r="E17" s="753"/>
      <c r="F17" s="30"/>
      <c r="G17" s="720" t="s">
        <v>7</v>
      </c>
      <c r="H17" s="788">
        <f t="shared" si="0"/>
        <v>6.1436061579639798E-3</v>
      </c>
      <c r="I17" s="743"/>
      <c r="J17" s="743"/>
      <c r="K17" s="764"/>
      <c r="L17" s="704"/>
      <c r="M17" s="704"/>
      <c r="N17" s="704"/>
      <c r="O17" s="705"/>
      <c r="P17" s="702"/>
    </row>
    <row r="18" spans="1:21" ht="18">
      <c r="A18" s="760"/>
      <c r="B18" s="687" t="s">
        <v>8</v>
      </c>
      <c r="C18" s="689">
        <v>0.117521852251706</v>
      </c>
      <c r="D18" s="711"/>
      <c r="E18" s="753"/>
      <c r="F18" s="30"/>
      <c r="G18" s="720" t="s">
        <v>8</v>
      </c>
      <c r="H18" s="788">
        <f t="shared" si="0"/>
        <v>0.117521852251706</v>
      </c>
      <c r="I18" s="743"/>
      <c r="J18" s="743"/>
      <c r="K18" s="764"/>
      <c r="L18" s="704"/>
      <c r="M18" s="704"/>
      <c r="N18" s="704"/>
      <c r="O18" s="705"/>
      <c r="P18" s="702"/>
    </row>
    <row r="19" spans="1:21" ht="18">
      <c r="A19" s="760"/>
      <c r="B19" s="687" t="s">
        <v>678</v>
      </c>
      <c r="C19" s="689">
        <v>4.5309009433722E-2</v>
      </c>
      <c r="D19" s="711"/>
      <c r="E19" s="753"/>
      <c r="F19" s="30"/>
      <c r="G19" s="720" t="s">
        <v>747</v>
      </c>
      <c r="H19" s="788">
        <f t="shared" si="0"/>
        <v>4.5309009433722E-2</v>
      </c>
      <c r="I19" s="743"/>
      <c r="J19" s="743"/>
      <c r="K19" s="764"/>
      <c r="L19" s="704"/>
      <c r="M19" s="704"/>
      <c r="N19" s="704"/>
      <c r="O19" s="705"/>
      <c r="P19" s="702"/>
      <c r="U19" s="47">
        <f>171.5*0.01</f>
        <v>1.7150000000000001</v>
      </c>
    </row>
    <row r="20" spans="1:21" ht="18">
      <c r="A20" s="760"/>
      <c r="B20" s="777" t="s">
        <v>67</v>
      </c>
      <c r="C20" s="690">
        <v>0.122119863461675</v>
      </c>
      <c r="D20" s="711"/>
      <c r="E20" s="753"/>
      <c r="F20" s="30"/>
      <c r="G20" s="720" t="s">
        <v>748</v>
      </c>
      <c r="H20" s="788">
        <f t="shared" si="0"/>
        <v>0.122119863461675</v>
      </c>
      <c r="I20" s="743"/>
      <c r="J20" s="743"/>
      <c r="K20" s="764"/>
      <c r="L20" s="704"/>
      <c r="M20" s="704"/>
      <c r="N20" s="704"/>
      <c r="O20" s="705"/>
      <c r="P20" s="702"/>
    </row>
    <row r="21" spans="1:21" ht="18">
      <c r="A21" s="760"/>
      <c r="B21" s="706" t="s">
        <v>756</v>
      </c>
      <c r="C21" s="712">
        <v>1.1578977556508301E-3</v>
      </c>
      <c r="D21" s="711"/>
      <c r="E21" s="753"/>
      <c r="F21" s="30"/>
      <c r="G21" s="720" t="s">
        <v>749</v>
      </c>
      <c r="H21" s="788">
        <f>C22</f>
        <v>5.3630250212625803E-2</v>
      </c>
      <c r="I21" s="743"/>
      <c r="J21" s="743"/>
      <c r="K21" s="764"/>
      <c r="L21" s="704"/>
      <c r="M21" s="704"/>
      <c r="N21" s="704"/>
      <c r="O21" s="705"/>
      <c r="P21" s="702"/>
    </row>
    <row r="22" spans="1:21" ht="18">
      <c r="A22" s="760"/>
      <c r="B22" s="687" t="s">
        <v>679</v>
      </c>
      <c r="C22" s="689">
        <v>5.3630250212625803E-2</v>
      </c>
      <c r="D22" s="711"/>
      <c r="E22" s="753"/>
      <c r="F22" s="30"/>
      <c r="G22" s="720" t="s">
        <v>750</v>
      </c>
      <c r="H22" s="788">
        <f>C23</f>
        <v>6.9542410799625004E-2</v>
      </c>
      <c r="I22" s="743"/>
      <c r="J22" s="743"/>
      <c r="K22" s="764"/>
      <c r="L22" s="704"/>
      <c r="M22" s="704"/>
      <c r="N22" s="704"/>
      <c r="O22" s="705"/>
      <c r="P22" s="702"/>
    </row>
    <row r="23" spans="1:21" ht="18">
      <c r="A23" s="760"/>
      <c r="B23" s="691" t="s">
        <v>69</v>
      </c>
      <c r="C23" s="689">
        <v>6.9542410799625004E-2</v>
      </c>
      <c r="D23" s="711"/>
      <c r="E23" s="30"/>
      <c r="F23" s="30"/>
      <c r="G23" s="720" t="s">
        <v>800</v>
      </c>
      <c r="H23" s="788">
        <f>C25</f>
        <v>0</v>
      </c>
      <c r="I23" s="743"/>
      <c r="J23" s="743"/>
      <c r="K23" s="764"/>
      <c r="L23" s="704"/>
      <c r="M23" s="704"/>
      <c r="N23" s="704"/>
      <c r="O23" s="705"/>
      <c r="P23" s="702"/>
    </row>
    <row r="24" spans="1:21" ht="18">
      <c r="A24" s="760"/>
      <c r="B24" s="707" t="s">
        <v>757</v>
      </c>
      <c r="C24" s="712">
        <v>6.9502794770240697E-4</v>
      </c>
      <c r="D24" s="711"/>
      <c r="E24" s="30"/>
      <c r="F24" s="30"/>
      <c r="G24" s="721" t="s">
        <v>292</v>
      </c>
      <c r="H24" s="789">
        <f>SUM(C21,C24,C26:C28)</f>
        <v>5.1116039458253035E-2</v>
      </c>
      <c r="I24" s="743"/>
      <c r="J24" s="743"/>
      <c r="K24" s="764"/>
      <c r="L24" s="704"/>
      <c r="M24" s="704"/>
      <c r="N24" s="704"/>
      <c r="O24" s="705"/>
      <c r="P24" s="702"/>
    </row>
    <row r="25" spans="1:21" ht="18">
      <c r="A25" s="760"/>
      <c r="B25" s="691" t="s">
        <v>99</v>
      </c>
      <c r="C25" s="689">
        <v>0</v>
      </c>
      <c r="D25" s="711"/>
      <c r="E25" s="30"/>
      <c r="F25" s="30"/>
      <c r="G25" s="720" t="s">
        <v>10</v>
      </c>
      <c r="H25" s="788">
        <f>C29</f>
        <v>3.8581637488472903E-2</v>
      </c>
      <c r="I25" s="743"/>
      <c r="J25" s="743"/>
      <c r="K25" s="764"/>
      <c r="L25" s="704"/>
      <c r="M25" s="704"/>
      <c r="N25" s="704"/>
      <c r="O25" s="705"/>
      <c r="P25" s="702"/>
    </row>
    <row r="26" spans="1:21" ht="18">
      <c r="A26" s="760"/>
      <c r="B26" s="707" t="s">
        <v>758</v>
      </c>
      <c r="C26" s="712">
        <v>9.2132955964766994E-3</v>
      </c>
      <c r="D26" s="711"/>
      <c r="E26" s="30"/>
      <c r="F26" s="30"/>
      <c r="G26" s="720" t="s">
        <v>9</v>
      </c>
      <c r="H26" s="788">
        <f>C31</f>
        <v>3.27319572544469E-2</v>
      </c>
      <c r="I26" s="743"/>
      <c r="J26" s="743"/>
      <c r="K26" s="764"/>
      <c r="L26" s="704"/>
      <c r="M26" s="704"/>
      <c r="N26" s="704"/>
      <c r="O26" s="705"/>
      <c r="P26" s="702"/>
    </row>
    <row r="27" spans="1:21" ht="18">
      <c r="A27" s="760"/>
      <c r="B27" s="707" t="s">
        <v>759</v>
      </c>
      <c r="C27" s="712">
        <v>2.5035677720851999E-2</v>
      </c>
      <c r="D27" s="711"/>
      <c r="E27" s="30"/>
      <c r="F27" s="30"/>
      <c r="G27" s="720" t="s">
        <v>11</v>
      </c>
      <c r="H27" s="788">
        <f>C32</f>
        <v>3.4076677759865101E-2</v>
      </c>
      <c r="I27" s="743"/>
      <c r="J27" s="743"/>
      <c r="K27" s="764"/>
      <c r="L27" s="704"/>
      <c r="M27" s="704"/>
      <c r="N27" s="704"/>
      <c r="O27" s="705"/>
      <c r="P27" s="702"/>
    </row>
    <row r="28" spans="1:21" ht="18">
      <c r="A28" s="760"/>
      <c r="B28" s="707" t="s">
        <v>760</v>
      </c>
      <c r="C28" s="712">
        <v>1.50141404375711E-2</v>
      </c>
      <c r="D28" s="711"/>
      <c r="E28" s="30"/>
      <c r="F28" s="30"/>
      <c r="G28" s="720" t="s">
        <v>12</v>
      </c>
      <c r="H28" s="788">
        <f>C33</f>
        <v>7.3909082153763794E-2</v>
      </c>
      <c r="I28" s="743"/>
      <c r="J28" s="743"/>
      <c r="K28" s="764"/>
      <c r="L28" s="704"/>
      <c r="M28" s="704"/>
      <c r="N28" s="704"/>
      <c r="O28" s="705"/>
      <c r="P28" s="702"/>
    </row>
    <row r="29" spans="1:21" ht="36">
      <c r="A29" s="760"/>
      <c r="B29" s="701" t="s">
        <v>10</v>
      </c>
      <c r="C29" s="690">
        <v>3.8581637488472903E-2</v>
      </c>
      <c r="D29" s="711"/>
      <c r="E29" s="30"/>
      <c r="F29" s="30"/>
      <c r="G29" s="720" t="s">
        <v>286</v>
      </c>
      <c r="H29" s="788">
        <f>C36</f>
        <v>0</v>
      </c>
      <c r="I29" s="743"/>
      <c r="J29" s="743"/>
      <c r="K29" s="764"/>
      <c r="L29" s="704"/>
      <c r="M29" s="704"/>
      <c r="N29" s="704"/>
      <c r="O29" s="705"/>
      <c r="P29" s="702"/>
    </row>
    <row r="30" spans="1:21" ht="18">
      <c r="A30" s="760"/>
      <c r="B30" s="701" t="s">
        <v>761</v>
      </c>
      <c r="C30" s="690">
        <v>0</v>
      </c>
      <c r="D30" s="711"/>
      <c r="E30" s="30"/>
      <c r="F30" s="30"/>
      <c r="G30" s="723" t="s">
        <v>801</v>
      </c>
      <c r="H30" s="790">
        <f>SUM(C34:C35,C38)</f>
        <v>2.395722997636994E-2</v>
      </c>
      <c r="I30" s="743"/>
      <c r="J30" s="743"/>
      <c r="K30" s="764"/>
      <c r="L30" s="704"/>
      <c r="M30" s="704"/>
      <c r="N30" s="704"/>
      <c r="O30" s="705"/>
      <c r="P30" s="702"/>
    </row>
    <row r="31" spans="1:21" ht="18">
      <c r="A31" s="760"/>
      <c r="B31" s="701" t="s">
        <v>762</v>
      </c>
      <c r="C31" s="690">
        <v>3.27319572544469E-2</v>
      </c>
      <c r="D31" s="711"/>
      <c r="E31" s="30"/>
      <c r="F31" s="30"/>
      <c r="G31" s="725" t="s">
        <v>65</v>
      </c>
      <c r="H31" s="791">
        <f>C39</f>
        <v>7.5996045726047998E-2</v>
      </c>
      <c r="I31" s="743"/>
      <c r="J31" s="743"/>
      <c r="K31" s="764"/>
      <c r="L31" s="704"/>
      <c r="M31" s="704"/>
      <c r="N31" s="704"/>
      <c r="O31" s="705"/>
      <c r="P31" s="702"/>
    </row>
    <row r="32" spans="1:21" ht="18">
      <c r="A32" s="760"/>
      <c r="B32" s="701" t="s">
        <v>11</v>
      </c>
      <c r="C32" s="690">
        <v>3.4076677759865101E-2</v>
      </c>
      <c r="D32" s="711"/>
      <c r="E32" s="30"/>
      <c r="F32" s="30"/>
      <c r="G32" s="720" t="s">
        <v>13</v>
      </c>
      <c r="H32" s="788">
        <f>C37</f>
        <v>4.5714434786478797E-2</v>
      </c>
      <c r="I32" s="743"/>
      <c r="J32" s="743"/>
      <c r="K32" s="764"/>
      <c r="L32" s="704"/>
      <c r="M32" s="704"/>
      <c r="N32" s="704"/>
      <c r="O32" s="705"/>
      <c r="P32" s="702"/>
    </row>
    <row r="33" spans="1:16" ht="18">
      <c r="A33" s="760"/>
      <c r="B33" s="701" t="s">
        <v>12</v>
      </c>
      <c r="C33" s="690">
        <v>7.3909082153763794E-2</v>
      </c>
      <c r="D33" s="711"/>
      <c r="E33" s="30"/>
      <c r="F33" s="30"/>
      <c r="G33" s="720" t="s">
        <v>14</v>
      </c>
      <c r="H33" s="788">
        <f>C40</f>
        <v>4.4729405420322402E-2</v>
      </c>
      <c r="I33" s="743"/>
      <c r="J33" s="743"/>
      <c r="K33" s="764"/>
      <c r="L33" s="704"/>
      <c r="M33" s="704"/>
      <c r="N33" s="704"/>
      <c r="O33" s="705"/>
      <c r="P33" s="702"/>
    </row>
    <row r="34" spans="1:16" ht="18">
      <c r="A34" s="760"/>
      <c r="B34" s="692" t="s">
        <v>763</v>
      </c>
      <c r="C34" s="713">
        <v>1.17200073967839E-2</v>
      </c>
      <c r="D34" s="711"/>
      <c r="E34" s="30"/>
      <c r="F34" s="30"/>
      <c r="G34" s="727" t="s">
        <v>804</v>
      </c>
      <c r="H34" s="792">
        <f>SUM(C41:C42)</f>
        <v>6.4438684198743545E-2</v>
      </c>
      <c r="I34" s="743"/>
      <c r="J34" s="743"/>
      <c r="K34" s="764"/>
      <c r="L34" s="704"/>
      <c r="M34" s="704"/>
      <c r="N34" s="704"/>
      <c r="O34" s="705"/>
      <c r="P34" s="702"/>
    </row>
    <row r="35" spans="1:16" ht="18">
      <c r="A35" s="760"/>
      <c r="B35" s="692" t="s">
        <v>764</v>
      </c>
      <c r="C35" s="713">
        <v>1.07342813049094E-2</v>
      </c>
      <c r="D35" s="711"/>
      <c r="E35" s="30"/>
      <c r="F35" s="30"/>
      <c r="G35" s="720" t="s">
        <v>16</v>
      </c>
      <c r="H35" s="788">
        <f>C43</f>
        <v>1.89884546995327E-3</v>
      </c>
      <c r="I35" s="743"/>
      <c r="J35" s="743"/>
      <c r="K35" s="764"/>
      <c r="L35" s="704"/>
      <c r="M35" s="704"/>
      <c r="N35" s="704"/>
      <c r="O35" s="705"/>
      <c r="P35" s="702"/>
    </row>
    <row r="36" spans="1:16" ht="18">
      <c r="A36" s="760"/>
      <c r="B36" s="701" t="s">
        <v>765</v>
      </c>
      <c r="C36" s="690">
        <v>0</v>
      </c>
      <c r="D36" s="711"/>
      <c r="E36" s="30"/>
      <c r="F36" s="30"/>
      <c r="G36" s="729" t="s">
        <v>802</v>
      </c>
      <c r="H36" s="793">
        <f>SUM(C44:C46)</f>
        <v>2.005404078649211E-2</v>
      </c>
      <c r="I36" s="743"/>
      <c r="J36" s="743"/>
      <c r="K36" s="764"/>
      <c r="L36" s="704"/>
      <c r="M36" s="704"/>
      <c r="N36" s="704"/>
      <c r="O36" s="705"/>
      <c r="P36" s="702"/>
    </row>
    <row r="37" spans="1:16" ht="18">
      <c r="A37" s="760"/>
      <c r="B37" s="701" t="s">
        <v>13</v>
      </c>
      <c r="C37" s="690">
        <v>4.5714434786478797E-2</v>
      </c>
      <c r="D37" s="711"/>
      <c r="E37" s="30"/>
      <c r="F37" s="30"/>
      <c r="G37" s="731" t="s">
        <v>803</v>
      </c>
      <c r="H37" s="794">
        <f>SUM(C47,C73,C72)</f>
        <v>3.8499145140808051E-2</v>
      </c>
      <c r="I37" s="743"/>
      <c r="J37" s="743"/>
      <c r="K37" s="764"/>
      <c r="L37" s="704"/>
      <c r="M37" s="704"/>
      <c r="N37" s="704"/>
      <c r="O37" s="705"/>
      <c r="P37" s="702"/>
    </row>
    <row r="38" spans="1:16" ht="18">
      <c r="A38" s="760"/>
      <c r="B38" s="692" t="s">
        <v>766</v>
      </c>
      <c r="C38" s="713">
        <v>1.50294127467664E-3</v>
      </c>
      <c r="D38" s="711"/>
      <c r="E38" s="30"/>
      <c r="F38" s="30"/>
      <c r="G38" s="733" t="s">
        <v>805</v>
      </c>
      <c r="H38" s="795">
        <f>SUM(C74,C48)</f>
        <v>2.1041142883582688E-2</v>
      </c>
      <c r="I38" s="743"/>
      <c r="J38" s="743"/>
      <c r="K38" s="764"/>
      <c r="L38" s="704"/>
      <c r="M38" s="704"/>
      <c r="N38" s="704"/>
      <c r="O38" s="705"/>
      <c r="P38" s="702"/>
    </row>
    <row r="39" spans="1:16" ht="18">
      <c r="A39" s="760"/>
      <c r="B39" s="701" t="s">
        <v>767</v>
      </c>
      <c r="C39" s="690">
        <v>7.5996045726047998E-2</v>
      </c>
      <c r="D39" s="711"/>
      <c r="E39" s="30"/>
      <c r="F39" s="30"/>
      <c r="G39" s="735" t="s">
        <v>806</v>
      </c>
      <c r="H39" s="796">
        <f>SUM(C49:C69)</f>
        <v>1.7562454011307252E-2</v>
      </c>
      <c r="I39" s="743"/>
      <c r="J39" s="743"/>
      <c r="K39" s="764"/>
      <c r="L39" s="704"/>
      <c r="M39" s="704"/>
      <c r="N39" s="704"/>
      <c r="O39" s="705"/>
      <c r="P39" s="702"/>
    </row>
    <row r="40" spans="1:16" ht="18" thickBot="1">
      <c r="A40" s="760"/>
      <c r="B40" s="701" t="s">
        <v>14</v>
      </c>
      <c r="C40" s="690">
        <v>4.4729405420322402E-2</v>
      </c>
      <c r="D40" s="711"/>
      <c r="E40" s="30"/>
      <c r="F40" s="30"/>
      <c r="G40" s="737"/>
      <c r="H40" s="719"/>
      <c r="I40" s="743"/>
      <c r="J40" s="743"/>
      <c r="K40" s="764"/>
      <c r="L40" s="704"/>
      <c r="M40" s="704"/>
      <c r="N40" s="704"/>
      <c r="O40" s="705"/>
      <c r="P40" s="702"/>
    </row>
    <row r="41" spans="1:16" ht="18" thickBot="1">
      <c r="A41" s="760"/>
      <c r="B41" s="694" t="s">
        <v>100</v>
      </c>
      <c r="C41" s="714">
        <v>6.2356699705128998E-2</v>
      </c>
      <c r="D41" s="711"/>
      <c r="E41" s="30"/>
      <c r="F41" s="30"/>
      <c r="G41" s="778" t="s">
        <v>692</v>
      </c>
      <c r="H41" s="740">
        <f>SUM(H12:H39)</f>
        <v>1</v>
      </c>
      <c r="I41" s="743"/>
      <c r="J41" s="743"/>
      <c r="K41" s="764"/>
      <c r="L41" s="704"/>
      <c r="M41" s="704"/>
      <c r="N41" s="704"/>
      <c r="O41" s="705"/>
      <c r="P41" s="702"/>
    </row>
    <row r="42" spans="1:16" ht="18" thickBot="1">
      <c r="A42" s="760"/>
      <c r="B42" s="694" t="s">
        <v>768</v>
      </c>
      <c r="C42" s="714">
        <v>2.0819844936145501E-3</v>
      </c>
      <c r="D42" s="711"/>
      <c r="E42" s="30"/>
      <c r="F42" s="30"/>
      <c r="G42" s="742"/>
      <c r="H42" s="708"/>
      <c r="I42" s="743"/>
      <c r="J42" s="743"/>
      <c r="K42" s="764"/>
      <c r="L42" s="704"/>
      <c r="M42" s="704"/>
      <c r="N42" s="704"/>
      <c r="O42" s="705"/>
      <c r="P42" s="702"/>
    </row>
    <row r="43" spans="1:16" ht="21" customHeight="1" thickBot="1">
      <c r="A43" s="760"/>
      <c r="B43" s="701" t="s">
        <v>769</v>
      </c>
      <c r="C43" s="690">
        <v>1.89884546995327E-3</v>
      </c>
      <c r="D43" s="711"/>
      <c r="E43" s="30"/>
      <c r="F43" s="30"/>
      <c r="G43" s="5065" t="s">
        <v>810</v>
      </c>
      <c r="H43" s="5066"/>
      <c r="I43" s="743"/>
      <c r="J43" s="743"/>
      <c r="K43" s="764"/>
      <c r="L43" s="704"/>
      <c r="M43" s="704"/>
      <c r="N43" s="704"/>
      <c r="O43" s="705"/>
      <c r="P43" s="702"/>
    </row>
    <row r="44" spans="1:16" ht="17.5">
      <c r="A44" s="760"/>
      <c r="B44" s="709" t="s">
        <v>770</v>
      </c>
      <c r="C44" s="715">
        <v>7.8576599981802896E-3</v>
      </c>
      <c r="D44" s="711"/>
      <c r="E44" s="30"/>
      <c r="F44" s="30"/>
      <c r="G44" s="757" t="s">
        <v>754</v>
      </c>
      <c r="H44" s="758">
        <v>0.86609999999999998</v>
      </c>
      <c r="I44" s="743"/>
      <c r="J44" s="743"/>
      <c r="K44" s="764"/>
      <c r="L44" s="704"/>
      <c r="M44" s="704"/>
      <c r="N44" s="704"/>
      <c r="O44" s="705"/>
      <c r="P44" s="702"/>
    </row>
    <row r="45" spans="1:16" ht="31.5" thickBot="1">
      <c r="A45" s="760"/>
      <c r="B45" s="709" t="s">
        <v>423</v>
      </c>
      <c r="C45" s="715">
        <v>4.3566365557189402E-3</v>
      </c>
      <c r="D45" s="711"/>
      <c r="E45" s="30"/>
      <c r="F45" s="30"/>
      <c r="G45" s="756" t="s">
        <v>811</v>
      </c>
      <c r="H45" s="759">
        <v>262.91199999999998</v>
      </c>
      <c r="I45" s="743"/>
      <c r="J45" s="743"/>
      <c r="K45" s="764"/>
      <c r="L45" s="704"/>
      <c r="M45" s="704"/>
      <c r="N45" s="704"/>
      <c r="O45" s="705"/>
      <c r="P45" s="702"/>
    </row>
    <row r="46" spans="1:16" ht="17.5">
      <c r="A46" s="760"/>
      <c r="B46" s="709" t="s">
        <v>771</v>
      </c>
      <c r="C46" s="715">
        <v>7.8397442325928799E-3</v>
      </c>
      <c r="D46" s="711"/>
      <c r="E46" s="30"/>
      <c r="F46" s="30"/>
      <c r="G46" s="742"/>
      <c r="H46" s="708"/>
      <c r="I46" s="743"/>
      <c r="J46" s="743"/>
      <c r="K46" s="764"/>
      <c r="L46" s="704"/>
      <c r="M46" s="704"/>
      <c r="N46" s="704"/>
      <c r="O46" s="705"/>
      <c r="P46" s="702"/>
    </row>
    <row r="47" spans="1:16" ht="17.5">
      <c r="A47" s="760"/>
      <c r="B47" s="693" t="s">
        <v>772</v>
      </c>
      <c r="C47" s="716">
        <v>9.4579787380920399E-4</v>
      </c>
      <c r="D47" s="711"/>
      <c r="E47" s="30"/>
      <c r="F47" s="30"/>
      <c r="G47" s="742"/>
      <c r="H47" s="708"/>
      <c r="I47" s="743"/>
      <c r="J47" s="743"/>
      <c r="K47" s="764"/>
      <c r="L47" s="704"/>
      <c r="M47" s="704"/>
      <c r="N47" s="704"/>
      <c r="O47" s="705"/>
      <c r="P47" s="702"/>
    </row>
    <row r="48" spans="1:16" ht="17.5">
      <c r="A48" s="760"/>
      <c r="B48" s="696" t="s">
        <v>773</v>
      </c>
      <c r="C48" s="717">
        <v>3.67375863732589E-4</v>
      </c>
      <c r="D48" s="711"/>
      <c r="E48" s="30"/>
      <c r="F48" s="30"/>
      <c r="G48" s="742"/>
      <c r="H48" s="708"/>
      <c r="I48" s="743"/>
      <c r="J48" s="743"/>
      <c r="K48" s="764"/>
      <c r="L48" s="704"/>
      <c r="M48" s="704"/>
      <c r="N48" s="704"/>
      <c r="O48" s="705"/>
      <c r="P48" s="702"/>
    </row>
    <row r="49" spans="1:16" ht="15.5">
      <c r="A49" s="760"/>
      <c r="B49" s="695" t="s">
        <v>774</v>
      </c>
      <c r="C49" s="718">
        <v>1.14340360329045E-2</v>
      </c>
      <c r="D49" s="711"/>
      <c r="E49" s="30"/>
      <c r="F49" s="30"/>
      <c r="G49" s="742"/>
      <c r="H49" s="743"/>
      <c r="I49" s="743"/>
      <c r="J49" s="743"/>
      <c r="K49" s="764"/>
      <c r="L49" s="704"/>
      <c r="M49" s="704"/>
      <c r="N49" s="704"/>
      <c r="O49" s="705"/>
      <c r="P49" s="702"/>
    </row>
    <row r="50" spans="1:16" ht="15.5">
      <c r="A50" s="760"/>
      <c r="B50" s="695" t="s">
        <v>775</v>
      </c>
      <c r="C50" s="718">
        <v>3.7579905672290299E-3</v>
      </c>
      <c r="D50" s="711"/>
      <c r="E50" s="30"/>
      <c r="F50" s="30"/>
      <c r="G50" s="742"/>
      <c r="H50" s="743"/>
      <c r="I50" s="743"/>
      <c r="J50" s="743"/>
      <c r="K50" s="764"/>
      <c r="L50" s="704"/>
      <c r="M50" s="704"/>
      <c r="N50" s="5092"/>
      <c r="O50" s="5092"/>
      <c r="P50" s="702"/>
    </row>
    <row r="51" spans="1:16" ht="15.5">
      <c r="A51" s="760"/>
      <c r="B51" s="695" t="s">
        <v>776</v>
      </c>
      <c r="C51" s="718">
        <v>1.6447573954490001E-3</v>
      </c>
      <c r="D51" s="711"/>
      <c r="E51" s="30"/>
      <c r="F51" s="30"/>
      <c r="G51" s="744"/>
      <c r="H51" s="743"/>
      <c r="I51" s="765"/>
      <c r="J51" s="765"/>
      <c r="K51" s="766"/>
      <c r="L51" s="702"/>
      <c r="M51" s="702"/>
      <c r="N51" s="702"/>
      <c r="O51" s="702"/>
      <c r="P51" s="702"/>
    </row>
    <row r="52" spans="1:16" ht="15.5">
      <c r="A52" s="760"/>
      <c r="B52" s="695" t="s">
        <v>777</v>
      </c>
      <c r="C52" s="718">
        <v>5.1248982277711302E-4</v>
      </c>
      <c r="D52" s="711"/>
      <c r="E52" s="30"/>
      <c r="F52" s="30"/>
      <c r="G52" s="742"/>
      <c r="H52" s="743"/>
      <c r="I52" s="754"/>
      <c r="J52" s="30"/>
      <c r="K52" s="762"/>
    </row>
    <row r="53" spans="1:16" ht="15.5">
      <c r="A53" s="760"/>
      <c r="B53" s="695" t="s">
        <v>778</v>
      </c>
      <c r="C53" s="718">
        <v>1.54764399493689E-4</v>
      </c>
      <c r="D53" s="711"/>
      <c r="E53" s="30"/>
      <c r="F53" s="30"/>
      <c r="G53" s="767"/>
      <c r="H53" s="765"/>
      <c r="I53" s="754"/>
      <c r="J53" s="30"/>
      <c r="K53" s="762"/>
    </row>
    <row r="54" spans="1:16" ht="15.5">
      <c r="A54" s="760"/>
      <c r="B54" s="695" t="s">
        <v>779</v>
      </c>
      <c r="C54" s="718">
        <v>3.88628432003258E-5</v>
      </c>
      <c r="D54" s="711"/>
      <c r="E54" s="30"/>
      <c r="F54" s="30"/>
      <c r="G54" s="30"/>
      <c r="H54" s="745"/>
      <c r="I54" s="754"/>
      <c r="J54" s="30"/>
      <c r="K54" s="762"/>
    </row>
    <row r="55" spans="1:16" ht="15.5">
      <c r="A55" s="760"/>
      <c r="B55" s="695" t="s">
        <v>780</v>
      </c>
      <c r="C55" s="718">
        <v>1.19871124517386E-5</v>
      </c>
      <c r="D55" s="711"/>
      <c r="E55" s="30"/>
      <c r="F55" s="30"/>
      <c r="G55" s="30"/>
      <c r="H55" s="745"/>
      <c r="I55" s="754"/>
      <c r="J55" s="30"/>
      <c r="K55" s="762"/>
    </row>
    <row r="56" spans="1:16" ht="15.5">
      <c r="A56" s="760"/>
      <c r="B56" s="695" t="s">
        <v>781</v>
      </c>
      <c r="C56" s="718">
        <v>4.6200155621647904E-6</v>
      </c>
      <c r="D56" s="711"/>
      <c r="E56" s="30"/>
      <c r="F56" s="30"/>
      <c r="G56" s="30"/>
      <c r="H56" s="745"/>
      <c r="I56" s="754"/>
      <c r="J56" s="30"/>
      <c r="K56" s="762"/>
    </row>
    <row r="57" spans="1:16" ht="15.5">
      <c r="A57" s="760"/>
      <c r="B57" s="695" t="s">
        <v>782</v>
      </c>
      <c r="C57" s="718">
        <v>1.96786312730358E-6</v>
      </c>
      <c r="D57" s="711"/>
      <c r="E57" s="30"/>
      <c r="F57" s="30"/>
      <c r="G57" s="30"/>
      <c r="H57" s="745"/>
      <c r="I57" s="754"/>
      <c r="J57" s="30"/>
      <c r="K57" s="762"/>
    </row>
    <row r="58" spans="1:16" ht="15.5">
      <c r="A58" s="760"/>
      <c r="B58" s="695" t="s">
        <v>783</v>
      </c>
      <c r="C58" s="718">
        <v>6.0207695054306295E-7</v>
      </c>
      <c r="D58" s="711"/>
      <c r="E58" s="30"/>
      <c r="F58" s="30"/>
      <c r="G58" s="30"/>
      <c r="H58" s="745"/>
      <c r="I58" s="754"/>
      <c r="J58" s="30"/>
      <c r="K58" s="762"/>
    </row>
    <row r="59" spans="1:16" ht="15.5">
      <c r="A59" s="760"/>
      <c r="B59" s="695" t="s">
        <v>784</v>
      </c>
      <c r="C59" s="718">
        <v>2.17030504186001E-7</v>
      </c>
      <c r="D59" s="711"/>
      <c r="E59" s="30"/>
      <c r="F59" s="30"/>
      <c r="G59" s="30"/>
      <c r="H59" s="745"/>
      <c r="I59" s="754"/>
      <c r="J59" s="30"/>
      <c r="K59" s="762"/>
    </row>
    <row r="60" spans="1:16" ht="15.5">
      <c r="A60" s="760"/>
      <c r="B60" s="695" t="s">
        <v>785</v>
      </c>
      <c r="C60" s="718">
        <v>9.4739212978703504E-8</v>
      </c>
      <c r="D60" s="711"/>
      <c r="E60" s="30"/>
      <c r="F60" s="30"/>
      <c r="G60" s="30"/>
      <c r="H60" s="745"/>
      <c r="I60" s="754"/>
      <c r="J60" s="30"/>
      <c r="K60" s="762"/>
    </row>
    <row r="61" spans="1:16" ht="15.5">
      <c r="A61" s="760"/>
      <c r="B61" s="695" t="s">
        <v>786</v>
      </c>
      <c r="C61" s="718">
        <v>3.8380821150080901E-8</v>
      </c>
      <c r="D61" s="711"/>
      <c r="E61" s="30"/>
      <c r="F61" s="30"/>
      <c r="G61" s="30"/>
      <c r="H61" s="745"/>
      <c r="I61" s="754"/>
      <c r="J61" s="30"/>
      <c r="K61" s="762"/>
    </row>
    <row r="62" spans="1:16" ht="15.5">
      <c r="A62" s="760"/>
      <c r="B62" s="695" t="s">
        <v>787</v>
      </c>
      <c r="C62" s="718">
        <v>1.5296075790384801E-8</v>
      </c>
      <c r="D62" s="711"/>
      <c r="E62" s="30"/>
      <c r="F62" s="30"/>
      <c r="G62" s="30"/>
      <c r="H62" s="745"/>
      <c r="I62" s="754"/>
      <c r="J62" s="30"/>
      <c r="K62" s="762"/>
    </row>
    <row r="63" spans="1:16" ht="15.5">
      <c r="A63" s="760"/>
      <c r="B63" s="695" t="s">
        <v>788</v>
      </c>
      <c r="C63" s="718">
        <v>5.8978101284454698E-9</v>
      </c>
      <c r="D63" s="711"/>
      <c r="E63" s="30"/>
      <c r="F63" s="30"/>
      <c r="G63" s="30"/>
      <c r="H63" s="745"/>
      <c r="I63" s="754"/>
      <c r="J63" s="30"/>
      <c r="K63" s="762"/>
    </row>
    <row r="64" spans="1:16" ht="15.5">
      <c r="A64" s="760"/>
      <c r="B64" s="695" t="s">
        <v>789</v>
      </c>
      <c r="C64" s="718">
        <v>2.5504016366433599E-9</v>
      </c>
      <c r="D64" s="711"/>
      <c r="E64" s="30"/>
      <c r="F64" s="30"/>
      <c r="G64" s="30"/>
      <c r="H64" s="745"/>
      <c r="I64" s="754"/>
      <c r="J64" s="30"/>
      <c r="K64" s="762"/>
    </row>
    <row r="65" spans="1:11" ht="15.5">
      <c r="A65" s="760"/>
      <c r="B65" s="695" t="s">
        <v>790</v>
      </c>
      <c r="C65" s="718">
        <v>1.21157399218739E-9</v>
      </c>
      <c r="D65" s="711"/>
      <c r="E65" s="30"/>
      <c r="F65" s="30"/>
      <c r="G65" s="30"/>
      <c r="H65" s="745"/>
      <c r="I65" s="754"/>
      <c r="J65" s="30"/>
      <c r="K65" s="762"/>
    </row>
    <row r="66" spans="1:11" ht="15.5">
      <c r="A66" s="760"/>
      <c r="B66" s="695" t="s">
        <v>791</v>
      </c>
      <c r="C66" s="718">
        <v>5.26484230703987E-10</v>
      </c>
      <c r="D66" s="711"/>
      <c r="E66" s="30"/>
      <c r="F66" s="30"/>
      <c r="G66" s="30"/>
      <c r="H66" s="745"/>
      <c r="I66" s="754"/>
      <c r="J66" s="30"/>
      <c r="K66" s="762"/>
    </row>
    <row r="67" spans="1:11" ht="15.5">
      <c r="A67" s="760"/>
      <c r="B67" s="695" t="s">
        <v>792</v>
      </c>
      <c r="C67" s="718">
        <v>2.4909563065499699E-10</v>
      </c>
      <c r="D67" s="711"/>
      <c r="E67" s="30"/>
      <c r="F67" s="30"/>
      <c r="G67" s="30"/>
      <c r="H67" s="745"/>
      <c r="I67" s="754"/>
      <c r="J67" s="30"/>
      <c r="K67" s="762"/>
    </row>
    <row r="68" spans="1:11" ht="15.5">
      <c r="A68" s="760"/>
      <c r="B68" s="695" t="s">
        <v>793</v>
      </c>
      <c r="C68" s="718">
        <v>0</v>
      </c>
      <c r="D68" s="711"/>
      <c r="E68" s="30"/>
      <c r="F68" s="30"/>
      <c r="G68" s="30"/>
      <c r="H68" s="745"/>
      <c r="I68" s="754"/>
      <c r="J68" s="30"/>
      <c r="K68" s="762"/>
    </row>
    <row r="69" spans="1:11" ht="15.5">
      <c r="A69" s="760"/>
      <c r="B69" s="695" t="s">
        <v>794</v>
      </c>
      <c r="C69" s="718">
        <v>1.8211743011653099E-13</v>
      </c>
      <c r="D69" s="711"/>
      <c r="E69" s="30"/>
      <c r="F69" s="30"/>
      <c r="G69" s="30"/>
      <c r="H69" s="745"/>
      <c r="I69" s="754"/>
      <c r="J69" s="30"/>
      <c r="K69" s="762"/>
    </row>
    <row r="70" spans="1:11" ht="15.5">
      <c r="A70" s="760"/>
      <c r="B70" s="701" t="s">
        <v>673</v>
      </c>
      <c r="C70" s="690">
        <v>1.0353841699616E-3</v>
      </c>
      <c r="D70" s="711"/>
      <c r="E70" s="30"/>
      <c r="F70" s="30"/>
      <c r="G70" s="30"/>
      <c r="H70" s="745"/>
      <c r="I70" s="754"/>
      <c r="J70" s="30"/>
      <c r="K70" s="762"/>
    </row>
    <row r="71" spans="1:11" ht="15.5">
      <c r="A71" s="760"/>
      <c r="B71" s="701" t="s">
        <v>795</v>
      </c>
      <c r="C71" s="690">
        <v>0</v>
      </c>
      <c r="D71" s="711"/>
      <c r="E71" s="30"/>
      <c r="F71" s="30"/>
      <c r="G71" s="30"/>
      <c r="H71" s="745"/>
      <c r="I71" s="754"/>
      <c r="J71" s="30"/>
      <c r="K71" s="762"/>
    </row>
    <row r="72" spans="1:11" ht="15.5">
      <c r="A72" s="760"/>
      <c r="B72" s="693" t="s">
        <v>796</v>
      </c>
      <c r="C72" s="716">
        <v>2.3568475185583901E-12</v>
      </c>
      <c r="D72" s="711"/>
      <c r="E72" s="30"/>
      <c r="F72" s="30"/>
      <c r="G72" s="30"/>
      <c r="H72" s="745"/>
      <c r="I72" s="754"/>
      <c r="J72" s="30"/>
      <c r="K72" s="762"/>
    </row>
    <row r="73" spans="1:11" ht="15.5">
      <c r="A73" s="760"/>
      <c r="B73" s="693" t="s">
        <v>101</v>
      </c>
      <c r="C73" s="716">
        <v>3.7553347264641997E-2</v>
      </c>
      <c r="D73" s="711"/>
      <c r="E73" s="30"/>
      <c r="F73" s="30"/>
      <c r="G73" s="30"/>
      <c r="H73" s="745"/>
      <c r="I73" s="754"/>
      <c r="J73" s="30"/>
      <c r="K73" s="762"/>
    </row>
    <row r="74" spans="1:11" ht="15.5">
      <c r="A74" s="760"/>
      <c r="B74" s="696" t="s">
        <v>117</v>
      </c>
      <c r="C74" s="717">
        <v>2.06737670198501E-2</v>
      </c>
      <c r="D74" s="711"/>
      <c r="E74" s="30"/>
      <c r="F74" s="30"/>
      <c r="G74" s="30"/>
      <c r="H74" s="745"/>
      <c r="I74" s="754"/>
      <c r="J74" s="30"/>
      <c r="K74" s="762"/>
    </row>
    <row r="75" spans="1:11" ht="15.5">
      <c r="A75" s="760"/>
      <c r="B75" s="701" t="s">
        <v>797</v>
      </c>
      <c r="C75" s="690">
        <v>0</v>
      </c>
      <c r="D75" s="711"/>
      <c r="E75" s="30"/>
      <c r="F75" s="30"/>
      <c r="G75" s="30"/>
      <c r="H75" s="745"/>
      <c r="I75" s="754"/>
      <c r="J75" s="30"/>
      <c r="K75" s="762"/>
    </row>
    <row r="76" spans="1:11" ht="15.5">
      <c r="A76" s="760"/>
      <c r="B76" s="701" t="s">
        <v>798</v>
      </c>
      <c r="C76" s="690">
        <v>0</v>
      </c>
      <c r="D76" s="711"/>
      <c r="E76" s="30"/>
      <c r="F76" s="30"/>
      <c r="G76" s="30"/>
      <c r="H76" s="745"/>
      <c r="I76" s="754"/>
      <c r="J76" s="30"/>
      <c r="K76" s="762"/>
    </row>
    <row r="77" spans="1:11" ht="15.5">
      <c r="A77" s="760"/>
      <c r="B77" s="701" t="s">
        <v>799</v>
      </c>
      <c r="C77" s="690">
        <v>0</v>
      </c>
      <c r="D77" s="711"/>
      <c r="E77" s="30"/>
      <c r="F77" s="30"/>
      <c r="G77" s="30"/>
      <c r="H77" s="745"/>
      <c r="I77" s="754"/>
      <c r="J77" s="30"/>
      <c r="K77" s="762"/>
    </row>
    <row r="78" spans="1:11" ht="16" thickBot="1">
      <c r="A78" s="760"/>
      <c r="B78" s="701" t="s">
        <v>0</v>
      </c>
      <c r="C78" s="690">
        <v>0</v>
      </c>
      <c r="D78" s="711"/>
      <c r="E78" s="30"/>
      <c r="F78" s="30"/>
      <c r="G78" s="30"/>
      <c r="H78" s="745"/>
      <c r="I78" s="754"/>
      <c r="J78" s="30"/>
      <c r="K78" s="762"/>
    </row>
    <row r="79" spans="1:11" ht="16" thickBot="1">
      <c r="A79" s="768"/>
      <c r="B79" s="741" t="s">
        <v>753</v>
      </c>
      <c r="C79" s="710">
        <v>100</v>
      </c>
      <c r="D79" s="769"/>
      <c r="E79" s="770"/>
      <c r="F79" s="770"/>
      <c r="G79" s="770"/>
      <c r="H79" s="771"/>
      <c r="I79" s="772"/>
      <c r="J79" s="770"/>
      <c r="K79" s="773"/>
    </row>
    <row r="80" spans="1:11" ht="15.5">
      <c r="B80" s="697"/>
      <c r="C80" s="688"/>
      <c r="D80" s="688"/>
      <c r="H80" s="699"/>
      <c r="I80" s="698"/>
    </row>
    <row r="81" spans="2:9" ht="15.5">
      <c r="B81" s="686"/>
      <c r="C81" s="686"/>
      <c r="D81" s="686"/>
      <c r="H81" s="699"/>
      <c r="I81" s="698"/>
    </row>
    <row r="82" spans="2:9" ht="15.5">
      <c r="B82" s="686"/>
      <c r="C82" s="686"/>
      <c r="D82" s="686"/>
      <c r="H82" s="699"/>
      <c r="I82" s="698"/>
    </row>
    <row r="83" spans="2:9" ht="15.5">
      <c r="B83" s="686"/>
      <c r="C83" s="686"/>
      <c r="D83" s="686"/>
      <c r="H83" s="699"/>
      <c r="I83" s="698"/>
    </row>
    <row r="84" spans="2:9" ht="15.5">
      <c r="B84" s="686"/>
      <c r="C84" s="686"/>
      <c r="D84" s="686"/>
      <c r="H84" s="699"/>
      <c r="I84" s="698"/>
    </row>
    <row r="85" spans="2:9" ht="15.5">
      <c r="B85" s="686"/>
      <c r="C85" s="686"/>
      <c r="D85" s="686"/>
      <c r="H85" s="699"/>
      <c r="I85" s="698"/>
    </row>
    <row r="86" spans="2:9" ht="15.5">
      <c r="B86" s="686"/>
      <c r="C86" s="686"/>
      <c r="D86" s="686"/>
      <c r="H86" s="699"/>
      <c r="I86" s="698"/>
    </row>
    <row r="87" spans="2:9" ht="15.5">
      <c r="B87" s="686"/>
      <c r="C87" s="686"/>
      <c r="D87" s="686"/>
      <c r="H87" s="699"/>
      <c r="I87" s="698"/>
    </row>
    <row r="88" spans="2:9" ht="15.5">
      <c r="B88" s="686"/>
      <c r="C88" s="686"/>
      <c r="D88" s="686"/>
      <c r="H88" s="699"/>
      <c r="I88" s="698"/>
    </row>
    <row r="89" spans="2:9" ht="15.5">
      <c r="B89" s="686"/>
      <c r="C89" s="686"/>
      <c r="D89" s="686"/>
      <c r="H89" s="699"/>
      <c r="I89" s="698"/>
    </row>
    <row r="90" spans="2:9" ht="15.5">
      <c r="B90" s="686"/>
      <c r="C90" s="686"/>
      <c r="D90" s="686"/>
      <c r="H90" s="699"/>
      <c r="I90" s="698"/>
    </row>
    <row r="91" spans="2:9" ht="15.5">
      <c r="B91" s="686"/>
      <c r="C91" s="686"/>
      <c r="D91" s="686"/>
      <c r="H91" s="699"/>
      <c r="I91" s="698"/>
    </row>
    <row r="92" spans="2:9" ht="15.5">
      <c r="B92" s="686"/>
      <c r="C92" s="686"/>
      <c r="D92" s="686"/>
      <c r="H92" s="699"/>
      <c r="I92" s="698"/>
    </row>
    <row r="93" spans="2:9" ht="15.5">
      <c r="B93" s="686"/>
      <c r="C93" s="686"/>
      <c r="D93" s="686"/>
      <c r="H93" s="699"/>
      <c r="I93" s="698"/>
    </row>
    <row r="94" spans="2:9" ht="15.5">
      <c r="B94" s="686"/>
      <c r="C94" s="686"/>
      <c r="D94" s="686"/>
      <c r="H94" s="699"/>
    </row>
    <row r="95" spans="2:9" ht="15.5">
      <c r="B95" s="686"/>
      <c r="C95" s="686"/>
      <c r="D95" s="686"/>
      <c r="H95" s="699"/>
      <c r="I95" s="698"/>
    </row>
    <row r="96" spans="2:9" ht="15.5">
      <c r="B96" s="686"/>
      <c r="C96" s="686"/>
      <c r="D96" s="686"/>
      <c r="H96" s="699"/>
    </row>
    <row r="97" spans="2:9" ht="15.5">
      <c r="B97" s="686"/>
      <c r="C97" s="686"/>
      <c r="D97" s="686"/>
      <c r="H97" s="699"/>
    </row>
    <row r="98" spans="2:9" ht="15.5">
      <c r="B98" s="686"/>
      <c r="C98" s="686"/>
      <c r="D98" s="686"/>
      <c r="H98" s="699"/>
      <c r="I98" s="698"/>
    </row>
    <row r="99" spans="2:9" ht="15.5">
      <c r="B99" s="686"/>
      <c r="C99" s="686"/>
      <c r="D99" s="686"/>
      <c r="H99" s="699"/>
      <c r="I99" s="698"/>
    </row>
    <row r="100" spans="2:9" ht="15.5">
      <c r="B100" s="686"/>
      <c r="C100" s="686"/>
      <c r="D100" s="686"/>
      <c r="H100" s="699"/>
      <c r="I100" s="698"/>
    </row>
    <row r="101" spans="2:9" ht="15.5">
      <c r="B101" s="686"/>
      <c r="C101" s="686"/>
      <c r="D101" s="686"/>
      <c r="H101" s="699"/>
    </row>
    <row r="102" spans="2:9" ht="15.5">
      <c r="B102" s="686"/>
      <c r="C102" s="686"/>
      <c r="D102" s="686"/>
      <c r="H102" s="699"/>
    </row>
    <row r="103" spans="2:9" ht="14.75" customHeight="1">
      <c r="B103" s="686"/>
      <c r="C103" s="686"/>
      <c r="D103" s="686"/>
      <c r="H103" s="699"/>
    </row>
    <row r="104" spans="2:9" ht="15.5">
      <c r="B104" s="686"/>
      <c r="C104" s="686"/>
      <c r="D104" s="686"/>
      <c r="H104" s="699"/>
    </row>
    <row r="105" spans="2:9" ht="15.5">
      <c r="B105" s="686"/>
      <c r="C105" s="686"/>
      <c r="D105" s="686"/>
      <c r="H105" s="699"/>
    </row>
    <row r="106" spans="2:9" ht="15.5">
      <c r="B106" s="686"/>
      <c r="C106" s="686"/>
      <c r="D106" s="686"/>
      <c r="H106" s="699"/>
    </row>
    <row r="107" spans="2:9" ht="15.5">
      <c r="B107" s="686"/>
      <c r="C107" s="686"/>
      <c r="D107" s="686"/>
    </row>
    <row r="108" spans="2:9" ht="15.5">
      <c r="B108" s="686"/>
      <c r="C108" s="686"/>
      <c r="D108" s="686"/>
      <c r="H108" s="700"/>
    </row>
    <row r="109" spans="2:9" ht="15.5">
      <c r="B109" s="686"/>
      <c r="C109" s="686"/>
      <c r="D109" s="686"/>
    </row>
    <row r="110" spans="2:9" ht="15.5">
      <c r="B110" s="686"/>
      <c r="C110" s="686"/>
      <c r="D110" s="686"/>
    </row>
    <row r="111" spans="2:9" ht="15.5">
      <c r="B111" s="686"/>
      <c r="C111" s="686"/>
      <c r="D111" s="686"/>
    </row>
    <row r="112" spans="2:9" ht="15.5">
      <c r="B112" s="686"/>
      <c r="C112" s="686"/>
      <c r="D112" s="686"/>
    </row>
    <row r="113" spans="2:4" ht="15.5">
      <c r="B113" s="686"/>
      <c r="C113" s="686"/>
      <c r="D113" s="686"/>
    </row>
    <row r="114" spans="2:4" ht="15.5">
      <c r="B114" s="686"/>
      <c r="C114" s="686"/>
      <c r="D114" s="686"/>
    </row>
  </sheetData>
  <mergeCells count="12">
    <mergeCell ref="N50:O50"/>
    <mergeCell ref="B2:J2"/>
    <mergeCell ref="B3:J3"/>
    <mergeCell ref="B4:J4"/>
    <mergeCell ref="A6:K6"/>
    <mergeCell ref="B9:C9"/>
    <mergeCell ref="G9:H9"/>
    <mergeCell ref="B10:B11"/>
    <mergeCell ref="C10:C11"/>
    <mergeCell ref="G10:G11"/>
    <mergeCell ref="H10:H11"/>
    <mergeCell ref="G43:H43"/>
  </mergeCells>
  <pageMargins left="0.75" right="0.75" top="1" bottom="1" header="0.5" footer="0.5"/>
  <pageSetup scale="4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sheetPr>
  <dimension ref="A1:Q547"/>
  <sheetViews>
    <sheetView view="pageBreakPreview" topLeftCell="A91" zoomScale="80" zoomScaleNormal="85" zoomScaleSheetLayoutView="80" zoomScalePageLayoutView="70" workbookViewId="0">
      <selection activeCell="E19" sqref="E19:R20"/>
    </sheetView>
  </sheetViews>
  <sheetFormatPr defaultColWidth="8.54296875" defaultRowHeight="12.5"/>
  <cols>
    <col min="1" max="1" width="7.453125" style="63" customWidth="1"/>
    <col min="2" max="2" width="16" style="59" customWidth="1"/>
    <col min="3" max="3" width="11" style="59" customWidth="1"/>
    <col min="4" max="4" width="7.54296875" style="59" customWidth="1"/>
    <col min="5" max="5" width="10.54296875" style="59" customWidth="1"/>
    <col min="6" max="7" width="8.6328125" style="59" customWidth="1"/>
    <col min="8" max="8" width="12.54296875" style="56" customWidth="1"/>
    <col min="9" max="9" width="8.54296875" style="56"/>
    <col min="10" max="10" width="8.54296875" style="56" customWidth="1"/>
    <col min="11" max="11" width="33.54296875" style="56" customWidth="1"/>
    <col min="12" max="12" width="12" style="56" customWidth="1"/>
    <col min="13" max="13" width="8.453125" style="56" customWidth="1"/>
    <col min="14" max="14" width="8.54296875" style="56"/>
    <col min="15" max="15" width="9" style="56" customWidth="1"/>
    <col min="16" max="16" width="9.36328125" style="56" hidden="1" customWidth="1"/>
    <col min="17" max="16384" width="8.54296875" style="56"/>
  </cols>
  <sheetData>
    <row r="1" spans="1:17" ht="16.5" customHeight="1">
      <c r="A1" s="3843" t="s">
        <v>1744</v>
      </c>
      <c r="B1" s="3843"/>
      <c r="C1" s="3843"/>
      <c r="D1" s="3843"/>
      <c r="E1" s="3843"/>
      <c r="F1" s="3843"/>
      <c r="G1" s="3843"/>
      <c r="H1" s="3844"/>
      <c r="I1" s="3844"/>
      <c r="J1" s="3844"/>
      <c r="K1" s="3844"/>
      <c r="L1" s="3844"/>
      <c r="M1" s="3844"/>
      <c r="N1" s="55"/>
      <c r="O1" s="55"/>
      <c r="P1" s="55"/>
    </row>
    <row r="2" spans="1:17" ht="27" customHeight="1" thickBot="1">
      <c r="A2" s="3870" t="s">
        <v>118</v>
      </c>
      <c r="B2" s="3870"/>
      <c r="C2" s="3870"/>
      <c r="D2" s="3870"/>
      <c r="E2" s="3870"/>
      <c r="F2" s="3870"/>
      <c r="G2" s="3870"/>
      <c r="H2" s="3871"/>
      <c r="I2" s="3871"/>
      <c r="J2" s="3871"/>
      <c r="K2" s="3871"/>
      <c r="L2" s="3871"/>
      <c r="M2" s="3871"/>
      <c r="N2" s="57"/>
      <c r="O2" s="57"/>
      <c r="P2" s="58"/>
    </row>
    <row r="3" spans="1:17" ht="12.75" customHeight="1">
      <c r="A3" s="3847" t="s">
        <v>119</v>
      </c>
      <c r="B3" s="3832" t="s">
        <v>120</v>
      </c>
      <c r="C3" s="3832" t="s">
        <v>59</v>
      </c>
      <c r="D3" s="3832" t="s">
        <v>121</v>
      </c>
      <c r="E3" s="3832" t="s">
        <v>122</v>
      </c>
      <c r="F3" s="3832" t="s">
        <v>123</v>
      </c>
      <c r="G3" s="3832" t="s">
        <v>124</v>
      </c>
      <c r="H3" s="3832" t="s">
        <v>125</v>
      </c>
      <c r="I3" s="3832" t="s">
        <v>126</v>
      </c>
      <c r="J3" s="3832" t="s">
        <v>127</v>
      </c>
      <c r="K3" s="3836" t="s">
        <v>128</v>
      </c>
      <c r="L3" s="3836" t="s">
        <v>129</v>
      </c>
      <c r="M3" s="3838" t="s">
        <v>130</v>
      </c>
      <c r="N3" s="59"/>
      <c r="O3" s="59"/>
    </row>
    <row r="4" spans="1:17" ht="19.5" customHeight="1">
      <c r="A4" s="3848"/>
      <c r="B4" s="3849"/>
      <c r="C4" s="3851"/>
      <c r="D4" s="3849"/>
      <c r="E4" s="3849"/>
      <c r="F4" s="3849"/>
      <c r="G4" s="3849"/>
      <c r="H4" s="3833"/>
      <c r="I4" s="3833"/>
      <c r="J4" s="3834"/>
      <c r="K4" s="3837"/>
      <c r="L4" s="3837"/>
      <c r="M4" s="3839"/>
    </row>
    <row r="5" spans="1:17" ht="12.75" customHeight="1">
      <c r="A5" s="3848"/>
      <c r="B5" s="3849"/>
      <c r="C5" s="3851"/>
      <c r="D5" s="3849"/>
      <c r="E5" s="3849"/>
      <c r="F5" s="3849"/>
      <c r="G5" s="3849"/>
      <c r="H5" s="3840" t="s">
        <v>131</v>
      </c>
      <c r="I5" s="3840" t="s">
        <v>132</v>
      </c>
      <c r="J5" s="3834"/>
      <c r="K5" s="3837"/>
      <c r="L5" s="3837"/>
      <c r="M5" s="3839"/>
    </row>
    <row r="6" spans="1:17" ht="36.75" customHeight="1">
      <c r="A6" s="3848"/>
      <c r="B6" s="3850"/>
      <c r="C6" s="3803"/>
      <c r="D6" s="3850"/>
      <c r="E6" s="3850"/>
      <c r="F6" s="3850"/>
      <c r="G6" s="3850"/>
      <c r="H6" s="3841"/>
      <c r="I6" s="3842"/>
      <c r="J6" s="3835"/>
      <c r="K6" s="3837"/>
      <c r="L6" s="3837"/>
      <c r="M6" s="3839"/>
      <c r="N6" s="59"/>
      <c r="O6" s="59"/>
      <c r="P6" s="59"/>
      <c r="Q6" s="59"/>
    </row>
    <row r="7" spans="1:17" s="568" customFormat="1" ht="20.25" customHeight="1">
      <c r="A7" s="3798" t="str">
        <f>'2-A All'!A7:A8</f>
        <v>SHTR1</v>
      </c>
      <c r="B7" s="3800" t="str">
        <f>'2-A All'!B7:B8</f>
        <v>Stabilization Hot Oil Heater
(64.83 MMBtu/hr)</v>
      </c>
      <c r="C7" s="3800" t="str">
        <f>'2-A All'!C7:C8</f>
        <v>THM</v>
      </c>
      <c r="D7" s="3800" t="str">
        <f>'2-A All'!D7:D8</f>
        <v>N/A</v>
      </c>
      <c r="E7" s="3800" t="str">
        <f>'2-A All'!E7:E8</f>
        <v>TBD</v>
      </c>
      <c r="F7" s="3800" t="str">
        <f>'2-A All'!F7:F8</f>
        <v>64.83 MMBtu/hr</v>
      </c>
      <c r="G7" s="3800" t="str">
        <f>'2-A All'!G7:G8</f>
        <v>64.83 MMBtu/hr</v>
      </c>
      <c r="H7" s="566" t="str">
        <f>'2-A All'!H7</f>
        <v>TBD</v>
      </c>
      <c r="I7" s="567" t="str">
        <f>'2-A All'!I7</f>
        <v>NA</v>
      </c>
      <c r="J7" s="3800">
        <f>'2-A All'!J7:J8</f>
        <v>31000403</v>
      </c>
      <c r="K7" s="3805" t="s">
        <v>1263</v>
      </c>
      <c r="L7" s="3809" t="s">
        <v>133</v>
      </c>
      <c r="M7" s="3807" t="s">
        <v>133</v>
      </c>
    </row>
    <row r="8" spans="1:17" s="568" customFormat="1" ht="20.25" customHeight="1">
      <c r="A8" s="3799"/>
      <c r="B8" s="3801"/>
      <c r="C8" s="3801"/>
      <c r="D8" s="3801"/>
      <c r="E8" s="3801"/>
      <c r="F8" s="3801"/>
      <c r="G8" s="3801"/>
      <c r="H8" s="569" t="str">
        <f>'2-A All'!H8</f>
        <v>TBD</v>
      </c>
      <c r="I8" s="569" t="str">
        <f>'2-A All'!I8</f>
        <v>SHTR1</v>
      </c>
      <c r="J8" s="3801"/>
      <c r="K8" s="3806"/>
      <c r="L8" s="3810"/>
      <c r="M8" s="3808"/>
    </row>
    <row r="9" spans="1:17" s="568" customFormat="1" ht="20.25" customHeight="1">
      <c r="A9" s="3798" t="str">
        <f>'2-A All'!A9:A10</f>
        <v>SHTR2</v>
      </c>
      <c r="B9" s="3800" t="str">
        <f>'2-A All'!B9:B10</f>
        <v>Stabilization Hot Oil Heater
(64.83 MMBtu/hr)</v>
      </c>
      <c r="C9" s="3800" t="str">
        <f>'2-A All'!C9:C10</f>
        <v>THM</v>
      </c>
      <c r="D9" s="3800" t="str">
        <f>'2-A All'!D9:D10</f>
        <v>N/A</v>
      </c>
      <c r="E9" s="3800" t="str">
        <f>'2-A All'!E9:E10</f>
        <v>TBD</v>
      </c>
      <c r="F9" s="3800" t="str">
        <f>'2-A All'!F9:F10</f>
        <v>64.83 MMBtu/hr</v>
      </c>
      <c r="G9" s="3800" t="str">
        <f>'2-A All'!G9:G10</f>
        <v>64.83 MMBtu/hr</v>
      </c>
      <c r="H9" s="1531" t="str">
        <f>'2-A All'!H9</f>
        <v>TBD</v>
      </c>
      <c r="I9" s="567" t="str">
        <f>'2-A All'!I9</f>
        <v>NA</v>
      </c>
      <c r="J9" s="3800">
        <f>'2-A All'!J9:J10</f>
        <v>31000403</v>
      </c>
      <c r="K9" s="3805" t="s">
        <v>1263</v>
      </c>
      <c r="L9" s="3809" t="s">
        <v>133</v>
      </c>
      <c r="M9" s="3807" t="s">
        <v>133</v>
      </c>
    </row>
    <row r="10" spans="1:17" s="568" customFormat="1" ht="20.25" customHeight="1">
      <c r="A10" s="3799"/>
      <c r="B10" s="3801"/>
      <c r="C10" s="3801"/>
      <c r="D10" s="3801"/>
      <c r="E10" s="3801"/>
      <c r="F10" s="3801"/>
      <c r="G10" s="3801"/>
      <c r="H10" s="569" t="str">
        <f>'2-A All'!H10</f>
        <v>TBD</v>
      </c>
      <c r="I10" s="569" t="str">
        <f>'2-A All'!I10</f>
        <v>SHTR2</v>
      </c>
      <c r="J10" s="3801"/>
      <c r="K10" s="3806"/>
      <c r="L10" s="3810"/>
      <c r="M10" s="3808"/>
    </row>
    <row r="11" spans="1:17" s="568" customFormat="1" ht="20.25" customHeight="1">
      <c r="A11" s="3798" t="str">
        <f>'2-A All'!A37</f>
        <v>RHTR1</v>
      </c>
      <c r="B11" s="3816" t="str">
        <f>'2-A All'!B37</f>
        <v>Regen Heater 
(39.14 MMBtu/hr)</v>
      </c>
      <c r="C11" s="3816" t="str">
        <f>'2-A All'!C37</f>
        <v>THM</v>
      </c>
      <c r="D11" s="3816" t="str">
        <f>'2-A All'!D37</f>
        <v>N/A</v>
      </c>
      <c r="E11" s="3816" t="str">
        <f>'2-A All'!E37</f>
        <v>TBD</v>
      </c>
      <c r="F11" s="3816" t="str">
        <f>'2-A All'!F37</f>
        <v>39.14 MMBtu/hr</v>
      </c>
      <c r="G11" s="3816" t="str">
        <f>'2-A All'!G37</f>
        <v>39.14 MMBtu/hr</v>
      </c>
      <c r="H11" s="1531" t="str">
        <f>'2-A All'!H37</f>
        <v>TBD</v>
      </c>
      <c r="I11" s="567" t="str">
        <f>'2-A All'!I37</f>
        <v>NA</v>
      </c>
      <c r="J11" s="3800">
        <f>'2-A All'!J37</f>
        <v>31000405</v>
      </c>
      <c r="K11" s="3805" t="s">
        <v>1263</v>
      </c>
      <c r="L11" s="3809" t="s">
        <v>133</v>
      </c>
      <c r="M11" s="3807" t="s">
        <v>133</v>
      </c>
    </row>
    <row r="12" spans="1:17" s="568" customFormat="1" ht="20.25" customHeight="1">
      <c r="A12" s="3799"/>
      <c r="B12" s="3801"/>
      <c r="C12" s="3801"/>
      <c r="D12" s="3801"/>
      <c r="E12" s="3801"/>
      <c r="F12" s="3801"/>
      <c r="G12" s="3801"/>
      <c r="H12" s="569" t="str">
        <f>'2-A All'!H38</f>
        <v>TBD</v>
      </c>
      <c r="I12" s="569" t="str">
        <f>'2-A All'!I38</f>
        <v>RHTR1</v>
      </c>
      <c r="J12" s="3801"/>
      <c r="K12" s="3806"/>
      <c r="L12" s="3810"/>
      <c r="M12" s="3808"/>
    </row>
    <row r="13" spans="1:17" s="568" customFormat="1" ht="20.25" customHeight="1">
      <c r="A13" s="3798" t="str">
        <f>'2-A All'!A39</f>
        <v>RHTR2</v>
      </c>
      <c r="B13" s="3816" t="str">
        <f>'2-A All'!B39</f>
        <v>Regen Heater
(39.14 MMBtu/hr)</v>
      </c>
      <c r="C13" s="3816" t="str">
        <f>'2-A All'!C39</f>
        <v>THM</v>
      </c>
      <c r="D13" s="3816" t="str">
        <f>'2-A All'!D39</f>
        <v>N/A</v>
      </c>
      <c r="E13" s="3816" t="str">
        <f>'2-A All'!E39</f>
        <v>TBD</v>
      </c>
      <c r="F13" s="3816" t="str">
        <f>'2-A All'!F39</f>
        <v>39.14 MMBtu/hr</v>
      </c>
      <c r="G13" s="3816" t="str">
        <f>'2-A All'!G39</f>
        <v>39.14 MMBtu/hr</v>
      </c>
      <c r="H13" s="1531" t="str">
        <f>'2-A All'!H39</f>
        <v>TBD</v>
      </c>
      <c r="I13" s="567" t="str">
        <f>'2-A All'!I39</f>
        <v>NA</v>
      </c>
      <c r="J13" s="3800">
        <f>'2-A All'!J39</f>
        <v>31000405</v>
      </c>
      <c r="K13" s="3805" t="s">
        <v>1263</v>
      </c>
      <c r="L13" s="3809" t="s">
        <v>133</v>
      </c>
      <c r="M13" s="3807" t="s">
        <v>133</v>
      </c>
    </row>
    <row r="14" spans="1:17" s="568" customFormat="1" ht="20.25" customHeight="1">
      <c r="A14" s="3799"/>
      <c r="B14" s="3801"/>
      <c r="C14" s="3801"/>
      <c r="D14" s="3801"/>
      <c r="E14" s="3801"/>
      <c r="F14" s="3801"/>
      <c r="G14" s="3801"/>
      <c r="H14" s="569" t="str">
        <f>'2-A All'!H40</f>
        <v>TBD</v>
      </c>
      <c r="I14" s="569" t="str">
        <f>'2-A All'!I40</f>
        <v>RHTR2</v>
      </c>
      <c r="J14" s="3801"/>
      <c r="K14" s="3806"/>
      <c r="L14" s="3810"/>
      <c r="M14" s="3808"/>
    </row>
    <row r="15" spans="1:17" s="568" customFormat="1" ht="20.25" customHeight="1">
      <c r="A15" s="3798" t="str">
        <f>'2-A All'!A41</f>
        <v>RHTR3</v>
      </c>
      <c r="B15" s="3816" t="str">
        <f>'2-A All'!B41</f>
        <v>Regen Heater
(39.14 MMBtu/hr)</v>
      </c>
      <c r="C15" s="3816" t="str">
        <f>'2-A All'!C41</f>
        <v>THM</v>
      </c>
      <c r="D15" s="3816" t="str">
        <f>'2-A All'!D41</f>
        <v>N/A</v>
      </c>
      <c r="E15" s="3816" t="str">
        <f>'2-A All'!E41</f>
        <v>TBD</v>
      </c>
      <c r="F15" s="3816" t="str">
        <f>'2-A All'!F41</f>
        <v>39.14 MMBtu/hr</v>
      </c>
      <c r="G15" s="3816" t="str">
        <f>'2-A All'!G41</f>
        <v>39.14 MMBtu/hr</v>
      </c>
      <c r="H15" s="1531" t="str">
        <f>'2-A All'!H41</f>
        <v>TBD</v>
      </c>
      <c r="I15" s="567" t="str">
        <f>'2-A All'!I41</f>
        <v>NA</v>
      </c>
      <c r="J15" s="3800">
        <f>'2-A All'!J41</f>
        <v>31000405</v>
      </c>
      <c r="K15" s="3805" t="s">
        <v>1263</v>
      </c>
      <c r="L15" s="3809" t="s">
        <v>133</v>
      </c>
      <c r="M15" s="3807" t="s">
        <v>133</v>
      </c>
    </row>
    <row r="16" spans="1:17" s="568" customFormat="1" ht="20.25" customHeight="1">
      <c r="A16" s="3799"/>
      <c r="B16" s="3801"/>
      <c r="C16" s="3801"/>
      <c r="D16" s="3801"/>
      <c r="E16" s="3801"/>
      <c r="F16" s="3801"/>
      <c r="G16" s="3801"/>
      <c r="H16" s="569" t="str">
        <f>'2-A All'!H42</f>
        <v>TBD</v>
      </c>
      <c r="I16" s="569" t="str">
        <f>'2-A All'!I42</f>
        <v>RHTR3</v>
      </c>
      <c r="J16" s="3801"/>
      <c r="K16" s="3806"/>
      <c r="L16" s="3810"/>
      <c r="M16" s="3808"/>
    </row>
    <row r="17" spans="1:13" s="568" customFormat="1" ht="20.25" customHeight="1">
      <c r="A17" s="3798" t="str">
        <f>'2-A All'!A43</f>
        <v>FL1</v>
      </c>
      <c r="B17" s="3816" t="str">
        <f>'2-A All'!B43</f>
        <v>SSM/Emergency 
Flare 1 
(Dual Tip Flare)</v>
      </c>
      <c r="C17" s="3816" t="str">
        <f>'2-A All'!C43</f>
        <v>Zeeco, Inc.</v>
      </c>
      <c r="D17" s="3816" t="str">
        <f>'2-A All'!D43</f>
        <v>N/A</v>
      </c>
      <c r="E17" s="3816" t="str">
        <f>'2-A All'!E43</f>
        <v>TBD</v>
      </c>
      <c r="F17" s="3816" t="str">
        <f>'2-A All'!F43</f>
        <v>250
MMscfd</v>
      </c>
      <c r="G17" s="3816" t="str">
        <f>'2-A All'!G43</f>
        <v>250
MMscfd</v>
      </c>
      <c r="H17" s="1531" t="str">
        <f>'2-A All'!H43</f>
        <v>TBD</v>
      </c>
      <c r="I17" s="567" t="str">
        <f>'2-A All'!I43</f>
        <v>NA</v>
      </c>
      <c r="J17" s="3800">
        <f>'2-A All'!J43</f>
        <v>31000160</v>
      </c>
      <c r="K17" s="3805" t="s">
        <v>1263</v>
      </c>
      <c r="L17" s="3809" t="s">
        <v>133</v>
      </c>
      <c r="M17" s="3807" t="s">
        <v>133</v>
      </c>
    </row>
    <row r="18" spans="1:13" s="568" customFormat="1" ht="20.25" customHeight="1">
      <c r="A18" s="3799"/>
      <c r="B18" s="3801"/>
      <c r="C18" s="3801"/>
      <c r="D18" s="3801"/>
      <c r="E18" s="3801"/>
      <c r="F18" s="3801"/>
      <c r="G18" s="3801"/>
      <c r="H18" s="569" t="str">
        <f>'2-A All'!H44</f>
        <v>TBD</v>
      </c>
      <c r="I18" s="569" t="str">
        <f>'2-A All'!I44</f>
        <v>FL1</v>
      </c>
      <c r="J18" s="3801"/>
      <c r="K18" s="3806"/>
      <c r="L18" s="3810"/>
      <c r="M18" s="3808"/>
    </row>
    <row r="19" spans="1:13" s="568" customFormat="1" ht="20.25" customHeight="1">
      <c r="A19" s="3798" t="str">
        <f>'2-A All'!A45</f>
        <v>FL2</v>
      </c>
      <c r="B19" s="3816" t="str">
        <f>'2-A All'!B45</f>
        <v>SSM/Emergency 
Flare 2 
(Dual Tip Flare)</v>
      </c>
      <c r="C19" s="3816" t="str">
        <f>'2-A All'!C45</f>
        <v>Zeeco, Inc.</v>
      </c>
      <c r="D19" s="3816" t="str">
        <f>'2-A All'!D45</f>
        <v>N/A</v>
      </c>
      <c r="E19" s="3816" t="str">
        <f>'2-A All'!E45</f>
        <v>TBD</v>
      </c>
      <c r="F19" s="3816" t="str">
        <f>'2-A All'!F45</f>
        <v>250
MMscfd</v>
      </c>
      <c r="G19" s="3816" t="str">
        <f>'2-A All'!G45</f>
        <v>250
MMscfd</v>
      </c>
      <c r="H19" s="1531" t="str">
        <f>'2-A All'!H45</f>
        <v>TBD</v>
      </c>
      <c r="I19" s="567" t="str">
        <f>'2-A All'!I45</f>
        <v>NA</v>
      </c>
      <c r="J19" s="3800">
        <f>'2-A All'!J45</f>
        <v>31000160</v>
      </c>
      <c r="K19" s="3805" t="s">
        <v>1263</v>
      </c>
      <c r="L19" s="3809" t="s">
        <v>133</v>
      </c>
      <c r="M19" s="3807" t="s">
        <v>133</v>
      </c>
    </row>
    <row r="20" spans="1:13" s="568" customFormat="1" ht="20.25" customHeight="1">
      <c r="A20" s="3799"/>
      <c r="B20" s="3801"/>
      <c r="C20" s="3801"/>
      <c r="D20" s="3801"/>
      <c r="E20" s="3801"/>
      <c r="F20" s="3801"/>
      <c r="G20" s="3801"/>
      <c r="H20" s="569" t="str">
        <f>'2-A All'!H46</f>
        <v>TBD</v>
      </c>
      <c r="I20" s="569" t="str">
        <f>'2-A All'!I46</f>
        <v>FL2</v>
      </c>
      <c r="J20" s="3801"/>
      <c r="K20" s="3806"/>
      <c r="L20" s="3810"/>
      <c r="M20" s="3808"/>
    </row>
    <row r="21" spans="1:13" s="568" customFormat="1" ht="24.65" customHeight="1">
      <c r="A21" s="3798" t="str">
        <f>'2-A All'!A47</f>
        <v>FL3</v>
      </c>
      <c r="B21" s="3868" t="str">
        <f>'2-A All'!B47</f>
        <v>Backup SSM/Emergency 
Flare 3 
(Dual Tip Flare)</v>
      </c>
      <c r="C21" s="3816" t="str">
        <f>'2-A All'!C47</f>
        <v>Zeeco, Inc.</v>
      </c>
      <c r="D21" s="3816" t="str">
        <f>'2-A All'!D47</f>
        <v>N/A</v>
      </c>
      <c r="E21" s="3816" t="str">
        <f>'2-A All'!E47</f>
        <v>TBD</v>
      </c>
      <c r="F21" s="3816" t="str">
        <f>'2-A All'!F47</f>
        <v>250
MMscfd</v>
      </c>
      <c r="G21" s="3816" t="str">
        <f>'2-A All'!G47</f>
        <v>250
MMscfd</v>
      </c>
      <c r="H21" s="1531" t="str">
        <f>'2-A All'!H47</f>
        <v>TBD</v>
      </c>
      <c r="I21" s="567" t="str">
        <f>'2-A All'!I47</f>
        <v>NA</v>
      </c>
      <c r="J21" s="3800">
        <f>'2-A All'!J47</f>
        <v>31000160</v>
      </c>
      <c r="K21" s="3805" t="s">
        <v>1263</v>
      </c>
      <c r="L21" s="3809" t="s">
        <v>133</v>
      </c>
      <c r="M21" s="3807" t="s">
        <v>133</v>
      </c>
    </row>
    <row r="22" spans="1:13" s="568" customFormat="1" ht="24.65" customHeight="1">
      <c r="A22" s="3799"/>
      <c r="B22" s="3869"/>
      <c r="C22" s="3801"/>
      <c r="D22" s="3801"/>
      <c r="E22" s="3801"/>
      <c r="F22" s="3801"/>
      <c r="G22" s="3801"/>
      <c r="H22" s="569" t="str">
        <f>'2-A All'!H48</f>
        <v>TBD</v>
      </c>
      <c r="I22" s="569" t="str">
        <f>'2-A All'!I48</f>
        <v>FL3</v>
      </c>
      <c r="J22" s="3801"/>
      <c r="K22" s="3806"/>
      <c r="L22" s="3810"/>
      <c r="M22" s="3808"/>
    </row>
    <row r="23" spans="1:13" s="568" customFormat="1" ht="20.25" customHeight="1">
      <c r="A23" s="3798" t="str">
        <f>'2-A All'!A49</f>
        <v>FL1-FL3OVHD-SSM</v>
      </c>
      <c r="B23" s="3868" t="str">
        <f>'2-A All'!B49</f>
        <v>FL1-FL3 Stabilizer Overhead SSM Gas</v>
      </c>
      <c r="C23" s="3816" t="str">
        <f>'2-A All'!C49</f>
        <v>Zeeco, Inc.</v>
      </c>
      <c r="D23" s="3816" t="str">
        <f>'2-A All'!D49</f>
        <v>N/A</v>
      </c>
      <c r="E23" s="3816" t="str">
        <f>'2-A All'!E49</f>
        <v>TBD</v>
      </c>
      <c r="F23" s="3816" t="str">
        <f>'2-A All'!F49</f>
        <v>1.2 MMscfd</v>
      </c>
      <c r="G23" s="3816" t="str">
        <f>'2-A All'!G49</f>
        <v>1.2 MMscfd</v>
      </c>
      <c r="H23" s="2581" t="str">
        <f>'2-A All'!H49</f>
        <v>TBD</v>
      </c>
      <c r="I23" s="567" t="str">
        <f>'2-A All'!I49</f>
        <v>FL1-FL3</v>
      </c>
      <c r="J23" s="3800">
        <f>'2-A All'!J49</f>
        <v>31000160</v>
      </c>
      <c r="K23" s="3805" t="s">
        <v>1263</v>
      </c>
      <c r="L23" s="3809" t="s">
        <v>133</v>
      </c>
      <c r="M23" s="3807" t="s">
        <v>133</v>
      </c>
    </row>
    <row r="24" spans="1:13" s="568" customFormat="1" ht="30.5" customHeight="1">
      <c r="A24" s="3799"/>
      <c r="B24" s="3869"/>
      <c r="C24" s="3801"/>
      <c r="D24" s="3801"/>
      <c r="E24" s="3801"/>
      <c r="F24" s="3801"/>
      <c r="G24" s="3801"/>
      <c r="H24" s="569" t="str">
        <f>'2-A All'!H50</f>
        <v>TBD</v>
      </c>
      <c r="I24" s="2604" t="str">
        <f>'2-A All'!I50</f>
        <v>FL1-FL3OVHD-SSM</v>
      </c>
      <c r="J24" s="3801"/>
      <c r="K24" s="3806"/>
      <c r="L24" s="3810"/>
      <c r="M24" s="3808"/>
    </row>
    <row r="25" spans="1:13" s="568" customFormat="1" ht="20.25" customHeight="1">
      <c r="A25" s="3798" t="str">
        <f>'2-A All'!A51</f>
        <v>FL1-FL3CRYO-SSM</v>
      </c>
      <c r="B25" s="3868" t="str">
        <f>'2-A All'!B51</f>
        <v>FL1-FL3 Cryo Blowdown SSM Gas</v>
      </c>
      <c r="C25" s="3816" t="str">
        <f>'2-A All'!C51</f>
        <v>Zeeco, Inc.</v>
      </c>
      <c r="D25" s="3816" t="str">
        <f>'2-A All'!D51</f>
        <v>N/A</v>
      </c>
      <c r="E25" s="3816" t="str">
        <f>'2-A All'!E51</f>
        <v>TBD</v>
      </c>
      <c r="F25" s="3816" t="str">
        <f>'2-A All'!F51</f>
        <v>0.375 MMscfd</v>
      </c>
      <c r="G25" s="3816" t="str">
        <f>'2-A All'!G51</f>
        <v>0.375 MMscfd</v>
      </c>
      <c r="H25" s="2581" t="str">
        <f>'2-A All'!H51</f>
        <v>TBD</v>
      </c>
      <c r="I25" s="567" t="str">
        <f>'2-A All'!I51</f>
        <v>FL1-FL3</v>
      </c>
      <c r="J25" s="3800">
        <f>'2-A All'!J51</f>
        <v>31000160</v>
      </c>
      <c r="K25" s="3805" t="s">
        <v>1263</v>
      </c>
      <c r="L25" s="3809" t="s">
        <v>133</v>
      </c>
      <c r="M25" s="3807" t="s">
        <v>133</v>
      </c>
    </row>
    <row r="26" spans="1:13" s="568" customFormat="1" ht="32.5" customHeight="1">
      <c r="A26" s="3799"/>
      <c r="B26" s="3869"/>
      <c r="C26" s="3801"/>
      <c r="D26" s="3801"/>
      <c r="E26" s="3801"/>
      <c r="F26" s="3801"/>
      <c r="G26" s="3801"/>
      <c r="H26" s="569" t="str">
        <f>'2-A All'!H52</f>
        <v>TBD</v>
      </c>
      <c r="I26" s="2604" t="str">
        <f>'2-A All'!I52</f>
        <v>FL1-FL3CRYO-SSM</v>
      </c>
      <c r="J26" s="3801"/>
      <c r="K26" s="3806"/>
      <c r="L26" s="3810"/>
      <c r="M26" s="3808"/>
    </row>
    <row r="27" spans="1:13" s="568" customFormat="1" ht="20.25" customHeight="1">
      <c r="A27" s="3798" t="str">
        <f>'2-A All'!A53</f>
        <v>IFR1</v>
      </c>
      <c r="B27" s="3816" t="str">
        <f>'2-A All'!B53</f>
        <v>Oil Storage 1 (100,000 bbl)</v>
      </c>
      <c r="C27" s="3816" t="str">
        <f>'2-A All'!C53</f>
        <v>Advance Tank</v>
      </c>
      <c r="D27" s="3816" t="str">
        <f>'2-A All'!D53</f>
        <v>N/A</v>
      </c>
      <c r="E27" s="3816" t="str">
        <f>'2-A All'!E53</f>
        <v>TBD</v>
      </c>
      <c r="F27" s="3816" t="str">
        <f>'2-A All'!F53</f>
        <v>100,000 bbl</v>
      </c>
      <c r="G27" s="3816" t="str">
        <f>'2-A All'!G53</f>
        <v>100,000 bbl</v>
      </c>
      <c r="H27" s="1531" t="str">
        <f>'2-A All'!H53</f>
        <v>TBD</v>
      </c>
      <c r="I27" s="567" t="str">
        <f>'2-A All'!I53</f>
        <v>NA</v>
      </c>
      <c r="J27" s="3800">
        <f>'2-A All'!J53</f>
        <v>40400331</v>
      </c>
      <c r="K27" s="3805" t="s">
        <v>1263</v>
      </c>
      <c r="L27" s="3809" t="s">
        <v>133</v>
      </c>
      <c r="M27" s="3807" t="s">
        <v>133</v>
      </c>
    </row>
    <row r="28" spans="1:13" s="568" customFormat="1" ht="20.25" customHeight="1">
      <c r="A28" s="3799"/>
      <c r="B28" s="3801"/>
      <c r="C28" s="3801"/>
      <c r="D28" s="3801"/>
      <c r="E28" s="3801"/>
      <c r="F28" s="3801"/>
      <c r="G28" s="3801"/>
      <c r="H28" s="569" t="str">
        <f>'2-A All'!H54</f>
        <v>TBD</v>
      </c>
      <c r="I28" s="569" t="str">
        <f>'2-A All'!I54</f>
        <v>IFR1</v>
      </c>
      <c r="J28" s="3801"/>
      <c r="K28" s="3806"/>
      <c r="L28" s="3810"/>
      <c r="M28" s="3808"/>
    </row>
    <row r="29" spans="1:13" s="568" customFormat="1" ht="20.25" customHeight="1">
      <c r="A29" s="3798" t="str">
        <f>'2-A All'!A55</f>
        <v>IFR2</v>
      </c>
      <c r="B29" s="3816" t="str">
        <f>'2-A All'!B55</f>
        <v>Oil Storage 2 (100,000 bbl)</v>
      </c>
      <c r="C29" s="3816" t="str">
        <f>'2-A All'!C55</f>
        <v>Advance Tank</v>
      </c>
      <c r="D29" s="3816" t="str">
        <f>'2-A All'!D55</f>
        <v>N/A</v>
      </c>
      <c r="E29" s="3816" t="str">
        <f>'2-A All'!E55</f>
        <v>TBD</v>
      </c>
      <c r="F29" s="3816" t="str">
        <f>'2-A All'!F55</f>
        <v>100,000 bbl</v>
      </c>
      <c r="G29" s="3816" t="str">
        <f>'2-A All'!G55</f>
        <v>100,000 bbl</v>
      </c>
      <c r="H29" s="1531" t="str">
        <f>'2-A All'!H55</f>
        <v>TBD</v>
      </c>
      <c r="I29" s="567" t="str">
        <f>'2-A All'!I55</f>
        <v>NA</v>
      </c>
      <c r="J29" s="3800">
        <f>'2-A All'!J55</f>
        <v>40400331</v>
      </c>
      <c r="K29" s="3805" t="s">
        <v>1263</v>
      </c>
      <c r="L29" s="3809" t="s">
        <v>133</v>
      </c>
      <c r="M29" s="3807" t="s">
        <v>133</v>
      </c>
    </row>
    <row r="30" spans="1:13" s="568" customFormat="1" ht="20.25" customHeight="1">
      <c r="A30" s="3799"/>
      <c r="B30" s="3801"/>
      <c r="C30" s="3801"/>
      <c r="D30" s="3801"/>
      <c r="E30" s="3801"/>
      <c r="F30" s="3801"/>
      <c r="G30" s="3801"/>
      <c r="H30" s="569" t="str">
        <f>'2-A All'!H56</f>
        <v>TBD</v>
      </c>
      <c r="I30" s="569" t="str">
        <f>'2-A All'!I56</f>
        <v>IFR2</v>
      </c>
      <c r="J30" s="3801"/>
      <c r="K30" s="3806"/>
      <c r="L30" s="3810"/>
      <c r="M30" s="3808"/>
    </row>
    <row r="31" spans="1:13" s="568" customFormat="1" ht="20.25" customHeight="1">
      <c r="A31" s="3798" t="str">
        <f>'2-A All'!A57</f>
        <v>IFR3</v>
      </c>
      <c r="B31" s="3816" t="str">
        <f>'2-A All'!B57</f>
        <v>Oil Storage 3 (100,000 bbl)</v>
      </c>
      <c r="C31" s="3816" t="str">
        <f>'2-A All'!C57</f>
        <v>Advance Tank</v>
      </c>
      <c r="D31" s="3816" t="str">
        <f>'2-A All'!D57</f>
        <v>N/A</v>
      </c>
      <c r="E31" s="3816" t="str">
        <f>'2-A All'!E57</f>
        <v>TBD</v>
      </c>
      <c r="F31" s="3816" t="str">
        <f>'2-A All'!F57</f>
        <v>100,000 bbl</v>
      </c>
      <c r="G31" s="3816" t="str">
        <f>'2-A All'!G57</f>
        <v>100,000 bbl</v>
      </c>
      <c r="H31" s="1531" t="str">
        <f>'2-A All'!H57</f>
        <v>TBD</v>
      </c>
      <c r="I31" s="567" t="str">
        <f>'2-A All'!I57</f>
        <v>NA</v>
      </c>
      <c r="J31" s="3800">
        <f>'2-A All'!J57</f>
        <v>40400331</v>
      </c>
      <c r="K31" s="3805" t="s">
        <v>1263</v>
      </c>
      <c r="L31" s="3809" t="s">
        <v>133</v>
      </c>
      <c r="M31" s="3807" t="s">
        <v>133</v>
      </c>
    </row>
    <row r="32" spans="1:13" s="568" customFormat="1" ht="20.25" customHeight="1">
      <c r="A32" s="3799"/>
      <c r="B32" s="3801"/>
      <c r="C32" s="3801"/>
      <c r="D32" s="3801"/>
      <c r="E32" s="3801"/>
      <c r="F32" s="3801"/>
      <c r="G32" s="3801"/>
      <c r="H32" s="569" t="str">
        <f>'2-A All'!H58</f>
        <v>TBD</v>
      </c>
      <c r="I32" s="569" t="str">
        <f>'2-A All'!I58</f>
        <v>IFR3</v>
      </c>
      <c r="J32" s="3801"/>
      <c r="K32" s="3806"/>
      <c r="L32" s="3810"/>
      <c r="M32" s="3808"/>
    </row>
    <row r="33" spans="1:13" s="568" customFormat="1" ht="20.25" customHeight="1">
      <c r="A33" s="3798" t="str">
        <f>'2-A All'!A59</f>
        <v>IFR4</v>
      </c>
      <c r="B33" s="3816" t="str">
        <f>'2-A All'!B59</f>
        <v>Oil Storage 4 (100,000 bbl)</v>
      </c>
      <c r="C33" s="3816" t="str">
        <f>'2-A All'!C59</f>
        <v>Advance Tank</v>
      </c>
      <c r="D33" s="3816" t="str">
        <f>'2-A All'!D59</f>
        <v>N/A</v>
      </c>
      <c r="E33" s="3816" t="str">
        <f>'2-A All'!E59</f>
        <v>TBD</v>
      </c>
      <c r="F33" s="3816" t="str">
        <f>'2-A All'!F59</f>
        <v>100,000 bbl</v>
      </c>
      <c r="G33" s="3816" t="str">
        <f>'2-A All'!G59</f>
        <v>100,000 bbl</v>
      </c>
      <c r="H33" s="1531" t="str">
        <f>'2-A All'!H59</f>
        <v>TBD</v>
      </c>
      <c r="I33" s="567" t="str">
        <f>'2-A All'!I59</f>
        <v>NA</v>
      </c>
      <c r="J33" s="3800">
        <f>'2-A All'!J59</f>
        <v>40400331</v>
      </c>
      <c r="K33" s="3805" t="s">
        <v>1263</v>
      </c>
      <c r="L33" s="3809" t="s">
        <v>133</v>
      </c>
      <c r="M33" s="3807" t="s">
        <v>133</v>
      </c>
    </row>
    <row r="34" spans="1:13" s="568" customFormat="1" ht="20.25" customHeight="1">
      <c r="A34" s="3799"/>
      <c r="B34" s="3801"/>
      <c r="C34" s="3801"/>
      <c r="D34" s="3801"/>
      <c r="E34" s="3801"/>
      <c r="F34" s="3801"/>
      <c r="G34" s="3801"/>
      <c r="H34" s="569" t="str">
        <f>'2-A All'!H60</f>
        <v>TBD</v>
      </c>
      <c r="I34" s="569" t="str">
        <f>'2-A All'!I60</f>
        <v>IFR4</v>
      </c>
      <c r="J34" s="3801"/>
      <c r="K34" s="3806"/>
      <c r="L34" s="3810"/>
      <c r="M34" s="3808"/>
    </row>
    <row r="35" spans="1:13" s="568" customFormat="1" ht="20.25" customHeight="1">
      <c r="A35" s="3798" t="str">
        <f>'2-A All'!A61</f>
        <v>OTK1</v>
      </c>
      <c r="B35" s="3816" t="str">
        <f>'2-A All'!B61</f>
        <v>3rd-Party Oil Storage 1</v>
      </c>
      <c r="C35" s="3816" t="str">
        <f>'2-A All'!C61</f>
        <v>Advance Tank</v>
      </c>
      <c r="D35" s="3816" t="str">
        <f>'2-A All'!D61</f>
        <v>N/A</v>
      </c>
      <c r="E35" s="3816" t="str">
        <f>'2-A All'!E61</f>
        <v>TBD</v>
      </c>
      <c r="F35" s="3816" t="str">
        <f>'2-A All'!F61</f>
        <v>2,000 bbl</v>
      </c>
      <c r="G35" s="3816" t="str">
        <f>'2-A All'!G61</f>
        <v>2,000 bbl</v>
      </c>
      <c r="H35" s="1531" t="str">
        <f>'2-A All'!H61</f>
        <v>TBD</v>
      </c>
      <c r="I35" s="567" t="str">
        <f>'2-A All'!I61</f>
        <v>ECD1</v>
      </c>
      <c r="J35" s="3800">
        <f>'2-A All'!J61</f>
        <v>40400311</v>
      </c>
      <c r="K35" s="3805" t="s">
        <v>1263</v>
      </c>
      <c r="L35" s="3809" t="s">
        <v>133</v>
      </c>
      <c r="M35" s="3807" t="s">
        <v>133</v>
      </c>
    </row>
    <row r="36" spans="1:13" s="568" customFormat="1" ht="20.25" customHeight="1">
      <c r="A36" s="3799"/>
      <c r="B36" s="3801"/>
      <c r="C36" s="3801"/>
      <c r="D36" s="3801"/>
      <c r="E36" s="3801"/>
      <c r="F36" s="3801"/>
      <c r="G36" s="3801"/>
      <c r="H36" s="569" t="str">
        <f>'2-A All'!H62</f>
        <v>TBD</v>
      </c>
      <c r="I36" s="569" t="str">
        <f>'2-A All'!I62</f>
        <v>ECD1</v>
      </c>
      <c r="J36" s="3801"/>
      <c r="K36" s="3806"/>
      <c r="L36" s="3810"/>
      <c r="M36" s="3808"/>
    </row>
    <row r="37" spans="1:13" s="568" customFormat="1" ht="20.25" customHeight="1">
      <c r="A37" s="3798" t="str">
        <f>'2-A All'!A63</f>
        <v>OTK2</v>
      </c>
      <c r="B37" s="3816" t="str">
        <f>'2-A All'!B63</f>
        <v>3rd-Party Oil Storage 2</v>
      </c>
      <c r="C37" s="3816" t="str">
        <f>'2-A All'!C63</f>
        <v>Advance Tank</v>
      </c>
      <c r="D37" s="3816" t="str">
        <f>'2-A All'!D63</f>
        <v>N/A</v>
      </c>
      <c r="E37" s="3816" t="str">
        <f>'2-A All'!E63</f>
        <v>TBD</v>
      </c>
      <c r="F37" s="3816" t="str">
        <f>'2-A All'!F63</f>
        <v>2,000 bbl</v>
      </c>
      <c r="G37" s="3816" t="str">
        <f>'2-A All'!G63</f>
        <v>2,000 bbl</v>
      </c>
      <c r="H37" s="1531" t="str">
        <f>'2-A All'!H63</f>
        <v>TBD</v>
      </c>
      <c r="I37" s="567" t="str">
        <f>'2-A All'!I63</f>
        <v>ECD1</v>
      </c>
      <c r="J37" s="3800">
        <f>'2-A All'!J63</f>
        <v>40400311</v>
      </c>
      <c r="K37" s="3805" t="s">
        <v>1263</v>
      </c>
      <c r="L37" s="3809" t="s">
        <v>133</v>
      </c>
      <c r="M37" s="3807" t="s">
        <v>133</v>
      </c>
    </row>
    <row r="38" spans="1:13" s="568" customFormat="1" ht="20.25" customHeight="1">
      <c r="A38" s="3799"/>
      <c r="B38" s="3801"/>
      <c r="C38" s="3801"/>
      <c r="D38" s="3801"/>
      <c r="E38" s="3801"/>
      <c r="F38" s="3801"/>
      <c r="G38" s="3801"/>
      <c r="H38" s="569" t="str">
        <f>'2-A All'!H64</f>
        <v>TBD</v>
      </c>
      <c r="I38" s="569" t="str">
        <f>'2-A All'!I64</f>
        <v>ECD1</v>
      </c>
      <c r="J38" s="3801"/>
      <c r="K38" s="3806"/>
      <c r="L38" s="3810"/>
      <c r="M38" s="3808"/>
    </row>
    <row r="39" spans="1:13" s="568" customFormat="1" ht="20.25" customHeight="1">
      <c r="A39" s="3798" t="str">
        <f>'2-A All'!A65</f>
        <v>OTK3</v>
      </c>
      <c r="B39" s="3816" t="str">
        <f>'2-A All'!B65</f>
        <v>3rd-Party Oil Storage 3</v>
      </c>
      <c r="C39" s="3816" t="str">
        <f>'2-A All'!C65</f>
        <v>Advance Tank</v>
      </c>
      <c r="D39" s="3816" t="str">
        <f>'2-A All'!D65</f>
        <v>N/A</v>
      </c>
      <c r="E39" s="3816" t="str">
        <f>'2-A All'!E65</f>
        <v>TBD</v>
      </c>
      <c r="F39" s="3816" t="str">
        <f>'2-A All'!F65</f>
        <v>2,000 bbl</v>
      </c>
      <c r="G39" s="3816" t="str">
        <f>'2-A All'!G65</f>
        <v>2,000 bbl</v>
      </c>
      <c r="H39" s="1531" t="str">
        <f>'2-A All'!H65</f>
        <v>TBD</v>
      </c>
      <c r="I39" s="567" t="str">
        <f>'2-A All'!I65</f>
        <v>ECD1</v>
      </c>
      <c r="J39" s="3800">
        <f>'2-A All'!J65</f>
        <v>40400311</v>
      </c>
      <c r="K39" s="3805" t="s">
        <v>1263</v>
      </c>
      <c r="L39" s="3809" t="s">
        <v>133</v>
      </c>
      <c r="M39" s="3807" t="s">
        <v>133</v>
      </c>
    </row>
    <row r="40" spans="1:13" s="568" customFormat="1" ht="20.25" customHeight="1">
      <c r="A40" s="3799"/>
      <c r="B40" s="3801"/>
      <c r="C40" s="3801"/>
      <c r="D40" s="3801"/>
      <c r="E40" s="3801"/>
      <c r="F40" s="3801"/>
      <c r="G40" s="3801"/>
      <c r="H40" s="569" t="str">
        <f>'2-A All'!H66</f>
        <v>TBD</v>
      </c>
      <c r="I40" s="569" t="str">
        <f>'2-A All'!I66</f>
        <v>ECD1</v>
      </c>
      <c r="J40" s="3801"/>
      <c r="K40" s="3806"/>
      <c r="L40" s="3810"/>
      <c r="M40" s="3808"/>
    </row>
    <row r="41" spans="1:13" s="568" customFormat="1" ht="20.25" customHeight="1">
      <c r="A41" s="3798" t="str">
        <f>'2-A All'!A67</f>
        <v>OTK4</v>
      </c>
      <c r="B41" s="3816" t="str">
        <f>'2-A All'!B67</f>
        <v>3rd-Party Oil Storage 4</v>
      </c>
      <c r="C41" s="3816" t="str">
        <f>'2-A All'!C67</f>
        <v>Advance Tank</v>
      </c>
      <c r="D41" s="3816" t="str">
        <f>'2-A All'!D67</f>
        <v>N/A</v>
      </c>
      <c r="E41" s="3816" t="str">
        <f>'2-A All'!E67</f>
        <v>TBD</v>
      </c>
      <c r="F41" s="3816" t="str">
        <f>'2-A All'!F67</f>
        <v>2,000 bbl</v>
      </c>
      <c r="G41" s="3816" t="str">
        <f>'2-A All'!G67</f>
        <v>2,000 bbl</v>
      </c>
      <c r="H41" s="1531" t="str">
        <f>'2-A All'!H67</f>
        <v>TBD</v>
      </c>
      <c r="I41" s="567" t="str">
        <f>'2-A All'!I67</f>
        <v>ECD1</v>
      </c>
      <c r="J41" s="3800">
        <f>'2-A All'!J67</f>
        <v>40400311</v>
      </c>
      <c r="K41" s="3805" t="s">
        <v>1263</v>
      </c>
      <c r="L41" s="3809" t="s">
        <v>133</v>
      </c>
      <c r="M41" s="3807" t="s">
        <v>133</v>
      </c>
    </row>
    <row r="42" spans="1:13" s="568" customFormat="1" ht="20.25" customHeight="1">
      <c r="A42" s="3799"/>
      <c r="B42" s="3801"/>
      <c r="C42" s="3801"/>
      <c r="D42" s="3801"/>
      <c r="E42" s="3801"/>
      <c r="F42" s="3801"/>
      <c r="G42" s="3801"/>
      <c r="H42" s="569" t="str">
        <f>'2-A All'!H68</f>
        <v>TBD</v>
      </c>
      <c r="I42" s="569" t="str">
        <f>'2-A All'!I68</f>
        <v>ECD1</v>
      </c>
      <c r="J42" s="3801"/>
      <c r="K42" s="3806"/>
      <c r="L42" s="3810"/>
      <c r="M42" s="3808"/>
    </row>
    <row r="43" spans="1:13" s="568" customFormat="1" ht="20.25" customHeight="1">
      <c r="A43" s="3798" t="str">
        <f>'2-A All'!A69</f>
        <v>OTK5</v>
      </c>
      <c r="B43" s="3816" t="str">
        <f>'2-A All'!B69</f>
        <v>3rd-Party Oil Storage 5</v>
      </c>
      <c r="C43" s="3816" t="str">
        <f>'2-A All'!C69</f>
        <v>Advance Tank</v>
      </c>
      <c r="D43" s="3816" t="str">
        <f>'2-A All'!D69</f>
        <v>N/A</v>
      </c>
      <c r="E43" s="3816" t="str">
        <f>'2-A All'!E69</f>
        <v>TBD</v>
      </c>
      <c r="F43" s="3816" t="str">
        <f>'2-A All'!F69</f>
        <v>2,000 bbl</v>
      </c>
      <c r="G43" s="3816" t="str">
        <f>'2-A All'!G69</f>
        <v>2,000 bbl</v>
      </c>
      <c r="H43" s="1531" t="str">
        <f>'2-A All'!H69</f>
        <v>TBD</v>
      </c>
      <c r="I43" s="567" t="str">
        <f>'2-A All'!I69</f>
        <v>ECD1</v>
      </c>
      <c r="J43" s="3800">
        <f>'2-A All'!J69</f>
        <v>40400311</v>
      </c>
      <c r="K43" s="3805" t="s">
        <v>1263</v>
      </c>
      <c r="L43" s="3809" t="s">
        <v>133</v>
      </c>
      <c r="M43" s="3807" t="s">
        <v>133</v>
      </c>
    </row>
    <row r="44" spans="1:13" s="568" customFormat="1" ht="20.25" customHeight="1">
      <c r="A44" s="3799"/>
      <c r="B44" s="3801"/>
      <c r="C44" s="3801"/>
      <c r="D44" s="3801"/>
      <c r="E44" s="3801"/>
      <c r="F44" s="3801"/>
      <c r="G44" s="3801"/>
      <c r="H44" s="569" t="str">
        <f>'2-A All'!H70</f>
        <v>TBD</v>
      </c>
      <c r="I44" s="569" t="str">
        <f>'2-A All'!I70</f>
        <v>ECD1</v>
      </c>
      <c r="J44" s="3801"/>
      <c r="K44" s="3806"/>
      <c r="L44" s="3810"/>
      <c r="M44" s="3808"/>
    </row>
    <row r="45" spans="1:13" s="568" customFormat="1" ht="20.25" customHeight="1">
      <c r="A45" s="3798" t="str">
        <f>'2-A All'!A71</f>
        <v>OTK6</v>
      </c>
      <c r="B45" s="3816" t="str">
        <f>'2-A All'!B71</f>
        <v>3rd-Party Oil Storage 6</v>
      </c>
      <c r="C45" s="3816" t="str">
        <f>'2-A All'!C71</f>
        <v>Advance Tank</v>
      </c>
      <c r="D45" s="3816" t="str">
        <f>'2-A All'!D71</f>
        <v>N/A</v>
      </c>
      <c r="E45" s="3816" t="str">
        <f>'2-A All'!E71</f>
        <v>TBD</v>
      </c>
      <c r="F45" s="3816" t="str">
        <f>'2-A All'!F71</f>
        <v>2,000 bbl</v>
      </c>
      <c r="G45" s="3816" t="str">
        <f>'2-A All'!G71</f>
        <v>2,000 bbl</v>
      </c>
      <c r="H45" s="1531" t="str">
        <f>'2-A All'!H71</f>
        <v>TBD</v>
      </c>
      <c r="I45" s="567" t="str">
        <f>'2-A All'!I71</f>
        <v>ECD1</v>
      </c>
      <c r="J45" s="3800">
        <f>'2-A All'!J71</f>
        <v>40400311</v>
      </c>
      <c r="K45" s="3805" t="s">
        <v>1263</v>
      </c>
      <c r="L45" s="3809" t="s">
        <v>133</v>
      </c>
      <c r="M45" s="3807" t="s">
        <v>133</v>
      </c>
    </row>
    <row r="46" spans="1:13" s="568" customFormat="1" ht="20.25" customHeight="1">
      <c r="A46" s="3799"/>
      <c r="B46" s="3801"/>
      <c r="C46" s="3801"/>
      <c r="D46" s="3801"/>
      <c r="E46" s="3801"/>
      <c r="F46" s="3801"/>
      <c r="G46" s="3801"/>
      <c r="H46" s="569" t="str">
        <f>'2-A All'!H72</f>
        <v>TBD</v>
      </c>
      <c r="I46" s="569" t="str">
        <f>'2-A All'!I72</f>
        <v>ECD1</v>
      </c>
      <c r="J46" s="3801"/>
      <c r="K46" s="3806"/>
      <c r="L46" s="3810"/>
      <c r="M46" s="3808"/>
    </row>
    <row r="47" spans="1:13" s="568" customFormat="1" ht="20.25" customHeight="1">
      <c r="A47" s="3798" t="str">
        <f>'2-A All'!A73</f>
        <v>ECD1</v>
      </c>
      <c r="B47" s="3816" t="str">
        <f>'2-A All'!B73</f>
        <v>Combustor</v>
      </c>
      <c r="C47" s="3816" t="str">
        <f>'2-A All'!C73</f>
        <v>Zeeco, Inc.</v>
      </c>
      <c r="D47" s="3816" t="str">
        <f>'2-A All'!D73</f>
        <v>N/A</v>
      </c>
      <c r="E47" s="3816" t="str">
        <f>'2-A All'!E73</f>
        <v>TBD</v>
      </c>
      <c r="F47" s="3816" t="str">
        <f>'2-A All'!F73</f>
        <v>N/A</v>
      </c>
      <c r="G47" s="3816" t="str">
        <f>'2-A All'!G73</f>
        <v>N/A</v>
      </c>
      <c r="H47" s="1531" t="str">
        <f>'2-A All'!H73</f>
        <v>TBD</v>
      </c>
      <c r="I47" s="567" t="str">
        <f>'2-A All'!I73</f>
        <v>NA</v>
      </c>
      <c r="J47" s="3800">
        <f>'2-A All'!J73</f>
        <v>31000209</v>
      </c>
      <c r="K47" s="3805" t="s">
        <v>1263</v>
      </c>
      <c r="L47" s="3809" t="s">
        <v>133</v>
      </c>
      <c r="M47" s="3807" t="s">
        <v>133</v>
      </c>
    </row>
    <row r="48" spans="1:13" s="568" customFormat="1" ht="20.25" customHeight="1">
      <c r="A48" s="3799"/>
      <c r="B48" s="3801"/>
      <c r="C48" s="3801"/>
      <c r="D48" s="3801"/>
      <c r="E48" s="3801"/>
      <c r="F48" s="3801"/>
      <c r="G48" s="3801"/>
      <c r="H48" s="569" t="str">
        <f>'2-A All'!H74</f>
        <v>TBD</v>
      </c>
      <c r="I48" s="569" t="str">
        <f>'2-A All'!I74</f>
        <v>ECD1</v>
      </c>
      <c r="J48" s="3801"/>
      <c r="K48" s="3806"/>
      <c r="L48" s="3810"/>
      <c r="M48" s="3808"/>
    </row>
    <row r="49" spans="1:13" s="568" customFormat="1" ht="20.25" customHeight="1">
      <c r="A49" s="3798" t="str">
        <f>'2-A All'!A75</f>
        <v>TO1</v>
      </c>
      <c r="B49" s="3816" t="str">
        <f>'2-A All'!B75</f>
        <v>Thermal Oxidizer</v>
      </c>
      <c r="C49" s="3816" t="str">
        <f>'2-A All'!C75</f>
        <v>Zeeco, Inc.</v>
      </c>
      <c r="D49" s="3816" t="str">
        <f>'2-A All'!D75</f>
        <v>N/A</v>
      </c>
      <c r="E49" s="3816" t="str">
        <f>'2-A All'!E75</f>
        <v>TBD</v>
      </c>
      <c r="F49" s="3816" t="str">
        <f>'2-A All'!F75</f>
        <v xml:space="preserve">31.5 MMBtu/hr </v>
      </c>
      <c r="G49" s="3816" t="str">
        <f>'2-A All'!G75</f>
        <v xml:space="preserve">31.5 MMBtu/hr </v>
      </c>
      <c r="H49" s="1531" t="str">
        <f>'2-A All'!H75</f>
        <v>TBD</v>
      </c>
      <c r="I49" s="567" t="str">
        <f>'2-A All'!I75</f>
        <v>NA</v>
      </c>
      <c r="J49" s="3800">
        <f>'2-A All'!J75</f>
        <v>31000209</v>
      </c>
      <c r="K49" s="3805" t="s">
        <v>1263</v>
      </c>
      <c r="L49" s="3809" t="s">
        <v>133</v>
      </c>
      <c r="M49" s="3807" t="s">
        <v>133</v>
      </c>
    </row>
    <row r="50" spans="1:13" s="568" customFormat="1" ht="20.25" customHeight="1">
      <c r="A50" s="3799"/>
      <c r="B50" s="3801"/>
      <c r="C50" s="3801"/>
      <c r="D50" s="3801"/>
      <c r="E50" s="3801"/>
      <c r="F50" s="3801"/>
      <c r="G50" s="3801"/>
      <c r="H50" s="569" t="str">
        <f>'2-A All'!H76</f>
        <v>TBD</v>
      </c>
      <c r="I50" s="569" t="str">
        <f>'2-A All'!I76</f>
        <v>TO1</v>
      </c>
      <c r="J50" s="3801"/>
      <c r="K50" s="3806"/>
      <c r="L50" s="3810"/>
      <c r="M50" s="3808"/>
    </row>
    <row r="51" spans="1:13" s="568" customFormat="1" ht="20.25" customHeight="1">
      <c r="A51" s="3798" t="str">
        <f>'2-A All'!A77</f>
        <v>TO2</v>
      </c>
      <c r="B51" s="3816" t="str">
        <f>'2-A All'!B77</f>
        <v>Thermal Oxidizer</v>
      </c>
      <c r="C51" s="3816" t="str">
        <f>'2-A All'!C77</f>
        <v>Zeeco, Inc.</v>
      </c>
      <c r="D51" s="3816" t="str">
        <f>'2-A All'!D77</f>
        <v>N/A</v>
      </c>
      <c r="E51" s="3816" t="str">
        <f>'2-A All'!E77</f>
        <v>TBD</v>
      </c>
      <c r="F51" s="3816" t="str">
        <f>'2-A All'!F77</f>
        <v xml:space="preserve">31.5 MMBtu/hr </v>
      </c>
      <c r="G51" s="3816" t="str">
        <f>'2-A All'!G77</f>
        <v xml:space="preserve">31.5 MMBtu/hr </v>
      </c>
      <c r="H51" s="1531" t="str">
        <f>'2-A All'!H77</f>
        <v>TBD</v>
      </c>
      <c r="I51" s="567" t="str">
        <f>'2-A All'!I77</f>
        <v>NA</v>
      </c>
      <c r="J51" s="3800">
        <f>'2-A All'!J77</f>
        <v>31000209</v>
      </c>
      <c r="K51" s="3805" t="s">
        <v>1263</v>
      </c>
      <c r="L51" s="3809" t="s">
        <v>133</v>
      </c>
      <c r="M51" s="3807" t="s">
        <v>133</v>
      </c>
    </row>
    <row r="52" spans="1:13" s="568" customFormat="1" ht="20.25" customHeight="1">
      <c r="A52" s="3799"/>
      <c r="B52" s="3801"/>
      <c r="C52" s="3801"/>
      <c r="D52" s="3801"/>
      <c r="E52" s="3801"/>
      <c r="F52" s="3801"/>
      <c r="G52" s="3801"/>
      <c r="H52" s="569" t="str">
        <f>'2-A All'!H78</f>
        <v>TBD</v>
      </c>
      <c r="I52" s="569" t="str">
        <f>'2-A All'!I78</f>
        <v>TO2</v>
      </c>
      <c r="J52" s="3801"/>
      <c r="K52" s="3806"/>
      <c r="L52" s="3810"/>
      <c r="M52" s="3808"/>
    </row>
    <row r="53" spans="1:13" s="568" customFormat="1" ht="20.25" customHeight="1">
      <c r="A53" s="3798" t="str">
        <f>'2-A All'!A79</f>
        <v>TO3</v>
      </c>
      <c r="B53" s="3816" t="str">
        <f>'2-A All'!B79</f>
        <v>Thermal Oxidizer</v>
      </c>
      <c r="C53" s="3816" t="str">
        <f>'2-A All'!C79</f>
        <v>Zeeco, Inc.</v>
      </c>
      <c r="D53" s="3816" t="str">
        <f>'2-A All'!D79</f>
        <v>N/A</v>
      </c>
      <c r="E53" s="3816" t="str">
        <f>'2-A All'!E79</f>
        <v>TBD</v>
      </c>
      <c r="F53" s="3816" t="str">
        <f>'2-A All'!F79</f>
        <v xml:space="preserve">31.5 MMBtu/hr </v>
      </c>
      <c r="G53" s="3816" t="str">
        <f>'2-A All'!G79</f>
        <v xml:space="preserve">31.5 MMBtu/hr </v>
      </c>
      <c r="H53" s="1531" t="str">
        <f>'2-A All'!H79</f>
        <v>TBD</v>
      </c>
      <c r="I53" s="567" t="str">
        <f>'2-A All'!I79</f>
        <v>NA</v>
      </c>
      <c r="J53" s="3800">
        <f>'2-A All'!J79</f>
        <v>31000209</v>
      </c>
      <c r="K53" s="3805" t="s">
        <v>1263</v>
      </c>
      <c r="L53" s="3809" t="s">
        <v>133</v>
      </c>
      <c r="M53" s="3807" t="s">
        <v>133</v>
      </c>
    </row>
    <row r="54" spans="1:13" s="568" customFormat="1" ht="20.25" customHeight="1">
      <c r="A54" s="3799"/>
      <c r="B54" s="3801"/>
      <c r="C54" s="3801"/>
      <c r="D54" s="3801"/>
      <c r="E54" s="3801"/>
      <c r="F54" s="3801"/>
      <c r="G54" s="3801"/>
      <c r="H54" s="569" t="str">
        <f>'2-A All'!H80</f>
        <v>TBD</v>
      </c>
      <c r="I54" s="569" t="str">
        <f>'2-A All'!I80</f>
        <v>TO3</v>
      </c>
      <c r="J54" s="3801"/>
      <c r="K54" s="3806"/>
      <c r="L54" s="3810"/>
      <c r="M54" s="3808"/>
    </row>
    <row r="55" spans="1:13" s="568" customFormat="1" ht="20.25" customHeight="1">
      <c r="A55" s="3798" t="str">
        <f>'2-A All'!A81</f>
        <v>FUG</v>
      </c>
      <c r="B55" s="3816" t="str">
        <f>'2-A All'!B81</f>
        <v>Fugitives</v>
      </c>
      <c r="C55" s="3816" t="str">
        <f>'2-A All'!C81</f>
        <v>N/A</v>
      </c>
      <c r="D55" s="3816" t="str">
        <f>'2-A All'!D81</f>
        <v>N/A</v>
      </c>
      <c r="E55" s="3816" t="str">
        <f>'2-A All'!E81</f>
        <v>N/A</v>
      </c>
      <c r="F55" s="3816" t="str">
        <f>'2-A All'!F81</f>
        <v>N/A</v>
      </c>
      <c r="G55" s="3816" t="str">
        <f>'2-A All'!G81</f>
        <v>N/A</v>
      </c>
      <c r="H55" s="1531" t="str">
        <f>'2-A All'!H81</f>
        <v>TBD</v>
      </c>
      <c r="I55" s="567" t="str">
        <f>'2-A All'!I81</f>
        <v>NA</v>
      </c>
      <c r="J55" s="3800">
        <f>'2-A All'!J81</f>
        <v>31088811</v>
      </c>
      <c r="K55" s="3805" t="s">
        <v>1263</v>
      </c>
      <c r="L55" s="3809" t="s">
        <v>133</v>
      </c>
      <c r="M55" s="3807" t="s">
        <v>133</v>
      </c>
    </row>
    <row r="56" spans="1:13" s="568" customFormat="1" ht="20.25" customHeight="1">
      <c r="A56" s="3799"/>
      <c r="B56" s="3801"/>
      <c r="C56" s="3801"/>
      <c r="D56" s="3801"/>
      <c r="E56" s="3801"/>
      <c r="F56" s="3801"/>
      <c r="G56" s="3801"/>
      <c r="H56" s="569" t="str">
        <f>'2-A All'!H82</f>
        <v>TBD</v>
      </c>
      <c r="I56" s="569" t="str">
        <f>'2-A All'!I82</f>
        <v>FUG</v>
      </c>
      <c r="J56" s="3801"/>
      <c r="K56" s="3806"/>
      <c r="L56" s="3810"/>
      <c r="M56" s="3808"/>
    </row>
    <row r="57" spans="1:13" s="568" customFormat="1" ht="20.25" customHeight="1">
      <c r="A57" s="3798" t="str">
        <f>'2-A All'!A83</f>
        <v>SSM</v>
      </c>
      <c r="B57" s="3816" t="str">
        <f>'2-A All'!B83</f>
        <v>Storage Tank SSM Emissions</v>
      </c>
      <c r="C57" s="3816" t="str">
        <f>'2-A All'!C83</f>
        <v>N/A</v>
      </c>
      <c r="D57" s="3816" t="str">
        <f>'2-A All'!D83</f>
        <v>N/A</v>
      </c>
      <c r="E57" s="3816" t="str">
        <f>'2-A All'!E83</f>
        <v>N/A</v>
      </c>
      <c r="F57" s="3816" t="str">
        <f>'2-A All'!F83</f>
        <v>N/A</v>
      </c>
      <c r="G57" s="3816" t="str">
        <f>'2-A All'!G83</f>
        <v>N/A</v>
      </c>
      <c r="H57" s="1531" t="str">
        <f>'2-A All'!H83</f>
        <v>TBD</v>
      </c>
      <c r="I57" s="567" t="str">
        <f>'2-A All'!I83</f>
        <v>NA</v>
      </c>
      <c r="J57" s="3800">
        <f>'2-A All'!J83</f>
        <v>31088811</v>
      </c>
      <c r="K57" s="3805" t="s">
        <v>1263</v>
      </c>
      <c r="L57" s="3809" t="s">
        <v>133</v>
      </c>
      <c r="M57" s="3807" t="s">
        <v>133</v>
      </c>
    </row>
    <row r="58" spans="1:13" s="568" customFormat="1" ht="20.25" customHeight="1">
      <c r="A58" s="3799"/>
      <c r="B58" s="3801"/>
      <c r="C58" s="3801"/>
      <c r="D58" s="3801"/>
      <c r="E58" s="3801"/>
      <c r="F58" s="3801"/>
      <c r="G58" s="3801"/>
      <c r="H58" s="569" t="str">
        <f>'2-A All'!H84</f>
        <v>TBD</v>
      </c>
      <c r="I58" s="569" t="str">
        <f>'2-A All'!I84</f>
        <v>SSM</v>
      </c>
      <c r="J58" s="3801"/>
      <c r="K58" s="3806"/>
      <c r="L58" s="3810"/>
      <c r="M58" s="3808"/>
    </row>
    <row r="59" spans="1:13" s="568" customFormat="1" ht="20.25" customHeight="1">
      <c r="A59" s="3798" t="str">
        <f>'2-A All'!A85</f>
        <v>ROAD</v>
      </c>
      <c r="B59" s="3816" t="str">
        <f>'2-A All'!B85</f>
        <v>Haul Road Fugitives</v>
      </c>
      <c r="C59" s="3816" t="str">
        <f>'2-A All'!C85</f>
        <v>N/A</v>
      </c>
      <c r="D59" s="3816" t="str">
        <f>'2-A All'!D85</f>
        <v>N/A</v>
      </c>
      <c r="E59" s="3816" t="str">
        <f>'2-A All'!E85</f>
        <v>N/A</v>
      </c>
      <c r="F59" s="3816" t="str">
        <f>'2-A All'!F85</f>
        <v>N/A</v>
      </c>
      <c r="G59" s="3816" t="str">
        <f>'2-A All'!G85</f>
        <v>N/A</v>
      </c>
      <c r="H59" s="1531" t="str">
        <f>'2-A All'!H85</f>
        <v>TBD</v>
      </c>
      <c r="I59" s="567" t="str">
        <f>'2-A All'!I85</f>
        <v>NA</v>
      </c>
      <c r="J59" s="3800">
        <f>'2-A All'!J85</f>
        <v>31088811</v>
      </c>
      <c r="K59" s="3805" t="s">
        <v>1263</v>
      </c>
      <c r="L59" s="3809" t="s">
        <v>133</v>
      </c>
      <c r="M59" s="3807" t="s">
        <v>133</v>
      </c>
    </row>
    <row r="60" spans="1:13" s="568" customFormat="1" ht="20.25" customHeight="1">
      <c r="A60" s="3799"/>
      <c r="B60" s="3801"/>
      <c r="C60" s="3801"/>
      <c r="D60" s="3801"/>
      <c r="E60" s="3801"/>
      <c r="F60" s="3801"/>
      <c r="G60" s="3801"/>
      <c r="H60" s="569" t="str">
        <f>'2-A All'!H86</f>
        <v>TBD</v>
      </c>
      <c r="I60" s="569" t="str">
        <f>'2-A All'!I86</f>
        <v>ROAD</v>
      </c>
      <c r="J60" s="3801"/>
      <c r="K60" s="3806"/>
      <c r="L60" s="3810"/>
      <c r="M60" s="3808"/>
    </row>
    <row r="61" spans="1:13" s="568" customFormat="1" ht="20.25" customHeight="1">
      <c r="A61" s="3798" t="str">
        <f>'2-A All'!A87</f>
        <v>PWTK1</v>
      </c>
      <c r="B61" s="3816" t="str">
        <f>'2-A All'!B87</f>
        <v>Produced Water Tank 1</v>
      </c>
      <c r="C61" s="3816" t="str">
        <f>'2-A All'!C87</f>
        <v>TBD</v>
      </c>
      <c r="D61" s="3816" t="str">
        <f>'2-A All'!D87</f>
        <v>N/A</v>
      </c>
      <c r="E61" s="3816" t="str">
        <f>'2-A All'!E87</f>
        <v>TBD</v>
      </c>
      <c r="F61" s="3816" t="str">
        <f>'2-A All'!F87</f>
        <v>750 bbl</v>
      </c>
      <c r="G61" s="3816" t="str">
        <f>'2-A All'!G87</f>
        <v>750 bbl</v>
      </c>
      <c r="H61" s="1531" t="str">
        <f>'2-A All'!H87</f>
        <v>TBD</v>
      </c>
      <c r="I61" s="567" t="str">
        <f>'2-A All'!I87</f>
        <v>ECD1</v>
      </c>
      <c r="J61" s="3800">
        <f>'2-A All'!J87</f>
        <v>40400315</v>
      </c>
      <c r="K61" s="3805" t="s">
        <v>1263</v>
      </c>
      <c r="L61" s="3809" t="s">
        <v>133</v>
      </c>
      <c r="M61" s="3807" t="s">
        <v>133</v>
      </c>
    </row>
    <row r="62" spans="1:13" s="568" customFormat="1" ht="20.25" customHeight="1">
      <c r="A62" s="3799"/>
      <c r="B62" s="3801"/>
      <c r="C62" s="3801"/>
      <c r="D62" s="3801"/>
      <c r="E62" s="3801"/>
      <c r="F62" s="3801"/>
      <c r="G62" s="3801"/>
      <c r="H62" s="569" t="str">
        <f>'2-A All'!H88</f>
        <v>TBD</v>
      </c>
      <c r="I62" s="569" t="str">
        <f>'2-A All'!I88</f>
        <v>ECD1</v>
      </c>
      <c r="J62" s="3801"/>
      <c r="K62" s="3806"/>
      <c r="L62" s="3810"/>
      <c r="M62" s="3808"/>
    </row>
    <row r="63" spans="1:13" s="568" customFormat="1" ht="20.25" customHeight="1">
      <c r="A63" s="3798" t="str">
        <f>'2-A All'!A89</f>
        <v>PWTK2</v>
      </c>
      <c r="B63" s="3816" t="str">
        <f>'2-A All'!B89</f>
        <v>Produced Water Tank 2</v>
      </c>
      <c r="C63" s="3816" t="str">
        <f>'2-A All'!C89</f>
        <v>TBD</v>
      </c>
      <c r="D63" s="3816" t="str">
        <f>'2-A All'!D89</f>
        <v>N/A</v>
      </c>
      <c r="E63" s="3816" t="str">
        <f>'2-A All'!E89</f>
        <v>TBD</v>
      </c>
      <c r="F63" s="3816" t="str">
        <f>'2-A All'!F89</f>
        <v>750 bbl</v>
      </c>
      <c r="G63" s="3816" t="str">
        <f>'2-A All'!G89</f>
        <v>750 bbl</v>
      </c>
      <c r="H63" s="1531" t="str">
        <f>'2-A All'!H89</f>
        <v>TBD</v>
      </c>
      <c r="I63" s="567" t="str">
        <f>'2-A All'!I89</f>
        <v>ECD1</v>
      </c>
      <c r="J63" s="3800">
        <f>'2-A All'!J89</f>
        <v>40400315</v>
      </c>
      <c r="K63" s="3805" t="s">
        <v>1263</v>
      </c>
      <c r="L63" s="3809" t="s">
        <v>133</v>
      </c>
      <c r="M63" s="3807" t="s">
        <v>133</v>
      </c>
    </row>
    <row r="64" spans="1:13" s="568" customFormat="1" ht="20.25" customHeight="1">
      <c r="A64" s="3799"/>
      <c r="B64" s="3801"/>
      <c r="C64" s="3801"/>
      <c r="D64" s="3801"/>
      <c r="E64" s="3801"/>
      <c r="F64" s="3801"/>
      <c r="G64" s="3801"/>
      <c r="H64" s="569" t="str">
        <f>'2-A All'!H90</f>
        <v>TBD</v>
      </c>
      <c r="I64" s="569" t="str">
        <f>'2-A All'!I90</f>
        <v>ECD1</v>
      </c>
      <c r="J64" s="3801"/>
      <c r="K64" s="3806"/>
      <c r="L64" s="3810"/>
      <c r="M64" s="3808"/>
    </row>
    <row r="65" spans="1:13" s="568" customFormat="1" ht="20.25" customHeight="1">
      <c r="A65" s="3798" t="str">
        <f>'2-A All'!A91</f>
        <v>PWTL</v>
      </c>
      <c r="B65" s="3816" t="str">
        <f>'2-A All'!B91</f>
        <v>Produced Water Loading</v>
      </c>
      <c r="C65" s="3816" t="str">
        <f>'2-A All'!C91</f>
        <v>N/A</v>
      </c>
      <c r="D65" s="3816" t="str">
        <f>'2-A All'!D91</f>
        <v>N/A</v>
      </c>
      <c r="E65" s="3816" t="str">
        <f>'2-A All'!E91</f>
        <v>N/A</v>
      </c>
      <c r="F65" s="3816" t="str">
        <f>'2-A All'!F91</f>
        <v>N/A</v>
      </c>
      <c r="G65" s="3816" t="str">
        <f>'2-A All'!G91</f>
        <v>10,308 bbl/day</v>
      </c>
      <c r="H65" s="1531" t="str">
        <f>'2-A All'!H91</f>
        <v>TBD</v>
      </c>
      <c r="I65" s="567" t="str">
        <f>'2-A All'!I91</f>
        <v>NA</v>
      </c>
      <c r="J65" s="3800">
        <f>'2-A All'!J91</f>
        <v>40400250</v>
      </c>
      <c r="K65" s="3805" t="s">
        <v>1263</v>
      </c>
      <c r="L65" s="3809" t="s">
        <v>133</v>
      </c>
      <c r="M65" s="3807" t="s">
        <v>133</v>
      </c>
    </row>
    <row r="66" spans="1:13" s="568" customFormat="1" ht="20.25" customHeight="1">
      <c r="A66" s="3799"/>
      <c r="B66" s="3801"/>
      <c r="C66" s="3801"/>
      <c r="D66" s="3801"/>
      <c r="E66" s="3801"/>
      <c r="F66" s="3801"/>
      <c r="G66" s="3801"/>
      <c r="H66" s="569" t="str">
        <f>'2-A All'!H92</f>
        <v>TBD</v>
      </c>
      <c r="I66" s="569" t="str">
        <f>'2-A All'!I92</f>
        <v>PWTL</v>
      </c>
      <c r="J66" s="3801"/>
      <c r="K66" s="3806"/>
      <c r="L66" s="3810"/>
      <c r="M66" s="3808"/>
    </row>
    <row r="67" spans="1:13" s="568" customFormat="1" ht="20.25" customHeight="1">
      <c r="A67" s="3798" t="str">
        <f>'2-A All'!A93</f>
        <v>OTL</v>
      </c>
      <c r="B67" s="3816" t="str">
        <f>'2-A All'!B93</f>
        <v>Slop Oil Loading</v>
      </c>
      <c r="C67" s="3816" t="str">
        <f>'2-A All'!C93</f>
        <v>N/A</v>
      </c>
      <c r="D67" s="3816" t="str">
        <f>'2-A All'!D93</f>
        <v>N/A</v>
      </c>
      <c r="E67" s="3816" t="str">
        <f>'2-A All'!E93</f>
        <v>N/A</v>
      </c>
      <c r="F67" s="3816" t="str">
        <f>'2-A All'!F93</f>
        <v>210 bbl/day</v>
      </c>
      <c r="G67" s="3816" t="str">
        <f>'2-A All'!G93</f>
        <v>210 bbl/day</v>
      </c>
      <c r="H67" s="1531" t="str">
        <f>'2-A All'!H93</f>
        <v>TBD</v>
      </c>
      <c r="I67" s="567" t="str">
        <f>'2-A All'!I93</f>
        <v>NA</v>
      </c>
      <c r="J67" s="3800">
        <f>'2-A All'!J93</f>
        <v>40400250</v>
      </c>
      <c r="K67" s="3805" t="s">
        <v>1263</v>
      </c>
      <c r="L67" s="3809" t="s">
        <v>133</v>
      </c>
      <c r="M67" s="3807" t="s">
        <v>133</v>
      </c>
    </row>
    <row r="68" spans="1:13" s="568" customFormat="1" ht="20.25" customHeight="1">
      <c r="A68" s="3799"/>
      <c r="B68" s="3801"/>
      <c r="C68" s="3801"/>
      <c r="D68" s="3801"/>
      <c r="E68" s="3801"/>
      <c r="F68" s="3801"/>
      <c r="G68" s="3801"/>
      <c r="H68" s="569" t="str">
        <f>'2-A All'!H94</f>
        <v>TBD</v>
      </c>
      <c r="I68" s="569" t="str">
        <f>'2-A All'!I94</f>
        <v>OTL</v>
      </c>
      <c r="J68" s="3801"/>
      <c r="K68" s="3806"/>
      <c r="L68" s="3810"/>
      <c r="M68" s="3808"/>
    </row>
    <row r="69" spans="1:13" s="568" customFormat="1" ht="20.25" customHeight="1">
      <c r="A69" s="3798" t="str">
        <f>'2-A All'!A95</f>
        <v>AU1</v>
      </c>
      <c r="B69" s="3816" t="str">
        <f>'2-A All'!B95</f>
        <v>Amine Unit 1</v>
      </c>
      <c r="C69" s="3816" t="str">
        <f>'2-A All'!C95</f>
        <v>TBD</v>
      </c>
      <c r="D69" s="3816" t="str">
        <f>'2-A All'!D95</f>
        <v>N/A</v>
      </c>
      <c r="E69" s="3816" t="str">
        <f>'2-A All'!E95</f>
        <v>TBD</v>
      </c>
      <c r="F69" s="3816" t="str">
        <f>'2-A All'!F95</f>
        <v>250 MMSCFD</v>
      </c>
      <c r="G69" s="3816" t="str">
        <f>'2-A All'!G95</f>
        <v>250 MMSCFD</v>
      </c>
      <c r="H69" s="1531" t="str">
        <f>'2-A All'!H95</f>
        <v>TBD</v>
      </c>
      <c r="I69" s="567" t="str">
        <f>'2-A All'!I95</f>
        <v>TO1</v>
      </c>
      <c r="J69" s="3800">
        <f>'2-A All'!J95</f>
        <v>31000305</v>
      </c>
      <c r="K69" s="3805" t="s">
        <v>1263</v>
      </c>
      <c r="L69" s="3809" t="s">
        <v>133</v>
      </c>
      <c r="M69" s="3807" t="s">
        <v>133</v>
      </c>
    </row>
    <row r="70" spans="1:13" s="568" customFormat="1" ht="20.25" customHeight="1">
      <c r="A70" s="3799"/>
      <c r="B70" s="3801"/>
      <c r="C70" s="3801"/>
      <c r="D70" s="3801"/>
      <c r="E70" s="3801"/>
      <c r="F70" s="3801"/>
      <c r="G70" s="3801"/>
      <c r="H70" s="569" t="str">
        <f>'2-A All'!H96</f>
        <v>TBD</v>
      </c>
      <c r="I70" s="569" t="str">
        <f>'2-A All'!I96</f>
        <v>TO1</v>
      </c>
      <c r="J70" s="3801"/>
      <c r="K70" s="3806"/>
      <c r="L70" s="3810"/>
      <c r="M70" s="3808"/>
    </row>
    <row r="71" spans="1:13" s="568" customFormat="1" ht="20.25" customHeight="1">
      <c r="A71" s="3798" t="str">
        <f>'2-A All'!A97</f>
        <v>AU2</v>
      </c>
      <c r="B71" s="3816" t="str">
        <f>'2-A All'!B97</f>
        <v>Amine Unit 2</v>
      </c>
      <c r="C71" s="3816" t="str">
        <f>'2-A All'!C97</f>
        <v>TBD</v>
      </c>
      <c r="D71" s="3816" t="str">
        <f>'2-A All'!D97</f>
        <v>N/A</v>
      </c>
      <c r="E71" s="3816" t="str">
        <f>'2-A All'!E97</f>
        <v>TBD</v>
      </c>
      <c r="F71" s="3816" t="str">
        <f>'2-A All'!F97</f>
        <v>250 MMSCFD</v>
      </c>
      <c r="G71" s="3816" t="str">
        <f>'2-A All'!G97</f>
        <v>250 MMSCFD</v>
      </c>
      <c r="H71" s="1531" t="str">
        <f>'2-A All'!H97</f>
        <v>TBD</v>
      </c>
      <c r="I71" s="567" t="str">
        <f>'2-A All'!I97</f>
        <v>TO2</v>
      </c>
      <c r="J71" s="3800">
        <f>'2-A All'!J97</f>
        <v>31000305</v>
      </c>
      <c r="K71" s="3805" t="s">
        <v>1263</v>
      </c>
      <c r="L71" s="3809" t="s">
        <v>133</v>
      </c>
      <c r="M71" s="3807" t="s">
        <v>133</v>
      </c>
    </row>
    <row r="72" spans="1:13" s="568" customFormat="1" ht="20.25" customHeight="1">
      <c r="A72" s="3799"/>
      <c r="B72" s="3801"/>
      <c r="C72" s="3801"/>
      <c r="D72" s="3801"/>
      <c r="E72" s="3801"/>
      <c r="F72" s="3801"/>
      <c r="G72" s="3801"/>
      <c r="H72" s="569" t="str">
        <f>'2-A All'!H98</f>
        <v>TBD</v>
      </c>
      <c r="I72" s="569" t="str">
        <f>'2-A All'!I98</f>
        <v>TO2</v>
      </c>
      <c r="J72" s="3801"/>
      <c r="K72" s="3806"/>
      <c r="L72" s="3810"/>
      <c r="M72" s="3808"/>
    </row>
    <row r="73" spans="1:13" s="568" customFormat="1" ht="20.25" customHeight="1">
      <c r="A73" s="3798" t="str">
        <f>'2-A All'!A99</f>
        <v>AU3</v>
      </c>
      <c r="B73" s="3816" t="str">
        <f>'2-A All'!B99</f>
        <v>Amine Unit 3</v>
      </c>
      <c r="C73" s="3816" t="str">
        <f>'2-A All'!C99</f>
        <v>TBD</v>
      </c>
      <c r="D73" s="3816" t="str">
        <f>'2-A All'!D99</f>
        <v>N/A</v>
      </c>
      <c r="E73" s="3816" t="str">
        <f>'2-A All'!E99</f>
        <v>TBD</v>
      </c>
      <c r="F73" s="3816" t="str">
        <f>'2-A All'!F99</f>
        <v>250 MMSCFD</v>
      </c>
      <c r="G73" s="3816" t="str">
        <f>'2-A All'!G99</f>
        <v>250 MMSCFD</v>
      </c>
      <c r="H73" s="1531" t="str">
        <f>'2-A All'!H99</f>
        <v>TBD</v>
      </c>
      <c r="I73" s="567" t="str">
        <f>'2-A All'!I99</f>
        <v>TO3</v>
      </c>
      <c r="J73" s="3800">
        <f>'2-A All'!J99</f>
        <v>31000305</v>
      </c>
      <c r="K73" s="3805" t="s">
        <v>1263</v>
      </c>
      <c r="L73" s="3809" t="s">
        <v>133</v>
      </c>
      <c r="M73" s="3807" t="s">
        <v>133</v>
      </c>
    </row>
    <row r="74" spans="1:13" s="568" customFormat="1" ht="20.25" customHeight="1">
      <c r="A74" s="3799"/>
      <c r="B74" s="3801"/>
      <c r="C74" s="3801"/>
      <c r="D74" s="3801"/>
      <c r="E74" s="3801"/>
      <c r="F74" s="3801"/>
      <c r="G74" s="3801"/>
      <c r="H74" s="569" t="str">
        <f>'2-A All'!H100</f>
        <v>TBD</v>
      </c>
      <c r="I74" s="569" t="str">
        <f>'2-A All'!I100</f>
        <v>TO3</v>
      </c>
      <c r="J74" s="3801"/>
      <c r="K74" s="3806"/>
      <c r="L74" s="3810"/>
      <c r="M74" s="3808"/>
    </row>
    <row r="75" spans="1:13" s="568" customFormat="1" ht="20.25" customHeight="1">
      <c r="A75" s="3798" t="str">
        <f>'2-A All'!A101</f>
        <v>GBS1</v>
      </c>
      <c r="B75" s="3816" t="str">
        <f>'2-A All'!B101</f>
        <v>Gunbarrel Tank</v>
      </c>
      <c r="C75" s="3816" t="str">
        <f>'2-A All'!C101</f>
        <v>Advance Tank</v>
      </c>
      <c r="D75" s="3816" t="str">
        <f>'2-A All'!D101</f>
        <v>N/A</v>
      </c>
      <c r="E75" s="3816" t="str">
        <f>'2-A All'!E101</f>
        <v>TBD</v>
      </c>
      <c r="F75" s="3816" t="str">
        <f>'2-A All'!F101</f>
        <v>1,000 bbl</v>
      </c>
      <c r="G75" s="3816" t="str">
        <f>'2-A All'!G101</f>
        <v>1,000 bbl</v>
      </c>
      <c r="H75" s="1531" t="str">
        <f>'2-A All'!H101</f>
        <v>TBD</v>
      </c>
      <c r="I75" s="567" t="str">
        <f>'2-A All'!I101</f>
        <v>ECD1</v>
      </c>
      <c r="J75" s="3800">
        <f>'2-A All'!J101</f>
        <v>31000506</v>
      </c>
      <c r="K75" s="3805" t="s">
        <v>1263</v>
      </c>
      <c r="L75" s="3809" t="s">
        <v>133</v>
      </c>
      <c r="M75" s="3807" t="s">
        <v>133</v>
      </c>
    </row>
    <row r="76" spans="1:13" s="568" customFormat="1" ht="20.25" customHeight="1">
      <c r="A76" s="3799"/>
      <c r="B76" s="3801"/>
      <c r="C76" s="3801"/>
      <c r="D76" s="3801"/>
      <c r="E76" s="3801"/>
      <c r="F76" s="3801"/>
      <c r="G76" s="3801"/>
      <c r="H76" s="569" t="str">
        <f>'2-A All'!H102</f>
        <v>TBD</v>
      </c>
      <c r="I76" s="569" t="str">
        <f>'2-A All'!I102</f>
        <v>ECD1</v>
      </c>
      <c r="J76" s="3801"/>
      <c r="K76" s="3806"/>
      <c r="L76" s="3810"/>
      <c r="M76" s="3808"/>
    </row>
    <row r="77" spans="1:13" s="568" customFormat="1" ht="20.25" customHeight="1">
      <c r="A77" s="3798" t="str">
        <f>'2-A All'!A103</f>
        <v>OTK7</v>
      </c>
      <c r="B77" s="3816" t="str">
        <f>'2-A All'!B103</f>
        <v>Slop Oil Tank</v>
      </c>
      <c r="C77" s="3816" t="str">
        <f>'2-A All'!C103</f>
        <v>Advance Tank</v>
      </c>
      <c r="D77" s="3816" t="str">
        <f>'2-A All'!D103</f>
        <v>N/A</v>
      </c>
      <c r="E77" s="3816" t="str">
        <f>'2-A All'!E103</f>
        <v>TBD</v>
      </c>
      <c r="F77" s="3816" t="str">
        <f>'2-A All'!F103</f>
        <v>500 bbl</v>
      </c>
      <c r="G77" s="3816" t="str">
        <f>'2-A All'!G103</f>
        <v>500 bbl</v>
      </c>
      <c r="H77" s="1531" t="str">
        <f>'2-A All'!H103</f>
        <v>TBD</v>
      </c>
      <c r="I77" s="567" t="str">
        <f>'2-A All'!I103</f>
        <v>ECD1</v>
      </c>
      <c r="J77" s="3800">
        <f>'2-A All'!J103</f>
        <v>40400311</v>
      </c>
      <c r="K77" s="3805" t="s">
        <v>1263</v>
      </c>
      <c r="L77" s="3809" t="s">
        <v>133</v>
      </c>
      <c r="M77" s="3807" t="s">
        <v>133</v>
      </c>
    </row>
    <row r="78" spans="1:13" s="568" customFormat="1" ht="20.25" customHeight="1">
      <c r="A78" s="3799"/>
      <c r="B78" s="3801"/>
      <c r="C78" s="3801"/>
      <c r="D78" s="3801"/>
      <c r="E78" s="3801"/>
      <c r="F78" s="3801"/>
      <c r="G78" s="3801"/>
      <c r="H78" s="569" t="str">
        <f>'2-A All'!H104</f>
        <v>TBD</v>
      </c>
      <c r="I78" s="569" t="str">
        <f>'2-A All'!I104</f>
        <v>ECD1</v>
      </c>
      <c r="J78" s="3801"/>
      <c r="K78" s="3806"/>
      <c r="L78" s="3810"/>
      <c r="M78" s="3808"/>
    </row>
    <row r="79" spans="1:13" s="568" customFormat="1" ht="20.25" customHeight="1">
      <c r="A79" s="3798" t="str">
        <f>'2-A All'!A105</f>
        <v>TUR1</v>
      </c>
      <c r="B79" s="3816" t="str">
        <f>'2-A All'!B105</f>
        <v>Turbine</v>
      </c>
      <c r="C79" s="3816" t="str">
        <f>'2-A All'!C105</f>
        <v>Mitsubishi</v>
      </c>
      <c r="D79" s="3816" t="str">
        <f>'2-A All'!D105</f>
        <v>H-100</v>
      </c>
      <c r="E79" s="3816" t="str">
        <f>'2-A All'!E105</f>
        <v>TBD</v>
      </c>
      <c r="F79" s="3816" t="str">
        <f>'2-A All'!F105</f>
        <v>120 MW</v>
      </c>
      <c r="G79" s="3816" t="str">
        <f>'2-A All'!G105</f>
        <v>120 MW</v>
      </c>
      <c r="H79" s="2437" t="str">
        <f>'2-A All'!H105</f>
        <v>TBD</v>
      </c>
      <c r="I79" s="567" t="str">
        <f>'2-A All'!I105</f>
        <v>CAT1</v>
      </c>
      <c r="J79" s="3800">
        <f>'2-A All'!J105</f>
        <v>20200203</v>
      </c>
      <c r="K79" s="3805" t="s">
        <v>1263</v>
      </c>
      <c r="L79" s="3809" t="s">
        <v>133</v>
      </c>
      <c r="M79" s="3807" t="s">
        <v>133</v>
      </c>
    </row>
    <row r="80" spans="1:13" s="568" customFormat="1" ht="20.25" customHeight="1">
      <c r="A80" s="3799"/>
      <c r="B80" s="3801"/>
      <c r="C80" s="3801"/>
      <c r="D80" s="3801"/>
      <c r="E80" s="3801"/>
      <c r="F80" s="3801"/>
      <c r="G80" s="3801"/>
      <c r="H80" s="569" t="str">
        <f>'2-A All'!H106</f>
        <v>TBD</v>
      </c>
      <c r="I80" s="569" t="str">
        <f>'2-A All'!I106</f>
        <v>TUR1</v>
      </c>
      <c r="J80" s="3801"/>
      <c r="K80" s="3806"/>
      <c r="L80" s="3810"/>
      <c r="M80" s="3808"/>
    </row>
    <row r="81" spans="1:13" s="568" customFormat="1" ht="20.25" customHeight="1">
      <c r="A81" s="3798" t="str">
        <f>'2-A All'!A107</f>
        <v>TUR2</v>
      </c>
      <c r="B81" s="3816" t="str">
        <f>'2-A All'!B107</f>
        <v>Turbine</v>
      </c>
      <c r="C81" s="3816" t="str">
        <f>'2-A All'!C107</f>
        <v>Mitsubishi</v>
      </c>
      <c r="D81" s="3816" t="str">
        <f>'2-A All'!D107</f>
        <v>H-100</v>
      </c>
      <c r="E81" s="3816" t="str">
        <f>'2-A All'!E107</f>
        <v>TBD</v>
      </c>
      <c r="F81" s="3816" t="str">
        <f>'2-A All'!F107</f>
        <v>120 MW</v>
      </c>
      <c r="G81" s="3816" t="str">
        <f>'2-A All'!G107</f>
        <v>120 MW</v>
      </c>
      <c r="H81" s="2437" t="str">
        <f>'2-A All'!H107</f>
        <v>TBD</v>
      </c>
      <c r="I81" s="567" t="str">
        <f>'2-A All'!I107</f>
        <v>CAT2</v>
      </c>
      <c r="J81" s="3800">
        <f>'2-A All'!J107</f>
        <v>20200203</v>
      </c>
      <c r="K81" s="3805" t="s">
        <v>1263</v>
      </c>
      <c r="L81" s="3809" t="s">
        <v>133</v>
      </c>
      <c r="M81" s="3807" t="s">
        <v>133</v>
      </c>
    </row>
    <row r="82" spans="1:13" s="568" customFormat="1" ht="20.25" customHeight="1">
      <c r="A82" s="3799"/>
      <c r="B82" s="3801"/>
      <c r="C82" s="3801"/>
      <c r="D82" s="3801"/>
      <c r="E82" s="3801"/>
      <c r="F82" s="3801"/>
      <c r="G82" s="3801"/>
      <c r="H82" s="569" t="str">
        <f>'2-A All'!H108</f>
        <v>TBD</v>
      </c>
      <c r="I82" s="569" t="str">
        <f>'2-A All'!I108</f>
        <v>TUR2</v>
      </c>
      <c r="J82" s="3801"/>
      <c r="K82" s="3806"/>
      <c r="L82" s="3810"/>
      <c r="M82" s="3808"/>
    </row>
    <row r="83" spans="1:13" s="568" customFormat="1" ht="20.25" customHeight="1">
      <c r="A83" s="3798" t="str">
        <f>'2-A All'!A109</f>
        <v>TUR3</v>
      </c>
      <c r="B83" s="3816" t="str">
        <f>'2-A All'!B109</f>
        <v>Turbine</v>
      </c>
      <c r="C83" s="3816" t="str">
        <f>'2-A All'!C109</f>
        <v>Mitsubishi</v>
      </c>
      <c r="D83" s="3816" t="str">
        <f>'2-A All'!D109</f>
        <v>H-100</v>
      </c>
      <c r="E83" s="3816" t="str">
        <f>'2-A All'!E109</f>
        <v>TBD</v>
      </c>
      <c r="F83" s="3816" t="str">
        <f>'2-A All'!F109</f>
        <v>120 MW</v>
      </c>
      <c r="G83" s="3816" t="str">
        <f>'2-A All'!G109</f>
        <v>120 MW</v>
      </c>
      <c r="H83" s="2437" t="str">
        <f>'2-A All'!H109</f>
        <v>TBD</v>
      </c>
      <c r="I83" s="567" t="str">
        <f>'2-A All'!I109</f>
        <v>CAT3</v>
      </c>
      <c r="J83" s="3800">
        <f>'2-A All'!J109</f>
        <v>20200203</v>
      </c>
      <c r="K83" s="3805" t="s">
        <v>1263</v>
      </c>
      <c r="L83" s="3809" t="s">
        <v>133</v>
      </c>
      <c r="M83" s="3807" t="s">
        <v>133</v>
      </c>
    </row>
    <row r="84" spans="1:13" s="568" customFormat="1" ht="20.25" customHeight="1">
      <c r="A84" s="3799"/>
      <c r="B84" s="3801"/>
      <c r="C84" s="3801"/>
      <c r="D84" s="3801"/>
      <c r="E84" s="3801"/>
      <c r="F84" s="3801"/>
      <c r="G84" s="3801"/>
      <c r="H84" s="569" t="str">
        <f>'2-A All'!H110</f>
        <v>TBD</v>
      </c>
      <c r="I84" s="569" t="str">
        <f>'2-A All'!I110</f>
        <v>TUR3</v>
      </c>
      <c r="J84" s="3801"/>
      <c r="K84" s="3806"/>
      <c r="L84" s="3810"/>
      <c r="M84" s="3808"/>
    </row>
    <row r="85" spans="1:13" s="568" customFormat="1" ht="20.25" customHeight="1">
      <c r="A85" s="3798" t="str">
        <f>'2-A All'!A111</f>
        <v>TUR4</v>
      </c>
      <c r="B85" s="3816" t="str">
        <f>'2-A All'!B111</f>
        <v>Turbine</v>
      </c>
      <c r="C85" s="3816" t="str">
        <f>'2-A All'!C111</f>
        <v>Mitsubishi</v>
      </c>
      <c r="D85" s="3816" t="str">
        <f>'2-A All'!D111</f>
        <v>H-100</v>
      </c>
      <c r="E85" s="3816" t="str">
        <f>'2-A All'!E111</f>
        <v>TBD</v>
      </c>
      <c r="F85" s="3816" t="str">
        <f>'2-A All'!F111</f>
        <v>120 MW</v>
      </c>
      <c r="G85" s="3816" t="str">
        <f>'2-A All'!G111</f>
        <v>120 MW</v>
      </c>
      <c r="H85" s="2437" t="str">
        <f>'2-A All'!H111</f>
        <v>TBD</v>
      </c>
      <c r="I85" s="567" t="str">
        <f>'2-A All'!I111</f>
        <v>CAT4</v>
      </c>
      <c r="J85" s="3800">
        <f>'2-A All'!J111</f>
        <v>20200203</v>
      </c>
      <c r="K85" s="3805" t="s">
        <v>1263</v>
      </c>
      <c r="L85" s="3809" t="s">
        <v>133</v>
      </c>
      <c r="M85" s="3807" t="s">
        <v>133</v>
      </c>
    </row>
    <row r="86" spans="1:13" s="568" customFormat="1" ht="20.25" customHeight="1">
      <c r="A86" s="3799"/>
      <c r="B86" s="3801"/>
      <c r="C86" s="3801"/>
      <c r="D86" s="3801"/>
      <c r="E86" s="3801"/>
      <c r="F86" s="3801"/>
      <c r="G86" s="3801"/>
      <c r="H86" s="569" t="str">
        <f>'2-A All'!H112</f>
        <v>TBD</v>
      </c>
      <c r="I86" s="569" t="str">
        <f>'2-A All'!I112</f>
        <v>TUR4</v>
      </c>
      <c r="J86" s="3801"/>
      <c r="K86" s="3806"/>
      <c r="L86" s="3810"/>
      <c r="M86" s="3808"/>
    </row>
    <row r="87" spans="1:13" s="568" customFormat="1" ht="20.25" customHeight="1">
      <c r="A87" s="3798" t="str">
        <f>'2-A All'!A113</f>
        <v>GEN1</v>
      </c>
      <c r="B87" s="3816" t="str">
        <f>'2-A All'!B113</f>
        <v>Emergency Generator</v>
      </c>
      <c r="C87" s="3816" t="str">
        <f>'2-A All'!C113</f>
        <v>Caterpillar</v>
      </c>
      <c r="D87" s="3816" t="str">
        <f>'2-A All'!D113</f>
        <v>G3520H</v>
      </c>
      <c r="E87" s="3816" t="str">
        <f>'2-A All'!E113</f>
        <v>TBD</v>
      </c>
      <c r="F87" s="3816" t="str">
        <f>'2-A All'!F113</f>
        <v>3448 HP</v>
      </c>
      <c r="G87" s="3816" t="str">
        <f>'2-A All'!G113</f>
        <v>3448 HP</v>
      </c>
      <c r="H87" s="2623" t="str">
        <f>'2-A All'!H113</f>
        <v>TBD</v>
      </c>
      <c r="I87" s="567" t="str">
        <f>'2-A All'!I113</f>
        <v>NA</v>
      </c>
      <c r="J87" s="3800">
        <f>'2-A All'!J113</f>
        <v>20200254</v>
      </c>
      <c r="K87" s="3805" t="s">
        <v>1263</v>
      </c>
      <c r="L87" s="3809" t="s">
        <v>133</v>
      </c>
      <c r="M87" s="3807" t="s">
        <v>133</v>
      </c>
    </row>
    <row r="88" spans="1:13" s="568" customFormat="1" ht="20.25" customHeight="1">
      <c r="A88" s="3799"/>
      <c r="B88" s="3801"/>
      <c r="C88" s="3801"/>
      <c r="D88" s="3801"/>
      <c r="E88" s="3801"/>
      <c r="F88" s="3801"/>
      <c r="G88" s="3801"/>
      <c r="H88" s="569" t="str">
        <f>'2-A All'!H114</f>
        <v>TBD</v>
      </c>
      <c r="I88" s="569" t="str">
        <f>'2-A All'!I114</f>
        <v>GEN1</v>
      </c>
      <c r="J88" s="3801"/>
      <c r="K88" s="3806"/>
      <c r="L88" s="3810"/>
      <c r="M88" s="3808"/>
    </row>
    <row r="89" spans="1:13" s="568" customFormat="1" ht="20.25" customHeight="1">
      <c r="A89" s="3798" t="str">
        <f>'2-A All'!A115</f>
        <v>GEN2</v>
      </c>
      <c r="B89" s="3816" t="str">
        <f>'2-A All'!B115</f>
        <v>Emergency Generator</v>
      </c>
      <c r="C89" s="3816" t="str">
        <f>'2-A All'!C115</f>
        <v>Caterpillar</v>
      </c>
      <c r="D89" s="3816" t="str">
        <f>'2-A All'!D115</f>
        <v>G3520H</v>
      </c>
      <c r="E89" s="3816" t="str">
        <f>'2-A All'!E115</f>
        <v>TBD</v>
      </c>
      <c r="F89" s="3816" t="str">
        <f>'2-A All'!F115</f>
        <v>3448 HP</v>
      </c>
      <c r="G89" s="3816" t="str">
        <f>'2-A All'!G115</f>
        <v>3448 HP</v>
      </c>
      <c r="H89" s="2623" t="str">
        <f>'2-A All'!H115</f>
        <v>TBD</v>
      </c>
      <c r="I89" s="567" t="str">
        <f>'2-A All'!I115</f>
        <v>NA</v>
      </c>
      <c r="J89" s="3800">
        <f>'2-A All'!J115</f>
        <v>20200254</v>
      </c>
      <c r="K89" s="3805" t="s">
        <v>1263</v>
      </c>
      <c r="L89" s="3809" t="s">
        <v>133</v>
      </c>
      <c r="M89" s="3807" t="s">
        <v>133</v>
      </c>
    </row>
    <row r="90" spans="1:13" s="568" customFormat="1" ht="20.25" customHeight="1">
      <c r="A90" s="3799"/>
      <c r="B90" s="3801"/>
      <c r="C90" s="3801"/>
      <c r="D90" s="3801"/>
      <c r="E90" s="3801"/>
      <c r="F90" s="3801"/>
      <c r="G90" s="3801"/>
      <c r="H90" s="569" t="str">
        <f>'2-A All'!H116</f>
        <v>TBD</v>
      </c>
      <c r="I90" s="569" t="str">
        <f>'2-A All'!I116</f>
        <v>GEN2</v>
      </c>
      <c r="J90" s="3801"/>
      <c r="K90" s="3806"/>
      <c r="L90" s="3810"/>
      <c r="M90" s="3808"/>
    </row>
    <row r="91" spans="1:13" s="568" customFormat="1" ht="20.25" customHeight="1">
      <c r="A91" s="3798" t="str">
        <f>'2-A All'!A117</f>
        <v>GEN3</v>
      </c>
      <c r="B91" s="3816" t="str">
        <f>'2-A All'!B117</f>
        <v>Emergency Generator</v>
      </c>
      <c r="C91" s="3816" t="str">
        <f>'2-A All'!C117</f>
        <v>Caterpillar</v>
      </c>
      <c r="D91" s="3816" t="str">
        <f>'2-A All'!D117</f>
        <v>G3520H</v>
      </c>
      <c r="E91" s="3816" t="str">
        <f>'2-A All'!E117</f>
        <v>TBD</v>
      </c>
      <c r="F91" s="3816" t="str">
        <f>'2-A All'!F117</f>
        <v>3448 HP</v>
      </c>
      <c r="G91" s="3816" t="str">
        <f>'2-A All'!G117</f>
        <v>3448 HP</v>
      </c>
      <c r="H91" s="2623" t="str">
        <f>'2-A All'!H117</f>
        <v>TBD</v>
      </c>
      <c r="I91" s="567" t="str">
        <f>'2-A All'!I117</f>
        <v>NA</v>
      </c>
      <c r="J91" s="3800">
        <f>'2-A All'!J117</f>
        <v>20200254</v>
      </c>
      <c r="K91" s="3805" t="s">
        <v>1263</v>
      </c>
      <c r="L91" s="3809" t="s">
        <v>133</v>
      </c>
      <c r="M91" s="3807" t="s">
        <v>133</v>
      </c>
    </row>
    <row r="92" spans="1:13" s="568" customFormat="1" ht="20.25" customHeight="1">
      <c r="A92" s="3799"/>
      <c r="B92" s="3801"/>
      <c r="C92" s="3801"/>
      <c r="D92" s="3801"/>
      <c r="E92" s="3801"/>
      <c r="F92" s="3801"/>
      <c r="G92" s="3801"/>
      <c r="H92" s="569" t="str">
        <f>'2-A All'!H118</f>
        <v>TBD</v>
      </c>
      <c r="I92" s="569" t="str">
        <f>'2-A All'!I118</f>
        <v>GEN3</v>
      </c>
      <c r="J92" s="3801"/>
      <c r="K92" s="3806"/>
      <c r="L92" s="3810"/>
      <c r="M92" s="3808"/>
    </row>
    <row r="93" spans="1:13" s="568" customFormat="1" ht="20.25" customHeight="1">
      <c r="A93" s="3798" t="str">
        <f>'2-A All'!A119</f>
        <v>GEN4</v>
      </c>
      <c r="B93" s="3816" t="str">
        <f>'2-A All'!B119</f>
        <v>Emergency Generator</v>
      </c>
      <c r="C93" s="3816" t="str">
        <f>'2-A All'!C119</f>
        <v>Caterpillar</v>
      </c>
      <c r="D93" s="3816" t="str">
        <f>'2-A All'!D119</f>
        <v>G3520H</v>
      </c>
      <c r="E93" s="3816" t="str">
        <f>'2-A All'!E119</f>
        <v>TBD</v>
      </c>
      <c r="F93" s="3816" t="str">
        <f>'2-A All'!F119</f>
        <v>3448 HP</v>
      </c>
      <c r="G93" s="3816" t="str">
        <f>'2-A All'!G119</f>
        <v>3448 HP</v>
      </c>
      <c r="H93" s="2623" t="str">
        <f>'2-A All'!H119</f>
        <v>TBD</v>
      </c>
      <c r="I93" s="567" t="str">
        <f>'2-A All'!I119</f>
        <v>NA</v>
      </c>
      <c r="J93" s="3800">
        <f>'2-A All'!J119</f>
        <v>20200254</v>
      </c>
      <c r="K93" s="3805" t="s">
        <v>1263</v>
      </c>
      <c r="L93" s="3809" t="s">
        <v>133</v>
      </c>
      <c r="M93" s="3807" t="s">
        <v>133</v>
      </c>
    </row>
    <row r="94" spans="1:13" s="568" customFormat="1" ht="20.25" customHeight="1">
      <c r="A94" s="3799"/>
      <c r="B94" s="3801"/>
      <c r="C94" s="3801"/>
      <c r="D94" s="3801"/>
      <c r="E94" s="3801"/>
      <c r="F94" s="3801"/>
      <c r="G94" s="3801"/>
      <c r="H94" s="569" t="str">
        <f>'2-A All'!H120</f>
        <v>TBD</v>
      </c>
      <c r="I94" s="569" t="str">
        <f>'2-A All'!I120</f>
        <v>GEN4</v>
      </c>
      <c r="J94" s="3801"/>
      <c r="K94" s="3806"/>
      <c r="L94" s="3810"/>
      <c r="M94" s="3808"/>
    </row>
    <row r="95" spans="1:13" s="568" customFormat="1" ht="20.25" customHeight="1">
      <c r="A95" s="3798" t="str">
        <f>'2-A All'!A121</f>
        <v>GEN5</v>
      </c>
      <c r="B95" s="3816" t="str">
        <f>'2-A All'!B121</f>
        <v>Emergency Generator</v>
      </c>
      <c r="C95" s="3816" t="str">
        <f>'2-A All'!C121</f>
        <v>Caterpillar</v>
      </c>
      <c r="D95" s="3816" t="str">
        <f>'2-A All'!D121</f>
        <v>G3520H</v>
      </c>
      <c r="E95" s="3816" t="str">
        <f>'2-A All'!E121</f>
        <v>TBD</v>
      </c>
      <c r="F95" s="3816" t="str">
        <f>'2-A All'!F121</f>
        <v>3448 HP</v>
      </c>
      <c r="G95" s="3816" t="str">
        <f>'2-A All'!G121</f>
        <v>3448 HP</v>
      </c>
      <c r="H95" s="2623" t="str">
        <f>'2-A All'!H121</f>
        <v>TBD</v>
      </c>
      <c r="I95" s="567" t="str">
        <f>'2-A All'!I121</f>
        <v>NA</v>
      </c>
      <c r="J95" s="3800">
        <f>'2-A All'!J121</f>
        <v>20200254</v>
      </c>
      <c r="K95" s="3805" t="s">
        <v>1263</v>
      </c>
      <c r="L95" s="3809" t="s">
        <v>133</v>
      </c>
      <c r="M95" s="3807" t="s">
        <v>133</v>
      </c>
    </row>
    <row r="96" spans="1:13" s="568" customFormat="1" ht="20.25" customHeight="1">
      <c r="A96" s="3799"/>
      <c r="B96" s="3801"/>
      <c r="C96" s="3801"/>
      <c r="D96" s="3801"/>
      <c r="E96" s="3801"/>
      <c r="F96" s="3801"/>
      <c r="G96" s="3801"/>
      <c r="H96" s="569" t="str">
        <f>'2-A All'!H122</f>
        <v>TBD</v>
      </c>
      <c r="I96" s="569" t="str">
        <f>'2-A All'!I122</f>
        <v>GEN5</v>
      </c>
      <c r="J96" s="3801"/>
      <c r="K96" s="3806"/>
      <c r="L96" s="3810"/>
      <c r="M96" s="3808"/>
    </row>
    <row r="97" spans="1:13" s="568" customFormat="1" ht="20.25" customHeight="1">
      <c r="A97" s="3798" t="str">
        <f>'2-A All'!A123</f>
        <v>GEN6</v>
      </c>
      <c r="B97" s="3816" t="str">
        <f>'2-A All'!B123</f>
        <v>Emergency Generator</v>
      </c>
      <c r="C97" s="3816" t="str">
        <f>'2-A All'!C123</f>
        <v>Caterpillar</v>
      </c>
      <c r="D97" s="3816" t="str">
        <f>'2-A All'!D123</f>
        <v>G3520H</v>
      </c>
      <c r="E97" s="3816" t="str">
        <f>'2-A All'!E123</f>
        <v>TBD</v>
      </c>
      <c r="F97" s="3816" t="str">
        <f>'2-A All'!F123</f>
        <v>3448 HP</v>
      </c>
      <c r="G97" s="3816" t="str">
        <f>'2-A All'!G123</f>
        <v>3448 HP</v>
      </c>
      <c r="H97" s="2728" t="str">
        <f>'2-A All'!H123</f>
        <v>TBD</v>
      </c>
      <c r="I97" s="567" t="str">
        <f>'2-A All'!I123</f>
        <v>NA</v>
      </c>
      <c r="J97" s="3800">
        <f>'2-A All'!J123</f>
        <v>20200254</v>
      </c>
      <c r="K97" s="3805" t="s">
        <v>1263</v>
      </c>
      <c r="L97" s="3809" t="s">
        <v>133</v>
      </c>
      <c r="M97" s="3807" t="s">
        <v>133</v>
      </c>
    </row>
    <row r="98" spans="1:13" s="568" customFormat="1" ht="20.25" customHeight="1">
      <c r="A98" s="3799"/>
      <c r="B98" s="3801"/>
      <c r="C98" s="3801"/>
      <c r="D98" s="3801"/>
      <c r="E98" s="3801"/>
      <c r="F98" s="3801"/>
      <c r="G98" s="3801"/>
      <c r="H98" s="569" t="str">
        <f>'2-A All'!H124</f>
        <v>TBD</v>
      </c>
      <c r="I98" s="569" t="str">
        <f>'2-A All'!I124</f>
        <v>GEN6</v>
      </c>
      <c r="J98" s="3801"/>
      <c r="K98" s="3806"/>
      <c r="L98" s="3810"/>
      <c r="M98" s="3808"/>
    </row>
    <row r="99" spans="1:13" s="568" customFormat="1" ht="20.25" customHeight="1">
      <c r="A99" s="3798" t="str">
        <f>'2-A All'!A125</f>
        <v>GEN7</v>
      </c>
      <c r="B99" s="3816" t="str">
        <f>'2-A All'!B125</f>
        <v>Emergency Generator</v>
      </c>
      <c r="C99" s="3816" t="str">
        <f>'2-A All'!C125</f>
        <v>Caterpillar</v>
      </c>
      <c r="D99" s="3816" t="str">
        <f>'2-A All'!D125</f>
        <v>G3520H</v>
      </c>
      <c r="E99" s="3816" t="str">
        <f>'2-A All'!E125</f>
        <v>TBD</v>
      </c>
      <c r="F99" s="3816" t="str">
        <f>'2-A All'!F125</f>
        <v>3448 HP</v>
      </c>
      <c r="G99" s="3816" t="str">
        <f>'2-A All'!G125</f>
        <v>3448 HP</v>
      </c>
      <c r="H99" s="2728" t="str">
        <f>'2-A All'!H125</f>
        <v>TBD</v>
      </c>
      <c r="I99" s="567" t="str">
        <f>'2-A All'!I125</f>
        <v>NA</v>
      </c>
      <c r="J99" s="3800">
        <f>'2-A All'!J125</f>
        <v>20200254</v>
      </c>
      <c r="K99" s="3805" t="s">
        <v>1263</v>
      </c>
      <c r="L99" s="3809" t="s">
        <v>133</v>
      </c>
      <c r="M99" s="3807" t="s">
        <v>133</v>
      </c>
    </row>
    <row r="100" spans="1:13" s="568" customFormat="1" ht="20.25" customHeight="1">
      <c r="A100" s="3799"/>
      <c r="B100" s="3801"/>
      <c r="C100" s="3801"/>
      <c r="D100" s="3801"/>
      <c r="E100" s="3801"/>
      <c r="F100" s="3801"/>
      <c r="G100" s="3801"/>
      <c r="H100" s="569" t="str">
        <f>'2-A All'!H126</f>
        <v>TBD</v>
      </c>
      <c r="I100" s="569" t="str">
        <f>'2-A All'!I126</f>
        <v>GEN7</v>
      </c>
      <c r="J100" s="3801"/>
      <c r="K100" s="3806"/>
      <c r="L100" s="3810"/>
      <c r="M100" s="3808"/>
    </row>
    <row r="101" spans="1:13" s="568" customFormat="1" ht="20.25" customHeight="1">
      <c r="A101" s="3798" t="str">
        <f>'2-A All'!A127</f>
        <v>GEN8</v>
      </c>
      <c r="B101" s="3816" t="str">
        <f>'2-A All'!B127</f>
        <v>Emergency Generator</v>
      </c>
      <c r="C101" s="3816" t="str">
        <f>'2-A All'!C127</f>
        <v>Caterpillar</v>
      </c>
      <c r="D101" s="3816" t="str">
        <f>'2-A All'!D127</f>
        <v>G3520H</v>
      </c>
      <c r="E101" s="3816" t="str">
        <f>'2-A All'!E127</f>
        <v>TBD</v>
      </c>
      <c r="F101" s="3816" t="str">
        <f>'2-A All'!F127</f>
        <v>3448 HP</v>
      </c>
      <c r="G101" s="3816" t="str">
        <f>'2-A All'!G127</f>
        <v>3448 HP</v>
      </c>
      <c r="H101" s="2728" t="str">
        <f>'2-A All'!H127</f>
        <v>TBD</v>
      </c>
      <c r="I101" s="567" t="str">
        <f>'2-A All'!I127</f>
        <v>NA</v>
      </c>
      <c r="J101" s="3800">
        <f>'2-A All'!J127</f>
        <v>20200254</v>
      </c>
      <c r="K101" s="3805" t="s">
        <v>1263</v>
      </c>
      <c r="L101" s="3809" t="s">
        <v>133</v>
      </c>
      <c r="M101" s="3807" t="s">
        <v>133</v>
      </c>
    </row>
    <row r="102" spans="1:13" s="568" customFormat="1" ht="20.25" customHeight="1">
      <c r="A102" s="3799"/>
      <c r="B102" s="3801"/>
      <c r="C102" s="3801"/>
      <c r="D102" s="3801"/>
      <c r="E102" s="3801"/>
      <c r="F102" s="3801"/>
      <c r="G102" s="3801"/>
      <c r="H102" s="569" t="str">
        <f>'2-A All'!H128</f>
        <v>TBD</v>
      </c>
      <c r="I102" s="569" t="str">
        <f>'2-A All'!I128</f>
        <v>GEN8</v>
      </c>
      <c r="J102" s="3801"/>
      <c r="K102" s="3806"/>
      <c r="L102" s="3810"/>
      <c r="M102" s="3808"/>
    </row>
    <row r="103" spans="1:13" s="62" customFormat="1" ht="11.25" customHeight="1">
      <c r="A103" s="61" t="s">
        <v>134</v>
      </c>
    </row>
    <row r="104" spans="1:13" s="62" customFormat="1" ht="11.25" customHeight="1">
      <c r="A104" s="61" t="s">
        <v>135</v>
      </c>
    </row>
    <row r="105" spans="1:13" s="62" customFormat="1" ht="11.25" customHeight="1">
      <c r="A105" s="61" t="s">
        <v>136</v>
      </c>
    </row>
    <row r="106" spans="1:13" ht="11.25" customHeight="1">
      <c r="A106" s="61" t="s">
        <v>137</v>
      </c>
      <c r="B106" s="56"/>
      <c r="C106" s="56"/>
      <c r="D106" s="56"/>
      <c r="E106" s="56"/>
      <c r="F106" s="56"/>
      <c r="G106" s="56"/>
    </row>
    <row r="107" spans="1:13" ht="20.75" customHeight="1">
      <c r="A107" s="56"/>
      <c r="B107" s="56"/>
      <c r="C107" s="56"/>
      <c r="D107" s="56"/>
      <c r="E107" s="56"/>
      <c r="F107" s="56"/>
      <c r="G107" s="56"/>
    </row>
    <row r="108" spans="1:13" ht="20.75" customHeight="1">
      <c r="A108" s="56"/>
      <c r="B108" s="56"/>
      <c r="C108" s="56"/>
      <c r="D108" s="56"/>
      <c r="E108" s="56"/>
      <c r="F108" s="56"/>
      <c r="G108" s="56"/>
    </row>
    <row r="109" spans="1:13" ht="20.75" customHeight="1">
      <c r="A109" s="56"/>
      <c r="B109" s="56"/>
      <c r="C109" s="56"/>
      <c r="D109" s="56"/>
      <c r="E109" s="56"/>
      <c r="F109" s="56"/>
      <c r="G109" s="56"/>
    </row>
    <row r="110" spans="1:13" ht="20.75" customHeight="1">
      <c r="A110" s="56"/>
      <c r="B110" s="56"/>
      <c r="C110" s="56"/>
      <c r="D110" s="56"/>
      <c r="E110" s="56"/>
      <c r="F110" s="56"/>
      <c r="G110" s="56"/>
    </row>
    <row r="111" spans="1:13" ht="20.75" customHeight="1">
      <c r="A111" s="56"/>
      <c r="B111" s="56"/>
      <c r="C111" s="56"/>
      <c r="D111" s="56"/>
      <c r="E111" s="56"/>
      <c r="F111" s="56"/>
      <c r="G111" s="56"/>
    </row>
    <row r="112" spans="1:13" ht="20.75" customHeight="1">
      <c r="A112" s="56"/>
      <c r="B112" s="56"/>
      <c r="C112" s="56"/>
      <c r="D112" s="56"/>
      <c r="E112" s="56"/>
      <c r="F112" s="56"/>
      <c r="G112" s="56"/>
    </row>
    <row r="113" spans="1:7" ht="20.75" customHeight="1">
      <c r="A113" s="56"/>
      <c r="B113" s="56"/>
      <c r="C113" s="56"/>
      <c r="D113" s="56"/>
      <c r="E113" s="56"/>
      <c r="F113" s="56"/>
      <c r="G113" s="56"/>
    </row>
    <row r="114" spans="1:7" ht="20.75" customHeight="1">
      <c r="A114" s="56"/>
      <c r="B114" s="56"/>
      <c r="C114" s="56"/>
      <c r="D114" s="56"/>
      <c r="E114" s="56"/>
      <c r="F114" s="56"/>
      <c r="G114" s="56"/>
    </row>
    <row r="115" spans="1:7" ht="20.75" customHeight="1">
      <c r="A115" s="56"/>
      <c r="B115" s="56"/>
      <c r="C115" s="56"/>
      <c r="D115" s="56"/>
      <c r="E115" s="56"/>
      <c r="F115" s="56"/>
      <c r="G115" s="56"/>
    </row>
    <row r="116" spans="1:7" ht="20.75" customHeight="1">
      <c r="A116" s="56"/>
      <c r="B116" s="56"/>
      <c r="C116" s="56"/>
      <c r="D116" s="56"/>
      <c r="E116" s="56"/>
      <c r="F116" s="56"/>
      <c r="G116" s="56"/>
    </row>
    <row r="117" spans="1:7" ht="20.75" customHeight="1">
      <c r="A117" s="56"/>
      <c r="B117" s="56"/>
      <c r="C117" s="56"/>
      <c r="D117" s="56"/>
      <c r="E117" s="56"/>
      <c r="F117" s="56"/>
      <c r="G117" s="56"/>
    </row>
    <row r="118" spans="1:7" ht="20.75" customHeight="1">
      <c r="A118" s="56"/>
      <c r="B118" s="56"/>
      <c r="C118" s="56"/>
      <c r="D118" s="56"/>
      <c r="E118" s="56"/>
      <c r="F118" s="56"/>
      <c r="G118" s="56"/>
    </row>
    <row r="119" spans="1:7" ht="20.75" customHeight="1">
      <c r="A119" s="56"/>
      <c r="B119" s="56"/>
      <c r="C119" s="56"/>
      <c r="D119" s="56"/>
      <c r="E119" s="56"/>
      <c r="F119" s="56"/>
      <c r="G119" s="56"/>
    </row>
    <row r="120" spans="1:7" ht="20.75" customHeight="1">
      <c r="A120" s="56"/>
      <c r="B120" s="56"/>
      <c r="C120" s="56"/>
      <c r="D120" s="56"/>
      <c r="E120" s="56"/>
      <c r="F120" s="56"/>
      <c r="G120" s="56"/>
    </row>
    <row r="121" spans="1:7" ht="20.75" customHeight="1">
      <c r="A121" s="56"/>
      <c r="B121" s="56"/>
      <c r="C121" s="56"/>
      <c r="D121" s="56"/>
      <c r="E121" s="56"/>
      <c r="F121" s="56"/>
      <c r="G121" s="56"/>
    </row>
    <row r="122" spans="1:7" ht="20.75" customHeight="1">
      <c r="A122" s="56"/>
      <c r="B122" s="56"/>
      <c r="C122" s="56"/>
      <c r="D122" s="56"/>
      <c r="E122" s="56"/>
      <c r="F122" s="56"/>
      <c r="G122" s="56"/>
    </row>
    <row r="123" spans="1:7" ht="20.75" customHeight="1">
      <c r="A123" s="56"/>
      <c r="B123" s="56"/>
      <c r="C123" s="56"/>
      <c r="D123" s="56"/>
      <c r="E123" s="56"/>
      <c r="F123" s="56"/>
      <c r="G123" s="56"/>
    </row>
    <row r="124" spans="1:7" ht="20.75" customHeight="1">
      <c r="A124" s="56"/>
      <c r="B124" s="56"/>
      <c r="C124" s="56"/>
      <c r="D124" s="56"/>
      <c r="E124" s="56"/>
      <c r="F124" s="56"/>
      <c r="G124" s="56"/>
    </row>
    <row r="125" spans="1:7" ht="20.75" customHeight="1">
      <c r="A125" s="56"/>
      <c r="B125" s="56"/>
      <c r="C125" s="56"/>
      <c r="D125" s="56"/>
      <c r="E125" s="56"/>
      <c r="F125" s="56"/>
      <c r="G125" s="56"/>
    </row>
    <row r="126" spans="1:7" ht="20.75" customHeight="1">
      <c r="A126" s="56"/>
      <c r="B126" s="56"/>
      <c r="C126" s="56"/>
      <c r="D126" s="56"/>
      <c r="E126" s="56"/>
      <c r="F126" s="56"/>
      <c r="G126" s="56"/>
    </row>
    <row r="127" spans="1:7" ht="36" customHeight="1">
      <c r="A127" s="56"/>
      <c r="B127" s="56"/>
      <c r="C127" s="56"/>
      <c r="D127" s="56"/>
      <c r="E127" s="56"/>
      <c r="F127" s="56"/>
      <c r="G127" s="56"/>
    </row>
    <row r="128" spans="1:7">
      <c r="A128" s="56"/>
      <c r="B128" s="56"/>
      <c r="C128" s="56"/>
      <c r="D128" s="56"/>
      <c r="E128" s="56"/>
      <c r="F128" s="56"/>
      <c r="G128" s="56"/>
    </row>
    <row r="129" spans="1:7" ht="20.75" customHeight="1">
      <c r="A129" s="56"/>
      <c r="B129" s="56"/>
      <c r="C129" s="56"/>
      <c r="D129" s="56"/>
      <c r="E129" s="56"/>
      <c r="F129" s="56"/>
      <c r="G129" s="56"/>
    </row>
    <row r="130" spans="1:7" ht="20.75" customHeight="1">
      <c r="A130" s="56"/>
      <c r="B130" s="56"/>
      <c r="C130" s="56"/>
      <c r="D130" s="56"/>
      <c r="E130" s="56"/>
      <c r="F130" s="56"/>
      <c r="G130" s="56"/>
    </row>
    <row r="131" spans="1:7" ht="20.75" customHeight="1">
      <c r="A131" s="56"/>
      <c r="B131" s="56"/>
      <c r="C131" s="56"/>
      <c r="D131" s="56"/>
      <c r="E131" s="56"/>
      <c r="F131" s="56"/>
      <c r="G131" s="56"/>
    </row>
    <row r="132" spans="1:7" ht="20.75" customHeight="1">
      <c r="A132" s="56"/>
      <c r="B132" s="56"/>
      <c r="C132" s="56"/>
      <c r="D132" s="56"/>
      <c r="E132" s="56"/>
      <c r="F132" s="56"/>
      <c r="G132" s="56"/>
    </row>
    <row r="133" spans="1:7" ht="25.25" customHeight="1">
      <c r="A133" s="56"/>
      <c r="B133" s="56"/>
      <c r="C133" s="56"/>
      <c r="D133" s="56"/>
      <c r="E133" s="56"/>
      <c r="F133" s="56"/>
      <c r="G133" s="56"/>
    </row>
    <row r="134" spans="1:7" ht="25.25" customHeight="1">
      <c r="A134" s="56"/>
      <c r="B134" s="56"/>
      <c r="C134" s="56"/>
      <c r="D134" s="56"/>
      <c r="E134" s="56"/>
      <c r="F134" s="56"/>
      <c r="G134" s="56"/>
    </row>
    <row r="135" spans="1:7">
      <c r="A135" s="56"/>
      <c r="B135" s="56"/>
      <c r="C135" s="56"/>
      <c r="D135" s="56"/>
      <c r="E135" s="56"/>
      <c r="F135" s="56"/>
      <c r="G135" s="56"/>
    </row>
    <row r="136" spans="1:7">
      <c r="A136" s="56"/>
      <c r="B136" s="56"/>
      <c r="C136" s="56"/>
      <c r="D136" s="56"/>
      <c r="E136" s="56"/>
      <c r="F136" s="56"/>
      <c r="G136" s="56"/>
    </row>
    <row r="137" spans="1:7">
      <c r="A137" s="56"/>
      <c r="B137" s="56"/>
      <c r="C137" s="56"/>
      <c r="D137" s="56"/>
      <c r="E137" s="56"/>
      <c r="F137" s="56"/>
      <c r="G137" s="56"/>
    </row>
    <row r="138" spans="1:7">
      <c r="A138" s="56"/>
      <c r="B138" s="56"/>
      <c r="C138" s="56"/>
      <c r="D138" s="56"/>
      <c r="E138" s="56"/>
      <c r="F138" s="56"/>
      <c r="G138" s="56"/>
    </row>
    <row r="139" spans="1:7">
      <c r="A139" s="56"/>
      <c r="B139" s="56"/>
      <c r="C139" s="56"/>
      <c r="D139" s="56"/>
      <c r="E139" s="56"/>
      <c r="F139" s="56"/>
      <c r="G139" s="56"/>
    </row>
    <row r="140" spans="1:7">
      <c r="A140" s="56"/>
      <c r="B140" s="56"/>
      <c r="C140" s="56"/>
      <c r="D140" s="56"/>
      <c r="E140" s="56"/>
      <c r="F140" s="56"/>
      <c r="G140" s="56"/>
    </row>
    <row r="141" spans="1:7">
      <c r="A141" s="56"/>
      <c r="B141" s="56"/>
      <c r="C141" s="56"/>
      <c r="D141" s="56"/>
      <c r="E141" s="56"/>
      <c r="F141" s="56"/>
      <c r="G141" s="56"/>
    </row>
    <row r="142" spans="1:7">
      <c r="A142" s="56"/>
      <c r="B142" s="56"/>
      <c r="C142" s="56"/>
      <c r="D142" s="56"/>
      <c r="E142" s="56"/>
      <c r="F142" s="56"/>
      <c r="G142" s="56"/>
    </row>
    <row r="143" spans="1:7">
      <c r="A143" s="56"/>
      <c r="B143" s="56"/>
      <c r="C143" s="56"/>
      <c r="D143" s="56"/>
      <c r="E143" s="56"/>
      <c r="F143" s="56"/>
      <c r="G143" s="56"/>
    </row>
    <row r="144" spans="1:7">
      <c r="A144" s="56"/>
      <c r="B144" s="56"/>
      <c r="C144" s="56"/>
      <c r="D144" s="56"/>
      <c r="E144" s="56"/>
      <c r="F144" s="56"/>
      <c r="G144" s="56"/>
    </row>
    <row r="145" spans="1:7">
      <c r="A145" s="56"/>
      <c r="B145" s="56"/>
      <c r="C145" s="56"/>
      <c r="D145" s="56"/>
      <c r="E145" s="56"/>
      <c r="F145" s="56"/>
      <c r="G145" s="56"/>
    </row>
    <row r="146" spans="1:7">
      <c r="A146" s="56"/>
      <c r="B146" s="56"/>
      <c r="C146" s="56"/>
      <c r="D146" s="56"/>
      <c r="E146" s="56"/>
      <c r="F146" s="56"/>
      <c r="G146" s="56"/>
    </row>
    <row r="147" spans="1:7">
      <c r="A147" s="56"/>
      <c r="B147" s="56"/>
      <c r="C147" s="56"/>
      <c r="D147" s="56"/>
      <c r="E147" s="56"/>
      <c r="F147" s="56"/>
      <c r="G147" s="56"/>
    </row>
    <row r="148" spans="1:7">
      <c r="A148" s="56"/>
      <c r="B148" s="56"/>
      <c r="C148" s="56"/>
      <c r="D148" s="56"/>
      <c r="E148" s="56"/>
      <c r="F148" s="56"/>
      <c r="G148" s="56"/>
    </row>
    <row r="149" spans="1:7">
      <c r="A149" s="56"/>
      <c r="B149" s="56"/>
      <c r="C149" s="56"/>
      <c r="D149" s="56"/>
      <c r="E149" s="56"/>
      <c r="F149" s="56"/>
      <c r="G149" s="56"/>
    </row>
    <row r="150" spans="1:7">
      <c r="A150" s="56"/>
      <c r="B150" s="56"/>
      <c r="C150" s="56"/>
      <c r="D150" s="56"/>
      <c r="E150" s="56"/>
      <c r="F150" s="56"/>
      <c r="G150" s="56"/>
    </row>
    <row r="151" spans="1:7">
      <c r="A151" s="56"/>
      <c r="B151" s="56"/>
      <c r="C151" s="56"/>
      <c r="D151" s="56"/>
      <c r="E151" s="56"/>
      <c r="F151" s="56"/>
      <c r="G151" s="56"/>
    </row>
    <row r="152" spans="1:7">
      <c r="A152" s="56"/>
      <c r="B152" s="56"/>
      <c r="C152" s="56"/>
      <c r="D152" s="56"/>
      <c r="E152" s="56"/>
      <c r="F152" s="56"/>
      <c r="G152" s="56"/>
    </row>
    <row r="153" spans="1:7">
      <c r="A153" s="56"/>
      <c r="B153" s="56"/>
      <c r="C153" s="56"/>
      <c r="D153" s="56"/>
      <c r="E153" s="56"/>
      <c r="F153" s="56"/>
      <c r="G153" s="56"/>
    </row>
    <row r="154" spans="1:7">
      <c r="A154" s="56"/>
      <c r="B154" s="56"/>
      <c r="C154" s="56"/>
      <c r="D154" s="56"/>
      <c r="E154" s="56"/>
      <c r="F154" s="56"/>
      <c r="G154" s="56"/>
    </row>
    <row r="155" spans="1:7">
      <c r="A155" s="56"/>
      <c r="B155" s="56"/>
      <c r="C155" s="56"/>
      <c r="D155" s="56"/>
      <c r="E155" s="56"/>
      <c r="F155" s="56"/>
      <c r="G155" s="56"/>
    </row>
    <row r="156" spans="1:7">
      <c r="A156" s="56"/>
      <c r="B156" s="56"/>
      <c r="C156" s="56"/>
      <c r="D156" s="56"/>
      <c r="E156" s="56"/>
      <c r="F156" s="56"/>
      <c r="G156" s="56"/>
    </row>
    <row r="157" spans="1:7">
      <c r="A157" s="56"/>
      <c r="B157" s="56"/>
      <c r="C157" s="56"/>
      <c r="D157" s="56"/>
      <c r="E157" s="56"/>
      <c r="F157" s="56"/>
      <c r="G157" s="56"/>
    </row>
    <row r="158" spans="1:7">
      <c r="A158" s="56"/>
      <c r="B158" s="56"/>
      <c r="C158" s="56"/>
      <c r="D158" s="56"/>
      <c r="E158" s="56"/>
      <c r="F158" s="56"/>
      <c r="G158" s="56"/>
    </row>
    <row r="159" spans="1:7">
      <c r="A159" s="56"/>
      <c r="B159" s="56"/>
      <c r="C159" s="56"/>
      <c r="D159" s="56"/>
      <c r="E159" s="56"/>
      <c r="F159" s="56"/>
      <c r="G159" s="56"/>
    </row>
    <row r="160" spans="1:7">
      <c r="A160" s="56"/>
      <c r="B160" s="56"/>
      <c r="C160" s="56"/>
      <c r="D160" s="56"/>
      <c r="E160" s="56"/>
      <c r="F160" s="56"/>
      <c r="G160" s="56"/>
    </row>
    <row r="161" spans="1:7">
      <c r="A161" s="56"/>
      <c r="B161" s="56"/>
      <c r="C161" s="56"/>
      <c r="D161" s="56"/>
      <c r="E161" s="56"/>
      <c r="F161" s="56"/>
      <c r="G161" s="56"/>
    </row>
    <row r="162" spans="1:7">
      <c r="A162" s="56"/>
      <c r="B162" s="56"/>
      <c r="C162" s="56"/>
      <c r="D162" s="56"/>
      <c r="E162" s="56"/>
      <c r="F162" s="56"/>
      <c r="G162" s="56"/>
    </row>
    <row r="163" spans="1:7">
      <c r="A163" s="56"/>
      <c r="B163" s="56"/>
      <c r="C163" s="56"/>
      <c r="D163" s="56"/>
      <c r="E163" s="56"/>
      <c r="F163" s="56"/>
      <c r="G163" s="56"/>
    </row>
    <row r="164" spans="1:7">
      <c r="A164" s="56"/>
      <c r="B164" s="56"/>
      <c r="C164" s="56"/>
      <c r="D164" s="56"/>
      <c r="E164" s="56"/>
      <c r="F164" s="56"/>
      <c r="G164" s="56"/>
    </row>
    <row r="165" spans="1:7">
      <c r="A165" s="56"/>
      <c r="B165" s="56"/>
      <c r="C165" s="56"/>
      <c r="D165" s="56"/>
      <c r="E165" s="56"/>
      <c r="F165" s="56"/>
      <c r="G165" s="56"/>
    </row>
    <row r="166" spans="1:7">
      <c r="A166" s="56"/>
      <c r="B166" s="56"/>
      <c r="C166" s="56"/>
      <c r="D166" s="56"/>
      <c r="E166" s="56"/>
      <c r="F166" s="56"/>
      <c r="G166" s="56"/>
    </row>
    <row r="167" spans="1:7">
      <c r="A167" s="56"/>
      <c r="B167" s="56"/>
      <c r="C167" s="56"/>
      <c r="D167" s="56"/>
      <c r="E167" s="56"/>
      <c r="F167" s="56"/>
      <c r="G167" s="56"/>
    </row>
    <row r="168" spans="1:7">
      <c r="A168" s="56"/>
      <c r="B168" s="56"/>
      <c r="C168" s="56"/>
      <c r="D168" s="56"/>
      <c r="E168" s="56"/>
      <c r="F168" s="56"/>
      <c r="G168" s="56"/>
    </row>
    <row r="169" spans="1:7">
      <c r="A169" s="56"/>
      <c r="B169" s="56"/>
      <c r="C169" s="56"/>
      <c r="D169" s="56"/>
      <c r="E169" s="56"/>
      <c r="F169" s="56"/>
      <c r="G169" s="56"/>
    </row>
    <row r="170" spans="1:7">
      <c r="A170" s="56"/>
      <c r="B170" s="56"/>
      <c r="C170" s="56"/>
      <c r="D170" s="56"/>
      <c r="E170" s="56"/>
      <c r="F170" s="56"/>
      <c r="G170" s="56"/>
    </row>
    <row r="171" spans="1:7">
      <c r="A171" s="56"/>
      <c r="B171" s="56"/>
      <c r="C171" s="56"/>
      <c r="D171" s="56"/>
      <c r="E171" s="56"/>
      <c r="F171" s="56"/>
      <c r="G171" s="56"/>
    </row>
    <row r="172" spans="1:7">
      <c r="A172" s="56"/>
      <c r="B172" s="56"/>
      <c r="C172" s="56"/>
      <c r="D172" s="56"/>
      <c r="E172" s="56"/>
      <c r="F172" s="56"/>
      <c r="G172" s="56"/>
    </row>
    <row r="173" spans="1:7">
      <c r="A173" s="56"/>
      <c r="B173" s="56"/>
      <c r="C173" s="56"/>
      <c r="D173" s="56"/>
      <c r="E173" s="56"/>
      <c r="F173" s="56"/>
      <c r="G173" s="56"/>
    </row>
    <row r="174" spans="1:7">
      <c r="A174" s="56"/>
      <c r="B174" s="56"/>
      <c r="C174" s="56"/>
      <c r="D174" s="56"/>
      <c r="E174" s="56"/>
      <c r="F174" s="56"/>
      <c r="G174" s="56"/>
    </row>
    <row r="175" spans="1:7">
      <c r="A175" s="56"/>
      <c r="B175" s="56"/>
      <c r="C175" s="56"/>
      <c r="D175" s="56"/>
      <c r="E175" s="56"/>
      <c r="F175" s="56"/>
      <c r="G175" s="56"/>
    </row>
    <row r="176" spans="1:7">
      <c r="A176" s="56"/>
      <c r="B176" s="56"/>
      <c r="C176" s="56"/>
      <c r="D176" s="56"/>
      <c r="E176" s="56"/>
      <c r="F176" s="56"/>
      <c r="G176" s="56"/>
    </row>
    <row r="177" spans="1:7">
      <c r="A177" s="56"/>
      <c r="B177" s="56"/>
      <c r="C177" s="56"/>
      <c r="D177" s="56"/>
      <c r="E177" s="56"/>
      <c r="F177" s="56"/>
      <c r="G177" s="56"/>
    </row>
    <row r="178" spans="1:7">
      <c r="A178" s="56"/>
      <c r="B178" s="56"/>
      <c r="C178" s="56"/>
      <c r="D178" s="56"/>
      <c r="E178" s="56"/>
      <c r="F178" s="56"/>
      <c r="G178" s="56"/>
    </row>
    <row r="179" spans="1:7">
      <c r="A179" s="56"/>
      <c r="B179" s="56"/>
      <c r="C179" s="56"/>
      <c r="D179" s="56"/>
      <c r="E179" s="56"/>
      <c r="F179" s="56"/>
      <c r="G179" s="56"/>
    </row>
    <row r="180" spans="1:7">
      <c r="A180" s="56"/>
      <c r="B180" s="56"/>
      <c r="C180" s="56"/>
      <c r="D180" s="56"/>
      <c r="E180" s="56"/>
      <c r="F180" s="56"/>
      <c r="G180" s="56"/>
    </row>
    <row r="181" spans="1:7">
      <c r="A181" s="56"/>
      <c r="B181" s="56"/>
      <c r="C181" s="56"/>
      <c r="D181" s="56"/>
      <c r="E181" s="56"/>
      <c r="F181" s="56"/>
      <c r="G181" s="56"/>
    </row>
    <row r="182" spans="1:7">
      <c r="A182" s="56"/>
      <c r="B182" s="56"/>
      <c r="C182" s="56"/>
      <c r="D182" s="56"/>
      <c r="E182" s="56"/>
      <c r="F182" s="56"/>
      <c r="G182" s="56"/>
    </row>
    <row r="183" spans="1:7">
      <c r="A183" s="56"/>
      <c r="B183" s="56"/>
      <c r="C183" s="56"/>
      <c r="D183" s="56"/>
      <c r="E183" s="56"/>
      <c r="F183" s="56"/>
      <c r="G183" s="56"/>
    </row>
    <row r="184" spans="1:7">
      <c r="A184" s="56"/>
      <c r="B184" s="56"/>
      <c r="C184" s="56"/>
      <c r="D184" s="56"/>
      <c r="E184" s="56"/>
      <c r="F184" s="56"/>
      <c r="G184" s="56"/>
    </row>
    <row r="185" spans="1:7">
      <c r="A185" s="56"/>
      <c r="B185" s="56"/>
      <c r="C185" s="56"/>
      <c r="D185" s="56"/>
      <c r="E185" s="56"/>
      <c r="F185" s="56"/>
      <c r="G185" s="56"/>
    </row>
    <row r="186" spans="1:7">
      <c r="A186" s="56"/>
      <c r="B186" s="56"/>
      <c r="C186" s="56"/>
      <c r="D186" s="56"/>
      <c r="E186" s="56"/>
      <c r="F186" s="56"/>
      <c r="G186" s="56"/>
    </row>
    <row r="187" spans="1:7">
      <c r="A187" s="56"/>
      <c r="B187" s="56"/>
      <c r="C187" s="56"/>
      <c r="D187" s="56"/>
      <c r="E187" s="56"/>
      <c r="F187" s="56"/>
      <c r="G187" s="56"/>
    </row>
    <row r="188" spans="1:7">
      <c r="A188" s="56"/>
      <c r="B188" s="56"/>
      <c r="C188" s="56"/>
      <c r="D188" s="56"/>
      <c r="E188" s="56"/>
      <c r="F188" s="56"/>
      <c r="G188" s="56"/>
    </row>
    <row r="189" spans="1:7">
      <c r="A189" s="56"/>
      <c r="B189" s="56"/>
      <c r="C189" s="56"/>
      <c r="D189" s="56"/>
      <c r="E189" s="56"/>
      <c r="F189" s="56"/>
      <c r="G189" s="56"/>
    </row>
    <row r="190" spans="1:7">
      <c r="A190" s="56"/>
      <c r="B190" s="56"/>
      <c r="C190" s="56"/>
      <c r="D190" s="56"/>
      <c r="E190" s="56"/>
      <c r="F190" s="56"/>
      <c r="G190" s="56"/>
    </row>
    <row r="191" spans="1:7">
      <c r="A191" s="56"/>
      <c r="B191" s="56"/>
      <c r="C191" s="56"/>
      <c r="D191" s="56"/>
      <c r="E191" s="56"/>
      <c r="F191" s="56"/>
      <c r="G191" s="56"/>
    </row>
    <row r="192" spans="1:7">
      <c r="A192" s="56"/>
      <c r="B192" s="56"/>
      <c r="C192" s="56"/>
      <c r="D192" s="56"/>
      <c r="E192" s="56"/>
      <c r="F192" s="56"/>
      <c r="G192" s="56"/>
    </row>
    <row r="193" spans="1:7">
      <c r="A193" s="56"/>
      <c r="B193" s="56"/>
      <c r="C193" s="56"/>
      <c r="D193" s="56"/>
      <c r="E193" s="56"/>
      <c r="F193" s="56"/>
      <c r="G193" s="56"/>
    </row>
    <row r="194" spans="1:7">
      <c r="A194" s="56"/>
      <c r="B194" s="56"/>
      <c r="C194" s="56"/>
      <c r="D194" s="56"/>
      <c r="E194" s="56"/>
      <c r="F194" s="56"/>
      <c r="G194" s="56"/>
    </row>
    <row r="195" spans="1:7">
      <c r="A195" s="56"/>
      <c r="B195" s="56"/>
      <c r="C195" s="56"/>
      <c r="D195" s="56"/>
      <c r="E195" s="56"/>
      <c r="F195" s="56"/>
      <c r="G195" s="56"/>
    </row>
    <row r="196" spans="1:7">
      <c r="A196" s="56"/>
      <c r="B196" s="56"/>
      <c r="C196" s="56"/>
      <c r="D196" s="56"/>
      <c r="E196" s="56"/>
      <c r="F196" s="56"/>
      <c r="G196" s="56"/>
    </row>
    <row r="197" spans="1:7">
      <c r="A197" s="56"/>
      <c r="B197" s="56"/>
      <c r="C197" s="56"/>
      <c r="D197" s="56"/>
      <c r="E197" s="56"/>
      <c r="F197" s="56"/>
      <c r="G197" s="56"/>
    </row>
    <row r="198" spans="1:7">
      <c r="A198" s="56"/>
      <c r="B198" s="56"/>
      <c r="C198" s="56"/>
      <c r="D198" s="56"/>
      <c r="E198" s="56"/>
      <c r="F198" s="56"/>
      <c r="G198" s="56"/>
    </row>
    <row r="199" spans="1:7">
      <c r="A199" s="56"/>
      <c r="B199" s="56"/>
      <c r="C199" s="56"/>
      <c r="D199" s="56"/>
      <c r="E199" s="56"/>
      <c r="F199" s="56"/>
      <c r="G199" s="56"/>
    </row>
    <row r="200" spans="1:7">
      <c r="A200" s="56"/>
      <c r="B200" s="56"/>
      <c r="C200" s="56"/>
      <c r="D200" s="56"/>
      <c r="E200" s="56"/>
      <c r="F200" s="56"/>
      <c r="G200" s="56"/>
    </row>
    <row r="201" spans="1:7">
      <c r="A201" s="56"/>
      <c r="B201" s="56"/>
      <c r="C201" s="56"/>
      <c r="D201" s="56"/>
      <c r="E201" s="56"/>
      <c r="F201" s="56"/>
      <c r="G201" s="56"/>
    </row>
    <row r="202" spans="1:7">
      <c r="A202" s="56"/>
      <c r="B202" s="56"/>
      <c r="C202" s="56"/>
      <c r="D202" s="56"/>
      <c r="E202" s="56"/>
      <c r="F202" s="56"/>
      <c r="G202" s="56"/>
    </row>
    <row r="203" spans="1:7">
      <c r="A203" s="56"/>
      <c r="B203" s="56"/>
      <c r="C203" s="56"/>
      <c r="D203" s="56"/>
      <c r="E203" s="56"/>
      <c r="F203" s="56"/>
      <c r="G203" s="56"/>
    </row>
    <row r="204" spans="1:7">
      <c r="A204" s="56"/>
      <c r="B204" s="56"/>
      <c r="C204" s="56"/>
      <c r="D204" s="56"/>
      <c r="E204" s="56"/>
      <c r="F204" s="56"/>
      <c r="G204" s="56"/>
    </row>
    <row r="205" spans="1:7">
      <c r="A205" s="56"/>
      <c r="B205" s="56"/>
      <c r="C205" s="56"/>
      <c r="D205" s="56"/>
      <c r="E205" s="56"/>
      <c r="F205" s="56"/>
      <c r="G205" s="56"/>
    </row>
    <row r="206" spans="1:7">
      <c r="A206" s="56"/>
      <c r="B206" s="56"/>
      <c r="C206" s="56"/>
      <c r="D206" s="56"/>
      <c r="E206" s="56"/>
      <c r="F206" s="56"/>
      <c r="G206" s="56"/>
    </row>
    <row r="207" spans="1:7">
      <c r="A207" s="56"/>
      <c r="B207" s="56"/>
      <c r="C207" s="56"/>
      <c r="D207" s="56"/>
      <c r="E207" s="56"/>
      <c r="F207" s="56"/>
      <c r="G207" s="56"/>
    </row>
    <row r="208" spans="1:7">
      <c r="A208" s="56"/>
      <c r="B208" s="56"/>
      <c r="C208" s="56"/>
      <c r="D208" s="56"/>
      <c r="E208" s="56"/>
      <c r="F208" s="56"/>
      <c r="G208" s="56"/>
    </row>
    <row r="209" spans="1:7">
      <c r="A209" s="56"/>
      <c r="B209" s="56"/>
      <c r="C209" s="56"/>
      <c r="D209" s="56"/>
      <c r="E209" s="56"/>
      <c r="F209" s="56"/>
      <c r="G209" s="56"/>
    </row>
    <row r="210" spans="1:7">
      <c r="A210" s="56"/>
      <c r="B210" s="56"/>
      <c r="C210" s="56"/>
      <c r="D210" s="56"/>
      <c r="E210" s="56"/>
      <c r="F210" s="56"/>
      <c r="G210" s="56"/>
    </row>
    <row r="211" spans="1:7">
      <c r="A211" s="56"/>
      <c r="B211" s="56"/>
      <c r="C211" s="56"/>
      <c r="D211" s="56"/>
      <c r="E211" s="56"/>
      <c r="F211" s="56"/>
      <c r="G211" s="56"/>
    </row>
    <row r="212" spans="1:7">
      <c r="A212" s="56"/>
      <c r="B212" s="56"/>
      <c r="C212" s="56"/>
      <c r="D212" s="56"/>
      <c r="E212" s="56"/>
      <c r="F212" s="56"/>
      <c r="G212" s="56"/>
    </row>
    <row r="213" spans="1:7">
      <c r="A213" s="56"/>
      <c r="B213" s="56"/>
      <c r="C213" s="56"/>
      <c r="D213" s="56"/>
      <c r="E213" s="56"/>
      <c r="F213" s="56"/>
      <c r="G213" s="56"/>
    </row>
    <row r="214" spans="1:7">
      <c r="A214" s="56"/>
      <c r="B214" s="56"/>
      <c r="C214" s="56"/>
      <c r="D214" s="56"/>
      <c r="E214" s="56"/>
      <c r="F214" s="56"/>
      <c r="G214" s="56"/>
    </row>
    <row r="215" spans="1:7">
      <c r="A215" s="56"/>
      <c r="B215" s="56"/>
      <c r="C215" s="56"/>
      <c r="D215" s="56"/>
      <c r="E215" s="56"/>
      <c r="F215" s="56"/>
      <c r="G215" s="56"/>
    </row>
    <row r="216" spans="1:7">
      <c r="A216" s="56"/>
      <c r="B216" s="56"/>
      <c r="C216" s="56"/>
      <c r="D216" s="56"/>
      <c r="E216" s="56"/>
      <c r="F216" s="56"/>
      <c r="G216" s="56"/>
    </row>
    <row r="217" spans="1:7">
      <c r="A217" s="56"/>
      <c r="B217" s="56"/>
      <c r="C217" s="56"/>
      <c r="D217" s="56"/>
      <c r="E217" s="56"/>
      <c r="F217" s="56"/>
      <c r="G217" s="56"/>
    </row>
    <row r="218" spans="1:7">
      <c r="A218" s="56"/>
      <c r="B218" s="56"/>
      <c r="C218" s="56"/>
      <c r="D218" s="56"/>
      <c r="E218" s="56"/>
      <c r="F218" s="56"/>
      <c r="G218" s="56"/>
    </row>
    <row r="219" spans="1:7">
      <c r="A219" s="56"/>
      <c r="B219" s="56"/>
      <c r="C219" s="56"/>
      <c r="D219" s="56"/>
      <c r="E219" s="56"/>
      <c r="F219" s="56"/>
      <c r="G219" s="56"/>
    </row>
    <row r="220" spans="1:7">
      <c r="A220" s="56"/>
      <c r="B220" s="56"/>
      <c r="C220" s="56"/>
      <c r="D220" s="56"/>
      <c r="E220" s="56"/>
      <c r="F220" s="56"/>
      <c r="G220" s="56"/>
    </row>
    <row r="221" spans="1:7">
      <c r="A221" s="56"/>
      <c r="B221" s="56"/>
      <c r="C221" s="56"/>
      <c r="D221" s="56"/>
      <c r="E221" s="56"/>
      <c r="F221" s="56"/>
      <c r="G221" s="56"/>
    </row>
    <row r="222" spans="1:7">
      <c r="A222" s="56"/>
      <c r="B222" s="56"/>
      <c r="C222" s="56"/>
      <c r="D222" s="56"/>
      <c r="E222" s="56"/>
      <c r="F222" s="56"/>
      <c r="G222" s="56"/>
    </row>
    <row r="223" spans="1:7">
      <c r="A223" s="56"/>
      <c r="B223" s="56"/>
      <c r="C223" s="56"/>
      <c r="D223" s="56"/>
      <c r="E223" s="56"/>
      <c r="F223" s="56"/>
      <c r="G223" s="56"/>
    </row>
    <row r="224" spans="1:7">
      <c r="A224" s="56"/>
      <c r="B224" s="56"/>
      <c r="C224" s="56"/>
      <c r="D224" s="56"/>
      <c r="E224" s="56"/>
      <c r="F224" s="56"/>
      <c r="G224" s="56"/>
    </row>
    <row r="225" spans="1:7">
      <c r="A225" s="56"/>
      <c r="B225" s="56"/>
      <c r="C225" s="56"/>
      <c r="D225" s="56"/>
      <c r="E225" s="56"/>
      <c r="F225" s="56"/>
      <c r="G225" s="56"/>
    </row>
    <row r="226" spans="1:7">
      <c r="A226" s="56"/>
      <c r="B226" s="56"/>
      <c r="C226" s="56"/>
      <c r="D226" s="56"/>
      <c r="E226" s="56"/>
      <c r="F226" s="56"/>
      <c r="G226" s="56"/>
    </row>
    <row r="227" spans="1:7">
      <c r="A227" s="56"/>
      <c r="B227" s="56"/>
      <c r="C227" s="56"/>
      <c r="D227" s="56"/>
      <c r="E227" s="56"/>
      <c r="F227" s="56"/>
      <c r="G227" s="56"/>
    </row>
    <row r="228" spans="1:7">
      <c r="A228" s="56"/>
      <c r="B228" s="56"/>
      <c r="C228" s="56"/>
      <c r="D228" s="56"/>
      <c r="E228" s="56"/>
      <c r="F228" s="56"/>
      <c r="G228" s="56"/>
    </row>
    <row r="229" spans="1:7">
      <c r="A229" s="56"/>
      <c r="B229" s="56"/>
      <c r="C229" s="56"/>
      <c r="D229" s="56"/>
      <c r="E229" s="56"/>
      <c r="F229" s="56"/>
      <c r="G229" s="56"/>
    </row>
    <row r="230" spans="1:7">
      <c r="A230" s="56"/>
      <c r="B230" s="56"/>
      <c r="C230" s="56"/>
      <c r="D230" s="56"/>
      <c r="E230" s="56"/>
      <c r="F230" s="56"/>
      <c r="G230" s="56"/>
    </row>
    <row r="231" spans="1:7">
      <c r="A231" s="56"/>
      <c r="B231" s="56"/>
      <c r="C231" s="56"/>
      <c r="D231" s="56"/>
      <c r="E231" s="56"/>
      <c r="F231" s="56"/>
      <c r="G231" s="56"/>
    </row>
    <row r="232" spans="1:7">
      <c r="A232" s="56"/>
      <c r="B232" s="56"/>
      <c r="C232" s="56"/>
      <c r="D232" s="56"/>
      <c r="E232" s="56"/>
      <c r="F232" s="56"/>
      <c r="G232" s="56"/>
    </row>
    <row r="233" spans="1:7">
      <c r="A233" s="56"/>
      <c r="B233" s="56"/>
      <c r="C233" s="56"/>
      <c r="D233" s="56"/>
      <c r="E233" s="56"/>
      <c r="F233" s="56"/>
      <c r="G233" s="56"/>
    </row>
    <row r="234" spans="1:7">
      <c r="A234" s="56"/>
      <c r="B234" s="56"/>
      <c r="C234" s="56"/>
      <c r="D234" s="56"/>
      <c r="E234" s="56"/>
      <c r="F234" s="56"/>
      <c r="G234" s="56"/>
    </row>
    <row r="235" spans="1:7">
      <c r="A235" s="56"/>
      <c r="B235" s="56"/>
      <c r="C235" s="56"/>
      <c r="D235" s="56"/>
      <c r="E235" s="56"/>
      <c r="F235" s="56"/>
      <c r="G235" s="56"/>
    </row>
    <row r="236" spans="1:7">
      <c r="A236" s="56"/>
      <c r="B236" s="56"/>
      <c r="C236" s="56"/>
      <c r="D236" s="56"/>
      <c r="E236" s="56"/>
      <c r="F236" s="56"/>
      <c r="G236" s="56"/>
    </row>
    <row r="237" spans="1:7">
      <c r="A237" s="56"/>
      <c r="B237" s="56"/>
      <c r="C237" s="56"/>
      <c r="D237" s="56"/>
      <c r="E237" s="56"/>
      <c r="F237" s="56"/>
      <c r="G237" s="56"/>
    </row>
    <row r="238" spans="1:7">
      <c r="A238" s="56"/>
      <c r="B238" s="56"/>
      <c r="C238" s="56"/>
      <c r="D238" s="56"/>
      <c r="E238" s="56"/>
      <c r="F238" s="56"/>
      <c r="G238" s="56"/>
    </row>
    <row r="239" spans="1:7">
      <c r="A239" s="56"/>
      <c r="B239" s="56"/>
      <c r="C239" s="56"/>
      <c r="D239" s="56"/>
      <c r="E239" s="56"/>
      <c r="F239" s="56"/>
      <c r="G239" s="56"/>
    </row>
    <row r="240" spans="1:7">
      <c r="A240" s="56"/>
      <c r="B240" s="56"/>
      <c r="C240" s="56"/>
      <c r="D240" s="56"/>
      <c r="E240" s="56"/>
      <c r="F240" s="56"/>
      <c r="G240" s="56"/>
    </row>
    <row r="241" spans="1:7">
      <c r="A241" s="56"/>
      <c r="B241" s="56"/>
      <c r="C241" s="56"/>
      <c r="D241" s="56"/>
      <c r="E241" s="56"/>
      <c r="F241" s="56"/>
      <c r="G241" s="56"/>
    </row>
    <row r="242" spans="1:7">
      <c r="A242" s="56"/>
      <c r="B242" s="56"/>
      <c r="C242" s="56"/>
      <c r="D242" s="56"/>
      <c r="E242" s="56"/>
      <c r="F242" s="56"/>
      <c r="G242" s="56"/>
    </row>
    <row r="243" spans="1:7">
      <c r="A243" s="56"/>
      <c r="B243" s="56"/>
      <c r="C243" s="56"/>
      <c r="D243" s="56"/>
      <c r="E243" s="56"/>
      <c r="F243" s="56"/>
      <c r="G243" s="56"/>
    </row>
    <row r="244" spans="1:7">
      <c r="A244" s="56"/>
      <c r="B244" s="56"/>
      <c r="C244" s="56"/>
      <c r="D244" s="56"/>
      <c r="E244" s="56"/>
      <c r="F244" s="56"/>
      <c r="G244" s="56"/>
    </row>
    <row r="245" spans="1:7">
      <c r="A245" s="56"/>
      <c r="B245" s="56"/>
      <c r="C245" s="56"/>
      <c r="D245" s="56"/>
      <c r="E245" s="56"/>
      <c r="F245" s="56"/>
      <c r="G245" s="56"/>
    </row>
    <row r="246" spans="1:7">
      <c r="A246" s="56"/>
      <c r="B246" s="56"/>
      <c r="C246" s="56"/>
      <c r="D246" s="56"/>
      <c r="E246" s="56"/>
      <c r="F246" s="56"/>
      <c r="G246" s="56"/>
    </row>
    <row r="247" spans="1:7">
      <c r="A247" s="56"/>
      <c r="B247" s="56"/>
      <c r="C247" s="56"/>
      <c r="D247" s="56"/>
      <c r="E247" s="56"/>
      <c r="F247" s="56"/>
      <c r="G247" s="56"/>
    </row>
    <row r="248" spans="1:7">
      <c r="A248" s="56"/>
      <c r="B248" s="56"/>
      <c r="C248" s="56"/>
      <c r="D248" s="56"/>
      <c r="E248" s="56"/>
      <c r="F248" s="56"/>
      <c r="G248" s="56"/>
    </row>
    <row r="249" spans="1:7">
      <c r="A249" s="56"/>
      <c r="B249" s="56"/>
      <c r="C249" s="56"/>
      <c r="D249" s="56"/>
      <c r="E249" s="56"/>
      <c r="F249" s="56"/>
      <c r="G249" s="56"/>
    </row>
    <row r="250" spans="1:7">
      <c r="A250" s="56"/>
      <c r="B250" s="56"/>
      <c r="C250" s="56"/>
      <c r="D250" s="56"/>
      <c r="E250" s="56"/>
      <c r="F250" s="56"/>
      <c r="G250" s="56"/>
    </row>
    <row r="251" spans="1:7">
      <c r="A251" s="56"/>
      <c r="B251" s="56"/>
      <c r="C251" s="56"/>
      <c r="D251" s="56"/>
      <c r="E251" s="56"/>
      <c r="F251" s="56"/>
      <c r="G251" s="56"/>
    </row>
    <row r="252" spans="1:7">
      <c r="A252" s="56"/>
      <c r="B252" s="56"/>
      <c r="C252" s="56"/>
      <c r="D252" s="56"/>
      <c r="E252" s="56"/>
      <c r="F252" s="56"/>
      <c r="G252" s="56"/>
    </row>
    <row r="253" spans="1:7">
      <c r="A253" s="56"/>
      <c r="B253" s="56"/>
      <c r="C253" s="56"/>
      <c r="D253" s="56"/>
      <c r="E253" s="56"/>
      <c r="F253" s="56"/>
      <c r="G253" s="56"/>
    </row>
    <row r="254" spans="1:7">
      <c r="A254" s="56"/>
      <c r="B254" s="56"/>
      <c r="C254" s="56"/>
      <c r="D254" s="56"/>
      <c r="E254" s="56"/>
      <c r="F254" s="56"/>
      <c r="G254" s="56"/>
    </row>
    <row r="255" spans="1:7">
      <c r="A255" s="56"/>
      <c r="B255" s="56"/>
      <c r="C255" s="56"/>
      <c r="D255" s="56"/>
      <c r="E255" s="56"/>
      <c r="F255" s="56"/>
      <c r="G255" s="56"/>
    </row>
    <row r="256" spans="1:7">
      <c r="A256" s="56"/>
      <c r="B256" s="56"/>
      <c r="C256" s="56"/>
      <c r="D256" s="56"/>
      <c r="E256" s="56"/>
      <c r="F256" s="56"/>
      <c r="G256" s="56"/>
    </row>
    <row r="257" spans="1:7">
      <c r="A257" s="56"/>
      <c r="B257" s="56"/>
      <c r="C257" s="56"/>
      <c r="D257" s="56"/>
      <c r="E257" s="56"/>
      <c r="F257" s="56"/>
      <c r="G257" s="56"/>
    </row>
    <row r="258" spans="1:7">
      <c r="A258" s="56"/>
      <c r="B258" s="56"/>
      <c r="C258" s="56"/>
      <c r="D258" s="56"/>
      <c r="E258" s="56"/>
      <c r="F258" s="56"/>
      <c r="G258" s="56"/>
    </row>
    <row r="259" spans="1:7">
      <c r="A259" s="56"/>
      <c r="B259" s="56"/>
      <c r="C259" s="56"/>
      <c r="D259" s="56"/>
      <c r="E259" s="56"/>
      <c r="F259" s="56"/>
      <c r="G259" s="56"/>
    </row>
    <row r="260" spans="1:7">
      <c r="A260" s="56"/>
      <c r="B260" s="56"/>
      <c r="C260" s="56"/>
      <c r="D260" s="56"/>
      <c r="E260" s="56"/>
      <c r="F260" s="56"/>
      <c r="G260" s="56"/>
    </row>
    <row r="261" spans="1:7">
      <c r="A261" s="56"/>
      <c r="B261" s="56"/>
      <c r="C261" s="56"/>
      <c r="D261" s="56"/>
      <c r="E261" s="56"/>
      <c r="F261" s="56"/>
      <c r="G261" s="56"/>
    </row>
    <row r="262" spans="1:7">
      <c r="A262" s="56"/>
      <c r="B262" s="56"/>
      <c r="C262" s="56"/>
      <c r="D262" s="56"/>
      <c r="E262" s="56"/>
      <c r="F262" s="56"/>
      <c r="G262" s="56"/>
    </row>
    <row r="263" spans="1:7">
      <c r="A263" s="56"/>
      <c r="B263" s="56"/>
      <c r="C263" s="56"/>
      <c r="D263" s="56"/>
      <c r="E263" s="56"/>
      <c r="F263" s="56"/>
      <c r="G263" s="56"/>
    </row>
    <row r="264" spans="1:7">
      <c r="A264" s="56"/>
      <c r="B264" s="56"/>
      <c r="C264" s="56"/>
      <c r="D264" s="56"/>
      <c r="E264" s="56"/>
      <c r="F264" s="56"/>
      <c r="G264" s="56"/>
    </row>
    <row r="265" spans="1:7">
      <c r="A265" s="56"/>
      <c r="B265" s="56"/>
      <c r="C265" s="56"/>
      <c r="D265" s="56"/>
      <c r="E265" s="56"/>
      <c r="F265" s="56"/>
      <c r="G265" s="56"/>
    </row>
    <row r="266" spans="1:7">
      <c r="A266" s="56"/>
      <c r="B266" s="56"/>
      <c r="C266" s="56"/>
      <c r="D266" s="56"/>
      <c r="E266" s="56"/>
      <c r="F266" s="56"/>
      <c r="G266" s="56"/>
    </row>
    <row r="267" spans="1:7">
      <c r="A267" s="56"/>
      <c r="B267" s="56"/>
      <c r="C267" s="56"/>
      <c r="D267" s="56"/>
      <c r="E267" s="56"/>
      <c r="F267" s="56"/>
      <c r="G267" s="56"/>
    </row>
    <row r="268" spans="1:7">
      <c r="A268" s="56"/>
      <c r="B268" s="56"/>
      <c r="C268" s="56"/>
      <c r="D268" s="56"/>
      <c r="E268" s="56"/>
      <c r="F268" s="56"/>
      <c r="G268" s="56"/>
    </row>
    <row r="269" spans="1:7">
      <c r="A269" s="56"/>
      <c r="B269" s="56"/>
      <c r="C269" s="56"/>
      <c r="D269" s="56"/>
      <c r="E269" s="56"/>
      <c r="F269" s="56"/>
      <c r="G269" s="56"/>
    </row>
    <row r="270" spans="1:7">
      <c r="A270" s="56"/>
      <c r="B270" s="56"/>
      <c r="C270" s="56"/>
      <c r="D270" s="56"/>
      <c r="E270" s="56"/>
      <c r="F270" s="56"/>
      <c r="G270" s="56"/>
    </row>
    <row r="271" spans="1:7">
      <c r="A271" s="56"/>
      <c r="B271" s="56"/>
      <c r="C271" s="56"/>
      <c r="D271" s="56"/>
      <c r="E271" s="56"/>
      <c r="F271" s="56"/>
      <c r="G271" s="56"/>
    </row>
    <row r="272" spans="1:7">
      <c r="A272" s="56"/>
      <c r="B272" s="56"/>
      <c r="C272" s="56"/>
      <c r="D272" s="56"/>
      <c r="E272" s="56"/>
      <c r="F272" s="56"/>
      <c r="G272" s="56"/>
    </row>
    <row r="273" spans="1:7">
      <c r="A273" s="56"/>
      <c r="B273" s="56"/>
      <c r="C273" s="56"/>
      <c r="D273" s="56"/>
      <c r="E273" s="56"/>
      <c r="F273" s="56"/>
      <c r="G273" s="56"/>
    </row>
    <row r="274" spans="1:7">
      <c r="A274" s="56"/>
      <c r="B274" s="56"/>
      <c r="C274" s="56"/>
      <c r="D274" s="56"/>
      <c r="E274" s="56"/>
      <c r="F274" s="56"/>
      <c r="G274" s="56"/>
    </row>
    <row r="275" spans="1:7">
      <c r="A275" s="56"/>
      <c r="B275" s="56"/>
      <c r="C275" s="56"/>
      <c r="D275" s="56"/>
      <c r="E275" s="56"/>
      <c r="F275" s="56"/>
      <c r="G275" s="56"/>
    </row>
    <row r="276" spans="1:7">
      <c r="A276" s="56"/>
      <c r="B276" s="56"/>
      <c r="C276" s="56"/>
      <c r="D276" s="56"/>
      <c r="E276" s="56"/>
      <c r="F276" s="56"/>
      <c r="G276" s="56"/>
    </row>
    <row r="277" spans="1:7">
      <c r="A277" s="56"/>
      <c r="B277" s="56"/>
      <c r="C277" s="56"/>
      <c r="D277" s="56"/>
      <c r="E277" s="56"/>
      <c r="F277" s="56"/>
      <c r="G277" s="56"/>
    </row>
    <row r="278" spans="1:7">
      <c r="A278" s="56"/>
      <c r="B278" s="56"/>
      <c r="C278" s="56"/>
      <c r="D278" s="56"/>
      <c r="E278" s="56"/>
      <c r="F278" s="56"/>
      <c r="G278" s="56"/>
    </row>
    <row r="279" spans="1:7">
      <c r="A279" s="56"/>
      <c r="B279" s="56"/>
      <c r="C279" s="56"/>
      <c r="D279" s="56"/>
      <c r="E279" s="56"/>
      <c r="F279" s="56"/>
      <c r="G279" s="56"/>
    </row>
    <row r="280" spans="1:7">
      <c r="A280" s="56"/>
      <c r="B280" s="56"/>
      <c r="C280" s="56"/>
      <c r="D280" s="56"/>
      <c r="E280" s="56"/>
      <c r="F280" s="56"/>
      <c r="G280" s="56"/>
    </row>
    <row r="281" spans="1:7">
      <c r="A281" s="56"/>
      <c r="B281" s="56"/>
      <c r="C281" s="56"/>
      <c r="D281" s="56"/>
      <c r="E281" s="56"/>
      <c r="F281" s="56"/>
      <c r="G281" s="56"/>
    </row>
    <row r="282" spans="1:7">
      <c r="A282" s="56"/>
      <c r="B282" s="56"/>
      <c r="C282" s="56"/>
      <c r="D282" s="56"/>
      <c r="E282" s="56"/>
      <c r="F282" s="56"/>
      <c r="G282" s="56"/>
    </row>
    <row r="283" spans="1:7">
      <c r="A283" s="56"/>
      <c r="B283" s="56"/>
      <c r="C283" s="56"/>
      <c r="D283" s="56"/>
      <c r="E283" s="56"/>
      <c r="F283" s="56"/>
      <c r="G283" s="56"/>
    </row>
    <row r="284" spans="1:7">
      <c r="A284" s="56"/>
      <c r="B284" s="56"/>
      <c r="C284" s="56"/>
      <c r="D284" s="56"/>
      <c r="E284" s="56"/>
      <c r="F284" s="56"/>
      <c r="G284" s="56"/>
    </row>
    <row r="285" spans="1:7">
      <c r="A285" s="56"/>
      <c r="B285" s="56"/>
      <c r="C285" s="56"/>
      <c r="D285" s="56"/>
      <c r="E285" s="56"/>
      <c r="F285" s="56"/>
      <c r="G285" s="56"/>
    </row>
    <row r="286" spans="1:7">
      <c r="A286" s="56"/>
      <c r="B286" s="56"/>
      <c r="C286" s="56"/>
      <c r="D286" s="56"/>
      <c r="E286" s="56"/>
      <c r="F286" s="56"/>
      <c r="G286" s="56"/>
    </row>
    <row r="287" spans="1:7">
      <c r="A287" s="56"/>
      <c r="B287" s="56"/>
      <c r="C287" s="56"/>
      <c r="D287" s="56"/>
      <c r="E287" s="56"/>
      <c r="F287" s="56"/>
      <c r="G287" s="56"/>
    </row>
    <row r="288" spans="1:7">
      <c r="A288" s="56"/>
      <c r="B288" s="56"/>
      <c r="C288" s="56"/>
      <c r="D288" s="56"/>
      <c r="E288" s="56"/>
      <c r="F288" s="56"/>
      <c r="G288" s="56"/>
    </row>
    <row r="289" spans="1:7">
      <c r="A289" s="56"/>
      <c r="B289" s="56"/>
      <c r="C289" s="56"/>
      <c r="D289" s="56"/>
      <c r="E289" s="56"/>
      <c r="F289" s="56"/>
      <c r="G289" s="56"/>
    </row>
    <row r="290" spans="1:7">
      <c r="A290" s="56"/>
      <c r="B290" s="56"/>
      <c r="C290" s="56"/>
      <c r="D290" s="56"/>
      <c r="E290" s="56"/>
      <c r="F290" s="56"/>
      <c r="G290" s="56"/>
    </row>
    <row r="291" spans="1:7">
      <c r="A291" s="56"/>
      <c r="B291" s="56"/>
      <c r="C291" s="56"/>
      <c r="D291" s="56"/>
      <c r="E291" s="56"/>
      <c r="F291" s="56"/>
      <c r="G291" s="56"/>
    </row>
    <row r="292" spans="1:7">
      <c r="A292" s="56"/>
      <c r="B292" s="56"/>
      <c r="C292" s="56"/>
      <c r="D292" s="56"/>
      <c r="E292" s="56"/>
      <c r="F292" s="56"/>
      <c r="G292" s="56"/>
    </row>
    <row r="293" spans="1:7">
      <c r="A293" s="56"/>
      <c r="B293" s="56"/>
      <c r="C293" s="56"/>
      <c r="D293" s="56"/>
      <c r="E293" s="56"/>
      <c r="F293" s="56"/>
      <c r="G293" s="56"/>
    </row>
    <row r="294" spans="1:7">
      <c r="A294" s="56"/>
      <c r="B294" s="56"/>
      <c r="C294" s="56"/>
      <c r="D294" s="56"/>
      <c r="E294" s="56"/>
      <c r="F294" s="56"/>
      <c r="G294" s="56"/>
    </row>
    <row r="295" spans="1:7">
      <c r="A295" s="56"/>
      <c r="B295" s="56"/>
      <c r="C295" s="56"/>
      <c r="D295" s="56"/>
      <c r="E295" s="56"/>
      <c r="F295" s="56"/>
      <c r="G295" s="56"/>
    </row>
    <row r="296" spans="1:7">
      <c r="A296" s="56"/>
      <c r="B296" s="56"/>
      <c r="C296" s="56"/>
      <c r="D296" s="56"/>
      <c r="E296" s="56"/>
      <c r="F296" s="56"/>
      <c r="G296" s="56"/>
    </row>
    <row r="297" spans="1:7">
      <c r="A297" s="56"/>
      <c r="B297" s="56"/>
      <c r="C297" s="56"/>
      <c r="D297" s="56"/>
      <c r="E297" s="56"/>
      <c r="F297" s="56"/>
      <c r="G297" s="56"/>
    </row>
    <row r="298" spans="1:7">
      <c r="A298" s="56"/>
      <c r="B298" s="56"/>
      <c r="C298" s="56"/>
      <c r="D298" s="56"/>
      <c r="E298" s="56"/>
      <c r="F298" s="56"/>
      <c r="G298" s="56"/>
    </row>
    <row r="299" spans="1:7">
      <c r="A299" s="56"/>
      <c r="B299" s="56"/>
      <c r="C299" s="56"/>
      <c r="D299" s="56"/>
      <c r="E299" s="56"/>
      <c r="F299" s="56"/>
      <c r="G299" s="56"/>
    </row>
    <row r="300" spans="1:7">
      <c r="A300" s="56"/>
      <c r="B300" s="56"/>
      <c r="C300" s="56"/>
      <c r="D300" s="56"/>
      <c r="E300" s="56"/>
      <c r="F300" s="56"/>
      <c r="G300" s="56"/>
    </row>
    <row r="301" spans="1:7">
      <c r="A301" s="56"/>
      <c r="B301" s="56"/>
      <c r="C301" s="56"/>
      <c r="D301" s="56"/>
      <c r="E301" s="56"/>
      <c r="F301" s="56"/>
      <c r="G301" s="56"/>
    </row>
    <row r="302" spans="1:7">
      <c r="A302" s="56"/>
      <c r="B302" s="56"/>
      <c r="C302" s="56"/>
      <c r="D302" s="56"/>
      <c r="E302" s="56"/>
      <c r="F302" s="56"/>
      <c r="G302" s="56"/>
    </row>
    <row r="303" spans="1:7">
      <c r="A303" s="56"/>
      <c r="B303" s="56"/>
      <c r="C303" s="56"/>
      <c r="D303" s="56"/>
      <c r="E303" s="56"/>
      <c r="F303" s="56"/>
      <c r="G303" s="56"/>
    </row>
    <row r="304" spans="1:7">
      <c r="A304" s="56"/>
      <c r="B304" s="56"/>
      <c r="C304" s="56"/>
      <c r="D304" s="56"/>
      <c r="E304" s="56"/>
      <c r="F304" s="56"/>
      <c r="G304" s="56"/>
    </row>
    <row r="305" spans="1:7">
      <c r="A305" s="56"/>
      <c r="B305" s="56"/>
      <c r="C305" s="56"/>
      <c r="D305" s="56"/>
      <c r="E305" s="56"/>
      <c r="F305" s="56"/>
      <c r="G305" s="56"/>
    </row>
    <row r="306" spans="1:7">
      <c r="A306" s="56"/>
      <c r="B306" s="56"/>
      <c r="C306" s="56"/>
      <c r="D306" s="56"/>
      <c r="E306" s="56"/>
      <c r="F306" s="56"/>
      <c r="G306" s="56"/>
    </row>
    <row r="307" spans="1:7">
      <c r="A307" s="56"/>
      <c r="B307" s="56"/>
      <c r="C307" s="56"/>
      <c r="D307" s="56"/>
      <c r="E307" s="56"/>
      <c r="F307" s="56"/>
      <c r="G307" s="56"/>
    </row>
    <row r="308" spans="1:7">
      <c r="A308" s="56"/>
      <c r="B308" s="56"/>
      <c r="C308" s="56"/>
      <c r="D308" s="56"/>
      <c r="E308" s="56"/>
      <c r="F308" s="56"/>
      <c r="G308" s="56"/>
    </row>
    <row r="309" spans="1:7">
      <c r="A309" s="56"/>
      <c r="B309" s="56"/>
      <c r="C309" s="56"/>
      <c r="D309" s="56"/>
      <c r="E309" s="56"/>
      <c r="F309" s="56"/>
      <c r="G309" s="56"/>
    </row>
    <row r="310" spans="1:7">
      <c r="A310" s="56"/>
      <c r="B310" s="56"/>
      <c r="C310" s="56"/>
      <c r="D310" s="56"/>
      <c r="E310" s="56"/>
      <c r="F310" s="56"/>
      <c r="G310" s="56"/>
    </row>
    <row r="311" spans="1:7">
      <c r="A311" s="56"/>
      <c r="B311" s="56"/>
      <c r="C311" s="56"/>
      <c r="D311" s="56"/>
      <c r="E311" s="56"/>
      <c r="F311" s="56"/>
      <c r="G311" s="56"/>
    </row>
    <row r="312" spans="1:7">
      <c r="A312" s="56"/>
      <c r="B312" s="56"/>
      <c r="C312" s="56"/>
      <c r="D312" s="56"/>
      <c r="E312" s="56"/>
      <c r="F312" s="56"/>
      <c r="G312" s="56"/>
    </row>
    <row r="313" spans="1:7">
      <c r="A313" s="56"/>
      <c r="B313" s="56"/>
      <c r="C313" s="56"/>
      <c r="D313" s="56"/>
      <c r="E313" s="56"/>
      <c r="F313" s="56"/>
      <c r="G313" s="56"/>
    </row>
    <row r="314" spans="1:7">
      <c r="A314" s="56"/>
      <c r="B314" s="56"/>
      <c r="C314" s="56"/>
      <c r="D314" s="56"/>
      <c r="E314" s="56"/>
      <c r="F314" s="56"/>
      <c r="G314" s="56"/>
    </row>
    <row r="315" spans="1:7">
      <c r="A315" s="56"/>
      <c r="B315" s="56"/>
      <c r="C315" s="56"/>
      <c r="D315" s="56"/>
      <c r="E315" s="56"/>
      <c r="F315" s="56"/>
      <c r="G315" s="56"/>
    </row>
    <row r="316" spans="1:7">
      <c r="A316" s="56"/>
      <c r="B316" s="56"/>
      <c r="C316" s="56"/>
      <c r="D316" s="56"/>
      <c r="E316" s="56"/>
      <c r="F316" s="56"/>
      <c r="G316" s="56"/>
    </row>
    <row r="317" spans="1:7">
      <c r="A317" s="56"/>
      <c r="B317" s="56"/>
      <c r="C317" s="56"/>
      <c r="D317" s="56"/>
      <c r="E317" s="56"/>
      <c r="F317" s="56"/>
      <c r="G317" s="56"/>
    </row>
    <row r="318" spans="1:7">
      <c r="A318" s="56"/>
      <c r="B318" s="56"/>
      <c r="C318" s="56"/>
      <c r="D318" s="56"/>
      <c r="E318" s="56"/>
      <c r="F318" s="56"/>
      <c r="G318" s="56"/>
    </row>
    <row r="319" spans="1:7">
      <c r="A319" s="56"/>
      <c r="B319" s="56"/>
      <c r="C319" s="56"/>
      <c r="D319" s="56"/>
      <c r="E319" s="56"/>
      <c r="F319" s="56"/>
      <c r="G319" s="56"/>
    </row>
    <row r="320" spans="1:7">
      <c r="A320" s="56"/>
      <c r="B320" s="56"/>
      <c r="C320" s="56"/>
      <c r="D320" s="56"/>
      <c r="E320" s="56"/>
      <c r="F320" s="56"/>
      <c r="G320" s="56"/>
    </row>
    <row r="321" spans="1:7">
      <c r="A321" s="56"/>
      <c r="B321" s="56"/>
      <c r="C321" s="56"/>
      <c r="D321" s="56"/>
      <c r="E321" s="56"/>
      <c r="F321" s="56"/>
      <c r="G321" s="56"/>
    </row>
    <row r="322" spans="1:7">
      <c r="A322" s="56"/>
      <c r="B322" s="56"/>
      <c r="C322" s="56"/>
      <c r="D322" s="56"/>
      <c r="E322" s="56"/>
      <c r="F322" s="56"/>
      <c r="G322" s="56"/>
    </row>
    <row r="323" spans="1:7">
      <c r="A323" s="56"/>
      <c r="B323" s="56"/>
      <c r="C323" s="56"/>
      <c r="D323" s="56"/>
      <c r="E323" s="56"/>
      <c r="F323" s="56"/>
      <c r="G323" s="56"/>
    </row>
    <row r="324" spans="1:7">
      <c r="A324" s="56"/>
      <c r="B324" s="56"/>
      <c r="C324" s="56"/>
      <c r="D324" s="56"/>
      <c r="E324" s="56"/>
      <c r="F324" s="56"/>
      <c r="G324" s="56"/>
    </row>
    <row r="325" spans="1:7">
      <c r="A325" s="56"/>
      <c r="B325" s="56"/>
      <c r="C325" s="56"/>
      <c r="D325" s="56"/>
      <c r="E325" s="56"/>
      <c r="F325" s="56"/>
      <c r="G325" s="56"/>
    </row>
    <row r="326" spans="1:7">
      <c r="A326" s="56"/>
      <c r="B326" s="56"/>
      <c r="C326" s="56"/>
      <c r="D326" s="56"/>
      <c r="E326" s="56"/>
      <c r="F326" s="56"/>
      <c r="G326" s="56"/>
    </row>
    <row r="327" spans="1:7">
      <c r="A327" s="56"/>
      <c r="B327" s="56"/>
      <c r="C327" s="56"/>
      <c r="D327" s="56"/>
      <c r="E327" s="56"/>
      <c r="F327" s="56"/>
      <c r="G327" s="56"/>
    </row>
    <row r="328" spans="1:7">
      <c r="A328" s="56"/>
      <c r="B328" s="56"/>
      <c r="C328" s="56"/>
      <c r="D328" s="56"/>
      <c r="E328" s="56"/>
      <c r="F328" s="56"/>
      <c r="G328" s="56"/>
    </row>
    <row r="329" spans="1:7">
      <c r="A329" s="56"/>
      <c r="B329" s="56"/>
      <c r="C329" s="56"/>
      <c r="D329" s="56"/>
      <c r="E329" s="56"/>
      <c r="F329" s="56"/>
      <c r="G329" s="56"/>
    </row>
    <row r="330" spans="1:7">
      <c r="A330" s="56"/>
      <c r="B330" s="56"/>
      <c r="C330" s="56"/>
      <c r="D330" s="56"/>
      <c r="E330" s="56"/>
      <c r="F330" s="56"/>
      <c r="G330" s="56"/>
    </row>
    <row r="331" spans="1:7">
      <c r="A331" s="56"/>
      <c r="B331" s="56"/>
      <c r="C331" s="56"/>
      <c r="D331" s="56"/>
      <c r="E331" s="56"/>
      <c r="F331" s="56"/>
      <c r="G331" s="56"/>
    </row>
    <row r="332" spans="1:7">
      <c r="A332" s="56"/>
      <c r="B332" s="56"/>
      <c r="C332" s="56"/>
      <c r="D332" s="56"/>
      <c r="E332" s="56"/>
      <c r="F332" s="56"/>
      <c r="G332" s="56"/>
    </row>
    <row r="333" spans="1:7">
      <c r="A333" s="56"/>
      <c r="B333" s="56"/>
      <c r="C333" s="56"/>
      <c r="D333" s="56"/>
      <c r="E333" s="56"/>
      <c r="F333" s="56"/>
      <c r="G333" s="56"/>
    </row>
    <row r="334" spans="1:7">
      <c r="A334" s="56"/>
      <c r="B334" s="56"/>
      <c r="C334" s="56"/>
      <c r="D334" s="56"/>
      <c r="E334" s="56"/>
      <c r="F334" s="56"/>
      <c r="G334" s="56"/>
    </row>
    <row r="335" spans="1:7">
      <c r="A335" s="56"/>
      <c r="B335" s="56"/>
      <c r="C335" s="56"/>
      <c r="D335" s="56"/>
      <c r="E335" s="56"/>
      <c r="F335" s="56"/>
      <c r="G335" s="56"/>
    </row>
    <row r="336" spans="1:7">
      <c r="A336" s="56"/>
      <c r="B336" s="56"/>
      <c r="C336" s="56"/>
      <c r="D336" s="56"/>
      <c r="E336" s="56"/>
      <c r="F336" s="56"/>
      <c r="G336" s="56"/>
    </row>
    <row r="337" spans="1:7">
      <c r="A337" s="56"/>
      <c r="B337" s="56"/>
      <c r="C337" s="56"/>
      <c r="D337" s="56"/>
      <c r="E337" s="56"/>
      <c r="F337" s="56"/>
      <c r="G337" s="56"/>
    </row>
    <row r="338" spans="1:7">
      <c r="A338" s="56"/>
      <c r="B338" s="56"/>
      <c r="C338" s="56"/>
      <c r="D338" s="56"/>
      <c r="E338" s="56"/>
      <c r="F338" s="56"/>
      <c r="G338" s="56"/>
    </row>
    <row r="339" spans="1:7">
      <c r="A339" s="56"/>
      <c r="B339" s="56"/>
      <c r="C339" s="56"/>
      <c r="D339" s="56"/>
      <c r="E339" s="56"/>
      <c r="F339" s="56"/>
      <c r="G339" s="56"/>
    </row>
    <row r="340" spans="1:7">
      <c r="A340" s="56"/>
      <c r="B340" s="56"/>
      <c r="C340" s="56"/>
      <c r="D340" s="56"/>
      <c r="E340" s="56"/>
      <c r="F340" s="56"/>
      <c r="G340" s="56"/>
    </row>
    <row r="341" spans="1:7">
      <c r="A341" s="56"/>
      <c r="B341" s="56"/>
      <c r="C341" s="56"/>
      <c r="D341" s="56"/>
      <c r="E341" s="56"/>
      <c r="F341" s="56"/>
      <c r="G341" s="56"/>
    </row>
    <row r="342" spans="1:7">
      <c r="A342" s="56"/>
      <c r="B342" s="56"/>
      <c r="C342" s="56"/>
      <c r="D342" s="56"/>
      <c r="E342" s="56"/>
      <c r="F342" s="56"/>
      <c r="G342" s="56"/>
    </row>
    <row r="343" spans="1:7">
      <c r="A343" s="56"/>
      <c r="B343" s="56"/>
      <c r="C343" s="56"/>
      <c r="D343" s="56"/>
      <c r="E343" s="56"/>
      <c r="F343" s="56"/>
      <c r="G343" s="56"/>
    </row>
    <row r="344" spans="1:7">
      <c r="A344" s="56"/>
      <c r="B344" s="56"/>
      <c r="C344" s="56"/>
      <c r="D344" s="56"/>
      <c r="E344" s="56"/>
      <c r="F344" s="56"/>
      <c r="G344" s="56"/>
    </row>
    <row r="345" spans="1:7">
      <c r="A345" s="56"/>
      <c r="B345" s="56"/>
      <c r="C345" s="56"/>
      <c r="D345" s="56"/>
      <c r="E345" s="56"/>
      <c r="F345" s="56"/>
      <c r="G345" s="56"/>
    </row>
    <row r="346" spans="1:7">
      <c r="A346" s="56"/>
      <c r="B346" s="56"/>
      <c r="C346" s="56"/>
      <c r="D346" s="56"/>
      <c r="E346" s="56"/>
      <c r="F346" s="56"/>
      <c r="G346" s="56"/>
    </row>
    <row r="347" spans="1:7">
      <c r="A347" s="56"/>
      <c r="B347" s="56"/>
      <c r="C347" s="56"/>
      <c r="D347" s="56"/>
      <c r="E347" s="56"/>
      <c r="F347" s="56"/>
      <c r="G347" s="56"/>
    </row>
    <row r="348" spans="1:7">
      <c r="A348" s="56"/>
      <c r="B348" s="56"/>
      <c r="C348" s="56"/>
      <c r="D348" s="56"/>
      <c r="E348" s="56"/>
      <c r="F348" s="56"/>
      <c r="G348" s="56"/>
    </row>
    <row r="349" spans="1:7">
      <c r="A349" s="56"/>
      <c r="B349" s="56"/>
      <c r="C349" s="56"/>
      <c r="D349" s="56"/>
      <c r="E349" s="56"/>
      <c r="F349" s="56"/>
      <c r="G349" s="56"/>
    </row>
    <row r="350" spans="1:7">
      <c r="A350" s="56"/>
      <c r="B350" s="56"/>
      <c r="C350" s="56"/>
      <c r="D350" s="56"/>
      <c r="E350" s="56"/>
      <c r="F350" s="56"/>
      <c r="G350" s="56"/>
    </row>
    <row r="351" spans="1:7">
      <c r="A351" s="56"/>
      <c r="B351" s="56"/>
      <c r="C351" s="56"/>
      <c r="D351" s="56"/>
      <c r="E351" s="56"/>
      <c r="F351" s="56"/>
      <c r="G351" s="56"/>
    </row>
    <row r="352" spans="1:7">
      <c r="A352" s="56"/>
      <c r="B352" s="56"/>
      <c r="C352" s="56"/>
      <c r="D352" s="56"/>
      <c r="E352" s="56"/>
      <c r="F352" s="56"/>
      <c r="G352" s="56"/>
    </row>
    <row r="353" spans="1:7">
      <c r="A353" s="56"/>
      <c r="B353" s="56"/>
      <c r="C353" s="56"/>
      <c r="D353" s="56"/>
      <c r="E353" s="56"/>
      <c r="F353" s="56"/>
      <c r="G353" s="56"/>
    </row>
    <row r="354" spans="1:7">
      <c r="A354" s="56"/>
      <c r="B354" s="56"/>
      <c r="C354" s="56"/>
      <c r="D354" s="56"/>
      <c r="E354" s="56"/>
      <c r="F354" s="56"/>
      <c r="G354" s="56"/>
    </row>
    <row r="355" spans="1:7">
      <c r="A355" s="56"/>
      <c r="B355" s="56"/>
      <c r="C355" s="56"/>
      <c r="D355" s="56"/>
      <c r="E355" s="56"/>
      <c r="F355" s="56"/>
      <c r="G355" s="56"/>
    </row>
    <row r="356" spans="1:7">
      <c r="A356" s="56"/>
      <c r="B356" s="56"/>
      <c r="C356" s="56"/>
      <c r="D356" s="56"/>
      <c r="E356" s="56"/>
      <c r="F356" s="56"/>
      <c r="G356" s="56"/>
    </row>
    <row r="357" spans="1:7">
      <c r="A357" s="56"/>
      <c r="B357" s="56"/>
      <c r="C357" s="56"/>
      <c r="D357" s="56"/>
      <c r="E357" s="56"/>
      <c r="F357" s="56"/>
      <c r="G357" s="56"/>
    </row>
    <row r="358" spans="1:7">
      <c r="A358" s="56"/>
      <c r="B358" s="56"/>
      <c r="C358" s="56"/>
      <c r="D358" s="56"/>
      <c r="E358" s="56"/>
      <c r="F358" s="56"/>
      <c r="G358" s="56"/>
    </row>
    <row r="359" spans="1:7">
      <c r="A359" s="56"/>
      <c r="B359" s="56"/>
      <c r="C359" s="56"/>
      <c r="D359" s="56"/>
      <c r="E359" s="56"/>
      <c r="F359" s="56"/>
      <c r="G359" s="56"/>
    </row>
    <row r="360" spans="1:7">
      <c r="A360" s="56"/>
      <c r="B360" s="56"/>
      <c r="C360" s="56"/>
      <c r="D360" s="56"/>
      <c r="E360" s="56"/>
      <c r="F360" s="56"/>
      <c r="G360" s="56"/>
    </row>
    <row r="361" spans="1:7">
      <c r="A361" s="56"/>
      <c r="B361" s="56"/>
      <c r="C361" s="56"/>
      <c r="D361" s="56"/>
      <c r="E361" s="56"/>
      <c r="F361" s="56"/>
      <c r="G361" s="56"/>
    </row>
    <row r="362" spans="1:7">
      <c r="A362" s="56"/>
      <c r="B362" s="56"/>
      <c r="C362" s="56"/>
      <c r="D362" s="56"/>
      <c r="E362" s="56"/>
      <c r="F362" s="56"/>
      <c r="G362" s="56"/>
    </row>
    <row r="363" spans="1:7">
      <c r="A363" s="56"/>
      <c r="B363" s="56"/>
      <c r="C363" s="56"/>
      <c r="D363" s="56"/>
      <c r="E363" s="56"/>
      <c r="F363" s="56"/>
      <c r="G363" s="56"/>
    </row>
    <row r="364" spans="1:7">
      <c r="A364" s="56"/>
      <c r="B364" s="56"/>
      <c r="C364" s="56"/>
      <c r="D364" s="56"/>
      <c r="E364" s="56"/>
      <c r="F364" s="56"/>
      <c r="G364" s="56"/>
    </row>
    <row r="365" spans="1:7">
      <c r="A365" s="56"/>
      <c r="B365" s="56"/>
      <c r="C365" s="56"/>
      <c r="D365" s="56"/>
      <c r="E365" s="56"/>
      <c r="F365" s="56"/>
      <c r="G365" s="56"/>
    </row>
    <row r="366" spans="1:7">
      <c r="A366" s="56"/>
      <c r="B366" s="56"/>
      <c r="C366" s="56"/>
      <c r="D366" s="56"/>
      <c r="E366" s="56"/>
      <c r="F366" s="56"/>
      <c r="G366" s="56"/>
    </row>
    <row r="367" spans="1:7">
      <c r="A367" s="56"/>
      <c r="B367" s="56"/>
      <c r="C367" s="56"/>
      <c r="D367" s="56"/>
      <c r="E367" s="56"/>
      <c r="F367" s="56"/>
      <c r="G367" s="56"/>
    </row>
    <row r="368" spans="1:7">
      <c r="A368" s="56"/>
      <c r="B368" s="56"/>
      <c r="C368" s="56"/>
      <c r="D368" s="56"/>
      <c r="E368" s="56"/>
      <c r="F368" s="56"/>
      <c r="G368" s="56"/>
    </row>
    <row r="369" spans="1:7">
      <c r="A369" s="56"/>
      <c r="B369" s="56"/>
      <c r="C369" s="56"/>
      <c r="D369" s="56"/>
      <c r="E369" s="56"/>
      <c r="F369" s="56"/>
      <c r="G369" s="56"/>
    </row>
    <row r="370" spans="1:7">
      <c r="A370" s="56"/>
      <c r="B370" s="56"/>
      <c r="C370" s="56"/>
      <c r="D370" s="56"/>
      <c r="E370" s="56"/>
      <c r="F370" s="56"/>
      <c r="G370" s="56"/>
    </row>
    <row r="371" spans="1:7">
      <c r="A371" s="56"/>
      <c r="B371" s="56"/>
      <c r="C371" s="56"/>
      <c r="D371" s="56"/>
      <c r="E371" s="56"/>
      <c r="F371" s="56"/>
      <c r="G371" s="56"/>
    </row>
    <row r="372" spans="1:7">
      <c r="A372" s="56"/>
      <c r="B372" s="56"/>
      <c r="C372" s="56"/>
      <c r="D372" s="56"/>
      <c r="E372" s="56"/>
      <c r="F372" s="56"/>
      <c r="G372" s="56"/>
    </row>
    <row r="373" spans="1:7">
      <c r="A373" s="56"/>
      <c r="B373" s="56"/>
      <c r="C373" s="56"/>
      <c r="D373" s="56"/>
      <c r="E373" s="56"/>
      <c r="F373" s="56"/>
      <c r="G373" s="56"/>
    </row>
    <row r="374" spans="1:7">
      <c r="A374" s="56"/>
      <c r="B374" s="56"/>
      <c r="C374" s="56"/>
      <c r="D374" s="56"/>
      <c r="E374" s="56"/>
      <c r="F374" s="56"/>
      <c r="G374" s="56"/>
    </row>
    <row r="375" spans="1:7">
      <c r="A375" s="56"/>
      <c r="B375" s="56"/>
      <c r="C375" s="56"/>
      <c r="D375" s="56"/>
      <c r="E375" s="56"/>
      <c r="F375" s="56"/>
      <c r="G375" s="56"/>
    </row>
    <row r="376" spans="1:7">
      <c r="A376" s="56"/>
      <c r="B376" s="56"/>
      <c r="C376" s="56"/>
      <c r="D376" s="56"/>
      <c r="E376" s="56"/>
      <c r="F376" s="56"/>
      <c r="G376" s="56"/>
    </row>
    <row r="377" spans="1:7">
      <c r="A377" s="56"/>
      <c r="B377" s="56"/>
      <c r="C377" s="56"/>
      <c r="D377" s="56"/>
      <c r="E377" s="56"/>
      <c r="F377" s="56"/>
      <c r="G377" s="56"/>
    </row>
    <row r="378" spans="1:7">
      <c r="A378" s="56"/>
      <c r="B378" s="56"/>
      <c r="C378" s="56"/>
      <c r="D378" s="56"/>
      <c r="E378" s="56"/>
      <c r="F378" s="56"/>
      <c r="G378" s="56"/>
    </row>
    <row r="379" spans="1:7">
      <c r="A379" s="56"/>
      <c r="B379" s="56"/>
      <c r="C379" s="56"/>
      <c r="D379" s="56"/>
      <c r="E379" s="56"/>
      <c r="F379" s="56"/>
      <c r="G379" s="56"/>
    </row>
    <row r="380" spans="1:7">
      <c r="A380" s="56"/>
      <c r="B380" s="56"/>
      <c r="C380" s="56"/>
      <c r="D380" s="56"/>
      <c r="E380" s="56"/>
      <c r="F380" s="56"/>
      <c r="G380" s="56"/>
    </row>
    <row r="381" spans="1:7">
      <c r="A381" s="56"/>
      <c r="B381" s="56"/>
      <c r="C381" s="56"/>
      <c r="D381" s="56"/>
      <c r="E381" s="56"/>
      <c r="F381" s="56"/>
      <c r="G381" s="56"/>
    </row>
    <row r="382" spans="1:7">
      <c r="A382" s="56"/>
      <c r="B382" s="56"/>
      <c r="C382" s="56"/>
      <c r="D382" s="56"/>
      <c r="E382" s="56"/>
      <c r="F382" s="56"/>
      <c r="G382" s="56"/>
    </row>
    <row r="383" spans="1:7">
      <c r="A383" s="56"/>
      <c r="B383" s="56"/>
      <c r="C383" s="56"/>
      <c r="D383" s="56"/>
      <c r="E383" s="56"/>
      <c r="F383" s="56"/>
      <c r="G383" s="56"/>
    </row>
    <row r="384" spans="1:7">
      <c r="A384" s="56"/>
      <c r="B384" s="56"/>
      <c r="C384" s="56"/>
      <c r="D384" s="56"/>
      <c r="E384" s="56"/>
      <c r="F384" s="56"/>
      <c r="G384" s="56"/>
    </row>
    <row r="385" spans="1:7">
      <c r="A385" s="56"/>
      <c r="B385" s="56"/>
      <c r="C385" s="56"/>
      <c r="D385" s="56"/>
      <c r="E385" s="56"/>
      <c r="F385" s="56"/>
      <c r="G385" s="56"/>
    </row>
    <row r="386" spans="1:7">
      <c r="A386" s="56"/>
      <c r="B386" s="56"/>
      <c r="C386" s="56"/>
      <c r="D386" s="56"/>
      <c r="E386" s="56"/>
      <c r="F386" s="56"/>
      <c r="G386" s="56"/>
    </row>
    <row r="387" spans="1:7">
      <c r="A387" s="56"/>
      <c r="B387" s="56"/>
      <c r="C387" s="56"/>
      <c r="D387" s="56"/>
      <c r="E387" s="56"/>
      <c r="F387" s="56"/>
      <c r="G387" s="56"/>
    </row>
    <row r="388" spans="1:7">
      <c r="A388" s="56"/>
      <c r="B388" s="56"/>
      <c r="C388" s="56"/>
      <c r="D388" s="56"/>
      <c r="E388" s="56"/>
      <c r="F388" s="56"/>
      <c r="G388" s="56"/>
    </row>
    <row r="389" spans="1:7">
      <c r="A389" s="56"/>
      <c r="B389" s="56"/>
      <c r="C389" s="56"/>
      <c r="D389" s="56"/>
      <c r="E389" s="56"/>
      <c r="F389" s="56"/>
      <c r="G389" s="56"/>
    </row>
    <row r="390" spans="1:7">
      <c r="A390" s="56"/>
      <c r="B390" s="56"/>
      <c r="C390" s="56"/>
      <c r="D390" s="56"/>
      <c r="E390" s="56"/>
      <c r="F390" s="56"/>
      <c r="G390" s="56"/>
    </row>
    <row r="391" spans="1:7">
      <c r="A391" s="56"/>
      <c r="B391" s="56"/>
      <c r="C391" s="56"/>
      <c r="D391" s="56"/>
      <c r="E391" s="56"/>
      <c r="F391" s="56"/>
      <c r="G391" s="56"/>
    </row>
    <row r="392" spans="1:7">
      <c r="A392" s="56"/>
      <c r="B392" s="56"/>
      <c r="C392" s="56"/>
      <c r="D392" s="56"/>
      <c r="E392" s="56"/>
      <c r="F392" s="56"/>
      <c r="G392" s="56"/>
    </row>
    <row r="393" spans="1:7">
      <c r="A393" s="56"/>
      <c r="B393" s="56"/>
      <c r="C393" s="56"/>
      <c r="D393" s="56"/>
      <c r="E393" s="56"/>
      <c r="F393" s="56"/>
      <c r="G393" s="56"/>
    </row>
    <row r="394" spans="1:7">
      <c r="A394" s="56"/>
      <c r="B394" s="56"/>
      <c r="C394" s="56"/>
      <c r="D394" s="56"/>
      <c r="E394" s="56"/>
      <c r="F394" s="56"/>
      <c r="G394" s="56"/>
    </row>
    <row r="395" spans="1:7">
      <c r="A395" s="56"/>
      <c r="B395" s="56"/>
      <c r="C395" s="56"/>
      <c r="D395" s="56"/>
      <c r="E395" s="56"/>
      <c r="F395" s="56"/>
      <c r="G395" s="56"/>
    </row>
    <row r="396" spans="1:7">
      <c r="A396" s="56"/>
      <c r="B396" s="56"/>
      <c r="C396" s="56"/>
      <c r="D396" s="56"/>
      <c r="E396" s="56"/>
      <c r="F396" s="56"/>
      <c r="G396" s="56"/>
    </row>
    <row r="397" spans="1:7">
      <c r="A397" s="56"/>
      <c r="B397" s="56"/>
      <c r="C397" s="56"/>
      <c r="D397" s="56"/>
      <c r="E397" s="56"/>
      <c r="F397" s="56"/>
      <c r="G397" s="56"/>
    </row>
    <row r="398" spans="1:7">
      <c r="A398" s="56"/>
      <c r="B398" s="56"/>
      <c r="C398" s="56"/>
      <c r="D398" s="56"/>
      <c r="E398" s="56"/>
      <c r="F398" s="56"/>
      <c r="G398" s="56"/>
    </row>
    <row r="399" spans="1:7">
      <c r="A399" s="56"/>
      <c r="B399" s="56"/>
      <c r="C399" s="56"/>
      <c r="D399" s="56"/>
      <c r="E399" s="56"/>
      <c r="F399" s="56"/>
      <c r="G399" s="56"/>
    </row>
    <row r="400" spans="1:7">
      <c r="A400" s="56"/>
      <c r="B400" s="56"/>
      <c r="C400" s="56"/>
      <c r="D400" s="56"/>
      <c r="E400" s="56"/>
      <c r="F400" s="56"/>
      <c r="G400" s="56"/>
    </row>
    <row r="401" spans="1:7">
      <c r="A401" s="56"/>
      <c r="B401" s="56"/>
      <c r="C401" s="56"/>
      <c r="D401" s="56"/>
      <c r="E401" s="56"/>
      <c r="F401" s="56"/>
      <c r="G401" s="56"/>
    </row>
    <row r="402" spans="1:7">
      <c r="A402" s="56"/>
      <c r="B402" s="56"/>
      <c r="C402" s="56"/>
      <c r="D402" s="56"/>
      <c r="E402" s="56"/>
      <c r="F402" s="56"/>
      <c r="G402" s="56"/>
    </row>
    <row r="403" spans="1:7">
      <c r="A403" s="56"/>
      <c r="B403" s="56"/>
      <c r="C403" s="56"/>
      <c r="D403" s="56"/>
      <c r="E403" s="56"/>
      <c r="F403" s="56"/>
      <c r="G403" s="56"/>
    </row>
    <row r="404" spans="1:7">
      <c r="A404" s="56"/>
      <c r="B404" s="56"/>
      <c r="C404" s="56"/>
      <c r="D404" s="56"/>
      <c r="E404" s="56"/>
      <c r="F404" s="56"/>
      <c r="G404" s="56"/>
    </row>
    <row r="405" spans="1:7">
      <c r="A405" s="56"/>
      <c r="B405" s="56"/>
      <c r="C405" s="56"/>
      <c r="D405" s="56"/>
      <c r="E405" s="56"/>
      <c r="F405" s="56"/>
      <c r="G405" s="56"/>
    </row>
    <row r="406" spans="1:7">
      <c r="A406" s="56"/>
      <c r="B406" s="56"/>
      <c r="C406" s="56"/>
      <c r="D406" s="56"/>
      <c r="E406" s="56"/>
      <c r="F406" s="56"/>
      <c r="G406" s="56"/>
    </row>
    <row r="407" spans="1:7">
      <c r="A407" s="56"/>
      <c r="B407" s="56"/>
      <c r="C407" s="56"/>
      <c r="D407" s="56"/>
      <c r="E407" s="56"/>
      <c r="F407" s="56"/>
      <c r="G407" s="56"/>
    </row>
    <row r="408" spans="1:7">
      <c r="A408" s="56"/>
      <c r="B408" s="56"/>
      <c r="C408" s="56"/>
      <c r="D408" s="56"/>
      <c r="E408" s="56"/>
      <c r="F408" s="56"/>
      <c r="G408" s="56"/>
    </row>
    <row r="409" spans="1:7">
      <c r="A409" s="56"/>
      <c r="B409" s="56"/>
      <c r="C409" s="56"/>
      <c r="D409" s="56"/>
      <c r="E409" s="56"/>
      <c r="F409" s="56"/>
      <c r="G409" s="56"/>
    </row>
    <row r="410" spans="1:7">
      <c r="A410" s="56"/>
      <c r="B410" s="56"/>
      <c r="C410" s="56"/>
      <c r="D410" s="56"/>
      <c r="E410" s="56"/>
      <c r="F410" s="56"/>
      <c r="G410" s="56"/>
    </row>
    <row r="411" spans="1:7">
      <c r="A411" s="56"/>
      <c r="B411" s="56"/>
      <c r="C411" s="56"/>
      <c r="D411" s="56"/>
      <c r="E411" s="56"/>
      <c r="F411" s="56"/>
      <c r="G411" s="56"/>
    </row>
    <row r="412" spans="1:7">
      <c r="A412" s="56"/>
      <c r="B412" s="56"/>
      <c r="C412" s="56"/>
      <c r="D412" s="56"/>
      <c r="E412" s="56"/>
      <c r="F412" s="56"/>
      <c r="G412" s="56"/>
    </row>
    <row r="413" spans="1:7">
      <c r="A413" s="56"/>
      <c r="B413" s="56"/>
      <c r="C413" s="56"/>
      <c r="D413" s="56"/>
      <c r="E413" s="56"/>
      <c r="F413" s="56"/>
      <c r="G413" s="56"/>
    </row>
    <row r="414" spans="1:7">
      <c r="A414" s="56"/>
      <c r="B414" s="56"/>
      <c r="C414" s="56"/>
      <c r="D414" s="56"/>
      <c r="E414" s="56"/>
      <c r="F414" s="56"/>
      <c r="G414" s="56"/>
    </row>
    <row r="415" spans="1:7">
      <c r="A415" s="56"/>
      <c r="B415" s="56"/>
      <c r="C415" s="56"/>
      <c r="D415" s="56"/>
      <c r="E415" s="56"/>
      <c r="F415" s="56"/>
      <c r="G415" s="56"/>
    </row>
    <row r="416" spans="1:7">
      <c r="A416" s="56"/>
      <c r="B416" s="56"/>
      <c r="C416" s="56"/>
      <c r="D416" s="56"/>
      <c r="E416" s="56"/>
      <c r="F416" s="56"/>
      <c r="G416" s="56"/>
    </row>
    <row r="417" spans="1:7">
      <c r="A417" s="56"/>
      <c r="B417" s="56"/>
      <c r="C417" s="56"/>
      <c r="D417" s="56"/>
      <c r="E417" s="56"/>
      <c r="F417" s="56"/>
      <c r="G417" s="56"/>
    </row>
    <row r="418" spans="1:7">
      <c r="A418" s="56"/>
      <c r="B418" s="56"/>
      <c r="C418" s="56"/>
      <c r="D418" s="56"/>
      <c r="E418" s="56"/>
      <c r="F418" s="56"/>
      <c r="G418" s="56"/>
    </row>
    <row r="419" spans="1:7">
      <c r="A419" s="56"/>
      <c r="B419" s="56"/>
      <c r="C419" s="56"/>
      <c r="D419" s="56"/>
      <c r="E419" s="56"/>
      <c r="F419" s="56"/>
      <c r="G419" s="56"/>
    </row>
    <row r="420" spans="1:7">
      <c r="A420" s="56"/>
      <c r="B420" s="56"/>
      <c r="C420" s="56"/>
      <c r="D420" s="56"/>
      <c r="E420" s="56"/>
      <c r="F420" s="56"/>
      <c r="G420" s="56"/>
    </row>
    <row r="421" spans="1:7">
      <c r="A421" s="56"/>
      <c r="B421" s="56"/>
      <c r="C421" s="56"/>
      <c r="D421" s="56"/>
      <c r="E421" s="56"/>
      <c r="F421" s="56"/>
      <c r="G421" s="56"/>
    </row>
    <row r="422" spans="1:7">
      <c r="A422" s="56"/>
      <c r="B422" s="56"/>
      <c r="C422" s="56"/>
      <c r="D422" s="56"/>
      <c r="E422" s="56"/>
      <c r="F422" s="56"/>
      <c r="G422" s="56"/>
    </row>
    <row r="423" spans="1:7">
      <c r="A423" s="56"/>
      <c r="B423" s="56"/>
      <c r="C423" s="56"/>
      <c r="D423" s="56"/>
      <c r="E423" s="56"/>
      <c r="F423" s="56"/>
      <c r="G423" s="56"/>
    </row>
    <row r="424" spans="1:7">
      <c r="A424" s="56"/>
      <c r="B424" s="56"/>
      <c r="C424" s="56"/>
      <c r="D424" s="56"/>
      <c r="E424" s="56"/>
      <c r="F424" s="56"/>
      <c r="G424" s="56"/>
    </row>
    <row r="425" spans="1:7">
      <c r="A425" s="56"/>
      <c r="B425" s="56"/>
      <c r="C425" s="56"/>
      <c r="D425" s="56"/>
      <c r="E425" s="56"/>
      <c r="F425" s="56"/>
      <c r="G425" s="56"/>
    </row>
    <row r="426" spans="1:7">
      <c r="A426" s="56"/>
      <c r="B426" s="56"/>
      <c r="C426" s="56"/>
      <c r="D426" s="56"/>
      <c r="E426" s="56"/>
      <c r="F426" s="56"/>
      <c r="G426" s="56"/>
    </row>
    <row r="427" spans="1:7">
      <c r="A427" s="56"/>
      <c r="B427" s="56"/>
      <c r="C427" s="56"/>
      <c r="D427" s="56"/>
      <c r="E427" s="56"/>
      <c r="F427" s="56"/>
      <c r="G427" s="56"/>
    </row>
    <row r="428" spans="1:7">
      <c r="A428" s="56"/>
      <c r="B428" s="56"/>
      <c r="C428" s="56"/>
      <c r="D428" s="56"/>
      <c r="E428" s="56"/>
      <c r="F428" s="56"/>
      <c r="G428" s="56"/>
    </row>
    <row r="429" spans="1:7">
      <c r="A429" s="56"/>
      <c r="B429" s="56"/>
      <c r="C429" s="56"/>
      <c r="D429" s="56"/>
      <c r="E429" s="56"/>
      <c r="F429" s="56"/>
      <c r="G429" s="56"/>
    </row>
    <row r="430" spans="1:7">
      <c r="A430" s="56"/>
      <c r="B430" s="56"/>
      <c r="C430" s="56"/>
      <c r="D430" s="56"/>
      <c r="E430" s="56"/>
      <c r="F430" s="56"/>
      <c r="G430" s="56"/>
    </row>
    <row r="431" spans="1:7">
      <c r="A431" s="56"/>
      <c r="B431" s="56"/>
      <c r="C431" s="56"/>
      <c r="D431" s="56"/>
      <c r="E431" s="56"/>
      <c r="F431" s="56"/>
      <c r="G431" s="56"/>
    </row>
    <row r="432" spans="1:7">
      <c r="A432" s="56"/>
      <c r="B432" s="56"/>
      <c r="C432" s="56"/>
      <c r="D432" s="56"/>
      <c r="E432" s="56"/>
      <c r="F432" s="56"/>
      <c r="G432" s="56"/>
    </row>
    <row r="433" spans="1:7">
      <c r="A433" s="56"/>
      <c r="B433" s="56"/>
      <c r="C433" s="56"/>
      <c r="D433" s="56"/>
      <c r="E433" s="56"/>
      <c r="F433" s="56"/>
      <c r="G433" s="56"/>
    </row>
    <row r="434" spans="1:7">
      <c r="A434" s="56"/>
      <c r="B434" s="56"/>
      <c r="C434" s="56"/>
      <c r="D434" s="56"/>
      <c r="E434" s="56"/>
      <c r="F434" s="56"/>
      <c r="G434" s="56"/>
    </row>
    <row r="435" spans="1:7">
      <c r="A435" s="56"/>
      <c r="B435" s="56"/>
      <c r="C435" s="56"/>
      <c r="D435" s="56"/>
      <c r="E435" s="56"/>
      <c r="F435" s="56"/>
      <c r="G435" s="56"/>
    </row>
    <row r="436" spans="1:7">
      <c r="A436" s="56"/>
      <c r="B436" s="56"/>
      <c r="C436" s="56"/>
      <c r="D436" s="56"/>
      <c r="E436" s="56"/>
      <c r="F436" s="56"/>
      <c r="G436" s="56"/>
    </row>
    <row r="437" spans="1:7">
      <c r="A437" s="56"/>
      <c r="B437" s="56"/>
      <c r="C437" s="56"/>
      <c r="D437" s="56"/>
      <c r="E437" s="56"/>
      <c r="F437" s="56"/>
      <c r="G437" s="56"/>
    </row>
    <row r="438" spans="1:7">
      <c r="A438" s="56"/>
      <c r="B438" s="56"/>
      <c r="C438" s="56"/>
      <c r="D438" s="56"/>
      <c r="E438" s="56"/>
      <c r="F438" s="56"/>
      <c r="G438" s="56"/>
    </row>
    <row r="439" spans="1:7">
      <c r="A439" s="56"/>
      <c r="B439" s="56"/>
      <c r="C439" s="56"/>
      <c r="D439" s="56"/>
      <c r="E439" s="56"/>
      <c r="F439" s="56"/>
      <c r="G439" s="56"/>
    </row>
    <row r="440" spans="1:7">
      <c r="A440" s="56"/>
      <c r="B440" s="56"/>
      <c r="C440" s="56"/>
      <c r="D440" s="56"/>
      <c r="E440" s="56"/>
      <c r="F440" s="56"/>
      <c r="G440" s="56"/>
    </row>
    <row r="441" spans="1:7">
      <c r="A441" s="56"/>
      <c r="B441" s="56"/>
      <c r="C441" s="56"/>
      <c r="D441" s="56"/>
      <c r="E441" s="56"/>
      <c r="F441" s="56"/>
      <c r="G441" s="56"/>
    </row>
    <row r="442" spans="1:7">
      <c r="A442" s="56"/>
      <c r="B442" s="56"/>
      <c r="C442" s="56"/>
      <c r="D442" s="56"/>
      <c r="E442" s="56"/>
      <c r="F442" s="56"/>
      <c r="G442" s="56"/>
    </row>
    <row r="443" spans="1:7">
      <c r="A443" s="56"/>
      <c r="B443" s="56"/>
      <c r="C443" s="56"/>
      <c r="D443" s="56"/>
      <c r="E443" s="56"/>
      <c r="F443" s="56"/>
      <c r="G443" s="56"/>
    </row>
    <row r="444" spans="1:7">
      <c r="A444" s="56"/>
      <c r="B444" s="56"/>
      <c r="C444" s="56"/>
      <c r="D444" s="56"/>
      <c r="E444" s="56"/>
      <c r="F444" s="56"/>
      <c r="G444" s="56"/>
    </row>
    <row r="445" spans="1:7">
      <c r="A445" s="56"/>
      <c r="B445" s="56"/>
      <c r="C445" s="56"/>
      <c r="D445" s="56"/>
      <c r="E445" s="56"/>
      <c r="F445" s="56"/>
      <c r="G445" s="56"/>
    </row>
    <row r="446" spans="1:7">
      <c r="A446" s="56"/>
      <c r="B446" s="56"/>
      <c r="C446" s="56"/>
      <c r="D446" s="56"/>
      <c r="E446" s="56"/>
      <c r="F446" s="56"/>
      <c r="G446" s="56"/>
    </row>
    <row r="447" spans="1:7">
      <c r="A447" s="56"/>
      <c r="B447" s="56"/>
      <c r="C447" s="56"/>
      <c r="D447" s="56"/>
      <c r="E447" s="56"/>
      <c r="F447" s="56"/>
      <c r="G447" s="56"/>
    </row>
    <row r="448" spans="1:7">
      <c r="A448" s="56"/>
      <c r="B448" s="56"/>
      <c r="C448" s="56"/>
      <c r="D448" s="56"/>
      <c r="E448" s="56"/>
      <c r="F448" s="56"/>
      <c r="G448" s="56"/>
    </row>
    <row r="449" spans="1:7">
      <c r="A449" s="56"/>
      <c r="B449" s="56"/>
      <c r="C449" s="56"/>
      <c r="D449" s="56"/>
      <c r="E449" s="56"/>
      <c r="F449" s="56"/>
      <c r="G449" s="56"/>
    </row>
    <row r="450" spans="1:7">
      <c r="A450" s="56"/>
      <c r="B450" s="56"/>
      <c r="C450" s="56"/>
      <c r="D450" s="56"/>
      <c r="E450" s="56"/>
      <c r="F450" s="56"/>
      <c r="G450" s="56"/>
    </row>
    <row r="451" spans="1:7">
      <c r="A451" s="56"/>
      <c r="B451" s="56"/>
      <c r="C451" s="56"/>
      <c r="D451" s="56"/>
      <c r="E451" s="56"/>
      <c r="F451" s="56"/>
      <c r="G451" s="56"/>
    </row>
    <row r="452" spans="1:7">
      <c r="A452" s="56"/>
      <c r="B452" s="56"/>
      <c r="C452" s="56"/>
      <c r="D452" s="56"/>
      <c r="E452" s="56"/>
      <c r="F452" s="56"/>
      <c r="G452" s="56"/>
    </row>
    <row r="453" spans="1:7">
      <c r="A453" s="56"/>
      <c r="B453" s="56"/>
      <c r="C453" s="56"/>
      <c r="D453" s="56"/>
      <c r="E453" s="56"/>
      <c r="F453" s="56"/>
      <c r="G453" s="56"/>
    </row>
    <row r="454" spans="1:7">
      <c r="A454" s="56"/>
      <c r="B454" s="56"/>
      <c r="C454" s="56"/>
      <c r="D454" s="56"/>
      <c r="E454" s="56"/>
      <c r="F454" s="56"/>
      <c r="G454" s="56"/>
    </row>
    <row r="455" spans="1:7">
      <c r="A455" s="56"/>
      <c r="B455" s="56"/>
      <c r="C455" s="56"/>
      <c r="D455" s="56"/>
      <c r="E455" s="56"/>
      <c r="F455" s="56"/>
      <c r="G455" s="56"/>
    </row>
    <row r="456" spans="1:7">
      <c r="A456" s="56"/>
      <c r="B456" s="56"/>
      <c r="C456" s="56"/>
      <c r="D456" s="56"/>
      <c r="E456" s="56"/>
      <c r="F456" s="56"/>
      <c r="G456" s="56"/>
    </row>
    <row r="457" spans="1:7">
      <c r="A457" s="56"/>
      <c r="B457" s="56"/>
      <c r="C457" s="56"/>
      <c r="D457" s="56"/>
      <c r="E457" s="56"/>
      <c r="F457" s="56"/>
      <c r="G457" s="56"/>
    </row>
    <row r="458" spans="1:7">
      <c r="A458" s="56"/>
      <c r="B458" s="56"/>
      <c r="C458" s="56"/>
      <c r="D458" s="56"/>
      <c r="E458" s="56"/>
      <c r="F458" s="56"/>
      <c r="G458" s="56"/>
    </row>
    <row r="459" spans="1:7">
      <c r="A459" s="56"/>
      <c r="B459" s="56"/>
      <c r="C459" s="56"/>
      <c r="D459" s="56"/>
      <c r="E459" s="56"/>
      <c r="F459" s="56"/>
      <c r="G459" s="56"/>
    </row>
    <row r="460" spans="1:7">
      <c r="A460" s="56"/>
      <c r="B460" s="56"/>
      <c r="C460" s="56"/>
      <c r="D460" s="56"/>
      <c r="E460" s="56"/>
      <c r="F460" s="56"/>
      <c r="G460" s="56"/>
    </row>
    <row r="461" spans="1:7">
      <c r="A461" s="56"/>
      <c r="B461" s="56"/>
      <c r="C461" s="56"/>
      <c r="D461" s="56"/>
      <c r="E461" s="56"/>
      <c r="F461" s="56"/>
      <c r="G461" s="56"/>
    </row>
    <row r="462" spans="1:7">
      <c r="A462" s="56"/>
      <c r="B462" s="56"/>
      <c r="C462" s="56"/>
      <c r="D462" s="56"/>
      <c r="E462" s="56"/>
      <c r="F462" s="56"/>
      <c r="G462" s="56"/>
    </row>
    <row r="463" spans="1:7">
      <c r="A463" s="56"/>
      <c r="B463" s="56"/>
      <c r="C463" s="56"/>
      <c r="D463" s="56"/>
      <c r="E463" s="56"/>
      <c r="F463" s="56"/>
      <c r="G463" s="56"/>
    </row>
    <row r="464" spans="1:7">
      <c r="A464" s="56"/>
      <c r="B464" s="56"/>
      <c r="C464" s="56"/>
      <c r="D464" s="56"/>
      <c r="E464" s="56"/>
      <c r="F464" s="56"/>
      <c r="G464" s="56"/>
    </row>
    <row r="465" spans="1:7">
      <c r="A465" s="56"/>
      <c r="B465" s="56"/>
      <c r="C465" s="56"/>
      <c r="D465" s="56"/>
      <c r="E465" s="56"/>
      <c r="F465" s="56"/>
      <c r="G465" s="56"/>
    </row>
    <row r="466" spans="1:7">
      <c r="A466" s="56"/>
      <c r="B466" s="56"/>
      <c r="C466" s="56"/>
      <c r="D466" s="56"/>
      <c r="E466" s="56"/>
      <c r="F466" s="56"/>
      <c r="G466" s="56"/>
    </row>
    <row r="467" spans="1:7">
      <c r="A467" s="56"/>
      <c r="B467" s="56"/>
      <c r="C467" s="56"/>
      <c r="D467" s="56"/>
      <c r="E467" s="56"/>
      <c r="F467" s="56"/>
      <c r="G467" s="56"/>
    </row>
    <row r="468" spans="1:7">
      <c r="A468" s="56"/>
      <c r="B468" s="56"/>
      <c r="C468" s="56"/>
      <c r="D468" s="56"/>
      <c r="E468" s="56"/>
      <c r="F468" s="56"/>
      <c r="G468" s="56"/>
    </row>
    <row r="469" spans="1:7">
      <c r="A469" s="56"/>
      <c r="B469" s="56"/>
      <c r="C469" s="56"/>
      <c r="D469" s="56"/>
      <c r="E469" s="56"/>
      <c r="F469" s="56"/>
      <c r="G469" s="56"/>
    </row>
    <row r="470" spans="1:7">
      <c r="A470" s="56"/>
      <c r="B470" s="56"/>
      <c r="C470" s="56"/>
      <c r="D470" s="56"/>
      <c r="E470" s="56"/>
      <c r="F470" s="56"/>
      <c r="G470" s="56"/>
    </row>
    <row r="471" spans="1:7">
      <c r="A471" s="56"/>
      <c r="B471" s="56"/>
      <c r="C471" s="56"/>
      <c r="D471" s="56"/>
      <c r="E471" s="56"/>
      <c r="F471" s="56"/>
      <c r="G471" s="56"/>
    </row>
    <row r="472" spans="1:7">
      <c r="A472" s="56"/>
      <c r="B472" s="56"/>
      <c r="C472" s="56"/>
      <c r="D472" s="56"/>
      <c r="E472" s="56"/>
      <c r="F472" s="56"/>
      <c r="G472" s="56"/>
    </row>
    <row r="473" spans="1:7">
      <c r="A473" s="56"/>
      <c r="B473" s="56"/>
      <c r="C473" s="56"/>
      <c r="D473" s="56"/>
      <c r="E473" s="56"/>
      <c r="F473" s="56"/>
      <c r="G473" s="56"/>
    </row>
    <row r="474" spans="1:7">
      <c r="A474" s="56"/>
      <c r="B474" s="56"/>
      <c r="C474" s="56"/>
      <c r="D474" s="56"/>
      <c r="E474" s="56"/>
      <c r="F474" s="56"/>
      <c r="G474" s="56"/>
    </row>
    <row r="475" spans="1:7">
      <c r="A475" s="56"/>
      <c r="B475" s="56"/>
      <c r="C475" s="56"/>
      <c r="D475" s="56"/>
      <c r="E475" s="56"/>
      <c r="F475" s="56"/>
      <c r="G475" s="56"/>
    </row>
    <row r="476" spans="1:7">
      <c r="A476" s="56"/>
      <c r="B476" s="56"/>
      <c r="C476" s="56"/>
      <c r="D476" s="56"/>
      <c r="E476" s="56"/>
      <c r="F476" s="56"/>
      <c r="G476" s="56"/>
    </row>
    <row r="477" spans="1:7">
      <c r="A477" s="56"/>
      <c r="B477" s="56"/>
      <c r="C477" s="56"/>
      <c r="D477" s="56"/>
      <c r="E477" s="56"/>
      <c r="F477" s="56"/>
      <c r="G477" s="56"/>
    </row>
    <row r="478" spans="1:7">
      <c r="A478" s="56"/>
      <c r="B478" s="56"/>
      <c r="C478" s="56"/>
      <c r="D478" s="56"/>
      <c r="E478" s="56"/>
      <c r="F478" s="56"/>
      <c r="G478" s="56"/>
    </row>
    <row r="479" spans="1:7">
      <c r="A479" s="56"/>
      <c r="B479" s="56"/>
      <c r="C479" s="56"/>
      <c r="D479" s="56"/>
      <c r="E479" s="56"/>
      <c r="F479" s="56"/>
      <c r="G479" s="56"/>
    </row>
    <row r="480" spans="1:7">
      <c r="A480" s="56"/>
      <c r="B480" s="56"/>
      <c r="C480" s="56"/>
      <c r="D480" s="56"/>
      <c r="E480" s="56"/>
      <c r="F480" s="56"/>
      <c r="G480" s="56"/>
    </row>
    <row r="481" spans="1:7">
      <c r="A481" s="56"/>
      <c r="B481" s="56"/>
      <c r="C481" s="56"/>
      <c r="D481" s="56"/>
      <c r="E481" s="56"/>
      <c r="F481" s="56"/>
      <c r="G481" s="56"/>
    </row>
    <row r="482" spans="1:7">
      <c r="A482" s="56"/>
      <c r="B482" s="56"/>
      <c r="C482" s="56"/>
      <c r="D482" s="56"/>
      <c r="E482" s="56"/>
      <c r="F482" s="56"/>
      <c r="G482" s="56"/>
    </row>
    <row r="483" spans="1:7">
      <c r="A483" s="56"/>
      <c r="B483" s="56"/>
      <c r="C483" s="56"/>
      <c r="D483" s="56"/>
      <c r="E483" s="56"/>
      <c r="F483" s="56"/>
      <c r="G483" s="56"/>
    </row>
    <row r="484" spans="1:7">
      <c r="A484" s="56"/>
      <c r="B484" s="56"/>
      <c r="C484" s="56"/>
      <c r="D484" s="56"/>
      <c r="E484" s="56"/>
      <c r="F484" s="56"/>
      <c r="G484" s="56"/>
    </row>
    <row r="485" spans="1:7">
      <c r="A485" s="56"/>
      <c r="B485" s="56"/>
      <c r="C485" s="56"/>
      <c r="D485" s="56"/>
      <c r="E485" s="56"/>
      <c r="F485" s="56"/>
      <c r="G485" s="56"/>
    </row>
    <row r="486" spans="1:7">
      <c r="A486" s="56"/>
      <c r="B486" s="56"/>
      <c r="C486" s="56"/>
      <c r="D486" s="56"/>
      <c r="E486" s="56"/>
      <c r="F486" s="56"/>
      <c r="G486" s="56"/>
    </row>
    <row r="487" spans="1:7">
      <c r="A487" s="56"/>
      <c r="B487" s="56"/>
      <c r="C487" s="56"/>
      <c r="D487" s="56"/>
      <c r="E487" s="56"/>
      <c r="F487" s="56"/>
      <c r="G487" s="56"/>
    </row>
    <row r="488" spans="1:7">
      <c r="A488" s="56"/>
      <c r="B488" s="56"/>
      <c r="C488" s="56"/>
      <c r="D488" s="56"/>
      <c r="E488" s="56"/>
      <c r="F488" s="56"/>
      <c r="G488" s="56"/>
    </row>
    <row r="489" spans="1:7">
      <c r="A489" s="56"/>
      <c r="B489" s="56"/>
      <c r="C489" s="56"/>
      <c r="D489" s="56"/>
      <c r="E489" s="56"/>
      <c r="F489" s="56"/>
      <c r="G489" s="56"/>
    </row>
    <row r="490" spans="1:7">
      <c r="A490" s="56"/>
      <c r="B490" s="56"/>
      <c r="C490" s="56"/>
      <c r="D490" s="56"/>
      <c r="E490" s="56"/>
      <c r="F490" s="56"/>
      <c r="G490" s="56"/>
    </row>
    <row r="491" spans="1:7">
      <c r="A491" s="56"/>
      <c r="B491" s="56"/>
      <c r="C491" s="56"/>
      <c r="D491" s="56"/>
      <c r="E491" s="56"/>
      <c r="F491" s="56"/>
      <c r="G491" s="56"/>
    </row>
    <row r="492" spans="1:7">
      <c r="A492" s="56"/>
      <c r="B492" s="56"/>
      <c r="C492" s="56"/>
      <c r="D492" s="56"/>
      <c r="E492" s="56"/>
      <c r="F492" s="56"/>
      <c r="G492" s="56"/>
    </row>
    <row r="493" spans="1:7">
      <c r="A493" s="56"/>
      <c r="B493" s="56"/>
      <c r="C493" s="56"/>
      <c r="D493" s="56"/>
      <c r="E493" s="56"/>
      <c r="F493" s="56"/>
      <c r="G493" s="56"/>
    </row>
    <row r="494" spans="1:7">
      <c r="A494" s="56"/>
      <c r="B494" s="56"/>
      <c r="C494" s="56"/>
      <c r="D494" s="56"/>
      <c r="E494" s="56"/>
      <c r="F494" s="56"/>
      <c r="G494" s="56"/>
    </row>
    <row r="495" spans="1:7">
      <c r="A495" s="56"/>
      <c r="B495" s="56"/>
      <c r="C495" s="56"/>
      <c r="D495" s="56"/>
      <c r="E495" s="56"/>
      <c r="F495" s="56"/>
      <c r="G495" s="56"/>
    </row>
    <row r="496" spans="1:7">
      <c r="A496" s="56"/>
      <c r="B496" s="56"/>
      <c r="C496" s="56"/>
      <c r="D496" s="56"/>
      <c r="E496" s="56"/>
      <c r="F496" s="56"/>
      <c r="G496" s="56"/>
    </row>
    <row r="497" spans="1:7">
      <c r="A497" s="56"/>
      <c r="B497" s="56"/>
      <c r="C497" s="56"/>
      <c r="D497" s="56"/>
      <c r="E497" s="56"/>
      <c r="F497" s="56"/>
      <c r="G497" s="56"/>
    </row>
    <row r="498" spans="1:7">
      <c r="A498" s="56"/>
      <c r="B498" s="56"/>
      <c r="C498" s="56"/>
      <c r="D498" s="56"/>
      <c r="E498" s="56"/>
      <c r="F498" s="56"/>
      <c r="G498" s="56"/>
    </row>
    <row r="499" spans="1:7">
      <c r="A499" s="56"/>
      <c r="B499" s="56"/>
      <c r="C499" s="56"/>
      <c r="D499" s="56"/>
      <c r="E499" s="56"/>
      <c r="F499" s="56"/>
      <c r="G499" s="56"/>
    </row>
    <row r="500" spans="1:7">
      <c r="A500" s="56"/>
      <c r="B500" s="56"/>
      <c r="C500" s="56"/>
      <c r="D500" s="56"/>
      <c r="E500" s="56"/>
      <c r="F500" s="56"/>
      <c r="G500" s="56"/>
    </row>
    <row r="501" spans="1:7">
      <c r="A501" s="56"/>
      <c r="B501" s="56"/>
      <c r="C501" s="56"/>
      <c r="D501" s="56"/>
      <c r="E501" s="56"/>
      <c r="F501" s="56"/>
      <c r="G501" s="56"/>
    </row>
    <row r="502" spans="1:7">
      <c r="A502" s="56"/>
      <c r="B502" s="56"/>
      <c r="C502" s="56"/>
      <c r="D502" s="56"/>
      <c r="E502" s="56"/>
      <c r="F502" s="56"/>
      <c r="G502" s="56"/>
    </row>
    <row r="503" spans="1:7">
      <c r="A503" s="56"/>
      <c r="B503" s="56"/>
      <c r="C503" s="56"/>
      <c r="D503" s="56"/>
      <c r="E503" s="56"/>
      <c r="F503" s="56"/>
      <c r="G503" s="56"/>
    </row>
    <row r="504" spans="1:7">
      <c r="A504" s="56"/>
      <c r="B504" s="56"/>
      <c r="C504" s="56"/>
      <c r="D504" s="56"/>
      <c r="E504" s="56"/>
      <c r="F504" s="56"/>
      <c r="G504" s="56"/>
    </row>
    <row r="505" spans="1:7">
      <c r="A505" s="56"/>
      <c r="B505" s="56"/>
      <c r="C505" s="56"/>
      <c r="D505" s="56"/>
      <c r="E505" s="56"/>
      <c r="F505" s="56"/>
      <c r="G505" s="56"/>
    </row>
    <row r="506" spans="1:7">
      <c r="A506" s="56"/>
      <c r="B506" s="56"/>
      <c r="C506" s="56"/>
      <c r="D506" s="56"/>
      <c r="E506" s="56"/>
      <c r="F506" s="56"/>
      <c r="G506" s="56"/>
    </row>
    <row r="507" spans="1:7">
      <c r="A507" s="56"/>
      <c r="B507" s="56"/>
      <c r="C507" s="56"/>
      <c r="D507" s="56"/>
      <c r="E507" s="56"/>
      <c r="F507" s="56"/>
      <c r="G507" s="56"/>
    </row>
    <row r="508" spans="1:7">
      <c r="A508" s="56"/>
      <c r="B508" s="56"/>
      <c r="C508" s="56"/>
      <c r="D508" s="56"/>
      <c r="E508" s="56"/>
      <c r="F508" s="56"/>
      <c r="G508" s="56"/>
    </row>
    <row r="509" spans="1:7">
      <c r="A509" s="56"/>
      <c r="B509" s="56"/>
      <c r="C509" s="56"/>
      <c r="D509" s="56"/>
      <c r="E509" s="56"/>
      <c r="F509" s="56"/>
      <c r="G509" s="56"/>
    </row>
    <row r="510" spans="1:7">
      <c r="A510" s="56"/>
      <c r="B510" s="56"/>
      <c r="C510" s="56"/>
      <c r="D510" s="56"/>
      <c r="E510" s="56"/>
      <c r="F510" s="56"/>
      <c r="G510" s="56"/>
    </row>
    <row r="511" spans="1:7">
      <c r="A511" s="56"/>
      <c r="B511" s="56"/>
      <c r="C511" s="56"/>
      <c r="D511" s="56"/>
      <c r="E511" s="56"/>
      <c r="F511" s="56"/>
      <c r="G511" s="56"/>
    </row>
    <row r="512" spans="1:7">
      <c r="A512" s="56"/>
      <c r="B512" s="56"/>
      <c r="C512" s="56"/>
      <c r="D512" s="56"/>
      <c r="E512" s="56"/>
      <c r="F512" s="56"/>
      <c r="G512" s="56"/>
    </row>
    <row r="513" spans="1:7">
      <c r="A513" s="56"/>
      <c r="B513" s="56"/>
      <c r="C513" s="56"/>
      <c r="D513" s="56"/>
      <c r="E513" s="56"/>
      <c r="F513" s="56"/>
      <c r="G513" s="56"/>
    </row>
    <row r="514" spans="1:7">
      <c r="A514" s="56"/>
      <c r="B514" s="56"/>
      <c r="C514" s="56"/>
      <c r="D514" s="56"/>
      <c r="E514" s="56"/>
      <c r="F514" s="56"/>
      <c r="G514" s="56"/>
    </row>
    <row r="515" spans="1:7">
      <c r="A515" s="56"/>
      <c r="B515" s="56"/>
      <c r="C515" s="56"/>
      <c r="D515" s="56"/>
      <c r="E515" s="56"/>
      <c r="F515" s="56"/>
      <c r="G515" s="56"/>
    </row>
    <row r="516" spans="1:7">
      <c r="A516" s="56"/>
      <c r="B516" s="56"/>
      <c r="C516" s="56"/>
      <c r="D516" s="56"/>
      <c r="E516" s="56"/>
      <c r="F516" s="56"/>
      <c r="G516" s="56"/>
    </row>
    <row r="517" spans="1:7">
      <c r="A517" s="56"/>
      <c r="B517" s="56"/>
      <c r="C517" s="56"/>
      <c r="D517" s="56"/>
      <c r="E517" s="56"/>
      <c r="F517" s="56"/>
      <c r="G517" s="56"/>
    </row>
    <row r="518" spans="1:7">
      <c r="A518" s="56"/>
      <c r="B518" s="56"/>
      <c r="C518" s="56"/>
      <c r="D518" s="56"/>
      <c r="E518" s="56"/>
      <c r="F518" s="56"/>
      <c r="G518" s="56"/>
    </row>
    <row r="519" spans="1:7">
      <c r="A519" s="56"/>
      <c r="B519" s="56"/>
      <c r="C519" s="56"/>
      <c r="D519" s="56"/>
      <c r="E519" s="56"/>
      <c r="F519" s="56"/>
      <c r="G519" s="56"/>
    </row>
    <row r="520" spans="1:7">
      <c r="A520" s="56"/>
      <c r="B520" s="56"/>
      <c r="C520" s="56"/>
      <c r="D520" s="56"/>
      <c r="E520" s="56"/>
      <c r="F520" s="56"/>
      <c r="G520" s="56"/>
    </row>
    <row r="521" spans="1:7">
      <c r="A521" s="56"/>
      <c r="B521" s="56"/>
      <c r="C521" s="56"/>
      <c r="D521" s="56"/>
      <c r="E521" s="56"/>
      <c r="F521" s="56"/>
      <c r="G521" s="56"/>
    </row>
    <row r="522" spans="1:7">
      <c r="A522" s="56"/>
      <c r="B522" s="56"/>
      <c r="C522" s="56"/>
      <c r="D522" s="56"/>
      <c r="E522" s="56"/>
      <c r="F522" s="56"/>
      <c r="G522" s="56"/>
    </row>
    <row r="523" spans="1:7">
      <c r="A523" s="56"/>
      <c r="B523" s="56"/>
      <c r="C523" s="56"/>
      <c r="D523" s="56"/>
      <c r="E523" s="56"/>
      <c r="F523" s="56"/>
      <c r="G523" s="56"/>
    </row>
    <row r="524" spans="1:7">
      <c r="A524" s="56"/>
      <c r="B524" s="56"/>
      <c r="C524" s="56"/>
      <c r="D524" s="56"/>
      <c r="E524" s="56"/>
      <c r="F524" s="56"/>
      <c r="G524" s="56"/>
    </row>
    <row r="525" spans="1:7">
      <c r="A525" s="56"/>
      <c r="B525" s="56"/>
      <c r="C525" s="56"/>
      <c r="D525" s="56"/>
      <c r="E525" s="56"/>
      <c r="F525" s="56"/>
      <c r="G525" s="56"/>
    </row>
    <row r="526" spans="1:7">
      <c r="A526" s="56"/>
      <c r="B526" s="56"/>
      <c r="C526" s="56"/>
      <c r="D526" s="56"/>
      <c r="E526" s="56"/>
      <c r="F526" s="56"/>
      <c r="G526" s="56"/>
    </row>
    <row r="527" spans="1:7">
      <c r="A527" s="56"/>
      <c r="B527" s="56"/>
      <c r="C527" s="56"/>
      <c r="D527" s="56"/>
      <c r="E527" s="56"/>
      <c r="F527" s="56"/>
      <c r="G527" s="56"/>
    </row>
    <row r="528" spans="1:7">
      <c r="A528" s="56"/>
      <c r="B528" s="56"/>
      <c r="C528" s="56"/>
      <c r="D528" s="56"/>
      <c r="E528" s="56"/>
      <c r="F528" s="56"/>
      <c r="G528" s="56"/>
    </row>
    <row r="529" spans="1:7">
      <c r="A529" s="56"/>
      <c r="B529" s="56"/>
      <c r="C529" s="56"/>
      <c r="D529" s="56"/>
      <c r="E529" s="56"/>
      <c r="F529" s="56"/>
      <c r="G529" s="56"/>
    </row>
    <row r="530" spans="1:7">
      <c r="A530" s="56"/>
      <c r="B530" s="56"/>
      <c r="C530" s="56"/>
      <c r="D530" s="56"/>
      <c r="E530" s="56"/>
      <c r="F530" s="56"/>
      <c r="G530" s="56"/>
    </row>
    <row r="531" spans="1:7">
      <c r="A531" s="56"/>
      <c r="B531" s="56"/>
      <c r="C531" s="56"/>
      <c r="D531" s="56"/>
      <c r="E531" s="56"/>
      <c r="F531" s="56"/>
      <c r="G531" s="56"/>
    </row>
    <row r="532" spans="1:7">
      <c r="A532" s="56"/>
      <c r="B532" s="56"/>
      <c r="C532" s="56"/>
      <c r="D532" s="56"/>
      <c r="E532" s="56"/>
      <c r="F532" s="56"/>
      <c r="G532" s="56"/>
    </row>
    <row r="533" spans="1:7">
      <c r="A533" s="56"/>
      <c r="B533" s="56"/>
      <c r="C533" s="56"/>
      <c r="D533" s="56"/>
      <c r="E533" s="56"/>
      <c r="F533" s="56"/>
      <c r="G533" s="56"/>
    </row>
    <row r="534" spans="1:7">
      <c r="A534" s="56"/>
      <c r="B534" s="56"/>
      <c r="C534" s="56"/>
      <c r="D534" s="56"/>
      <c r="E534" s="56"/>
      <c r="F534" s="56"/>
      <c r="G534" s="56"/>
    </row>
    <row r="535" spans="1:7">
      <c r="A535" s="56"/>
      <c r="B535" s="56"/>
      <c r="C535" s="56"/>
      <c r="D535" s="56"/>
      <c r="E535" s="56"/>
      <c r="F535" s="56"/>
      <c r="G535" s="56"/>
    </row>
    <row r="536" spans="1:7">
      <c r="A536" s="56"/>
      <c r="B536" s="56"/>
      <c r="C536" s="56"/>
      <c r="D536" s="56"/>
      <c r="E536" s="56"/>
      <c r="F536" s="56"/>
      <c r="G536" s="56"/>
    </row>
    <row r="537" spans="1:7">
      <c r="A537" s="56"/>
      <c r="B537" s="56"/>
      <c r="C537" s="56"/>
      <c r="D537" s="56"/>
      <c r="E537" s="56"/>
      <c r="F537" s="56"/>
      <c r="G537" s="56"/>
    </row>
    <row r="538" spans="1:7">
      <c r="A538" s="56"/>
      <c r="B538" s="56"/>
      <c r="C538" s="56"/>
      <c r="D538" s="56"/>
      <c r="E538" s="56"/>
      <c r="F538" s="56"/>
      <c r="G538" s="56"/>
    </row>
    <row r="539" spans="1:7">
      <c r="A539" s="56"/>
      <c r="B539" s="56"/>
      <c r="C539" s="56"/>
      <c r="D539" s="56"/>
      <c r="E539" s="56"/>
      <c r="F539" s="56"/>
      <c r="G539" s="56"/>
    </row>
    <row r="540" spans="1:7">
      <c r="A540" s="56"/>
      <c r="B540" s="56"/>
      <c r="C540" s="56"/>
      <c r="D540" s="56"/>
      <c r="E540" s="56"/>
      <c r="F540" s="56"/>
      <c r="G540" s="56"/>
    </row>
    <row r="541" spans="1:7">
      <c r="A541" s="56"/>
      <c r="B541" s="56"/>
      <c r="C541" s="56"/>
      <c r="D541" s="56"/>
      <c r="E541" s="56"/>
      <c r="F541" s="56"/>
      <c r="G541" s="56"/>
    </row>
    <row r="542" spans="1:7">
      <c r="A542" s="56"/>
      <c r="B542" s="56"/>
      <c r="C542" s="56"/>
      <c r="D542" s="56"/>
      <c r="E542" s="56"/>
      <c r="F542" s="56"/>
      <c r="G542" s="56"/>
    </row>
    <row r="543" spans="1:7">
      <c r="A543" s="56"/>
      <c r="B543" s="56"/>
      <c r="C543" s="56"/>
      <c r="D543" s="56"/>
      <c r="E543" s="56"/>
      <c r="F543" s="56"/>
      <c r="G543" s="56"/>
    </row>
    <row r="544" spans="1:7">
      <c r="A544" s="56"/>
      <c r="B544" s="56"/>
      <c r="C544" s="56"/>
      <c r="D544" s="56"/>
      <c r="E544" s="56"/>
      <c r="F544" s="56"/>
      <c r="G544" s="56"/>
    </row>
    <row r="545" spans="1:7">
      <c r="A545" s="56"/>
      <c r="B545" s="56"/>
      <c r="C545" s="56"/>
      <c r="D545" s="56"/>
      <c r="E545" s="56"/>
      <c r="F545" s="56"/>
      <c r="G545" s="56"/>
    </row>
    <row r="546" spans="1:7">
      <c r="A546" s="56"/>
      <c r="B546" s="56"/>
      <c r="C546" s="56"/>
      <c r="D546" s="56"/>
      <c r="E546" s="56"/>
      <c r="F546" s="56"/>
      <c r="G546" s="56"/>
    </row>
    <row r="547" spans="1:7">
      <c r="A547" s="56"/>
      <c r="B547" s="56"/>
      <c r="C547" s="56"/>
      <c r="D547" s="56"/>
      <c r="E547" s="56"/>
      <c r="F547" s="56"/>
      <c r="G547" s="56"/>
    </row>
  </sheetData>
  <mergeCells count="545">
    <mergeCell ref="L101:L102"/>
    <mergeCell ref="M101:M102"/>
    <mergeCell ref="A101:A102"/>
    <mergeCell ref="B101:B102"/>
    <mergeCell ref="C101:C102"/>
    <mergeCell ref="D101:D102"/>
    <mergeCell ref="E101:E102"/>
    <mergeCell ref="F101:F102"/>
    <mergeCell ref="G101:G102"/>
    <mergeCell ref="J101:J102"/>
    <mergeCell ref="K101:K102"/>
    <mergeCell ref="L97:L98"/>
    <mergeCell ref="M97:M98"/>
    <mergeCell ref="A99:A100"/>
    <mergeCell ref="B99:B100"/>
    <mergeCell ref="C99:C100"/>
    <mergeCell ref="D99:D100"/>
    <mergeCell ref="E99:E100"/>
    <mergeCell ref="F99:F100"/>
    <mergeCell ref="G99:G100"/>
    <mergeCell ref="J99:J100"/>
    <mergeCell ref="K99:K100"/>
    <mergeCell ref="L99:L100"/>
    <mergeCell ref="M99:M100"/>
    <mergeCell ref="A97:A98"/>
    <mergeCell ref="B97:B98"/>
    <mergeCell ref="C97:C98"/>
    <mergeCell ref="D97:D98"/>
    <mergeCell ref="E97:E98"/>
    <mergeCell ref="F97:F98"/>
    <mergeCell ref="G97:G98"/>
    <mergeCell ref="J97:J98"/>
    <mergeCell ref="K97:K98"/>
    <mergeCell ref="L23:L24"/>
    <mergeCell ref="M23:M24"/>
    <mergeCell ref="A25:A26"/>
    <mergeCell ref="B25:B26"/>
    <mergeCell ref="C25:C26"/>
    <mergeCell ref="D25:D26"/>
    <mergeCell ref="E25:E26"/>
    <mergeCell ref="F25:F26"/>
    <mergeCell ref="G25:G26"/>
    <mergeCell ref="J25:J26"/>
    <mergeCell ref="K25:K26"/>
    <mergeCell ref="L25:L26"/>
    <mergeCell ref="M25:M26"/>
    <mergeCell ref="A23:A24"/>
    <mergeCell ref="B23:B24"/>
    <mergeCell ref="C23:C24"/>
    <mergeCell ref="D23:D24"/>
    <mergeCell ref="E23:E24"/>
    <mergeCell ref="F23:F24"/>
    <mergeCell ref="G23:G24"/>
    <mergeCell ref="J23:J24"/>
    <mergeCell ref="K23:K24"/>
    <mergeCell ref="L83:L84"/>
    <mergeCell ref="M83:M84"/>
    <mergeCell ref="A85:A86"/>
    <mergeCell ref="B85:B86"/>
    <mergeCell ref="C85:C86"/>
    <mergeCell ref="D85:D86"/>
    <mergeCell ref="E85:E86"/>
    <mergeCell ref="F85:F86"/>
    <mergeCell ref="G85:G86"/>
    <mergeCell ref="J85:J86"/>
    <mergeCell ref="K85:K86"/>
    <mergeCell ref="L85:L86"/>
    <mergeCell ref="M85:M86"/>
    <mergeCell ref="A83:A84"/>
    <mergeCell ref="B83:B84"/>
    <mergeCell ref="C83:C84"/>
    <mergeCell ref="D83:D84"/>
    <mergeCell ref="E83:E84"/>
    <mergeCell ref="F83:F84"/>
    <mergeCell ref="G83:G84"/>
    <mergeCell ref="J83:J84"/>
    <mergeCell ref="K83:K84"/>
    <mergeCell ref="L79:L80"/>
    <mergeCell ref="M79:M80"/>
    <mergeCell ref="A81:A82"/>
    <mergeCell ref="B81:B82"/>
    <mergeCell ref="C81:C82"/>
    <mergeCell ref="D81:D82"/>
    <mergeCell ref="E81:E82"/>
    <mergeCell ref="F81:F82"/>
    <mergeCell ref="G81:G82"/>
    <mergeCell ref="J81:J82"/>
    <mergeCell ref="K81:K82"/>
    <mergeCell ref="L81:L82"/>
    <mergeCell ref="M81:M82"/>
    <mergeCell ref="A79:A80"/>
    <mergeCell ref="B79:B80"/>
    <mergeCell ref="C79:C80"/>
    <mergeCell ref="D79:D80"/>
    <mergeCell ref="E79:E80"/>
    <mergeCell ref="F79:F80"/>
    <mergeCell ref="G79:G80"/>
    <mergeCell ref="J79:J80"/>
    <mergeCell ref="K79:K80"/>
    <mergeCell ref="E33:E34"/>
    <mergeCell ref="F33:F34"/>
    <mergeCell ref="G33:G34"/>
    <mergeCell ref="J33:J34"/>
    <mergeCell ref="K33:K34"/>
    <mergeCell ref="L33:L34"/>
    <mergeCell ref="M33:M34"/>
    <mergeCell ref="A35:A36"/>
    <mergeCell ref="B35:B36"/>
    <mergeCell ref="C35:C36"/>
    <mergeCell ref="D35:D36"/>
    <mergeCell ref="E35:E36"/>
    <mergeCell ref="F35:F36"/>
    <mergeCell ref="G35:G36"/>
    <mergeCell ref="J35:J36"/>
    <mergeCell ref="K35:K36"/>
    <mergeCell ref="L35:L36"/>
    <mergeCell ref="M35:M36"/>
    <mergeCell ref="L43:L44"/>
    <mergeCell ref="M43:M44"/>
    <mergeCell ref="A45:A46"/>
    <mergeCell ref="B45:B46"/>
    <mergeCell ref="C45:C46"/>
    <mergeCell ref="D45:D46"/>
    <mergeCell ref="E45:E46"/>
    <mergeCell ref="F45:F46"/>
    <mergeCell ref="G45:G46"/>
    <mergeCell ref="J45:J46"/>
    <mergeCell ref="K45:K46"/>
    <mergeCell ref="L45:L46"/>
    <mergeCell ref="M45:M46"/>
    <mergeCell ref="A43:A44"/>
    <mergeCell ref="B43:B44"/>
    <mergeCell ref="C43:C44"/>
    <mergeCell ref="D43:D44"/>
    <mergeCell ref="E43:E44"/>
    <mergeCell ref="F43:F44"/>
    <mergeCell ref="G43:G44"/>
    <mergeCell ref="J43:J44"/>
    <mergeCell ref="K43:K44"/>
    <mergeCell ref="I3:I4"/>
    <mergeCell ref="J3:J6"/>
    <mergeCell ref="K3:K6"/>
    <mergeCell ref="L3:L6"/>
    <mergeCell ref="M3:M6"/>
    <mergeCell ref="H5:H6"/>
    <mergeCell ref="I5:I6"/>
    <mergeCell ref="A1:M1"/>
    <mergeCell ref="A2:M2"/>
    <mergeCell ref="A3:A6"/>
    <mergeCell ref="B3:B6"/>
    <mergeCell ref="C3:C6"/>
    <mergeCell ref="D3:D6"/>
    <mergeCell ref="E3:E6"/>
    <mergeCell ref="F3:F6"/>
    <mergeCell ref="G3:G6"/>
    <mergeCell ref="H3:H4"/>
    <mergeCell ref="G9:G10"/>
    <mergeCell ref="J9:J10"/>
    <mergeCell ref="K9:K10"/>
    <mergeCell ref="L9:L10"/>
    <mergeCell ref="M9:M10"/>
    <mergeCell ref="A9:A10"/>
    <mergeCell ref="B9:B10"/>
    <mergeCell ref="C9:C10"/>
    <mergeCell ref="D9:D10"/>
    <mergeCell ref="E9:E10"/>
    <mergeCell ref="F9:F10"/>
    <mergeCell ref="A13:A14"/>
    <mergeCell ref="B13:B14"/>
    <mergeCell ref="C13:C14"/>
    <mergeCell ref="D13:D14"/>
    <mergeCell ref="E13:E14"/>
    <mergeCell ref="A11:A12"/>
    <mergeCell ref="B11:B12"/>
    <mergeCell ref="C11:C12"/>
    <mergeCell ref="D11:D12"/>
    <mergeCell ref="E11:E12"/>
    <mergeCell ref="F13:F14"/>
    <mergeCell ref="G13:G14"/>
    <mergeCell ref="J13:J14"/>
    <mergeCell ref="K13:K14"/>
    <mergeCell ref="L13:L14"/>
    <mergeCell ref="M13:M14"/>
    <mergeCell ref="G11:G12"/>
    <mergeCell ref="J11:J12"/>
    <mergeCell ref="K11:K12"/>
    <mergeCell ref="L11:L12"/>
    <mergeCell ref="M11:M12"/>
    <mergeCell ref="F11:F12"/>
    <mergeCell ref="A21:A22"/>
    <mergeCell ref="B21:B22"/>
    <mergeCell ref="C21:C22"/>
    <mergeCell ref="D21:D22"/>
    <mergeCell ref="E21:E22"/>
    <mergeCell ref="A15:A16"/>
    <mergeCell ref="B15:B16"/>
    <mergeCell ref="C15:C16"/>
    <mergeCell ref="D15:D16"/>
    <mergeCell ref="E15:E16"/>
    <mergeCell ref="A19:A20"/>
    <mergeCell ref="B19:B20"/>
    <mergeCell ref="C19:C20"/>
    <mergeCell ref="D19:D20"/>
    <mergeCell ref="E19:E20"/>
    <mergeCell ref="A17:A18"/>
    <mergeCell ref="B17:B18"/>
    <mergeCell ref="C17:C18"/>
    <mergeCell ref="D17:D18"/>
    <mergeCell ref="E17:E18"/>
    <mergeCell ref="F21:F22"/>
    <mergeCell ref="G21:G22"/>
    <mergeCell ref="J21:J22"/>
    <mergeCell ref="K21:K22"/>
    <mergeCell ref="L21:L22"/>
    <mergeCell ref="M21:M22"/>
    <mergeCell ref="G15:G16"/>
    <mergeCell ref="J15:J16"/>
    <mergeCell ref="K15:K16"/>
    <mergeCell ref="L15:L16"/>
    <mergeCell ref="M15:M16"/>
    <mergeCell ref="F15:F16"/>
    <mergeCell ref="F19:F20"/>
    <mergeCell ref="G19:G20"/>
    <mergeCell ref="J19:J20"/>
    <mergeCell ref="K19:K20"/>
    <mergeCell ref="L19:L20"/>
    <mergeCell ref="M19:M20"/>
    <mergeCell ref="L17:L18"/>
    <mergeCell ref="M17:M18"/>
    <mergeCell ref="F17:F18"/>
    <mergeCell ref="G17:G18"/>
    <mergeCell ref="J17:J18"/>
    <mergeCell ref="K17:K18"/>
    <mergeCell ref="A37:A38"/>
    <mergeCell ref="B37:B38"/>
    <mergeCell ref="C37:C38"/>
    <mergeCell ref="D37:D38"/>
    <mergeCell ref="E37:E38"/>
    <mergeCell ref="A27:A28"/>
    <mergeCell ref="B27:B28"/>
    <mergeCell ref="C27:C28"/>
    <mergeCell ref="D27:D28"/>
    <mergeCell ref="E27:E28"/>
    <mergeCell ref="A29:A30"/>
    <mergeCell ref="B29:B30"/>
    <mergeCell ref="C29:C30"/>
    <mergeCell ref="D29:D30"/>
    <mergeCell ref="E29:E30"/>
    <mergeCell ref="A31:A32"/>
    <mergeCell ref="B31:B32"/>
    <mergeCell ref="C31:C32"/>
    <mergeCell ref="D31:D32"/>
    <mergeCell ref="E31:E32"/>
    <mergeCell ref="A33:A34"/>
    <mergeCell ref="B33:B34"/>
    <mergeCell ref="C33:C34"/>
    <mergeCell ref="D33:D34"/>
    <mergeCell ref="F37:F38"/>
    <mergeCell ref="G37:G38"/>
    <mergeCell ref="J37:J38"/>
    <mergeCell ref="K37:K38"/>
    <mergeCell ref="L37:L38"/>
    <mergeCell ref="M37:M38"/>
    <mergeCell ref="G27:G28"/>
    <mergeCell ref="J27:J28"/>
    <mergeCell ref="K27:K28"/>
    <mergeCell ref="L27:L28"/>
    <mergeCell ref="M27:M28"/>
    <mergeCell ref="F27:F28"/>
    <mergeCell ref="F29:F30"/>
    <mergeCell ref="G29:G30"/>
    <mergeCell ref="J29:J30"/>
    <mergeCell ref="K29:K30"/>
    <mergeCell ref="L29:L30"/>
    <mergeCell ref="M29:M30"/>
    <mergeCell ref="F31:F32"/>
    <mergeCell ref="G31:G32"/>
    <mergeCell ref="J31:J32"/>
    <mergeCell ref="K31:K32"/>
    <mergeCell ref="L31:L32"/>
    <mergeCell ref="M31:M32"/>
    <mergeCell ref="G39:G40"/>
    <mergeCell ref="J39:J40"/>
    <mergeCell ref="K39:K40"/>
    <mergeCell ref="L39:L40"/>
    <mergeCell ref="M39:M40"/>
    <mergeCell ref="A39:A40"/>
    <mergeCell ref="B39:B40"/>
    <mergeCell ref="C39:C40"/>
    <mergeCell ref="D39:D40"/>
    <mergeCell ref="E39:E40"/>
    <mergeCell ref="F39:F40"/>
    <mergeCell ref="L41:L42"/>
    <mergeCell ref="M41:M42"/>
    <mergeCell ref="A41:A42"/>
    <mergeCell ref="B41:B42"/>
    <mergeCell ref="C41:C42"/>
    <mergeCell ref="D41:D42"/>
    <mergeCell ref="E41:E42"/>
    <mergeCell ref="F41:F42"/>
    <mergeCell ref="G41:G42"/>
    <mergeCell ref="J41:J42"/>
    <mergeCell ref="K41:K42"/>
    <mergeCell ref="L7:L8"/>
    <mergeCell ref="M7:M8"/>
    <mergeCell ref="A7:A8"/>
    <mergeCell ref="B7:B8"/>
    <mergeCell ref="C7:C8"/>
    <mergeCell ref="D7:D8"/>
    <mergeCell ref="E7:E8"/>
    <mergeCell ref="F7:F8"/>
    <mergeCell ref="G7:G8"/>
    <mergeCell ref="J7:J8"/>
    <mergeCell ref="K7:K8"/>
    <mergeCell ref="L49:L50"/>
    <mergeCell ref="M49:M50"/>
    <mergeCell ref="L47:L48"/>
    <mergeCell ref="M47:M48"/>
    <mergeCell ref="A47:A48"/>
    <mergeCell ref="B47:B48"/>
    <mergeCell ref="C47:C48"/>
    <mergeCell ref="D47:D48"/>
    <mergeCell ref="E47:E48"/>
    <mergeCell ref="F47:F48"/>
    <mergeCell ref="G47:G48"/>
    <mergeCell ref="J47:J48"/>
    <mergeCell ref="K47:K48"/>
    <mergeCell ref="A49:A50"/>
    <mergeCell ref="B49:B50"/>
    <mergeCell ref="C49:C50"/>
    <mergeCell ref="D49:D50"/>
    <mergeCell ref="E49:E50"/>
    <mergeCell ref="F49:F50"/>
    <mergeCell ref="G49:G50"/>
    <mergeCell ref="J49:J50"/>
    <mergeCell ref="K49:K50"/>
    <mergeCell ref="L51:L52"/>
    <mergeCell ref="M51:M52"/>
    <mergeCell ref="A53:A54"/>
    <mergeCell ref="B53:B54"/>
    <mergeCell ref="C53:C54"/>
    <mergeCell ref="D53:D54"/>
    <mergeCell ref="E53:E54"/>
    <mergeCell ref="F53:F54"/>
    <mergeCell ref="G53:G54"/>
    <mergeCell ref="J53:J54"/>
    <mergeCell ref="K53:K54"/>
    <mergeCell ref="L53:L54"/>
    <mergeCell ref="M53:M54"/>
    <mergeCell ref="A51:A52"/>
    <mergeCell ref="B51:B52"/>
    <mergeCell ref="C51:C52"/>
    <mergeCell ref="D51:D52"/>
    <mergeCell ref="E51:E52"/>
    <mergeCell ref="F51:F52"/>
    <mergeCell ref="G51:G52"/>
    <mergeCell ref="J51:J52"/>
    <mergeCell ref="K51:K52"/>
    <mergeCell ref="L57:L58"/>
    <mergeCell ref="M57:M58"/>
    <mergeCell ref="A55:A56"/>
    <mergeCell ref="B55:B56"/>
    <mergeCell ref="C55:C56"/>
    <mergeCell ref="D55:D56"/>
    <mergeCell ref="E55:E56"/>
    <mergeCell ref="F55:F56"/>
    <mergeCell ref="G55:G56"/>
    <mergeCell ref="J55:J56"/>
    <mergeCell ref="K55:K56"/>
    <mergeCell ref="L55:L56"/>
    <mergeCell ref="M55:M56"/>
    <mergeCell ref="A57:A58"/>
    <mergeCell ref="B57:B58"/>
    <mergeCell ref="C57:C58"/>
    <mergeCell ref="D57:D58"/>
    <mergeCell ref="E57:E58"/>
    <mergeCell ref="F57:F58"/>
    <mergeCell ref="G57:G58"/>
    <mergeCell ref="J57:J58"/>
    <mergeCell ref="K57:K58"/>
    <mergeCell ref="L59:L60"/>
    <mergeCell ref="M59:M60"/>
    <mergeCell ref="A61:A62"/>
    <mergeCell ref="B61:B62"/>
    <mergeCell ref="C61:C62"/>
    <mergeCell ref="D61:D62"/>
    <mergeCell ref="E61:E62"/>
    <mergeCell ref="F61:F62"/>
    <mergeCell ref="G61:G62"/>
    <mergeCell ref="J61:J62"/>
    <mergeCell ref="K61:K62"/>
    <mergeCell ref="L61:L62"/>
    <mergeCell ref="M61:M62"/>
    <mergeCell ref="A59:A60"/>
    <mergeCell ref="B59:B60"/>
    <mergeCell ref="C59:C60"/>
    <mergeCell ref="D59:D60"/>
    <mergeCell ref="E59:E60"/>
    <mergeCell ref="F59:F60"/>
    <mergeCell ref="G59:G60"/>
    <mergeCell ref="J59:J60"/>
    <mergeCell ref="K59:K60"/>
    <mergeCell ref="L63:L64"/>
    <mergeCell ref="M63:M64"/>
    <mergeCell ref="A65:A66"/>
    <mergeCell ref="B65:B66"/>
    <mergeCell ref="C65:C66"/>
    <mergeCell ref="D65:D66"/>
    <mergeCell ref="E65:E66"/>
    <mergeCell ref="F65:F66"/>
    <mergeCell ref="G65:G66"/>
    <mergeCell ref="J65:J66"/>
    <mergeCell ref="K65:K66"/>
    <mergeCell ref="L65:L66"/>
    <mergeCell ref="M65:M66"/>
    <mergeCell ref="A63:A64"/>
    <mergeCell ref="B63:B64"/>
    <mergeCell ref="C63:C64"/>
    <mergeCell ref="D63:D64"/>
    <mergeCell ref="E63:E64"/>
    <mergeCell ref="F63:F64"/>
    <mergeCell ref="G63:G64"/>
    <mergeCell ref="J63:J64"/>
    <mergeCell ref="K63:K64"/>
    <mergeCell ref="L69:L70"/>
    <mergeCell ref="M69:M70"/>
    <mergeCell ref="A71:A72"/>
    <mergeCell ref="B71:B72"/>
    <mergeCell ref="C71:C72"/>
    <mergeCell ref="D71:D72"/>
    <mergeCell ref="E71:E72"/>
    <mergeCell ref="F71:F72"/>
    <mergeCell ref="G71:G72"/>
    <mergeCell ref="J71:J72"/>
    <mergeCell ref="K71:K72"/>
    <mergeCell ref="L71:L72"/>
    <mergeCell ref="M71:M72"/>
    <mergeCell ref="A69:A70"/>
    <mergeCell ref="B69:B70"/>
    <mergeCell ref="C69:C70"/>
    <mergeCell ref="D69:D70"/>
    <mergeCell ref="E69:E70"/>
    <mergeCell ref="F69:F70"/>
    <mergeCell ref="G69:G70"/>
    <mergeCell ref="J69:J70"/>
    <mergeCell ref="K69:K70"/>
    <mergeCell ref="L73:L74"/>
    <mergeCell ref="M73:M74"/>
    <mergeCell ref="A73:A74"/>
    <mergeCell ref="B73:B74"/>
    <mergeCell ref="C73:C74"/>
    <mergeCell ref="D73:D74"/>
    <mergeCell ref="E73:E74"/>
    <mergeCell ref="F73:F74"/>
    <mergeCell ref="G73:G74"/>
    <mergeCell ref="J73:J74"/>
    <mergeCell ref="K73:K74"/>
    <mergeCell ref="L75:L76"/>
    <mergeCell ref="M75:M76"/>
    <mergeCell ref="A77:A78"/>
    <mergeCell ref="B77:B78"/>
    <mergeCell ref="C77:C78"/>
    <mergeCell ref="D77:D78"/>
    <mergeCell ref="E77:E78"/>
    <mergeCell ref="F77:F78"/>
    <mergeCell ref="G77:G78"/>
    <mergeCell ref="J77:J78"/>
    <mergeCell ref="K77:K78"/>
    <mergeCell ref="L77:L78"/>
    <mergeCell ref="M77:M78"/>
    <mergeCell ref="A75:A76"/>
    <mergeCell ref="B75:B76"/>
    <mergeCell ref="C75:C76"/>
    <mergeCell ref="D75:D76"/>
    <mergeCell ref="E75:E76"/>
    <mergeCell ref="F75:F76"/>
    <mergeCell ref="G75:G76"/>
    <mergeCell ref="J75:J76"/>
    <mergeCell ref="K75:K76"/>
    <mergeCell ref="L67:L68"/>
    <mergeCell ref="M67:M68"/>
    <mergeCell ref="A67:A68"/>
    <mergeCell ref="B67:B68"/>
    <mergeCell ref="C67:C68"/>
    <mergeCell ref="D67:D68"/>
    <mergeCell ref="E67:E68"/>
    <mergeCell ref="F67:F68"/>
    <mergeCell ref="G67:G68"/>
    <mergeCell ref="J67:J68"/>
    <mergeCell ref="K67:K68"/>
    <mergeCell ref="L87:L88"/>
    <mergeCell ref="M87:M88"/>
    <mergeCell ref="A89:A90"/>
    <mergeCell ref="B89:B90"/>
    <mergeCell ref="C89:C90"/>
    <mergeCell ref="D89:D90"/>
    <mergeCell ref="E89:E90"/>
    <mergeCell ref="F89:F90"/>
    <mergeCell ref="G89:G90"/>
    <mergeCell ref="J89:J90"/>
    <mergeCell ref="K89:K90"/>
    <mergeCell ref="L89:L90"/>
    <mergeCell ref="M89:M90"/>
    <mergeCell ref="A87:A88"/>
    <mergeCell ref="B87:B88"/>
    <mergeCell ref="C87:C88"/>
    <mergeCell ref="D87:D88"/>
    <mergeCell ref="E87:E88"/>
    <mergeCell ref="F87:F88"/>
    <mergeCell ref="G87:G88"/>
    <mergeCell ref="J87:J88"/>
    <mergeCell ref="K87:K88"/>
    <mergeCell ref="L91:L92"/>
    <mergeCell ref="M91:M92"/>
    <mergeCell ref="A93:A94"/>
    <mergeCell ref="B93:B94"/>
    <mergeCell ref="C93:C94"/>
    <mergeCell ref="D93:D94"/>
    <mergeCell ref="E93:E94"/>
    <mergeCell ref="F93:F94"/>
    <mergeCell ref="G93:G94"/>
    <mergeCell ref="J93:J94"/>
    <mergeCell ref="K93:K94"/>
    <mergeCell ref="L93:L94"/>
    <mergeCell ref="M93:M94"/>
    <mergeCell ref="A91:A92"/>
    <mergeCell ref="B91:B92"/>
    <mergeCell ref="C91:C92"/>
    <mergeCell ref="D91:D92"/>
    <mergeCell ref="E91:E92"/>
    <mergeCell ref="F91:F92"/>
    <mergeCell ref="G91:G92"/>
    <mergeCell ref="J91:J92"/>
    <mergeCell ref="K91:K92"/>
    <mergeCell ref="L95:L96"/>
    <mergeCell ref="M95:M96"/>
    <mergeCell ref="A95:A96"/>
    <mergeCell ref="B95:B96"/>
    <mergeCell ref="C95:C96"/>
    <mergeCell ref="D95:D96"/>
    <mergeCell ref="E95:E96"/>
    <mergeCell ref="F95:F96"/>
    <mergeCell ref="G95:G96"/>
    <mergeCell ref="J95:J96"/>
    <mergeCell ref="K95:K96"/>
  </mergeCells>
  <dataValidations disablePrompts="1" count="1">
    <dataValidation type="list" allowBlank="1" showInputMessage="1" showErrorMessage="1" sqref="L7:L102" xr:uid="{00000000-0002-0000-0800-000000000000}">
      <formula1>$L$104:$L$109</formula1>
    </dataValidation>
  </dataValidations>
  <printOptions horizontalCentered="1" verticalCentered="1"/>
  <pageMargins left="0.5" right="0.5" top="0.5" bottom="0.5" header="0.35" footer="0.35"/>
  <pageSetup scale="80" fitToHeight="4" orientation="landscape" useFirstPageNumber="1" r:id="rId1"/>
  <headerFooter alignWithMargins="0">
    <oddHeader>&amp;L&amp;"Times New Roman,Regular"&amp;8XTO Energy Inc.&amp;C&amp;"Times New Roman,Regular"&amp;8Husky CDP&amp;R&amp;"Times New Roman,Regular"&amp;8October 2019: Revision 0</oddHeader>
    <oddFooter>&amp;L&amp;"Arial,Bold"&amp;8Form Revision: 5/3/2016&amp;C&amp;8Table 2-A:  Page &amp;P&amp;R&amp;8Printed &amp;D &amp;T</oddFooter>
  </headerFooter>
  <rowBreaks count="3" manualBreakCount="3">
    <brk id="30" max="16383" man="1"/>
    <brk id="56" max="16383" man="1"/>
    <brk id="8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tabColor rgb="FF00FFCC"/>
  </sheetPr>
  <dimension ref="A1:P114"/>
  <sheetViews>
    <sheetView view="pageBreakPreview" zoomScaleNormal="85" zoomScaleSheetLayoutView="100" workbookViewId="0">
      <selection activeCell="A8" sqref="A8:XFD8"/>
    </sheetView>
  </sheetViews>
  <sheetFormatPr defaultRowHeight="12.5"/>
  <cols>
    <col min="1" max="1" width="8.54296875" style="47"/>
    <col min="2" max="2" width="24.453125" style="47" customWidth="1"/>
    <col min="3" max="3" width="16.54296875" style="47" customWidth="1"/>
    <col min="4" max="4" width="5.36328125" style="47" customWidth="1"/>
    <col min="5" max="5" width="8.54296875" style="47"/>
    <col min="6" max="6" width="2.453125" style="47" customWidth="1"/>
    <col min="7" max="7" width="23.453125" style="47" customWidth="1"/>
    <col min="8" max="8" width="22.453125" style="47" customWidth="1"/>
    <col min="9" max="9" width="8.54296875" style="47"/>
    <col min="10" max="10" width="2.54296875" style="47" customWidth="1"/>
    <col min="11" max="247" width="8.54296875" style="47"/>
    <col min="248" max="248" width="24.453125" style="47" customWidth="1"/>
    <col min="249" max="251" width="16.54296875" style="47" customWidth="1"/>
    <col min="252" max="253" width="17.54296875" style="47" customWidth="1"/>
    <col min="254" max="254" width="16.54296875" style="47" customWidth="1"/>
    <col min="255" max="255" width="16" style="47" customWidth="1"/>
    <col min="256" max="256" width="11.453125" style="47" customWidth="1"/>
    <col min="257" max="258" width="8.54296875" style="47"/>
    <col min="259" max="259" width="2.453125" style="47" customWidth="1"/>
    <col min="260" max="260" width="23.453125" style="47" customWidth="1"/>
    <col min="261" max="262" width="8.54296875" style="47"/>
    <col min="263" max="263" width="2.54296875" style="47" customWidth="1"/>
    <col min="264" max="264" width="24.453125" style="47" customWidth="1"/>
    <col min="265" max="503" width="8.54296875" style="47"/>
    <col min="504" max="504" width="24.453125" style="47" customWidth="1"/>
    <col min="505" max="507" width="16.54296875" style="47" customWidth="1"/>
    <col min="508" max="509" width="17.54296875" style="47" customWidth="1"/>
    <col min="510" max="510" width="16.54296875" style="47" customWidth="1"/>
    <col min="511" max="511" width="16" style="47" customWidth="1"/>
    <col min="512" max="512" width="11.453125" style="47" customWidth="1"/>
    <col min="513" max="514" width="8.54296875" style="47"/>
    <col min="515" max="515" width="2.453125" style="47" customWidth="1"/>
    <col min="516" max="516" width="23.453125" style="47" customWidth="1"/>
    <col min="517" max="518" width="8.54296875" style="47"/>
    <col min="519" max="519" width="2.54296875" style="47" customWidth="1"/>
    <col min="520" max="520" width="24.453125" style="47" customWidth="1"/>
    <col min="521" max="759" width="8.54296875" style="47"/>
    <col min="760" max="760" width="24.453125" style="47" customWidth="1"/>
    <col min="761" max="763" width="16.54296875" style="47" customWidth="1"/>
    <col min="764" max="765" width="17.54296875" style="47" customWidth="1"/>
    <col min="766" max="766" width="16.54296875" style="47" customWidth="1"/>
    <col min="767" max="767" width="16" style="47" customWidth="1"/>
    <col min="768" max="768" width="11.453125" style="47" customWidth="1"/>
    <col min="769" max="770" width="8.54296875" style="47"/>
    <col min="771" max="771" width="2.453125" style="47" customWidth="1"/>
    <col min="772" max="772" width="23.453125" style="47" customWidth="1"/>
    <col min="773" max="774" width="8.54296875" style="47"/>
    <col min="775" max="775" width="2.54296875" style="47" customWidth="1"/>
    <col min="776" max="776" width="24.453125" style="47" customWidth="1"/>
    <col min="777" max="1015" width="8.54296875" style="47"/>
    <col min="1016" max="1016" width="24.453125" style="47" customWidth="1"/>
    <col min="1017" max="1019" width="16.54296875" style="47" customWidth="1"/>
    <col min="1020" max="1021" width="17.54296875" style="47" customWidth="1"/>
    <col min="1022" max="1022" width="16.54296875" style="47" customWidth="1"/>
    <col min="1023" max="1023" width="16" style="47" customWidth="1"/>
    <col min="1024" max="1024" width="11.453125" style="47" customWidth="1"/>
    <col min="1025" max="1026" width="8.54296875" style="47"/>
    <col min="1027" max="1027" width="2.453125" style="47" customWidth="1"/>
    <col min="1028" max="1028" width="23.453125" style="47" customWidth="1"/>
    <col min="1029" max="1030" width="8.54296875" style="47"/>
    <col min="1031" max="1031" width="2.54296875" style="47" customWidth="1"/>
    <col min="1032" max="1032" width="24.453125" style="47" customWidth="1"/>
    <col min="1033" max="1271" width="8.54296875" style="47"/>
    <col min="1272" max="1272" width="24.453125" style="47" customWidth="1"/>
    <col min="1273" max="1275" width="16.54296875" style="47" customWidth="1"/>
    <col min="1276" max="1277" width="17.54296875" style="47" customWidth="1"/>
    <col min="1278" max="1278" width="16.54296875" style="47" customWidth="1"/>
    <col min="1279" max="1279" width="16" style="47" customWidth="1"/>
    <col min="1280" max="1280" width="11.453125" style="47" customWidth="1"/>
    <col min="1281" max="1282" width="8.54296875" style="47"/>
    <col min="1283" max="1283" width="2.453125" style="47" customWidth="1"/>
    <col min="1284" max="1284" width="23.453125" style="47" customWidth="1"/>
    <col min="1285" max="1286" width="8.54296875" style="47"/>
    <col min="1287" max="1287" width="2.54296875" style="47" customWidth="1"/>
    <col min="1288" max="1288" width="24.453125" style="47" customWidth="1"/>
    <col min="1289" max="1527" width="8.54296875" style="47"/>
    <col min="1528" max="1528" width="24.453125" style="47" customWidth="1"/>
    <col min="1529" max="1531" width="16.54296875" style="47" customWidth="1"/>
    <col min="1532" max="1533" width="17.54296875" style="47" customWidth="1"/>
    <col min="1534" max="1534" width="16.54296875" style="47" customWidth="1"/>
    <col min="1535" max="1535" width="16" style="47" customWidth="1"/>
    <col min="1536" max="1536" width="11.453125" style="47" customWidth="1"/>
    <col min="1537" max="1538" width="8.54296875" style="47"/>
    <col min="1539" max="1539" width="2.453125" style="47" customWidth="1"/>
    <col min="1540" max="1540" width="23.453125" style="47" customWidth="1"/>
    <col min="1541" max="1542" width="8.54296875" style="47"/>
    <col min="1543" max="1543" width="2.54296875" style="47" customWidth="1"/>
    <col min="1544" max="1544" width="24.453125" style="47" customWidth="1"/>
    <col min="1545" max="1783" width="8.54296875" style="47"/>
    <col min="1784" max="1784" width="24.453125" style="47" customWidth="1"/>
    <col min="1785" max="1787" width="16.54296875" style="47" customWidth="1"/>
    <col min="1788" max="1789" width="17.54296875" style="47" customWidth="1"/>
    <col min="1790" max="1790" width="16.54296875" style="47" customWidth="1"/>
    <col min="1791" max="1791" width="16" style="47" customWidth="1"/>
    <col min="1792" max="1792" width="11.453125" style="47" customWidth="1"/>
    <col min="1793" max="1794" width="8.54296875" style="47"/>
    <col min="1795" max="1795" width="2.453125" style="47" customWidth="1"/>
    <col min="1796" max="1796" width="23.453125" style="47" customWidth="1"/>
    <col min="1797" max="1798" width="8.54296875" style="47"/>
    <col min="1799" max="1799" width="2.54296875" style="47" customWidth="1"/>
    <col min="1800" max="1800" width="24.453125" style="47" customWidth="1"/>
    <col min="1801" max="2039" width="8.54296875" style="47"/>
    <col min="2040" max="2040" width="24.453125" style="47" customWidth="1"/>
    <col min="2041" max="2043" width="16.54296875" style="47" customWidth="1"/>
    <col min="2044" max="2045" width="17.54296875" style="47" customWidth="1"/>
    <col min="2046" max="2046" width="16.54296875" style="47" customWidth="1"/>
    <col min="2047" max="2047" width="16" style="47" customWidth="1"/>
    <col min="2048" max="2048" width="11.453125" style="47" customWidth="1"/>
    <col min="2049" max="2050" width="8.54296875" style="47"/>
    <col min="2051" max="2051" width="2.453125" style="47" customWidth="1"/>
    <col min="2052" max="2052" width="23.453125" style="47" customWidth="1"/>
    <col min="2053" max="2054" width="8.54296875" style="47"/>
    <col min="2055" max="2055" width="2.54296875" style="47" customWidth="1"/>
    <col min="2056" max="2056" width="24.453125" style="47" customWidth="1"/>
    <col min="2057" max="2295" width="8.54296875" style="47"/>
    <col min="2296" max="2296" width="24.453125" style="47" customWidth="1"/>
    <col min="2297" max="2299" width="16.54296875" style="47" customWidth="1"/>
    <col min="2300" max="2301" width="17.54296875" style="47" customWidth="1"/>
    <col min="2302" max="2302" width="16.54296875" style="47" customWidth="1"/>
    <col min="2303" max="2303" width="16" style="47" customWidth="1"/>
    <col min="2304" max="2304" width="11.453125" style="47" customWidth="1"/>
    <col min="2305" max="2306" width="8.54296875" style="47"/>
    <col min="2307" max="2307" width="2.453125" style="47" customWidth="1"/>
    <col min="2308" max="2308" width="23.453125" style="47" customWidth="1"/>
    <col min="2309" max="2310" width="8.54296875" style="47"/>
    <col min="2311" max="2311" width="2.54296875" style="47" customWidth="1"/>
    <col min="2312" max="2312" width="24.453125" style="47" customWidth="1"/>
    <col min="2313" max="2551" width="8.54296875" style="47"/>
    <col min="2552" max="2552" width="24.453125" style="47" customWidth="1"/>
    <col min="2553" max="2555" width="16.54296875" style="47" customWidth="1"/>
    <col min="2556" max="2557" width="17.54296875" style="47" customWidth="1"/>
    <col min="2558" max="2558" width="16.54296875" style="47" customWidth="1"/>
    <col min="2559" max="2559" width="16" style="47" customWidth="1"/>
    <col min="2560" max="2560" width="11.453125" style="47" customWidth="1"/>
    <col min="2561" max="2562" width="8.54296875" style="47"/>
    <col min="2563" max="2563" width="2.453125" style="47" customWidth="1"/>
    <col min="2564" max="2564" width="23.453125" style="47" customWidth="1"/>
    <col min="2565" max="2566" width="8.54296875" style="47"/>
    <col min="2567" max="2567" width="2.54296875" style="47" customWidth="1"/>
    <col min="2568" max="2568" width="24.453125" style="47" customWidth="1"/>
    <col min="2569" max="2807" width="8.54296875" style="47"/>
    <col min="2808" max="2808" width="24.453125" style="47" customWidth="1"/>
    <col min="2809" max="2811" width="16.54296875" style="47" customWidth="1"/>
    <col min="2812" max="2813" width="17.54296875" style="47" customWidth="1"/>
    <col min="2814" max="2814" width="16.54296875" style="47" customWidth="1"/>
    <col min="2815" max="2815" width="16" style="47" customWidth="1"/>
    <col min="2816" max="2816" width="11.453125" style="47" customWidth="1"/>
    <col min="2817" max="2818" width="8.54296875" style="47"/>
    <col min="2819" max="2819" width="2.453125" style="47" customWidth="1"/>
    <col min="2820" max="2820" width="23.453125" style="47" customWidth="1"/>
    <col min="2821" max="2822" width="8.54296875" style="47"/>
    <col min="2823" max="2823" width="2.54296875" style="47" customWidth="1"/>
    <col min="2824" max="2824" width="24.453125" style="47" customWidth="1"/>
    <col min="2825" max="3063" width="8.54296875" style="47"/>
    <col min="3064" max="3064" width="24.453125" style="47" customWidth="1"/>
    <col min="3065" max="3067" width="16.54296875" style="47" customWidth="1"/>
    <col min="3068" max="3069" width="17.54296875" style="47" customWidth="1"/>
    <col min="3070" max="3070" width="16.54296875" style="47" customWidth="1"/>
    <col min="3071" max="3071" width="16" style="47" customWidth="1"/>
    <col min="3072" max="3072" width="11.453125" style="47" customWidth="1"/>
    <col min="3073" max="3074" width="8.54296875" style="47"/>
    <col min="3075" max="3075" width="2.453125" style="47" customWidth="1"/>
    <col min="3076" max="3076" width="23.453125" style="47" customWidth="1"/>
    <col min="3077" max="3078" width="8.54296875" style="47"/>
    <col min="3079" max="3079" width="2.54296875" style="47" customWidth="1"/>
    <col min="3080" max="3080" width="24.453125" style="47" customWidth="1"/>
    <col min="3081" max="3319" width="8.54296875" style="47"/>
    <col min="3320" max="3320" width="24.453125" style="47" customWidth="1"/>
    <col min="3321" max="3323" width="16.54296875" style="47" customWidth="1"/>
    <col min="3324" max="3325" width="17.54296875" style="47" customWidth="1"/>
    <col min="3326" max="3326" width="16.54296875" style="47" customWidth="1"/>
    <col min="3327" max="3327" width="16" style="47" customWidth="1"/>
    <col min="3328" max="3328" width="11.453125" style="47" customWidth="1"/>
    <col min="3329" max="3330" width="8.54296875" style="47"/>
    <col min="3331" max="3331" width="2.453125" style="47" customWidth="1"/>
    <col min="3332" max="3332" width="23.453125" style="47" customWidth="1"/>
    <col min="3333" max="3334" width="8.54296875" style="47"/>
    <col min="3335" max="3335" width="2.54296875" style="47" customWidth="1"/>
    <col min="3336" max="3336" width="24.453125" style="47" customWidth="1"/>
    <col min="3337" max="3575" width="8.54296875" style="47"/>
    <col min="3576" max="3576" width="24.453125" style="47" customWidth="1"/>
    <col min="3577" max="3579" width="16.54296875" style="47" customWidth="1"/>
    <col min="3580" max="3581" width="17.54296875" style="47" customWidth="1"/>
    <col min="3582" max="3582" width="16.54296875" style="47" customWidth="1"/>
    <col min="3583" max="3583" width="16" style="47" customWidth="1"/>
    <col min="3584" max="3584" width="11.453125" style="47" customWidth="1"/>
    <col min="3585" max="3586" width="8.54296875" style="47"/>
    <col min="3587" max="3587" width="2.453125" style="47" customWidth="1"/>
    <col min="3588" max="3588" width="23.453125" style="47" customWidth="1"/>
    <col min="3589" max="3590" width="8.54296875" style="47"/>
    <col min="3591" max="3591" width="2.54296875" style="47" customWidth="1"/>
    <col min="3592" max="3592" width="24.453125" style="47" customWidth="1"/>
    <col min="3593" max="3831" width="8.54296875" style="47"/>
    <col min="3832" max="3832" width="24.453125" style="47" customWidth="1"/>
    <col min="3833" max="3835" width="16.54296875" style="47" customWidth="1"/>
    <col min="3836" max="3837" width="17.54296875" style="47" customWidth="1"/>
    <col min="3838" max="3838" width="16.54296875" style="47" customWidth="1"/>
    <col min="3839" max="3839" width="16" style="47" customWidth="1"/>
    <col min="3840" max="3840" width="11.453125" style="47" customWidth="1"/>
    <col min="3841" max="3842" width="8.54296875" style="47"/>
    <col min="3843" max="3843" width="2.453125" style="47" customWidth="1"/>
    <col min="3844" max="3844" width="23.453125" style="47" customWidth="1"/>
    <col min="3845" max="3846" width="8.54296875" style="47"/>
    <col min="3847" max="3847" width="2.54296875" style="47" customWidth="1"/>
    <col min="3848" max="3848" width="24.453125" style="47" customWidth="1"/>
    <col min="3849" max="4087" width="8.54296875" style="47"/>
    <col min="4088" max="4088" width="24.453125" style="47" customWidth="1"/>
    <col min="4089" max="4091" width="16.54296875" style="47" customWidth="1"/>
    <col min="4092" max="4093" width="17.54296875" style="47" customWidth="1"/>
    <col min="4094" max="4094" width="16.54296875" style="47" customWidth="1"/>
    <col min="4095" max="4095" width="16" style="47" customWidth="1"/>
    <col min="4096" max="4096" width="11.453125" style="47" customWidth="1"/>
    <col min="4097" max="4098" width="8.54296875" style="47"/>
    <col min="4099" max="4099" width="2.453125" style="47" customWidth="1"/>
    <col min="4100" max="4100" width="23.453125" style="47" customWidth="1"/>
    <col min="4101" max="4102" width="8.54296875" style="47"/>
    <col min="4103" max="4103" width="2.54296875" style="47" customWidth="1"/>
    <col min="4104" max="4104" width="24.453125" style="47" customWidth="1"/>
    <col min="4105" max="4343" width="8.54296875" style="47"/>
    <col min="4344" max="4344" width="24.453125" style="47" customWidth="1"/>
    <col min="4345" max="4347" width="16.54296875" style="47" customWidth="1"/>
    <col min="4348" max="4349" width="17.54296875" style="47" customWidth="1"/>
    <col min="4350" max="4350" width="16.54296875" style="47" customWidth="1"/>
    <col min="4351" max="4351" width="16" style="47" customWidth="1"/>
    <col min="4352" max="4352" width="11.453125" style="47" customWidth="1"/>
    <col min="4353" max="4354" width="8.54296875" style="47"/>
    <col min="4355" max="4355" width="2.453125" style="47" customWidth="1"/>
    <col min="4356" max="4356" width="23.453125" style="47" customWidth="1"/>
    <col min="4357" max="4358" width="8.54296875" style="47"/>
    <col min="4359" max="4359" width="2.54296875" style="47" customWidth="1"/>
    <col min="4360" max="4360" width="24.453125" style="47" customWidth="1"/>
    <col min="4361" max="4599" width="8.54296875" style="47"/>
    <col min="4600" max="4600" width="24.453125" style="47" customWidth="1"/>
    <col min="4601" max="4603" width="16.54296875" style="47" customWidth="1"/>
    <col min="4604" max="4605" width="17.54296875" style="47" customWidth="1"/>
    <col min="4606" max="4606" width="16.54296875" style="47" customWidth="1"/>
    <col min="4607" max="4607" width="16" style="47" customWidth="1"/>
    <col min="4608" max="4608" width="11.453125" style="47" customWidth="1"/>
    <col min="4609" max="4610" width="8.54296875" style="47"/>
    <col min="4611" max="4611" width="2.453125" style="47" customWidth="1"/>
    <col min="4612" max="4612" width="23.453125" style="47" customWidth="1"/>
    <col min="4613" max="4614" width="8.54296875" style="47"/>
    <col min="4615" max="4615" width="2.54296875" style="47" customWidth="1"/>
    <col min="4616" max="4616" width="24.453125" style="47" customWidth="1"/>
    <col min="4617" max="4855" width="8.54296875" style="47"/>
    <col min="4856" max="4856" width="24.453125" style="47" customWidth="1"/>
    <col min="4857" max="4859" width="16.54296875" style="47" customWidth="1"/>
    <col min="4860" max="4861" width="17.54296875" style="47" customWidth="1"/>
    <col min="4862" max="4862" width="16.54296875" style="47" customWidth="1"/>
    <col min="4863" max="4863" width="16" style="47" customWidth="1"/>
    <col min="4864" max="4864" width="11.453125" style="47" customWidth="1"/>
    <col min="4865" max="4866" width="8.54296875" style="47"/>
    <col min="4867" max="4867" width="2.453125" style="47" customWidth="1"/>
    <col min="4868" max="4868" width="23.453125" style="47" customWidth="1"/>
    <col min="4869" max="4870" width="8.54296875" style="47"/>
    <col min="4871" max="4871" width="2.54296875" style="47" customWidth="1"/>
    <col min="4872" max="4872" width="24.453125" style="47" customWidth="1"/>
    <col min="4873" max="5111" width="8.54296875" style="47"/>
    <col min="5112" max="5112" width="24.453125" style="47" customWidth="1"/>
    <col min="5113" max="5115" width="16.54296875" style="47" customWidth="1"/>
    <col min="5116" max="5117" width="17.54296875" style="47" customWidth="1"/>
    <col min="5118" max="5118" width="16.54296875" style="47" customWidth="1"/>
    <col min="5119" max="5119" width="16" style="47" customWidth="1"/>
    <col min="5120" max="5120" width="11.453125" style="47" customWidth="1"/>
    <col min="5121" max="5122" width="8.54296875" style="47"/>
    <col min="5123" max="5123" width="2.453125" style="47" customWidth="1"/>
    <col min="5124" max="5124" width="23.453125" style="47" customWidth="1"/>
    <col min="5125" max="5126" width="8.54296875" style="47"/>
    <col min="5127" max="5127" width="2.54296875" style="47" customWidth="1"/>
    <col min="5128" max="5128" width="24.453125" style="47" customWidth="1"/>
    <col min="5129" max="5367" width="8.54296875" style="47"/>
    <col min="5368" max="5368" width="24.453125" style="47" customWidth="1"/>
    <col min="5369" max="5371" width="16.54296875" style="47" customWidth="1"/>
    <col min="5372" max="5373" width="17.54296875" style="47" customWidth="1"/>
    <col min="5374" max="5374" width="16.54296875" style="47" customWidth="1"/>
    <col min="5375" max="5375" width="16" style="47" customWidth="1"/>
    <col min="5376" max="5376" width="11.453125" style="47" customWidth="1"/>
    <col min="5377" max="5378" width="8.54296875" style="47"/>
    <col min="5379" max="5379" width="2.453125" style="47" customWidth="1"/>
    <col min="5380" max="5380" width="23.453125" style="47" customWidth="1"/>
    <col min="5381" max="5382" width="8.54296875" style="47"/>
    <col min="5383" max="5383" width="2.54296875" style="47" customWidth="1"/>
    <col min="5384" max="5384" width="24.453125" style="47" customWidth="1"/>
    <col min="5385" max="5623" width="8.54296875" style="47"/>
    <col min="5624" max="5624" width="24.453125" style="47" customWidth="1"/>
    <col min="5625" max="5627" width="16.54296875" style="47" customWidth="1"/>
    <col min="5628" max="5629" width="17.54296875" style="47" customWidth="1"/>
    <col min="5630" max="5630" width="16.54296875" style="47" customWidth="1"/>
    <col min="5631" max="5631" width="16" style="47" customWidth="1"/>
    <col min="5632" max="5632" width="11.453125" style="47" customWidth="1"/>
    <col min="5633" max="5634" width="8.54296875" style="47"/>
    <col min="5635" max="5635" width="2.453125" style="47" customWidth="1"/>
    <col min="5636" max="5636" width="23.453125" style="47" customWidth="1"/>
    <col min="5637" max="5638" width="8.54296875" style="47"/>
    <col min="5639" max="5639" width="2.54296875" style="47" customWidth="1"/>
    <col min="5640" max="5640" width="24.453125" style="47" customWidth="1"/>
    <col min="5641" max="5879" width="8.54296875" style="47"/>
    <col min="5880" max="5880" width="24.453125" style="47" customWidth="1"/>
    <col min="5881" max="5883" width="16.54296875" style="47" customWidth="1"/>
    <col min="5884" max="5885" width="17.54296875" style="47" customWidth="1"/>
    <col min="5886" max="5886" width="16.54296875" style="47" customWidth="1"/>
    <col min="5887" max="5887" width="16" style="47" customWidth="1"/>
    <col min="5888" max="5888" width="11.453125" style="47" customWidth="1"/>
    <col min="5889" max="5890" width="8.54296875" style="47"/>
    <col min="5891" max="5891" width="2.453125" style="47" customWidth="1"/>
    <col min="5892" max="5892" width="23.453125" style="47" customWidth="1"/>
    <col min="5893" max="5894" width="8.54296875" style="47"/>
    <col min="5895" max="5895" width="2.54296875" style="47" customWidth="1"/>
    <col min="5896" max="5896" width="24.453125" style="47" customWidth="1"/>
    <col min="5897" max="6135" width="8.54296875" style="47"/>
    <col min="6136" max="6136" width="24.453125" style="47" customWidth="1"/>
    <col min="6137" max="6139" width="16.54296875" style="47" customWidth="1"/>
    <col min="6140" max="6141" width="17.54296875" style="47" customWidth="1"/>
    <col min="6142" max="6142" width="16.54296875" style="47" customWidth="1"/>
    <col min="6143" max="6143" width="16" style="47" customWidth="1"/>
    <col min="6144" max="6144" width="11.453125" style="47" customWidth="1"/>
    <col min="6145" max="6146" width="8.54296875" style="47"/>
    <col min="6147" max="6147" width="2.453125" style="47" customWidth="1"/>
    <col min="6148" max="6148" width="23.453125" style="47" customWidth="1"/>
    <col min="6149" max="6150" width="8.54296875" style="47"/>
    <col min="6151" max="6151" width="2.54296875" style="47" customWidth="1"/>
    <col min="6152" max="6152" width="24.453125" style="47" customWidth="1"/>
    <col min="6153" max="6391" width="8.54296875" style="47"/>
    <col min="6392" max="6392" width="24.453125" style="47" customWidth="1"/>
    <col min="6393" max="6395" width="16.54296875" style="47" customWidth="1"/>
    <col min="6396" max="6397" width="17.54296875" style="47" customWidth="1"/>
    <col min="6398" max="6398" width="16.54296875" style="47" customWidth="1"/>
    <col min="6399" max="6399" width="16" style="47" customWidth="1"/>
    <col min="6400" max="6400" width="11.453125" style="47" customWidth="1"/>
    <col min="6401" max="6402" width="8.54296875" style="47"/>
    <col min="6403" max="6403" width="2.453125" style="47" customWidth="1"/>
    <col min="6404" max="6404" width="23.453125" style="47" customWidth="1"/>
    <col min="6405" max="6406" width="8.54296875" style="47"/>
    <col min="6407" max="6407" width="2.54296875" style="47" customWidth="1"/>
    <col min="6408" max="6408" width="24.453125" style="47" customWidth="1"/>
    <col min="6409" max="6647" width="8.54296875" style="47"/>
    <col min="6648" max="6648" width="24.453125" style="47" customWidth="1"/>
    <col min="6649" max="6651" width="16.54296875" style="47" customWidth="1"/>
    <col min="6652" max="6653" width="17.54296875" style="47" customWidth="1"/>
    <col min="6654" max="6654" width="16.54296875" style="47" customWidth="1"/>
    <col min="6655" max="6655" width="16" style="47" customWidth="1"/>
    <col min="6656" max="6656" width="11.453125" style="47" customWidth="1"/>
    <col min="6657" max="6658" width="8.54296875" style="47"/>
    <col min="6659" max="6659" width="2.453125" style="47" customWidth="1"/>
    <col min="6660" max="6660" width="23.453125" style="47" customWidth="1"/>
    <col min="6661" max="6662" width="8.54296875" style="47"/>
    <col min="6663" max="6663" width="2.54296875" style="47" customWidth="1"/>
    <col min="6664" max="6664" width="24.453125" style="47" customWidth="1"/>
    <col min="6665" max="6903" width="8.54296875" style="47"/>
    <col min="6904" max="6904" width="24.453125" style="47" customWidth="1"/>
    <col min="6905" max="6907" width="16.54296875" style="47" customWidth="1"/>
    <col min="6908" max="6909" width="17.54296875" style="47" customWidth="1"/>
    <col min="6910" max="6910" width="16.54296875" style="47" customWidth="1"/>
    <col min="6911" max="6911" width="16" style="47" customWidth="1"/>
    <col min="6912" max="6912" width="11.453125" style="47" customWidth="1"/>
    <col min="6913" max="6914" width="8.54296875" style="47"/>
    <col min="6915" max="6915" width="2.453125" style="47" customWidth="1"/>
    <col min="6916" max="6916" width="23.453125" style="47" customWidth="1"/>
    <col min="6917" max="6918" width="8.54296875" style="47"/>
    <col min="6919" max="6919" width="2.54296875" style="47" customWidth="1"/>
    <col min="6920" max="6920" width="24.453125" style="47" customWidth="1"/>
    <col min="6921" max="7159" width="8.54296875" style="47"/>
    <col min="7160" max="7160" width="24.453125" style="47" customWidth="1"/>
    <col min="7161" max="7163" width="16.54296875" style="47" customWidth="1"/>
    <col min="7164" max="7165" width="17.54296875" style="47" customWidth="1"/>
    <col min="7166" max="7166" width="16.54296875" style="47" customWidth="1"/>
    <col min="7167" max="7167" width="16" style="47" customWidth="1"/>
    <col min="7168" max="7168" width="11.453125" style="47" customWidth="1"/>
    <col min="7169" max="7170" width="8.54296875" style="47"/>
    <col min="7171" max="7171" width="2.453125" style="47" customWidth="1"/>
    <col min="7172" max="7172" width="23.453125" style="47" customWidth="1"/>
    <col min="7173" max="7174" width="8.54296875" style="47"/>
    <col min="7175" max="7175" width="2.54296875" style="47" customWidth="1"/>
    <col min="7176" max="7176" width="24.453125" style="47" customWidth="1"/>
    <col min="7177" max="7415" width="8.54296875" style="47"/>
    <col min="7416" max="7416" width="24.453125" style="47" customWidth="1"/>
    <col min="7417" max="7419" width="16.54296875" style="47" customWidth="1"/>
    <col min="7420" max="7421" width="17.54296875" style="47" customWidth="1"/>
    <col min="7422" max="7422" width="16.54296875" style="47" customWidth="1"/>
    <col min="7423" max="7423" width="16" style="47" customWidth="1"/>
    <col min="7424" max="7424" width="11.453125" style="47" customWidth="1"/>
    <col min="7425" max="7426" width="8.54296875" style="47"/>
    <col min="7427" max="7427" width="2.453125" style="47" customWidth="1"/>
    <col min="7428" max="7428" width="23.453125" style="47" customWidth="1"/>
    <col min="7429" max="7430" width="8.54296875" style="47"/>
    <col min="7431" max="7431" width="2.54296875" style="47" customWidth="1"/>
    <col min="7432" max="7432" width="24.453125" style="47" customWidth="1"/>
    <col min="7433" max="7671" width="8.54296875" style="47"/>
    <col min="7672" max="7672" width="24.453125" style="47" customWidth="1"/>
    <col min="7673" max="7675" width="16.54296875" style="47" customWidth="1"/>
    <col min="7676" max="7677" width="17.54296875" style="47" customWidth="1"/>
    <col min="7678" max="7678" width="16.54296875" style="47" customWidth="1"/>
    <col min="7679" max="7679" width="16" style="47" customWidth="1"/>
    <col min="7680" max="7680" width="11.453125" style="47" customWidth="1"/>
    <col min="7681" max="7682" width="8.54296875" style="47"/>
    <col min="7683" max="7683" width="2.453125" style="47" customWidth="1"/>
    <col min="7684" max="7684" width="23.453125" style="47" customWidth="1"/>
    <col min="7685" max="7686" width="8.54296875" style="47"/>
    <col min="7687" max="7687" width="2.54296875" style="47" customWidth="1"/>
    <col min="7688" max="7688" width="24.453125" style="47" customWidth="1"/>
    <col min="7689" max="7927" width="8.54296875" style="47"/>
    <col min="7928" max="7928" width="24.453125" style="47" customWidth="1"/>
    <col min="7929" max="7931" width="16.54296875" style="47" customWidth="1"/>
    <col min="7932" max="7933" width="17.54296875" style="47" customWidth="1"/>
    <col min="7934" max="7934" width="16.54296875" style="47" customWidth="1"/>
    <col min="7935" max="7935" width="16" style="47" customWidth="1"/>
    <col min="7936" max="7936" width="11.453125" style="47" customWidth="1"/>
    <col min="7937" max="7938" width="8.54296875" style="47"/>
    <col min="7939" max="7939" width="2.453125" style="47" customWidth="1"/>
    <col min="7940" max="7940" width="23.453125" style="47" customWidth="1"/>
    <col min="7941" max="7942" width="8.54296875" style="47"/>
    <col min="7943" max="7943" width="2.54296875" style="47" customWidth="1"/>
    <col min="7944" max="7944" width="24.453125" style="47" customWidth="1"/>
    <col min="7945" max="8183" width="8.54296875" style="47"/>
    <col min="8184" max="8184" width="24.453125" style="47" customWidth="1"/>
    <col min="8185" max="8187" width="16.54296875" style="47" customWidth="1"/>
    <col min="8188" max="8189" width="17.54296875" style="47" customWidth="1"/>
    <col min="8190" max="8190" width="16.54296875" style="47" customWidth="1"/>
    <col min="8191" max="8191" width="16" style="47" customWidth="1"/>
    <col min="8192" max="8192" width="11.453125" style="47" customWidth="1"/>
    <col min="8193" max="8194" width="8.54296875" style="47"/>
    <col min="8195" max="8195" width="2.453125" style="47" customWidth="1"/>
    <col min="8196" max="8196" width="23.453125" style="47" customWidth="1"/>
    <col min="8197" max="8198" width="8.54296875" style="47"/>
    <col min="8199" max="8199" width="2.54296875" style="47" customWidth="1"/>
    <col min="8200" max="8200" width="24.453125" style="47" customWidth="1"/>
    <col min="8201" max="8439" width="8.54296875" style="47"/>
    <col min="8440" max="8440" width="24.453125" style="47" customWidth="1"/>
    <col min="8441" max="8443" width="16.54296875" style="47" customWidth="1"/>
    <col min="8444" max="8445" width="17.54296875" style="47" customWidth="1"/>
    <col min="8446" max="8446" width="16.54296875" style="47" customWidth="1"/>
    <col min="8447" max="8447" width="16" style="47" customWidth="1"/>
    <col min="8448" max="8448" width="11.453125" style="47" customWidth="1"/>
    <col min="8449" max="8450" width="8.54296875" style="47"/>
    <col min="8451" max="8451" width="2.453125" style="47" customWidth="1"/>
    <col min="8452" max="8452" width="23.453125" style="47" customWidth="1"/>
    <col min="8453" max="8454" width="8.54296875" style="47"/>
    <col min="8455" max="8455" width="2.54296875" style="47" customWidth="1"/>
    <col min="8456" max="8456" width="24.453125" style="47" customWidth="1"/>
    <col min="8457" max="8695" width="8.54296875" style="47"/>
    <col min="8696" max="8696" width="24.453125" style="47" customWidth="1"/>
    <col min="8697" max="8699" width="16.54296875" style="47" customWidth="1"/>
    <col min="8700" max="8701" width="17.54296875" style="47" customWidth="1"/>
    <col min="8702" max="8702" width="16.54296875" style="47" customWidth="1"/>
    <col min="8703" max="8703" width="16" style="47" customWidth="1"/>
    <col min="8704" max="8704" width="11.453125" style="47" customWidth="1"/>
    <col min="8705" max="8706" width="8.54296875" style="47"/>
    <col min="8707" max="8707" width="2.453125" style="47" customWidth="1"/>
    <col min="8708" max="8708" width="23.453125" style="47" customWidth="1"/>
    <col min="8709" max="8710" width="8.54296875" style="47"/>
    <col min="8711" max="8711" width="2.54296875" style="47" customWidth="1"/>
    <col min="8712" max="8712" width="24.453125" style="47" customWidth="1"/>
    <col min="8713" max="8951" width="8.54296875" style="47"/>
    <col min="8952" max="8952" width="24.453125" style="47" customWidth="1"/>
    <col min="8953" max="8955" width="16.54296875" style="47" customWidth="1"/>
    <col min="8956" max="8957" width="17.54296875" style="47" customWidth="1"/>
    <col min="8958" max="8958" width="16.54296875" style="47" customWidth="1"/>
    <col min="8959" max="8959" width="16" style="47" customWidth="1"/>
    <col min="8960" max="8960" width="11.453125" style="47" customWidth="1"/>
    <col min="8961" max="8962" width="8.54296875" style="47"/>
    <col min="8963" max="8963" width="2.453125" style="47" customWidth="1"/>
    <col min="8964" max="8964" width="23.453125" style="47" customWidth="1"/>
    <col min="8965" max="8966" width="8.54296875" style="47"/>
    <col min="8967" max="8967" width="2.54296875" style="47" customWidth="1"/>
    <col min="8968" max="8968" width="24.453125" style="47" customWidth="1"/>
    <col min="8969" max="9207" width="8.54296875" style="47"/>
    <col min="9208" max="9208" width="24.453125" style="47" customWidth="1"/>
    <col min="9209" max="9211" width="16.54296875" style="47" customWidth="1"/>
    <col min="9212" max="9213" width="17.54296875" style="47" customWidth="1"/>
    <col min="9214" max="9214" width="16.54296875" style="47" customWidth="1"/>
    <col min="9215" max="9215" width="16" style="47" customWidth="1"/>
    <col min="9216" max="9216" width="11.453125" style="47" customWidth="1"/>
    <col min="9217" max="9218" width="8.54296875" style="47"/>
    <col min="9219" max="9219" width="2.453125" style="47" customWidth="1"/>
    <col min="9220" max="9220" width="23.453125" style="47" customWidth="1"/>
    <col min="9221" max="9222" width="8.54296875" style="47"/>
    <col min="9223" max="9223" width="2.54296875" style="47" customWidth="1"/>
    <col min="9224" max="9224" width="24.453125" style="47" customWidth="1"/>
    <col min="9225" max="9463" width="8.54296875" style="47"/>
    <col min="9464" max="9464" width="24.453125" style="47" customWidth="1"/>
    <col min="9465" max="9467" width="16.54296875" style="47" customWidth="1"/>
    <col min="9468" max="9469" width="17.54296875" style="47" customWidth="1"/>
    <col min="9470" max="9470" width="16.54296875" style="47" customWidth="1"/>
    <col min="9471" max="9471" width="16" style="47" customWidth="1"/>
    <col min="9472" max="9472" width="11.453125" style="47" customWidth="1"/>
    <col min="9473" max="9474" width="8.54296875" style="47"/>
    <col min="9475" max="9475" width="2.453125" style="47" customWidth="1"/>
    <col min="9476" max="9476" width="23.453125" style="47" customWidth="1"/>
    <col min="9477" max="9478" width="8.54296875" style="47"/>
    <col min="9479" max="9479" width="2.54296875" style="47" customWidth="1"/>
    <col min="9480" max="9480" width="24.453125" style="47" customWidth="1"/>
    <col min="9481" max="9719" width="8.54296875" style="47"/>
    <col min="9720" max="9720" width="24.453125" style="47" customWidth="1"/>
    <col min="9721" max="9723" width="16.54296875" style="47" customWidth="1"/>
    <col min="9724" max="9725" width="17.54296875" style="47" customWidth="1"/>
    <col min="9726" max="9726" width="16.54296875" style="47" customWidth="1"/>
    <col min="9727" max="9727" width="16" style="47" customWidth="1"/>
    <col min="9728" max="9728" width="11.453125" style="47" customWidth="1"/>
    <col min="9729" max="9730" width="8.54296875" style="47"/>
    <col min="9731" max="9731" width="2.453125" style="47" customWidth="1"/>
    <col min="9732" max="9732" width="23.453125" style="47" customWidth="1"/>
    <col min="9733" max="9734" width="8.54296875" style="47"/>
    <col min="9735" max="9735" width="2.54296875" style="47" customWidth="1"/>
    <col min="9736" max="9736" width="24.453125" style="47" customWidth="1"/>
    <col min="9737" max="9975" width="8.54296875" style="47"/>
    <col min="9976" max="9976" width="24.453125" style="47" customWidth="1"/>
    <col min="9977" max="9979" width="16.54296875" style="47" customWidth="1"/>
    <col min="9980" max="9981" width="17.54296875" style="47" customWidth="1"/>
    <col min="9982" max="9982" width="16.54296875" style="47" customWidth="1"/>
    <col min="9983" max="9983" width="16" style="47" customWidth="1"/>
    <col min="9984" max="9984" width="11.453125" style="47" customWidth="1"/>
    <col min="9985" max="9986" width="8.54296875" style="47"/>
    <col min="9987" max="9987" width="2.453125" style="47" customWidth="1"/>
    <col min="9988" max="9988" width="23.453125" style="47" customWidth="1"/>
    <col min="9989" max="9990" width="8.54296875" style="47"/>
    <col min="9991" max="9991" width="2.54296875" style="47" customWidth="1"/>
    <col min="9992" max="9992" width="24.453125" style="47" customWidth="1"/>
    <col min="9993" max="10231" width="8.54296875" style="47"/>
    <col min="10232" max="10232" width="24.453125" style="47" customWidth="1"/>
    <col min="10233" max="10235" width="16.54296875" style="47" customWidth="1"/>
    <col min="10236" max="10237" width="17.54296875" style="47" customWidth="1"/>
    <col min="10238" max="10238" width="16.54296875" style="47" customWidth="1"/>
    <col min="10239" max="10239" width="16" style="47" customWidth="1"/>
    <col min="10240" max="10240" width="11.453125" style="47" customWidth="1"/>
    <col min="10241" max="10242" width="8.54296875" style="47"/>
    <col min="10243" max="10243" width="2.453125" style="47" customWidth="1"/>
    <col min="10244" max="10244" width="23.453125" style="47" customWidth="1"/>
    <col min="10245" max="10246" width="8.54296875" style="47"/>
    <col min="10247" max="10247" width="2.54296875" style="47" customWidth="1"/>
    <col min="10248" max="10248" width="24.453125" style="47" customWidth="1"/>
    <col min="10249" max="10487" width="8.54296875" style="47"/>
    <col min="10488" max="10488" width="24.453125" style="47" customWidth="1"/>
    <col min="10489" max="10491" width="16.54296875" style="47" customWidth="1"/>
    <col min="10492" max="10493" width="17.54296875" style="47" customWidth="1"/>
    <col min="10494" max="10494" width="16.54296875" style="47" customWidth="1"/>
    <col min="10495" max="10495" width="16" style="47" customWidth="1"/>
    <col min="10496" max="10496" width="11.453125" style="47" customWidth="1"/>
    <col min="10497" max="10498" width="8.54296875" style="47"/>
    <col min="10499" max="10499" width="2.453125" style="47" customWidth="1"/>
    <col min="10500" max="10500" width="23.453125" style="47" customWidth="1"/>
    <col min="10501" max="10502" width="8.54296875" style="47"/>
    <col min="10503" max="10503" width="2.54296875" style="47" customWidth="1"/>
    <col min="10504" max="10504" width="24.453125" style="47" customWidth="1"/>
    <col min="10505" max="10743" width="8.54296875" style="47"/>
    <col min="10744" max="10744" width="24.453125" style="47" customWidth="1"/>
    <col min="10745" max="10747" width="16.54296875" style="47" customWidth="1"/>
    <col min="10748" max="10749" width="17.54296875" style="47" customWidth="1"/>
    <col min="10750" max="10750" width="16.54296875" style="47" customWidth="1"/>
    <col min="10751" max="10751" width="16" style="47" customWidth="1"/>
    <col min="10752" max="10752" width="11.453125" style="47" customWidth="1"/>
    <col min="10753" max="10754" width="8.54296875" style="47"/>
    <col min="10755" max="10755" width="2.453125" style="47" customWidth="1"/>
    <col min="10756" max="10756" width="23.453125" style="47" customWidth="1"/>
    <col min="10757" max="10758" width="8.54296875" style="47"/>
    <col min="10759" max="10759" width="2.54296875" style="47" customWidth="1"/>
    <col min="10760" max="10760" width="24.453125" style="47" customWidth="1"/>
    <col min="10761" max="10999" width="8.54296875" style="47"/>
    <col min="11000" max="11000" width="24.453125" style="47" customWidth="1"/>
    <col min="11001" max="11003" width="16.54296875" style="47" customWidth="1"/>
    <col min="11004" max="11005" width="17.54296875" style="47" customWidth="1"/>
    <col min="11006" max="11006" width="16.54296875" style="47" customWidth="1"/>
    <col min="11007" max="11007" width="16" style="47" customWidth="1"/>
    <col min="11008" max="11008" width="11.453125" style="47" customWidth="1"/>
    <col min="11009" max="11010" width="8.54296875" style="47"/>
    <col min="11011" max="11011" width="2.453125" style="47" customWidth="1"/>
    <col min="11012" max="11012" width="23.453125" style="47" customWidth="1"/>
    <col min="11013" max="11014" width="8.54296875" style="47"/>
    <col min="11015" max="11015" width="2.54296875" style="47" customWidth="1"/>
    <col min="11016" max="11016" width="24.453125" style="47" customWidth="1"/>
    <col min="11017" max="11255" width="8.54296875" style="47"/>
    <col min="11256" max="11256" width="24.453125" style="47" customWidth="1"/>
    <col min="11257" max="11259" width="16.54296875" style="47" customWidth="1"/>
    <col min="11260" max="11261" width="17.54296875" style="47" customWidth="1"/>
    <col min="11262" max="11262" width="16.54296875" style="47" customWidth="1"/>
    <col min="11263" max="11263" width="16" style="47" customWidth="1"/>
    <col min="11264" max="11264" width="11.453125" style="47" customWidth="1"/>
    <col min="11265" max="11266" width="8.54296875" style="47"/>
    <col min="11267" max="11267" width="2.453125" style="47" customWidth="1"/>
    <col min="11268" max="11268" width="23.453125" style="47" customWidth="1"/>
    <col min="11269" max="11270" width="8.54296875" style="47"/>
    <col min="11271" max="11271" width="2.54296875" style="47" customWidth="1"/>
    <col min="11272" max="11272" width="24.453125" style="47" customWidth="1"/>
    <col min="11273" max="11511" width="8.54296875" style="47"/>
    <col min="11512" max="11512" width="24.453125" style="47" customWidth="1"/>
    <col min="11513" max="11515" width="16.54296875" style="47" customWidth="1"/>
    <col min="11516" max="11517" width="17.54296875" style="47" customWidth="1"/>
    <col min="11518" max="11518" width="16.54296875" style="47" customWidth="1"/>
    <col min="11519" max="11519" width="16" style="47" customWidth="1"/>
    <col min="11520" max="11520" width="11.453125" style="47" customWidth="1"/>
    <col min="11521" max="11522" width="8.54296875" style="47"/>
    <col min="11523" max="11523" width="2.453125" style="47" customWidth="1"/>
    <col min="11524" max="11524" width="23.453125" style="47" customWidth="1"/>
    <col min="11525" max="11526" width="8.54296875" style="47"/>
    <col min="11527" max="11527" width="2.54296875" style="47" customWidth="1"/>
    <col min="11528" max="11528" width="24.453125" style="47" customWidth="1"/>
    <col min="11529" max="11767" width="8.54296875" style="47"/>
    <col min="11768" max="11768" width="24.453125" style="47" customWidth="1"/>
    <col min="11769" max="11771" width="16.54296875" style="47" customWidth="1"/>
    <col min="11772" max="11773" width="17.54296875" style="47" customWidth="1"/>
    <col min="11774" max="11774" width="16.54296875" style="47" customWidth="1"/>
    <col min="11775" max="11775" width="16" style="47" customWidth="1"/>
    <col min="11776" max="11776" width="11.453125" style="47" customWidth="1"/>
    <col min="11777" max="11778" width="8.54296875" style="47"/>
    <col min="11779" max="11779" width="2.453125" style="47" customWidth="1"/>
    <col min="11780" max="11780" width="23.453125" style="47" customWidth="1"/>
    <col min="11781" max="11782" width="8.54296875" style="47"/>
    <col min="11783" max="11783" width="2.54296875" style="47" customWidth="1"/>
    <col min="11784" max="11784" width="24.453125" style="47" customWidth="1"/>
    <col min="11785" max="12023" width="8.54296875" style="47"/>
    <col min="12024" max="12024" width="24.453125" style="47" customWidth="1"/>
    <col min="12025" max="12027" width="16.54296875" style="47" customWidth="1"/>
    <col min="12028" max="12029" width="17.54296875" style="47" customWidth="1"/>
    <col min="12030" max="12030" width="16.54296875" style="47" customWidth="1"/>
    <col min="12031" max="12031" width="16" style="47" customWidth="1"/>
    <col min="12032" max="12032" width="11.453125" style="47" customWidth="1"/>
    <col min="12033" max="12034" width="8.54296875" style="47"/>
    <col min="12035" max="12035" width="2.453125" style="47" customWidth="1"/>
    <col min="12036" max="12036" width="23.453125" style="47" customWidth="1"/>
    <col min="12037" max="12038" width="8.54296875" style="47"/>
    <col min="12039" max="12039" width="2.54296875" style="47" customWidth="1"/>
    <col min="12040" max="12040" width="24.453125" style="47" customWidth="1"/>
    <col min="12041" max="12279" width="8.54296875" style="47"/>
    <col min="12280" max="12280" width="24.453125" style="47" customWidth="1"/>
    <col min="12281" max="12283" width="16.54296875" style="47" customWidth="1"/>
    <col min="12284" max="12285" width="17.54296875" style="47" customWidth="1"/>
    <col min="12286" max="12286" width="16.54296875" style="47" customWidth="1"/>
    <col min="12287" max="12287" width="16" style="47" customWidth="1"/>
    <col min="12288" max="12288" width="11.453125" style="47" customWidth="1"/>
    <col min="12289" max="12290" width="8.54296875" style="47"/>
    <col min="12291" max="12291" width="2.453125" style="47" customWidth="1"/>
    <col min="12292" max="12292" width="23.453125" style="47" customWidth="1"/>
    <col min="12293" max="12294" width="8.54296875" style="47"/>
    <col min="12295" max="12295" width="2.54296875" style="47" customWidth="1"/>
    <col min="12296" max="12296" width="24.453125" style="47" customWidth="1"/>
    <col min="12297" max="12535" width="8.54296875" style="47"/>
    <col min="12536" max="12536" width="24.453125" style="47" customWidth="1"/>
    <col min="12537" max="12539" width="16.54296875" style="47" customWidth="1"/>
    <col min="12540" max="12541" width="17.54296875" style="47" customWidth="1"/>
    <col min="12542" max="12542" width="16.54296875" style="47" customWidth="1"/>
    <col min="12543" max="12543" width="16" style="47" customWidth="1"/>
    <col min="12544" max="12544" width="11.453125" style="47" customWidth="1"/>
    <col min="12545" max="12546" width="8.54296875" style="47"/>
    <col min="12547" max="12547" width="2.453125" style="47" customWidth="1"/>
    <col min="12548" max="12548" width="23.453125" style="47" customWidth="1"/>
    <col min="12549" max="12550" width="8.54296875" style="47"/>
    <col min="12551" max="12551" width="2.54296875" style="47" customWidth="1"/>
    <col min="12552" max="12552" width="24.453125" style="47" customWidth="1"/>
    <col min="12553" max="12791" width="8.54296875" style="47"/>
    <col min="12792" max="12792" width="24.453125" style="47" customWidth="1"/>
    <col min="12793" max="12795" width="16.54296875" style="47" customWidth="1"/>
    <col min="12796" max="12797" width="17.54296875" style="47" customWidth="1"/>
    <col min="12798" max="12798" width="16.54296875" style="47" customWidth="1"/>
    <col min="12799" max="12799" width="16" style="47" customWidth="1"/>
    <col min="12800" max="12800" width="11.453125" style="47" customWidth="1"/>
    <col min="12801" max="12802" width="8.54296875" style="47"/>
    <col min="12803" max="12803" width="2.453125" style="47" customWidth="1"/>
    <col min="12804" max="12804" width="23.453125" style="47" customWidth="1"/>
    <col min="12805" max="12806" width="8.54296875" style="47"/>
    <col min="12807" max="12807" width="2.54296875" style="47" customWidth="1"/>
    <col min="12808" max="12808" width="24.453125" style="47" customWidth="1"/>
    <col min="12809" max="13047" width="8.54296875" style="47"/>
    <col min="13048" max="13048" width="24.453125" style="47" customWidth="1"/>
    <col min="13049" max="13051" width="16.54296875" style="47" customWidth="1"/>
    <col min="13052" max="13053" width="17.54296875" style="47" customWidth="1"/>
    <col min="13054" max="13054" width="16.54296875" style="47" customWidth="1"/>
    <col min="13055" max="13055" width="16" style="47" customWidth="1"/>
    <col min="13056" max="13056" width="11.453125" style="47" customWidth="1"/>
    <col min="13057" max="13058" width="8.54296875" style="47"/>
    <col min="13059" max="13059" width="2.453125" style="47" customWidth="1"/>
    <col min="13060" max="13060" width="23.453125" style="47" customWidth="1"/>
    <col min="13061" max="13062" width="8.54296875" style="47"/>
    <col min="13063" max="13063" width="2.54296875" style="47" customWidth="1"/>
    <col min="13064" max="13064" width="24.453125" style="47" customWidth="1"/>
    <col min="13065" max="13303" width="8.54296875" style="47"/>
    <col min="13304" max="13304" width="24.453125" style="47" customWidth="1"/>
    <col min="13305" max="13307" width="16.54296875" style="47" customWidth="1"/>
    <col min="13308" max="13309" width="17.54296875" style="47" customWidth="1"/>
    <col min="13310" max="13310" width="16.54296875" style="47" customWidth="1"/>
    <col min="13311" max="13311" width="16" style="47" customWidth="1"/>
    <col min="13312" max="13312" width="11.453125" style="47" customWidth="1"/>
    <col min="13313" max="13314" width="8.54296875" style="47"/>
    <col min="13315" max="13315" width="2.453125" style="47" customWidth="1"/>
    <col min="13316" max="13316" width="23.453125" style="47" customWidth="1"/>
    <col min="13317" max="13318" width="8.54296875" style="47"/>
    <col min="13319" max="13319" width="2.54296875" style="47" customWidth="1"/>
    <col min="13320" max="13320" width="24.453125" style="47" customWidth="1"/>
    <col min="13321" max="13559" width="8.54296875" style="47"/>
    <col min="13560" max="13560" width="24.453125" style="47" customWidth="1"/>
    <col min="13561" max="13563" width="16.54296875" style="47" customWidth="1"/>
    <col min="13564" max="13565" width="17.54296875" style="47" customWidth="1"/>
    <col min="13566" max="13566" width="16.54296875" style="47" customWidth="1"/>
    <col min="13567" max="13567" width="16" style="47" customWidth="1"/>
    <col min="13568" max="13568" width="11.453125" style="47" customWidth="1"/>
    <col min="13569" max="13570" width="8.54296875" style="47"/>
    <col min="13571" max="13571" width="2.453125" style="47" customWidth="1"/>
    <col min="13572" max="13572" width="23.453125" style="47" customWidth="1"/>
    <col min="13573" max="13574" width="8.54296875" style="47"/>
    <col min="13575" max="13575" width="2.54296875" style="47" customWidth="1"/>
    <col min="13576" max="13576" width="24.453125" style="47" customWidth="1"/>
    <col min="13577" max="13815" width="8.54296875" style="47"/>
    <col min="13816" max="13816" width="24.453125" style="47" customWidth="1"/>
    <col min="13817" max="13819" width="16.54296875" style="47" customWidth="1"/>
    <col min="13820" max="13821" width="17.54296875" style="47" customWidth="1"/>
    <col min="13822" max="13822" width="16.54296875" style="47" customWidth="1"/>
    <col min="13823" max="13823" width="16" style="47" customWidth="1"/>
    <col min="13824" max="13824" width="11.453125" style="47" customWidth="1"/>
    <col min="13825" max="13826" width="8.54296875" style="47"/>
    <col min="13827" max="13827" width="2.453125" style="47" customWidth="1"/>
    <col min="13828" max="13828" width="23.453125" style="47" customWidth="1"/>
    <col min="13829" max="13830" width="8.54296875" style="47"/>
    <col min="13831" max="13831" width="2.54296875" style="47" customWidth="1"/>
    <col min="13832" max="13832" width="24.453125" style="47" customWidth="1"/>
    <col min="13833" max="14071" width="8.54296875" style="47"/>
    <col min="14072" max="14072" width="24.453125" style="47" customWidth="1"/>
    <col min="14073" max="14075" width="16.54296875" style="47" customWidth="1"/>
    <col min="14076" max="14077" width="17.54296875" style="47" customWidth="1"/>
    <col min="14078" max="14078" width="16.54296875" style="47" customWidth="1"/>
    <col min="14079" max="14079" width="16" style="47" customWidth="1"/>
    <col min="14080" max="14080" width="11.453125" style="47" customWidth="1"/>
    <col min="14081" max="14082" width="8.54296875" style="47"/>
    <col min="14083" max="14083" width="2.453125" style="47" customWidth="1"/>
    <col min="14084" max="14084" width="23.453125" style="47" customWidth="1"/>
    <col min="14085" max="14086" width="8.54296875" style="47"/>
    <col min="14087" max="14087" width="2.54296875" style="47" customWidth="1"/>
    <col min="14088" max="14088" width="24.453125" style="47" customWidth="1"/>
    <col min="14089" max="14327" width="8.54296875" style="47"/>
    <col min="14328" max="14328" width="24.453125" style="47" customWidth="1"/>
    <col min="14329" max="14331" width="16.54296875" style="47" customWidth="1"/>
    <col min="14332" max="14333" width="17.54296875" style="47" customWidth="1"/>
    <col min="14334" max="14334" width="16.54296875" style="47" customWidth="1"/>
    <col min="14335" max="14335" width="16" style="47" customWidth="1"/>
    <col min="14336" max="14336" width="11.453125" style="47" customWidth="1"/>
    <col min="14337" max="14338" width="8.54296875" style="47"/>
    <col min="14339" max="14339" width="2.453125" style="47" customWidth="1"/>
    <col min="14340" max="14340" width="23.453125" style="47" customWidth="1"/>
    <col min="14341" max="14342" width="8.54296875" style="47"/>
    <col min="14343" max="14343" width="2.54296875" style="47" customWidth="1"/>
    <col min="14344" max="14344" width="24.453125" style="47" customWidth="1"/>
    <col min="14345" max="14583" width="8.54296875" style="47"/>
    <col min="14584" max="14584" width="24.453125" style="47" customWidth="1"/>
    <col min="14585" max="14587" width="16.54296875" style="47" customWidth="1"/>
    <col min="14588" max="14589" width="17.54296875" style="47" customWidth="1"/>
    <col min="14590" max="14590" width="16.54296875" style="47" customWidth="1"/>
    <col min="14591" max="14591" width="16" style="47" customWidth="1"/>
    <col min="14592" max="14592" width="11.453125" style="47" customWidth="1"/>
    <col min="14593" max="14594" width="8.54296875" style="47"/>
    <col min="14595" max="14595" width="2.453125" style="47" customWidth="1"/>
    <col min="14596" max="14596" width="23.453125" style="47" customWidth="1"/>
    <col min="14597" max="14598" width="8.54296875" style="47"/>
    <col min="14599" max="14599" width="2.54296875" style="47" customWidth="1"/>
    <col min="14600" max="14600" width="24.453125" style="47" customWidth="1"/>
    <col min="14601" max="14839" width="8.54296875" style="47"/>
    <col min="14840" max="14840" width="24.453125" style="47" customWidth="1"/>
    <col min="14841" max="14843" width="16.54296875" style="47" customWidth="1"/>
    <col min="14844" max="14845" width="17.54296875" style="47" customWidth="1"/>
    <col min="14846" max="14846" width="16.54296875" style="47" customWidth="1"/>
    <col min="14847" max="14847" width="16" style="47" customWidth="1"/>
    <col min="14848" max="14848" width="11.453125" style="47" customWidth="1"/>
    <col min="14849" max="14850" width="8.54296875" style="47"/>
    <col min="14851" max="14851" width="2.453125" style="47" customWidth="1"/>
    <col min="14852" max="14852" width="23.453125" style="47" customWidth="1"/>
    <col min="14853" max="14854" width="8.54296875" style="47"/>
    <col min="14855" max="14855" width="2.54296875" style="47" customWidth="1"/>
    <col min="14856" max="14856" width="24.453125" style="47" customWidth="1"/>
    <col min="14857" max="15095" width="8.54296875" style="47"/>
    <col min="15096" max="15096" width="24.453125" style="47" customWidth="1"/>
    <col min="15097" max="15099" width="16.54296875" style="47" customWidth="1"/>
    <col min="15100" max="15101" width="17.54296875" style="47" customWidth="1"/>
    <col min="15102" max="15102" width="16.54296875" style="47" customWidth="1"/>
    <col min="15103" max="15103" width="16" style="47" customWidth="1"/>
    <col min="15104" max="15104" width="11.453125" style="47" customWidth="1"/>
    <col min="15105" max="15106" width="8.54296875" style="47"/>
    <col min="15107" max="15107" width="2.453125" style="47" customWidth="1"/>
    <col min="15108" max="15108" width="23.453125" style="47" customWidth="1"/>
    <col min="15109" max="15110" width="8.54296875" style="47"/>
    <col min="15111" max="15111" width="2.54296875" style="47" customWidth="1"/>
    <col min="15112" max="15112" width="24.453125" style="47" customWidth="1"/>
    <col min="15113" max="15351" width="8.54296875" style="47"/>
    <col min="15352" max="15352" width="24.453125" style="47" customWidth="1"/>
    <col min="15353" max="15355" width="16.54296875" style="47" customWidth="1"/>
    <col min="15356" max="15357" width="17.54296875" style="47" customWidth="1"/>
    <col min="15358" max="15358" width="16.54296875" style="47" customWidth="1"/>
    <col min="15359" max="15359" width="16" style="47" customWidth="1"/>
    <col min="15360" max="15360" width="11.453125" style="47" customWidth="1"/>
    <col min="15361" max="15362" width="8.54296875" style="47"/>
    <col min="15363" max="15363" width="2.453125" style="47" customWidth="1"/>
    <col min="15364" max="15364" width="23.453125" style="47" customWidth="1"/>
    <col min="15365" max="15366" width="8.54296875" style="47"/>
    <col min="15367" max="15367" width="2.54296875" style="47" customWidth="1"/>
    <col min="15368" max="15368" width="24.453125" style="47" customWidth="1"/>
    <col min="15369" max="15607" width="8.54296875" style="47"/>
    <col min="15608" max="15608" width="24.453125" style="47" customWidth="1"/>
    <col min="15609" max="15611" width="16.54296875" style="47" customWidth="1"/>
    <col min="15612" max="15613" width="17.54296875" style="47" customWidth="1"/>
    <col min="15614" max="15614" width="16.54296875" style="47" customWidth="1"/>
    <col min="15615" max="15615" width="16" style="47" customWidth="1"/>
    <col min="15616" max="15616" width="11.453125" style="47" customWidth="1"/>
    <col min="15617" max="15618" width="8.54296875" style="47"/>
    <col min="15619" max="15619" width="2.453125" style="47" customWidth="1"/>
    <col min="15620" max="15620" width="23.453125" style="47" customWidth="1"/>
    <col min="15621" max="15622" width="8.54296875" style="47"/>
    <col min="15623" max="15623" width="2.54296875" style="47" customWidth="1"/>
    <col min="15624" max="15624" width="24.453125" style="47" customWidth="1"/>
    <col min="15625" max="15863" width="8.54296875" style="47"/>
    <col min="15864" max="15864" width="24.453125" style="47" customWidth="1"/>
    <col min="15865" max="15867" width="16.54296875" style="47" customWidth="1"/>
    <col min="15868" max="15869" width="17.54296875" style="47" customWidth="1"/>
    <col min="15870" max="15870" width="16.54296875" style="47" customWidth="1"/>
    <col min="15871" max="15871" width="16" style="47" customWidth="1"/>
    <col min="15872" max="15872" width="11.453125" style="47" customWidth="1"/>
    <col min="15873" max="15874" width="8.54296875" style="47"/>
    <col min="15875" max="15875" width="2.453125" style="47" customWidth="1"/>
    <col min="15876" max="15876" width="23.453125" style="47" customWidth="1"/>
    <col min="15877" max="15878" width="8.54296875" style="47"/>
    <col min="15879" max="15879" width="2.54296875" style="47" customWidth="1"/>
    <col min="15880" max="15880" width="24.453125" style="47" customWidth="1"/>
    <col min="15881" max="16119" width="8.54296875" style="47"/>
    <col min="16120" max="16120" width="24.453125" style="47" customWidth="1"/>
    <col min="16121" max="16123" width="16.54296875" style="47" customWidth="1"/>
    <col min="16124" max="16125" width="17.54296875" style="47" customWidth="1"/>
    <col min="16126" max="16126" width="16.54296875" style="47" customWidth="1"/>
    <col min="16127" max="16127" width="16" style="47" customWidth="1"/>
    <col min="16128" max="16128" width="11.453125" style="47" customWidth="1"/>
    <col min="16129" max="16130" width="8.54296875" style="47"/>
    <col min="16131" max="16131" width="2.453125" style="47" customWidth="1"/>
    <col min="16132" max="16132" width="23.453125" style="47" customWidth="1"/>
    <col min="16133" max="16134" width="8.54296875" style="47"/>
    <col min="16135" max="16135" width="2.54296875" style="47" customWidth="1"/>
    <col min="16136" max="16136" width="24.453125" style="47" customWidth="1"/>
    <col min="16137" max="16384" width="8.54296875" style="47"/>
  </cols>
  <sheetData>
    <row r="1" spans="1:16" ht="13" thickBot="1">
      <c r="A1" s="774"/>
      <c r="B1" s="775"/>
      <c r="C1" s="775"/>
      <c r="D1" s="775"/>
      <c r="E1" s="775"/>
      <c r="F1" s="775"/>
      <c r="G1" s="775"/>
      <c r="H1" s="775"/>
      <c r="I1" s="775"/>
      <c r="J1" s="775"/>
      <c r="K1" s="776"/>
    </row>
    <row r="2" spans="1:16" ht="18">
      <c r="A2" s="643"/>
      <c r="B2" s="4480" t="str">
        <f>'TO Hrly (TO1-TO3)'!B2:M2</f>
        <v>XTO ENERGY INC.</v>
      </c>
      <c r="C2" s="4481"/>
      <c r="D2" s="4481"/>
      <c r="E2" s="4481"/>
      <c r="F2" s="4481"/>
      <c r="G2" s="4481"/>
      <c r="H2" s="4481"/>
      <c r="I2" s="4481"/>
      <c r="J2" s="4482"/>
      <c r="K2" s="644"/>
    </row>
    <row r="3" spans="1:16" ht="18">
      <c r="A3" s="643"/>
      <c r="B3" s="4483" t="str">
        <f>'TO Hrly (TO1-TO3)'!B3:M3</f>
        <v>HUSKY CDP</v>
      </c>
      <c r="C3" s="4484"/>
      <c r="D3" s="4484"/>
      <c r="E3" s="4484"/>
      <c r="F3" s="4484"/>
      <c r="G3" s="4484"/>
      <c r="H3" s="4484"/>
      <c r="I3" s="4484"/>
      <c r="J3" s="4485"/>
      <c r="K3" s="644"/>
    </row>
    <row r="4" spans="1:16" ht="18.5" thickBot="1">
      <c r="A4" s="643"/>
      <c r="B4" s="5067" t="s">
        <v>809</v>
      </c>
      <c r="C4" s="5068"/>
      <c r="D4" s="5068"/>
      <c r="E4" s="5068"/>
      <c r="F4" s="5068"/>
      <c r="G4" s="5068"/>
      <c r="H4" s="5068"/>
      <c r="I4" s="5068"/>
      <c r="J4" s="5069"/>
      <c r="K4" s="644"/>
    </row>
    <row r="5" spans="1:16" ht="18.5" thickBot="1">
      <c r="A5" s="645"/>
      <c r="B5" s="646"/>
      <c r="C5" s="646"/>
      <c r="D5" s="646"/>
      <c r="E5" s="646"/>
      <c r="F5" s="646"/>
      <c r="G5" s="646"/>
      <c r="H5" s="646"/>
      <c r="I5" s="646"/>
      <c r="J5" s="646"/>
      <c r="K5" s="647"/>
    </row>
    <row r="6" spans="1:16" ht="13.5" thickBot="1">
      <c r="A6" s="4779" t="s">
        <v>814</v>
      </c>
      <c r="B6" s="4689"/>
      <c r="C6" s="4689"/>
      <c r="D6" s="4689"/>
      <c r="E6" s="4689"/>
      <c r="F6" s="4689"/>
      <c r="G6" s="4689"/>
      <c r="H6" s="4689"/>
      <c r="I6" s="4689"/>
      <c r="J6" s="4689"/>
      <c r="K6" s="4780"/>
    </row>
    <row r="7" spans="1:16" ht="16" thickBot="1">
      <c r="A7" s="760"/>
      <c r="B7" s="30"/>
      <c r="C7" s="761"/>
      <c r="D7" s="761"/>
      <c r="E7" s="746"/>
      <c r="F7" s="30"/>
      <c r="G7" s="747"/>
      <c r="H7" s="748"/>
      <c r="I7" s="746"/>
      <c r="J7" s="30"/>
      <c r="K7" s="762"/>
    </row>
    <row r="8" spans="1:16" ht="28.5" customHeight="1" thickBot="1">
      <c r="A8" s="760"/>
      <c r="B8" s="2583" t="s">
        <v>1781</v>
      </c>
      <c r="C8" s="2584" t="s">
        <v>1785</v>
      </c>
      <c r="D8" s="761"/>
      <c r="E8" s="746"/>
      <c r="F8" s="30"/>
      <c r="G8" s="2583" t="s">
        <v>1781</v>
      </c>
      <c r="H8" s="2584" t="s">
        <v>822</v>
      </c>
      <c r="I8" s="746"/>
      <c r="J8" s="30"/>
      <c r="K8" s="762"/>
    </row>
    <row r="9" spans="1:16" ht="16" thickBot="1">
      <c r="A9" s="760"/>
      <c r="B9" s="5087" t="s">
        <v>807</v>
      </c>
      <c r="C9" s="5088"/>
      <c r="D9" s="749"/>
      <c r="E9" s="746"/>
      <c r="F9" s="30"/>
      <c r="G9" s="5089" t="s">
        <v>808</v>
      </c>
      <c r="H9" s="5090"/>
      <c r="I9" s="746"/>
      <c r="J9" s="30"/>
      <c r="K9" s="762"/>
    </row>
    <row r="10" spans="1:16" ht="15.5">
      <c r="A10" s="760"/>
      <c r="B10" s="5075" t="s">
        <v>2</v>
      </c>
      <c r="C10" s="5077" t="s">
        <v>746</v>
      </c>
      <c r="D10" s="750"/>
      <c r="E10" s="746"/>
      <c r="F10" s="30"/>
      <c r="G10" s="5079" t="s">
        <v>2</v>
      </c>
      <c r="H10" s="5083" t="s">
        <v>746</v>
      </c>
      <c r="I10" s="746"/>
      <c r="J10" s="30"/>
      <c r="K10" s="762"/>
    </row>
    <row r="11" spans="1:16" ht="16" thickBot="1">
      <c r="A11" s="760"/>
      <c r="B11" s="5076"/>
      <c r="C11" s="5078"/>
      <c r="D11" s="750"/>
      <c r="E11" s="30"/>
      <c r="F11" s="30"/>
      <c r="G11" s="5080"/>
      <c r="H11" s="5084"/>
      <c r="I11" s="754"/>
      <c r="J11" s="30"/>
      <c r="K11" s="762"/>
    </row>
    <row r="12" spans="1:16" ht="18">
      <c r="A12" s="760"/>
      <c r="B12" s="687" t="s">
        <v>755</v>
      </c>
      <c r="C12" s="689">
        <v>0</v>
      </c>
      <c r="D12" s="711"/>
      <c r="E12" s="751"/>
      <c r="F12" s="30"/>
      <c r="G12" s="738" t="s">
        <v>298</v>
      </c>
      <c r="H12" s="719">
        <f>C70</f>
        <v>99.500463647436106</v>
      </c>
      <c r="I12" s="755"/>
      <c r="J12" s="755"/>
      <c r="K12" s="763"/>
      <c r="L12" s="703"/>
      <c r="M12" s="703"/>
      <c r="N12" s="703"/>
      <c r="O12" s="703"/>
      <c r="P12" s="702"/>
    </row>
    <row r="13" spans="1:16" ht="18">
      <c r="A13" s="760"/>
      <c r="B13" s="687" t="s">
        <v>47</v>
      </c>
      <c r="C13" s="689">
        <v>0</v>
      </c>
      <c r="D13" s="711"/>
      <c r="E13" s="746"/>
      <c r="F13" s="30"/>
      <c r="G13" s="720" t="s">
        <v>5</v>
      </c>
      <c r="H13" s="719">
        <f t="shared" ref="H13:H20" si="0">C13</f>
        <v>0</v>
      </c>
      <c r="I13" s="743"/>
      <c r="J13" s="743"/>
      <c r="K13" s="764"/>
      <c r="L13" s="704"/>
      <c r="M13" s="704"/>
      <c r="N13" s="704"/>
      <c r="O13" s="705"/>
      <c r="P13" s="702"/>
    </row>
    <row r="14" spans="1:16" ht="18">
      <c r="A14" s="760"/>
      <c r="B14" s="687" t="s">
        <v>4</v>
      </c>
      <c r="C14" s="689">
        <v>4.6211923717261201E-6</v>
      </c>
      <c r="D14" s="711"/>
      <c r="E14" s="30"/>
      <c r="F14" s="30"/>
      <c r="G14" s="720" t="s">
        <v>4</v>
      </c>
      <c r="H14" s="719">
        <f t="shared" si="0"/>
        <v>4.6211923717261201E-6</v>
      </c>
      <c r="I14" s="743"/>
      <c r="J14" s="743"/>
      <c r="K14" s="764"/>
      <c r="L14" s="704"/>
      <c r="M14" s="704"/>
      <c r="N14" s="704"/>
      <c r="O14" s="705"/>
      <c r="P14" s="702"/>
    </row>
    <row r="15" spans="1:16" ht="18">
      <c r="A15" s="760"/>
      <c r="B15" s="687" t="s">
        <v>290</v>
      </c>
      <c r="C15" s="689">
        <v>5.9947180766931704E-5</v>
      </c>
      <c r="D15" s="711"/>
      <c r="E15" s="751"/>
      <c r="F15" s="30"/>
      <c r="G15" s="720" t="s">
        <v>3</v>
      </c>
      <c r="H15" s="719">
        <f t="shared" si="0"/>
        <v>5.9947180766931704E-5</v>
      </c>
      <c r="I15" s="743"/>
      <c r="J15" s="743"/>
      <c r="K15" s="764"/>
      <c r="L15" s="704"/>
      <c r="M15" s="704"/>
      <c r="N15" s="704"/>
      <c r="O15" s="705"/>
      <c r="P15" s="702"/>
    </row>
    <row r="16" spans="1:16" ht="18">
      <c r="A16" s="760"/>
      <c r="B16" s="687" t="s">
        <v>6</v>
      </c>
      <c r="C16" s="689">
        <v>1.8486466373984699E-4</v>
      </c>
      <c r="D16" s="711"/>
      <c r="E16" s="752"/>
      <c r="F16" s="30"/>
      <c r="G16" s="720" t="s">
        <v>6</v>
      </c>
      <c r="H16" s="719">
        <f t="shared" si="0"/>
        <v>1.8486466373984699E-4</v>
      </c>
      <c r="I16" s="743"/>
      <c r="J16" s="743"/>
      <c r="K16" s="764"/>
      <c r="L16" s="704"/>
      <c r="M16" s="704"/>
      <c r="N16" s="704"/>
      <c r="O16" s="705"/>
      <c r="P16" s="702"/>
    </row>
    <row r="17" spans="1:16" ht="18">
      <c r="A17" s="760"/>
      <c r="B17" s="687" t="s">
        <v>7</v>
      </c>
      <c r="C17" s="689">
        <v>3.0718144630861397E-3</v>
      </c>
      <c r="D17" s="711"/>
      <c r="E17" s="753"/>
      <c r="F17" s="30"/>
      <c r="G17" s="720" t="s">
        <v>7</v>
      </c>
      <c r="H17" s="719">
        <f t="shared" si="0"/>
        <v>3.0718144630861397E-3</v>
      </c>
      <c r="I17" s="743"/>
      <c r="J17" s="743"/>
      <c r="K17" s="764"/>
      <c r="L17" s="704"/>
      <c r="M17" s="704"/>
      <c r="N17" s="704"/>
      <c r="O17" s="705"/>
      <c r="P17" s="702"/>
    </row>
    <row r="18" spans="1:16" ht="18">
      <c r="A18" s="760"/>
      <c r="B18" s="687" t="s">
        <v>8</v>
      </c>
      <c r="C18" s="689">
        <v>5.8760926849949199E-2</v>
      </c>
      <c r="D18" s="711"/>
      <c r="E18" s="753"/>
      <c r="F18" s="30"/>
      <c r="G18" s="720" t="s">
        <v>8</v>
      </c>
      <c r="H18" s="719">
        <f t="shared" si="0"/>
        <v>5.8760926849949199E-2</v>
      </c>
      <c r="I18" s="743"/>
      <c r="J18" s="743"/>
      <c r="K18" s="764"/>
      <c r="L18" s="704"/>
      <c r="M18" s="704"/>
      <c r="N18" s="704"/>
      <c r="O18" s="705"/>
      <c r="P18" s="702"/>
    </row>
    <row r="19" spans="1:16" ht="18">
      <c r="A19" s="760"/>
      <c r="B19" s="687" t="s">
        <v>678</v>
      </c>
      <c r="C19" s="689">
        <v>2.2654504717303302E-2</v>
      </c>
      <c r="D19" s="711"/>
      <c r="E19" s="753"/>
      <c r="F19" s="30"/>
      <c r="G19" s="720" t="s">
        <v>747</v>
      </c>
      <c r="H19" s="719">
        <f t="shared" si="0"/>
        <v>2.2654504717303302E-2</v>
      </c>
      <c r="I19" s="743"/>
      <c r="J19" s="743"/>
      <c r="K19" s="764"/>
      <c r="L19" s="704"/>
      <c r="M19" s="704"/>
      <c r="N19" s="704"/>
      <c r="O19" s="705"/>
      <c r="P19" s="702"/>
    </row>
    <row r="20" spans="1:16" ht="18">
      <c r="A20" s="760"/>
      <c r="B20" s="777" t="s">
        <v>67</v>
      </c>
      <c r="C20" s="690">
        <v>6.10599317322328E-2</v>
      </c>
      <c r="D20" s="711"/>
      <c r="E20" s="753"/>
      <c r="F20" s="30"/>
      <c r="G20" s="720" t="s">
        <v>748</v>
      </c>
      <c r="H20" s="719">
        <f t="shared" si="0"/>
        <v>6.10599317322328E-2</v>
      </c>
      <c r="I20" s="743"/>
      <c r="J20" s="743"/>
      <c r="K20" s="764"/>
      <c r="L20" s="704"/>
      <c r="M20" s="704"/>
      <c r="N20" s="704"/>
      <c r="O20" s="705"/>
      <c r="P20" s="702"/>
    </row>
    <row r="21" spans="1:16" ht="18">
      <c r="A21" s="760"/>
      <c r="B21" s="706" t="s">
        <v>756</v>
      </c>
      <c r="C21" s="712">
        <v>5.7894887782543596E-4</v>
      </c>
      <c r="D21" s="711"/>
      <c r="E21" s="753"/>
      <c r="F21" s="30"/>
      <c r="G21" s="720" t="s">
        <v>749</v>
      </c>
      <c r="H21" s="719">
        <f>C22</f>
        <v>2.6815125106313703E-2</v>
      </c>
      <c r="I21" s="743"/>
      <c r="J21" s="743"/>
      <c r="K21" s="764"/>
      <c r="L21" s="704"/>
      <c r="M21" s="704"/>
      <c r="N21" s="704"/>
      <c r="O21" s="705"/>
      <c r="P21" s="702"/>
    </row>
    <row r="22" spans="1:16" ht="18">
      <c r="A22" s="760"/>
      <c r="B22" s="687" t="s">
        <v>679</v>
      </c>
      <c r="C22" s="689">
        <v>2.6815125106313703E-2</v>
      </c>
      <c r="D22" s="711"/>
      <c r="E22" s="753"/>
      <c r="F22" s="30"/>
      <c r="G22" s="720" t="s">
        <v>750</v>
      </c>
      <c r="H22" s="719">
        <f>C23</f>
        <v>3.4771205399813397E-2</v>
      </c>
      <c r="I22" s="743"/>
      <c r="J22" s="743"/>
      <c r="K22" s="764"/>
      <c r="L22" s="704"/>
      <c r="M22" s="704"/>
      <c r="N22" s="704"/>
      <c r="O22" s="705"/>
      <c r="P22" s="702"/>
    </row>
    <row r="23" spans="1:16" ht="18">
      <c r="A23" s="760"/>
      <c r="B23" s="691" t="s">
        <v>69</v>
      </c>
      <c r="C23" s="689">
        <v>3.4771205399813397E-2</v>
      </c>
      <c r="D23" s="711"/>
      <c r="E23" s="30"/>
      <c r="F23" s="30"/>
      <c r="G23" s="720" t="s">
        <v>800</v>
      </c>
      <c r="H23" s="719">
        <f>C25</f>
        <v>0</v>
      </c>
      <c r="I23" s="743"/>
      <c r="J23" s="743"/>
      <c r="K23" s="764"/>
      <c r="L23" s="704"/>
      <c r="M23" s="704"/>
      <c r="N23" s="704"/>
      <c r="O23" s="705"/>
      <c r="P23" s="702"/>
    </row>
    <row r="24" spans="1:16" ht="18">
      <c r="A24" s="760"/>
      <c r="B24" s="707" t="s">
        <v>757</v>
      </c>
      <c r="C24" s="712">
        <v>3.4751397385134297E-4</v>
      </c>
      <c r="D24" s="711"/>
      <c r="E24" s="30"/>
      <c r="F24" s="30"/>
      <c r="G24" s="721" t="s">
        <v>292</v>
      </c>
      <c r="H24" s="722">
        <f>SUM(C21,C24,C26:C28)</f>
        <v>2.5558019729126691E-2</v>
      </c>
      <c r="I24" s="743"/>
      <c r="J24" s="743"/>
      <c r="K24" s="764"/>
      <c r="L24" s="704"/>
      <c r="M24" s="704"/>
      <c r="N24" s="704"/>
      <c r="O24" s="705"/>
      <c r="P24" s="702"/>
    </row>
    <row r="25" spans="1:16" ht="18">
      <c r="A25" s="760"/>
      <c r="B25" s="691" t="s">
        <v>99</v>
      </c>
      <c r="C25" s="689">
        <v>0</v>
      </c>
      <c r="D25" s="711"/>
      <c r="E25" s="30"/>
      <c r="F25" s="30"/>
      <c r="G25" s="720" t="s">
        <v>10</v>
      </c>
      <c r="H25" s="719">
        <f>C29</f>
        <v>1.9290818744236399E-2</v>
      </c>
      <c r="I25" s="743"/>
      <c r="J25" s="743"/>
      <c r="K25" s="764"/>
      <c r="L25" s="704"/>
      <c r="M25" s="704"/>
      <c r="N25" s="704"/>
      <c r="O25" s="705"/>
      <c r="P25" s="702"/>
    </row>
    <row r="26" spans="1:16" ht="18">
      <c r="A26" s="760"/>
      <c r="B26" s="707" t="s">
        <v>758</v>
      </c>
      <c r="C26" s="712">
        <v>4.6066477982383497E-3</v>
      </c>
      <c r="D26" s="711"/>
      <c r="E26" s="30"/>
      <c r="F26" s="30"/>
      <c r="G26" s="720" t="s">
        <v>9</v>
      </c>
      <c r="H26" s="719">
        <f>C31</f>
        <v>1.6365978627223998E-2</v>
      </c>
      <c r="I26" s="743"/>
      <c r="J26" s="743"/>
      <c r="K26" s="764"/>
      <c r="L26" s="704"/>
      <c r="M26" s="704"/>
      <c r="N26" s="704"/>
      <c r="O26" s="705"/>
      <c r="P26" s="702"/>
    </row>
    <row r="27" spans="1:16" ht="18">
      <c r="A27" s="760"/>
      <c r="B27" s="707" t="s">
        <v>759</v>
      </c>
      <c r="C27" s="712">
        <v>1.2517838860426001E-2</v>
      </c>
      <c r="D27" s="711"/>
      <c r="E27" s="30"/>
      <c r="F27" s="30"/>
      <c r="G27" s="720" t="s">
        <v>11</v>
      </c>
      <c r="H27" s="719">
        <f>C32</f>
        <v>1.7038338880755299E-2</v>
      </c>
      <c r="I27" s="743"/>
      <c r="J27" s="743"/>
      <c r="K27" s="764"/>
      <c r="L27" s="704"/>
      <c r="M27" s="704"/>
      <c r="N27" s="704"/>
      <c r="O27" s="705"/>
      <c r="P27" s="702"/>
    </row>
    <row r="28" spans="1:16" ht="18">
      <c r="A28" s="760"/>
      <c r="B28" s="707" t="s">
        <v>760</v>
      </c>
      <c r="C28" s="712">
        <v>7.5070702187855602E-3</v>
      </c>
      <c r="D28" s="711"/>
      <c r="E28" s="30"/>
      <c r="F28" s="30"/>
      <c r="G28" s="720" t="s">
        <v>12</v>
      </c>
      <c r="H28" s="719">
        <f>C33</f>
        <v>3.6954541076885998E-2</v>
      </c>
      <c r="I28" s="743"/>
      <c r="J28" s="743"/>
      <c r="K28" s="764"/>
      <c r="L28" s="704"/>
      <c r="M28" s="704"/>
      <c r="N28" s="704"/>
      <c r="O28" s="705"/>
      <c r="P28" s="702"/>
    </row>
    <row r="29" spans="1:16" ht="36">
      <c r="A29" s="760"/>
      <c r="B29" s="701" t="s">
        <v>10</v>
      </c>
      <c r="C29" s="690">
        <v>1.9290818744236399E-2</v>
      </c>
      <c r="D29" s="711"/>
      <c r="E29" s="30"/>
      <c r="F29" s="30"/>
      <c r="G29" s="720" t="s">
        <v>286</v>
      </c>
      <c r="H29" s="719">
        <f>C36</f>
        <v>0</v>
      </c>
      <c r="I29" s="743"/>
      <c r="J29" s="743"/>
      <c r="K29" s="764"/>
      <c r="L29" s="704"/>
      <c r="M29" s="704"/>
      <c r="N29" s="704"/>
      <c r="O29" s="705"/>
      <c r="P29" s="702"/>
    </row>
    <row r="30" spans="1:16" ht="18">
      <c r="A30" s="760"/>
      <c r="B30" s="701" t="s">
        <v>761</v>
      </c>
      <c r="C30" s="690">
        <v>0</v>
      </c>
      <c r="D30" s="711"/>
      <c r="E30" s="30"/>
      <c r="F30" s="30"/>
      <c r="G30" s="723" t="s">
        <v>801</v>
      </c>
      <c r="H30" s="724">
        <f>SUM(C34:C35,C38)</f>
        <v>1.1978614988184961E-2</v>
      </c>
      <c r="I30" s="743"/>
      <c r="J30" s="743"/>
      <c r="K30" s="764"/>
      <c r="L30" s="704"/>
      <c r="M30" s="704"/>
      <c r="N30" s="704"/>
      <c r="O30" s="705"/>
      <c r="P30" s="702"/>
    </row>
    <row r="31" spans="1:16" ht="18">
      <c r="A31" s="760"/>
      <c r="B31" s="701" t="s">
        <v>762</v>
      </c>
      <c r="C31" s="690">
        <v>1.6365978627223998E-2</v>
      </c>
      <c r="D31" s="711"/>
      <c r="E31" s="30"/>
      <c r="F31" s="30"/>
      <c r="G31" s="725" t="s">
        <v>65</v>
      </c>
      <c r="H31" s="726">
        <f>C39</f>
        <v>3.7998022863023999E-2</v>
      </c>
      <c r="I31" s="743"/>
      <c r="J31" s="743"/>
      <c r="K31" s="764"/>
      <c r="L31" s="704"/>
      <c r="M31" s="704"/>
      <c r="N31" s="704"/>
      <c r="O31" s="705"/>
      <c r="P31" s="702"/>
    </row>
    <row r="32" spans="1:16" ht="18">
      <c r="A32" s="760"/>
      <c r="B32" s="701" t="s">
        <v>11</v>
      </c>
      <c r="C32" s="690">
        <v>1.7038338880755299E-2</v>
      </c>
      <c r="D32" s="711"/>
      <c r="E32" s="30"/>
      <c r="F32" s="30"/>
      <c r="G32" s="720" t="s">
        <v>13</v>
      </c>
      <c r="H32" s="719">
        <f>C37</f>
        <v>2.2857217393239402E-2</v>
      </c>
      <c r="I32" s="743"/>
      <c r="J32" s="743"/>
      <c r="K32" s="764"/>
      <c r="L32" s="704"/>
      <c r="M32" s="704"/>
      <c r="N32" s="704"/>
      <c r="O32" s="705"/>
      <c r="P32" s="702"/>
    </row>
    <row r="33" spans="1:16" ht="18">
      <c r="A33" s="760"/>
      <c r="B33" s="701" t="s">
        <v>12</v>
      </c>
      <c r="C33" s="690">
        <v>3.6954541076885998E-2</v>
      </c>
      <c r="D33" s="711"/>
      <c r="E33" s="30"/>
      <c r="F33" s="30"/>
      <c r="G33" s="720" t="s">
        <v>14</v>
      </c>
      <c r="H33" s="719">
        <f>C40</f>
        <v>2.23647027101617E-2</v>
      </c>
      <c r="I33" s="743"/>
      <c r="J33" s="743"/>
      <c r="K33" s="764"/>
      <c r="L33" s="704"/>
      <c r="M33" s="704"/>
      <c r="N33" s="704"/>
      <c r="O33" s="705"/>
      <c r="P33" s="702"/>
    </row>
    <row r="34" spans="1:16" ht="18">
      <c r="A34" s="760"/>
      <c r="B34" s="692" t="s">
        <v>763</v>
      </c>
      <c r="C34" s="713">
        <v>5.8600036983919501E-3</v>
      </c>
      <c r="D34" s="711"/>
      <c r="E34" s="30"/>
      <c r="F34" s="30"/>
      <c r="G34" s="727" t="s">
        <v>804</v>
      </c>
      <c r="H34" s="728">
        <f>SUM(C41:C42)</f>
        <v>3.221934209937178E-2</v>
      </c>
      <c r="I34" s="743"/>
      <c r="J34" s="743"/>
      <c r="K34" s="764"/>
      <c r="L34" s="704"/>
      <c r="M34" s="704"/>
      <c r="N34" s="704"/>
      <c r="O34" s="705"/>
      <c r="P34" s="702"/>
    </row>
    <row r="35" spans="1:16" ht="18">
      <c r="A35" s="760"/>
      <c r="B35" s="692" t="s">
        <v>764</v>
      </c>
      <c r="C35" s="713">
        <v>5.3671406524546904E-3</v>
      </c>
      <c r="D35" s="711"/>
      <c r="E35" s="30"/>
      <c r="F35" s="30"/>
      <c r="G35" s="720" t="s">
        <v>16</v>
      </c>
      <c r="H35" s="719">
        <f>C43</f>
        <v>9.4942273497663609E-4</v>
      </c>
      <c r="I35" s="743"/>
      <c r="J35" s="743"/>
      <c r="K35" s="764"/>
      <c r="L35" s="704"/>
      <c r="M35" s="704"/>
      <c r="N35" s="704"/>
      <c r="O35" s="705"/>
      <c r="P35" s="702"/>
    </row>
    <row r="36" spans="1:16" ht="18">
      <c r="A36" s="760"/>
      <c r="B36" s="701" t="s">
        <v>765</v>
      </c>
      <c r="C36" s="690">
        <v>0</v>
      </c>
      <c r="D36" s="711"/>
      <c r="E36" s="30"/>
      <c r="F36" s="30"/>
      <c r="G36" s="729" t="s">
        <v>802</v>
      </c>
      <c r="H36" s="730">
        <f>SUM(C44:C46)</f>
        <v>1.002702039324605E-2</v>
      </c>
      <c r="I36" s="743"/>
      <c r="J36" s="743"/>
      <c r="K36" s="764"/>
      <c r="L36" s="704"/>
      <c r="M36" s="704"/>
      <c r="N36" s="704"/>
      <c r="O36" s="705"/>
      <c r="P36" s="702"/>
    </row>
    <row r="37" spans="1:16" ht="18">
      <c r="A37" s="760"/>
      <c r="B37" s="701" t="s">
        <v>13</v>
      </c>
      <c r="C37" s="690">
        <v>2.2857217393239402E-2</v>
      </c>
      <c r="D37" s="711"/>
      <c r="E37" s="30"/>
      <c r="F37" s="30"/>
      <c r="G37" s="731" t="s">
        <v>803</v>
      </c>
      <c r="H37" s="732">
        <f>SUM(C47,C73)</f>
        <v>1.92495725692256E-2</v>
      </c>
      <c r="I37" s="743"/>
      <c r="J37" s="743"/>
      <c r="K37" s="764"/>
      <c r="L37" s="704"/>
      <c r="M37" s="704"/>
      <c r="N37" s="704"/>
      <c r="O37" s="705"/>
      <c r="P37" s="702"/>
    </row>
    <row r="38" spans="1:16" ht="18">
      <c r="A38" s="760"/>
      <c r="B38" s="692" t="s">
        <v>766</v>
      </c>
      <c r="C38" s="713">
        <v>7.5147063733831999E-4</v>
      </c>
      <c r="D38" s="711"/>
      <c r="E38" s="30"/>
      <c r="F38" s="30"/>
      <c r="G38" s="733" t="s">
        <v>805</v>
      </c>
      <c r="H38" s="734">
        <f>SUM(C74,C48)</f>
        <v>1.0520571441791294E-2</v>
      </c>
      <c r="I38" s="743"/>
      <c r="J38" s="743"/>
      <c r="K38" s="764"/>
      <c r="L38" s="704"/>
      <c r="M38" s="704"/>
      <c r="N38" s="704"/>
      <c r="O38" s="705"/>
      <c r="P38" s="702"/>
    </row>
    <row r="39" spans="1:16" ht="18">
      <c r="A39" s="760"/>
      <c r="B39" s="701" t="s">
        <v>767</v>
      </c>
      <c r="C39" s="690">
        <v>3.7998022863023999E-2</v>
      </c>
      <c r="D39" s="711"/>
      <c r="E39" s="30"/>
      <c r="F39" s="30"/>
      <c r="G39" s="735" t="s">
        <v>806</v>
      </c>
      <c r="H39" s="736">
        <f>SUM(C49:C69)</f>
        <v>8.7812270056536329E-3</v>
      </c>
      <c r="I39" s="743"/>
      <c r="J39" s="743"/>
      <c r="K39" s="764"/>
      <c r="L39" s="704"/>
      <c r="M39" s="704"/>
      <c r="N39" s="704"/>
      <c r="O39" s="705"/>
      <c r="P39" s="702"/>
    </row>
    <row r="40" spans="1:16" ht="18" thickBot="1">
      <c r="A40" s="760"/>
      <c r="B40" s="701" t="s">
        <v>14</v>
      </c>
      <c r="C40" s="690">
        <v>2.23647027101617E-2</v>
      </c>
      <c r="D40" s="711"/>
      <c r="E40" s="30"/>
      <c r="F40" s="30"/>
      <c r="G40" s="737"/>
      <c r="H40" s="719"/>
      <c r="I40" s="743"/>
      <c r="J40" s="743"/>
      <c r="K40" s="764"/>
      <c r="L40" s="704"/>
      <c r="M40" s="704"/>
      <c r="N40" s="704"/>
      <c r="O40" s="705"/>
      <c r="P40" s="702"/>
    </row>
    <row r="41" spans="1:16" ht="18" thickBot="1">
      <c r="A41" s="760"/>
      <c r="B41" s="694" t="s">
        <v>100</v>
      </c>
      <c r="C41" s="714">
        <v>3.1178349852564503E-2</v>
      </c>
      <c r="D41" s="711"/>
      <c r="E41" s="30"/>
      <c r="F41" s="30"/>
      <c r="G41" s="739" t="s">
        <v>692</v>
      </c>
      <c r="H41" s="740">
        <f>SUM(H12:H39)</f>
        <v>99.999999999998778</v>
      </c>
      <c r="I41" s="743"/>
      <c r="J41" s="743"/>
      <c r="K41" s="764"/>
      <c r="L41" s="704"/>
      <c r="M41" s="704"/>
      <c r="N41" s="704"/>
      <c r="O41" s="705"/>
      <c r="P41" s="702"/>
    </row>
    <row r="42" spans="1:16" ht="18" thickBot="1">
      <c r="A42" s="760"/>
      <c r="B42" s="694" t="s">
        <v>768</v>
      </c>
      <c r="C42" s="714">
        <v>1.04099224680728E-3</v>
      </c>
      <c r="D42" s="711"/>
      <c r="E42" s="30"/>
      <c r="F42" s="30"/>
      <c r="G42" s="742"/>
      <c r="H42" s="708"/>
      <c r="I42" s="743"/>
      <c r="J42" s="743"/>
      <c r="K42" s="764"/>
      <c r="L42" s="704"/>
      <c r="M42" s="704"/>
      <c r="N42" s="704"/>
      <c r="O42" s="705"/>
      <c r="P42" s="702"/>
    </row>
    <row r="43" spans="1:16" ht="21" customHeight="1" thickBot="1">
      <c r="A43" s="760"/>
      <c r="B43" s="701" t="s">
        <v>769</v>
      </c>
      <c r="C43" s="690">
        <v>9.4942273497663609E-4</v>
      </c>
      <c r="D43" s="711"/>
      <c r="E43" s="30"/>
      <c r="F43" s="30"/>
      <c r="G43" s="5065" t="s">
        <v>810</v>
      </c>
      <c r="H43" s="5066"/>
      <c r="I43" s="743"/>
      <c r="J43" s="743"/>
      <c r="K43" s="764"/>
      <c r="L43" s="704"/>
      <c r="M43" s="704"/>
      <c r="N43" s="704"/>
      <c r="O43" s="705"/>
      <c r="P43" s="702"/>
    </row>
    <row r="44" spans="1:16" ht="17.5">
      <c r="A44" s="760"/>
      <c r="B44" s="709" t="s">
        <v>770</v>
      </c>
      <c r="C44" s="715">
        <v>3.9288299990901396E-3</v>
      </c>
      <c r="D44" s="711"/>
      <c r="E44" s="30"/>
      <c r="F44" s="30"/>
      <c r="G44" s="757" t="s">
        <v>754</v>
      </c>
      <c r="H44" s="758">
        <v>0.86609999999999998</v>
      </c>
      <c r="I44" s="743"/>
      <c r="J44" s="743"/>
      <c r="K44" s="764"/>
      <c r="L44" s="704"/>
      <c r="M44" s="704"/>
      <c r="N44" s="704"/>
      <c r="O44" s="705"/>
      <c r="P44" s="702"/>
    </row>
    <row r="45" spans="1:16" ht="31.5" thickBot="1">
      <c r="A45" s="760"/>
      <c r="B45" s="709" t="s">
        <v>423</v>
      </c>
      <c r="C45" s="715">
        <v>2.1783182778594701E-3</v>
      </c>
      <c r="D45" s="711"/>
      <c r="E45" s="30"/>
      <c r="F45" s="30"/>
      <c r="G45" s="756" t="s">
        <v>811</v>
      </c>
      <c r="H45" s="759">
        <v>262.91199999999998</v>
      </c>
      <c r="I45" s="743"/>
      <c r="J45" s="743"/>
      <c r="K45" s="764"/>
      <c r="L45" s="704"/>
      <c r="M45" s="704"/>
      <c r="N45" s="704"/>
      <c r="O45" s="705"/>
      <c r="P45" s="702"/>
    </row>
    <row r="46" spans="1:16" ht="17.5">
      <c r="A46" s="760"/>
      <c r="B46" s="709" t="s">
        <v>771</v>
      </c>
      <c r="C46" s="715">
        <v>3.91987211629644E-3</v>
      </c>
      <c r="D46" s="711"/>
      <c r="E46" s="30"/>
      <c r="F46" s="30"/>
      <c r="G46" s="742"/>
      <c r="H46" s="708"/>
      <c r="I46" s="743"/>
      <c r="J46" s="743"/>
      <c r="K46" s="764"/>
      <c r="L46" s="704"/>
      <c r="M46" s="704"/>
      <c r="N46" s="704"/>
      <c r="O46" s="705"/>
      <c r="P46" s="702"/>
    </row>
    <row r="47" spans="1:16" ht="17.5">
      <c r="A47" s="760"/>
      <c r="B47" s="693" t="s">
        <v>772</v>
      </c>
      <c r="C47" s="716">
        <v>4.7289893690460199E-4</v>
      </c>
      <c r="D47" s="711"/>
      <c r="E47" s="30"/>
      <c r="F47" s="30"/>
      <c r="G47" s="742"/>
      <c r="H47" s="708"/>
      <c r="I47" s="743"/>
      <c r="J47" s="743"/>
      <c r="K47" s="764"/>
      <c r="L47" s="704"/>
      <c r="M47" s="704"/>
      <c r="N47" s="704"/>
      <c r="O47" s="705"/>
      <c r="P47" s="702"/>
    </row>
    <row r="48" spans="1:16" ht="17.5">
      <c r="A48" s="760"/>
      <c r="B48" s="696" t="s">
        <v>773</v>
      </c>
      <c r="C48" s="717">
        <v>1.8368793186629499E-4</v>
      </c>
      <c r="D48" s="711"/>
      <c r="E48" s="30"/>
      <c r="F48" s="30"/>
      <c r="G48" s="742"/>
      <c r="H48" s="708"/>
      <c r="I48" s="743"/>
      <c r="J48" s="743"/>
      <c r="K48" s="764"/>
      <c r="L48" s="704"/>
      <c r="M48" s="704"/>
      <c r="N48" s="704"/>
      <c r="O48" s="705"/>
      <c r="P48" s="702"/>
    </row>
    <row r="49" spans="1:16" ht="15.5">
      <c r="A49" s="760"/>
      <c r="B49" s="695" t="s">
        <v>774</v>
      </c>
      <c r="C49" s="718">
        <v>5.7170180164522596E-3</v>
      </c>
      <c r="D49" s="711"/>
      <c r="E49" s="30"/>
      <c r="F49" s="30"/>
      <c r="G49" s="742"/>
      <c r="H49" s="743"/>
      <c r="I49" s="743"/>
      <c r="J49" s="743"/>
      <c r="K49" s="764"/>
      <c r="L49" s="704"/>
      <c r="M49" s="704"/>
      <c r="N49" s="704"/>
      <c r="O49" s="705"/>
      <c r="P49" s="702"/>
    </row>
    <row r="50" spans="1:16" ht="15.5">
      <c r="A50" s="760"/>
      <c r="B50" s="695" t="s">
        <v>775</v>
      </c>
      <c r="C50" s="718">
        <v>1.8789952836145102E-3</v>
      </c>
      <c r="D50" s="711"/>
      <c r="E50" s="30"/>
      <c r="F50" s="30"/>
      <c r="G50" s="742"/>
      <c r="H50" s="743"/>
      <c r="I50" s="743"/>
      <c r="J50" s="743"/>
      <c r="K50" s="764"/>
      <c r="L50" s="704"/>
      <c r="M50" s="704"/>
      <c r="N50" s="5092"/>
      <c r="O50" s="5092"/>
      <c r="P50" s="702"/>
    </row>
    <row r="51" spans="1:16" ht="15.5">
      <c r="A51" s="760"/>
      <c r="B51" s="695" t="s">
        <v>776</v>
      </c>
      <c r="C51" s="718">
        <v>8.2237869772450102E-4</v>
      </c>
      <c r="D51" s="711"/>
      <c r="E51" s="30"/>
      <c r="F51" s="30"/>
      <c r="G51" s="744"/>
      <c r="H51" s="743"/>
      <c r="I51" s="765"/>
      <c r="J51" s="765"/>
      <c r="K51" s="766"/>
      <c r="L51" s="702"/>
      <c r="M51" s="702"/>
      <c r="N51" s="702"/>
      <c r="O51" s="702"/>
      <c r="P51" s="702"/>
    </row>
    <row r="52" spans="1:16" ht="15.5">
      <c r="A52" s="760"/>
      <c r="B52" s="695" t="s">
        <v>777</v>
      </c>
      <c r="C52" s="718">
        <v>2.56244911388557E-4</v>
      </c>
      <c r="D52" s="711"/>
      <c r="E52" s="30"/>
      <c r="F52" s="30"/>
      <c r="G52" s="742"/>
      <c r="H52" s="743"/>
      <c r="I52" s="754"/>
      <c r="J52" s="30"/>
      <c r="K52" s="762"/>
    </row>
    <row r="53" spans="1:16" ht="15.5">
      <c r="A53" s="760"/>
      <c r="B53" s="695" t="s">
        <v>778</v>
      </c>
      <c r="C53" s="718">
        <v>7.7382199746844701E-5</v>
      </c>
      <c r="D53" s="711"/>
      <c r="E53" s="30"/>
      <c r="F53" s="30"/>
      <c r="G53" s="767"/>
      <c r="H53" s="765"/>
      <c r="I53" s="754"/>
      <c r="J53" s="30"/>
      <c r="K53" s="762"/>
    </row>
    <row r="54" spans="1:16" ht="15.5">
      <c r="A54" s="760"/>
      <c r="B54" s="695" t="s">
        <v>779</v>
      </c>
      <c r="C54" s="718">
        <v>1.94314216001629E-5</v>
      </c>
      <c r="D54" s="711"/>
      <c r="E54" s="30"/>
      <c r="F54" s="30"/>
      <c r="G54" s="30"/>
      <c r="H54" s="745"/>
      <c r="I54" s="754"/>
      <c r="J54" s="30"/>
      <c r="K54" s="762"/>
    </row>
    <row r="55" spans="1:16" ht="15.5">
      <c r="A55" s="760"/>
      <c r="B55" s="695" t="s">
        <v>780</v>
      </c>
      <c r="C55" s="718">
        <v>5.9935562258692799E-6</v>
      </c>
      <c r="D55" s="711"/>
      <c r="E55" s="30"/>
      <c r="F55" s="30"/>
      <c r="G55" s="30"/>
      <c r="H55" s="745"/>
      <c r="I55" s="754"/>
      <c r="J55" s="30"/>
      <c r="K55" s="762"/>
    </row>
    <row r="56" spans="1:16" ht="15.5">
      <c r="A56" s="760"/>
      <c r="B56" s="695" t="s">
        <v>781</v>
      </c>
      <c r="C56" s="718">
        <v>2.3100077810823999E-6</v>
      </c>
      <c r="D56" s="711"/>
      <c r="E56" s="30"/>
      <c r="F56" s="30"/>
      <c r="G56" s="30"/>
      <c r="H56" s="745"/>
      <c r="I56" s="754"/>
      <c r="J56" s="30"/>
      <c r="K56" s="762"/>
    </row>
    <row r="57" spans="1:16" ht="15.5">
      <c r="A57" s="760"/>
      <c r="B57" s="695" t="s">
        <v>782</v>
      </c>
      <c r="C57" s="718">
        <v>9.8393156365178788E-7</v>
      </c>
      <c r="D57" s="711"/>
      <c r="E57" s="30"/>
      <c r="F57" s="30"/>
      <c r="G57" s="30"/>
      <c r="H57" s="745"/>
      <c r="I57" s="754"/>
      <c r="J57" s="30"/>
      <c r="K57" s="762"/>
    </row>
    <row r="58" spans="1:16" ht="15.5">
      <c r="A58" s="760"/>
      <c r="B58" s="695" t="s">
        <v>783</v>
      </c>
      <c r="C58" s="718">
        <v>3.01038475271531E-7</v>
      </c>
      <c r="D58" s="711"/>
      <c r="E58" s="30"/>
      <c r="F58" s="30"/>
      <c r="G58" s="30"/>
      <c r="H58" s="745"/>
      <c r="I58" s="754"/>
      <c r="J58" s="30"/>
      <c r="K58" s="762"/>
    </row>
    <row r="59" spans="1:16" ht="15.5">
      <c r="A59" s="760"/>
      <c r="B59" s="695" t="s">
        <v>784</v>
      </c>
      <c r="C59" s="718">
        <v>1.0851525209300101E-7</v>
      </c>
      <c r="D59" s="711"/>
      <c r="E59" s="30"/>
      <c r="F59" s="30"/>
      <c r="G59" s="30"/>
      <c r="H59" s="745"/>
      <c r="I59" s="754"/>
      <c r="J59" s="30"/>
      <c r="K59" s="762"/>
    </row>
    <row r="60" spans="1:16" ht="15.5">
      <c r="A60" s="760"/>
      <c r="B60" s="695" t="s">
        <v>785</v>
      </c>
      <c r="C60" s="718">
        <v>4.7369606489351699E-8</v>
      </c>
      <c r="D60" s="711"/>
      <c r="E60" s="30"/>
      <c r="F60" s="30"/>
      <c r="G60" s="30"/>
      <c r="H60" s="745"/>
      <c r="I60" s="754"/>
      <c r="J60" s="30"/>
      <c r="K60" s="762"/>
    </row>
    <row r="61" spans="1:16" ht="15.5">
      <c r="A61" s="760"/>
      <c r="B61" s="695" t="s">
        <v>786</v>
      </c>
      <c r="C61" s="718">
        <v>1.91904105750405E-8</v>
      </c>
      <c r="D61" s="711"/>
      <c r="E61" s="30"/>
      <c r="F61" s="30"/>
      <c r="G61" s="30"/>
      <c r="H61" s="745"/>
      <c r="I61" s="754"/>
      <c r="J61" s="30"/>
      <c r="K61" s="762"/>
    </row>
    <row r="62" spans="1:16" ht="15.5">
      <c r="A62" s="760"/>
      <c r="B62" s="695" t="s">
        <v>787</v>
      </c>
      <c r="C62" s="718">
        <v>7.6480378951923789E-9</v>
      </c>
      <c r="D62" s="711"/>
      <c r="E62" s="30"/>
      <c r="F62" s="30"/>
      <c r="G62" s="30"/>
      <c r="H62" s="745"/>
      <c r="I62" s="754"/>
      <c r="J62" s="30"/>
      <c r="K62" s="762"/>
    </row>
    <row r="63" spans="1:16" ht="15.5">
      <c r="A63" s="760"/>
      <c r="B63" s="695" t="s">
        <v>788</v>
      </c>
      <c r="C63" s="718">
        <v>2.94890506422273E-9</v>
      </c>
      <c r="D63" s="711"/>
      <c r="E63" s="30"/>
      <c r="F63" s="30"/>
      <c r="G63" s="30"/>
      <c r="H63" s="745"/>
      <c r="I63" s="754"/>
      <c r="J63" s="30"/>
      <c r="K63" s="762"/>
    </row>
    <row r="64" spans="1:16" ht="15.5">
      <c r="A64" s="760"/>
      <c r="B64" s="695" t="s">
        <v>789</v>
      </c>
      <c r="C64" s="718">
        <v>1.2752008183216799E-9</v>
      </c>
      <c r="D64" s="711"/>
      <c r="E64" s="30"/>
      <c r="F64" s="30"/>
      <c r="G64" s="30"/>
      <c r="H64" s="745"/>
      <c r="I64" s="754"/>
      <c r="J64" s="30"/>
      <c r="K64" s="762"/>
    </row>
    <row r="65" spans="1:11" ht="15.5">
      <c r="A65" s="760"/>
      <c r="B65" s="695" t="s">
        <v>790</v>
      </c>
      <c r="C65" s="718">
        <v>6.0578699609369499E-10</v>
      </c>
      <c r="D65" s="711"/>
      <c r="E65" s="30"/>
      <c r="F65" s="30"/>
      <c r="G65" s="30"/>
      <c r="H65" s="745"/>
      <c r="I65" s="754"/>
      <c r="J65" s="30"/>
      <c r="K65" s="762"/>
    </row>
    <row r="66" spans="1:11" ht="15.5">
      <c r="A66" s="760"/>
      <c r="B66" s="695" t="s">
        <v>791</v>
      </c>
      <c r="C66" s="718">
        <v>2.6324211535199298E-10</v>
      </c>
      <c r="D66" s="711"/>
      <c r="E66" s="30"/>
      <c r="F66" s="30"/>
      <c r="G66" s="30"/>
      <c r="H66" s="745"/>
      <c r="I66" s="754"/>
      <c r="J66" s="30"/>
      <c r="K66" s="762"/>
    </row>
    <row r="67" spans="1:11" ht="15.5">
      <c r="A67" s="760"/>
      <c r="B67" s="695" t="s">
        <v>792</v>
      </c>
      <c r="C67" s="718">
        <v>1.2454781532749899E-10</v>
      </c>
      <c r="D67" s="711"/>
      <c r="E67" s="30"/>
      <c r="F67" s="30"/>
      <c r="G67" s="30"/>
      <c r="H67" s="745"/>
      <c r="I67" s="754"/>
      <c r="J67" s="30"/>
      <c r="K67" s="762"/>
    </row>
    <row r="68" spans="1:11" ht="15.5">
      <c r="A68" s="760"/>
      <c r="B68" s="695" t="s">
        <v>793</v>
      </c>
      <c r="C68" s="718">
        <v>0</v>
      </c>
      <c r="D68" s="711"/>
      <c r="E68" s="30"/>
      <c r="F68" s="30"/>
      <c r="G68" s="30"/>
      <c r="H68" s="745"/>
      <c r="I68" s="754"/>
      <c r="J68" s="30"/>
      <c r="K68" s="762"/>
    </row>
    <row r="69" spans="1:11" ht="15.5">
      <c r="A69" s="760"/>
      <c r="B69" s="695" t="s">
        <v>794</v>
      </c>
      <c r="C69" s="718">
        <v>9.1058715058265598E-14</v>
      </c>
      <c r="D69" s="711"/>
      <c r="E69" s="30"/>
      <c r="F69" s="30"/>
      <c r="G69" s="30"/>
      <c r="H69" s="745"/>
      <c r="I69" s="754"/>
      <c r="J69" s="30"/>
      <c r="K69" s="762"/>
    </row>
    <row r="70" spans="1:11" ht="15.5">
      <c r="A70" s="760"/>
      <c r="B70" s="701" t="s">
        <v>673</v>
      </c>
      <c r="C70" s="690">
        <v>99.500463647436106</v>
      </c>
      <c r="D70" s="711"/>
      <c r="E70" s="30"/>
      <c r="F70" s="30"/>
      <c r="G70" s="30"/>
      <c r="H70" s="745"/>
      <c r="I70" s="754"/>
      <c r="J70" s="30"/>
      <c r="K70" s="762"/>
    </row>
    <row r="71" spans="1:11" ht="15.5">
      <c r="A71" s="760"/>
      <c r="B71" s="701" t="s">
        <v>795</v>
      </c>
      <c r="C71" s="690">
        <v>0</v>
      </c>
      <c r="D71" s="711"/>
      <c r="E71" s="30"/>
      <c r="F71" s="30"/>
      <c r="G71" s="30"/>
      <c r="H71" s="745"/>
      <c r="I71" s="754"/>
      <c r="J71" s="30"/>
      <c r="K71" s="762"/>
    </row>
    <row r="72" spans="1:11" ht="15.5">
      <c r="A72" s="760"/>
      <c r="B72" s="701" t="s">
        <v>796</v>
      </c>
      <c r="C72" s="690">
        <v>1.1784237592791999E-12</v>
      </c>
      <c r="D72" s="711"/>
      <c r="E72" s="30"/>
      <c r="F72" s="30"/>
      <c r="G72" s="30"/>
      <c r="H72" s="745"/>
      <c r="I72" s="754"/>
      <c r="J72" s="30"/>
      <c r="K72" s="762"/>
    </row>
    <row r="73" spans="1:11" ht="15.5">
      <c r="A73" s="760"/>
      <c r="B73" s="693" t="s">
        <v>101</v>
      </c>
      <c r="C73" s="716">
        <v>1.8776673632320998E-2</v>
      </c>
      <c r="D73" s="711"/>
      <c r="E73" s="30"/>
      <c r="F73" s="30"/>
      <c r="G73" s="30"/>
      <c r="H73" s="745"/>
      <c r="I73" s="754"/>
      <c r="J73" s="30"/>
      <c r="K73" s="762"/>
    </row>
    <row r="74" spans="1:11" ht="15.5">
      <c r="A74" s="760"/>
      <c r="B74" s="696" t="s">
        <v>117</v>
      </c>
      <c r="C74" s="717">
        <v>1.0336883509925E-2</v>
      </c>
      <c r="D74" s="711"/>
      <c r="E74" s="30"/>
      <c r="F74" s="30"/>
      <c r="G74" s="30"/>
      <c r="H74" s="745"/>
      <c r="I74" s="754"/>
      <c r="J74" s="30"/>
      <c r="K74" s="762"/>
    </row>
    <row r="75" spans="1:11" ht="15.5">
      <c r="A75" s="760"/>
      <c r="B75" s="701" t="s">
        <v>797</v>
      </c>
      <c r="C75" s="690">
        <v>0</v>
      </c>
      <c r="D75" s="711"/>
      <c r="E75" s="30"/>
      <c r="F75" s="30"/>
      <c r="G75" s="30"/>
      <c r="H75" s="745"/>
      <c r="I75" s="754"/>
      <c r="J75" s="30"/>
      <c r="K75" s="762"/>
    </row>
    <row r="76" spans="1:11" ht="15.5">
      <c r="A76" s="760"/>
      <c r="B76" s="701" t="s">
        <v>798</v>
      </c>
      <c r="C76" s="690">
        <v>0</v>
      </c>
      <c r="D76" s="711"/>
      <c r="E76" s="30"/>
      <c r="F76" s="30"/>
      <c r="G76" s="30"/>
      <c r="H76" s="745"/>
      <c r="I76" s="754"/>
      <c r="J76" s="30"/>
      <c r="K76" s="762"/>
    </row>
    <row r="77" spans="1:11" ht="15.5">
      <c r="A77" s="760"/>
      <c r="B77" s="701" t="s">
        <v>799</v>
      </c>
      <c r="C77" s="690">
        <v>0</v>
      </c>
      <c r="D77" s="711"/>
      <c r="E77" s="30"/>
      <c r="F77" s="30"/>
      <c r="G77" s="30"/>
      <c r="H77" s="745"/>
      <c r="I77" s="754"/>
      <c r="J77" s="30"/>
      <c r="K77" s="762"/>
    </row>
    <row r="78" spans="1:11" ht="16" thickBot="1">
      <c r="A78" s="760"/>
      <c r="B78" s="701" t="s">
        <v>0</v>
      </c>
      <c r="C78" s="690">
        <v>0</v>
      </c>
      <c r="D78" s="711"/>
      <c r="E78" s="30"/>
      <c r="F78" s="30"/>
      <c r="G78" s="30"/>
      <c r="H78" s="745"/>
      <c r="I78" s="754"/>
      <c r="J78" s="30"/>
      <c r="K78" s="762"/>
    </row>
    <row r="79" spans="1:11" ht="16" thickBot="1">
      <c r="A79" s="768"/>
      <c r="B79" s="741" t="s">
        <v>753</v>
      </c>
      <c r="C79" s="710">
        <v>100</v>
      </c>
      <c r="D79" s="769"/>
      <c r="E79" s="770"/>
      <c r="F79" s="770"/>
      <c r="G79" s="770"/>
      <c r="H79" s="771"/>
      <c r="I79" s="772"/>
      <c r="J79" s="770"/>
      <c r="K79" s="773"/>
    </row>
    <row r="80" spans="1:11" ht="15.5">
      <c r="B80" s="697"/>
      <c r="C80" s="688"/>
      <c r="D80" s="688"/>
      <c r="H80" s="699"/>
      <c r="I80" s="698"/>
    </row>
    <row r="81" spans="2:9" ht="15.5">
      <c r="B81" s="686"/>
      <c r="C81" s="686"/>
      <c r="D81" s="686"/>
      <c r="H81" s="699"/>
      <c r="I81" s="698"/>
    </row>
    <row r="82" spans="2:9" ht="15.5">
      <c r="B82" s="686"/>
      <c r="C82" s="686"/>
      <c r="D82" s="686"/>
      <c r="H82" s="699"/>
      <c r="I82" s="698"/>
    </row>
    <row r="83" spans="2:9" ht="15.5">
      <c r="B83" s="686"/>
      <c r="C83" s="686"/>
      <c r="D83" s="686"/>
      <c r="H83" s="699"/>
      <c r="I83" s="698"/>
    </row>
    <row r="84" spans="2:9" ht="15.5">
      <c r="B84" s="686"/>
      <c r="C84" s="686"/>
      <c r="D84" s="686"/>
      <c r="H84" s="699"/>
      <c r="I84" s="698"/>
    </row>
    <row r="85" spans="2:9" ht="15.5">
      <c r="B85" s="686"/>
      <c r="C85" s="686"/>
      <c r="D85" s="686"/>
      <c r="H85" s="699"/>
      <c r="I85" s="698"/>
    </row>
    <row r="86" spans="2:9" ht="15.5">
      <c r="B86" s="686"/>
      <c r="C86" s="686"/>
      <c r="D86" s="686"/>
      <c r="H86" s="699"/>
      <c r="I86" s="698"/>
    </row>
    <row r="87" spans="2:9" ht="15.5">
      <c r="B87" s="686"/>
      <c r="C87" s="686"/>
      <c r="D87" s="686"/>
      <c r="H87" s="699"/>
      <c r="I87" s="698"/>
    </row>
    <row r="88" spans="2:9" ht="15.5">
      <c r="B88" s="686"/>
      <c r="C88" s="686"/>
      <c r="D88" s="686"/>
      <c r="H88" s="699"/>
      <c r="I88" s="698"/>
    </row>
    <row r="89" spans="2:9" ht="15.5">
      <c r="B89" s="686"/>
      <c r="C89" s="686"/>
      <c r="D89" s="686"/>
      <c r="H89" s="699"/>
      <c r="I89" s="698"/>
    </row>
    <row r="90" spans="2:9" ht="15.5">
      <c r="B90" s="686"/>
      <c r="C90" s="686"/>
      <c r="D90" s="686"/>
      <c r="H90" s="699"/>
      <c r="I90" s="698"/>
    </row>
    <row r="91" spans="2:9" ht="15.5">
      <c r="B91" s="686"/>
      <c r="C91" s="686"/>
      <c r="D91" s="686"/>
      <c r="H91" s="699"/>
      <c r="I91" s="698"/>
    </row>
    <row r="92" spans="2:9" ht="15.5">
      <c r="B92" s="686"/>
      <c r="C92" s="686"/>
      <c r="D92" s="686"/>
      <c r="H92" s="699"/>
      <c r="I92" s="698"/>
    </row>
    <row r="93" spans="2:9" ht="15.5">
      <c r="B93" s="686"/>
      <c r="C93" s="686"/>
      <c r="D93" s="686"/>
      <c r="H93" s="699"/>
      <c r="I93" s="698"/>
    </row>
    <row r="94" spans="2:9" ht="15.5">
      <c r="B94" s="686"/>
      <c r="C94" s="686"/>
      <c r="D94" s="686"/>
      <c r="H94" s="699"/>
    </row>
    <row r="95" spans="2:9" ht="15.5">
      <c r="B95" s="686"/>
      <c r="C95" s="686"/>
      <c r="D95" s="686"/>
      <c r="H95" s="699"/>
      <c r="I95" s="698"/>
    </row>
    <row r="96" spans="2:9" ht="15.5">
      <c r="B96" s="686"/>
      <c r="C96" s="686"/>
      <c r="D96" s="686"/>
      <c r="H96" s="699"/>
    </row>
    <row r="97" spans="2:9" ht="15.5">
      <c r="B97" s="686"/>
      <c r="C97" s="686"/>
      <c r="D97" s="686"/>
      <c r="H97" s="699"/>
    </row>
    <row r="98" spans="2:9" ht="15.5">
      <c r="B98" s="686"/>
      <c r="C98" s="686"/>
      <c r="D98" s="686"/>
      <c r="H98" s="699"/>
      <c r="I98" s="698"/>
    </row>
    <row r="99" spans="2:9" ht="15.5">
      <c r="B99" s="686"/>
      <c r="C99" s="686"/>
      <c r="D99" s="686"/>
      <c r="H99" s="699"/>
      <c r="I99" s="698"/>
    </row>
    <row r="100" spans="2:9" ht="15.5">
      <c r="B100" s="686"/>
      <c r="C100" s="686"/>
      <c r="D100" s="686"/>
      <c r="H100" s="699"/>
      <c r="I100" s="698"/>
    </row>
    <row r="101" spans="2:9" ht="15.5">
      <c r="B101" s="686"/>
      <c r="C101" s="686"/>
      <c r="D101" s="686"/>
      <c r="H101" s="699"/>
    </row>
    <row r="102" spans="2:9" ht="15.5">
      <c r="B102" s="686"/>
      <c r="C102" s="686"/>
      <c r="D102" s="686"/>
      <c r="H102" s="699"/>
    </row>
    <row r="103" spans="2:9" ht="14.75" customHeight="1">
      <c r="B103" s="686"/>
      <c r="C103" s="686"/>
      <c r="D103" s="686"/>
      <c r="H103" s="699"/>
    </row>
    <row r="104" spans="2:9" ht="15.5">
      <c r="B104" s="686"/>
      <c r="C104" s="686"/>
      <c r="D104" s="686"/>
      <c r="H104" s="699"/>
    </row>
    <row r="105" spans="2:9" ht="15.5">
      <c r="B105" s="686"/>
      <c r="C105" s="686"/>
      <c r="D105" s="686"/>
      <c r="H105" s="699"/>
    </row>
    <row r="106" spans="2:9" ht="15.5">
      <c r="B106" s="686"/>
      <c r="C106" s="686"/>
      <c r="D106" s="686"/>
      <c r="H106" s="699"/>
    </row>
    <row r="107" spans="2:9" ht="15.5">
      <c r="B107" s="686"/>
      <c r="C107" s="686"/>
      <c r="D107" s="686"/>
    </row>
    <row r="108" spans="2:9" ht="15.5">
      <c r="B108" s="686"/>
      <c r="C108" s="686"/>
      <c r="D108" s="686"/>
      <c r="H108" s="700"/>
    </row>
    <row r="109" spans="2:9" ht="15.5">
      <c r="B109" s="686"/>
      <c r="C109" s="686"/>
      <c r="D109" s="686"/>
    </row>
    <row r="110" spans="2:9" ht="15.5">
      <c r="B110" s="686"/>
      <c r="C110" s="686"/>
      <c r="D110" s="686"/>
    </row>
    <row r="111" spans="2:9" ht="15.5">
      <c r="B111" s="686"/>
      <c r="C111" s="686"/>
      <c r="D111" s="686"/>
    </row>
    <row r="112" spans="2:9" ht="15.5">
      <c r="B112" s="686"/>
      <c r="C112" s="686"/>
      <c r="D112" s="686"/>
    </row>
    <row r="113" spans="2:4" ht="15.5">
      <c r="B113" s="686"/>
      <c r="C113" s="686"/>
      <c r="D113" s="686"/>
    </row>
    <row r="114" spans="2:4" ht="15.5">
      <c r="B114" s="686"/>
      <c r="C114" s="686"/>
      <c r="D114" s="686"/>
    </row>
  </sheetData>
  <mergeCells count="12">
    <mergeCell ref="N50:O50"/>
    <mergeCell ref="B9:C9"/>
    <mergeCell ref="G10:G11"/>
    <mergeCell ref="H10:H11"/>
    <mergeCell ref="C10:C11"/>
    <mergeCell ref="B10:B11"/>
    <mergeCell ref="B2:J2"/>
    <mergeCell ref="B3:J3"/>
    <mergeCell ref="B4:J4"/>
    <mergeCell ref="A6:K6"/>
    <mergeCell ref="G43:H43"/>
    <mergeCell ref="G9:H9"/>
  </mergeCells>
  <pageMargins left="0.75" right="0.75" top="1" bottom="1" header="0.5" footer="0.5"/>
  <pageSetup scale="4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6">
    <tabColor rgb="FF00FFCC"/>
  </sheetPr>
  <dimension ref="A1:P114"/>
  <sheetViews>
    <sheetView view="pageBreakPreview" zoomScaleNormal="85" zoomScaleSheetLayoutView="100" workbookViewId="0">
      <selection activeCell="A8" sqref="A8:XFD8"/>
    </sheetView>
  </sheetViews>
  <sheetFormatPr defaultRowHeight="12.5"/>
  <cols>
    <col min="1" max="1" width="8.54296875" style="47"/>
    <col min="2" max="2" width="24.453125" style="47" customWidth="1"/>
    <col min="3" max="3" width="16.54296875" style="47" customWidth="1"/>
    <col min="4" max="4" width="5.36328125" style="47" customWidth="1"/>
    <col min="5" max="5" width="8.54296875" style="47"/>
    <col min="6" max="6" width="2.453125" style="47" customWidth="1"/>
    <col min="7" max="7" width="23.453125" style="47" customWidth="1"/>
    <col min="8" max="8" width="23.36328125" style="47" customWidth="1"/>
    <col min="9" max="9" width="8.54296875" style="47"/>
    <col min="10" max="10" width="2.54296875" style="47" customWidth="1"/>
    <col min="11" max="247" width="8.54296875" style="47"/>
    <col min="248" max="248" width="24.453125" style="47" customWidth="1"/>
    <col min="249" max="251" width="16.54296875" style="47" customWidth="1"/>
    <col min="252" max="253" width="17.54296875" style="47" customWidth="1"/>
    <col min="254" max="254" width="16.54296875" style="47" customWidth="1"/>
    <col min="255" max="255" width="16" style="47" customWidth="1"/>
    <col min="256" max="256" width="11.453125" style="47" customWidth="1"/>
    <col min="257" max="258" width="8.54296875" style="47"/>
    <col min="259" max="259" width="2.453125" style="47" customWidth="1"/>
    <col min="260" max="260" width="23.453125" style="47" customWidth="1"/>
    <col min="261" max="262" width="8.54296875" style="47"/>
    <col min="263" max="263" width="2.54296875" style="47" customWidth="1"/>
    <col min="264" max="264" width="24.453125" style="47" customWidth="1"/>
    <col min="265" max="503" width="8.54296875" style="47"/>
    <col min="504" max="504" width="24.453125" style="47" customWidth="1"/>
    <col min="505" max="507" width="16.54296875" style="47" customWidth="1"/>
    <col min="508" max="509" width="17.54296875" style="47" customWidth="1"/>
    <col min="510" max="510" width="16.54296875" style="47" customWidth="1"/>
    <col min="511" max="511" width="16" style="47" customWidth="1"/>
    <col min="512" max="512" width="11.453125" style="47" customWidth="1"/>
    <col min="513" max="514" width="8.54296875" style="47"/>
    <col min="515" max="515" width="2.453125" style="47" customWidth="1"/>
    <col min="516" max="516" width="23.453125" style="47" customWidth="1"/>
    <col min="517" max="518" width="8.54296875" style="47"/>
    <col min="519" max="519" width="2.54296875" style="47" customWidth="1"/>
    <col min="520" max="520" width="24.453125" style="47" customWidth="1"/>
    <col min="521" max="759" width="8.54296875" style="47"/>
    <col min="760" max="760" width="24.453125" style="47" customWidth="1"/>
    <col min="761" max="763" width="16.54296875" style="47" customWidth="1"/>
    <col min="764" max="765" width="17.54296875" style="47" customWidth="1"/>
    <col min="766" max="766" width="16.54296875" style="47" customWidth="1"/>
    <col min="767" max="767" width="16" style="47" customWidth="1"/>
    <col min="768" max="768" width="11.453125" style="47" customWidth="1"/>
    <col min="769" max="770" width="8.54296875" style="47"/>
    <col min="771" max="771" width="2.453125" style="47" customWidth="1"/>
    <col min="772" max="772" width="23.453125" style="47" customWidth="1"/>
    <col min="773" max="774" width="8.54296875" style="47"/>
    <col min="775" max="775" width="2.54296875" style="47" customWidth="1"/>
    <col min="776" max="776" width="24.453125" style="47" customWidth="1"/>
    <col min="777" max="1015" width="8.54296875" style="47"/>
    <col min="1016" max="1016" width="24.453125" style="47" customWidth="1"/>
    <col min="1017" max="1019" width="16.54296875" style="47" customWidth="1"/>
    <col min="1020" max="1021" width="17.54296875" style="47" customWidth="1"/>
    <col min="1022" max="1022" width="16.54296875" style="47" customWidth="1"/>
    <col min="1023" max="1023" width="16" style="47" customWidth="1"/>
    <col min="1024" max="1024" width="11.453125" style="47" customWidth="1"/>
    <col min="1025" max="1026" width="8.54296875" style="47"/>
    <col min="1027" max="1027" width="2.453125" style="47" customWidth="1"/>
    <col min="1028" max="1028" width="23.453125" style="47" customWidth="1"/>
    <col min="1029" max="1030" width="8.54296875" style="47"/>
    <col min="1031" max="1031" width="2.54296875" style="47" customWidth="1"/>
    <col min="1032" max="1032" width="24.453125" style="47" customWidth="1"/>
    <col min="1033" max="1271" width="8.54296875" style="47"/>
    <col min="1272" max="1272" width="24.453125" style="47" customWidth="1"/>
    <col min="1273" max="1275" width="16.54296875" style="47" customWidth="1"/>
    <col min="1276" max="1277" width="17.54296875" style="47" customWidth="1"/>
    <col min="1278" max="1278" width="16.54296875" style="47" customWidth="1"/>
    <col min="1279" max="1279" width="16" style="47" customWidth="1"/>
    <col min="1280" max="1280" width="11.453125" style="47" customWidth="1"/>
    <col min="1281" max="1282" width="8.54296875" style="47"/>
    <col min="1283" max="1283" width="2.453125" style="47" customWidth="1"/>
    <col min="1284" max="1284" width="23.453125" style="47" customWidth="1"/>
    <col min="1285" max="1286" width="8.54296875" style="47"/>
    <col min="1287" max="1287" width="2.54296875" style="47" customWidth="1"/>
    <col min="1288" max="1288" width="24.453125" style="47" customWidth="1"/>
    <col min="1289" max="1527" width="8.54296875" style="47"/>
    <col min="1528" max="1528" width="24.453125" style="47" customWidth="1"/>
    <col min="1529" max="1531" width="16.54296875" style="47" customWidth="1"/>
    <col min="1532" max="1533" width="17.54296875" style="47" customWidth="1"/>
    <col min="1534" max="1534" width="16.54296875" style="47" customWidth="1"/>
    <col min="1535" max="1535" width="16" style="47" customWidth="1"/>
    <col min="1536" max="1536" width="11.453125" style="47" customWidth="1"/>
    <col min="1537" max="1538" width="8.54296875" style="47"/>
    <col min="1539" max="1539" width="2.453125" style="47" customWidth="1"/>
    <col min="1540" max="1540" width="23.453125" style="47" customWidth="1"/>
    <col min="1541" max="1542" width="8.54296875" style="47"/>
    <col min="1543" max="1543" width="2.54296875" style="47" customWidth="1"/>
    <col min="1544" max="1544" width="24.453125" style="47" customWidth="1"/>
    <col min="1545" max="1783" width="8.54296875" style="47"/>
    <col min="1784" max="1784" width="24.453125" style="47" customWidth="1"/>
    <col min="1785" max="1787" width="16.54296875" style="47" customWidth="1"/>
    <col min="1788" max="1789" width="17.54296875" style="47" customWidth="1"/>
    <col min="1790" max="1790" width="16.54296875" style="47" customWidth="1"/>
    <col min="1791" max="1791" width="16" style="47" customWidth="1"/>
    <col min="1792" max="1792" width="11.453125" style="47" customWidth="1"/>
    <col min="1793" max="1794" width="8.54296875" style="47"/>
    <col min="1795" max="1795" width="2.453125" style="47" customWidth="1"/>
    <col min="1796" max="1796" width="23.453125" style="47" customWidth="1"/>
    <col min="1797" max="1798" width="8.54296875" style="47"/>
    <col min="1799" max="1799" width="2.54296875" style="47" customWidth="1"/>
    <col min="1800" max="1800" width="24.453125" style="47" customWidth="1"/>
    <col min="1801" max="2039" width="8.54296875" style="47"/>
    <col min="2040" max="2040" width="24.453125" style="47" customWidth="1"/>
    <col min="2041" max="2043" width="16.54296875" style="47" customWidth="1"/>
    <col min="2044" max="2045" width="17.54296875" style="47" customWidth="1"/>
    <col min="2046" max="2046" width="16.54296875" style="47" customWidth="1"/>
    <col min="2047" max="2047" width="16" style="47" customWidth="1"/>
    <col min="2048" max="2048" width="11.453125" style="47" customWidth="1"/>
    <col min="2049" max="2050" width="8.54296875" style="47"/>
    <col min="2051" max="2051" width="2.453125" style="47" customWidth="1"/>
    <col min="2052" max="2052" width="23.453125" style="47" customWidth="1"/>
    <col min="2053" max="2054" width="8.54296875" style="47"/>
    <col min="2055" max="2055" width="2.54296875" style="47" customWidth="1"/>
    <col min="2056" max="2056" width="24.453125" style="47" customWidth="1"/>
    <col min="2057" max="2295" width="8.54296875" style="47"/>
    <col min="2296" max="2296" width="24.453125" style="47" customWidth="1"/>
    <col min="2297" max="2299" width="16.54296875" style="47" customWidth="1"/>
    <col min="2300" max="2301" width="17.54296875" style="47" customWidth="1"/>
    <col min="2302" max="2302" width="16.54296875" style="47" customWidth="1"/>
    <col min="2303" max="2303" width="16" style="47" customWidth="1"/>
    <col min="2304" max="2304" width="11.453125" style="47" customWidth="1"/>
    <col min="2305" max="2306" width="8.54296875" style="47"/>
    <col min="2307" max="2307" width="2.453125" style="47" customWidth="1"/>
    <col min="2308" max="2308" width="23.453125" style="47" customWidth="1"/>
    <col min="2309" max="2310" width="8.54296875" style="47"/>
    <col min="2311" max="2311" width="2.54296875" style="47" customWidth="1"/>
    <col min="2312" max="2312" width="24.453125" style="47" customWidth="1"/>
    <col min="2313" max="2551" width="8.54296875" style="47"/>
    <col min="2552" max="2552" width="24.453125" style="47" customWidth="1"/>
    <col min="2553" max="2555" width="16.54296875" style="47" customWidth="1"/>
    <col min="2556" max="2557" width="17.54296875" style="47" customWidth="1"/>
    <col min="2558" max="2558" width="16.54296875" style="47" customWidth="1"/>
    <col min="2559" max="2559" width="16" style="47" customWidth="1"/>
    <col min="2560" max="2560" width="11.453125" style="47" customWidth="1"/>
    <col min="2561" max="2562" width="8.54296875" style="47"/>
    <col min="2563" max="2563" width="2.453125" style="47" customWidth="1"/>
    <col min="2564" max="2564" width="23.453125" style="47" customWidth="1"/>
    <col min="2565" max="2566" width="8.54296875" style="47"/>
    <col min="2567" max="2567" width="2.54296875" style="47" customWidth="1"/>
    <col min="2568" max="2568" width="24.453125" style="47" customWidth="1"/>
    <col min="2569" max="2807" width="8.54296875" style="47"/>
    <col min="2808" max="2808" width="24.453125" style="47" customWidth="1"/>
    <col min="2809" max="2811" width="16.54296875" style="47" customWidth="1"/>
    <col min="2812" max="2813" width="17.54296875" style="47" customWidth="1"/>
    <col min="2814" max="2814" width="16.54296875" style="47" customWidth="1"/>
    <col min="2815" max="2815" width="16" style="47" customWidth="1"/>
    <col min="2816" max="2816" width="11.453125" style="47" customWidth="1"/>
    <col min="2817" max="2818" width="8.54296875" style="47"/>
    <col min="2819" max="2819" width="2.453125" style="47" customWidth="1"/>
    <col min="2820" max="2820" width="23.453125" style="47" customWidth="1"/>
    <col min="2821" max="2822" width="8.54296875" style="47"/>
    <col min="2823" max="2823" width="2.54296875" style="47" customWidth="1"/>
    <col min="2824" max="2824" width="24.453125" style="47" customWidth="1"/>
    <col min="2825" max="3063" width="8.54296875" style="47"/>
    <col min="3064" max="3064" width="24.453125" style="47" customWidth="1"/>
    <col min="3065" max="3067" width="16.54296875" style="47" customWidth="1"/>
    <col min="3068" max="3069" width="17.54296875" style="47" customWidth="1"/>
    <col min="3070" max="3070" width="16.54296875" style="47" customWidth="1"/>
    <col min="3071" max="3071" width="16" style="47" customWidth="1"/>
    <col min="3072" max="3072" width="11.453125" style="47" customWidth="1"/>
    <col min="3073" max="3074" width="8.54296875" style="47"/>
    <col min="3075" max="3075" width="2.453125" style="47" customWidth="1"/>
    <col min="3076" max="3076" width="23.453125" style="47" customWidth="1"/>
    <col min="3077" max="3078" width="8.54296875" style="47"/>
    <col min="3079" max="3079" width="2.54296875" style="47" customWidth="1"/>
    <col min="3080" max="3080" width="24.453125" style="47" customWidth="1"/>
    <col min="3081" max="3319" width="8.54296875" style="47"/>
    <col min="3320" max="3320" width="24.453125" style="47" customWidth="1"/>
    <col min="3321" max="3323" width="16.54296875" style="47" customWidth="1"/>
    <col min="3324" max="3325" width="17.54296875" style="47" customWidth="1"/>
    <col min="3326" max="3326" width="16.54296875" style="47" customWidth="1"/>
    <col min="3327" max="3327" width="16" style="47" customWidth="1"/>
    <col min="3328" max="3328" width="11.453125" style="47" customWidth="1"/>
    <col min="3329" max="3330" width="8.54296875" style="47"/>
    <col min="3331" max="3331" width="2.453125" style="47" customWidth="1"/>
    <col min="3332" max="3332" width="23.453125" style="47" customWidth="1"/>
    <col min="3333" max="3334" width="8.54296875" style="47"/>
    <col min="3335" max="3335" width="2.54296875" style="47" customWidth="1"/>
    <col min="3336" max="3336" width="24.453125" style="47" customWidth="1"/>
    <col min="3337" max="3575" width="8.54296875" style="47"/>
    <col min="3576" max="3576" width="24.453125" style="47" customWidth="1"/>
    <col min="3577" max="3579" width="16.54296875" style="47" customWidth="1"/>
    <col min="3580" max="3581" width="17.54296875" style="47" customWidth="1"/>
    <col min="3582" max="3582" width="16.54296875" style="47" customWidth="1"/>
    <col min="3583" max="3583" width="16" style="47" customWidth="1"/>
    <col min="3584" max="3584" width="11.453125" style="47" customWidth="1"/>
    <col min="3585" max="3586" width="8.54296875" style="47"/>
    <col min="3587" max="3587" width="2.453125" style="47" customWidth="1"/>
    <col min="3588" max="3588" width="23.453125" style="47" customWidth="1"/>
    <col min="3589" max="3590" width="8.54296875" style="47"/>
    <col min="3591" max="3591" width="2.54296875" style="47" customWidth="1"/>
    <col min="3592" max="3592" width="24.453125" style="47" customWidth="1"/>
    <col min="3593" max="3831" width="8.54296875" style="47"/>
    <col min="3832" max="3832" width="24.453125" style="47" customWidth="1"/>
    <col min="3833" max="3835" width="16.54296875" style="47" customWidth="1"/>
    <col min="3836" max="3837" width="17.54296875" style="47" customWidth="1"/>
    <col min="3838" max="3838" width="16.54296875" style="47" customWidth="1"/>
    <col min="3839" max="3839" width="16" style="47" customWidth="1"/>
    <col min="3840" max="3840" width="11.453125" style="47" customWidth="1"/>
    <col min="3841" max="3842" width="8.54296875" style="47"/>
    <col min="3843" max="3843" width="2.453125" style="47" customWidth="1"/>
    <col min="3844" max="3844" width="23.453125" style="47" customWidth="1"/>
    <col min="3845" max="3846" width="8.54296875" style="47"/>
    <col min="3847" max="3847" width="2.54296875" style="47" customWidth="1"/>
    <col min="3848" max="3848" width="24.453125" style="47" customWidth="1"/>
    <col min="3849" max="4087" width="8.54296875" style="47"/>
    <col min="4088" max="4088" width="24.453125" style="47" customWidth="1"/>
    <col min="4089" max="4091" width="16.54296875" style="47" customWidth="1"/>
    <col min="4092" max="4093" width="17.54296875" style="47" customWidth="1"/>
    <col min="4094" max="4094" width="16.54296875" style="47" customWidth="1"/>
    <col min="4095" max="4095" width="16" style="47" customWidth="1"/>
    <col min="4096" max="4096" width="11.453125" style="47" customWidth="1"/>
    <col min="4097" max="4098" width="8.54296875" style="47"/>
    <col min="4099" max="4099" width="2.453125" style="47" customWidth="1"/>
    <col min="4100" max="4100" width="23.453125" style="47" customWidth="1"/>
    <col min="4101" max="4102" width="8.54296875" style="47"/>
    <col min="4103" max="4103" width="2.54296875" style="47" customWidth="1"/>
    <col min="4104" max="4104" width="24.453125" style="47" customWidth="1"/>
    <col min="4105" max="4343" width="8.54296875" style="47"/>
    <col min="4344" max="4344" width="24.453125" style="47" customWidth="1"/>
    <col min="4345" max="4347" width="16.54296875" style="47" customWidth="1"/>
    <col min="4348" max="4349" width="17.54296875" style="47" customWidth="1"/>
    <col min="4350" max="4350" width="16.54296875" style="47" customWidth="1"/>
    <col min="4351" max="4351" width="16" style="47" customWidth="1"/>
    <col min="4352" max="4352" width="11.453125" style="47" customWidth="1"/>
    <col min="4353" max="4354" width="8.54296875" style="47"/>
    <col min="4355" max="4355" width="2.453125" style="47" customWidth="1"/>
    <col min="4356" max="4356" width="23.453125" style="47" customWidth="1"/>
    <col min="4357" max="4358" width="8.54296875" style="47"/>
    <col min="4359" max="4359" width="2.54296875" style="47" customWidth="1"/>
    <col min="4360" max="4360" width="24.453125" style="47" customWidth="1"/>
    <col min="4361" max="4599" width="8.54296875" style="47"/>
    <col min="4600" max="4600" width="24.453125" style="47" customWidth="1"/>
    <col min="4601" max="4603" width="16.54296875" style="47" customWidth="1"/>
    <col min="4604" max="4605" width="17.54296875" style="47" customWidth="1"/>
    <col min="4606" max="4606" width="16.54296875" style="47" customWidth="1"/>
    <col min="4607" max="4607" width="16" style="47" customWidth="1"/>
    <col min="4608" max="4608" width="11.453125" style="47" customWidth="1"/>
    <col min="4609" max="4610" width="8.54296875" style="47"/>
    <col min="4611" max="4611" width="2.453125" style="47" customWidth="1"/>
    <col min="4612" max="4612" width="23.453125" style="47" customWidth="1"/>
    <col min="4613" max="4614" width="8.54296875" style="47"/>
    <col min="4615" max="4615" width="2.54296875" style="47" customWidth="1"/>
    <col min="4616" max="4616" width="24.453125" style="47" customWidth="1"/>
    <col min="4617" max="4855" width="8.54296875" style="47"/>
    <col min="4856" max="4856" width="24.453125" style="47" customWidth="1"/>
    <col min="4857" max="4859" width="16.54296875" style="47" customWidth="1"/>
    <col min="4860" max="4861" width="17.54296875" style="47" customWidth="1"/>
    <col min="4862" max="4862" width="16.54296875" style="47" customWidth="1"/>
    <col min="4863" max="4863" width="16" style="47" customWidth="1"/>
    <col min="4864" max="4864" width="11.453125" style="47" customWidth="1"/>
    <col min="4865" max="4866" width="8.54296875" style="47"/>
    <col min="4867" max="4867" width="2.453125" style="47" customWidth="1"/>
    <col min="4868" max="4868" width="23.453125" style="47" customWidth="1"/>
    <col min="4869" max="4870" width="8.54296875" style="47"/>
    <col min="4871" max="4871" width="2.54296875" style="47" customWidth="1"/>
    <col min="4872" max="4872" width="24.453125" style="47" customWidth="1"/>
    <col min="4873" max="5111" width="8.54296875" style="47"/>
    <col min="5112" max="5112" width="24.453125" style="47" customWidth="1"/>
    <col min="5113" max="5115" width="16.54296875" style="47" customWidth="1"/>
    <col min="5116" max="5117" width="17.54296875" style="47" customWidth="1"/>
    <col min="5118" max="5118" width="16.54296875" style="47" customWidth="1"/>
    <col min="5119" max="5119" width="16" style="47" customWidth="1"/>
    <col min="5120" max="5120" width="11.453125" style="47" customWidth="1"/>
    <col min="5121" max="5122" width="8.54296875" style="47"/>
    <col min="5123" max="5123" width="2.453125" style="47" customWidth="1"/>
    <col min="5124" max="5124" width="23.453125" style="47" customWidth="1"/>
    <col min="5125" max="5126" width="8.54296875" style="47"/>
    <col min="5127" max="5127" width="2.54296875" style="47" customWidth="1"/>
    <col min="5128" max="5128" width="24.453125" style="47" customWidth="1"/>
    <col min="5129" max="5367" width="8.54296875" style="47"/>
    <col min="5368" max="5368" width="24.453125" style="47" customWidth="1"/>
    <col min="5369" max="5371" width="16.54296875" style="47" customWidth="1"/>
    <col min="5372" max="5373" width="17.54296875" style="47" customWidth="1"/>
    <col min="5374" max="5374" width="16.54296875" style="47" customWidth="1"/>
    <col min="5375" max="5375" width="16" style="47" customWidth="1"/>
    <col min="5376" max="5376" width="11.453125" style="47" customWidth="1"/>
    <col min="5377" max="5378" width="8.54296875" style="47"/>
    <col min="5379" max="5379" width="2.453125" style="47" customWidth="1"/>
    <col min="5380" max="5380" width="23.453125" style="47" customWidth="1"/>
    <col min="5381" max="5382" width="8.54296875" style="47"/>
    <col min="5383" max="5383" width="2.54296875" style="47" customWidth="1"/>
    <col min="5384" max="5384" width="24.453125" style="47" customWidth="1"/>
    <col min="5385" max="5623" width="8.54296875" style="47"/>
    <col min="5624" max="5624" width="24.453125" style="47" customWidth="1"/>
    <col min="5625" max="5627" width="16.54296875" style="47" customWidth="1"/>
    <col min="5628" max="5629" width="17.54296875" style="47" customWidth="1"/>
    <col min="5630" max="5630" width="16.54296875" style="47" customWidth="1"/>
    <col min="5631" max="5631" width="16" style="47" customWidth="1"/>
    <col min="5632" max="5632" width="11.453125" style="47" customWidth="1"/>
    <col min="5633" max="5634" width="8.54296875" style="47"/>
    <col min="5635" max="5635" width="2.453125" style="47" customWidth="1"/>
    <col min="5636" max="5636" width="23.453125" style="47" customWidth="1"/>
    <col min="5637" max="5638" width="8.54296875" style="47"/>
    <col min="5639" max="5639" width="2.54296875" style="47" customWidth="1"/>
    <col min="5640" max="5640" width="24.453125" style="47" customWidth="1"/>
    <col min="5641" max="5879" width="8.54296875" style="47"/>
    <col min="5880" max="5880" width="24.453125" style="47" customWidth="1"/>
    <col min="5881" max="5883" width="16.54296875" style="47" customWidth="1"/>
    <col min="5884" max="5885" width="17.54296875" style="47" customWidth="1"/>
    <col min="5886" max="5886" width="16.54296875" style="47" customWidth="1"/>
    <col min="5887" max="5887" width="16" style="47" customWidth="1"/>
    <col min="5888" max="5888" width="11.453125" style="47" customWidth="1"/>
    <col min="5889" max="5890" width="8.54296875" style="47"/>
    <col min="5891" max="5891" width="2.453125" style="47" customWidth="1"/>
    <col min="5892" max="5892" width="23.453125" style="47" customWidth="1"/>
    <col min="5893" max="5894" width="8.54296875" style="47"/>
    <col min="5895" max="5895" width="2.54296875" style="47" customWidth="1"/>
    <col min="5896" max="5896" width="24.453125" style="47" customWidth="1"/>
    <col min="5897" max="6135" width="8.54296875" style="47"/>
    <col min="6136" max="6136" width="24.453125" style="47" customWidth="1"/>
    <col min="6137" max="6139" width="16.54296875" style="47" customWidth="1"/>
    <col min="6140" max="6141" width="17.54296875" style="47" customWidth="1"/>
    <col min="6142" max="6142" width="16.54296875" style="47" customWidth="1"/>
    <col min="6143" max="6143" width="16" style="47" customWidth="1"/>
    <col min="6144" max="6144" width="11.453125" style="47" customWidth="1"/>
    <col min="6145" max="6146" width="8.54296875" style="47"/>
    <col min="6147" max="6147" width="2.453125" style="47" customWidth="1"/>
    <col min="6148" max="6148" width="23.453125" style="47" customWidth="1"/>
    <col min="6149" max="6150" width="8.54296875" style="47"/>
    <col min="6151" max="6151" width="2.54296875" style="47" customWidth="1"/>
    <col min="6152" max="6152" width="24.453125" style="47" customWidth="1"/>
    <col min="6153" max="6391" width="8.54296875" style="47"/>
    <col min="6392" max="6392" width="24.453125" style="47" customWidth="1"/>
    <col min="6393" max="6395" width="16.54296875" style="47" customWidth="1"/>
    <col min="6396" max="6397" width="17.54296875" style="47" customWidth="1"/>
    <col min="6398" max="6398" width="16.54296875" style="47" customWidth="1"/>
    <col min="6399" max="6399" width="16" style="47" customWidth="1"/>
    <col min="6400" max="6400" width="11.453125" style="47" customWidth="1"/>
    <col min="6401" max="6402" width="8.54296875" style="47"/>
    <col min="6403" max="6403" width="2.453125" style="47" customWidth="1"/>
    <col min="6404" max="6404" width="23.453125" style="47" customWidth="1"/>
    <col min="6405" max="6406" width="8.54296875" style="47"/>
    <col min="6407" max="6407" width="2.54296875" style="47" customWidth="1"/>
    <col min="6408" max="6408" width="24.453125" style="47" customWidth="1"/>
    <col min="6409" max="6647" width="8.54296875" style="47"/>
    <col min="6648" max="6648" width="24.453125" style="47" customWidth="1"/>
    <col min="6649" max="6651" width="16.54296875" style="47" customWidth="1"/>
    <col min="6652" max="6653" width="17.54296875" style="47" customWidth="1"/>
    <col min="6654" max="6654" width="16.54296875" style="47" customWidth="1"/>
    <col min="6655" max="6655" width="16" style="47" customWidth="1"/>
    <col min="6656" max="6656" width="11.453125" style="47" customWidth="1"/>
    <col min="6657" max="6658" width="8.54296875" style="47"/>
    <col min="6659" max="6659" width="2.453125" style="47" customWidth="1"/>
    <col min="6660" max="6660" width="23.453125" style="47" customWidth="1"/>
    <col min="6661" max="6662" width="8.54296875" style="47"/>
    <col min="6663" max="6663" width="2.54296875" style="47" customWidth="1"/>
    <col min="6664" max="6664" width="24.453125" style="47" customWidth="1"/>
    <col min="6665" max="6903" width="8.54296875" style="47"/>
    <col min="6904" max="6904" width="24.453125" style="47" customWidth="1"/>
    <col min="6905" max="6907" width="16.54296875" style="47" customWidth="1"/>
    <col min="6908" max="6909" width="17.54296875" style="47" customWidth="1"/>
    <col min="6910" max="6910" width="16.54296875" style="47" customWidth="1"/>
    <col min="6911" max="6911" width="16" style="47" customWidth="1"/>
    <col min="6912" max="6912" width="11.453125" style="47" customWidth="1"/>
    <col min="6913" max="6914" width="8.54296875" style="47"/>
    <col min="6915" max="6915" width="2.453125" style="47" customWidth="1"/>
    <col min="6916" max="6916" width="23.453125" style="47" customWidth="1"/>
    <col min="6917" max="6918" width="8.54296875" style="47"/>
    <col min="6919" max="6919" width="2.54296875" style="47" customWidth="1"/>
    <col min="6920" max="6920" width="24.453125" style="47" customWidth="1"/>
    <col min="6921" max="7159" width="8.54296875" style="47"/>
    <col min="7160" max="7160" width="24.453125" style="47" customWidth="1"/>
    <col min="7161" max="7163" width="16.54296875" style="47" customWidth="1"/>
    <col min="7164" max="7165" width="17.54296875" style="47" customWidth="1"/>
    <col min="7166" max="7166" width="16.54296875" style="47" customWidth="1"/>
    <col min="7167" max="7167" width="16" style="47" customWidth="1"/>
    <col min="7168" max="7168" width="11.453125" style="47" customWidth="1"/>
    <col min="7169" max="7170" width="8.54296875" style="47"/>
    <col min="7171" max="7171" width="2.453125" style="47" customWidth="1"/>
    <col min="7172" max="7172" width="23.453125" style="47" customWidth="1"/>
    <col min="7173" max="7174" width="8.54296875" style="47"/>
    <col min="7175" max="7175" width="2.54296875" style="47" customWidth="1"/>
    <col min="7176" max="7176" width="24.453125" style="47" customWidth="1"/>
    <col min="7177" max="7415" width="8.54296875" style="47"/>
    <col min="7416" max="7416" width="24.453125" style="47" customWidth="1"/>
    <col min="7417" max="7419" width="16.54296875" style="47" customWidth="1"/>
    <col min="7420" max="7421" width="17.54296875" style="47" customWidth="1"/>
    <col min="7422" max="7422" width="16.54296875" style="47" customWidth="1"/>
    <col min="7423" max="7423" width="16" style="47" customWidth="1"/>
    <col min="7424" max="7424" width="11.453125" style="47" customWidth="1"/>
    <col min="7425" max="7426" width="8.54296875" style="47"/>
    <col min="7427" max="7427" width="2.453125" style="47" customWidth="1"/>
    <col min="7428" max="7428" width="23.453125" style="47" customWidth="1"/>
    <col min="7429" max="7430" width="8.54296875" style="47"/>
    <col min="7431" max="7431" width="2.54296875" style="47" customWidth="1"/>
    <col min="7432" max="7432" width="24.453125" style="47" customWidth="1"/>
    <col min="7433" max="7671" width="8.54296875" style="47"/>
    <col min="7672" max="7672" width="24.453125" style="47" customWidth="1"/>
    <col min="7673" max="7675" width="16.54296875" style="47" customWidth="1"/>
    <col min="7676" max="7677" width="17.54296875" style="47" customWidth="1"/>
    <col min="7678" max="7678" width="16.54296875" style="47" customWidth="1"/>
    <col min="7679" max="7679" width="16" style="47" customWidth="1"/>
    <col min="7680" max="7680" width="11.453125" style="47" customWidth="1"/>
    <col min="7681" max="7682" width="8.54296875" style="47"/>
    <col min="7683" max="7683" width="2.453125" style="47" customWidth="1"/>
    <col min="7684" max="7684" width="23.453125" style="47" customWidth="1"/>
    <col min="7685" max="7686" width="8.54296875" style="47"/>
    <col min="7687" max="7687" width="2.54296875" style="47" customWidth="1"/>
    <col min="7688" max="7688" width="24.453125" style="47" customWidth="1"/>
    <col min="7689" max="7927" width="8.54296875" style="47"/>
    <col min="7928" max="7928" width="24.453125" style="47" customWidth="1"/>
    <col min="7929" max="7931" width="16.54296875" style="47" customWidth="1"/>
    <col min="7932" max="7933" width="17.54296875" style="47" customWidth="1"/>
    <col min="7934" max="7934" width="16.54296875" style="47" customWidth="1"/>
    <col min="7935" max="7935" width="16" style="47" customWidth="1"/>
    <col min="7936" max="7936" width="11.453125" style="47" customWidth="1"/>
    <col min="7937" max="7938" width="8.54296875" style="47"/>
    <col min="7939" max="7939" width="2.453125" style="47" customWidth="1"/>
    <col min="7940" max="7940" width="23.453125" style="47" customWidth="1"/>
    <col min="7941" max="7942" width="8.54296875" style="47"/>
    <col min="7943" max="7943" width="2.54296875" style="47" customWidth="1"/>
    <col min="7944" max="7944" width="24.453125" style="47" customWidth="1"/>
    <col min="7945" max="8183" width="8.54296875" style="47"/>
    <col min="8184" max="8184" width="24.453125" style="47" customWidth="1"/>
    <col min="8185" max="8187" width="16.54296875" style="47" customWidth="1"/>
    <col min="8188" max="8189" width="17.54296875" style="47" customWidth="1"/>
    <col min="8190" max="8190" width="16.54296875" style="47" customWidth="1"/>
    <col min="8191" max="8191" width="16" style="47" customWidth="1"/>
    <col min="8192" max="8192" width="11.453125" style="47" customWidth="1"/>
    <col min="8193" max="8194" width="8.54296875" style="47"/>
    <col min="8195" max="8195" width="2.453125" style="47" customWidth="1"/>
    <col min="8196" max="8196" width="23.453125" style="47" customWidth="1"/>
    <col min="8197" max="8198" width="8.54296875" style="47"/>
    <col min="8199" max="8199" width="2.54296875" style="47" customWidth="1"/>
    <col min="8200" max="8200" width="24.453125" style="47" customWidth="1"/>
    <col min="8201" max="8439" width="8.54296875" style="47"/>
    <col min="8440" max="8440" width="24.453125" style="47" customWidth="1"/>
    <col min="8441" max="8443" width="16.54296875" style="47" customWidth="1"/>
    <col min="8444" max="8445" width="17.54296875" style="47" customWidth="1"/>
    <col min="8446" max="8446" width="16.54296875" style="47" customWidth="1"/>
    <col min="8447" max="8447" width="16" style="47" customWidth="1"/>
    <col min="8448" max="8448" width="11.453125" style="47" customWidth="1"/>
    <col min="8449" max="8450" width="8.54296875" style="47"/>
    <col min="8451" max="8451" width="2.453125" style="47" customWidth="1"/>
    <col min="8452" max="8452" width="23.453125" style="47" customWidth="1"/>
    <col min="8453" max="8454" width="8.54296875" style="47"/>
    <col min="8455" max="8455" width="2.54296875" style="47" customWidth="1"/>
    <col min="8456" max="8456" width="24.453125" style="47" customWidth="1"/>
    <col min="8457" max="8695" width="8.54296875" style="47"/>
    <col min="8696" max="8696" width="24.453125" style="47" customWidth="1"/>
    <col min="8697" max="8699" width="16.54296875" style="47" customWidth="1"/>
    <col min="8700" max="8701" width="17.54296875" style="47" customWidth="1"/>
    <col min="8702" max="8702" width="16.54296875" style="47" customWidth="1"/>
    <col min="8703" max="8703" width="16" style="47" customWidth="1"/>
    <col min="8704" max="8704" width="11.453125" style="47" customWidth="1"/>
    <col min="8705" max="8706" width="8.54296875" style="47"/>
    <col min="8707" max="8707" width="2.453125" style="47" customWidth="1"/>
    <col min="8708" max="8708" width="23.453125" style="47" customWidth="1"/>
    <col min="8709" max="8710" width="8.54296875" style="47"/>
    <col min="8711" max="8711" width="2.54296875" style="47" customWidth="1"/>
    <col min="8712" max="8712" width="24.453125" style="47" customWidth="1"/>
    <col min="8713" max="8951" width="8.54296875" style="47"/>
    <col min="8952" max="8952" width="24.453125" style="47" customWidth="1"/>
    <col min="8953" max="8955" width="16.54296875" style="47" customWidth="1"/>
    <col min="8956" max="8957" width="17.54296875" style="47" customWidth="1"/>
    <col min="8958" max="8958" width="16.54296875" style="47" customWidth="1"/>
    <col min="8959" max="8959" width="16" style="47" customWidth="1"/>
    <col min="8960" max="8960" width="11.453125" style="47" customWidth="1"/>
    <col min="8961" max="8962" width="8.54296875" style="47"/>
    <col min="8963" max="8963" width="2.453125" style="47" customWidth="1"/>
    <col min="8964" max="8964" width="23.453125" style="47" customWidth="1"/>
    <col min="8965" max="8966" width="8.54296875" style="47"/>
    <col min="8967" max="8967" width="2.54296875" style="47" customWidth="1"/>
    <col min="8968" max="8968" width="24.453125" style="47" customWidth="1"/>
    <col min="8969" max="9207" width="8.54296875" style="47"/>
    <col min="9208" max="9208" width="24.453125" style="47" customWidth="1"/>
    <col min="9209" max="9211" width="16.54296875" style="47" customWidth="1"/>
    <col min="9212" max="9213" width="17.54296875" style="47" customWidth="1"/>
    <col min="9214" max="9214" width="16.54296875" style="47" customWidth="1"/>
    <col min="9215" max="9215" width="16" style="47" customWidth="1"/>
    <col min="9216" max="9216" width="11.453125" style="47" customWidth="1"/>
    <col min="9217" max="9218" width="8.54296875" style="47"/>
    <col min="9219" max="9219" width="2.453125" style="47" customWidth="1"/>
    <col min="9220" max="9220" width="23.453125" style="47" customWidth="1"/>
    <col min="9221" max="9222" width="8.54296875" style="47"/>
    <col min="9223" max="9223" width="2.54296875" style="47" customWidth="1"/>
    <col min="9224" max="9224" width="24.453125" style="47" customWidth="1"/>
    <col min="9225" max="9463" width="8.54296875" style="47"/>
    <col min="9464" max="9464" width="24.453125" style="47" customWidth="1"/>
    <col min="9465" max="9467" width="16.54296875" style="47" customWidth="1"/>
    <col min="9468" max="9469" width="17.54296875" style="47" customWidth="1"/>
    <col min="9470" max="9470" width="16.54296875" style="47" customWidth="1"/>
    <col min="9471" max="9471" width="16" style="47" customWidth="1"/>
    <col min="9472" max="9472" width="11.453125" style="47" customWidth="1"/>
    <col min="9473" max="9474" width="8.54296875" style="47"/>
    <col min="9475" max="9475" width="2.453125" style="47" customWidth="1"/>
    <col min="9476" max="9476" width="23.453125" style="47" customWidth="1"/>
    <col min="9477" max="9478" width="8.54296875" style="47"/>
    <col min="9479" max="9479" width="2.54296875" style="47" customWidth="1"/>
    <col min="9480" max="9480" width="24.453125" style="47" customWidth="1"/>
    <col min="9481" max="9719" width="8.54296875" style="47"/>
    <col min="9720" max="9720" width="24.453125" style="47" customWidth="1"/>
    <col min="9721" max="9723" width="16.54296875" style="47" customWidth="1"/>
    <col min="9724" max="9725" width="17.54296875" style="47" customWidth="1"/>
    <col min="9726" max="9726" width="16.54296875" style="47" customWidth="1"/>
    <col min="9727" max="9727" width="16" style="47" customWidth="1"/>
    <col min="9728" max="9728" width="11.453125" style="47" customWidth="1"/>
    <col min="9729" max="9730" width="8.54296875" style="47"/>
    <col min="9731" max="9731" width="2.453125" style="47" customWidth="1"/>
    <col min="9732" max="9732" width="23.453125" style="47" customWidth="1"/>
    <col min="9733" max="9734" width="8.54296875" style="47"/>
    <col min="9735" max="9735" width="2.54296875" style="47" customWidth="1"/>
    <col min="9736" max="9736" width="24.453125" style="47" customWidth="1"/>
    <col min="9737" max="9975" width="8.54296875" style="47"/>
    <col min="9976" max="9976" width="24.453125" style="47" customWidth="1"/>
    <col min="9977" max="9979" width="16.54296875" style="47" customWidth="1"/>
    <col min="9980" max="9981" width="17.54296875" style="47" customWidth="1"/>
    <col min="9982" max="9982" width="16.54296875" style="47" customWidth="1"/>
    <col min="9983" max="9983" width="16" style="47" customWidth="1"/>
    <col min="9984" max="9984" width="11.453125" style="47" customWidth="1"/>
    <col min="9985" max="9986" width="8.54296875" style="47"/>
    <col min="9987" max="9987" width="2.453125" style="47" customWidth="1"/>
    <col min="9988" max="9988" width="23.453125" style="47" customWidth="1"/>
    <col min="9989" max="9990" width="8.54296875" style="47"/>
    <col min="9991" max="9991" width="2.54296875" style="47" customWidth="1"/>
    <col min="9992" max="9992" width="24.453125" style="47" customWidth="1"/>
    <col min="9993" max="10231" width="8.54296875" style="47"/>
    <col min="10232" max="10232" width="24.453125" style="47" customWidth="1"/>
    <col min="10233" max="10235" width="16.54296875" style="47" customWidth="1"/>
    <col min="10236" max="10237" width="17.54296875" style="47" customWidth="1"/>
    <col min="10238" max="10238" width="16.54296875" style="47" customWidth="1"/>
    <col min="10239" max="10239" width="16" style="47" customWidth="1"/>
    <col min="10240" max="10240" width="11.453125" style="47" customWidth="1"/>
    <col min="10241" max="10242" width="8.54296875" style="47"/>
    <col min="10243" max="10243" width="2.453125" style="47" customWidth="1"/>
    <col min="10244" max="10244" width="23.453125" style="47" customWidth="1"/>
    <col min="10245" max="10246" width="8.54296875" style="47"/>
    <col min="10247" max="10247" width="2.54296875" style="47" customWidth="1"/>
    <col min="10248" max="10248" width="24.453125" style="47" customWidth="1"/>
    <col min="10249" max="10487" width="8.54296875" style="47"/>
    <col min="10488" max="10488" width="24.453125" style="47" customWidth="1"/>
    <col min="10489" max="10491" width="16.54296875" style="47" customWidth="1"/>
    <col min="10492" max="10493" width="17.54296875" style="47" customWidth="1"/>
    <col min="10494" max="10494" width="16.54296875" style="47" customWidth="1"/>
    <col min="10495" max="10495" width="16" style="47" customWidth="1"/>
    <col min="10496" max="10496" width="11.453125" style="47" customWidth="1"/>
    <col min="10497" max="10498" width="8.54296875" style="47"/>
    <col min="10499" max="10499" width="2.453125" style="47" customWidth="1"/>
    <col min="10500" max="10500" width="23.453125" style="47" customWidth="1"/>
    <col min="10501" max="10502" width="8.54296875" style="47"/>
    <col min="10503" max="10503" width="2.54296875" style="47" customWidth="1"/>
    <col min="10504" max="10504" width="24.453125" style="47" customWidth="1"/>
    <col min="10505" max="10743" width="8.54296875" style="47"/>
    <col min="10744" max="10744" width="24.453125" style="47" customWidth="1"/>
    <col min="10745" max="10747" width="16.54296875" style="47" customWidth="1"/>
    <col min="10748" max="10749" width="17.54296875" style="47" customWidth="1"/>
    <col min="10750" max="10750" width="16.54296875" style="47" customWidth="1"/>
    <col min="10751" max="10751" width="16" style="47" customWidth="1"/>
    <col min="10752" max="10752" width="11.453125" style="47" customWidth="1"/>
    <col min="10753" max="10754" width="8.54296875" style="47"/>
    <col min="10755" max="10755" width="2.453125" style="47" customWidth="1"/>
    <col min="10756" max="10756" width="23.453125" style="47" customWidth="1"/>
    <col min="10757" max="10758" width="8.54296875" style="47"/>
    <col min="10759" max="10759" width="2.54296875" style="47" customWidth="1"/>
    <col min="10760" max="10760" width="24.453125" style="47" customWidth="1"/>
    <col min="10761" max="10999" width="8.54296875" style="47"/>
    <col min="11000" max="11000" width="24.453125" style="47" customWidth="1"/>
    <col min="11001" max="11003" width="16.54296875" style="47" customWidth="1"/>
    <col min="11004" max="11005" width="17.54296875" style="47" customWidth="1"/>
    <col min="11006" max="11006" width="16.54296875" style="47" customWidth="1"/>
    <col min="11007" max="11007" width="16" style="47" customWidth="1"/>
    <col min="11008" max="11008" width="11.453125" style="47" customWidth="1"/>
    <col min="11009" max="11010" width="8.54296875" style="47"/>
    <col min="11011" max="11011" width="2.453125" style="47" customWidth="1"/>
    <col min="11012" max="11012" width="23.453125" style="47" customWidth="1"/>
    <col min="11013" max="11014" width="8.54296875" style="47"/>
    <col min="11015" max="11015" width="2.54296875" style="47" customWidth="1"/>
    <col min="11016" max="11016" width="24.453125" style="47" customWidth="1"/>
    <col min="11017" max="11255" width="8.54296875" style="47"/>
    <col min="11256" max="11256" width="24.453125" style="47" customWidth="1"/>
    <col min="11257" max="11259" width="16.54296875" style="47" customWidth="1"/>
    <col min="11260" max="11261" width="17.54296875" style="47" customWidth="1"/>
    <col min="11262" max="11262" width="16.54296875" style="47" customWidth="1"/>
    <col min="11263" max="11263" width="16" style="47" customWidth="1"/>
    <col min="11264" max="11264" width="11.453125" style="47" customWidth="1"/>
    <col min="11265" max="11266" width="8.54296875" style="47"/>
    <col min="11267" max="11267" width="2.453125" style="47" customWidth="1"/>
    <col min="11268" max="11268" width="23.453125" style="47" customWidth="1"/>
    <col min="11269" max="11270" width="8.54296875" style="47"/>
    <col min="11271" max="11271" width="2.54296875" style="47" customWidth="1"/>
    <col min="11272" max="11272" width="24.453125" style="47" customWidth="1"/>
    <col min="11273" max="11511" width="8.54296875" style="47"/>
    <col min="11512" max="11512" width="24.453125" style="47" customWidth="1"/>
    <col min="11513" max="11515" width="16.54296875" style="47" customWidth="1"/>
    <col min="11516" max="11517" width="17.54296875" style="47" customWidth="1"/>
    <col min="11518" max="11518" width="16.54296875" style="47" customWidth="1"/>
    <col min="11519" max="11519" width="16" style="47" customWidth="1"/>
    <col min="11520" max="11520" width="11.453125" style="47" customWidth="1"/>
    <col min="11521" max="11522" width="8.54296875" style="47"/>
    <col min="11523" max="11523" width="2.453125" style="47" customWidth="1"/>
    <col min="11524" max="11524" width="23.453125" style="47" customWidth="1"/>
    <col min="11525" max="11526" width="8.54296875" style="47"/>
    <col min="11527" max="11527" width="2.54296875" style="47" customWidth="1"/>
    <col min="11528" max="11528" width="24.453125" style="47" customWidth="1"/>
    <col min="11529" max="11767" width="8.54296875" style="47"/>
    <col min="11768" max="11768" width="24.453125" style="47" customWidth="1"/>
    <col min="11769" max="11771" width="16.54296875" style="47" customWidth="1"/>
    <col min="11772" max="11773" width="17.54296875" style="47" customWidth="1"/>
    <col min="11774" max="11774" width="16.54296875" style="47" customWidth="1"/>
    <col min="11775" max="11775" width="16" style="47" customWidth="1"/>
    <col min="11776" max="11776" width="11.453125" style="47" customWidth="1"/>
    <col min="11777" max="11778" width="8.54296875" style="47"/>
    <col min="11779" max="11779" width="2.453125" style="47" customWidth="1"/>
    <col min="11780" max="11780" width="23.453125" style="47" customWidth="1"/>
    <col min="11781" max="11782" width="8.54296875" style="47"/>
    <col min="11783" max="11783" width="2.54296875" style="47" customWidth="1"/>
    <col min="11784" max="11784" width="24.453125" style="47" customWidth="1"/>
    <col min="11785" max="12023" width="8.54296875" style="47"/>
    <col min="12024" max="12024" width="24.453125" style="47" customWidth="1"/>
    <col min="12025" max="12027" width="16.54296875" style="47" customWidth="1"/>
    <col min="12028" max="12029" width="17.54296875" style="47" customWidth="1"/>
    <col min="12030" max="12030" width="16.54296875" style="47" customWidth="1"/>
    <col min="12031" max="12031" width="16" style="47" customWidth="1"/>
    <col min="12032" max="12032" width="11.453125" style="47" customWidth="1"/>
    <col min="12033" max="12034" width="8.54296875" style="47"/>
    <col min="12035" max="12035" width="2.453125" style="47" customWidth="1"/>
    <col min="12036" max="12036" width="23.453125" style="47" customWidth="1"/>
    <col min="12037" max="12038" width="8.54296875" style="47"/>
    <col min="12039" max="12039" width="2.54296875" style="47" customWidth="1"/>
    <col min="12040" max="12040" width="24.453125" style="47" customWidth="1"/>
    <col min="12041" max="12279" width="8.54296875" style="47"/>
    <col min="12280" max="12280" width="24.453125" style="47" customWidth="1"/>
    <col min="12281" max="12283" width="16.54296875" style="47" customWidth="1"/>
    <col min="12284" max="12285" width="17.54296875" style="47" customWidth="1"/>
    <col min="12286" max="12286" width="16.54296875" style="47" customWidth="1"/>
    <col min="12287" max="12287" width="16" style="47" customWidth="1"/>
    <col min="12288" max="12288" width="11.453125" style="47" customWidth="1"/>
    <col min="12289" max="12290" width="8.54296875" style="47"/>
    <col min="12291" max="12291" width="2.453125" style="47" customWidth="1"/>
    <col min="12292" max="12292" width="23.453125" style="47" customWidth="1"/>
    <col min="12293" max="12294" width="8.54296875" style="47"/>
    <col min="12295" max="12295" width="2.54296875" style="47" customWidth="1"/>
    <col min="12296" max="12296" width="24.453125" style="47" customWidth="1"/>
    <col min="12297" max="12535" width="8.54296875" style="47"/>
    <col min="12536" max="12536" width="24.453125" style="47" customWidth="1"/>
    <col min="12537" max="12539" width="16.54296875" style="47" customWidth="1"/>
    <col min="12540" max="12541" width="17.54296875" style="47" customWidth="1"/>
    <col min="12542" max="12542" width="16.54296875" style="47" customWidth="1"/>
    <col min="12543" max="12543" width="16" style="47" customWidth="1"/>
    <col min="12544" max="12544" width="11.453125" style="47" customWidth="1"/>
    <col min="12545" max="12546" width="8.54296875" style="47"/>
    <col min="12547" max="12547" width="2.453125" style="47" customWidth="1"/>
    <col min="12548" max="12548" width="23.453125" style="47" customWidth="1"/>
    <col min="12549" max="12550" width="8.54296875" style="47"/>
    <col min="12551" max="12551" width="2.54296875" style="47" customWidth="1"/>
    <col min="12552" max="12552" width="24.453125" style="47" customWidth="1"/>
    <col min="12553" max="12791" width="8.54296875" style="47"/>
    <col min="12792" max="12792" width="24.453125" style="47" customWidth="1"/>
    <col min="12793" max="12795" width="16.54296875" style="47" customWidth="1"/>
    <col min="12796" max="12797" width="17.54296875" style="47" customWidth="1"/>
    <col min="12798" max="12798" width="16.54296875" style="47" customWidth="1"/>
    <col min="12799" max="12799" width="16" style="47" customWidth="1"/>
    <col min="12800" max="12800" width="11.453125" style="47" customWidth="1"/>
    <col min="12801" max="12802" width="8.54296875" style="47"/>
    <col min="12803" max="12803" width="2.453125" style="47" customWidth="1"/>
    <col min="12804" max="12804" width="23.453125" style="47" customWidth="1"/>
    <col min="12805" max="12806" width="8.54296875" style="47"/>
    <col min="12807" max="12807" width="2.54296875" style="47" customWidth="1"/>
    <col min="12808" max="12808" width="24.453125" style="47" customWidth="1"/>
    <col min="12809" max="13047" width="8.54296875" style="47"/>
    <col min="13048" max="13048" width="24.453125" style="47" customWidth="1"/>
    <col min="13049" max="13051" width="16.54296875" style="47" customWidth="1"/>
    <col min="13052" max="13053" width="17.54296875" style="47" customWidth="1"/>
    <col min="13054" max="13054" width="16.54296875" style="47" customWidth="1"/>
    <col min="13055" max="13055" width="16" style="47" customWidth="1"/>
    <col min="13056" max="13056" width="11.453125" style="47" customWidth="1"/>
    <col min="13057" max="13058" width="8.54296875" style="47"/>
    <col min="13059" max="13059" width="2.453125" style="47" customWidth="1"/>
    <col min="13060" max="13060" width="23.453125" style="47" customWidth="1"/>
    <col min="13061" max="13062" width="8.54296875" style="47"/>
    <col min="13063" max="13063" width="2.54296875" style="47" customWidth="1"/>
    <col min="13064" max="13064" width="24.453125" style="47" customWidth="1"/>
    <col min="13065" max="13303" width="8.54296875" style="47"/>
    <col min="13304" max="13304" width="24.453125" style="47" customWidth="1"/>
    <col min="13305" max="13307" width="16.54296875" style="47" customWidth="1"/>
    <col min="13308" max="13309" width="17.54296875" style="47" customWidth="1"/>
    <col min="13310" max="13310" width="16.54296875" style="47" customWidth="1"/>
    <col min="13311" max="13311" width="16" style="47" customWidth="1"/>
    <col min="13312" max="13312" width="11.453125" style="47" customWidth="1"/>
    <col min="13313" max="13314" width="8.54296875" style="47"/>
    <col min="13315" max="13315" width="2.453125" style="47" customWidth="1"/>
    <col min="13316" max="13316" width="23.453125" style="47" customWidth="1"/>
    <col min="13317" max="13318" width="8.54296875" style="47"/>
    <col min="13319" max="13319" width="2.54296875" style="47" customWidth="1"/>
    <col min="13320" max="13320" width="24.453125" style="47" customWidth="1"/>
    <col min="13321" max="13559" width="8.54296875" style="47"/>
    <col min="13560" max="13560" width="24.453125" style="47" customWidth="1"/>
    <col min="13561" max="13563" width="16.54296875" style="47" customWidth="1"/>
    <col min="13564" max="13565" width="17.54296875" style="47" customWidth="1"/>
    <col min="13566" max="13566" width="16.54296875" style="47" customWidth="1"/>
    <col min="13567" max="13567" width="16" style="47" customWidth="1"/>
    <col min="13568" max="13568" width="11.453125" style="47" customWidth="1"/>
    <col min="13569" max="13570" width="8.54296875" style="47"/>
    <col min="13571" max="13571" width="2.453125" style="47" customWidth="1"/>
    <col min="13572" max="13572" width="23.453125" style="47" customWidth="1"/>
    <col min="13573" max="13574" width="8.54296875" style="47"/>
    <col min="13575" max="13575" width="2.54296875" style="47" customWidth="1"/>
    <col min="13576" max="13576" width="24.453125" style="47" customWidth="1"/>
    <col min="13577" max="13815" width="8.54296875" style="47"/>
    <col min="13816" max="13816" width="24.453125" style="47" customWidth="1"/>
    <col min="13817" max="13819" width="16.54296875" style="47" customWidth="1"/>
    <col min="13820" max="13821" width="17.54296875" style="47" customWidth="1"/>
    <col min="13822" max="13822" width="16.54296875" style="47" customWidth="1"/>
    <col min="13823" max="13823" width="16" style="47" customWidth="1"/>
    <col min="13824" max="13824" width="11.453125" style="47" customWidth="1"/>
    <col min="13825" max="13826" width="8.54296875" style="47"/>
    <col min="13827" max="13827" width="2.453125" style="47" customWidth="1"/>
    <col min="13828" max="13828" width="23.453125" style="47" customWidth="1"/>
    <col min="13829" max="13830" width="8.54296875" style="47"/>
    <col min="13831" max="13831" width="2.54296875" style="47" customWidth="1"/>
    <col min="13832" max="13832" width="24.453125" style="47" customWidth="1"/>
    <col min="13833" max="14071" width="8.54296875" style="47"/>
    <col min="14072" max="14072" width="24.453125" style="47" customWidth="1"/>
    <col min="14073" max="14075" width="16.54296875" style="47" customWidth="1"/>
    <col min="14076" max="14077" width="17.54296875" style="47" customWidth="1"/>
    <col min="14078" max="14078" width="16.54296875" style="47" customWidth="1"/>
    <col min="14079" max="14079" width="16" style="47" customWidth="1"/>
    <col min="14080" max="14080" width="11.453125" style="47" customWidth="1"/>
    <col min="14081" max="14082" width="8.54296875" style="47"/>
    <col min="14083" max="14083" width="2.453125" style="47" customWidth="1"/>
    <col min="14084" max="14084" width="23.453125" style="47" customWidth="1"/>
    <col min="14085" max="14086" width="8.54296875" style="47"/>
    <col min="14087" max="14087" width="2.54296875" style="47" customWidth="1"/>
    <col min="14088" max="14088" width="24.453125" style="47" customWidth="1"/>
    <col min="14089" max="14327" width="8.54296875" style="47"/>
    <col min="14328" max="14328" width="24.453125" style="47" customWidth="1"/>
    <col min="14329" max="14331" width="16.54296875" style="47" customWidth="1"/>
    <col min="14332" max="14333" width="17.54296875" style="47" customWidth="1"/>
    <col min="14334" max="14334" width="16.54296875" style="47" customWidth="1"/>
    <col min="14335" max="14335" width="16" style="47" customWidth="1"/>
    <col min="14336" max="14336" width="11.453125" style="47" customWidth="1"/>
    <col min="14337" max="14338" width="8.54296875" style="47"/>
    <col min="14339" max="14339" width="2.453125" style="47" customWidth="1"/>
    <col min="14340" max="14340" width="23.453125" style="47" customWidth="1"/>
    <col min="14341" max="14342" width="8.54296875" style="47"/>
    <col min="14343" max="14343" width="2.54296875" style="47" customWidth="1"/>
    <col min="14344" max="14344" width="24.453125" style="47" customWidth="1"/>
    <col min="14345" max="14583" width="8.54296875" style="47"/>
    <col min="14584" max="14584" width="24.453125" style="47" customWidth="1"/>
    <col min="14585" max="14587" width="16.54296875" style="47" customWidth="1"/>
    <col min="14588" max="14589" width="17.54296875" style="47" customWidth="1"/>
    <col min="14590" max="14590" width="16.54296875" style="47" customWidth="1"/>
    <col min="14591" max="14591" width="16" style="47" customWidth="1"/>
    <col min="14592" max="14592" width="11.453125" style="47" customWidth="1"/>
    <col min="14593" max="14594" width="8.54296875" style="47"/>
    <col min="14595" max="14595" width="2.453125" style="47" customWidth="1"/>
    <col min="14596" max="14596" width="23.453125" style="47" customWidth="1"/>
    <col min="14597" max="14598" width="8.54296875" style="47"/>
    <col min="14599" max="14599" width="2.54296875" style="47" customWidth="1"/>
    <col min="14600" max="14600" width="24.453125" style="47" customWidth="1"/>
    <col min="14601" max="14839" width="8.54296875" style="47"/>
    <col min="14840" max="14840" width="24.453125" style="47" customWidth="1"/>
    <col min="14841" max="14843" width="16.54296875" style="47" customWidth="1"/>
    <col min="14844" max="14845" width="17.54296875" style="47" customWidth="1"/>
    <col min="14846" max="14846" width="16.54296875" style="47" customWidth="1"/>
    <col min="14847" max="14847" width="16" style="47" customWidth="1"/>
    <col min="14848" max="14848" width="11.453125" style="47" customWidth="1"/>
    <col min="14849" max="14850" width="8.54296875" style="47"/>
    <col min="14851" max="14851" width="2.453125" style="47" customWidth="1"/>
    <col min="14852" max="14852" width="23.453125" style="47" customWidth="1"/>
    <col min="14853" max="14854" width="8.54296875" style="47"/>
    <col min="14855" max="14855" width="2.54296875" style="47" customWidth="1"/>
    <col min="14856" max="14856" width="24.453125" style="47" customWidth="1"/>
    <col min="14857" max="15095" width="8.54296875" style="47"/>
    <col min="15096" max="15096" width="24.453125" style="47" customWidth="1"/>
    <col min="15097" max="15099" width="16.54296875" style="47" customWidth="1"/>
    <col min="15100" max="15101" width="17.54296875" style="47" customWidth="1"/>
    <col min="15102" max="15102" width="16.54296875" style="47" customWidth="1"/>
    <col min="15103" max="15103" width="16" style="47" customWidth="1"/>
    <col min="15104" max="15104" width="11.453125" style="47" customWidth="1"/>
    <col min="15105" max="15106" width="8.54296875" style="47"/>
    <col min="15107" max="15107" width="2.453125" style="47" customWidth="1"/>
    <col min="15108" max="15108" width="23.453125" style="47" customWidth="1"/>
    <col min="15109" max="15110" width="8.54296875" style="47"/>
    <col min="15111" max="15111" width="2.54296875" style="47" customWidth="1"/>
    <col min="15112" max="15112" width="24.453125" style="47" customWidth="1"/>
    <col min="15113" max="15351" width="8.54296875" style="47"/>
    <col min="15352" max="15352" width="24.453125" style="47" customWidth="1"/>
    <col min="15353" max="15355" width="16.54296875" style="47" customWidth="1"/>
    <col min="15356" max="15357" width="17.54296875" style="47" customWidth="1"/>
    <col min="15358" max="15358" width="16.54296875" style="47" customWidth="1"/>
    <col min="15359" max="15359" width="16" style="47" customWidth="1"/>
    <col min="15360" max="15360" width="11.453125" style="47" customWidth="1"/>
    <col min="15361" max="15362" width="8.54296875" style="47"/>
    <col min="15363" max="15363" width="2.453125" style="47" customWidth="1"/>
    <col min="15364" max="15364" width="23.453125" style="47" customWidth="1"/>
    <col min="15365" max="15366" width="8.54296875" style="47"/>
    <col min="15367" max="15367" width="2.54296875" style="47" customWidth="1"/>
    <col min="15368" max="15368" width="24.453125" style="47" customWidth="1"/>
    <col min="15369" max="15607" width="8.54296875" style="47"/>
    <col min="15608" max="15608" width="24.453125" style="47" customWidth="1"/>
    <col min="15609" max="15611" width="16.54296875" style="47" customWidth="1"/>
    <col min="15612" max="15613" width="17.54296875" style="47" customWidth="1"/>
    <col min="15614" max="15614" width="16.54296875" style="47" customWidth="1"/>
    <col min="15615" max="15615" width="16" style="47" customWidth="1"/>
    <col min="15616" max="15616" width="11.453125" style="47" customWidth="1"/>
    <col min="15617" max="15618" width="8.54296875" style="47"/>
    <col min="15619" max="15619" width="2.453125" style="47" customWidth="1"/>
    <col min="15620" max="15620" width="23.453125" style="47" customWidth="1"/>
    <col min="15621" max="15622" width="8.54296875" style="47"/>
    <col min="15623" max="15623" width="2.54296875" style="47" customWidth="1"/>
    <col min="15624" max="15624" width="24.453125" style="47" customWidth="1"/>
    <col min="15625" max="15863" width="8.54296875" style="47"/>
    <col min="15864" max="15864" width="24.453125" style="47" customWidth="1"/>
    <col min="15865" max="15867" width="16.54296875" style="47" customWidth="1"/>
    <col min="15868" max="15869" width="17.54296875" style="47" customWidth="1"/>
    <col min="15870" max="15870" width="16.54296875" style="47" customWidth="1"/>
    <col min="15871" max="15871" width="16" style="47" customWidth="1"/>
    <col min="15872" max="15872" width="11.453125" style="47" customWidth="1"/>
    <col min="15873" max="15874" width="8.54296875" style="47"/>
    <col min="15875" max="15875" width="2.453125" style="47" customWidth="1"/>
    <col min="15876" max="15876" width="23.453125" style="47" customWidth="1"/>
    <col min="15877" max="15878" width="8.54296875" style="47"/>
    <col min="15879" max="15879" width="2.54296875" style="47" customWidth="1"/>
    <col min="15880" max="15880" width="24.453125" style="47" customWidth="1"/>
    <col min="15881" max="16119" width="8.54296875" style="47"/>
    <col min="16120" max="16120" width="24.453125" style="47" customWidth="1"/>
    <col min="16121" max="16123" width="16.54296875" style="47" customWidth="1"/>
    <col min="16124" max="16125" width="17.54296875" style="47" customWidth="1"/>
    <col min="16126" max="16126" width="16.54296875" style="47" customWidth="1"/>
    <col min="16127" max="16127" width="16" style="47" customWidth="1"/>
    <col min="16128" max="16128" width="11.453125" style="47" customWidth="1"/>
    <col min="16129" max="16130" width="8.54296875" style="47"/>
    <col min="16131" max="16131" width="2.453125" style="47" customWidth="1"/>
    <col min="16132" max="16132" width="23.453125" style="47" customWidth="1"/>
    <col min="16133" max="16134" width="8.54296875" style="47"/>
    <col min="16135" max="16135" width="2.54296875" style="47" customWidth="1"/>
    <col min="16136" max="16136" width="24.453125" style="47" customWidth="1"/>
    <col min="16137" max="16384" width="8.54296875" style="47"/>
  </cols>
  <sheetData>
    <row r="1" spans="1:16" ht="13" thickBot="1">
      <c r="A1" s="774"/>
      <c r="B1" s="775"/>
      <c r="C1" s="775"/>
      <c r="D1" s="775"/>
      <c r="E1" s="775"/>
      <c r="F1" s="775"/>
      <c r="G1" s="775"/>
      <c r="H1" s="775"/>
      <c r="I1" s="775"/>
      <c r="J1" s="775"/>
      <c r="K1" s="776"/>
    </row>
    <row r="2" spans="1:16" ht="18">
      <c r="A2" s="643"/>
      <c r="B2" s="4480" t="str">
        <f>'TO Hrly (TO1-TO3)'!B2:M2</f>
        <v>XTO ENERGY INC.</v>
      </c>
      <c r="C2" s="4481"/>
      <c r="D2" s="4481"/>
      <c r="E2" s="4481"/>
      <c r="F2" s="4481"/>
      <c r="G2" s="4481"/>
      <c r="H2" s="4481"/>
      <c r="I2" s="4481"/>
      <c r="J2" s="4482"/>
      <c r="K2" s="644"/>
    </row>
    <row r="3" spans="1:16" ht="18">
      <c r="A3" s="643"/>
      <c r="B3" s="4483" t="str">
        <f>'TO Hrly (TO1-TO3)'!B3:M3</f>
        <v>HUSKY CDP</v>
      </c>
      <c r="C3" s="4484"/>
      <c r="D3" s="4484"/>
      <c r="E3" s="4484"/>
      <c r="F3" s="4484"/>
      <c r="G3" s="4484"/>
      <c r="H3" s="4484"/>
      <c r="I3" s="4484"/>
      <c r="J3" s="4485"/>
      <c r="K3" s="644"/>
    </row>
    <row r="4" spans="1:16" ht="18.5" thickBot="1">
      <c r="A4" s="643"/>
      <c r="B4" s="5067" t="s">
        <v>809</v>
      </c>
      <c r="C4" s="5068"/>
      <c r="D4" s="5068"/>
      <c r="E4" s="5068"/>
      <c r="F4" s="5068"/>
      <c r="G4" s="5068"/>
      <c r="H4" s="5068"/>
      <c r="I4" s="5068"/>
      <c r="J4" s="5069"/>
      <c r="K4" s="644"/>
    </row>
    <row r="5" spans="1:16" ht="18.5" thickBot="1">
      <c r="A5" s="645"/>
      <c r="B5" s="646"/>
      <c r="C5" s="646"/>
      <c r="D5" s="646"/>
      <c r="E5" s="646"/>
      <c r="F5" s="646"/>
      <c r="G5" s="646"/>
      <c r="H5" s="646"/>
      <c r="I5" s="646"/>
      <c r="J5" s="646"/>
      <c r="K5" s="647"/>
    </row>
    <row r="6" spans="1:16" ht="13.5" thickBot="1">
      <c r="A6" s="4779" t="s">
        <v>812</v>
      </c>
      <c r="B6" s="4689"/>
      <c r="C6" s="4689"/>
      <c r="D6" s="4689"/>
      <c r="E6" s="4689"/>
      <c r="F6" s="4689"/>
      <c r="G6" s="4689"/>
      <c r="H6" s="4689"/>
      <c r="I6" s="4689"/>
      <c r="J6" s="4689"/>
      <c r="K6" s="4780"/>
    </row>
    <row r="7" spans="1:16" ht="16" thickBot="1">
      <c r="A7" s="760"/>
      <c r="B7" s="30"/>
      <c r="C7" s="761"/>
      <c r="D7" s="761"/>
      <c r="E7" s="746"/>
      <c r="F7" s="30"/>
      <c r="G7" s="747"/>
      <c r="H7" s="748"/>
      <c r="I7" s="746"/>
      <c r="J7" s="30"/>
      <c r="K7" s="762"/>
    </row>
    <row r="8" spans="1:16" ht="28.5" customHeight="1" thickBot="1">
      <c r="A8" s="760"/>
      <c r="B8" s="2583" t="s">
        <v>1781</v>
      </c>
      <c r="C8" s="2584" t="s">
        <v>1786</v>
      </c>
      <c r="D8" s="761"/>
      <c r="E8" s="746"/>
      <c r="F8" s="30"/>
      <c r="G8" s="2583" t="s">
        <v>1781</v>
      </c>
      <c r="H8" s="2584" t="s">
        <v>825</v>
      </c>
      <c r="I8" s="746"/>
      <c r="J8" s="30"/>
      <c r="K8" s="762"/>
    </row>
    <row r="9" spans="1:16" ht="16" thickBot="1">
      <c r="A9" s="760"/>
      <c r="B9" s="5087" t="s">
        <v>807</v>
      </c>
      <c r="C9" s="5088"/>
      <c r="D9" s="749"/>
      <c r="E9" s="746"/>
      <c r="F9" s="30"/>
      <c r="G9" s="5089" t="s">
        <v>808</v>
      </c>
      <c r="H9" s="5090"/>
      <c r="I9" s="746"/>
      <c r="J9" s="30"/>
      <c r="K9" s="762"/>
    </row>
    <row r="10" spans="1:16" ht="15.5">
      <c r="A10" s="760"/>
      <c r="B10" s="5075" t="s">
        <v>2</v>
      </c>
      <c r="C10" s="5077" t="s">
        <v>746</v>
      </c>
      <c r="D10" s="750"/>
      <c r="E10" s="746"/>
      <c r="F10" s="30"/>
      <c r="G10" s="5079" t="s">
        <v>2</v>
      </c>
      <c r="H10" s="5083" t="s">
        <v>746</v>
      </c>
      <c r="I10" s="746"/>
      <c r="J10" s="30"/>
      <c r="K10" s="762"/>
    </row>
    <row r="11" spans="1:16" ht="16" thickBot="1">
      <c r="A11" s="760"/>
      <c r="B11" s="5076"/>
      <c r="C11" s="5078"/>
      <c r="D11" s="750"/>
      <c r="E11" s="30"/>
      <c r="F11" s="30"/>
      <c r="G11" s="5080"/>
      <c r="H11" s="5084"/>
      <c r="I11" s="754"/>
      <c r="J11" s="30"/>
      <c r="K11" s="762"/>
    </row>
    <row r="12" spans="1:16" ht="18">
      <c r="A12" s="760"/>
      <c r="B12" s="687" t="s">
        <v>755</v>
      </c>
      <c r="C12" s="689">
        <v>0</v>
      </c>
      <c r="D12" s="711"/>
      <c r="E12" s="751"/>
      <c r="F12" s="30"/>
      <c r="G12" s="738" t="s">
        <v>298</v>
      </c>
      <c r="H12" s="779">
        <f>C70</f>
        <v>0.98000492877082102</v>
      </c>
      <c r="I12" s="755"/>
      <c r="J12" s="755"/>
      <c r="K12" s="763"/>
      <c r="L12" s="703"/>
      <c r="M12" s="703"/>
      <c r="N12" s="703"/>
      <c r="O12" s="703"/>
      <c r="P12" s="702"/>
    </row>
    <row r="13" spans="1:16" ht="18">
      <c r="A13" s="760"/>
      <c r="B13" s="687" t="s">
        <v>47</v>
      </c>
      <c r="C13" s="689">
        <v>0</v>
      </c>
      <c r="D13" s="711"/>
      <c r="E13" s="746"/>
      <c r="F13" s="30"/>
      <c r="G13" s="720" t="s">
        <v>5</v>
      </c>
      <c r="H13" s="779">
        <f t="shared" ref="H13:H20" si="0">C13</f>
        <v>0</v>
      </c>
      <c r="I13" s="743"/>
      <c r="J13" s="743"/>
      <c r="K13" s="764"/>
      <c r="L13" s="704"/>
      <c r="M13" s="704"/>
      <c r="N13" s="704"/>
      <c r="O13" s="705"/>
      <c r="P13" s="702"/>
    </row>
    <row r="14" spans="1:16" ht="18">
      <c r="A14" s="760"/>
      <c r="B14" s="687" t="s">
        <v>4</v>
      </c>
      <c r="C14" s="689">
        <v>3.0678211393861298E-11</v>
      </c>
      <c r="D14" s="711"/>
      <c r="E14" s="30"/>
      <c r="F14" s="30"/>
      <c r="G14" s="720" t="s">
        <v>4</v>
      </c>
      <c r="H14" s="779">
        <f t="shared" si="0"/>
        <v>3.0678211393861298E-11</v>
      </c>
      <c r="I14" s="743"/>
      <c r="J14" s="743"/>
      <c r="K14" s="764"/>
      <c r="L14" s="704"/>
      <c r="M14" s="704"/>
      <c r="N14" s="704"/>
      <c r="O14" s="705"/>
      <c r="P14" s="702"/>
    </row>
    <row r="15" spans="1:16" ht="18">
      <c r="A15" s="760"/>
      <c r="B15" s="687" t="s">
        <v>290</v>
      </c>
      <c r="C15" s="689">
        <v>1.6078031659374999E-6</v>
      </c>
      <c r="D15" s="711"/>
      <c r="E15" s="751"/>
      <c r="F15" s="30"/>
      <c r="G15" s="720" t="s">
        <v>3</v>
      </c>
      <c r="H15" s="779">
        <f t="shared" si="0"/>
        <v>1.6078031659374999E-6</v>
      </c>
      <c r="I15" s="743"/>
      <c r="J15" s="743"/>
      <c r="K15" s="764"/>
      <c r="L15" s="704"/>
      <c r="M15" s="704"/>
      <c r="N15" s="704"/>
      <c r="O15" s="705"/>
      <c r="P15" s="702"/>
    </row>
    <row r="16" spans="1:16" ht="18">
      <c r="A16" s="760"/>
      <c r="B16" s="687" t="s">
        <v>6</v>
      </c>
      <c r="C16" s="689">
        <v>2.1593978513207901E-7</v>
      </c>
      <c r="D16" s="711"/>
      <c r="E16" s="752"/>
      <c r="F16" s="30"/>
      <c r="G16" s="720" t="s">
        <v>6</v>
      </c>
      <c r="H16" s="779">
        <f t="shared" si="0"/>
        <v>2.1593978513207901E-7</v>
      </c>
      <c r="I16" s="743"/>
      <c r="J16" s="743"/>
      <c r="K16" s="764"/>
      <c r="L16" s="704"/>
      <c r="M16" s="704"/>
      <c r="N16" s="704"/>
      <c r="O16" s="705"/>
      <c r="P16" s="702"/>
    </row>
    <row r="17" spans="1:16" ht="18">
      <c r="A17" s="760"/>
      <c r="B17" s="687" t="s">
        <v>7</v>
      </c>
      <c r="C17" s="689">
        <v>1.69547837333512E-4</v>
      </c>
      <c r="D17" s="711"/>
      <c r="E17" s="753"/>
      <c r="F17" s="30"/>
      <c r="G17" s="720" t="s">
        <v>7</v>
      </c>
      <c r="H17" s="779">
        <f t="shared" si="0"/>
        <v>1.69547837333512E-4</v>
      </c>
      <c r="I17" s="743"/>
      <c r="J17" s="743"/>
      <c r="K17" s="764"/>
      <c r="L17" s="704"/>
      <c r="M17" s="704"/>
      <c r="N17" s="704"/>
      <c r="O17" s="705"/>
      <c r="P17" s="702"/>
    </row>
    <row r="18" spans="1:16" ht="18">
      <c r="A18" s="760"/>
      <c r="B18" s="687" t="s">
        <v>8</v>
      </c>
      <c r="C18" s="689">
        <v>7.5976619588726099E-4</v>
      </c>
      <c r="D18" s="711"/>
      <c r="E18" s="753"/>
      <c r="F18" s="30"/>
      <c r="G18" s="720" t="s">
        <v>8</v>
      </c>
      <c r="H18" s="779">
        <f t="shared" si="0"/>
        <v>7.5976619588726099E-4</v>
      </c>
      <c r="I18" s="743"/>
      <c r="J18" s="743"/>
      <c r="K18" s="764"/>
      <c r="L18" s="704"/>
      <c r="M18" s="704"/>
      <c r="N18" s="704"/>
      <c r="O18" s="705"/>
      <c r="P18" s="702"/>
    </row>
    <row r="19" spans="1:16" ht="18">
      <c r="A19" s="760"/>
      <c r="B19" s="687" t="s">
        <v>678</v>
      </c>
      <c r="C19" s="689">
        <v>2.8991078524554903E-4</v>
      </c>
      <c r="D19" s="711"/>
      <c r="E19" s="753"/>
      <c r="F19" s="30"/>
      <c r="G19" s="720" t="s">
        <v>747</v>
      </c>
      <c r="H19" s="779">
        <f t="shared" si="0"/>
        <v>2.8991078524554903E-4</v>
      </c>
      <c r="I19" s="743"/>
      <c r="J19" s="743"/>
      <c r="K19" s="764"/>
      <c r="L19" s="704"/>
      <c r="M19" s="704"/>
      <c r="N19" s="704"/>
      <c r="O19" s="705"/>
      <c r="P19" s="702"/>
    </row>
    <row r="20" spans="1:16" ht="18">
      <c r="A20" s="760"/>
      <c r="B20" s="777" t="s">
        <v>67</v>
      </c>
      <c r="C20" s="690">
        <v>1.03968005743232E-3</v>
      </c>
      <c r="D20" s="711"/>
      <c r="E20" s="753"/>
      <c r="F20" s="30"/>
      <c r="G20" s="720" t="s">
        <v>748</v>
      </c>
      <c r="H20" s="779">
        <f t="shared" si="0"/>
        <v>1.03968005743232E-3</v>
      </c>
      <c r="I20" s="743"/>
      <c r="J20" s="743"/>
      <c r="K20" s="764"/>
      <c r="L20" s="704"/>
      <c r="M20" s="704"/>
      <c r="N20" s="704"/>
      <c r="O20" s="705"/>
      <c r="P20" s="702"/>
    </row>
    <row r="21" spans="1:16" ht="18">
      <c r="A21" s="760"/>
      <c r="B21" s="706" t="s">
        <v>756</v>
      </c>
      <c r="C21" s="712">
        <v>1.18163637296628E-5</v>
      </c>
      <c r="D21" s="711"/>
      <c r="E21" s="753"/>
      <c r="F21" s="30"/>
      <c r="G21" s="720" t="s">
        <v>749</v>
      </c>
      <c r="H21" s="779">
        <f>C22</f>
        <v>5.7382341631357497E-4</v>
      </c>
      <c r="I21" s="743"/>
      <c r="J21" s="743"/>
      <c r="K21" s="764"/>
      <c r="L21" s="704"/>
      <c r="M21" s="704"/>
      <c r="N21" s="704"/>
      <c r="O21" s="705"/>
      <c r="P21" s="702"/>
    </row>
    <row r="22" spans="1:16" ht="18">
      <c r="A22" s="760"/>
      <c r="B22" s="687" t="s">
        <v>679</v>
      </c>
      <c r="C22" s="689">
        <v>5.7382341631357497E-4</v>
      </c>
      <c r="D22" s="711"/>
      <c r="E22" s="753"/>
      <c r="F22" s="30"/>
      <c r="G22" s="720" t="s">
        <v>750</v>
      </c>
      <c r="H22" s="779">
        <f>C23</f>
        <v>7.57766811090052E-4</v>
      </c>
      <c r="I22" s="743"/>
      <c r="J22" s="743"/>
      <c r="K22" s="764"/>
      <c r="L22" s="704"/>
      <c r="M22" s="704"/>
      <c r="N22" s="704"/>
      <c r="O22" s="705"/>
      <c r="P22" s="702"/>
    </row>
    <row r="23" spans="1:16" ht="18">
      <c r="A23" s="760"/>
      <c r="B23" s="691" t="s">
        <v>69</v>
      </c>
      <c r="C23" s="689">
        <v>7.57766811090052E-4</v>
      </c>
      <c r="D23" s="711"/>
      <c r="E23" s="30"/>
      <c r="F23" s="30"/>
      <c r="G23" s="720" t="s">
        <v>800</v>
      </c>
      <c r="H23" s="779">
        <f>C25</f>
        <v>0</v>
      </c>
      <c r="I23" s="743"/>
      <c r="J23" s="743"/>
      <c r="K23" s="764"/>
      <c r="L23" s="704"/>
      <c r="M23" s="704"/>
      <c r="N23" s="704"/>
      <c r="O23" s="705"/>
      <c r="P23" s="702"/>
    </row>
    <row r="24" spans="1:16" ht="18">
      <c r="A24" s="760"/>
      <c r="B24" s="707" t="s">
        <v>757</v>
      </c>
      <c r="C24" s="712">
        <v>8.1774835286498992E-6</v>
      </c>
      <c r="D24" s="711"/>
      <c r="E24" s="30"/>
      <c r="F24" s="30"/>
      <c r="G24" s="721" t="s">
        <v>292</v>
      </c>
      <c r="H24" s="780">
        <f>SUM(C21,C24,C26:C28)</f>
        <v>6.2720698849327069E-4</v>
      </c>
      <c r="I24" s="743"/>
      <c r="J24" s="743"/>
      <c r="K24" s="764"/>
      <c r="L24" s="704"/>
      <c r="M24" s="704"/>
      <c r="N24" s="704"/>
      <c r="O24" s="705"/>
      <c r="P24" s="702"/>
    </row>
    <row r="25" spans="1:16" ht="18">
      <c r="A25" s="760"/>
      <c r="B25" s="691" t="s">
        <v>99</v>
      </c>
      <c r="C25" s="689">
        <v>0</v>
      </c>
      <c r="D25" s="711"/>
      <c r="E25" s="30"/>
      <c r="F25" s="30"/>
      <c r="G25" s="720" t="s">
        <v>10</v>
      </c>
      <c r="H25" s="779">
        <f>C29</f>
        <v>4.9384802728032402E-4</v>
      </c>
      <c r="I25" s="743"/>
      <c r="J25" s="743"/>
      <c r="K25" s="764"/>
      <c r="L25" s="704"/>
      <c r="M25" s="704"/>
      <c r="N25" s="704"/>
      <c r="O25" s="705"/>
      <c r="P25" s="702"/>
    </row>
    <row r="26" spans="1:16" ht="18">
      <c r="A26" s="760"/>
      <c r="B26" s="707" t="s">
        <v>758</v>
      </c>
      <c r="C26" s="712">
        <v>1.12565360064301E-4</v>
      </c>
      <c r="D26" s="711"/>
      <c r="E26" s="30"/>
      <c r="F26" s="30"/>
      <c r="G26" s="720" t="s">
        <v>9</v>
      </c>
      <c r="H26" s="779">
        <f>C31</f>
        <v>3.97877560440423E-4</v>
      </c>
      <c r="I26" s="743"/>
      <c r="J26" s="743"/>
      <c r="K26" s="764"/>
      <c r="L26" s="704"/>
      <c r="M26" s="704"/>
      <c r="N26" s="704"/>
      <c r="O26" s="705"/>
      <c r="P26" s="702"/>
    </row>
    <row r="27" spans="1:16" ht="18">
      <c r="A27" s="760"/>
      <c r="B27" s="707" t="s">
        <v>759</v>
      </c>
      <c r="C27" s="712">
        <v>3.0790524777801601E-4</v>
      </c>
      <c r="D27" s="711"/>
      <c r="E27" s="30"/>
      <c r="F27" s="30"/>
      <c r="G27" s="720" t="s">
        <v>11</v>
      </c>
      <c r="H27" s="779">
        <f>C32</f>
        <v>4.09873868795471E-4</v>
      </c>
      <c r="I27" s="743"/>
      <c r="J27" s="743"/>
      <c r="K27" s="764"/>
      <c r="L27" s="704"/>
      <c r="M27" s="704"/>
      <c r="N27" s="704"/>
      <c r="O27" s="705"/>
      <c r="P27" s="702"/>
    </row>
    <row r="28" spans="1:16" ht="18">
      <c r="A28" s="760"/>
      <c r="B28" s="707" t="s">
        <v>760</v>
      </c>
      <c r="C28" s="712">
        <v>1.86742533392641E-4</v>
      </c>
      <c r="D28" s="711"/>
      <c r="E28" s="30"/>
      <c r="F28" s="30"/>
      <c r="G28" s="720" t="s">
        <v>12</v>
      </c>
      <c r="H28" s="779">
        <f>C33</f>
        <v>9.2571512805987902E-4</v>
      </c>
      <c r="I28" s="743"/>
      <c r="J28" s="743"/>
      <c r="K28" s="764"/>
      <c r="L28" s="704"/>
      <c r="M28" s="704"/>
      <c r="N28" s="704"/>
      <c r="O28" s="705"/>
      <c r="P28" s="702"/>
    </row>
    <row r="29" spans="1:16" ht="36">
      <c r="A29" s="760"/>
      <c r="B29" s="701" t="s">
        <v>10</v>
      </c>
      <c r="C29" s="690">
        <v>4.9384802728032402E-4</v>
      </c>
      <c r="D29" s="711"/>
      <c r="E29" s="30"/>
      <c r="F29" s="30"/>
      <c r="G29" s="720" t="s">
        <v>286</v>
      </c>
      <c r="H29" s="779">
        <f>C36</f>
        <v>0</v>
      </c>
      <c r="I29" s="743"/>
      <c r="J29" s="743"/>
      <c r="K29" s="764"/>
      <c r="L29" s="704"/>
      <c r="M29" s="704"/>
      <c r="N29" s="704"/>
      <c r="O29" s="705"/>
      <c r="P29" s="702"/>
    </row>
    <row r="30" spans="1:16" ht="18">
      <c r="A30" s="760"/>
      <c r="B30" s="701" t="s">
        <v>761</v>
      </c>
      <c r="C30" s="690">
        <v>0</v>
      </c>
      <c r="D30" s="711"/>
      <c r="E30" s="30"/>
      <c r="F30" s="30"/>
      <c r="G30" s="723" t="s">
        <v>801</v>
      </c>
      <c r="H30" s="781">
        <f>SUM(C34:C35,C38)</f>
        <v>3.3429712615898799E-4</v>
      </c>
      <c r="I30" s="743"/>
      <c r="J30" s="743"/>
      <c r="K30" s="764"/>
      <c r="L30" s="704"/>
      <c r="M30" s="704"/>
      <c r="N30" s="704"/>
      <c r="O30" s="705"/>
      <c r="P30" s="702"/>
    </row>
    <row r="31" spans="1:16" ht="18">
      <c r="A31" s="760"/>
      <c r="B31" s="701" t="s">
        <v>762</v>
      </c>
      <c r="C31" s="690">
        <v>3.97877560440423E-4</v>
      </c>
      <c r="D31" s="711"/>
      <c r="E31" s="30"/>
      <c r="F31" s="30"/>
      <c r="G31" s="725" t="s">
        <v>65</v>
      </c>
      <c r="H31" s="782">
        <f>C39</f>
        <v>1.1096585228363601E-3</v>
      </c>
      <c r="I31" s="743"/>
      <c r="J31" s="743"/>
      <c r="K31" s="764"/>
      <c r="L31" s="704"/>
      <c r="M31" s="704"/>
      <c r="N31" s="704"/>
      <c r="O31" s="705"/>
      <c r="P31" s="702"/>
    </row>
    <row r="32" spans="1:16" ht="18">
      <c r="A32" s="760"/>
      <c r="B32" s="701" t="s">
        <v>11</v>
      </c>
      <c r="C32" s="690">
        <v>4.09873868795471E-4</v>
      </c>
      <c r="D32" s="711"/>
      <c r="E32" s="30"/>
      <c r="F32" s="30"/>
      <c r="G32" s="720" t="s">
        <v>13</v>
      </c>
      <c r="H32" s="779">
        <f>C37</f>
        <v>7.4377111800923298E-4</v>
      </c>
      <c r="I32" s="743"/>
      <c r="J32" s="743"/>
      <c r="K32" s="764"/>
      <c r="L32" s="704"/>
      <c r="M32" s="704"/>
      <c r="N32" s="704"/>
      <c r="O32" s="705"/>
      <c r="P32" s="702"/>
    </row>
    <row r="33" spans="1:16" ht="18">
      <c r="A33" s="760"/>
      <c r="B33" s="701" t="s">
        <v>12</v>
      </c>
      <c r="C33" s="690">
        <v>9.2571512805987902E-4</v>
      </c>
      <c r="D33" s="711"/>
      <c r="E33" s="30"/>
      <c r="F33" s="30"/>
      <c r="G33" s="720" t="s">
        <v>14</v>
      </c>
      <c r="H33" s="779">
        <f>C40</f>
        <v>6.8179019150846397E-4</v>
      </c>
      <c r="I33" s="743"/>
      <c r="J33" s="743"/>
      <c r="K33" s="764"/>
      <c r="L33" s="704"/>
      <c r="M33" s="704"/>
      <c r="N33" s="704"/>
      <c r="O33" s="705"/>
      <c r="P33" s="702"/>
    </row>
    <row r="34" spans="1:16" ht="18">
      <c r="A34" s="760"/>
      <c r="B34" s="692" t="s">
        <v>763</v>
      </c>
      <c r="C34" s="713">
        <v>1.7534604045540199E-4</v>
      </c>
      <c r="D34" s="711"/>
      <c r="E34" s="30"/>
      <c r="F34" s="30"/>
      <c r="G34" s="727" t="s">
        <v>804</v>
      </c>
      <c r="H34" s="783">
        <f>SUM(C41:C42)</f>
        <v>1.35758222883943E-3</v>
      </c>
      <c r="I34" s="743"/>
      <c r="J34" s="743"/>
      <c r="K34" s="764"/>
      <c r="L34" s="704"/>
      <c r="M34" s="704"/>
      <c r="N34" s="704"/>
      <c r="O34" s="705"/>
      <c r="P34" s="702"/>
    </row>
    <row r="35" spans="1:16" ht="18">
      <c r="A35" s="760"/>
      <c r="B35" s="692" t="s">
        <v>764</v>
      </c>
      <c r="C35" s="713">
        <v>1.58951085703586E-4</v>
      </c>
      <c r="D35" s="711"/>
      <c r="E35" s="30"/>
      <c r="F35" s="30"/>
      <c r="G35" s="720" t="s">
        <v>16</v>
      </c>
      <c r="H35" s="779">
        <f>C43</f>
        <v>3.71885559004617E-5</v>
      </c>
      <c r="I35" s="743"/>
      <c r="J35" s="743"/>
      <c r="K35" s="764"/>
      <c r="L35" s="704"/>
      <c r="M35" s="704"/>
      <c r="N35" s="704"/>
      <c r="O35" s="705"/>
      <c r="P35" s="702"/>
    </row>
    <row r="36" spans="1:16" ht="18">
      <c r="A36" s="760"/>
      <c r="B36" s="701" t="s">
        <v>765</v>
      </c>
      <c r="C36" s="690">
        <v>0</v>
      </c>
      <c r="D36" s="711"/>
      <c r="E36" s="30"/>
      <c r="F36" s="30"/>
      <c r="G36" s="729" t="s">
        <v>802</v>
      </c>
      <c r="H36" s="784">
        <f>SUM(C44:C46)</f>
        <v>4.3426636245055253E-4</v>
      </c>
      <c r="I36" s="743"/>
      <c r="J36" s="743"/>
      <c r="K36" s="764"/>
      <c r="L36" s="704"/>
      <c r="M36" s="704"/>
      <c r="N36" s="704"/>
      <c r="O36" s="705"/>
      <c r="P36" s="702"/>
    </row>
    <row r="37" spans="1:16" ht="18">
      <c r="A37" s="760"/>
      <c r="B37" s="701" t="s">
        <v>13</v>
      </c>
      <c r="C37" s="690">
        <v>7.4377111800923298E-4</v>
      </c>
      <c r="D37" s="711"/>
      <c r="E37" s="30"/>
      <c r="F37" s="30"/>
      <c r="G37" s="731" t="s">
        <v>803</v>
      </c>
      <c r="H37" s="785">
        <f>SUM(C47,C73)</f>
        <v>1.2156259133054099E-3</v>
      </c>
      <c r="I37" s="743"/>
      <c r="J37" s="743"/>
      <c r="K37" s="764"/>
      <c r="L37" s="704"/>
      <c r="M37" s="704"/>
      <c r="N37" s="704"/>
      <c r="O37" s="705"/>
      <c r="P37" s="702"/>
    </row>
    <row r="38" spans="1:16" ht="18">
      <c r="A38" s="760"/>
      <c r="B38" s="692" t="s">
        <v>766</v>
      </c>
      <c r="C38" s="713">
        <v>0</v>
      </c>
      <c r="D38" s="711"/>
      <c r="E38" s="30"/>
      <c r="F38" s="30"/>
      <c r="G38" s="733" t="s">
        <v>805</v>
      </c>
      <c r="H38" s="786">
        <f>SUM(C74,C48)</f>
        <v>1.16764067988546E-3</v>
      </c>
      <c r="I38" s="743"/>
      <c r="J38" s="743"/>
      <c r="K38" s="764"/>
      <c r="L38" s="704"/>
      <c r="M38" s="704"/>
      <c r="N38" s="704"/>
      <c r="O38" s="705"/>
      <c r="P38" s="702"/>
    </row>
    <row r="39" spans="1:16" ht="18">
      <c r="A39" s="760"/>
      <c r="B39" s="701" t="s">
        <v>767</v>
      </c>
      <c r="C39" s="690">
        <v>1.1096585228363601E-3</v>
      </c>
      <c r="D39" s="711"/>
      <c r="E39" s="30"/>
      <c r="F39" s="30"/>
      <c r="G39" s="735" t="s">
        <v>806</v>
      </c>
      <c r="H39" s="787">
        <f>SUM(C49:C69)</f>
        <v>6.4002304458584828E-3</v>
      </c>
      <c r="I39" s="743"/>
      <c r="J39" s="743"/>
      <c r="K39" s="764"/>
      <c r="L39" s="704"/>
      <c r="M39" s="704"/>
      <c r="N39" s="704"/>
      <c r="O39" s="705"/>
      <c r="P39" s="702"/>
    </row>
    <row r="40" spans="1:16" ht="18" thickBot="1">
      <c r="A40" s="760"/>
      <c r="B40" s="701" t="s">
        <v>14</v>
      </c>
      <c r="C40" s="690">
        <v>6.8179019150846397E-4</v>
      </c>
      <c r="D40" s="711"/>
      <c r="E40" s="30"/>
      <c r="F40" s="30"/>
      <c r="G40" s="737"/>
      <c r="H40" s="719"/>
      <c r="I40" s="743"/>
      <c r="J40" s="743"/>
      <c r="K40" s="764"/>
      <c r="L40" s="704"/>
      <c r="M40" s="704"/>
      <c r="N40" s="704"/>
      <c r="O40" s="705"/>
      <c r="P40" s="702"/>
    </row>
    <row r="41" spans="1:16" ht="18" thickBot="1">
      <c r="A41" s="760"/>
      <c r="B41" s="694" t="s">
        <v>100</v>
      </c>
      <c r="C41" s="714">
        <v>1.35758222883943E-3</v>
      </c>
      <c r="D41" s="711"/>
      <c r="E41" s="30"/>
      <c r="F41" s="30"/>
      <c r="G41" s="739" t="s">
        <v>692</v>
      </c>
      <c r="H41" s="740">
        <f>SUM(H12:H39)</f>
        <v>0.99993382036557488</v>
      </c>
      <c r="I41" s="743"/>
      <c r="J41" s="743"/>
      <c r="K41" s="764"/>
      <c r="L41" s="704"/>
      <c r="M41" s="704"/>
      <c r="N41" s="704"/>
      <c r="O41" s="705"/>
      <c r="P41" s="702"/>
    </row>
    <row r="42" spans="1:16" ht="18" thickBot="1">
      <c r="A42" s="760"/>
      <c r="B42" s="694" t="s">
        <v>768</v>
      </c>
      <c r="C42" s="714">
        <v>0</v>
      </c>
      <c r="D42" s="711"/>
      <c r="E42" s="30"/>
      <c r="F42" s="30"/>
      <c r="G42" s="742"/>
      <c r="H42" s="708"/>
      <c r="I42" s="743"/>
      <c r="J42" s="743"/>
      <c r="K42" s="764"/>
      <c r="L42" s="704"/>
      <c r="M42" s="704"/>
      <c r="N42" s="704"/>
      <c r="O42" s="705"/>
      <c r="P42" s="702"/>
    </row>
    <row r="43" spans="1:16" ht="21" customHeight="1" thickBot="1">
      <c r="A43" s="760"/>
      <c r="B43" s="701" t="s">
        <v>769</v>
      </c>
      <c r="C43" s="690">
        <v>3.71885559004617E-5</v>
      </c>
      <c r="D43" s="711"/>
      <c r="E43" s="30"/>
      <c r="F43" s="30"/>
      <c r="G43" s="5065" t="s">
        <v>810</v>
      </c>
      <c r="H43" s="5066"/>
      <c r="I43" s="743"/>
      <c r="J43" s="743"/>
      <c r="K43" s="764"/>
      <c r="L43" s="704"/>
      <c r="M43" s="704"/>
      <c r="N43" s="704"/>
      <c r="O43" s="705"/>
      <c r="P43" s="702"/>
    </row>
    <row r="44" spans="1:16" ht="17.5">
      <c r="A44" s="760"/>
      <c r="B44" s="709" t="s">
        <v>770</v>
      </c>
      <c r="C44" s="715">
        <v>1.69547824750492E-4</v>
      </c>
      <c r="D44" s="711"/>
      <c r="E44" s="30"/>
      <c r="F44" s="30"/>
      <c r="G44" s="757" t="s">
        <v>754</v>
      </c>
      <c r="H44" s="758">
        <v>0.86609999999999998</v>
      </c>
      <c r="I44" s="743"/>
      <c r="J44" s="743"/>
      <c r="K44" s="764"/>
      <c r="L44" s="704"/>
      <c r="M44" s="704"/>
      <c r="N44" s="704"/>
      <c r="O44" s="705"/>
      <c r="P44" s="702"/>
    </row>
    <row r="45" spans="1:16" ht="31.5" thickBot="1">
      <c r="A45" s="760"/>
      <c r="B45" s="709" t="s">
        <v>423</v>
      </c>
      <c r="C45" s="715">
        <v>9.5170712949568494E-5</v>
      </c>
      <c r="D45" s="711"/>
      <c r="E45" s="30"/>
      <c r="F45" s="30"/>
      <c r="G45" s="756" t="s">
        <v>811</v>
      </c>
      <c r="H45" s="759">
        <v>262.91199999999998</v>
      </c>
      <c r="I45" s="743"/>
      <c r="J45" s="743"/>
      <c r="K45" s="764"/>
      <c r="L45" s="704"/>
      <c r="M45" s="704"/>
      <c r="N45" s="704"/>
      <c r="O45" s="705"/>
      <c r="P45" s="702"/>
    </row>
    <row r="46" spans="1:16" ht="17.5">
      <c r="A46" s="760"/>
      <c r="B46" s="709" t="s">
        <v>771</v>
      </c>
      <c r="C46" s="715">
        <v>1.69547824750492E-4</v>
      </c>
      <c r="D46" s="711"/>
      <c r="E46" s="30"/>
      <c r="F46" s="30"/>
      <c r="G46" s="742"/>
      <c r="H46" s="708"/>
      <c r="I46" s="743"/>
      <c r="J46" s="743"/>
      <c r="K46" s="764"/>
      <c r="L46" s="704"/>
      <c r="M46" s="704"/>
      <c r="N46" s="704"/>
      <c r="O46" s="705"/>
      <c r="P46" s="702"/>
    </row>
    <row r="47" spans="1:16" ht="17.5">
      <c r="A47" s="760"/>
      <c r="B47" s="693" t="s">
        <v>772</v>
      </c>
      <c r="C47" s="716">
        <v>0</v>
      </c>
      <c r="D47" s="711"/>
      <c r="E47" s="30"/>
      <c r="F47" s="30"/>
      <c r="G47" s="742"/>
      <c r="H47" s="708"/>
      <c r="I47" s="743"/>
      <c r="J47" s="743"/>
      <c r="K47" s="764"/>
      <c r="L47" s="704"/>
      <c r="M47" s="704"/>
      <c r="N47" s="704"/>
      <c r="O47" s="705"/>
      <c r="P47" s="702"/>
    </row>
    <row r="48" spans="1:16" ht="17.5">
      <c r="A48" s="760"/>
      <c r="B48" s="696" t="s">
        <v>773</v>
      </c>
      <c r="C48" s="717">
        <v>0</v>
      </c>
      <c r="D48" s="711"/>
      <c r="E48" s="30"/>
      <c r="F48" s="30"/>
      <c r="G48" s="742"/>
      <c r="H48" s="708"/>
      <c r="I48" s="743"/>
      <c r="J48" s="743"/>
      <c r="K48" s="764"/>
      <c r="L48" s="704"/>
      <c r="M48" s="704"/>
      <c r="N48" s="704"/>
      <c r="O48" s="705"/>
      <c r="P48" s="702"/>
    </row>
    <row r="49" spans="1:16" ht="15.5">
      <c r="A49" s="760"/>
      <c r="B49" s="695" t="s">
        <v>774</v>
      </c>
      <c r="C49" s="718">
        <v>8.4174096957496502E-4</v>
      </c>
      <c r="D49" s="711"/>
      <c r="E49" s="30"/>
      <c r="F49" s="30"/>
      <c r="G49" s="742"/>
      <c r="H49" s="743"/>
      <c r="I49" s="743"/>
      <c r="J49" s="743"/>
      <c r="K49" s="764"/>
      <c r="L49" s="704"/>
      <c r="M49" s="704"/>
      <c r="N49" s="704"/>
      <c r="O49" s="705"/>
      <c r="P49" s="702"/>
    </row>
    <row r="50" spans="1:16" ht="15.5">
      <c r="A50" s="760"/>
      <c r="B50" s="695" t="s">
        <v>775</v>
      </c>
      <c r="C50" s="718">
        <v>5.9581664829771899E-4</v>
      </c>
      <c r="D50" s="711"/>
      <c r="E50" s="30"/>
      <c r="F50" s="30"/>
      <c r="G50" s="742"/>
      <c r="H50" s="743"/>
      <c r="I50" s="743"/>
      <c r="J50" s="743"/>
      <c r="K50" s="764"/>
      <c r="L50" s="704"/>
      <c r="M50" s="704"/>
      <c r="N50" s="5092"/>
      <c r="O50" s="5092"/>
      <c r="P50" s="702"/>
    </row>
    <row r="51" spans="1:16" ht="15.5">
      <c r="A51" s="760"/>
      <c r="B51" s="695" t="s">
        <v>776</v>
      </c>
      <c r="C51" s="718">
        <v>6.3580434281434398E-4</v>
      </c>
      <c r="D51" s="711"/>
      <c r="E51" s="30"/>
      <c r="F51" s="30"/>
      <c r="G51" s="744"/>
      <c r="H51" s="743"/>
      <c r="I51" s="765"/>
      <c r="J51" s="765"/>
      <c r="K51" s="766"/>
      <c r="L51" s="702"/>
      <c r="M51" s="702"/>
      <c r="N51" s="702"/>
      <c r="O51" s="702"/>
      <c r="P51" s="702"/>
    </row>
    <row r="52" spans="1:16" ht="15.5">
      <c r="A52" s="760"/>
      <c r="B52" s="695" t="s">
        <v>777</v>
      </c>
      <c r="C52" s="718">
        <v>5.3383572179694901E-4</v>
      </c>
      <c r="D52" s="711"/>
      <c r="E52" s="30"/>
      <c r="F52" s="30"/>
      <c r="G52" s="742"/>
      <c r="H52" s="743"/>
      <c r="I52" s="754"/>
      <c r="J52" s="30"/>
      <c r="K52" s="762"/>
    </row>
    <row r="53" spans="1:16" ht="15.5">
      <c r="A53" s="760"/>
      <c r="B53" s="695" t="s">
        <v>778</v>
      </c>
      <c r="C53" s="718">
        <v>4.6985541057034902E-4</v>
      </c>
      <c r="D53" s="711"/>
      <c r="E53" s="30"/>
      <c r="F53" s="30"/>
      <c r="G53" s="767"/>
      <c r="H53" s="765"/>
      <c r="I53" s="754"/>
      <c r="J53" s="30"/>
      <c r="K53" s="762"/>
    </row>
    <row r="54" spans="1:16" ht="15.5">
      <c r="A54" s="760"/>
      <c r="B54" s="695" t="s">
        <v>779</v>
      </c>
      <c r="C54" s="718">
        <v>3.3389724921382199E-4</v>
      </c>
      <c r="D54" s="711"/>
      <c r="E54" s="30"/>
      <c r="F54" s="30"/>
      <c r="G54" s="30"/>
      <c r="H54" s="745"/>
      <c r="I54" s="754"/>
      <c r="J54" s="30"/>
      <c r="K54" s="762"/>
    </row>
    <row r="55" spans="1:16" ht="15.5">
      <c r="A55" s="760"/>
      <c r="B55" s="695" t="s">
        <v>780</v>
      </c>
      <c r="C55" s="718">
        <v>2.7991386161637798E-4</v>
      </c>
      <c r="D55" s="711"/>
      <c r="E55" s="30"/>
      <c r="F55" s="30"/>
      <c r="G55" s="30"/>
      <c r="H55" s="745"/>
      <c r="I55" s="754"/>
      <c r="J55" s="30"/>
      <c r="K55" s="762"/>
    </row>
    <row r="56" spans="1:16" ht="15.5">
      <c r="A56" s="760"/>
      <c r="B56" s="695" t="s">
        <v>781</v>
      </c>
      <c r="C56" s="718">
        <v>2.6391878380972798E-4</v>
      </c>
      <c r="D56" s="711"/>
      <c r="E56" s="30"/>
      <c r="F56" s="30"/>
      <c r="G56" s="30"/>
      <c r="H56" s="745"/>
      <c r="I56" s="754"/>
      <c r="J56" s="30"/>
      <c r="K56" s="762"/>
    </row>
    <row r="57" spans="1:16" ht="15.5">
      <c r="A57" s="760"/>
      <c r="B57" s="695" t="s">
        <v>782</v>
      </c>
      <c r="C57" s="718">
        <v>2.4592432127724598E-4</v>
      </c>
      <c r="D57" s="711"/>
      <c r="E57" s="30"/>
      <c r="F57" s="30"/>
      <c r="G57" s="30"/>
      <c r="H57" s="745"/>
      <c r="I57" s="754"/>
      <c r="J57" s="30"/>
      <c r="K57" s="762"/>
    </row>
    <row r="58" spans="1:16" ht="15.5">
      <c r="A58" s="760"/>
      <c r="B58" s="695" t="s">
        <v>783</v>
      </c>
      <c r="C58" s="718">
        <v>1.6155028584716701E-4</v>
      </c>
      <c r="D58" s="711"/>
      <c r="E58" s="30"/>
      <c r="F58" s="30"/>
      <c r="G58" s="30"/>
      <c r="H58" s="745"/>
      <c r="I58" s="754"/>
      <c r="J58" s="30"/>
      <c r="K58" s="762"/>
    </row>
    <row r="59" spans="1:16" ht="15.5">
      <c r="A59" s="760"/>
      <c r="B59" s="695" t="s">
        <v>784</v>
      </c>
      <c r="C59" s="718">
        <v>1.6155028584716701E-4</v>
      </c>
      <c r="D59" s="711"/>
      <c r="E59" s="30"/>
      <c r="F59" s="30"/>
      <c r="G59" s="30"/>
      <c r="H59" s="745"/>
      <c r="I59" s="754"/>
      <c r="J59" s="30"/>
      <c r="K59" s="762"/>
    </row>
    <row r="60" spans="1:16" ht="15.5">
      <c r="A60" s="760"/>
      <c r="B60" s="695" t="s">
        <v>785</v>
      </c>
      <c r="C60" s="718">
        <v>1.3035988412419901E-4</v>
      </c>
      <c r="D60" s="711"/>
      <c r="E60" s="30"/>
      <c r="F60" s="30"/>
      <c r="G60" s="30"/>
      <c r="H60" s="745"/>
      <c r="I60" s="754"/>
      <c r="J60" s="30"/>
      <c r="K60" s="762"/>
    </row>
    <row r="61" spans="1:16" ht="15.5">
      <c r="A61" s="760"/>
      <c r="B61" s="695" t="s">
        <v>786</v>
      </c>
      <c r="C61" s="718">
        <v>1.1596431409821399E-4</v>
      </c>
      <c r="D61" s="711"/>
      <c r="E61" s="30"/>
      <c r="F61" s="30"/>
      <c r="G61" s="30"/>
      <c r="H61" s="745"/>
      <c r="I61" s="754"/>
      <c r="J61" s="30"/>
      <c r="K61" s="762"/>
    </row>
    <row r="62" spans="1:16" ht="15.5">
      <c r="A62" s="760"/>
      <c r="B62" s="695" t="s">
        <v>787</v>
      </c>
      <c r="C62" s="718">
        <v>9.9369420873814197E-5</v>
      </c>
      <c r="D62" s="711"/>
      <c r="E62" s="30"/>
      <c r="F62" s="30"/>
      <c r="G62" s="30"/>
      <c r="H62" s="745"/>
      <c r="I62" s="754"/>
      <c r="J62" s="30"/>
      <c r="K62" s="762"/>
    </row>
    <row r="63" spans="1:16" ht="15.5">
      <c r="A63" s="760"/>
      <c r="B63" s="695" t="s">
        <v>788</v>
      </c>
      <c r="C63" s="718">
        <v>8.4973850847829002E-5</v>
      </c>
      <c r="D63" s="711"/>
      <c r="E63" s="30"/>
      <c r="F63" s="30"/>
      <c r="G63" s="30"/>
      <c r="H63" s="745"/>
      <c r="I63" s="754"/>
      <c r="J63" s="30"/>
      <c r="K63" s="762"/>
    </row>
    <row r="64" spans="1:16" ht="15.5">
      <c r="A64" s="760"/>
      <c r="B64" s="695" t="s">
        <v>789</v>
      </c>
      <c r="C64" s="718">
        <v>8.0775142923583394E-5</v>
      </c>
      <c r="D64" s="711"/>
      <c r="E64" s="30"/>
      <c r="F64" s="30"/>
      <c r="G64" s="30"/>
      <c r="H64" s="745"/>
      <c r="I64" s="754"/>
      <c r="J64" s="30"/>
      <c r="K64" s="762"/>
    </row>
    <row r="65" spans="1:11" ht="15.5">
      <c r="A65" s="760"/>
      <c r="B65" s="695" t="s">
        <v>790</v>
      </c>
      <c r="C65" s="718">
        <v>7.8775758197752104E-5</v>
      </c>
      <c r="D65" s="711"/>
      <c r="E65" s="30"/>
      <c r="F65" s="30"/>
      <c r="G65" s="30"/>
      <c r="H65" s="745"/>
      <c r="I65" s="754"/>
      <c r="J65" s="30"/>
      <c r="K65" s="762"/>
    </row>
    <row r="66" spans="1:11" ht="15.5">
      <c r="A66" s="760"/>
      <c r="B66" s="695" t="s">
        <v>791</v>
      </c>
      <c r="C66" s="718">
        <v>7.2377727075092002E-5</v>
      </c>
      <c r="D66" s="711"/>
      <c r="E66" s="30"/>
      <c r="F66" s="30"/>
      <c r="G66" s="30"/>
      <c r="H66" s="745"/>
      <c r="I66" s="754"/>
      <c r="J66" s="30"/>
      <c r="K66" s="762"/>
    </row>
    <row r="67" spans="1:11" ht="15.5">
      <c r="A67" s="760"/>
      <c r="B67" s="695" t="s">
        <v>792</v>
      </c>
      <c r="C67" s="718">
        <v>6.41802496991838E-5</v>
      </c>
      <c r="D67" s="711"/>
      <c r="E67" s="30"/>
      <c r="F67" s="30"/>
      <c r="G67" s="30"/>
      <c r="H67" s="745"/>
      <c r="I67" s="754"/>
      <c r="J67" s="30"/>
      <c r="K67" s="762"/>
    </row>
    <row r="68" spans="1:11" ht="15.5">
      <c r="A68" s="760"/>
      <c r="B68" s="695" t="s">
        <v>793</v>
      </c>
      <c r="C68" s="718">
        <v>0</v>
      </c>
      <c r="D68" s="711"/>
      <c r="E68" s="30"/>
      <c r="F68" s="30"/>
      <c r="G68" s="30"/>
      <c r="H68" s="745"/>
      <c r="I68" s="754"/>
      <c r="J68" s="30"/>
      <c r="K68" s="762"/>
    </row>
    <row r="69" spans="1:11" ht="15.5">
      <c r="A69" s="760"/>
      <c r="B69" s="695" t="s">
        <v>794</v>
      </c>
      <c r="C69" s="718">
        <v>1.1496462173529801E-3</v>
      </c>
      <c r="D69" s="711"/>
      <c r="E69" s="30"/>
      <c r="F69" s="30"/>
      <c r="G69" s="30"/>
      <c r="H69" s="745"/>
      <c r="I69" s="754"/>
      <c r="J69" s="30"/>
      <c r="K69" s="762"/>
    </row>
    <row r="70" spans="1:11" ht="15.5">
      <c r="A70" s="760"/>
      <c r="B70" s="701" t="s">
        <v>673</v>
      </c>
      <c r="C70" s="690">
        <v>0.98000492877082102</v>
      </c>
      <c r="D70" s="711"/>
      <c r="E70" s="30"/>
      <c r="F70" s="30"/>
      <c r="G70" s="30"/>
      <c r="H70" s="745"/>
      <c r="I70" s="754"/>
      <c r="J70" s="30"/>
      <c r="K70" s="762"/>
    </row>
    <row r="71" spans="1:11" ht="15.5">
      <c r="A71" s="760"/>
      <c r="B71" s="701" t="s">
        <v>795</v>
      </c>
      <c r="C71" s="690">
        <v>0</v>
      </c>
      <c r="D71" s="711"/>
      <c r="E71" s="30"/>
      <c r="F71" s="30"/>
      <c r="G71" s="30"/>
      <c r="H71" s="745"/>
      <c r="I71" s="754"/>
      <c r="J71" s="30"/>
      <c r="K71" s="762"/>
    </row>
    <row r="72" spans="1:11" ht="15.5">
      <c r="A72" s="760"/>
      <c r="B72" s="701" t="s">
        <v>796</v>
      </c>
      <c r="C72" s="690">
        <v>6.6179634425015104E-5</v>
      </c>
      <c r="D72" s="711"/>
      <c r="E72" s="30"/>
      <c r="F72" s="30"/>
      <c r="G72" s="30"/>
      <c r="H72" s="745"/>
      <c r="I72" s="754"/>
      <c r="J72" s="30"/>
      <c r="K72" s="762"/>
    </row>
    <row r="73" spans="1:11" ht="15.5">
      <c r="A73" s="760"/>
      <c r="B73" s="693" t="s">
        <v>101</v>
      </c>
      <c r="C73" s="716">
        <v>1.2156259133054099E-3</v>
      </c>
      <c r="D73" s="711"/>
      <c r="E73" s="30"/>
      <c r="F73" s="30"/>
      <c r="G73" s="30"/>
      <c r="H73" s="745"/>
      <c r="I73" s="754"/>
      <c r="J73" s="30"/>
      <c r="K73" s="762"/>
    </row>
    <row r="74" spans="1:11" ht="15.5">
      <c r="A74" s="760"/>
      <c r="B74" s="696" t="s">
        <v>117</v>
      </c>
      <c r="C74" s="717">
        <v>1.16764067988546E-3</v>
      </c>
      <c r="D74" s="711"/>
      <c r="E74" s="30"/>
      <c r="F74" s="30"/>
      <c r="G74" s="30"/>
      <c r="H74" s="745"/>
      <c r="I74" s="754"/>
      <c r="J74" s="30"/>
      <c r="K74" s="762"/>
    </row>
    <row r="75" spans="1:11" ht="15.5">
      <c r="A75" s="760"/>
      <c r="B75" s="701" t="s">
        <v>797</v>
      </c>
      <c r="C75" s="690">
        <v>0</v>
      </c>
      <c r="D75" s="711"/>
      <c r="E75" s="30"/>
      <c r="F75" s="30"/>
      <c r="G75" s="30"/>
      <c r="H75" s="745"/>
      <c r="I75" s="754"/>
      <c r="J75" s="30"/>
      <c r="K75" s="762"/>
    </row>
    <row r="76" spans="1:11" ht="15.5">
      <c r="A76" s="760"/>
      <c r="B76" s="701" t="s">
        <v>798</v>
      </c>
      <c r="C76" s="690">
        <v>0</v>
      </c>
      <c r="D76" s="711"/>
      <c r="E76" s="30"/>
      <c r="F76" s="30"/>
      <c r="G76" s="30"/>
      <c r="H76" s="745"/>
      <c r="I76" s="754"/>
      <c r="J76" s="30"/>
      <c r="K76" s="762"/>
    </row>
    <row r="77" spans="1:11" ht="15.5">
      <c r="A77" s="760"/>
      <c r="B77" s="701" t="s">
        <v>799</v>
      </c>
      <c r="C77" s="690">
        <v>0</v>
      </c>
      <c r="D77" s="711"/>
      <c r="E77" s="30"/>
      <c r="F77" s="30"/>
      <c r="G77" s="30"/>
      <c r="H77" s="745"/>
      <c r="I77" s="754"/>
      <c r="J77" s="30"/>
      <c r="K77" s="762"/>
    </row>
    <row r="78" spans="1:11" ht="16" thickBot="1">
      <c r="A78" s="760"/>
      <c r="B78" s="701" t="s">
        <v>0</v>
      </c>
      <c r="C78" s="690">
        <v>0</v>
      </c>
      <c r="D78" s="711"/>
      <c r="E78" s="30"/>
      <c r="F78" s="30"/>
      <c r="G78" s="30"/>
      <c r="H78" s="745"/>
      <c r="I78" s="754"/>
      <c r="J78" s="30"/>
      <c r="K78" s="762"/>
    </row>
    <row r="79" spans="1:11" ht="16" thickBot="1">
      <c r="A79" s="768"/>
      <c r="B79" s="741" t="s">
        <v>753</v>
      </c>
      <c r="C79" s="710">
        <v>100</v>
      </c>
      <c r="D79" s="769"/>
      <c r="E79" s="770"/>
      <c r="F79" s="770"/>
      <c r="G79" s="770"/>
      <c r="H79" s="771"/>
      <c r="I79" s="772"/>
      <c r="J79" s="770"/>
      <c r="K79" s="773"/>
    </row>
    <row r="80" spans="1:11" ht="15.5">
      <c r="B80" s="697"/>
      <c r="C80" s="688"/>
      <c r="D80" s="688"/>
      <c r="H80" s="699"/>
      <c r="I80" s="698"/>
    </row>
    <row r="81" spans="2:9" ht="15.5">
      <c r="B81" s="686"/>
      <c r="C81" s="686"/>
      <c r="D81" s="686"/>
      <c r="H81" s="699"/>
      <c r="I81" s="698"/>
    </row>
    <row r="82" spans="2:9" ht="15.5">
      <c r="B82" s="686"/>
      <c r="C82" s="686"/>
      <c r="D82" s="686"/>
      <c r="H82" s="699"/>
      <c r="I82" s="698"/>
    </row>
    <row r="83" spans="2:9" ht="15.5">
      <c r="B83" s="686"/>
      <c r="C83" s="686"/>
      <c r="D83" s="686"/>
      <c r="H83" s="699"/>
      <c r="I83" s="698"/>
    </row>
    <row r="84" spans="2:9" ht="15.5">
      <c r="B84" s="686"/>
      <c r="C84" s="686"/>
      <c r="D84" s="686"/>
      <c r="H84" s="699"/>
      <c r="I84" s="698"/>
    </row>
    <row r="85" spans="2:9" ht="15.5">
      <c r="B85" s="686"/>
      <c r="C85" s="686"/>
      <c r="D85" s="686"/>
      <c r="H85" s="699"/>
      <c r="I85" s="698"/>
    </row>
    <row r="86" spans="2:9" ht="15.5">
      <c r="B86" s="686"/>
      <c r="C86" s="686"/>
      <c r="D86" s="686"/>
      <c r="H86" s="699"/>
      <c r="I86" s="698"/>
    </row>
    <row r="87" spans="2:9" ht="15.5">
      <c r="B87" s="686"/>
      <c r="C87" s="686"/>
      <c r="D87" s="686"/>
      <c r="H87" s="699"/>
      <c r="I87" s="698"/>
    </row>
    <row r="88" spans="2:9" ht="15.5">
      <c r="B88" s="686"/>
      <c r="C88" s="686"/>
      <c r="D88" s="686"/>
      <c r="H88" s="699"/>
      <c r="I88" s="698"/>
    </row>
    <row r="89" spans="2:9" ht="15.5">
      <c r="B89" s="686"/>
      <c r="C89" s="686"/>
      <c r="D89" s="686"/>
      <c r="H89" s="699"/>
      <c r="I89" s="698"/>
    </row>
    <row r="90" spans="2:9" ht="15.5">
      <c r="B90" s="686"/>
      <c r="C90" s="686"/>
      <c r="D90" s="686"/>
      <c r="H90" s="699"/>
      <c r="I90" s="698"/>
    </row>
    <row r="91" spans="2:9" ht="15.5">
      <c r="B91" s="686"/>
      <c r="C91" s="686"/>
      <c r="D91" s="686"/>
      <c r="H91" s="699"/>
      <c r="I91" s="698"/>
    </row>
    <row r="92" spans="2:9" ht="15.5">
      <c r="B92" s="686"/>
      <c r="C92" s="686"/>
      <c r="D92" s="686"/>
      <c r="H92" s="699"/>
      <c r="I92" s="698"/>
    </row>
    <row r="93" spans="2:9" ht="15.5">
      <c r="B93" s="686"/>
      <c r="C93" s="686"/>
      <c r="D93" s="686"/>
      <c r="H93" s="699"/>
      <c r="I93" s="698"/>
    </row>
    <row r="94" spans="2:9" ht="15.5">
      <c r="B94" s="686"/>
      <c r="C94" s="686"/>
      <c r="D94" s="686"/>
      <c r="H94" s="699"/>
    </row>
    <row r="95" spans="2:9" ht="15.5">
      <c r="B95" s="686"/>
      <c r="C95" s="686"/>
      <c r="D95" s="686"/>
      <c r="H95" s="699"/>
      <c r="I95" s="698"/>
    </row>
    <row r="96" spans="2:9" ht="15.5">
      <c r="B96" s="686"/>
      <c r="C96" s="686"/>
      <c r="D96" s="686"/>
      <c r="H96" s="699"/>
    </row>
    <row r="97" spans="2:9" ht="15.5">
      <c r="B97" s="686"/>
      <c r="C97" s="686"/>
      <c r="D97" s="686"/>
      <c r="H97" s="699"/>
    </row>
    <row r="98" spans="2:9" ht="15.5">
      <c r="B98" s="686"/>
      <c r="C98" s="686"/>
      <c r="D98" s="686"/>
      <c r="H98" s="699"/>
      <c r="I98" s="698"/>
    </row>
    <row r="99" spans="2:9" ht="15.5">
      <c r="B99" s="686"/>
      <c r="C99" s="686"/>
      <c r="D99" s="686"/>
      <c r="H99" s="699"/>
      <c r="I99" s="698"/>
    </row>
    <row r="100" spans="2:9" ht="15.5">
      <c r="B100" s="686"/>
      <c r="C100" s="686"/>
      <c r="D100" s="686"/>
      <c r="H100" s="699"/>
      <c r="I100" s="698"/>
    </row>
    <row r="101" spans="2:9" ht="15.5">
      <c r="B101" s="686"/>
      <c r="C101" s="686"/>
      <c r="D101" s="686"/>
      <c r="H101" s="699"/>
    </row>
    <row r="102" spans="2:9" ht="15.5">
      <c r="B102" s="686"/>
      <c r="C102" s="686"/>
      <c r="D102" s="686"/>
      <c r="H102" s="699"/>
    </row>
    <row r="103" spans="2:9" ht="14.75" customHeight="1">
      <c r="B103" s="686"/>
      <c r="C103" s="686"/>
      <c r="D103" s="686"/>
      <c r="H103" s="699"/>
    </row>
    <row r="104" spans="2:9" ht="15.5">
      <c r="B104" s="686"/>
      <c r="C104" s="686"/>
      <c r="D104" s="686"/>
      <c r="H104" s="699"/>
    </row>
    <row r="105" spans="2:9" ht="15.5">
      <c r="B105" s="686"/>
      <c r="C105" s="686"/>
      <c r="D105" s="686"/>
      <c r="H105" s="699"/>
    </row>
    <row r="106" spans="2:9" ht="15.5">
      <c r="B106" s="686"/>
      <c r="C106" s="686"/>
      <c r="D106" s="686"/>
      <c r="H106" s="699"/>
    </row>
    <row r="107" spans="2:9" ht="15.5">
      <c r="B107" s="686"/>
      <c r="C107" s="686"/>
      <c r="D107" s="686"/>
    </row>
    <row r="108" spans="2:9" ht="15.5">
      <c r="B108" s="686"/>
      <c r="C108" s="686"/>
      <c r="D108" s="686"/>
      <c r="H108" s="700"/>
    </row>
    <row r="109" spans="2:9" ht="15.5">
      <c r="B109" s="686"/>
      <c r="C109" s="686"/>
      <c r="D109" s="686"/>
    </row>
    <row r="110" spans="2:9" ht="15.5">
      <c r="B110" s="686"/>
      <c r="C110" s="686"/>
      <c r="D110" s="686"/>
    </row>
    <row r="111" spans="2:9" ht="15.5">
      <c r="B111" s="686"/>
      <c r="C111" s="686"/>
      <c r="D111" s="686"/>
    </row>
    <row r="112" spans="2:9" ht="15.5">
      <c r="B112" s="686"/>
      <c r="C112" s="686"/>
      <c r="D112" s="686"/>
    </row>
    <row r="113" spans="2:4" ht="15.5">
      <c r="B113" s="686"/>
      <c r="C113" s="686"/>
      <c r="D113" s="686"/>
    </row>
    <row r="114" spans="2:4" ht="15.5">
      <c r="B114" s="686"/>
      <c r="C114" s="686"/>
      <c r="D114" s="686"/>
    </row>
  </sheetData>
  <mergeCells count="12">
    <mergeCell ref="N50:O50"/>
    <mergeCell ref="B2:J2"/>
    <mergeCell ref="B3:J3"/>
    <mergeCell ref="B4:J4"/>
    <mergeCell ref="A6:K6"/>
    <mergeCell ref="B9:C9"/>
    <mergeCell ref="G9:H9"/>
    <mergeCell ref="B10:B11"/>
    <mergeCell ref="C10:C11"/>
    <mergeCell ref="G10:G11"/>
    <mergeCell ref="H10:H11"/>
    <mergeCell ref="G43:H43"/>
  </mergeCells>
  <pageMargins left="0.75" right="0.75" top="1" bottom="1" header="0.5" footer="0.5"/>
  <pageSetup scale="48"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8">
    <tabColor rgb="FF00FFCC"/>
  </sheetPr>
  <dimension ref="A1:Q114"/>
  <sheetViews>
    <sheetView view="pageBreakPreview" topLeftCell="A4" zoomScale="85" zoomScaleNormal="100" zoomScaleSheetLayoutView="85" workbookViewId="0">
      <selection activeCell="I10" sqref="I10:I11"/>
    </sheetView>
  </sheetViews>
  <sheetFormatPr defaultRowHeight="12.5"/>
  <cols>
    <col min="1" max="1" width="9.36328125" style="47"/>
    <col min="2" max="2" width="24.453125" style="47" customWidth="1"/>
    <col min="3" max="3" width="16.54296875" style="47" customWidth="1"/>
    <col min="4" max="4" width="5.36328125" style="47" customWidth="1"/>
    <col min="5" max="5" width="9.36328125" style="47"/>
    <col min="6" max="6" width="2.453125" style="47" customWidth="1"/>
    <col min="7" max="7" width="23.453125" style="47" customWidth="1"/>
    <col min="8" max="9" width="17.453125" style="47" customWidth="1"/>
    <col min="10" max="10" width="9.36328125" style="47"/>
    <col min="11" max="11" width="2.54296875" style="47" customWidth="1"/>
    <col min="12" max="12" width="9.36328125" style="47"/>
  </cols>
  <sheetData>
    <row r="1" spans="1:17" ht="13" thickBot="1">
      <c r="A1" s="774"/>
      <c r="B1" s="775"/>
      <c r="C1" s="775"/>
      <c r="D1" s="775"/>
      <c r="E1" s="775"/>
      <c r="F1" s="775"/>
      <c r="G1" s="775"/>
      <c r="H1" s="775"/>
      <c r="I1" s="775"/>
      <c r="J1" s="775"/>
      <c r="K1" s="775"/>
      <c r="L1" s="776"/>
    </row>
    <row r="2" spans="1:17" ht="18">
      <c r="A2" s="643"/>
      <c r="B2" s="4480" t="str">
        <f>'TO Hrly (TO1-TO3)'!B2:M2</f>
        <v>XTO ENERGY INC.</v>
      </c>
      <c r="C2" s="4481"/>
      <c r="D2" s="4481"/>
      <c r="E2" s="4481"/>
      <c r="F2" s="4481"/>
      <c r="G2" s="4481"/>
      <c r="H2" s="4481"/>
      <c r="I2" s="4481"/>
      <c r="J2" s="4481"/>
      <c r="K2" s="4482"/>
      <c r="L2" s="644"/>
    </row>
    <row r="3" spans="1:17" ht="18">
      <c r="A3" s="643"/>
      <c r="B3" s="4483" t="str">
        <f>'TO Hrly (TO1-TO3)'!B3:M3</f>
        <v>HUSKY CDP</v>
      </c>
      <c r="C3" s="4484"/>
      <c r="D3" s="4484"/>
      <c r="E3" s="4484"/>
      <c r="F3" s="4484"/>
      <c r="G3" s="4484"/>
      <c r="H3" s="4484"/>
      <c r="I3" s="4484"/>
      <c r="J3" s="4484"/>
      <c r="K3" s="4485"/>
      <c r="L3" s="644"/>
    </row>
    <row r="4" spans="1:17" ht="18.5" thickBot="1">
      <c r="A4" s="643"/>
      <c r="B4" s="5067" t="s">
        <v>809</v>
      </c>
      <c r="C4" s="5068"/>
      <c r="D4" s="5068"/>
      <c r="E4" s="5068"/>
      <c r="F4" s="5068"/>
      <c r="G4" s="5068"/>
      <c r="H4" s="5068"/>
      <c r="I4" s="4487"/>
      <c r="J4" s="5068"/>
      <c r="K4" s="5069"/>
      <c r="L4" s="644"/>
    </row>
    <row r="5" spans="1:17" ht="18.5" thickBot="1">
      <c r="A5" s="645"/>
      <c r="B5" s="646"/>
      <c r="C5" s="646"/>
      <c r="D5" s="646"/>
      <c r="E5" s="646"/>
      <c r="F5" s="646"/>
      <c r="G5" s="646"/>
      <c r="H5" s="646"/>
      <c r="I5" s="1215"/>
      <c r="J5" s="646"/>
      <c r="K5" s="646"/>
      <c r="L5" s="647"/>
    </row>
    <row r="6" spans="1:17" ht="13.5" thickBot="1">
      <c r="A6" s="4779" t="s">
        <v>1299</v>
      </c>
      <c r="B6" s="4689"/>
      <c r="C6" s="4689"/>
      <c r="D6" s="4689"/>
      <c r="E6" s="4689"/>
      <c r="F6" s="4689"/>
      <c r="G6" s="4689"/>
      <c r="H6" s="4689"/>
      <c r="I6" s="4689"/>
      <c r="J6" s="4689"/>
      <c r="K6" s="4689"/>
      <c r="L6" s="4780"/>
    </row>
    <row r="7" spans="1:17" ht="16" thickBot="1">
      <c r="A7" s="760"/>
      <c r="B7" s="30"/>
      <c r="C7" s="761"/>
      <c r="D7" s="761"/>
      <c r="E7" s="746"/>
      <c r="F7" s="30"/>
      <c r="G7" s="747"/>
      <c r="H7" s="748"/>
      <c r="I7" s="748"/>
      <c r="J7" s="746"/>
      <c r="K7" s="30"/>
      <c r="L7" s="762"/>
    </row>
    <row r="8" spans="1:17" s="47" customFormat="1" ht="35.25" customHeight="1" thickBot="1">
      <c r="A8" s="760"/>
      <c r="B8" s="2583" t="s">
        <v>1781</v>
      </c>
      <c r="C8" s="2584" t="s">
        <v>1787</v>
      </c>
      <c r="D8" s="761"/>
      <c r="E8" s="746"/>
      <c r="F8" s="30"/>
      <c r="G8" s="2583" t="s">
        <v>1782</v>
      </c>
      <c r="H8" s="5085" t="s">
        <v>1305</v>
      </c>
      <c r="I8" s="5086"/>
      <c r="J8" s="746"/>
      <c r="K8" s="30"/>
      <c r="L8" s="762"/>
    </row>
    <row r="9" spans="1:17" ht="16" thickBot="1">
      <c r="A9" s="760"/>
      <c r="B9" s="5087" t="s">
        <v>807</v>
      </c>
      <c r="C9" s="5088"/>
      <c r="D9" s="749"/>
      <c r="E9" s="746"/>
      <c r="F9" s="30"/>
      <c r="G9" s="5072" t="s">
        <v>808</v>
      </c>
      <c r="H9" s="5073"/>
      <c r="I9" s="5074"/>
      <c r="J9" s="746"/>
      <c r="K9" s="30"/>
      <c r="L9" s="762"/>
    </row>
    <row r="10" spans="1:17" ht="15.5">
      <c r="A10" s="760"/>
      <c r="B10" s="5075" t="s">
        <v>2</v>
      </c>
      <c r="C10" s="5077" t="s">
        <v>746</v>
      </c>
      <c r="D10" s="750"/>
      <c r="E10" s="746"/>
      <c r="F10" s="30"/>
      <c r="G10" s="5079" t="s">
        <v>2</v>
      </c>
      <c r="H10" s="5081" t="s">
        <v>746</v>
      </c>
      <c r="I10" s="5083" t="s">
        <v>1228</v>
      </c>
      <c r="J10" s="746"/>
      <c r="K10" s="30"/>
      <c r="L10" s="762"/>
    </row>
    <row r="11" spans="1:17" ht="16" thickBot="1">
      <c r="A11" s="760"/>
      <c r="B11" s="5076"/>
      <c r="C11" s="5078"/>
      <c r="D11" s="750"/>
      <c r="E11" s="30"/>
      <c r="F11" s="30"/>
      <c r="G11" s="5080"/>
      <c r="H11" s="5082"/>
      <c r="I11" s="5084"/>
      <c r="J11" s="754"/>
      <c r="K11" s="30"/>
      <c r="L11" s="762"/>
    </row>
    <row r="12" spans="1:17" ht="18">
      <c r="A12" s="760"/>
      <c r="B12" s="687" t="s">
        <v>755</v>
      </c>
      <c r="C12" s="689">
        <v>0</v>
      </c>
      <c r="D12" s="711"/>
      <c r="E12" s="751"/>
      <c r="F12" s="30"/>
      <c r="G12" s="738" t="s">
        <v>298</v>
      </c>
      <c r="H12" s="1218">
        <f>C70</f>
        <v>5.2698716201257699E-3</v>
      </c>
      <c r="I12" s="1323">
        <f>Q12</f>
        <v>0.20964960646719999</v>
      </c>
      <c r="J12" s="755"/>
      <c r="K12" s="755"/>
      <c r="L12" s="763"/>
      <c r="Q12" s="47">
        <v>0.20964960646719999</v>
      </c>
    </row>
    <row r="13" spans="1:17" ht="18">
      <c r="A13" s="760"/>
      <c r="B13" s="687" t="s">
        <v>47</v>
      </c>
      <c r="C13" s="689">
        <v>0</v>
      </c>
      <c r="D13" s="711"/>
      <c r="E13" s="746"/>
      <c r="F13" s="30"/>
      <c r="G13" s="720" t="s">
        <v>5</v>
      </c>
      <c r="H13" s="1218">
        <f t="shared" ref="H13:H20" si="0">C13</f>
        <v>0</v>
      </c>
      <c r="I13" s="1323">
        <f t="shared" ref="I13:I39" si="1">Q13</f>
        <v>0</v>
      </c>
      <c r="J13" s="743"/>
      <c r="K13" s="743"/>
      <c r="L13" s="764"/>
      <c r="Q13" s="47">
        <v>0</v>
      </c>
    </row>
    <row r="14" spans="1:17" ht="18">
      <c r="A14" s="760"/>
      <c r="B14" s="687" t="s">
        <v>4</v>
      </c>
      <c r="C14" s="689">
        <v>1.86757752482307E-8</v>
      </c>
      <c r="D14" s="711"/>
      <c r="E14" s="30"/>
      <c r="F14" s="30"/>
      <c r="G14" s="720" t="s">
        <v>4</v>
      </c>
      <c r="H14" s="1218">
        <f t="shared" si="0"/>
        <v>1.86757752482307E-8</v>
      </c>
      <c r="I14" s="1323">
        <f t="shared" si="1"/>
        <v>0</v>
      </c>
      <c r="J14" s="743"/>
      <c r="K14" s="743"/>
      <c r="L14" s="764"/>
      <c r="Q14" s="47">
        <v>0</v>
      </c>
    </row>
    <row r="15" spans="1:17" ht="18">
      <c r="A15" s="760"/>
      <c r="B15" s="687" t="s">
        <v>290</v>
      </c>
      <c r="C15" s="689">
        <v>5.1369040723443099E-4</v>
      </c>
      <c r="D15" s="711"/>
      <c r="E15" s="751"/>
      <c r="F15" s="30"/>
      <c r="G15" s="720" t="s">
        <v>3</v>
      </c>
      <c r="H15" s="1218">
        <f t="shared" si="0"/>
        <v>5.1369040723443099E-4</v>
      </c>
      <c r="I15" s="1323">
        <f t="shared" si="1"/>
        <v>4.8316292780459999E-2</v>
      </c>
      <c r="J15" s="743"/>
      <c r="K15" s="743"/>
      <c r="L15" s="764"/>
      <c r="Q15" s="47">
        <v>4.8316292780459999E-2</v>
      </c>
    </row>
    <row r="16" spans="1:17" ht="18">
      <c r="A16" s="760"/>
      <c r="B16" s="687" t="s">
        <v>6</v>
      </c>
      <c r="C16" s="689">
        <v>1.91057932017764E-4</v>
      </c>
      <c r="D16" s="711"/>
      <c r="E16" s="752"/>
      <c r="F16" s="30"/>
      <c r="G16" s="720" t="s">
        <v>6</v>
      </c>
      <c r="H16" s="1218">
        <f>C16</f>
        <v>1.91057932017764E-4</v>
      </c>
      <c r="I16" s="1323">
        <f t="shared" si="1"/>
        <v>7.044953423954E-3</v>
      </c>
      <c r="J16" s="743"/>
      <c r="K16" s="743"/>
      <c r="L16" s="764"/>
      <c r="Q16" s="47">
        <v>7.044953423954E-3</v>
      </c>
    </row>
    <row r="17" spans="1:17" ht="18">
      <c r="A17" s="760"/>
      <c r="B17" s="687" t="s">
        <v>7</v>
      </c>
      <c r="C17" s="689">
        <v>0.150006580531274</v>
      </c>
      <c r="D17" s="711"/>
      <c r="E17" s="753"/>
      <c r="F17" s="30"/>
      <c r="G17" s="720" t="s">
        <v>7</v>
      </c>
      <c r="H17" s="1218">
        <f t="shared" si="0"/>
        <v>0.150006580531274</v>
      </c>
      <c r="I17" s="1323">
        <f t="shared" si="1"/>
        <v>9.9034836133140001</v>
      </c>
      <c r="J17" s="743"/>
      <c r="K17" s="743"/>
      <c r="L17" s="764"/>
      <c r="Q17" s="47">
        <v>9.9034836133140001</v>
      </c>
    </row>
    <row r="18" spans="1:17" ht="18">
      <c r="A18" s="760"/>
      <c r="B18" s="687" t="s">
        <v>8</v>
      </c>
      <c r="C18" s="689">
        <v>0.64910901250325004</v>
      </c>
      <c r="D18" s="711"/>
      <c r="E18" s="753"/>
      <c r="F18" s="30"/>
      <c r="G18" s="720" t="s">
        <v>8</v>
      </c>
      <c r="H18" s="1218">
        <f t="shared" si="0"/>
        <v>0.64910901250325004</v>
      </c>
      <c r="I18" s="1323">
        <f t="shared" si="1"/>
        <v>62.846953174589999</v>
      </c>
      <c r="J18" s="743"/>
      <c r="K18" s="743"/>
      <c r="L18" s="764"/>
      <c r="Q18" s="47">
        <v>62.846953174589999</v>
      </c>
    </row>
    <row r="19" spans="1:17" ht="18">
      <c r="A19" s="760"/>
      <c r="B19" s="687" t="s">
        <v>678</v>
      </c>
      <c r="C19" s="689">
        <v>5.88231837950332E-2</v>
      </c>
      <c r="D19" s="711"/>
      <c r="E19" s="753"/>
      <c r="F19" s="30"/>
      <c r="G19" s="720" t="s">
        <v>747</v>
      </c>
      <c r="H19" s="1218">
        <f t="shared" si="0"/>
        <v>5.88231837950332E-2</v>
      </c>
      <c r="I19" s="1323">
        <f t="shared" si="1"/>
        <v>7.5040641159729997</v>
      </c>
      <c r="J19" s="743"/>
      <c r="K19" s="743"/>
      <c r="L19" s="764"/>
      <c r="Q19" s="47">
        <v>7.5040641159729997</v>
      </c>
    </row>
    <row r="20" spans="1:17" ht="18">
      <c r="A20" s="760"/>
      <c r="B20" s="777" t="s">
        <v>67</v>
      </c>
      <c r="C20" s="690">
        <v>9.1918993407033703E-2</v>
      </c>
      <c r="D20" s="711"/>
      <c r="E20" s="753"/>
      <c r="F20" s="30"/>
      <c r="G20" s="720" t="s">
        <v>748</v>
      </c>
      <c r="H20" s="1218">
        <f t="shared" si="0"/>
        <v>9.1918993407033703E-2</v>
      </c>
      <c r="I20" s="1323">
        <f t="shared" si="1"/>
        <v>11.728290684659999</v>
      </c>
      <c r="J20" s="743"/>
      <c r="K20" s="743"/>
      <c r="L20" s="764"/>
      <c r="Q20" s="47">
        <v>11.728290684659999</v>
      </c>
    </row>
    <row r="21" spans="1:17" ht="18">
      <c r="A21" s="760"/>
      <c r="B21" s="706" t="s">
        <v>756</v>
      </c>
      <c r="C21" s="712">
        <v>5.7334055293105498E-4</v>
      </c>
      <c r="D21" s="711"/>
      <c r="E21" s="753"/>
      <c r="F21" s="30"/>
      <c r="G21" s="720" t="s">
        <v>749</v>
      </c>
      <c r="H21" s="1218">
        <f>C22</f>
        <v>1.2513539194920801E-2</v>
      </c>
      <c r="I21" s="1323">
        <f t="shared" si="1"/>
        <v>1.9802324374469999</v>
      </c>
      <c r="J21" s="743"/>
      <c r="K21" s="743"/>
      <c r="L21" s="764"/>
      <c r="Q21" s="47">
        <v>1.9802324374469999</v>
      </c>
    </row>
    <row r="22" spans="1:17" ht="18">
      <c r="A22" s="760"/>
      <c r="B22" s="687" t="s">
        <v>679</v>
      </c>
      <c r="C22" s="689">
        <v>1.2513539194920801E-2</v>
      </c>
      <c r="D22" s="711"/>
      <c r="E22" s="753"/>
      <c r="F22" s="30"/>
      <c r="G22" s="720" t="s">
        <v>750</v>
      </c>
      <c r="H22" s="1218">
        <f>C23</f>
        <v>1.20161078525256E-2</v>
      </c>
      <c r="I22" s="1323">
        <f t="shared" si="1"/>
        <v>1.9010231399490001</v>
      </c>
      <c r="J22" s="743"/>
      <c r="K22" s="743"/>
      <c r="L22" s="764"/>
      <c r="Q22" s="47">
        <v>1.9010231399490001</v>
      </c>
    </row>
    <row r="23" spans="1:17" ht="18">
      <c r="A23" s="760"/>
      <c r="B23" s="691" t="s">
        <v>69</v>
      </c>
      <c r="C23" s="689">
        <v>1.20161078525256E-2</v>
      </c>
      <c r="D23" s="711"/>
      <c r="E23" s="30"/>
      <c r="F23" s="30"/>
      <c r="G23" s="720" t="s">
        <v>800</v>
      </c>
      <c r="H23" s="1218">
        <f>C25</f>
        <v>0</v>
      </c>
      <c r="I23" s="1323">
        <f t="shared" si="1"/>
        <v>0</v>
      </c>
      <c r="J23" s="743"/>
      <c r="K23" s="743"/>
      <c r="L23" s="764"/>
      <c r="Q23" s="47">
        <v>0</v>
      </c>
    </row>
    <row r="24" spans="1:17" ht="18">
      <c r="A24" s="760"/>
      <c r="B24" s="707" t="s">
        <v>757</v>
      </c>
      <c r="C24" s="712">
        <v>7.0866051577956596E-5</v>
      </c>
      <c r="D24" s="711"/>
      <c r="E24" s="30"/>
      <c r="F24" s="30"/>
      <c r="G24" s="721" t="s">
        <v>292</v>
      </c>
      <c r="H24" s="1219">
        <f>SUM(C21,C24,C26:C28)</f>
        <v>4.4605957575949194E-3</v>
      </c>
      <c r="I24" s="1323">
        <f t="shared" si="1"/>
        <v>0.85147673384129996</v>
      </c>
      <c r="J24" s="743"/>
      <c r="K24" s="743"/>
      <c r="L24" s="764"/>
      <c r="Q24" s="47">
        <v>0.85147673384129996</v>
      </c>
    </row>
    <row r="25" spans="1:17" ht="18">
      <c r="A25" s="760"/>
      <c r="B25" s="691" t="s">
        <v>99</v>
      </c>
      <c r="C25" s="689">
        <v>0</v>
      </c>
      <c r="D25" s="711"/>
      <c r="E25" s="30"/>
      <c r="F25" s="30"/>
      <c r="G25" s="720" t="s">
        <v>10</v>
      </c>
      <c r="H25" s="1218">
        <f>C29</f>
        <v>2.2742621026856E-3</v>
      </c>
      <c r="I25" s="1323">
        <f t="shared" si="1"/>
        <v>0.4351992195189</v>
      </c>
      <c r="J25" s="743"/>
      <c r="K25" s="743"/>
      <c r="L25" s="764"/>
      <c r="Q25" s="47">
        <v>0.4351992195189</v>
      </c>
    </row>
    <row r="26" spans="1:17" ht="18">
      <c r="A26" s="760"/>
      <c r="B26" s="707" t="s">
        <v>758</v>
      </c>
      <c r="C26" s="712">
        <v>7.9283514021517799E-4</v>
      </c>
      <c r="D26" s="711"/>
      <c r="E26" s="30"/>
      <c r="F26" s="30"/>
      <c r="G26" s="720" t="s">
        <v>9</v>
      </c>
      <c r="H26" s="1218">
        <f>C31</f>
        <v>1.8013863640645401E-3</v>
      </c>
      <c r="I26" s="1323">
        <f t="shared" si="1"/>
        <v>0.33262333526510002</v>
      </c>
      <c r="J26" s="743"/>
      <c r="K26" s="743"/>
      <c r="L26" s="764"/>
      <c r="Q26" s="47">
        <v>0.33262333526510002</v>
      </c>
    </row>
    <row r="27" spans="1:17" ht="18">
      <c r="A27" s="760"/>
      <c r="B27" s="707" t="s">
        <v>759</v>
      </c>
      <c r="C27" s="712">
        <v>1.9632995966950102E-3</v>
      </c>
      <c r="D27" s="711"/>
      <c r="E27" s="30"/>
      <c r="F27" s="30"/>
      <c r="G27" s="720" t="s">
        <v>11</v>
      </c>
      <c r="H27" s="1218">
        <f>C32</f>
        <v>1.8933235224946499E-3</v>
      </c>
      <c r="I27" s="1323">
        <f t="shared" si="1"/>
        <v>0.32587244158709999</v>
      </c>
      <c r="J27" s="743"/>
      <c r="K27" s="743"/>
      <c r="L27" s="764"/>
      <c r="Q27" s="47">
        <v>0.32587244158709999</v>
      </c>
    </row>
    <row r="28" spans="1:17" ht="18">
      <c r="A28" s="760"/>
      <c r="B28" s="707" t="s">
        <v>760</v>
      </c>
      <c r="C28" s="712">
        <v>1.06025441617572E-3</v>
      </c>
      <c r="D28" s="711"/>
      <c r="E28" s="30"/>
      <c r="F28" s="30"/>
      <c r="G28" s="720" t="s">
        <v>12</v>
      </c>
      <c r="H28" s="1218">
        <f>C33</f>
        <v>3.4228034720090602E-3</v>
      </c>
      <c r="I28" s="1323">
        <f t="shared" si="1"/>
        <v>0.62828852216749997</v>
      </c>
      <c r="J28" s="743"/>
      <c r="K28" s="743"/>
      <c r="L28" s="764"/>
      <c r="Q28" s="47">
        <v>0.62828852216749997</v>
      </c>
    </row>
    <row r="29" spans="1:17" ht="36">
      <c r="A29" s="760"/>
      <c r="B29" s="701" t="s">
        <v>10</v>
      </c>
      <c r="C29" s="690">
        <v>2.2742621026856E-3</v>
      </c>
      <c r="D29" s="711"/>
      <c r="E29" s="30"/>
      <c r="F29" s="30"/>
      <c r="G29" s="720" t="s">
        <v>286</v>
      </c>
      <c r="H29" s="1218">
        <f>C36</f>
        <v>0</v>
      </c>
      <c r="I29" s="1323">
        <f t="shared" si="1"/>
        <v>0</v>
      </c>
      <c r="J29" s="743"/>
      <c r="K29" s="743"/>
      <c r="L29" s="764"/>
      <c r="Q29" s="47">
        <v>0</v>
      </c>
    </row>
    <row r="30" spans="1:17" ht="18">
      <c r="A30" s="760"/>
      <c r="B30" s="701" t="s">
        <v>761</v>
      </c>
      <c r="C30" s="690">
        <v>0</v>
      </c>
      <c r="D30" s="711"/>
      <c r="E30" s="30"/>
      <c r="F30" s="30"/>
      <c r="G30" s="723" t="s">
        <v>801</v>
      </c>
      <c r="H30" s="1220">
        <f>SUM(C34:C35,C38)</f>
        <v>6.5847977353283101E-4</v>
      </c>
      <c r="I30" s="1323">
        <f t="shared" si="1"/>
        <v>0.1540108562536</v>
      </c>
      <c r="J30" s="743"/>
      <c r="K30" s="743"/>
      <c r="L30" s="764"/>
      <c r="Q30" s="47">
        <v>0.1540108562536</v>
      </c>
    </row>
    <row r="31" spans="1:17" ht="18">
      <c r="A31" s="760"/>
      <c r="B31" s="701" t="s">
        <v>762</v>
      </c>
      <c r="C31" s="690">
        <v>1.8013863640645401E-3</v>
      </c>
      <c r="D31" s="711"/>
      <c r="E31" s="30"/>
      <c r="F31" s="30"/>
      <c r="G31" s="725" t="s">
        <v>65</v>
      </c>
      <c r="H31" s="1221">
        <f>C39</f>
        <v>1.8777010008697601E-3</v>
      </c>
      <c r="I31" s="1323">
        <f t="shared" si="1"/>
        <v>0.40961947768759999</v>
      </c>
      <c r="J31" s="743"/>
      <c r="K31" s="743"/>
      <c r="L31" s="764"/>
      <c r="Q31" s="47">
        <v>0.40961947768759999</v>
      </c>
    </row>
    <row r="32" spans="1:17" ht="18">
      <c r="A32" s="760"/>
      <c r="B32" s="701" t="s">
        <v>11</v>
      </c>
      <c r="C32" s="690">
        <v>1.8933235224946499E-3</v>
      </c>
      <c r="D32" s="711"/>
      <c r="E32" s="30"/>
      <c r="F32" s="30"/>
      <c r="G32" s="720" t="s">
        <v>13</v>
      </c>
      <c r="H32" s="1218">
        <f>C37</f>
        <v>1.1122795376194801E-3</v>
      </c>
      <c r="I32" s="1323">
        <f t="shared" si="1"/>
        <v>0.24201705982710001</v>
      </c>
      <c r="J32" s="743"/>
      <c r="K32" s="743"/>
      <c r="L32" s="764"/>
      <c r="Q32" s="47">
        <v>0.24201705982710001</v>
      </c>
    </row>
    <row r="33" spans="1:17" ht="18">
      <c r="A33" s="760"/>
      <c r="B33" s="701" t="s">
        <v>12</v>
      </c>
      <c r="C33" s="690">
        <v>3.4228034720090602E-3</v>
      </c>
      <c r="D33" s="711"/>
      <c r="E33" s="30"/>
      <c r="F33" s="30"/>
      <c r="G33" s="720" t="s">
        <v>14</v>
      </c>
      <c r="H33" s="1218">
        <f>C40</f>
        <v>9.47534665844503E-4</v>
      </c>
      <c r="I33" s="1323">
        <f t="shared" si="1"/>
        <v>0.18207924149759999</v>
      </c>
      <c r="J33" s="743"/>
      <c r="K33" s="743"/>
      <c r="L33" s="764"/>
      <c r="Q33" s="47">
        <v>0.18207924149759999</v>
      </c>
    </row>
    <row r="34" spans="1:17" ht="18">
      <c r="A34" s="760"/>
      <c r="B34" s="692" t="s">
        <v>763</v>
      </c>
      <c r="C34" s="713">
        <v>3.5045332284246199E-4</v>
      </c>
      <c r="D34" s="711"/>
      <c r="E34" s="30"/>
      <c r="F34" s="30"/>
      <c r="G34" s="727" t="s">
        <v>804</v>
      </c>
      <c r="H34" s="1222">
        <f>SUM(C41:C42)</f>
        <v>6.7363688424576095E-4</v>
      </c>
      <c r="I34" s="1323">
        <f t="shared" si="1"/>
        <v>0.1755697761319</v>
      </c>
      <c r="J34" s="743"/>
      <c r="K34" s="743"/>
      <c r="L34" s="764"/>
      <c r="Q34" s="47">
        <v>0.1755697761319</v>
      </c>
    </row>
    <row r="35" spans="1:17" ht="18">
      <c r="A35" s="760"/>
      <c r="B35" s="692" t="s">
        <v>764</v>
      </c>
      <c r="C35" s="713">
        <v>3.0802645069036901E-4</v>
      </c>
      <c r="D35" s="711"/>
      <c r="E35" s="30"/>
      <c r="F35" s="30"/>
      <c r="G35" s="720" t="s">
        <v>16</v>
      </c>
      <c r="H35" s="1218">
        <f>C43</f>
        <v>1.7161876519639501E-5</v>
      </c>
      <c r="I35" s="1323">
        <f t="shared" si="1"/>
        <v>0</v>
      </c>
      <c r="J35" s="743"/>
      <c r="K35" s="743"/>
      <c r="L35" s="764"/>
      <c r="Q35" s="47">
        <v>0</v>
      </c>
    </row>
    <row r="36" spans="1:17" ht="18">
      <c r="A36" s="760"/>
      <c r="B36" s="701" t="s">
        <v>765</v>
      </c>
      <c r="C36" s="690">
        <v>0</v>
      </c>
      <c r="D36" s="711"/>
      <c r="E36" s="30"/>
      <c r="F36" s="30"/>
      <c r="G36" s="729" t="s">
        <v>802</v>
      </c>
      <c r="H36" s="1223">
        <f>SUM(C44:C46)</f>
        <v>1.7096014372290451E-4</v>
      </c>
      <c r="I36" s="1323">
        <f t="shared" si="1"/>
        <v>4.6621745059929998E-2</v>
      </c>
      <c r="J36" s="743"/>
      <c r="K36" s="743"/>
      <c r="L36" s="764"/>
      <c r="Q36" s="47">
        <v>4.6621745059929998E-2</v>
      </c>
    </row>
    <row r="37" spans="1:17" ht="18">
      <c r="A37" s="760"/>
      <c r="B37" s="701" t="s">
        <v>13</v>
      </c>
      <c r="C37" s="690">
        <v>1.1122795376194801E-3</v>
      </c>
      <c r="D37" s="711"/>
      <c r="E37" s="30"/>
      <c r="F37" s="30"/>
      <c r="G37" s="731" t="s">
        <v>803</v>
      </c>
      <c r="H37" s="1224">
        <f>SUM(C47,C73)</f>
        <v>2.0897105510654399E-4</v>
      </c>
      <c r="I37" s="1323">
        <f t="shared" si="1"/>
        <v>5.6322484574339998E-2</v>
      </c>
      <c r="J37" s="743"/>
      <c r="K37" s="743"/>
      <c r="L37" s="764"/>
      <c r="Q37" s="47">
        <v>5.6322484574339998E-2</v>
      </c>
    </row>
    <row r="38" spans="1:17" ht="18">
      <c r="A38" s="760"/>
      <c r="B38" s="692" t="s">
        <v>766</v>
      </c>
      <c r="C38" s="713">
        <v>0</v>
      </c>
      <c r="D38" s="711"/>
      <c r="E38" s="30"/>
      <c r="F38" s="30"/>
      <c r="G38" s="733" t="s">
        <v>805</v>
      </c>
      <c r="H38" s="1225">
        <f>SUM(C74,C48)</f>
        <v>7.1996532518748003E-5</v>
      </c>
      <c r="I38" s="1323">
        <f t="shared" si="1"/>
        <v>3.124108798407E-2</v>
      </c>
      <c r="J38" s="743"/>
      <c r="K38" s="743"/>
      <c r="L38" s="764"/>
      <c r="Q38" s="47">
        <v>3.124108798407E-2</v>
      </c>
    </row>
    <row r="39" spans="1:17" ht="18">
      <c r="A39" s="760"/>
      <c r="B39" s="701" t="s">
        <v>767</v>
      </c>
      <c r="C39" s="690">
        <v>1.8777010008697601E-3</v>
      </c>
      <c r="D39" s="711"/>
      <c r="E39" s="30"/>
      <c r="F39" s="30"/>
      <c r="G39" s="735" t="s">
        <v>806</v>
      </c>
      <c r="H39" s="1226">
        <f>SUM(C49:C69)</f>
        <v>4.6851391975488989E-5</v>
      </c>
      <c r="I39" s="1323">
        <f t="shared" si="1"/>
        <v>0</v>
      </c>
      <c r="J39" s="743"/>
      <c r="K39" s="743"/>
      <c r="L39" s="764"/>
      <c r="Q39" s="47">
        <v>0</v>
      </c>
    </row>
    <row r="40" spans="1:17" ht="18" thickBot="1">
      <c r="A40" s="760"/>
      <c r="B40" s="701" t="s">
        <v>14</v>
      </c>
      <c r="C40" s="690">
        <v>9.47534665844503E-4</v>
      </c>
      <c r="D40" s="711"/>
      <c r="E40" s="30"/>
      <c r="F40" s="30"/>
      <c r="G40" s="737"/>
      <c r="H40" s="1227"/>
      <c r="I40" s="1324"/>
      <c r="J40" s="743"/>
      <c r="K40" s="743"/>
      <c r="L40" s="764"/>
    </row>
    <row r="41" spans="1:17" ht="18" thickBot="1">
      <c r="A41" s="760"/>
      <c r="B41" s="694" t="s">
        <v>100</v>
      </c>
      <c r="C41" s="714">
        <v>6.7363688424576095E-4</v>
      </c>
      <c r="D41" s="711"/>
      <c r="E41" s="30"/>
      <c r="F41" s="30"/>
      <c r="G41" s="739" t="s">
        <v>692</v>
      </c>
      <c r="H41" s="740">
        <f>SUM(H12:H39)</f>
        <v>0.999999999999995</v>
      </c>
      <c r="I41" s="1232"/>
      <c r="J41" s="743"/>
      <c r="K41" s="743"/>
      <c r="L41" s="764"/>
    </row>
    <row r="42" spans="1:17" ht="18" thickBot="1">
      <c r="A42" s="760"/>
      <c r="B42" s="694" t="s">
        <v>768</v>
      </c>
      <c r="C42" s="714">
        <v>0</v>
      </c>
      <c r="D42" s="711"/>
      <c r="E42" s="30"/>
      <c r="F42" s="30"/>
      <c r="G42" s="742"/>
      <c r="H42" s="708"/>
      <c r="I42" s="708"/>
      <c r="J42" s="743"/>
      <c r="K42" s="743"/>
      <c r="L42" s="764"/>
    </row>
    <row r="43" spans="1:17" ht="16" thickBot="1">
      <c r="A43" s="760"/>
      <c r="B43" s="701" t="s">
        <v>769</v>
      </c>
      <c r="C43" s="690">
        <v>1.7161876519639501E-5</v>
      </c>
      <c r="D43" s="711"/>
      <c r="E43" s="30"/>
      <c r="F43" s="30"/>
      <c r="G43" s="5065" t="s">
        <v>810</v>
      </c>
      <c r="H43" s="5066"/>
      <c r="I43" s="1229"/>
      <c r="J43" s="743"/>
      <c r="K43" s="743"/>
      <c r="L43" s="764"/>
    </row>
    <row r="44" spans="1:17" ht="17.5">
      <c r="A44" s="760"/>
      <c r="B44" s="709" t="s">
        <v>770</v>
      </c>
      <c r="C44" s="715">
        <v>6.7523106982445103E-5</v>
      </c>
      <c r="D44" s="711"/>
      <c r="E44" s="30"/>
      <c r="F44" s="30"/>
      <c r="G44" s="1233" t="s">
        <v>754</v>
      </c>
      <c r="H44" s="1234">
        <v>0.86609999999999998</v>
      </c>
      <c r="I44" s="1230"/>
      <c r="J44" s="743"/>
      <c r="K44" s="743"/>
      <c r="L44" s="764"/>
    </row>
    <row r="45" spans="1:17" ht="31">
      <c r="A45" s="760"/>
      <c r="B45" s="709" t="s">
        <v>423</v>
      </c>
      <c r="C45" s="715">
        <v>3.5606075551788598E-5</v>
      </c>
      <c r="D45" s="711"/>
      <c r="E45" s="30"/>
      <c r="F45" s="30"/>
      <c r="G45" s="1235" t="s">
        <v>811</v>
      </c>
      <c r="H45" s="1236">
        <v>262.91199999999998</v>
      </c>
      <c r="I45" s="1231"/>
      <c r="J45" s="743"/>
      <c r="K45" s="743"/>
      <c r="L45" s="764"/>
    </row>
    <row r="46" spans="1:17" ht="17.5">
      <c r="A46" s="760"/>
      <c r="B46" s="709" t="s">
        <v>771</v>
      </c>
      <c r="C46" s="715">
        <v>6.7830961188670804E-5</v>
      </c>
      <c r="D46" s="711"/>
      <c r="E46" s="30"/>
      <c r="F46" s="30"/>
      <c r="G46" s="1237" t="s">
        <v>1229</v>
      </c>
      <c r="H46" s="1239">
        <f>SUM(I18:I39)</f>
        <v>89.831505534015022</v>
      </c>
      <c r="I46" s="708"/>
      <c r="J46" s="743"/>
      <c r="K46" s="743"/>
      <c r="L46" s="764"/>
    </row>
    <row r="47" spans="1:17" ht="18" thickBot="1">
      <c r="A47" s="760"/>
      <c r="B47" s="693" t="s">
        <v>772</v>
      </c>
      <c r="C47" s="716">
        <v>0</v>
      </c>
      <c r="D47" s="711"/>
      <c r="E47" s="30"/>
      <c r="F47" s="30"/>
      <c r="G47" s="1217" t="s">
        <v>1230</v>
      </c>
      <c r="H47" s="1238">
        <f>SUM(I27,I28,I29,I33,I35,I25)</f>
        <v>1.5714394247711001</v>
      </c>
      <c r="I47" s="708"/>
      <c r="J47" s="743"/>
      <c r="K47" s="743"/>
      <c r="L47" s="764"/>
    </row>
    <row r="48" spans="1:17" ht="17.5">
      <c r="A48" s="760"/>
      <c r="B48" s="696" t="s">
        <v>773</v>
      </c>
      <c r="C48" s="717">
        <v>0</v>
      </c>
      <c r="D48" s="711"/>
      <c r="E48" s="30"/>
      <c r="F48" s="30"/>
      <c r="G48" s="742"/>
      <c r="H48" s="708"/>
      <c r="I48" s="708"/>
      <c r="J48" s="743"/>
      <c r="K48" s="743"/>
      <c r="L48" s="764"/>
    </row>
    <row r="49" spans="1:12" ht="15.5">
      <c r="A49" s="760"/>
      <c r="B49" s="695" t="s">
        <v>774</v>
      </c>
      <c r="C49" s="718">
        <v>3.31158520794382E-5</v>
      </c>
      <c r="D49" s="711"/>
      <c r="E49" s="30"/>
      <c r="F49" s="30"/>
      <c r="G49" s="742"/>
      <c r="H49" s="743"/>
      <c r="I49" s="743"/>
      <c r="J49" s="743"/>
      <c r="K49" s="743"/>
      <c r="L49" s="764"/>
    </row>
    <row r="50" spans="1:12" ht="15.5">
      <c r="A50" s="760"/>
      <c r="B50" s="695" t="s">
        <v>775</v>
      </c>
      <c r="C50" s="718">
        <v>8.8314512346509804E-6</v>
      </c>
      <c r="D50" s="711"/>
      <c r="E50" s="30"/>
      <c r="F50" s="30"/>
      <c r="G50" s="742"/>
      <c r="H50" s="743"/>
      <c r="I50" s="743"/>
      <c r="J50" s="743"/>
      <c r="K50" s="743"/>
      <c r="L50" s="764"/>
    </row>
    <row r="51" spans="1:12" ht="15.5">
      <c r="A51" s="760"/>
      <c r="B51" s="695" t="s">
        <v>776</v>
      </c>
      <c r="C51" s="718">
        <v>3.4653531037471399E-6</v>
      </c>
      <c r="D51" s="711"/>
      <c r="E51" s="30"/>
      <c r="F51" s="30"/>
      <c r="G51" s="744"/>
      <c r="H51" s="743"/>
      <c r="I51" s="743"/>
      <c r="J51" s="765"/>
      <c r="K51" s="765"/>
      <c r="L51" s="766"/>
    </row>
    <row r="52" spans="1:12" ht="15.5">
      <c r="A52" s="760"/>
      <c r="B52" s="695" t="s">
        <v>777</v>
      </c>
      <c r="C52" s="718">
        <v>1.0240949967657601E-6</v>
      </c>
      <c r="D52" s="711"/>
      <c r="E52" s="30"/>
      <c r="F52" s="30"/>
      <c r="G52" s="742"/>
      <c r="H52" s="743"/>
      <c r="I52" s="743"/>
      <c r="J52" s="754"/>
      <c r="K52" s="30"/>
      <c r="L52" s="762"/>
    </row>
    <row r="53" spans="1:12" ht="15.5">
      <c r="A53" s="760"/>
      <c r="B53" s="695" t="s">
        <v>778</v>
      </c>
      <c r="C53" s="718">
        <v>3.02026882852917E-7</v>
      </c>
      <c r="D53" s="711"/>
      <c r="E53" s="30"/>
      <c r="F53" s="30"/>
      <c r="G53" s="767"/>
      <c r="H53" s="765"/>
      <c r="I53" s="765"/>
      <c r="J53" s="754"/>
      <c r="K53" s="30"/>
      <c r="L53" s="762"/>
    </row>
    <row r="54" spans="1:12" ht="15.5">
      <c r="A54" s="760"/>
      <c r="B54" s="695" t="s">
        <v>779</v>
      </c>
      <c r="C54" s="718">
        <v>7.5052021533449094E-8</v>
      </c>
      <c r="D54" s="711"/>
      <c r="E54" s="30"/>
      <c r="F54" s="30"/>
      <c r="G54" s="30"/>
      <c r="H54" s="745"/>
      <c r="I54" s="745"/>
      <c r="J54" s="754"/>
      <c r="K54" s="30"/>
      <c r="L54" s="762"/>
    </row>
    <row r="55" spans="1:12" ht="15.5">
      <c r="A55" s="760"/>
      <c r="B55" s="695" t="s">
        <v>780</v>
      </c>
      <c r="C55" s="718">
        <v>2.30519954532843E-8</v>
      </c>
      <c r="D55" s="711"/>
      <c r="E55" s="30"/>
      <c r="F55" s="30"/>
      <c r="G55" s="30"/>
      <c r="H55" s="745"/>
      <c r="I55" s="745"/>
      <c r="J55" s="754"/>
      <c r="K55" s="30"/>
      <c r="L55" s="762"/>
    </row>
    <row r="56" spans="1:12" ht="15.5">
      <c r="A56" s="760"/>
      <c r="B56" s="695" t="s">
        <v>781</v>
      </c>
      <c r="C56" s="718">
        <v>8.8646896066851403E-9</v>
      </c>
      <c r="D56" s="711"/>
      <c r="E56" s="30"/>
      <c r="F56" s="30"/>
      <c r="G56" s="30"/>
      <c r="H56" s="745"/>
      <c r="I56" s="745"/>
      <c r="J56" s="754"/>
      <c r="K56" s="30"/>
      <c r="L56" s="762"/>
    </row>
    <row r="57" spans="1:12" ht="15.5">
      <c r="A57" s="760"/>
      <c r="B57" s="695" t="s">
        <v>782</v>
      </c>
      <c r="C57" s="718">
        <v>3.7867397422814503E-9</v>
      </c>
      <c r="D57" s="711"/>
      <c r="E57" s="30"/>
      <c r="F57" s="30"/>
      <c r="G57" s="30"/>
      <c r="H57" s="745"/>
      <c r="I57" s="745"/>
      <c r="J57" s="754"/>
      <c r="K57" s="30"/>
      <c r="L57" s="762"/>
    </row>
    <row r="58" spans="1:12" ht="15.5">
      <c r="A58" s="760"/>
      <c r="B58" s="695" t="s">
        <v>783</v>
      </c>
      <c r="C58" s="718">
        <v>1.1393390498284299E-9</v>
      </c>
      <c r="D58" s="711"/>
      <c r="E58" s="30"/>
      <c r="F58" s="30"/>
      <c r="G58" s="30"/>
      <c r="H58" s="745"/>
      <c r="I58" s="745"/>
      <c r="J58" s="754"/>
      <c r="K58" s="30"/>
      <c r="L58" s="762"/>
    </row>
    <row r="59" spans="1:12" ht="15.5">
      <c r="A59" s="760"/>
      <c r="B59" s="695" t="s">
        <v>784</v>
      </c>
      <c r="C59" s="718">
        <v>4.1544385903845299E-10</v>
      </c>
      <c r="D59" s="711"/>
      <c r="E59" s="30"/>
      <c r="F59" s="30"/>
      <c r="G59" s="30"/>
      <c r="H59" s="745"/>
      <c r="I59" s="745"/>
      <c r="J59" s="754"/>
      <c r="K59" s="30"/>
      <c r="L59" s="762"/>
    </row>
    <row r="60" spans="1:12" ht="15.5">
      <c r="A60" s="760"/>
      <c r="B60" s="695" t="s">
        <v>785</v>
      </c>
      <c r="C60" s="718">
        <v>1.8115385747768601E-10</v>
      </c>
      <c r="D60" s="711"/>
      <c r="E60" s="30"/>
      <c r="F60" s="30"/>
      <c r="G60" s="30"/>
      <c r="H60" s="745"/>
      <c r="I60" s="745"/>
      <c r="J60" s="754"/>
      <c r="K60" s="30"/>
      <c r="L60" s="762"/>
    </row>
    <row r="61" spans="1:12" ht="15.5">
      <c r="A61" s="760"/>
      <c r="B61" s="695" t="s">
        <v>786</v>
      </c>
      <c r="C61" s="718">
        <v>7.3247336687258804E-11</v>
      </c>
      <c r="D61" s="711"/>
      <c r="E61" s="30"/>
      <c r="F61" s="30"/>
      <c r="G61" s="30"/>
      <c r="H61" s="745"/>
      <c r="I61" s="745"/>
      <c r="J61" s="754"/>
      <c r="K61" s="30"/>
      <c r="L61" s="762"/>
    </row>
    <row r="62" spans="1:12" ht="15.5">
      <c r="A62" s="760"/>
      <c r="B62" s="695" t="s">
        <v>787</v>
      </c>
      <c r="C62" s="718">
        <v>2.9117001879331299E-11</v>
      </c>
      <c r="D62" s="711"/>
      <c r="E62" s="30"/>
      <c r="F62" s="30"/>
      <c r="G62" s="30"/>
      <c r="H62" s="745"/>
      <c r="I62" s="745"/>
      <c r="J62" s="754"/>
      <c r="K62" s="30"/>
      <c r="L62" s="762"/>
    </row>
    <row r="63" spans="1:12" ht="15.5">
      <c r="A63" s="760"/>
      <c r="B63" s="695" t="s">
        <v>788</v>
      </c>
      <c r="C63" s="718">
        <v>1.11850639605832E-11</v>
      </c>
      <c r="D63" s="711"/>
      <c r="E63" s="30"/>
      <c r="F63" s="30"/>
      <c r="G63" s="30"/>
      <c r="H63" s="745"/>
      <c r="I63" s="745"/>
      <c r="J63" s="754"/>
      <c r="K63" s="30"/>
      <c r="L63" s="762"/>
    </row>
    <row r="64" spans="1:12" ht="15.5">
      <c r="A64" s="760"/>
      <c r="B64" s="695" t="s">
        <v>789</v>
      </c>
      <c r="C64" s="718">
        <v>4.9153712483234198E-12</v>
      </c>
      <c r="D64" s="711"/>
      <c r="E64" s="30"/>
      <c r="F64" s="30"/>
      <c r="G64" s="30"/>
      <c r="H64" s="745"/>
      <c r="I64" s="745"/>
      <c r="J64" s="754"/>
      <c r="K64" s="30"/>
      <c r="L64" s="762"/>
    </row>
    <row r="65" spans="1:12" ht="15.5">
      <c r="A65" s="760"/>
      <c r="B65" s="695" t="s">
        <v>790</v>
      </c>
      <c r="C65" s="718">
        <v>2.3350485931444E-12</v>
      </c>
      <c r="D65" s="711"/>
      <c r="E65" s="30"/>
      <c r="F65" s="30"/>
      <c r="G65" s="30"/>
      <c r="H65" s="745"/>
      <c r="I65" s="745"/>
      <c r="J65" s="754"/>
      <c r="K65" s="30"/>
      <c r="L65" s="762"/>
    </row>
    <row r="66" spans="1:12" ht="15.5">
      <c r="A66" s="760"/>
      <c r="B66" s="695" t="s">
        <v>791</v>
      </c>
      <c r="C66" s="718">
        <v>1.0146828573850599E-12</v>
      </c>
      <c r="D66" s="711"/>
      <c r="E66" s="30"/>
      <c r="F66" s="30"/>
      <c r="G66" s="30"/>
      <c r="H66" s="745"/>
      <c r="I66" s="745"/>
      <c r="J66" s="754"/>
      <c r="K66" s="30"/>
      <c r="L66" s="762"/>
    </row>
    <row r="67" spans="1:12" ht="15.5">
      <c r="A67" s="760"/>
      <c r="B67" s="695" t="s">
        <v>792</v>
      </c>
      <c r="C67" s="718">
        <v>4.8007662402487097E-13</v>
      </c>
      <c r="D67" s="711"/>
      <c r="E67" s="30"/>
      <c r="F67" s="30"/>
      <c r="G67" s="30"/>
      <c r="H67" s="745"/>
      <c r="I67" s="745"/>
      <c r="J67" s="754"/>
      <c r="K67" s="30"/>
      <c r="L67" s="762"/>
    </row>
    <row r="68" spans="1:12" ht="15.5">
      <c r="A68" s="760"/>
      <c r="B68" s="695" t="s">
        <v>793</v>
      </c>
      <c r="C68" s="718">
        <v>0</v>
      </c>
      <c r="D68" s="711"/>
      <c r="E68" s="30"/>
      <c r="F68" s="30"/>
      <c r="G68" s="30"/>
      <c r="H68" s="745"/>
      <c r="I68" s="745"/>
      <c r="J68" s="754"/>
      <c r="K68" s="30"/>
      <c r="L68" s="762"/>
    </row>
    <row r="69" spans="1:12" ht="15.5">
      <c r="A69" s="760"/>
      <c r="B69" s="695" t="s">
        <v>794</v>
      </c>
      <c r="C69" s="718">
        <v>3.5009501218595001E-16</v>
      </c>
      <c r="D69" s="711"/>
      <c r="E69" s="30"/>
      <c r="F69" s="30"/>
      <c r="G69" s="30"/>
      <c r="H69" s="745"/>
      <c r="I69" s="745"/>
      <c r="J69" s="754"/>
      <c r="K69" s="30"/>
      <c r="L69" s="762"/>
    </row>
    <row r="70" spans="1:12" ht="15.5">
      <c r="A70" s="760"/>
      <c r="B70" s="701" t="s">
        <v>673</v>
      </c>
      <c r="C70" s="690">
        <v>5.2698716201257699E-3</v>
      </c>
      <c r="D70" s="711"/>
      <c r="E70" s="30"/>
      <c r="F70" s="30"/>
      <c r="G70" s="30"/>
      <c r="H70" s="745"/>
      <c r="I70" s="745"/>
      <c r="J70" s="754"/>
      <c r="K70" s="30"/>
      <c r="L70" s="762"/>
    </row>
    <row r="71" spans="1:12" ht="15.5">
      <c r="A71" s="760"/>
      <c r="B71" s="701" t="s">
        <v>795</v>
      </c>
      <c r="C71" s="690">
        <v>0</v>
      </c>
      <c r="D71" s="711"/>
      <c r="E71" s="30"/>
      <c r="F71" s="30"/>
      <c r="G71" s="30"/>
      <c r="H71" s="745"/>
      <c r="I71" s="745"/>
      <c r="J71" s="754"/>
      <c r="K71" s="30"/>
      <c r="L71" s="762"/>
    </row>
    <row r="72" spans="1:12" ht="15.5">
      <c r="A72" s="760"/>
      <c r="B72" s="701" t="s">
        <v>796</v>
      </c>
      <c r="C72" s="690">
        <v>4.5422427123705796E-15</v>
      </c>
      <c r="D72" s="711"/>
      <c r="E72" s="30"/>
      <c r="F72" s="30"/>
      <c r="G72" s="30"/>
      <c r="H72" s="745"/>
      <c r="I72" s="745"/>
      <c r="J72" s="754"/>
      <c r="K72" s="30"/>
      <c r="L72" s="762"/>
    </row>
    <row r="73" spans="1:12" ht="15.5">
      <c r="A73" s="760"/>
      <c r="B73" s="693" t="s">
        <v>101</v>
      </c>
      <c r="C73" s="716">
        <v>2.0897105510654399E-4</v>
      </c>
      <c r="D73" s="711"/>
      <c r="E73" s="30"/>
      <c r="F73" s="30"/>
      <c r="G73" s="30"/>
      <c r="H73" s="745"/>
      <c r="I73" s="745"/>
      <c r="J73" s="754"/>
      <c r="K73" s="30"/>
      <c r="L73" s="762"/>
    </row>
    <row r="74" spans="1:12" ht="15.5">
      <c r="A74" s="760"/>
      <c r="B74" s="696" t="s">
        <v>117</v>
      </c>
      <c r="C74" s="717">
        <v>7.1996532518748003E-5</v>
      </c>
      <c r="D74" s="711"/>
      <c r="E74" s="30"/>
      <c r="F74" s="30"/>
      <c r="G74" s="30"/>
      <c r="H74" s="745"/>
      <c r="I74" s="745"/>
      <c r="J74" s="754"/>
      <c r="K74" s="30"/>
      <c r="L74" s="762"/>
    </row>
    <row r="75" spans="1:12" ht="15.5">
      <c r="A75" s="760"/>
      <c r="B75" s="701" t="s">
        <v>797</v>
      </c>
      <c r="C75" s="690">
        <v>0</v>
      </c>
      <c r="D75" s="711"/>
      <c r="E75" s="30"/>
      <c r="F75" s="30"/>
      <c r="G75" s="30"/>
      <c r="H75" s="745"/>
      <c r="I75" s="745"/>
      <c r="J75" s="754"/>
      <c r="K75" s="30"/>
      <c r="L75" s="762"/>
    </row>
    <row r="76" spans="1:12" ht="15.5">
      <c r="A76" s="760"/>
      <c r="B76" s="701" t="s">
        <v>798</v>
      </c>
      <c r="C76" s="690">
        <v>0</v>
      </c>
      <c r="D76" s="711"/>
      <c r="E76" s="30"/>
      <c r="F76" s="30"/>
      <c r="G76" s="30"/>
      <c r="H76" s="745"/>
      <c r="I76" s="745"/>
      <c r="J76" s="754"/>
      <c r="K76" s="30"/>
      <c r="L76" s="762"/>
    </row>
    <row r="77" spans="1:12" ht="15.5">
      <c r="A77" s="760"/>
      <c r="B77" s="701" t="s">
        <v>799</v>
      </c>
      <c r="C77" s="690">
        <v>0</v>
      </c>
      <c r="D77" s="711"/>
      <c r="E77" s="30"/>
      <c r="F77" s="30"/>
      <c r="G77" s="30"/>
      <c r="H77" s="745"/>
      <c r="I77" s="745"/>
      <c r="J77" s="754"/>
      <c r="K77" s="30"/>
      <c r="L77" s="762"/>
    </row>
    <row r="78" spans="1:12" ht="16" thickBot="1">
      <c r="A78" s="760"/>
      <c r="B78" s="701" t="s">
        <v>0</v>
      </c>
      <c r="C78" s="690">
        <v>0</v>
      </c>
      <c r="D78" s="711"/>
      <c r="E78" s="30"/>
      <c r="F78" s="30"/>
      <c r="G78" s="30"/>
      <c r="H78" s="745"/>
      <c r="I78" s="745"/>
      <c r="J78" s="754"/>
      <c r="K78" s="30"/>
      <c r="L78" s="762"/>
    </row>
    <row r="79" spans="1:12" ht="16" thickBot="1">
      <c r="A79" s="768"/>
      <c r="B79" s="741" t="s">
        <v>753</v>
      </c>
      <c r="C79" s="710">
        <v>100</v>
      </c>
      <c r="D79" s="769"/>
      <c r="E79" s="770"/>
      <c r="F79" s="770"/>
      <c r="G79" s="770"/>
      <c r="H79" s="771"/>
      <c r="I79" s="1228"/>
      <c r="J79" s="772"/>
      <c r="K79" s="770"/>
      <c r="L79" s="773"/>
    </row>
    <row r="80" spans="1:12" ht="15.5">
      <c r="B80" s="697"/>
      <c r="C80" s="688"/>
      <c r="D80" s="688"/>
      <c r="H80" s="699"/>
      <c r="I80" s="699"/>
      <c r="J80" s="698"/>
    </row>
    <row r="81" spans="2:10" ht="15.5">
      <c r="B81" s="686"/>
      <c r="C81" s="686"/>
      <c r="D81" s="686"/>
      <c r="H81" s="699"/>
      <c r="I81" s="699"/>
      <c r="J81" s="698"/>
    </row>
    <row r="82" spans="2:10" ht="15.5">
      <c r="B82" s="686"/>
      <c r="C82" s="686"/>
      <c r="D82" s="686"/>
      <c r="H82" s="699"/>
      <c r="I82" s="699"/>
      <c r="J82" s="698"/>
    </row>
    <row r="83" spans="2:10" ht="15.5">
      <c r="B83" s="686"/>
      <c r="C83" s="686"/>
      <c r="D83" s="686"/>
      <c r="H83" s="699"/>
      <c r="I83" s="699"/>
      <c r="J83" s="698"/>
    </row>
    <row r="84" spans="2:10" ht="15.5">
      <c r="B84" s="686"/>
      <c r="C84" s="686"/>
      <c r="D84" s="686"/>
      <c r="H84" s="699"/>
      <c r="I84" s="699"/>
      <c r="J84" s="698"/>
    </row>
    <row r="85" spans="2:10" ht="15.5">
      <c r="B85" s="686"/>
      <c r="C85" s="686"/>
      <c r="D85" s="686"/>
      <c r="H85" s="699"/>
      <c r="I85" s="699"/>
      <c r="J85" s="698"/>
    </row>
    <row r="86" spans="2:10" ht="15.5">
      <c r="B86" s="686"/>
      <c r="C86" s="686"/>
      <c r="D86" s="686"/>
      <c r="H86" s="699"/>
      <c r="I86" s="699"/>
      <c r="J86" s="698"/>
    </row>
    <row r="87" spans="2:10" ht="15.5">
      <c r="B87" s="686"/>
      <c r="C87" s="686"/>
      <c r="D87" s="686"/>
      <c r="H87" s="699"/>
      <c r="I87" s="699"/>
      <c r="J87" s="698"/>
    </row>
    <row r="88" spans="2:10" ht="15.5">
      <c r="B88" s="686"/>
      <c r="C88" s="686"/>
      <c r="D88" s="686"/>
      <c r="H88" s="699"/>
      <c r="I88" s="699"/>
      <c r="J88" s="698"/>
    </row>
    <row r="89" spans="2:10" ht="15.5">
      <c r="B89" s="686"/>
      <c r="C89" s="686"/>
      <c r="D89" s="686"/>
      <c r="H89" s="699"/>
      <c r="I89" s="699"/>
      <c r="J89" s="698"/>
    </row>
    <row r="90" spans="2:10" ht="15.5">
      <c r="B90" s="686"/>
      <c r="C90" s="686"/>
      <c r="D90" s="686"/>
      <c r="H90" s="699"/>
      <c r="I90" s="699"/>
      <c r="J90" s="698"/>
    </row>
    <row r="91" spans="2:10" ht="15.5">
      <c r="B91" s="686"/>
      <c r="C91" s="686"/>
      <c r="D91" s="686"/>
      <c r="H91" s="699"/>
      <c r="I91" s="699"/>
      <c r="J91" s="698"/>
    </row>
    <row r="92" spans="2:10" ht="15.5">
      <c r="B92" s="686"/>
      <c r="C92" s="686"/>
      <c r="D92" s="686"/>
      <c r="H92" s="699"/>
      <c r="I92" s="699"/>
      <c r="J92" s="698"/>
    </row>
    <row r="93" spans="2:10" ht="15.5">
      <c r="B93" s="686"/>
      <c r="C93" s="686"/>
      <c r="D93" s="686"/>
      <c r="H93" s="699"/>
      <c r="I93" s="699"/>
      <c r="J93" s="698"/>
    </row>
    <row r="94" spans="2:10" ht="15.5">
      <c r="B94" s="686"/>
      <c r="C94" s="686"/>
      <c r="D94" s="686"/>
      <c r="H94" s="699"/>
      <c r="I94" s="699"/>
    </row>
    <row r="95" spans="2:10" ht="15.5">
      <c r="B95" s="686"/>
      <c r="C95" s="686"/>
      <c r="D95" s="686"/>
      <c r="H95" s="699"/>
      <c r="I95" s="699"/>
      <c r="J95" s="698"/>
    </row>
    <row r="96" spans="2:10" ht="15.5">
      <c r="B96" s="686"/>
      <c r="C96" s="686"/>
      <c r="D96" s="686"/>
      <c r="H96" s="699"/>
      <c r="I96" s="699"/>
    </row>
    <row r="97" spans="2:10" ht="15.5">
      <c r="B97" s="686"/>
      <c r="C97" s="686"/>
      <c r="D97" s="686"/>
      <c r="H97" s="699"/>
      <c r="I97" s="699"/>
    </row>
    <row r="98" spans="2:10" ht="15.5">
      <c r="B98" s="686"/>
      <c r="C98" s="686"/>
      <c r="D98" s="686"/>
      <c r="H98" s="699"/>
      <c r="I98" s="699"/>
      <c r="J98" s="698"/>
    </row>
    <row r="99" spans="2:10" ht="15.5">
      <c r="B99" s="686"/>
      <c r="C99" s="686"/>
      <c r="D99" s="686"/>
      <c r="H99" s="699"/>
      <c r="I99" s="699"/>
      <c r="J99" s="698"/>
    </row>
    <row r="100" spans="2:10" ht="15.5">
      <c r="B100" s="686"/>
      <c r="C100" s="686"/>
      <c r="D100" s="686"/>
      <c r="H100" s="699"/>
      <c r="I100" s="699"/>
      <c r="J100" s="698"/>
    </row>
    <row r="101" spans="2:10" ht="15.5">
      <c r="B101" s="686"/>
      <c r="C101" s="686"/>
      <c r="D101" s="686"/>
      <c r="H101" s="699"/>
      <c r="I101" s="699"/>
    </row>
    <row r="102" spans="2:10" ht="15.5">
      <c r="B102" s="686"/>
      <c r="C102" s="686"/>
      <c r="D102" s="686"/>
      <c r="H102" s="699"/>
      <c r="I102" s="699"/>
    </row>
    <row r="103" spans="2:10" ht="15.5">
      <c r="B103" s="686"/>
      <c r="C103" s="686"/>
      <c r="D103" s="686"/>
      <c r="H103" s="699"/>
      <c r="I103" s="699"/>
    </row>
    <row r="104" spans="2:10" ht="15.5">
      <c r="B104" s="686"/>
      <c r="C104" s="686"/>
      <c r="D104" s="686"/>
      <c r="H104" s="699"/>
      <c r="I104" s="699"/>
    </row>
    <row r="105" spans="2:10" ht="15.5">
      <c r="B105" s="686"/>
      <c r="C105" s="686"/>
      <c r="D105" s="686"/>
      <c r="H105" s="699"/>
      <c r="I105" s="699"/>
    </row>
    <row r="106" spans="2:10" ht="15.5">
      <c r="B106" s="686"/>
      <c r="C106" s="686"/>
      <c r="D106" s="686"/>
      <c r="H106" s="699"/>
      <c r="I106" s="699"/>
    </row>
    <row r="107" spans="2:10" ht="15.5">
      <c r="B107" s="686"/>
      <c r="C107" s="686"/>
      <c r="D107" s="686"/>
    </row>
    <row r="108" spans="2:10" ht="15.5">
      <c r="B108" s="686"/>
      <c r="C108" s="686"/>
      <c r="D108" s="686"/>
      <c r="H108" s="700"/>
      <c r="I108" s="700"/>
    </row>
    <row r="109" spans="2:10" ht="15.5">
      <c r="B109" s="686"/>
      <c r="C109" s="686"/>
      <c r="D109" s="686"/>
    </row>
    <row r="110" spans="2:10" ht="15.5">
      <c r="B110" s="686"/>
      <c r="C110" s="686"/>
      <c r="D110" s="686"/>
    </row>
    <row r="111" spans="2:10" ht="15.5">
      <c r="B111" s="686"/>
      <c r="C111" s="686"/>
      <c r="D111" s="686"/>
    </row>
    <row r="112" spans="2:10" ht="15.5">
      <c r="B112" s="686"/>
      <c r="C112" s="686"/>
      <c r="D112" s="686"/>
    </row>
    <row r="113" spans="2:4" ht="15.5">
      <c r="B113" s="686"/>
      <c r="C113" s="686"/>
      <c r="D113" s="686"/>
    </row>
    <row r="114" spans="2:4" ht="15.5">
      <c r="B114" s="686"/>
      <c r="C114" s="686"/>
      <c r="D114" s="686"/>
    </row>
  </sheetData>
  <mergeCells count="13">
    <mergeCell ref="G43:H43"/>
    <mergeCell ref="I10:I11"/>
    <mergeCell ref="B2:K2"/>
    <mergeCell ref="B3:K3"/>
    <mergeCell ref="B4:K4"/>
    <mergeCell ref="A6:L6"/>
    <mergeCell ref="B9:C9"/>
    <mergeCell ref="G9:I9"/>
    <mergeCell ref="B10:B11"/>
    <mergeCell ref="C10:C11"/>
    <mergeCell ref="G10:G11"/>
    <mergeCell ref="H10:H11"/>
    <mergeCell ref="H8:I8"/>
  </mergeCells>
  <pageMargins left="0.7" right="0.7" top="0.75" bottom="0.75" header="0.3" footer="0.3"/>
  <pageSetup scale="5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9">
    <tabColor rgb="FF00FFCC"/>
    <pageSetUpPr fitToPage="1"/>
  </sheetPr>
  <dimension ref="A1:K114"/>
  <sheetViews>
    <sheetView view="pageBreakPreview" topLeftCell="A64" zoomScale="70" zoomScaleNormal="100" zoomScaleSheetLayoutView="70" workbookViewId="0">
      <selection activeCell="B48" sqref="B48"/>
    </sheetView>
  </sheetViews>
  <sheetFormatPr defaultRowHeight="12.5"/>
  <cols>
    <col min="1" max="1" width="9.36328125" style="47"/>
    <col min="2" max="2" width="24.453125" style="47" customWidth="1"/>
    <col min="3" max="3" width="16.54296875" style="47" customWidth="1"/>
    <col min="4" max="4" width="5.36328125" style="47" customWidth="1"/>
    <col min="5" max="5" width="9.36328125" style="47"/>
    <col min="6" max="6" width="2.453125" style="47" customWidth="1"/>
    <col min="7" max="7" width="23.453125" style="47" customWidth="1"/>
    <col min="8" max="8" width="21.453125" style="47" customWidth="1"/>
    <col min="9" max="9" width="9.36328125" style="47"/>
    <col min="10" max="10" width="2.54296875" style="47" customWidth="1"/>
    <col min="11" max="11" width="9.36328125" style="47"/>
  </cols>
  <sheetData>
    <row r="1" spans="1:11" ht="13" thickBot="1">
      <c r="A1" s="774"/>
      <c r="B1" s="775"/>
      <c r="C1" s="775"/>
      <c r="D1" s="775"/>
      <c r="E1" s="775"/>
      <c r="F1" s="775"/>
      <c r="G1" s="775"/>
      <c r="H1" s="775"/>
      <c r="I1" s="775"/>
      <c r="J1" s="775"/>
      <c r="K1" s="776"/>
    </row>
    <row r="2" spans="1:11" ht="18">
      <c r="A2" s="643"/>
      <c r="B2" s="4480" t="str">
        <f>'TO Hrly (TO1-TO3)'!B2:M2</f>
        <v>XTO ENERGY INC.</v>
      </c>
      <c r="C2" s="4481"/>
      <c r="D2" s="4481"/>
      <c r="E2" s="4481"/>
      <c r="F2" s="4481"/>
      <c r="G2" s="4481"/>
      <c r="H2" s="4481"/>
      <c r="I2" s="4481"/>
      <c r="J2" s="4482"/>
      <c r="K2" s="644"/>
    </row>
    <row r="3" spans="1:11" ht="18">
      <c r="A3" s="643"/>
      <c r="B3" s="4483" t="str">
        <f>'TO Hrly (TO1-TO3)'!B3:M3</f>
        <v>HUSKY CDP</v>
      </c>
      <c r="C3" s="4484"/>
      <c r="D3" s="4484"/>
      <c r="E3" s="4484"/>
      <c r="F3" s="4484"/>
      <c r="G3" s="4484"/>
      <c r="H3" s="4484"/>
      <c r="I3" s="4484"/>
      <c r="J3" s="4485"/>
      <c r="K3" s="644"/>
    </row>
    <row r="4" spans="1:11" ht="18.5" thickBot="1">
      <c r="A4" s="643"/>
      <c r="B4" s="5067" t="s">
        <v>809</v>
      </c>
      <c r="C4" s="5068"/>
      <c r="D4" s="5068"/>
      <c r="E4" s="5068"/>
      <c r="F4" s="5068"/>
      <c r="G4" s="5068"/>
      <c r="H4" s="5068"/>
      <c r="I4" s="5068"/>
      <c r="J4" s="5069"/>
      <c r="K4" s="644"/>
    </row>
    <row r="5" spans="1:11" ht="18.5" thickBot="1">
      <c r="A5" s="645"/>
      <c r="B5" s="646"/>
      <c r="C5" s="646"/>
      <c r="D5" s="646"/>
      <c r="E5" s="646"/>
      <c r="F5" s="646"/>
      <c r="G5" s="646"/>
      <c r="H5" s="646"/>
      <c r="I5" s="646"/>
      <c r="J5" s="646"/>
      <c r="K5" s="647"/>
    </row>
    <row r="6" spans="1:11" ht="13.5" thickBot="1">
      <c r="A6" s="4779" t="s">
        <v>1227</v>
      </c>
      <c r="B6" s="4689"/>
      <c r="C6" s="4689"/>
      <c r="D6" s="4689"/>
      <c r="E6" s="4689"/>
      <c r="F6" s="4689"/>
      <c r="G6" s="4689"/>
      <c r="H6" s="4689"/>
      <c r="I6" s="4689"/>
      <c r="J6" s="4689"/>
      <c r="K6" s="4780"/>
    </row>
    <row r="7" spans="1:11" ht="16" thickBot="1">
      <c r="A7" s="760"/>
      <c r="B7" s="30"/>
      <c r="C7" s="761"/>
      <c r="D7" s="761"/>
      <c r="E7" s="746"/>
      <c r="F7" s="30"/>
      <c r="G7" s="747"/>
      <c r="H7" s="748"/>
      <c r="I7" s="746"/>
      <c r="J7" s="30"/>
      <c r="K7" s="762"/>
    </row>
    <row r="8" spans="1:11" s="47" customFormat="1" ht="51" customHeight="1" thickBot="1">
      <c r="A8" s="760"/>
      <c r="B8" s="2583" t="s">
        <v>1781</v>
      </c>
      <c r="C8" s="2584" t="s">
        <v>1789</v>
      </c>
      <c r="D8" s="761"/>
      <c r="E8" s="746"/>
      <c r="F8" s="30"/>
      <c r="G8" s="2583" t="s">
        <v>1782</v>
      </c>
      <c r="H8" s="2586" t="s">
        <v>1788</v>
      </c>
      <c r="I8" s="746"/>
      <c r="J8" s="30"/>
      <c r="K8" s="762"/>
    </row>
    <row r="9" spans="1:11" ht="16" thickBot="1">
      <c r="A9" s="760"/>
      <c r="B9" s="5087" t="s">
        <v>807</v>
      </c>
      <c r="C9" s="5088"/>
      <c r="D9" s="749"/>
      <c r="E9" s="746"/>
      <c r="F9" s="30"/>
      <c r="G9" s="5089" t="s">
        <v>808</v>
      </c>
      <c r="H9" s="5090"/>
      <c r="I9" s="746"/>
      <c r="J9" s="30"/>
      <c r="K9" s="762"/>
    </row>
    <row r="10" spans="1:11" ht="15.5">
      <c r="A10" s="760"/>
      <c r="B10" s="5075" t="s">
        <v>2</v>
      </c>
      <c r="C10" s="5077" t="s">
        <v>746</v>
      </c>
      <c r="D10" s="750"/>
      <c r="E10" s="746"/>
      <c r="F10" s="30"/>
      <c r="G10" s="5079" t="s">
        <v>2</v>
      </c>
      <c r="H10" s="5083" t="s">
        <v>746</v>
      </c>
      <c r="I10" s="746"/>
      <c r="J10" s="30"/>
      <c r="K10" s="762"/>
    </row>
    <row r="11" spans="1:11" ht="16" thickBot="1">
      <c r="A11" s="760"/>
      <c r="B11" s="5076"/>
      <c r="C11" s="5078"/>
      <c r="D11" s="750"/>
      <c r="E11" s="30"/>
      <c r="F11" s="30"/>
      <c r="G11" s="5080"/>
      <c r="H11" s="5084"/>
      <c r="I11" s="754"/>
      <c r="J11" s="30"/>
      <c r="K11" s="762"/>
    </row>
    <row r="12" spans="1:11" ht="18">
      <c r="A12" s="760"/>
      <c r="B12" s="687" t="s">
        <v>755</v>
      </c>
      <c r="C12" s="689">
        <v>0</v>
      </c>
      <c r="D12" s="711"/>
      <c r="E12" s="751"/>
      <c r="F12" s="30"/>
      <c r="G12" s="738" t="s">
        <v>298</v>
      </c>
      <c r="H12" s="779">
        <f>C70</f>
        <v>2.5643933641102601E-51</v>
      </c>
      <c r="I12" s="755"/>
      <c r="J12" s="755"/>
      <c r="K12" s="763"/>
    </row>
    <row r="13" spans="1:11" ht="18">
      <c r="A13" s="760"/>
      <c r="B13" s="687" t="s">
        <v>47</v>
      </c>
      <c r="C13" s="689">
        <v>0</v>
      </c>
      <c r="D13" s="711"/>
      <c r="E13" s="746"/>
      <c r="F13" s="30"/>
      <c r="G13" s="720" t="s">
        <v>5</v>
      </c>
      <c r="H13" s="779">
        <f t="shared" ref="H13:H20" si="0">C13</f>
        <v>0</v>
      </c>
      <c r="I13" s="743"/>
      <c r="J13" s="743"/>
      <c r="K13" s="764"/>
    </row>
    <row r="14" spans="1:11" ht="18">
      <c r="A14" s="760"/>
      <c r="B14" s="687" t="s">
        <v>4</v>
      </c>
      <c r="C14" s="689">
        <v>1.8158936340387E-2</v>
      </c>
      <c r="D14" s="711"/>
      <c r="E14" s="30"/>
      <c r="F14" s="30"/>
      <c r="G14" s="720" t="s">
        <v>4</v>
      </c>
      <c r="H14" s="779">
        <f t="shared" si="0"/>
        <v>1.8158936340387E-2</v>
      </c>
      <c r="I14" s="743"/>
      <c r="J14" s="743"/>
      <c r="K14" s="764"/>
    </row>
    <row r="15" spans="1:11" ht="18">
      <c r="A15" s="760"/>
      <c r="B15" s="687" t="s">
        <v>290</v>
      </c>
      <c r="C15" s="689">
        <v>6.2500838039078295E-7</v>
      </c>
      <c r="D15" s="711"/>
      <c r="E15" s="751"/>
      <c r="F15" s="30"/>
      <c r="G15" s="720" t="s">
        <v>3</v>
      </c>
      <c r="H15" s="779">
        <f t="shared" si="0"/>
        <v>6.2500838039078295E-7</v>
      </c>
      <c r="I15" s="743"/>
      <c r="J15" s="743"/>
      <c r="K15" s="764"/>
    </row>
    <row r="16" spans="1:11" ht="18">
      <c r="A16" s="760"/>
      <c r="B16" s="687" t="s">
        <v>6</v>
      </c>
      <c r="C16" s="689">
        <v>0.79374598560819198</v>
      </c>
      <c r="D16" s="711"/>
      <c r="E16" s="752"/>
      <c r="F16" s="30"/>
      <c r="G16" s="720" t="s">
        <v>6</v>
      </c>
      <c r="H16" s="779">
        <f t="shared" si="0"/>
        <v>0.79374598560819198</v>
      </c>
      <c r="I16" s="743"/>
      <c r="J16" s="743"/>
      <c r="K16" s="764"/>
    </row>
    <row r="17" spans="1:11" ht="18">
      <c r="A17" s="760"/>
      <c r="B17" s="687" t="s">
        <v>7</v>
      </c>
      <c r="C17" s="689">
        <v>0.169375452728564</v>
      </c>
      <c r="D17" s="711"/>
      <c r="E17" s="753"/>
      <c r="F17" s="30"/>
      <c r="G17" s="720" t="s">
        <v>7</v>
      </c>
      <c r="H17" s="779">
        <f t="shared" si="0"/>
        <v>0.169375452728564</v>
      </c>
      <c r="I17" s="743"/>
      <c r="J17" s="743"/>
      <c r="K17" s="764"/>
    </row>
    <row r="18" spans="1:11" ht="18">
      <c r="A18" s="760"/>
      <c r="B18" s="687" t="s">
        <v>8</v>
      </c>
      <c r="C18" s="689">
        <v>1.86654562270425E-2</v>
      </c>
      <c r="D18" s="711"/>
      <c r="E18" s="753"/>
      <c r="F18" s="30"/>
      <c r="G18" s="720" t="s">
        <v>8</v>
      </c>
      <c r="H18" s="779">
        <f t="shared" si="0"/>
        <v>1.86654562270425E-2</v>
      </c>
      <c r="I18" s="743"/>
      <c r="J18" s="743"/>
      <c r="K18" s="764"/>
    </row>
    <row r="19" spans="1:11" ht="18">
      <c r="A19" s="760"/>
      <c r="B19" s="687" t="s">
        <v>678</v>
      </c>
      <c r="C19" s="689">
        <v>4.2875382679069597E-5</v>
      </c>
      <c r="D19" s="711"/>
      <c r="E19" s="753"/>
      <c r="F19" s="30"/>
      <c r="G19" s="720" t="s">
        <v>747</v>
      </c>
      <c r="H19" s="779">
        <f t="shared" si="0"/>
        <v>4.2875382679069597E-5</v>
      </c>
      <c r="I19" s="743"/>
      <c r="J19" s="743"/>
      <c r="K19" s="764"/>
    </row>
    <row r="20" spans="1:11" ht="18">
      <c r="A20" s="760"/>
      <c r="B20" s="777" t="s">
        <v>67</v>
      </c>
      <c r="C20" s="690">
        <v>1.06629077545755E-5</v>
      </c>
      <c r="D20" s="711"/>
      <c r="E20" s="753"/>
      <c r="F20" s="30"/>
      <c r="G20" s="720" t="s">
        <v>748</v>
      </c>
      <c r="H20" s="779">
        <f t="shared" si="0"/>
        <v>1.06629077545755E-5</v>
      </c>
      <c r="I20" s="743"/>
      <c r="J20" s="743"/>
      <c r="K20" s="764"/>
    </row>
    <row r="21" spans="1:11" ht="18">
      <c r="A21" s="760"/>
      <c r="B21" s="706" t="s">
        <v>756</v>
      </c>
      <c r="C21" s="712">
        <v>0</v>
      </c>
      <c r="D21" s="711"/>
      <c r="E21" s="753"/>
      <c r="F21" s="30"/>
      <c r="G21" s="720" t="s">
        <v>749</v>
      </c>
      <c r="H21" s="779">
        <f>C22</f>
        <v>5.2601871119905601E-9</v>
      </c>
      <c r="I21" s="743"/>
      <c r="J21" s="743"/>
      <c r="K21" s="764"/>
    </row>
    <row r="22" spans="1:11" ht="18">
      <c r="A22" s="760"/>
      <c r="B22" s="687" t="s">
        <v>679</v>
      </c>
      <c r="C22" s="689">
        <v>5.2601871119905601E-9</v>
      </c>
      <c r="D22" s="711"/>
      <c r="E22" s="753"/>
      <c r="F22" s="30"/>
      <c r="G22" s="720" t="s">
        <v>750</v>
      </c>
      <c r="H22" s="779">
        <f>C23</f>
        <v>5.3679422829432099E-10</v>
      </c>
      <c r="I22" s="743"/>
      <c r="J22" s="743"/>
      <c r="K22" s="764"/>
    </row>
    <row r="23" spans="1:11" ht="18">
      <c r="A23" s="760"/>
      <c r="B23" s="691" t="s">
        <v>69</v>
      </c>
      <c r="C23" s="689">
        <v>5.3679422829432099E-10</v>
      </c>
      <c r="D23" s="711"/>
      <c r="E23" s="30"/>
      <c r="F23" s="30"/>
      <c r="G23" s="720" t="s">
        <v>800</v>
      </c>
      <c r="H23" s="779">
        <f>C25</f>
        <v>0</v>
      </c>
      <c r="I23" s="743"/>
      <c r="J23" s="743"/>
      <c r="K23" s="764"/>
    </row>
    <row r="24" spans="1:11" ht="18">
      <c r="A24" s="760"/>
      <c r="B24" s="707" t="s">
        <v>757</v>
      </c>
      <c r="C24" s="712">
        <v>0</v>
      </c>
      <c r="D24" s="711"/>
      <c r="E24" s="30"/>
      <c r="F24" s="30"/>
      <c r="G24" s="721" t="s">
        <v>292</v>
      </c>
      <c r="H24" s="780">
        <f>SUM(C21,C24,C26:C28)</f>
        <v>0</v>
      </c>
      <c r="I24" s="743"/>
      <c r="J24" s="743"/>
      <c r="K24" s="764"/>
    </row>
    <row r="25" spans="1:11" ht="18">
      <c r="A25" s="760"/>
      <c r="B25" s="691" t="s">
        <v>99</v>
      </c>
      <c r="C25" s="689">
        <v>0</v>
      </c>
      <c r="D25" s="711"/>
      <c r="E25" s="30"/>
      <c r="F25" s="30"/>
      <c r="G25" s="720" t="s">
        <v>10</v>
      </c>
      <c r="H25" s="779">
        <f>C29</f>
        <v>1.8419383977401201E-14</v>
      </c>
      <c r="I25" s="743"/>
      <c r="J25" s="743"/>
      <c r="K25" s="764"/>
    </row>
    <row r="26" spans="1:11" ht="18">
      <c r="A26" s="760"/>
      <c r="B26" s="707" t="s">
        <v>758</v>
      </c>
      <c r="C26" s="712">
        <v>0</v>
      </c>
      <c r="D26" s="711"/>
      <c r="E26" s="30"/>
      <c r="F26" s="30"/>
      <c r="G26" s="720" t="s">
        <v>9</v>
      </c>
      <c r="H26" s="779">
        <f>C31</f>
        <v>0</v>
      </c>
      <c r="I26" s="743"/>
      <c r="J26" s="743"/>
      <c r="K26" s="764"/>
    </row>
    <row r="27" spans="1:11" ht="18">
      <c r="A27" s="760"/>
      <c r="B27" s="707" t="s">
        <v>759</v>
      </c>
      <c r="C27" s="712">
        <v>0</v>
      </c>
      <c r="D27" s="711"/>
      <c r="E27" s="30"/>
      <c r="F27" s="30"/>
      <c r="G27" s="720" t="s">
        <v>11</v>
      </c>
      <c r="H27" s="779">
        <f>C32</f>
        <v>0</v>
      </c>
      <c r="I27" s="743"/>
      <c r="J27" s="743"/>
      <c r="K27" s="764"/>
    </row>
    <row r="28" spans="1:11" ht="18">
      <c r="A28" s="760"/>
      <c r="B28" s="707" t="s">
        <v>760</v>
      </c>
      <c r="C28" s="712">
        <v>0</v>
      </c>
      <c r="D28" s="711"/>
      <c r="E28" s="30"/>
      <c r="F28" s="30"/>
      <c r="G28" s="720" t="s">
        <v>12</v>
      </c>
      <c r="H28" s="779">
        <f>C33</f>
        <v>0</v>
      </c>
      <c r="I28" s="743"/>
      <c r="J28" s="743"/>
      <c r="K28" s="764"/>
    </row>
    <row r="29" spans="1:11" ht="36">
      <c r="A29" s="760"/>
      <c r="B29" s="701" t="s">
        <v>10</v>
      </c>
      <c r="C29" s="690">
        <v>1.8419383977401201E-14</v>
      </c>
      <c r="D29" s="711"/>
      <c r="E29" s="30"/>
      <c r="F29" s="30"/>
      <c r="G29" s="720" t="s">
        <v>286</v>
      </c>
      <c r="H29" s="779">
        <f>C36</f>
        <v>0</v>
      </c>
      <c r="I29" s="743"/>
      <c r="J29" s="743"/>
      <c r="K29" s="764"/>
    </row>
    <row r="30" spans="1:11" ht="18">
      <c r="A30" s="760"/>
      <c r="B30" s="701" t="s">
        <v>761</v>
      </c>
      <c r="C30" s="690">
        <v>0</v>
      </c>
      <c r="D30" s="711"/>
      <c r="E30" s="30"/>
      <c r="F30" s="30"/>
      <c r="G30" s="723" t="s">
        <v>801</v>
      </c>
      <c r="H30" s="781">
        <f>SUM(C34:C35,C38)</f>
        <v>0</v>
      </c>
      <c r="I30" s="743"/>
      <c r="J30" s="743"/>
      <c r="K30" s="764"/>
    </row>
    <row r="31" spans="1:11" ht="18">
      <c r="A31" s="760"/>
      <c r="B31" s="701" t="s">
        <v>762</v>
      </c>
      <c r="C31" s="690">
        <v>0</v>
      </c>
      <c r="D31" s="711"/>
      <c r="E31" s="30"/>
      <c r="F31" s="30"/>
      <c r="G31" s="725" t="s">
        <v>65</v>
      </c>
      <c r="H31" s="782">
        <f>C39</f>
        <v>0</v>
      </c>
      <c r="I31" s="743"/>
      <c r="J31" s="743"/>
      <c r="K31" s="764"/>
    </row>
    <row r="32" spans="1:11" ht="18">
      <c r="A32" s="760"/>
      <c r="B32" s="701" t="s">
        <v>11</v>
      </c>
      <c r="C32" s="690">
        <v>0</v>
      </c>
      <c r="D32" s="711"/>
      <c r="E32" s="30"/>
      <c r="F32" s="30"/>
      <c r="G32" s="720" t="s">
        <v>13</v>
      </c>
      <c r="H32" s="779">
        <f>C37</f>
        <v>2.6807819037352298E-71</v>
      </c>
      <c r="I32" s="743"/>
      <c r="J32" s="743"/>
      <c r="K32" s="764"/>
    </row>
    <row r="33" spans="1:11" ht="18">
      <c r="A33" s="760"/>
      <c r="B33" s="701" t="s">
        <v>12</v>
      </c>
      <c r="C33" s="690">
        <v>0</v>
      </c>
      <c r="D33" s="711"/>
      <c r="E33" s="30"/>
      <c r="F33" s="30"/>
      <c r="G33" s="720" t="s">
        <v>14</v>
      </c>
      <c r="H33" s="779">
        <f>C40</f>
        <v>0</v>
      </c>
      <c r="I33" s="743"/>
      <c r="J33" s="743"/>
      <c r="K33" s="764"/>
    </row>
    <row r="34" spans="1:11" ht="18">
      <c r="A34" s="760"/>
      <c r="B34" s="692" t="s">
        <v>763</v>
      </c>
      <c r="C34" s="713">
        <v>0</v>
      </c>
      <c r="D34" s="711"/>
      <c r="E34" s="30"/>
      <c r="F34" s="30"/>
      <c r="G34" s="727" t="s">
        <v>804</v>
      </c>
      <c r="H34" s="783">
        <f>SUM(C41:C42)</f>
        <v>0</v>
      </c>
      <c r="I34" s="743"/>
      <c r="J34" s="743"/>
      <c r="K34" s="764"/>
    </row>
    <row r="35" spans="1:11" ht="18">
      <c r="A35" s="760"/>
      <c r="B35" s="692" t="s">
        <v>764</v>
      </c>
      <c r="C35" s="713">
        <v>0</v>
      </c>
      <c r="D35" s="711"/>
      <c r="E35" s="30"/>
      <c r="F35" s="30"/>
      <c r="G35" s="720" t="s">
        <v>16</v>
      </c>
      <c r="H35" s="779">
        <f>C43</f>
        <v>0</v>
      </c>
      <c r="I35" s="743"/>
      <c r="J35" s="743"/>
      <c r="K35" s="764"/>
    </row>
    <row r="36" spans="1:11" ht="18">
      <c r="A36" s="760"/>
      <c r="B36" s="701" t="s">
        <v>765</v>
      </c>
      <c r="C36" s="690">
        <v>0</v>
      </c>
      <c r="D36" s="711"/>
      <c r="E36" s="30"/>
      <c r="F36" s="30"/>
      <c r="G36" s="729" t="s">
        <v>802</v>
      </c>
      <c r="H36" s="784">
        <f>SUM(C44:C46)</f>
        <v>0</v>
      </c>
      <c r="I36" s="743"/>
      <c r="J36" s="743"/>
      <c r="K36" s="764"/>
    </row>
    <row r="37" spans="1:11" ht="18">
      <c r="A37" s="760"/>
      <c r="B37" s="701" t="s">
        <v>13</v>
      </c>
      <c r="C37" s="690">
        <v>2.6807819037352298E-71</v>
      </c>
      <c r="D37" s="711"/>
      <c r="E37" s="30"/>
      <c r="F37" s="30"/>
      <c r="G37" s="731" t="s">
        <v>803</v>
      </c>
      <c r="H37" s="785">
        <f>SUM(C47,C73)</f>
        <v>1.31733683821069E-73</v>
      </c>
      <c r="I37" s="743"/>
      <c r="J37" s="743"/>
      <c r="K37" s="764"/>
    </row>
    <row r="38" spans="1:11" ht="18">
      <c r="A38" s="760"/>
      <c r="B38" s="692" t="s">
        <v>766</v>
      </c>
      <c r="C38" s="713">
        <v>0</v>
      </c>
      <c r="D38" s="711"/>
      <c r="E38" s="30"/>
      <c r="F38" s="30"/>
      <c r="G38" s="733" t="s">
        <v>805</v>
      </c>
      <c r="H38" s="786">
        <f>SUM(C74,C48)</f>
        <v>0</v>
      </c>
      <c r="I38" s="743"/>
      <c r="J38" s="743"/>
      <c r="K38" s="764"/>
    </row>
    <row r="39" spans="1:11" ht="18">
      <c r="A39" s="760"/>
      <c r="B39" s="701" t="s">
        <v>767</v>
      </c>
      <c r="C39" s="690">
        <v>0</v>
      </c>
      <c r="D39" s="711"/>
      <c r="E39" s="30"/>
      <c r="F39" s="30"/>
      <c r="G39" s="735" t="s">
        <v>806</v>
      </c>
      <c r="H39" s="787">
        <f>SUM(C49:C69)</f>
        <v>0</v>
      </c>
      <c r="I39" s="743"/>
      <c r="J39" s="743"/>
      <c r="K39" s="764"/>
    </row>
    <row r="40" spans="1:11" ht="18" thickBot="1">
      <c r="A40" s="760"/>
      <c r="B40" s="701" t="s">
        <v>14</v>
      </c>
      <c r="C40" s="690">
        <v>0</v>
      </c>
      <c r="D40" s="711"/>
      <c r="E40" s="30"/>
      <c r="F40" s="30"/>
      <c r="G40" s="737"/>
      <c r="H40" s="719"/>
      <c r="I40" s="743"/>
      <c r="J40" s="743"/>
      <c r="K40" s="764"/>
    </row>
    <row r="41" spans="1:11" ht="18" thickBot="1">
      <c r="A41" s="760"/>
      <c r="B41" s="694" t="s">
        <v>100</v>
      </c>
      <c r="C41" s="714">
        <v>0</v>
      </c>
      <c r="D41" s="711"/>
      <c r="E41" s="30"/>
      <c r="F41" s="30"/>
      <c r="G41" s="739" t="s">
        <v>692</v>
      </c>
      <c r="H41" s="740">
        <f>SUM(H12:H39)</f>
        <v>0.99999999999999933</v>
      </c>
      <c r="I41" s="743"/>
      <c r="J41" s="743"/>
      <c r="K41" s="764"/>
    </row>
    <row r="42" spans="1:11" ht="18" thickBot="1">
      <c r="A42" s="760"/>
      <c r="B42" s="694" t="s">
        <v>768</v>
      </c>
      <c r="C42" s="714">
        <v>0</v>
      </c>
      <c r="D42" s="711"/>
      <c r="E42" s="30"/>
      <c r="F42" s="30"/>
      <c r="G42" s="742"/>
      <c r="H42" s="708"/>
      <c r="I42" s="743"/>
      <c r="J42" s="743"/>
      <c r="K42" s="764"/>
    </row>
    <row r="43" spans="1:11" ht="16" thickBot="1">
      <c r="A43" s="760"/>
      <c r="B43" s="701" t="s">
        <v>769</v>
      </c>
      <c r="C43" s="690">
        <v>0</v>
      </c>
      <c r="D43" s="711"/>
      <c r="E43" s="30"/>
      <c r="F43" s="30"/>
      <c r="G43" s="5065" t="s">
        <v>810</v>
      </c>
      <c r="H43" s="5066"/>
      <c r="I43" s="743"/>
      <c r="J43" s="743"/>
      <c r="K43" s="764"/>
    </row>
    <row r="44" spans="1:11" ht="17.5">
      <c r="A44" s="760"/>
      <c r="B44" s="709" t="s">
        <v>770</v>
      </c>
      <c r="C44" s="715">
        <v>0</v>
      </c>
      <c r="D44" s="711"/>
      <c r="E44" s="30"/>
      <c r="F44" s="30"/>
      <c r="G44" s="757" t="s">
        <v>754</v>
      </c>
      <c r="H44" s="758">
        <v>0.86609999999999998</v>
      </c>
      <c r="I44" s="743"/>
      <c r="J44" s="743"/>
      <c r="K44" s="764"/>
    </row>
    <row r="45" spans="1:11" ht="31.5" thickBot="1">
      <c r="A45" s="760"/>
      <c r="B45" s="709" t="s">
        <v>423</v>
      </c>
      <c r="C45" s="715">
        <v>0</v>
      </c>
      <c r="D45" s="711"/>
      <c r="E45" s="30"/>
      <c r="F45" s="30"/>
      <c r="G45" s="756" t="s">
        <v>811</v>
      </c>
      <c r="H45" s="759">
        <v>262.91199999999998</v>
      </c>
      <c r="I45" s="743"/>
      <c r="J45" s="743"/>
      <c r="K45" s="764"/>
    </row>
    <row r="46" spans="1:11" ht="17.5">
      <c r="A46" s="760"/>
      <c r="B46" s="709" t="s">
        <v>771</v>
      </c>
      <c r="C46" s="715">
        <v>0</v>
      </c>
      <c r="D46" s="711"/>
      <c r="E46" s="30"/>
      <c r="F46" s="30"/>
      <c r="G46" s="742"/>
      <c r="H46" s="708"/>
      <c r="I46" s="743"/>
      <c r="J46" s="743"/>
      <c r="K46" s="764"/>
    </row>
    <row r="47" spans="1:11" ht="17.5">
      <c r="A47" s="760"/>
      <c r="B47" s="693" t="s">
        <v>772</v>
      </c>
      <c r="C47" s="716">
        <v>0</v>
      </c>
      <c r="D47" s="711"/>
      <c r="E47" s="30"/>
      <c r="F47" s="30"/>
      <c r="G47" s="742"/>
      <c r="H47" s="708"/>
      <c r="I47" s="743"/>
      <c r="J47" s="743"/>
      <c r="K47" s="764"/>
    </row>
    <row r="48" spans="1:11" ht="17.5">
      <c r="A48" s="760"/>
      <c r="B48" s="696" t="s">
        <v>773</v>
      </c>
      <c r="C48" s="717">
        <v>0</v>
      </c>
      <c r="D48" s="711"/>
      <c r="E48" s="30"/>
      <c r="F48" s="30"/>
      <c r="G48" s="742"/>
      <c r="H48" s="708"/>
      <c r="I48" s="743"/>
      <c r="J48" s="743"/>
      <c r="K48" s="764"/>
    </row>
    <row r="49" spans="1:11" ht="15.5">
      <c r="A49" s="760"/>
      <c r="B49" s="695" t="s">
        <v>774</v>
      </c>
      <c r="C49" s="718">
        <v>0</v>
      </c>
      <c r="D49" s="711"/>
      <c r="E49" s="30"/>
      <c r="F49" s="30"/>
      <c r="G49" s="742"/>
      <c r="H49" s="743"/>
      <c r="I49" s="743"/>
      <c r="J49" s="743"/>
      <c r="K49" s="764"/>
    </row>
    <row r="50" spans="1:11" ht="15.5">
      <c r="A50" s="760"/>
      <c r="B50" s="695" t="s">
        <v>775</v>
      </c>
      <c r="C50" s="718">
        <v>0</v>
      </c>
      <c r="D50" s="711"/>
      <c r="E50" s="30"/>
      <c r="F50" s="30"/>
      <c r="G50" s="742"/>
      <c r="H50" s="743"/>
      <c r="I50" s="743"/>
      <c r="J50" s="743"/>
      <c r="K50" s="764"/>
    </row>
    <row r="51" spans="1:11" ht="15.5">
      <c r="A51" s="760"/>
      <c r="B51" s="695" t="s">
        <v>776</v>
      </c>
      <c r="C51" s="718">
        <v>0</v>
      </c>
      <c r="D51" s="711"/>
      <c r="E51" s="30"/>
      <c r="F51" s="30"/>
      <c r="G51" s="744"/>
      <c r="H51" s="743"/>
      <c r="I51" s="765"/>
      <c r="J51" s="765"/>
      <c r="K51" s="766"/>
    </row>
    <row r="52" spans="1:11" ht="15.5">
      <c r="A52" s="760"/>
      <c r="B52" s="695" t="s">
        <v>777</v>
      </c>
      <c r="C52" s="718">
        <v>0</v>
      </c>
      <c r="D52" s="711"/>
      <c r="E52" s="30"/>
      <c r="F52" s="30"/>
      <c r="G52" s="742"/>
      <c r="H52" s="743"/>
      <c r="I52" s="754"/>
      <c r="J52" s="30"/>
      <c r="K52" s="762"/>
    </row>
    <row r="53" spans="1:11" ht="15.5">
      <c r="A53" s="760"/>
      <c r="B53" s="695" t="s">
        <v>778</v>
      </c>
      <c r="C53" s="718">
        <v>0</v>
      </c>
      <c r="D53" s="711"/>
      <c r="E53" s="30"/>
      <c r="F53" s="30"/>
      <c r="G53" s="767"/>
      <c r="H53" s="765"/>
      <c r="I53" s="754"/>
      <c r="J53" s="30"/>
      <c r="K53" s="762"/>
    </row>
    <row r="54" spans="1:11" ht="15.5">
      <c r="A54" s="760"/>
      <c r="B54" s="695" t="s">
        <v>779</v>
      </c>
      <c r="C54" s="718">
        <v>0</v>
      </c>
      <c r="D54" s="711"/>
      <c r="E54" s="30"/>
      <c r="F54" s="30"/>
      <c r="G54" s="30"/>
      <c r="H54" s="745"/>
      <c r="I54" s="754"/>
      <c r="J54" s="30"/>
      <c r="K54" s="762"/>
    </row>
    <row r="55" spans="1:11" ht="15.5">
      <c r="A55" s="760"/>
      <c r="B55" s="695" t="s">
        <v>780</v>
      </c>
      <c r="C55" s="718">
        <v>0</v>
      </c>
      <c r="D55" s="711"/>
      <c r="E55" s="30"/>
      <c r="F55" s="30"/>
      <c r="G55" s="30"/>
      <c r="H55" s="745"/>
      <c r="I55" s="754"/>
      <c r="J55" s="30"/>
      <c r="K55" s="762"/>
    </row>
    <row r="56" spans="1:11" ht="15.5">
      <c r="A56" s="760"/>
      <c r="B56" s="695" t="s">
        <v>781</v>
      </c>
      <c r="C56" s="718">
        <v>0</v>
      </c>
      <c r="D56" s="711"/>
      <c r="E56" s="30"/>
      <c r="F56" s="30"/>
      <c r="G56" s="30"/>
      <c r="H56" s="745"/>
      <c r="I56" s="754"/>
      <c r="J56" s="30"/>
      <c r="K56" s="762"/>
    </row>
    <row r="57" spans="1:11" ht="15.5">
      <c r="A57" s="760"/>
      <c r="B57" s="695" t="s">
        <v>782</v>
      </c>
      <c r="C57" s="718">
        <v>0</v>
      </c>
      <c r="D57" s="711"/>
      <c r="E57" s="30"/>
      <c r="F57" s="30"/>
      <c r="G57" s="30"/>
      <c r="H57" s="745"/>
      <c r="I57" s="754"/>
      <c r="J57" s="30"/>
      <c r="K57" s="762"/>
    </row>
    <row r="58" spans="1:11" ht="15.5">
      <c r="A58" s="760"/>
      <c r="B58" s="695" t="s">
        <v>783</v>
      </c>
      <c r="C58" s="718">
        <v>0</v>
      </c>
      <c r="D58" s="711"/>
      <c r="E58" s="30"/>
      <c r="F58" s="30"/>
      <c r="G58" s="30"/>
      <c r="H58" s="745"/>
      <c r="I58" s="754"/>
      <c r="J58" s="30"/>
      <c r="K58" s="762"/>
    </row>
    <row r="59" spans="1:11" ht="15.5">
      <c r="A59" s="760"/>
      <c r="B59" s="695" t="s">
        <v>784</v>
      </c>
      <c r="C59" s="718">
        <v>0</v>
      </c>
      <c r="D59" s="711"/>
      <c r="E59" s="30"/>
      <c r="F59" s="30"/>
      <c r="G59" s="30"/>
      <c r="H59" s="745"/>
      <c r="I59" s="754"/>
      <c r="J59" s="30"/>
      <c r="K59" s="762"/>
    </row>
    <row r="60" spans="1:11" ht="15.5">
      <c r="A60" s="760"/>
      <c r="B60" s="695" t="s">
        <v>785</v>
      </c>
      <c r="C60" s="718">
        <v>0</v>
      </c>
      <c r="D60" s="711"/>
      <c r="E60" s="30"/>
      <c r="F60" s="30"/>
      <c r="G60" s="30"/>
      <c r="H60" s="745"/>
      <c r="I60" s="754"/>
      <c r="J60" s="30"/>
      <c r="K60" s="762"/>
    </row>
    <row r="61" spans="1:11" ht="15.5">
      <c r="A61" s="760"/>
      <c r="B61" s="695" t="s">
        <v>786</v>
      </c>
      <c r="C61" s="718">
        <v>0</v>
      </c>
      <c r="D61" s="711"/>
      <c r="E61" s="30"/>
      <c r="F61" s="30"/>
      <c r="G61" s="30"/>
      <c r="H61" s="745"/>
      <c r="I61" s="754"/>
      <c r="J61" s="30"/>
      <c r="K61" s="762"/>
    </row>
    <row r="62" spans="1:11" ht="15.5">
      <c r="A62" s="760"/>
      <c r="B62" s="695" t="s">
        <v>787</v>
      </c>
      <c r="C62" s="718">
        <v>0</v>
      </c>
      <c r="D62" s="711"/>
      <c r="E62" s="30"/>
      <c r="F62" s="30"/>
      <c r="G62" s="30"/>
      <c r="H62" s="745"/>
      <c r="I62" s="754"/>
      <c r="J62" s="30"/>
      <c r="K62" s="762"/>
    </row>
    <row r="63" spans="1:11" ht="15.5">
      <c r="A63" s="760"/>
      <c r="B63" s="695" t="s">
        <v>788</v>
      </c>
      <c r="C63" s="718">
        <v>0</v>
      </c>
      <c r="D63" s="711"/>
      <c r="E63" s="30"/>
      <c r="F63" s="30"/>
      <c r="G63" s="30"/>
      <c r="H63" s="745"/>
      <c r="I63" s="754"/>
      <c r="J63" s="30"/>
      <c r="K63" s="762"/>
    </row>
    <row r="64" spans="1:11" ht="15.5">
      <c r="A64" s="760"/>
      <c r="B64" s="695" t="s">
        <v>789</v>
      </c>
      <c r="C64" s="718">
        <v>0</v>
      </c>
      <c r="D64" s="711"/>
      <c r="E64" s="30"/>
      <c r="F64" s="30"/>
      <c r="G64" s="30"/>
      <c r="H64" s="745"/>
      <c r="I64" s="754"/>
      <c r="J64" s="30"/>
      <c r="K64" s="762"/>
    </row>
    <row r="65" spans="1:11" ht="15.5">
      <c r="A65" s="760"/>
      <c r="B65" s="695" t="s">
        <v>790</v>
      </c>
      <c r="C65" s="718">
        <v>0</v>
      </c>
      <c r="D65" s="711"/>
      <c r="E65" s="30"/>
      <c r="F65" s="30"/>
      <c r="G65" s="30"/>
      <c r="H65" s="745"/>
      <c r="I65" s="754"/>
      <c r="J65" s="30"/>
      <c r="K65" s="762"/>
    </row>
    <row r="66" spans="1:11" ht="15.5">
      <c r="A66" s="760"/>
      <c r="B66" s="695" t="s">
        <v>791</v>
      </c>
      <c r="C66" s="718">
        <v>0</v>
      </c>
      <c r="D66" s="711"/>
      <c r="E66" s="30"/>
      <c r="F66" s="30"/>
      <c r="G66" s="30"/>
      <c r="H66" s="745"/>
      <c r="I66" s="754"/>
      <c r="J66" s="30"/>
      <c r="K66" s="762"/>
    </row>
    <row r="67" spans="1:11" ht="15.5">
      <c r="A67" s="760"/>
      <c r="B67" s="695" t="s">
        <v>792</v>
      </c>
      <c r="C67" s="718">
        <v>0</v>
      </c>
      <c r="D67" s="711"/>
      <c r="E67" s="30"/>
      <c r="F67" s="30"/>
      <c r="G67" s="30"/>
      <c r="H67" s="745"/>
      <c r="I67" s="754"/>
      <c r="J67" s="30"/>
      <c r="K67" s="762"/>
    </row>
    <row r="68" spans="1:11" ht="15.5">
      <c r="A68" s="760"/>
      <c r="B68" s="695" t="s">
        <v>793</v>
      </c>
      <c r="C68" s="718">
        <v>0</v>
      </c>
      <c r="D68" s="711"/>
      <c r="E68" s="30"/>
      <c r="F68" s="30"/>
      <c r="G68" s="30"/>
      <c r="H68" s="745"/>
      <c r="I68" s="754"/>
      <c r="J68" s="30"/>
      <c r="K68" s="762"/>
    </row>
    <row r="69" spans="1:11" ht="15.5">
      <c r="A69" s="760"/>
      <c r="B69" s="695" t="s">
        <v>794</v>
      </c>
      <c r="C69" s="718">
        <v>0</v>
      </c>
      <c r="D69" s="711"/>
      <c r="E69" s="30"/>
      <c r="F69" s="30"/>
      <c r="G69" s="30"/>
      <c r="H69" s="745"/>
      <c r="I69" s="754"/>
      <c r="J69" s="30"/>
      <c r="K69" s="762"/>
    </row>
    <row r="70" spans="1:11" ht="15.5">
      <c r="A70" s="760"/>
      <c r="B70" s="701" t="s">
        <v>673</v>
      </c>
      <c r="C70" s="690">
        <v>2.5643933641102601E-51</v>
      </c>
      <c r="D70" s="711"/>
      <c r="E70" s="30"/>
      <c r="F70" s="30"/>
      <c r="G70" s="30"/>
      <c r="H70" s="745"/>
      <c r="I70" s="754"/>
      <c r="J70" s="30"/>
      <c r="K70" s="762"/>
    </row>
    <row r="71" spans="1:11" ht="15.5">
      <c r="A71" s="760"/>
      <c r="B71" s="701" t="s">
        <v>795</v>
      </c>
      <c r="C71" s="690">
        <v>0</v>
      </c>
      <c r="D71" s="711"/>
      <c r="E71" s="30"/>
      <c r="F71" s="30"/>
      <c r="G71" s="30"/>
      <c r="H71" s="745"/>
      <c r="I71" s="754"/>
      <c r="J71" s="30"/>
      <c r="K71" s="762"/>
    </row>
    <row r="72" spans="1:11" ht="15.5">
      <c r="A72" s="760"/>
      <c r="B72" s="701" t="s">
        <v>796</v>
      </c>
      <c r="C72" s="690">
        <v>0</v>
      </c>
      <c r="D72" s="711"/>
      <c r="E72" s="30"/>
      <c r="F72" s="30"/>
      <c r="G72" s="30"/>
      <c r="H72" s="745"/>
      <c r="I72" s="754"/>
      <c r="J72" s="30"/>
      <c r="K72" s="762"/>
    </row>
    <row r="73" spans="1:11" ht="15.5">
      <c r="A73" s="760"/>
      <c r="B73" s="693" t="s">
        <v>101</v>
      </c>
      <c r="C73" s="716">
        <v>1.31733683821069E-73</v>
      </c>
      <c r="D73" s="711"/>
      <c r="E73" s="30"/>
      <c r="F73" s="30"/>
      <c r="G73" s="30"/>
      <c r="H73" s="745"/>
      <c r="I73" s="754"/>
      <c r="J73" s="30"/>
      <c r="K73" s="762"/>
    </row>
    <row r="74" spans="1:11" ht="15.5">
      <c r="A74" s="760"/>
      <c r="B74" s="696" t="s">
        <v>117</v>
      </c>
      <c r="C74" s="717">
        <v>0</v>
      </c>
      <c r="D74" s="711"/>
      <c r="E74" s="30"/>
      <c r="F74" s="30"/>
      <c r="G74" s="30"/>
      <c r="H74" s="745"/>
      <c r="I74" s="754"/>
      <c r="J74" s="30"/>
      <c r="K74" s="762"/>
    </row>
    <row r="75" spans="1:11" ht="15.5">
      <c r="A75" s="760"/>
      <c r="B75" s="701" t="s">
        <v>797</v>
      </c>
      <c r="C75" s="690">
        <v>0</v>
      </c>
      <c r="D75" s="711"/>
      <c r="E75" s="30"/>
      <c r="F75" s="30"/>
      <c r="G75" s="30"/>
      <c r="H75" s="745"/>
      <c r="I75" s="754"/>
      <c r="J75" s="30"/>
      <c r="K75" s="762"/>
    </row>
    <row r="76" spans="1:11" ht="15.5">
      <c r="A76" s="760"/>
      <c r="B76" s="701" t="s">
        <v>798</v>
      </c>
      <c r="C76" s="690">
        <v>0</v>
      </c>
      <c r="D76" s="711"/>
      <c r="E76" s="30"/>
      <c r="F76" s="30"/>
      <c r="G76" s="30"/>
      <c r="H76" s="745"/>
      <c r="I76" s="754"/>
      <c r="J76" s="30"/>
      <c r="K76" s="762"/>
    </row>
    <row r="77" spans="1:11" ht="15.5">
      <c r="A77" s="760"/>
      <c r="B77" s="701" t="s">
        <v>799</v>
      </c>
      <c r="C77" s="690">
        <v>0</v>
      </c>
      <c r="D77" s="711"/>
      <c r="E77" s="30"/>
      <c r="F77" s="30"/>
      <c r="G77" s="30"/>
      <c r="H77" s="745"/>
      <c r="I77" s="754"/>
      <c r="J77" s="30"/>
      <c r="K77" s="762"/>
    </row>
    <row r="78" spans="1:11" ht="16" thickBot="1">
      <c r="A78" s="760"/>
      <c r="B78" s="701" t="s">
        <v>0</v>
      </c>
      <c r="C78" s="690">
        <v>0</v>
      </c>
      <c r="D78" s="711"/>
      <c r="E78" s="30"/>
      <c r="F78" s="30"/>
      <c r="G78" s="30"/>
      <c r="H78" s="745"/>
      <c r="I78" s="754"/>
      <c r="J78" s="30"/>
      <c r="K78" s="762"/>
    </row>
    <row r="79" spans="1:11" ht="16" thickBot="1">
      <c r="A79" s="768"/>
      <c r="B79" s="741" t="s">
        <v>753</v>
      </c>
      <c r="C79" s="710">
        <v>100</v>
      </c>
      <c r="D79" s="769"/>
      <c r="E79" s="770"/>
      <c r="F79" s="770"/>
      <c r="G79" s="770"/>
      <c r="H79" s="771"/>
      <c r="I79" s="772"/>
      <c r="J79" s="770"/>
      <c r="K79" s="773"/>
    </row>
    <row r="80" spans="1:11" ht="15.5">
      <c r="B80" s="697"/>
      <c r="C80" s="688"/>
      <c r="D80" s="688"/>
      <c r="H80" s="699"/>
      <c r="I80" s="698"/>
    </row>
    <row r="81" spans="2:9" ht="15.5">
      <c r="B81" s="686"/>
      <c r="C81" s="686"/>
      <c r="D81" s="686"/>
      <c r="H81" s="699"/>
      <c r="I81" s="698"/>
    </row>
    <row r="82" spans="2:9" ht="15.5">
      <c r="B82" s="686"/>
      <c r="C82" s="686"/>
      <c r="D82" s="686"/>
      <c r="H82" s="699"/>
      <c r="I82" s="698"/>
    </row>
    <row r="83" spans="2:9" ht="15.5">
      <c r="B83" s="686"/>
      <c r="C83" s="686"/>
      <c r="D83" s="686"/>
      <c r="H83" s="699"/>
      <c r="I83" s="698"/>
    </row>
    <row r="84" spans="2:9" ht="15.5">
      <c r="B84" s="686"/>
      <c r="C84" s="686"/>
      <c r="D84" s="686"/>
      <c r="H84" s="699"/>
      <c r="I84" s="698"/>
    </row>
    <row r="85" spans="2:9" ht="15.5">
      <c r="B85" s="686"/>
      <c r="C85" s="686"/>
      <c r="D85" s="686"/>
      <c r="H85" s="699"/>
      <c r="I85" s="698"/>
    </row>
    <row r="86" spans="2:9" ht="15.5">
      <c r="B86" s="686"/>
      <c r="C86" s="686"/>
      <c r="D86" s="686"/>
      <c r="H86" s="699"/>
      <c r="I86" s="698"/>
    </row>
    <row r="87" spans="2:9" ht="15.5">
      <c r="B87" s="686"/>
      <c r="C87" s="686"/>
      <c r="D87" s="686"/>
      <c r="H87" s="699"/>
      <c r="I87" s="698"/>
    </row>
    <row r="88" spans="2:9" ht="15.5">
      <c r="B88" s="686"/>
      <c r="C88" s="686"/>
      <c r="D88" s="686"/>
      <c r="H88" s="699"/>
      <c r="I88" s="698"/>
    </row>
    <row r="89" spans="2:9" ht="15.5">
      <c r="B89" s="686"/>
      <c r="C89" s="686"/>
      <c r="D89" s="686"/>
      <c r="H89" s="699"/>
      <c r="I89" s="698"/>
    </row>
    <row r="90" spans="2:9" ht="15.5">
      <c r="B90" s="686"/>
      <c r="C90" s="686"/>
      <c r="D90" s="686"/>
      <c r="H90" s="699"/>
      <c r="I90" s="698"/>
    </row>
    <row r="91" spans="2:9" ht="15.5">
      <c r="B91" s="686"/>
      <c r="C91" s="686"/>
      <c r="D91" s="686"/>
      <c r="H91" s="699"/>
      <c r="I91" s="698"/>
    </row>
    <row r="92" spans="2:9" ht="15.5">
      <c r="B92" s="686"/>
      <c r="C92" s="686"/>
      <c r="D92" s="686"/>
      <c r="H92" s="699"/>
      <c r="I92" s="698"/>
    </row>
    <row r="93" spans="2:9" ht="15.5">
      <c r="B93" s="686"/>
      <c r="C93" s="686"/>
      <c r="D93" s="686"/>
      <c r="H93" s="699"/>
      <c r="I93" s="698"/>
    </row>
    <row r="94" spans="2:9" ht="15.5">
      <c r="B94" s="686"/>
      <c r="C94" s="686"/>
      <c r="D94" s="686"/>
      <c r="H94" s="699"/>
    </row>
    <row r="95" spans="2:9" ht="15.5">
      <c r="B95" s="686"/>
      <c r="C95" s="686"/>
      <c r="D95" s="686"/>
      <c r="H95" s="699"/>
      <c r="I95" s="698"/>
    </row>
    <row r="96" spans="2:9" ht="15.5">
      <c r="B96" s="686"/>
      <c r="C96" s="686"/>
      <c r="D96" s="686"/>
      <c r="H96" s="699"/>
    </row>
    <row r="97" spans="2:9" ht="15.5">
      <c r="B97" s="686"/>
      <c r="C97" s="686"/>
      <c r="D97" s="686"/>
      <c r="H97" s="699"/>
    </row>
    <row r="98" spans="2:9" ht="15.5">
      <c r="B98" s="686"/>
      <c r="C98" s="686"/>
      <c r="D98" s="686"/>
      <c r="H98" s="699"/>
      <c r="I98" s="698"/>
    </row>
    <row r="99" spans="2:9" ht="15.5">
      <c r="B99" s="686"/>
      <c r="C99" s="686"/>
      <c r="D99" s="686"/>
      <c r="H99" s="699"/>
      <c r="I99" s="698"/>
    </row>
    <row r="100" spans="2:9" ht="15.5">
      <c r="B100" s="686"/>
      <c r="C100" s="686"/>
      <c r="D100" s="686"/>
      <c r="H100" s="699"/>
      <c r="I100" s="698"/>
    </row>
    <row r="101" spans="2:9" ht="15.5">
      <c r="B101" s="686"/>
      <c r="C101" s="686"/>
      <c r="D101" s="686"/>
      <c r="H101" s="699"/>
    </row>
    <row r="102" spans="2:9" ht="15.5">
      <c r="B102" s="686"/>
      <c r="C102" s="686"/>
      <c r="D102" s="686"/>
      <c r="H102" s="699"/>
    </row>
    <row r="103" spans="2:9" ht="15.5">
      <c r="B103" s="686"/>
      <c r="C103" s="686"/>
      <c r="D103" s="686"/>
      <c r="H103" s="699"/>
    </row>
    <row r="104" spans="2:9" ht="15.5">
      <c r="B104" s="686"/>
      <c r="C104" s="686"/>
      <c r="D104" s="686"/>
      <c r="H104" s="699"/>
    </row>
    <row r="105" spans="2:9" ht="15.5">
      <c r="B105" s="686"/>
      <c r="C105" s="686"/>
      <c r="D105" s="686"/>
      <c r="H105" s="699"/>
    </row>
    <row r="106" spans="2:9" ht="15.5">
      <c r="B106" s="686"/>
      <c r="C106" s="686"/>
      <c r="D106" s="686"/>
      <c r="H106" s="699"/>
    </row>
    <row r="107" spans="2:9" ht="15.5">
      <c r="B107" s="686"/>
      <c r="C107" s="686"/>
      <c r="D107" s="686"/>
    </row>
    <row r="108" spans="2:9" ht="15.5">
      <c r="B108" s="686"/>
      <c r="C108" s="686"/>
      <c r="D108" s="686"/>
      <c r="H108" s="700"/>
    </row>
    <row r="109" spans="2:9" ht="15.5">
      <c r="B109" s="686"/>
      <c r="C109" s="686"/>
      <c r="D109" s="686"/>
    </row>
    <row r="110" spans="2:9" ht="15.5">
      <c r="B110" s="686"/>
      <c r="C110" s="686"/>
      <c r="D110" s="686"/>
    </row>
    <row r="111" spans="2:9" ht="15.5">
      <c r="B111" s="686"/>
      <c r="C111" s="686"/>
      <c r="D111" s="686"/>
    </row>
    <row r="112" spans="2:9" ht="15.5">
      <c r="B112" s="686"/>
      <c r="C112" s="686"/>
      <c r="D112" s="686"/>
    </row>
    <row r="113" spans="2:4" ht="15.5">
      <c r="B113" s="686"/>
      <c r="C113" s="686"/>
      <c r="D113" s="686"/>
    </row>
    <row r="114" spans="2:4" ht="15.5">
      <c r="B114" s="686"/>
      <c r="C114" s="686"/>
      <c r="D114" s="686"/>
    </row>
  </sheetData>
  <mergeCells count="11">
    <mergeCell ref="B2:J2"/>
    <mergeCell ref="B3:J3"/>
    <mergeCell ref="B4:J4"/>
    <mergeCell ref="A6:K6"/>
    <mergeCell ref="B9:C9"/>
    <mergeCell ref="G9:H9"/>
    <mergeCell ref="B10:B11"/>
    <mergeCell ref="C10:C11"/>
    <mergeCell ref="G10:G11"/>
    <mergeCell ref="H10:H11"/>
    <mergeCell ref="G43:H43"/>
  </mergeCells>
  <printOptions horizontalCentered="1"/>
  <pageMargins left="0.7" right="0.7" top="0.75" bottom="0.75" header="0.3" footer="0.3"/>
  <pageSetup scale="4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2">
    <tabColor rgb="FF00FFCC"/>
  </sheetPr>
  <dimension ref="A1:K114"/>
  <sheetViews>
    <sheetView view="pageBreakPreview" zoomScale="60" zoomScaleNormal="100" workbookViewId="0">
      <selection sqref="A1:K1048576"/>
    </sheetView>
  </sheetViews>
  <sheetFormatPr defaultRowHeight="12.5"/>
  <cols>
    <col min="1" max="1" width="9.36328125" style="47"/>
    <col min="2" max="2" width="24.453125" style="47" customWidth="1"/>
    <col min="3" max="3" width="16.54296875" style="47" customWidth="1"/>
    <col min="4" max="4" width="5.36328125" style="47" customWidth="1"/>
    <col min="5" max="5" width="9.36328125" style="47"/>
    <col min="6" max="6" width="2.453125" style="47" customWidth="1"/>
    <col min="7" max="7" width="23.453125" style="47" customWidth="1"/>
    <col min="8" max="8" width="17.453125" style="47" customWidth="1"/>
    <col min="9" max="9" width="9.36328125" style="47"/>
    <col min="10" max="10" width="2.54296875" style="47" customWidth="1"/>
    <col min="11" max="11" width="9.36328125" style="47"/>
  </cols>
  <sheetData>
    <row r="1" spans="1:11" ht="13" thickBot="1">
      <c r="A1" s="774"/>
      <c r="B1" s="775"/>
      <c r="C1" s="775"/>
      <c r="D1" s="775"/>
      <c r="E1" s="775"/>
      <c r="F1" s="775"/>
      <c r="G1" s="775"/>
      <c r="H1" s="775"/>
      <c r="I1" s="775"/>
      <c r="J1" s="775"/>
      <c r="K1" s="776"/>
    </row>
    <row r="2" spans="1:11" ht="18">
      <c r="A2" s="643"/>
      <c r="B2" s="4480" t="str">
        <f>'TO Hrly (TO1-TO3)'!B2:M2</f>
        <v>XTO ENERGY INC.</v>
      </c>
      <c r="C2" s="4481"/>
      <c r="D2" s="4481"/>
      <c r="E2" s="4481"/>
      <c r="F2" s="4481"/>
      <c r="G2" s="4481"/>
      <c r="H2" s="4481"/>
      <c r="I2" s="4481"/>
      <c r="J2" s="4482"/>
      <c r="K2" s="644"/>
    </row>
    <row r="3" spans="1:11" ht="18">
      <c r="A3" s="643"/>
      <c r="B3" s="4483" t="str">
        <f>'TO Hrly (TO1-TO3)'!B3:M3</f>
        <v>HUSKY CDP</v>
      </c>
      <c r="C3" s="4484"/>
      <c r="D3" s="4484"/>
      <c r="E3" s="4484"/>
      <c r="F3" s="4484"/>
      <c r="G3" s="4484"/>
      <c r="H3" s="4484"/>
      <c r="I3" s="4484"/>
      <c r="J3" s="4485"/>
      <c r="K3" s="644"/>
    </row>
    <row r="4" spans="1:11" ht="18.5" thickBot="1">
      <c r="A4" s="643"/>
      <c r="B4" s="5067" t="s">
        <v>809</v>
      </c>
      <c r="C4" s="5068"/>
      <c r="D4" s="5068"/>
      <c r="E4" s="5068"/>
      <c r="F4" s="5068"/>
      <c r="G4" s="5068"/>
      <c r="H4" s="5068"/>
      <c r="I4" s="5068"/>
      <c r="J4" s="5069"/>
      <c r="K4" s="644"/>
    </row>
    <row r="5" spans="1:11" ht="18.5" thickBot="1">
      <c r="A5" s="645"/>
      <c r="B5" s="646"/>
      <c r="C5" s="646"/>
      <c r="D5" s="646"/>
      <c r="E5" s="646"/>
      <c r="F5" s="646"/>
      <c r="G5" s="646"/>
      <c r="H5" s="646"/>
      <c r="I5" s="646"/>
      <c r="J5" s="646"/>
      <c r="K5" s="647"/>
    </row>
    <row r="6" spans="1:11" ht="13.5" thickBot="1">
      <c r="A6" s="4779" t="s">
        <v>1227</v>
      </c>
      <c r="B6" s="4689"/>
      <c r="C6" s="4689"/>
      <c r="D6" s="4689"/>
      <c r="E6" s="4689"/>
      <c r="F6" s="4689"/>
      <c r="G6" s="4689"/>
      <c r="H6" s="4689"/>
      <c r="I6" s="4689"/>
      <c r="J6" s="4689"/>
      <c r="K6" s="4780"/>
    </row>
    <row r="7" spans="1:11" ht="16" thickBot="1">
      <c r="A7" s="760"/>
      <c r="B7" s="30"/>
      <c r="C7" s="761"/>
      <c r="D7" s="761"/>
      <c r="E7" s="746"/>
      <c r="F7" s="30"/>
      <c r="G7" s="747"/>
      <c r="H7" s="748"/>
      <c r="I7" s="746"/>
      <c r="J7" s="30"/>
      <c r="K7" s="762"/>
    </row>
    <row r="8" spans="1:11" s="47" customFormat="1" ht="36" customHeight="1" thickBot="1">
      <c r="A8" s="760"/>
      <c r="B8" s="5093" t="s">
        <v>1790</v>
      </c>
      <c r="C8" s="5094"/>
      <c r="D8" s="761"/>
      <c r="E8" s="746"/>
      <c r="F8" s="30"/>
      <c r="G8" s="2583" t="s">
        <v>1782</v>
      </c>
      <c r="H8" s="2586" t="s">
        <v>1791</v>
      </c>
      <c r="I8" s="746"/>
      <c r="J8" s="30"/>
      <c r="K8" s="762"/>
    </row>
    <row r="9" spans="1:11" ht="16" thickBot="1">
      <c r="A9" s="760"/>
      <c r="B9" s="5087" t="s">
        <v>807</v>
      </c>
      <c r="C9" s="5088"/>
      <c r="D9" s="749"/>
      <c r="E9" s="746"/>
      <c r="F9" s="30"/>
      <c r="G9" s="5089" t="s">
        <v>808</v>
      </c>
      <c r="H9" s="5090"/>
      <c r="I9" s="746"/>
      <c r="J9" s="30"/>
      <c r="K9" s="762"/>
    </row>
    <row r="10" spans="1:11" ht="15.5">
      <c r="A10" s="760"/>
      <c r="B10" s="5075" t="s">
        <v>2</v>
      </c>
      <c r="C10" s="5077" t="s">
        <v>746</v>
      </c>
      <c r="D10" s="750"/>
      <c r="E10" s="746"/>
      <c r="F10" s="30"/>
      <c r="G10" s="5079" t="s">
        <v>2</v>
      </c>
      <c r="H10" s="5083" t="s">
        <v>746</v>
      </c>
      <c r="I10" s="746"/>
      <c r="J10" s="30"/>
      <c r="K10" s="762"/>
    </row>
    <row r="11" spans="1:11" ht="16" thickBot="1">
      <c r="A11" s="760"/>
      <c r="B11" s="5076"/>
      <c r="C11" s="5078"/>
      <c r="D11" s="750"/>
      <c r="E11" s="30"/>
      <c r="F11" s="30"/>
      <c r="G11" s="5080"/>
      <c r="H11" s="5084"/>
      <c r="I11" s="754"/>
      <c r="J11" s="30"/>
      <c r="K11" s="762"/>
    </row>
    <row r="12" spans="1:11" ht="18">
      <c r="A12" s="760"/>
      <c r="B12" s="687" t="s">
        <v>755</v>
      </c>
      <c r="C12" s="689">
        <v>0</v>
      </c>
      <c r="D12" s="711"/>
      <c r="E12" s="751"/>
      <c r="F12" s="30"/>
      <c r="G12" s="738" t="s">
        <v>298</v>
      </c>
      <c r="H12" s="779">
        <f>C70</f>
        <v>0</v>
      </c>
      <c r="I12" s="755"/>
      <c r="J12" s="755"/>
      <c r="K12" s="763"/>
    </row>
    <row r="13" spans="1:11" ht="18">
      <c r="A13" s="760"/>
      <c r="B13" s="687" t="s">
        <v>47</v>
      </c>
      <c r="C13" s="689">
        <v>0</v>
      </c>
      <c r="D13" s="711"/>
      <c r="E13" s="746"/>
      <c r="F13" s="30"/>
      <c r="G13" s="720" t="s">
        <v>5</v>
      </c>
      <c r="H13" s="779">
        <f t="shared" ref="H13:H20" si="0">C13</f>
        <v>0</v>
      </c>
      <c r="I13" s="743"/>
      <c r="J13" s="743"/>
      <c r="K13" s="764"/>
    </row>
    <row r="14" spans="1:11" ht="18">
      <c r="A14" s="760"/>
      <c r="B14" s="687" t="s">
        <v>4</v>
      </c>
      <c r="C14" s="689">
        <v>1.0767627218146825</v>
      </c>
      <c r="D14" s="711"/>
      <c r="E14" s="30"/>
      <c r="F14" s="30"/>
      <c r="G14" s="720" t="s">
        <v>4</v>
      </c>
      <c r="H14" s="779">
        <f t="shared" si="0"/>
        <v>1.0767627218146825</v>
      </c>
      <c r="I14" s="743"/>
      <c r="J14" s="743"/>
      <c r="K14" s="764"/>
    </row>
    <row r="15" spans="1:11" ht="18">
      <c r="A15" s="760"/>
      <c r="B15" s="687" t="s">
        <v>290</v>
      </c>
      <c r="C15" s="689">
        <v>0.11912821330773377</v>
      </c>
      <c r="D15" s="711"/>
      <c r="E15" s="751"/>
      <c r="F15" s="30"/>
      <c r="G15" s="720" t="s">
        <v>3</v>
      </c>
      <c r="H15" s="779">
        <f t="shared" si="0"/>
        <v>0.11912821330773377</v>
      </c>
      <c r="I15" s="743"/>
      <c r="J15" s="743"/>
      <c r="K15" s="764"/>
    </row>
    <row r="16" spans="1:11" ht="18">
      <c r="A16" s="760"/>
      <c r="B16" s="687" t="s">
        <v>6</v>
      </c>
      <c r="C16" s="689">
        <v>46.808746948531741</v>
      </c>
      <c r="D16" s="711"/>
      <c r="E16" s="752"/>
      <c r="F16" s="30"/>
      <c r="G16" s="720" t="s">
        <v>6</v>
      </c>
      <c r="H16" s="779">
        <f t="shared" si="0"/>
        <v>46.808746948531741</v>
      </c>
      <c r="I16" s="743"/>
      <c r="J16" s="743"/>
      <c r="K16" s="764"/>
    </row>
    <row r="17" spans="1:11" ht="18">
      <c r="A17" s="760"/>
      <c r="B17" s="687" t="s">
        <v>7</v>
      </c>
      <c r="C17" s="689">
        <v>10.579014998016962</v>
      </c>
      <c r="D17" s="711"/>
      <c r="E17" s="753"/>
      <c r="F17" s="30"/>
      <c r="G17" s="720" t="s">
        <v>7</v>
      </c>
      <c r="H17" s="779">
        <f t="shared" si="0"/>
        <v>10.579014998016962</v>
      </c>
      <c r="I17" s="743"/>
      <c r="J17" s="743"/>
      <c r="K17" s="764"/>
    </row>
    <row r="18" spans="1:11" ht="18">
      <c r="A18" s="760"/>
      <c r="B18" s="687" t="s">
        <v>8</v>
      </c>
      <c r="C18" s="689">
        <v>6.844867856896645</v>
      </c>
      <c r="D18" s="711"/>
      <c r="E18" s="753"/>
      <c r="F18" s="30"/>
      <c r="G18" s="720" t="s">
        <v>8</v>
      </c>
      <c r="H18" s="779">
        <f t="shared" si="0"/>
        <v>6.844867856896645</v>
      </c>
      <c r="I18" s="743"/>
      <c r="J18" s="743"/>
      <c r="K18" s="764"/>
    </row>
    <row r="19" spans="1:11" ht="18">
      <c r="A19" s="760"/>
      <c r="B19" s="687" t="s">
        <v>678</v>
      </c>
      <c r="C19" s="689">
        <v>1.1461823728550542</v>
      </c>
      <c r="D19" s="711"/>
      <c r="E19" s="753"/>
      <c r="F19" s="30"/>
      <c r="G19" s="720" t="s">
        <v>747</v>
      </c>
      <c r="H19" s="779">
        <f t="shared" si="0"/>
        <v>1.1461823728550542</v>
      </c>
      <c r="I19" s="743"/>
      <c r="J19" s="743"/>
      <c r="K19" s="764"/>
    </row>
    <row r="20" spans="1:11" ht="18">
      <c r="A20" s="760"/>
      <c r="B20" s="777" t="s">
        <v>67</v>
      </c>
      <c r="C20" s="690">
        <v>3.2060272543700972</v>
      </c>
      <c r="D20" s="711"/>
      <c r="E20" s="753"/>
      <c r="F20" s="30"/>
      <c r="G20" s="720" t="s">
        <v>748</v>
      </c>
      <c r="H20" s="779">
        <f t="shared" si="0"/>
        <v>3.2060272543700972</v>
      </c>
      <c r="I20" s="743"/>
      <c r="J20" s="743"/>
      <c r="K20" s="764"/>
    </row>
    <row r="21" spans="1:11" ht="18">
      <c r="A21" s="760"/>
      <c r="B21" s="706" t="s">
        <v>756</v>
      </c>
      <c r="C21" s="712">
        <v>2.8895673324951066E-2</v>
      </c>
      <c r="D21" s="711"/>
      <c r="E21" s="753"/>
      <c r="F21" s="30"/>
      <c r="G21" s="720" t="s">
        <v>749</v>
      </c>
      <c r="H21" s="779">
        <f>C22</f>
        <v>1.2067468037888669</v>
      </c>
      <c r="I21" s="743"/>
      <c r="J21" s="743"/>
      <c r="K21" s="764"/>
    </row>
    <row r="22" spans="1:11" ht="18">
      <c r="A22" s="760"/>
      <c r="B22" s="687" t="s">
        <v>679</v>
      </c>
      <c r="C22" s="689">
        <v>1.2067468037888669</v>
      </c>
      <c r="D22" s="711"/>
      <c r="E22" s="753"/>
      <c r="F22" s="30"/>
      <c r="G22" s="720" t="s">
        <v>750</v>
      </c>
      <c r="H22" s="779">
        <f>C23</f>
        <v>1.5169431976661514</v>
      </c>
      <c r="I22" s="743"/>
      <c r="J22" s="743"/>
      <c r="K22" s="764"/>
    </row>
    <row r="23" spans="1:11" ht="18">
      <c r="A23" s="760"/>
      <c r="B23" s="691" t="s">
        <v>69</v>
      </c>
      <c r="C23" s="689">
        <v>1.5169431976661514</v>
      </c>
      <c r="D23" s="711"/>
      <c r="E23" s="30"/>
      <c r="F23" s="30"/>
      <c r="G23" s="720" t="s">
        <v>800</v>
      </c>
      <c r="H23" s="779">
        <f>C25</f>
        <v>0</v>
      </c>
      <c r="I23" s="743"/>
      <c r="J23" s="743"/>
      <c r="K23" s="764"/>
    </row>
    <row r="24" spans="1:11" ht="18">
      <c r="A24" s="760"/>
      <c r="B24" s="707" t="s">
        <v>757</v>
      </c>
      <c r="C24" s="712">
        <v>1.2668539527981654E-2</v>
      </c>
      <c r="D24" s="711"/>
      <c r="E24" s="30"/>
      <c r="F24" s="30"/>
      <c r="G24" s="721" t="s">
        <v>292</v>
      </c>
      <c r="H24" s="780">
        <f>SUM(C21,C24,C26:C28)</f>
        <v>0.97282362738947326</v>
      </c>
      <c r="I24" s="743"/>
      <c r="J24" s="743"/>
      <c r="K24" s="764"/>
    </row>
    <row r="25" spans="1:11" ht="18">
      <c r="A25" s="760"/>
      <c r="B25" s="691" t="s">
        <v>99</v>
      </c>
      <c r="C25" s="689">
        <v>0</v>
      </c>
      <c r="D25" s="711"/>
      <c r="E25" s="30"/>
      <c r="F25" s="30"/>
      <c r="G25" s="720" t="s">
        <v>10</v>
      </c>
      <c r="H25" s="779">
        <f>C29</f>
        <v>0.75058928642422806</v>
      </c>
      <c r="I25" s="743"/>
      <c r="J25" s="743"/>
      <c r="K25" s="764"/>
    </row>
    <row r="26" spans="1:11" ht="18">
      <c r="A26" s="760"/>
      <c r="B26" s="707" t="s">
        <v>758</v>
      </c>
      <c r="C26" s="712">
        <v>0.15918929440659937</v>
      </c>
      <c r="D26" s="711"/>
      <c r="E26" s="30"/>
      <c r="F26" s="30"/>
      <c r="G26" s="720" t="s">
        <v>9</v>
      </c>
      <c r="H26" s="779">
        <f>C31</f>
        <v>0.60370647421346169</v>
      </c>
      <c r="I26" s="743"/>
      <c r="J26" s="743"/>
      <c r="K26" s="764"/>
    </row>
    <row r="27" spans="1:11" ht="18">
      <c r="A27" s="760"/>
      <c r="B27" s="707" t="s">
        <v>759</v>
      </c>
      <c r="C27" s="712">
        <v>0.48629929926426713</v>
      </c>
      <c r="D27" s="711"/>
      <c r="E27" s="30"/>
      <c r="F27" s="30"/>
      <c r="G27" s="720" t="s">
        <v>11</v>
      </c>
      <c r="H27" s="779">
        <f>C32</f>
        <v>0.56858037245997106</v>
      </c>
      <c r="I27" s="743"/>
      <c r="J27" s="743"/>
      <c r="K27" s="764"/>
    </row>
    <row r="28" spans="1:11" ht="18">
      <c r="A28" s="760"/>
      <c r="B28" s="707" t="s">
        <v>760</v>
      </c>
      <c r="C28" s="712">
        <v>0.28577082086567401</v>
      </c>
      <c r="D28" s="711"/>
      <c r="E28" s="30"/>
      <c r="F28" s="30"/>
      <c r="G28" s="720" t="s">
        <v>12</v>
      </c>
      <c r="H28" s="779">
        <f>C33</f>
        <v>1.3794193546761391</v>
      </c>
      <c r="I28" s="743"/>
      <c r="J28" s="743"/>
      <c r="K28" s="764"/>
    </row>
    <row r="29" spans="1:11" ht="36">
      <c r="A29" s="760"/>
      <c r="B29" s="701" t="s">
        <v>10</v>
      </c>
      <c r="C29" s="690">
        <v>0.75058928642422806</v>
      </c>
      <c r="D29" s="711"/>
      <c r="E29" s="30"/>
      <c r="F29" s="30"/>
      <c r="G29" s="720" t="s">
        <v>286</v>
      </c>
      <c r="H29" s="779">
        <f>C36</f>
        <v>0</v>
      </c>
      <c r="I29" s="743"/>
      <c r="J29" s="743"/>
      <c r="K29" s="764"/>
    </row>
    <row r="30" spans="1:11" ht="18">
      <c r="A30" s="760"/>
      <c r="B30" s="701" t="s">
        <v>761</v>
      </c>
      <c r="C30" s="690">
        <v>0</v>
      </c>
      <c r="D30" s="711"/>
      <c r="E30" s="30"/>
      <c r="F30" s="30"/>
      <c r="G30" s="723" t="s">
        <v>801</v>
      </c>
      <c r="H30" s="781">
        <f>SUM(C34:C35,C38)</f>
        <v>1.1186624980746991</v>
      </c>
      <c r="I30" s="743"/>
      <c r="J30" s="743"/>
      <c r="K30" s="764"/>
    </row>
    <row r="31" spans="1:11" ht="18">
      <c r="A31" s="760"/>
      <c r="B31" s="701" t="s">
        <v>762</v>
      </c>
      <c r="C31" s="690">
        <v>0.60370647421346169</v>
      </c>
      <c r="D31" s="711"/>
      <c r="E31" s="30"/>
      <c r="F31" s="30"/>
      <c r="G31" s="725" t="s">
        <v>65</v>
      </c>
      <c r="H31" s="782">
        <f>C39</f>
        <v>1.6774573846976111</v>
      </c>
      <c r="I31" s="743"/>
      <c r="J31" s="743"/>
      <c r="K31" s="764"/>
    </row>
    <row r="32" spans="1:11" ht="18">
      <c r="A32" s="760"/>
      <c r="B32" s="701" t="s">
        <v>11</v>
      </c>
      <c r="C32" s="690">
        <v>0.56858037245997106</v>
      </c>
      <c r="D32" s="711"/>
      <c r="E32" s="30"/>
      <c r="F32" s="30"/>
      <c r="G32" s="720" t="s">
        <v>13</v>
      </c>
      <c r="H32" s="779">
        <f>C37</f>
        <v>0.55248478833461501</v>
      </c>
      <c r="I32" s="743"/>
      <c r="J32" s="743"/>
      <c r="K32" s="764"/>
    </row>
    <row r="33" spans="1:11" ht="18">
      <c r="A33" s="760"/>
      <c r="B33" s="701" t="s">
        <v>12</v>
      </c>
      <c r="C33" s="690">
        <v>1.3794193546761391</v>
      </c>
      <c r="D33" s="711"/>
      <c r="E33" s="30"/>
      <c r="F33" s="30"/>
      <c r="G33" s="720" t="s">
        <v>14</v>
      </c>
      <c r="H33" s="779">
        <f>C40</f>
        <v>0.99386803970103765</v>
      </c>
      <c r="I33" s="743"/>
      <c r="J33" s="743"/>
      <c r="K33" s="764"/>
    </row>
    <row r="34" spans="1:11" ht="18">
      <c r="A34" s="760"/>
      <c r="B34" s="692" t="s">
        <v>763</v>
      </c>
      <c r="C34" s="713">
        <v>0.26937350394347165</v>
      </c>
      <c r="D34" s="711"/>
      <c r="E34" s="30"/>
      <c r="F34" s="30"/>
      <c r="G34" s="727" t="s">
        <v>804</v>
      </c>
      <c r="H34" s="783">
        <f>SUM(C41:C42)</f>
        <v>2.1475801215871222</v>
      </c>
      <c r="I34" s="743"/>
      <c r="J34" s="743"/>
      <c r="K34" s="764"/>
    </row>
    <row r="35" spans="1:11" ht="18">
      <c r="A35" s="760"/>
      <c r="B35" s="692" t="s">
        <v>764</v>
      </c>
      <c r="C35" s="713">
        <v>0.24517299677196835</v>
      </c>
      <c r="D35" s="711"/>
      <c r="E35" s="30"/>
      <c r="F35" s="30"/>
      <c r="G35" s="720" t="s">
        <v>16</v>
      </c>
      <c r="H35" s="779">
        <f>C43</f>
        <v>5.9340179878487213E-2</v>
      </c>
      <c r="I35" s="743"/>
      <c r="J35" s="743"/>
      <c r="K35" s="764"/>
    </row>
    <row r="36" spans="1:11" ht="18">
      <c r="A36" s="760"/>
      <c r="B36" s="701" t="s">
        <v>765</v>
      </c>
      <c r="C36" s="690">
        <v>0</v>
      </c>
      <c r="D36" s="711"/>
      <c r="E36" s="30"/>
      <c r="F36" s="30"/>
      <c r="G36" s="729" t="s">
        <v>802</v>
      </c>
      <c r="H36" s="784">
        <f>SUM(C44:C46)</f>
        <v>0.62636486424061499</v>
      </c>
      <c r="I36" s="743"/>
      <c r="J36" s="743"/>
      <c r="K36" s="764"/>
    </row>
    <row r="37" spans="1:11" ht="18">
      <c r="A37" s="760"/>
      <c r="B37" s="701" t="s">
        <v>13</v>
      </c>
      <c r="C37" s="690">
        <v>0.55248478833461501</v>
      </c>
      <c r="D37" s="711"/>
      <c r="E37" s="30"/>
      <c r="F37" s="30"/>
      <c r="G37" s="731" t="s">
        <v>803</v>
      </c>
      <c r="H37" s="785">
        <f>SUM(C47,C73)</f>
        <v>1.9391247131064302</v>
      </c>
      <c r="I37" s="743"/>
      <c r="J37" s="743"/>
      <c r="K37" s="764"/>
    </row>
    <row r="38" spans="1:11" ht="18">
      <c r="A38" s="760"/>
      <c r="B38" s="692" t="s">
        <v>766</v>
      </c>
      <c r="C38" s="713">
        <v>0.60411599735925914</v>
      </c>
      <c r="D38" s="711"/>
      <c r="E38" s="30"/>
      <c r="F38" s="30"/>
      <c r="G38" s="733" t="s">
        <v>805</v>
      </c>
      <c r="H38" s="786">
        <f>SUM(C74,C48)</f>
        <v>1.8663784705862725</v>
      </c>
      <c r="I38" s="743"/>
      <c r="J38" s="743"/>
      <c r="K38" s="764"/>
    </row>
    <row r="39" spans="1:11" ht="18">
      <c r="A39" s="760"/>
      <c r="B39" s="701" t="s">
        <v>767</v>
      </c>
      <c r="C39" s="690">
        <v>1.6774573846976111</v>
      </c>
      <c r="D39" s="711"/>
      <c r="E39" s="30"/>
      <c r="F39" s="30"/>
      <c r="G39" s="735" t="s">
        <v>806</v>
      </c>
      <c r="H39" s="787">
        <f>SUM(C49:C69)</f>
        <v>12.239199457381897</v>
      </c>
      <c r="I39" s="743"/>
      <c r="J39" s="743"/>
      <c r="K39" s="764"/>
    </row>
    <row r="40" spans="1:11" ht="18" thickBot="1">
      <c r="A40" s="760"/>
      <c r="B40" s="701" t="s">
        <v>14</v>
      </c>
      <c r="C40" s="690">
        <v>0.99386803970103765</v>
      </c>
      <c r="D40" s="711"/>
      <c r="E40" s="30"/>
      <c r="F40" s="30"/>
      <c r="G40" s="737"/>
      <c r="H40" s="719"/>
      <c r="I40" s="743"/>
      <c r="J40" s="743"/>
      <c r="K40" s="764"/>
    </row>
    <row r="41" spans="1:11" ht="18" thickBot="1">
      <c r="A41" s="760"/>
      <c r="B41" s="694" t="s">
        <v>100</v>
      </c>
      <c r="C41" s="714">
        <v>1.6134178925477807</v>
      </c>
      <c r="D41" s="711"/>
      <c r="E41" s="30"/>
      <c r="F41" s="30"/>
      <c r="G41" s="739" t="s">
        <v>692</v>
      </c>
      <c r="H41" s="740">
        <f>SUM(H12:H39)</f>
        <v>100</v>
      </c>
      <c r="I41" s="743"/>
      <c r="J41" s="743"/>
      <c r="K41" s="764"/>
    </row>
    <row r="42" spans="1:11" ht="18" thickBot="1">
      <c r="A42" s="760"/>
      <c r="B42" s="694" t="s">
        <v>768</v>
      </c>
      <c r="C42" s="714">
        <v>0.53416222903934174</v>
      </c>
      <c r="D42" s="711"/>
      <c r="E42" s="30"/>
      <c r="F42" s="30"/>
      <c r="G42" s="742"/>
      <c r="H42" s="708"/>
      <c r="I42" s="743"/>
      <c r="J42" s="743"/>
      <c r="K42" s="764"/>
    </row>
    <row r="43" spans="1:11" ht="16" thickBot="1">
      <c r="A43" s="760"/>
      <c r="B43" s="701" t="s">
        <v>769</v>
      </c>
      <c r="C43" s="690">
        <v>5.9340179878487213E-2</v>
      </c>
      <c r="D43" s="711"/>
      <c r="E43" s="30"/>
      <c r="F43" s="30"/>
      <c r="G43" s="5065" t="s">
        <v>810</v>
      </c>
      <c r="H43" s="5066"/>
      <c r="I43" s="743"/>
      <c r="J43" s="743"/>
      <c r="K43" s="764"/>
    </row>
    <row r="44" spans="1:11" ht="17.5">
      <c r="A44" s="760"/>
      <c r="B44" s="709" t="s">
        <v>770</v>
      </c>
      <c r="C44" s="715">
        <v>0.50028187384269185</v>
      </c>
      <c r="D44" s="711"/>
      <c r="E44" s="30"/>
      <c r="F44" s="30"/>
      <c r="G44" s="757" t="s">
        <v>754</v>
      </c>
      <c r="H44" s="758">
        <v>0.86609999999999998</v>
      </c>
      <c r="I44" s="743"/>
      <c r="J44" s="743"/>
      <c r="K44" s="764"/>
    </row>
    <row r="45" spans="1:11" ht="31.5" thickBot="1">
      <c r="A45" s="760"/>
      <c r="B45" s="709" t="s">
        <v>423</v>
      </c>
      <c r="C45" s="715">
        <v>0.12608299039792317</v>
      </c>
      <c r="D45" s="711"/>
      <c r="E45" s="30"/>
      <c r="F45" s="30"/>
      <c r="G45" s="756" t="s">
        <v>811</v>
      </c>
      <c r="H45" s="759">
        <v>262.91199999999998</v>
      </c>
      <c r="I45" s="743"/>
      <c r="J45" s="743"/>
      <c r="K45" s="764"/>
    </row>
    <row r="46" spans="1:11" ht="17.5">
      <c r="A46" s="760"/>
      <c r="B46" s="709" t="s">
        <v>771</v>
      </c>
      <c r="C46" s="715">
        <v>0</v>
      </c>
      <c r="D46" s="711"/>
      <c r="E46" s="30"/>
      <c r="F46" s="30"/>
      <c r="G46" s="742"/>
      <c r="H46" s="708"/>
      <c r="I46" s="743"/>
      <c r="J46" s="743"/>
      <c r="K46" s="764"/>
    </row>
    <row r="47" spans="1:11" ht="17.5">
      <c r="A47" s="760"/>
      <c r="B47" s="693" t="s">
        <v>772</v>
      </c>
      <c r="C47" s="716">
        <v>1.5005166406881805</v>
      </c>
      <c r="D47" s="711"/>
      <c r="E47" s="30"/>
      <c r="F47" s="30"/>
      <c r="G47" s="742"/>
      <c r="H47" s="708"/>
      <c r="I47" s="743"/>
      <c r="J47" s="743"/>
      <c r="K47" s="764"/>
    </row>
    <row r="48" spans="1:11" ht="17.5">
      <c r="A48" s="760"/>
      <c r="B48" s="696" t="s">
        <v>773</v>
      </c>
      <c r="C48" s="717">
        <v>1.5216147261528816</v>
      </c>
      <c r="D48" s="711"/>
      <c r="E48" s="30"/>
      <c r="F48" s="30"/>
      <c r="G48" s="742"/>
      <c r="H48" s="708"/>
      <c r="I48" s="743"/>
      <c r="J48" s="743"/>
      <c r="K48" s="764"/>
    </row>
    <row r="49" spans="1:11" ht="15.5">
      <c r="A49" s="760"/>
      <c r="B49" s="695" t="s">
        <v>774</v>
      </c>
      <c r="C49" s="718">
        <v>1.4206613142714322</v>
      </c>
      <c r="D49" s="711"/>
      <c r="E49" s="30"/>
      <c r="F49" s="30"/>
      <c r="G49" s="742"/>
      <c r="H49" s="743"/>
      <c r="I49" s="743"/>
      <c r="J49" s="743"/>
      <c r="K49" s="764"/>
    </row>
    <row r="50" spans="1:11" ht="15.5">
      <c r="A50" s="760"/>
      <c r="B50" s="695" t="s">
        <v>775</v>
      </c>
      <c r="C50" s="718">
        <v>1.1017556738618335</v>
      </c>
      <c r="D50" s="711"/>
      <c r="E50" s="30"/>
      <c r="F50" s="30"/>
      <c r="G50" s="742"/>
      <c r="H50" s="743"/>
      <c r="I50" s="743"/>
      <c r="J50" s="743"/>
      <c r="K50" s="764"/>
    </row>
    <row r="51" spans="1:11" ht="15.5">
      <c r="A51" s="760"/>
      <c r="B51" s="695" t="s">
        <v>776</v>
      </c>
      <c r="C51" s="718">
        <v>1.1525771371453362</v>
      </c>
      <c r="D51" s="711"/>
      <c r="E51" s="30"/>
      <c r="F51" s="30"/>
      <c r="G51" s="744"/>
      <c r="H51" s="743"/>
      <c r="I51" s="765"/>
      <c r="J51" s="765"/>
      <c r="K51" s="766"/>
    </row>
    <row r="52" spans="1:11" ht="15.5">
      <c r="A52" s="760"/>
      <c r="B52" s="695" t="s">
        <v>777</v>
      </c>
      <c r="C52" s="718">
        <v>1.002066135381019</v>
      </c>
      <c r="D52" s="711"/>
      <c r="E52" s="30"/>
      <c r="F52" s="30"/>
      <c r="G52" s="742"/>
      <c r="H52" s="743"/>
      <c r="I52" s="754"/>
      <c r="J52" s="30"/>
      <c r="K52" s="762"/>
    </row>
    <row r="53" spans="1:11" ht="15.5">
      <c r="A53" s="760"/>
      <c r="B53" s="695" t="s">
        <v>778</v>
      </c>
      <c r="C53" s="718">
        <v>0.86841783855437626</v>
      </c>
      <c r="D53" s="711"/>
      <c r="E53" s="30"/>
      <c r="F53" s="30"/>
      <c r="G53" s="767"/>
      <c r="H53" s="765"/>
      <c r="I53" s="754"/>
      <c r="J53" s="30"/>
      <c r="K53" s="762"/>
    </row>
    <row r="54" spans="1:11" ht="15.5">
      <c r="A54" s="760"/>
      <c r="B54" s="695" t="s">
        <v>779</v>
      </c>
      <c r="C54" s="718">
        <v>0.72987946599682041</v>
      </c>
      <c r="D54" s="711"/>
      <c r="E54" s="30"/>
      <c r="F54" s="30"/>
      <c r="G54" s="30"/>
      <c r="H54" s="745"/>
      <c r="I54" s="754"/>
      <c r="J54" s="30"/>
      <c r="K54" s="762"/>
    </row>
    <row r="55" spans="1:11" ht="15.5">
      <c r="A55" s="760"/>
      <c r="B55" s="695" t="s">
        <v>780</v>
      </c>
      <c r="C55" s="718">
        <v>0.61903363084869389</v>
      </c>
      <c r="D55" s="711"/>
      <c r="E55" s="30"/>
      <c r="F55" s="30"/>
      <c r="G55" s="30"/>
      <c r="H55" s="745"/>
      <c r="I55" s="754"/>
      <c r="J55" s="30"/>
      <c r="K55" s="762"/>
    </row>
    <row r="56" spans="1:11" ht="15.5">
      <c r="A56" s="760"/>
      <c r="B56" s="695" t="s">
        <v>781</v>
      </c>
      <c r="C56" s="718">
        <v>0.62487193669000984</v>
      </c>
      <c r="D56" s="711"/>
      <c r="E56" s="30"/>
      <c r="F56" s="30"/>
      <c r="G56" s="30"/>
      <c r="H56" s="745"/>
      <c r="I56" s="754"/>
      <c r="J56" s="30"/>
      <c r="K56" s="762"/>
    </row>
    <row r="57" spans="1:11" ht="15.5">
      <c r="A57" s="760"/>
      <c r="B57" s="695" t="s">
        <v>782</v>
      </c>
      <c r="C57" s="718">
        <v>0.53304251427367011</v>
      </c>
      <c r="D57" s="711"/>
      <c r="E57" s="30"/>
      <c r="F57" s="30"/>
      <c r="G57" s="30"/>
      <c r="H57" s="745"/>
      <c r="I57" s="754"/>
      <c r="J57" s="30"/>
      <c r="K57" s="762"/>
    </row>
    <row r="58" spans="1:11" ht="15.5">
      <c r="A58" s="760"/>
      <c r="B58" s="695" t="s">
        <v>783</v>
      </c>
      <c r="C58" s="718">
        <v>0.4610750488569032</v>
      </c>
      <c r="D58" s="711"/>
      <c r="E58" s="30"/>
      <c r="F58" s="30"/>
      <c r="G58" s="30"/>
      <c r="H58" s="745"/>
      <c r="I58" s="754"/>
      <c r="J58" s="30"/>
      <c r="K58" s="762"/>
    </row>
    <row r="59" spans="1:11" ht="15.5">
      <c r="A59" s="760"/>
      <c r="B59" s="695" t="s">
        <v>784</v>
      </c>
      <c r="C59" s="718">
        <v>0.39428187187549696</v>
      </c>
      <c r="D59" s="711"/>
      <c r="E59" s="30"/>
      <c r="F59" s="30"/>
      <c r="G59" s="30"/>
      <c r="H59" s="745"/>
      <c r="I59" s="754"/>
      <c r="J59" s="30"/>
      <c r="K59" s="762"/>
    </row>
    <row r="60" spans="1:11" ht="15.5">
      <c r="A60" s="760"/>
      <c r="B60" s="695" t="s">
        <v>785</v>
      </c>
      <c r="C60" s="718">
        <v>0.35777138405087988</v>
      </c>
      <c r="D60" s="711"/>
      <c r="E60" s="30"/>
      <c r="F60" s="30"/>
      <c r="G60" s="30"/>
      <c r="H60" s="745"/>
      <c r="I60" s="754"/>
      <c r="J60" s="30"/>
      <c r="K60" s="762"/>
    </row>
    <row r="61" spans="1:11" ht="15.5">
      <c r="A61" s="760"/>
      <c r="B61" s="695" t="s">
        <v>786</v>
      </c>
      <c r="C61" s="718">
        <v>0.34426969063804835</v>
      </c>
      <c r="D61" s="711"/>
      <c r="E61" s="30"/>
      <c r="F61" s="30"/>
      <c r="G61" s="30"/>
      <c r="H61" s="745"/>
      <c r="I61" s="754"/>
      <c r="J61" s="30"/>
      <c r="K61" s="762"/>
    </row>
    <row r="62" spans="1:11" ht="15.5">
      <c r="A62" s="760"/>
      <c r="B62" s="695" t="s">
        <v>787</v>
      </c>
      <c r="C62" s="718">
        <v>0.30920263628041467</v>
      </c>
      <c r="D62" s="711"/>
      <c r="E62" s="30"/>
      <c r="F62" s="30"/>
      <c r="G62" s="30"/>
      <c r="H62" s="745"/>
      <c r="I62" s="754"/>
      <c r="J62" s="30"/>
      <c r="K62" s="762"/>
    </row>
    <row r="63" spans="1:11" ht="15.5">
      <c r="A63" s="760"/>
      <c r="B63" s="695" t="s">
        <v>788</v>
      </c>
      <c r="C63" s="718">
        <v>0.32225863934926857</v>
      </c>
      <c r="D63" s="711"/>
      <c r="E63" s="30"/>
      <c r="F63" s="30"/>
      <c r="G63" s="30"/>
      <c r="H63" s="745"/>
      <c r="I63" s="754"/>
      <c r="J63" s="30"/>
      <c r="K63" s="762"/>
    </row>
    <row r="64" spans="1:11" ht="15.5">
      <c r="A64" s="760"/>
      <c r="B64" s="695" t="s">
        <v>789</v>
      </c>
      <c r="C64" s="718">
        <v>0.25313296024772297</v>
      </c>
      <c r="D64" s="711"/>
      <c r="E64" s="30"/>
      <c r="F64" s="30"/>
      <c r="G64" s="30"/>
      <c r="H64" s="745"/>
      <c r="I64" s="754"/>
      <c r="J64" s="30"/>
      <c r="K64" s="762"/>
    </row>
    <row r="65" spans="1:11" ht="15.5">
      <c r="A65" s="760"/>
      <c r="B65" s="695" t="s">
        <v>790</v>
      </c>
      <c r="C65" s="718">
        <v>0.27817778394290471</v>
      </c>
      <c r="D65" s="711"/>
      <c r="E65" s="30"/>
      <c r="F65" s="30"/>
      <c r="G65" s="30"/>
      <c r="H65" s="745"/>
      <c r="I65" s="754"/>
      <c r="J65" s="30"/>
      <c r="K65" s="762"/>
    </row>
    <row r="66" spans="1:11" ht="15.5">
      <c r="A66" s="760"/>
      <c r="B66" s="695" t="s">
        <v>791</v>
      </c>
      <c r="C66" s="718">
        <v>0.22534946741407075</v>
      </c>
      <c r="D66" s="711"/>
      <c r="E66" s="30"/>
      <c r="F66" s="30"/>
      <c r="G66" s="30"/>
      <c r="H66" s="745"/>
      <c r="I66" s="754"/>
      <c r="J66" s="30"/>
      <c r="K66" s="762"/>
    </row>
    <row r="67" spans="1:11" ht="15.5">
      <c r="A67" s="760"/>
      <c r="B67" s="695" t="s">
        <v>792</v>
      </c>
      <c r="C67" s="718">
        <v>0.22903956797473532</v>
      </c>
      <c r="D67" s="711"/>
      <c r="E67" s="30"/>
      <c r="F67" s="30"/>
      <c r="G67" s="30"/>
      <c r="H67" s="745"/>
      <c r="I67" s="754"/>
      <c r="J67" s="30"/>
      <c r="K67" s="762"/>
    </row>
    <row r="68" spans="1:11" ht="15.5">
      <c r="A68" s="760"/>
      <c r="B68" s="695" t="s">
        <v>793</v>
      </c>
      <c r="C68" s="718">
        <v>0.21902540251998745</v>
      </c>
      <c r="D68" s="711"/>
      <c r="E68" s="30"/>
      <c r="F68" s="30"/>
      <c r="G68" s="30"/>
      <c r="H68" s="745"/>
      <c r="I68" s="754"/>
      <c r="J68" s="30"/>
      <c r="K68" s="762"/>
    </row>
    <row r="69" spans="1:11" ht="15.5">
      <c r="A69" s="760"/>
      <c r="B69" s="695" t="s">
        <v>794</v>
      </c>
      <c r="C69" s="718">
        <v>0.79330935720827178</v>
      </c>
      <c r="D69" s="711"/>
      <c r="E69" s="30"/>
      <c r="F69" s="30"/>
      <c r="G69" s="30"/>
      <c r="H69" s="745"/>
      <c r="I69" s="754"/>
      <c r="J69" s="30"/>
      <c r="K69" s="762"/>
    </row>
    <row r="70" spans="1:11" ht="15.5">
      <c r="A70" s="760"/>
      <c r="B70" s="701" t="s">
        <v>673</v>
      </c>
      <c r="C70" s="690">
        <v>0</v>
      </c>
      <c r="D70" s="711"/>
      <c r="E70" s="30"/>
      <c r="F70" s="30"/>
      <c r="G70" s="30"/>
      <c r="H70" s="745"/>
      <c r="I70" s="754"/>
      <c r="J70" s="30"/>
      <c r="K70" s="762"/>
    </row>
    <row r="71" spans="1:11" ht="15.5">
      <c r="A71" s="760"/>
      <c r="B71" s="701" t="s">
        <v>795</v>
      </c>
      <c r="C71" s="690">
        <v>0</v>
      </c>
      <c r="D71" s="711"/>
      <c r="E71" s="30"/>
      <c r="F71" s="30"/>
      <c r="G71" s="30"/>
      <c r="H71" s="745"/>
      <c r="I71" s="754"/>
      <c r="J71" s="30"/>
      <c r="K71" s="762"/>
    </row>
    <row r="72" spans="1:11" ht="15.5">
      <c r="A72" s="760"/>
      <c r="B72" s="701" t="s">
        <v>796</v>
      </c>
      <c r="C72" s="690">
        <v>0</v>
      </c>
      <c r="D72" s="711"/>
      <c r="E72" s="30"/>
      <c r="F72" s="30"/>
      <c r="G72" s="30"/>
      <c r="H72" s="745"/>
      <c r="I72" s="754"/>
      <c r="J72" s="30"/>
      <c r="K72" s="762"/>
    </row>
    <row r="73" spans="1:11" ht="15.5">
      <c r="A73" s="760"/>
      <c r="B73" s="693" t="s">
        <v>101</v>
      </c>
      <c r="C73" s="716">
        <v>0.43860807241824967</v>
      </c>
      <c r="D73" s="711"/>
      <c r="E73" s="30"/>
      <c r="F73" s="30"/>
      <c r="G73" s="30"/>
      <c r="H73" s="745"/>
      <c r="I73" s="754"/>
      <c r="J73" s="30"/>
      <c r="K73" s="762"/>
    </row>
    <row r="74" spans="1:11" ht="15.5">
      <c r="A74" s="760"/>
      <c r="B74" s="696" t="s">
        <v>117</v>
      </c>
      <c r="C74" s="717">
        <v>0.34476374443339092</v>
      </c>
      <c r="D74" s="711"/>
      <c r="E74" s="30"/>
      <c r="F74" s="30"/>
      <c r="G74" s="30"/>
      <c r="H74" s="745"/>
      <c r="I74" s="754"/>
      <c r="J74" s="30"/>
      <c r="K74" s="762"/>
    </row>
    <row r="75" spans="1:11" ht="15.5">
      <c r="A75" s="760"/>
      <c r="B75" s="701" t="s">
        <v>797</v>
      </c>
      <c r="C75" s="690">
        <v>0</v>
      </c>
      <c r="D75" s="711"/>
      <c r="E75" s="30"/>
      <c r="F75" s="30"/>
      <c r="G75" s="30"/>
      <c r="H75" s="745"/>
      <c r="I75" s="754"/>
      <c r="J75" s="30"/>
      <c r="K75" s="762"/>
    </row>
    <row r="76" spans="1:11" ht="15.5">
      <c r="A76" s="760"/>
      <c r="B76" s="701" t="s">
        <v>798</v>
      </c>
      <c r="C76" s="690">
        <v>0</v>
      </c>
      <c r="D76" s="711"/>
      <c r="E76" s="30"/>
      <c r="F76" s="30"/>
      <c r="G76" s="30"/>
      <c r="H76" s="745"/>
      <c r="I76" s="754"/>
      <c r="J76" s="30"/>
      <c r="K76" s="762"/>
    </row>
    <row r="77" spans="1:11" ht="15.5">
      <c r="A77" s="760"/>
      <c r="B77" s="701" t="s">
        <v>799</v>
      </c>
      <c r="C77" s="690">
        <v>0</v>
      </c>
      <c r="D77" s="711"/>
      <c r="E77" s="30"/>
      <c r="F77" s="30"/>
      <c r="G77" s="30"/>
      <c r="H77" s="745"/>
      <c r="I77" s="754"/>
      <c r="J77" s="30"/>
      <c r="K77" s="762"/>
    </row>
    <row r="78" spans="1:11" ht="16" thickBot="1">
      <c r="A78" s="760"/>
      <c r="B78" s="701" t="s">
        <v>0</v>
      </c>
      <c r="C78" s="690">
        <v>0</v>
      </c>
      <c r="D78" s="711"/>
      <c r="E78" s="30"/>
      <c r="F78" s="30"/>
      <c r="G78" s="30"/>
      <c r="H78" s="745"/>
      <c r="I78" s="754"/>
      <c r="J78" s="30"/>
      <c r="K78" s="762"/>
    </row>
    <row r="79" spans="1:11" ht="16" thickBot="1">
      <c r="A79" s="768"/>
      <c r="B79" s="741" t="s">
        <v>753</v>
      </c>
      <c r="C79" s="710">
        <f>SUM(C12:C78)</f>
        <v>99.999999999999986</v>
      </c>
      <c r="D79" s="769"/>
      <c r="E79" s="770"/>
      <c r="F79" s="770"/>
      <c r="G79" s="770"/>
      <c r="H79" s="771"/>
      <c r="I79" s="772"/>
      <c r="J79" s="770"/>
      <c r="K79" s="773"/>
    </row>
    <row r="80" spans="1:11" ht="15.5">
      <c r="B80" s="697"/>
      <c r="C80" s="688"/>
      <c r="D80" s="688"/>
      <c r="H80" s="699"/>
      <c r="I80" s="698"/>
    </row>
    <row r="81" spans="2:9" ht="15.5">
      <c r="B81" s="686"/>
      <c r="C81" s="686"/>
      <c r="D81" s="686"/>
      <c r="H81" s="699"/>
      <c r="I81" s="698"/>
    </row>
    <row r="82" spans="2:9" ht="15.5">
      <c r="B82" s="686"/>
      <c r="C82" s="686"/>
      <c r="D82" s="686"/>
      <c r="H82" s="699"/>
      <c r="I82" s="698"/>
    </row>
    <row r="83" spans="2:9" ht="15.5">
      <c r="B83" s="686"/>
      <c r="C83" s="686"/>
      <c r="D83" s="686"/>
      <c r="H83" s="699"/>
      <c r="I83" s="698"/>
    </row>
    <row r="84" spans="2:9" ht="15.5">
      <c r="B84" s="686"/>
      <c r="C84" s="686"/>
      <c r="D84" s="686"/>
      <c r="H84" s="699"/>
      <c r="I84" s="698"/>
    </row>
    <row r="85" spans="2:9" ht="15.5">
      <c r="B85" s="686"/>
      <c r="C85" s="686"/>
      <c r="D85" s="686"/>
      <c r="H85" s="699"/>
      <c r="I85" s="698"/>
    </row>
    <row r="86" spans="2:9" ht="15.5">
      <c r="B86" s="686"/>
      <c r="C86" s="686"/>
      <c r="D86" s="686"/>
      <c r="H86" s="699"/>
      <c r="I86" s="698"/>
    </row>
    <row r="87" spans="2:9" ht="15.5">
      <c r="B87" s="686"/>
      <c r="C87" s="686"/>
      <c r="D87" s="686"/>
      <c r="H87" s="699"/>
      <c r="I87" s="698"/>
    </row>
    <row r="88" spans="2:9" ht="15.5">
      <c r="B88" s="686"/>
      <c r="C88" s="686"/>
      <c r="D88" s="686"/>
      <c r="H88" s="699"/>
      <c r="I88" s="698"/>
    </row>
    <row r="89" spans="2:9" ht="15.5">
      <c r="B89" s="686"/>
      <c r="C89" s="686"/>
      <c r="D89" s="686"/>
      <c r="H89" s="699"/>
      <c r="I89" s="698"/>
    </row>
    <row r="90" spans="2:9" ht="15.5">
      <c r="B90" s="686"/>
      <c r="C90" s="686"/>
      <c r="D90" s="686"/>
      <c r="H90" s="699"/>
      <c r="I90" s="698"/>
    </row>
    <row r="91" spans="2:9" ht="15.5">
      <c r="B91" s="686"/>
      <c r="C91" s="686"/>
      <c r="D91" s="686"/>
      <c r="H91" s="699"/>
      <c r="I91" s="698"/>
    </row>
    <row r="92" spans="2:9" ht="15.5">
      <c r="B92" s="686"/>
      <c r="C92" s="686"/>
      <c r="D92" s="686"/>
      <c r="H92" s="699"/>
      <c r="I92" s="698"/>
    </row>
    <row r="93" spans="2:9" ht="15.5">
      <c r="B93" s="686"/>
      <c r="C93" s="686"/>
      <c r="D93" s="686"/>
      <c r="H93" s="699"/>
      <c r="I93" s="698"/>
    </row>
    <row r="94" spans="2:9" ht="15.5">
      <c r="B94" s="686"/>
      <c r="C94" s="686"/>
      <c r="D94" s="686"/>
      <c r="H94" s="699"/>
    </row>
    <row r="95" spans="2:9" ht="15.5">
      <c r="B95" s="686"/>
      <c r="C95" s="686"/>
      <c r="D95" s="686"/>
      <c r="H95" s="699"/>
      <c r="I95" s="698"/>
    </row>
    <row r="96" spans="2:9" ht="15.5">
      <c r="B96" s="686"/>
      <c r="C96" s="686"/>
      <c r="D96" s="686"/>
      <c r="H96" s="699"/>
    </row>
    <row r="97" spans="2:9" ht="15.5">
      <c r="B97" s="686"/>
      <c r="C97" s="686"/>
      <c r="D97" s="686"/>
      <c r="H97" s="699"/>
    </row>
    <row r="98" spans="2:9" ht="15.5">
      <c r="B98" s="686"/>
      <c r="C98" s="686"/>
      <c r="D98" s="686"/>
      <c r="H98" s="699"/>
      <c r="I98" s="698"/>
    </row>
    <row r="99" spans="2:9" ht="15.5">
      <c r="B99" s="686"/>
      <c r="C99" s="686"/>
      <c r="D99" s="686"/>
      <c r="H99" s="699"/>
      <c r="I99" s="698"/>
    </row>
    <row r="100" spans="2:9" ht="15.5">
      <c r="B100" s="686"/>
      <c r="C100" s="686"/>
      <c r="D100" s="686"/>
      <c r="H100" s="699"/>
      <c r="I100" s="698"/>
    </row>
    <row r="101" spans="2:9" ht="15.5">
      <c r="B101" s="686"/>
      <c r="C101" s="686"/>
      <c r="D101" s="686"/>
      <c r="H101" s="699"/>
    </row>
    <row r="102" spans="2:9" ht="15.5">
      <c r="B102" s="686"/>
      <c r="C102" s="686"/>
      <c r="D102" s="686"/>
      <c r="H102" s="699"/>
    </row>
    <row r="103" spans="2:9" ht="15.5">
      <c r="B103" s="686"/>
      <c r="C103" s="686"/>
      <c r="D103" s="686"/>
      <c r="H103" s="699"/>
    </row>
    <row r="104" spans="2:9" ht="15.5">
      <c r="B104" s="686"/>
      <c r="C104" s="686"/>
      <c r="D104" s="686"/>
      <c r="H104" s="699"/>
    </row>
    <row r="105" spans="2:9" ht="15.5">
      <c r="B105" s="686"/>
      <c r="C105" s="686"/>
      <c r="D105" s="686"/>
      <c r="H105" s="699"/>
    </row>
    <row r="106" spans="2:9" ht="15.5">
      <c r="B106" s="686"/>
      <c r="C106" s="686"/>
      <c r="D106" s="686"/>
      <c r="H106" s="699"/>
    </row>
    <row r="107" spans="2:9" ht="15.5">
      <c r="B107" s="686"/>
      <c r="C107" s="686"/>
      <c r="D107" s="686"/>
    </row>
    <row r="108" spans="2:9" ht="15.5">
      <c r="B108" s="686"/>
      <c r="C108" s="686"/>
      <c r="D108" s="686"/>
      <c r="H108" s="700"/>
    </row>
    <row r="109" spans="2:9" ht="15.5">
      <c r="B109" s="686"/>
      <c r="C109" s="686"/>
      <c r="D109" s="686"/>
    </row>
    <row r="110" spans="2:9" ht="15.5">
      <c r="B110" s="686"/>
      <c r="C110" s="686"/>
      <c r="D110" s="686"/>
    </row>
    <row r="111" spans="2:9" ht="15.5">
      <c r="B111" s="686"/>
      <c r="C111" s="686"/>
      <c r="D111" s="686"/>
    </row>
    <row r="112" spans="2:9" ht="15.5">
      <c r="B112" s="686"/>
      <c r="C112" s="686"/>
      <c r="D112" s="686"/>
    </row>
    <row r="113" spans="2:4" ht="15.5">
      <c r="B113" s="686"/>
      <c r="C113" s="686"/>
      <c r="D113" s="686"/>
    </row>
    <row r="114" spans="2:4" ht="15.5">
      <c r="B114" s="686"/>
      <c r="C114" s="686"/>
      <c r="D114" s="686"/>
    </row>
  </sheetData>
  <mergeCells count="12">
    <mergeCell ref="B2:J2"/>
    <mergeCell ref="B3:J3"/>
    <mergeCell ref="B4:J4"/>
    <mergeCell ref="A6:K6"/>
    <mergeCell ref="B9:C9"/>
    <mergeCell ref="G9:H9"/>
    <mergeCell ref="B8:C8"/>
    <mergeCell ref="B10:B11"/>
    <mergeCell ref="C10:C11"/>
    <mergeCell ref="G10:G11"/>
    <mergeCell ref="H10:H11"/>
    <mergeCell ref="G43:H43"/>
  </mergeCells>
  <pageMargins left="0.7" right="0.7" top="0.75" bottom="0.75" header="0.3" footer="0.3"/>
  <pageSetup scale="5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tabColor rgb="FF00FFCC"/>
  </sheetPr>
  <dimension ref="A1:P68"/>
  <sheetViews>
    <sheetView view="pageBreakPreview" zoomScale="85" zoomScaleNormal="100" zoomScaleSheetLayoutView="85" workbookViewId="0">
      <selection activeCell="E23" sqref="E23"/>
    </sheetView>
  </sheetViews>
  <sheetFormatPr defaultRowHeight="12.5"/>
  <cols>
    <col min="1" max="1" width="9.36328125" style="47"/>
    <col min="2" max="2" width="24.453125" style="47" customWidth="1"/>
    <col min="3" max="3" width="16.54296875" style="47" customWidth="1"/>
    <col min="4" max="4" width="2.453125" style="47" customWidth="1"/>
    <col min="5" max="5" width="23.453125" style="47" customWidth="1"/>
    <col min="6" max="6" width="17.453125" style="47" customWidth="1"/>
    <col min="7" max="7" width="1.6328125" style="47" customWidth="1"/>
    <col min="8" max="8" width="23.36328125" style="47" customWidth="1"/>
    <col min="9" max="9" width="17.453125" style="47" customWidth="1"/>
    <col min="10" max="10" width="2.453125" style="47" customWidth="1"/>
    <col min="11" max="11" width="9.36328125" style="47"/>
  </cols>
  <sheetData>
    <row r="1" spans="1:16" ht="13" thickBot="1">
      <c r="A1" s="774"/>
      <c r="B1" s="775"/>
      <c r="C1" s="775"/>
      <c r="D1" s="775"/>
      <c r="E1" s="775"/>
      <c r="F1" s="775"/>
      <c r="G1" s="775"/>
      <c r="H1" s="775"/>
      <c r="I1" s="775"/>
      <c r="J1" s="775"/>
      <c r="K1" s="776"/>
    </row>
    <row r="2" spans="1:16" ht="18">
      <c r="A2" s="643"/>
      <c r="B2" s="4480" t="str">
        <f>'TO Hrly (TO1-TO3)'!B2:M2</f>
        <v>XTO ENERGY INC.</v>
      </c>
      <c r="C2" s="4481"/>
      <c r="D2" s="4481"/>
      <c r="E2" s="4481"/>
      <c r="F2" s="4481"/>
      <c r="G2" s="4481"/>
      <c r="H2" s="4481"/>
      <c r="I2" s="4481"/>
      <c r="J2" s="4482"/>
      <c r="K2" s="644"/>
    </row>
    <row r="3" spans="1:16" ht="18">
      <c r="A3" s="643"/>
      <c r="B3" s="4483" t="str">
        <f>'TO Hrly (TO1-TO3)'!B3:M3</f>
        <v>HUSKY CDP</v>
      </c>
      <c r="C3" s="4484"/>
      <c r="D3" s="4484"/>
      <c r="E3" s="4484"/>
      <c r="F3" s="4484"/>
      <c r="G3" s="4484"/>
      <c r="H3" s="4484"/>
      <c r="I3" s="4484"/>
      <c r="J3" s="4485"/>
      <c r="K3" s="644"/>
    </row>
    <row r="4" spans="1:16" ht="18.5" thickBot="1">
      <c r="A4" s="643"/>
      <c r="B4" s="5067" t="s">
        <v>2006</v>
      </c>
      <c r="C4" s="4487"/>
      <c r="D4" s="4487"/>
      <c r="E4" s="4487"/>
      <c r="F4" s="4487"/>
      <c r="G4" s="4487"/>
      <c r="H4" s="4487"/>
      <c r="I4" s="4487"/>
      <c r="J4" s="5069"/>
      <c r="K4" s="644"/>
    </row>
    <row r="5" spans="1:16" ht="18.5" thickBot="1">
      <c r="A5" s="645"/>
      <c r="B5" s="646"/>
      <c r="C5" s="646"/>
      <c r="D5" s="646"/>
      <c r="E5" s="646"/>
      <c r="F5" s="646"/>
      <c r="G5" s="1215"/>
      <c r="H5" s="1215"/>
      <c r="I5" s="1215"/>
      <c r="J5" s="1215"/>
      <c r="K5" s="647"/>
    </row>
    <row r="6" spans="1:16" ht="13.5" thickBot="1">
      <c r="A6" s="4779" t="s">
        <v>2005</v>
      </c>
      <c r="B6" s="4689"/>
      <c r="C6" s="4689"/>
      <c r="D6" s="4689"/>
      <c r="E6" s="4689"/>
      <c r="F6" s="4689"/>
      <c r="G6" s="4689"/>
      <c r="H6" s="4689"/>
      <c r="I6" s="4689"/>
      <c r="J6" s="4689"/>
      <c r="K6" s="4780"/>
    </row>
    <row r="7" spans="1:16" ht="16" thickBot="1">
      <c r="A7" s="760"/>
      <c r="B7" s="30"/>
      <c r="C7" s="761"/>
      <c r="D7" s="30"/>
      <c r="E7" s="747"/>
      <c r="F7" s="748"/>
      <c r="G7" s="748"/>
      <c r="H7" s="748"/>
      <c r="I7" s="748"/>
      <c r="J7" s="748"/>
      <c r="K7" s="762"/>
    </row>
    <row r="8" spans="1:16" ht="26.5" thickBot="1">
      <c r="A8" s="760"/>
      <c r="B8" s="5093" t="s">
        <v>2004</v>
      </c>
      <c r="C8" s="5094"/>
      <c r="D8" s="30"/>
      <c r="E8" s="2583" t="s">
        <v>1782</v>
      </c>
      <c r="F8" s="2586">
        <v>3</v>
      </c>
      <c r="G8" s="3589"/>
      <c r="H8" s="2583" t="s">
        <v>1782</v>
      </c>
      <c r="I8" s="2586">
        <v>3</v>
      </c>
      <c r="J8" s="3589"/>
      <c r="K8" s="762"/>
    </row>
    <row r="9" spans="1:16" ht="16" thickBot="1">
      <c r="A9" s="760"/>
      <c r="B9" s="5087" t="s">
        <v>2009</v>
      </c>
      <c r="C9" s="5088"/>
      <c r="D9" s="30"/>
      <c r="E9" s="5089" t="s">
        <v>808</v>
      </c>
      <c r="F9" s="5090"/>
      <c r="G9" s="750"/>
      <c r="H9" s="5089" t="s">
        <v>808</v>
      </c>
      <c r="I9" s="5090"/>
      <c r="J9" s="750"/>
      <c r="K9" s="762"/>
    </row>
    <row r="10" spans="1:16" ht="15.5">
      <c r="A10" s="760"/>
      <c r="B10" s="5075" t="s">
        <v>2</v>
      </c>
      <c r="C10" s="5077" t="s">
        <v>746</v>
      </c>
      <c r="D10" s="30"/>
      <c r="E10" s="5079" t="s">
        <v>2</v>
      </c>
      <c r="F10" s="5083" t="s">
        <v>746</v>
      </c>
      <c r="G10" s="3590"/>
      <c r="H10" s="5079" t="s">
        <v>2</v>
      </c>
      <c r="I10" s="5083" t="s">
        <v>746</v>
      </c>
      <c r="J10" s="3590"/>
      <c r="K10" s="762"/>
    </row>
    <row r="11" spans="1:16" ht="16" thickBot="1">
      <c r="A11" s="760"/>
      <c r="B11" s="5076"/>
      <c r="C11" s="5078"/>
      <c r="D11" s="30"/>
      <c r="E11" s="5080"/>
      <c r="F11" s="5084"/>
      <c r="G11" s="3590"/>
      <c r="H11" s="5080"/>
      <c r="I11" s="5084"/>
      <c r="J11" s="3590"/>
      <c r="K11" s="762"/>
    </row>
    <row r="12" spans="1:16" ht="18">
      <c r="A12" s="760"/>
      <c r="B12" s="777" t="s">
        <v>5</v>
      </c>
      <c r="C12" s="690">
        <v>0</v>
      </c>
      <c r="D12" s="30"/>
      <c r="E12" s="738" t="s">
        <v>5</v>
      </c>
      <c r="F12" s="779">
        <v>0</v>
      </c>
      <c r="G12" s="1223"/>
      <c r="H12" s="738" t="s">
        <v>5</v>
      </c>
      <c r="I12" s="3591">
        <v>4.9059456627269998E-5</v>
      </c>
      <c r="J12" s="1223"/>
      <c r="K12" s="763"/>
      <c r="O12" s="47" t="s">
        <v>5</v>
      </c>
      <c r="P12" s="47">
        <v>0</v>
      </c>
    </row>
    <row r="13" spans="1:16" ht="18">
      <c r="A13" s="760"/>
      <c r="B13" s="777" t="s">
        <v>4</v>
      </c>
      <c r="C13" s="690">
        <v>1.7280646694551123</v>
      </c>
      <c r="D13" s="30"/>
      <c r="E13" s="720" t="s">
        <v>674</v>
      </c>
      <c r="F13" s="779">
        <f t="shared" ref="F13:F19" si="0">C13</f>
        <v>1.7280646694551123</v>
      </c>
      <c r="G13" s="1223"/>
      <c r="H13" s="720" t="s">
        <v>674</v>
      </c>
      <c r="I13" s="779">
        <v>1.695592939952</v>
      </c>
      <c r="J13" s="1223"/>
      <c r="K13" s="764"/>
      <c r="O13" s="47" t="s">
        <v>674</v>
      </c>
      <c r="P13" s="47">
        <v>2.300472135163</v>
      </c>
    </row>
    <row r="14" spans="1:16" ht="18.75" customHeight="1">
      <c r="A14" s="760"/>
      <c r="B14" s="777" t="s">
        <v>3</v>
      </c>
      <c r="C14" s="690">
        <v>0.17895418144940134</v>
      </c>
      <c r="D14" s="30"/>
      <c r="E14" s="720" t="s">
        <v>3</v>
      </c>
      <c r="F14" s="779">
        <f t="shared" si="0"/>
        <v>0.17895418144940134</v>
      </c>
      <c r="G14" s="1223"/>
      <c r="H14" s="720" t="s">
        <v>3</v>
      </c>
      <c r="I14" s="779">
        <v>2.0604971783449999</v>
      </c>
      <c r="J14" s="1223"/>
      <c r="K14" s="764"/>
      <c r="O14" s="47" t="s">
        <v>3</v>
      </c>
      <c r="P14" s="47">
        <v>1.7065444768310001</v>
      </c>
    </row>
    <row r="15" spans="1:16" ht="18">
      <c r="A15" s="760"/>
      <c r="B15" s="777" t="s">
        <v>6</v>
      </c>
      <c r="C15" s="690">
        <v>73.087096451944731</v>
      </c>
      <c r="D15" s="30"/>
      <c r="E15" s="720" t="s">
        <v>6</v>
      </c>
      <c r="F15" s="779">
        <f t="shared" si="0"/>
        <v>73.087096451944731</v>
      </c>
      <c r="G15" s="1223"/>
      <c r="H15" s="720" t="s">
        <v>6</v>
      </c>
      <c r="I15" s="779">
        <v>71.712268249260006</v>
      </c>
      <c r="J15" s="1223"/>
      <c r="K15" s="764"/>
      <c r="O15" s="47" t="s">
        <v>6</v>
      </c>
      <c r="P15" s="47">
        <v>71.877556015310006</v>
      </c>
    </row>
    <row r="16" spans="1:16" ht="18">
      <c r="A16" s="760"/>
      <c r="B16" s="777" t="s">
        <v>7</v>
      </c>
      <c r="C16" s="690">
        <v>14.235614568469201</v>
      </c>
      <c r="D16" s="30"/>
      <c r="E16" s="720" t="s">
        <v>7</v>
      </c>
      <c r="F16" s="779">
        <f t="shared" si="0"/>
        <v>14.235614568469201</v>
      </c>
      <c r="G16" s="1223"/>
      <c r="H16" s="720" t="s">
        <v>7</v>
      </c>
      <c r="I16" s="779">
        <v>13.96781601526</v>
      </c>
      <c r="J16" s="1223"/>
      <c r="K16" s="764"/>
      <c r="O16" s="47" t="s">
        <v>7</v>
      </c>
      <c r="P16" s="47">
        <v>13.68833127936</v>
      </c>
    </row>
    <row r="17" spans="1:16" ht="18">
      <c r="A17" s="760"/>
      <c r="B17" s="777" t="s">
        <v>8</v>
      </c>
      <c r="C17" s="690">
        <v>6.8004262527120947</v>
      </c>
      <c r="D17" s="30"/>
      <c r="E17" s="725" t="s">
        <v>8</v>
      </c>
      <c r="F17" s="782">
        <f t="shared" si="0"/>
        <v>6.8004262527120947</v>
      </c>
      <c r="G17" s="1223"/>
      <c r="H17" s="725" t="s">
        <v>8</v>
      </c>
      <c r="I17" s="782">
        <v>6.6724785769619999</v>
      </c>
      <c r="J17" s="1223"/>
      <c r="K17" s="764"/>
      <c r="O17" s="47" t="s">
        <v>8</v>
      </c>
      <c r="P17" s="47">
        <v>6.638727079033</v>
      </c>
    </row>
    <row r="18" spans="1:16" ht="18">
      <c r="A18" s="760"/>
      <c r="B18" s="777" t="s">
        <v>747</v>
      </c>
      <c r="C18" s="690">
        <v>0.80308696966038151</v>
      </c>
      <c r="D18" s="30"/>
      <c r="E18" s="725" t="s">
        <v>678</v>
      </c>
      <c r="F18" s="782">
        <f t="shared" si="0"/>
        <v>0.80308696966038151</v>
      </c>
      <c r="G18" s="1223"/>
      <c r="H18" s="725" t="s">
        <v>678</v>
      </c>
      <c r="I18" s="782">
        <v>0.78799299234719999</v>
      </c>
      <c r="J18" s="1223"/>
      <c r="K18" s="764"/>
      <c r="O18" s="47" t="s">
        <v>678</v>
      </c>
      <c r="P18" s="47">
        <v>0.59842396534719999</v>
      </c>
    </row>
    <row r="19" spans="1:16" ht="18">
      <c r="A19" s="760"/>
      <c r="B19" s="777" t="s">
        <v>748</v>
      </c>
      <c r="C19" s="690">
        <v>1.7851890480520931</v>
      </c>
      <c r="D19" s="30"/>
      <c r="E19" s="725" t="s">
        <v>67</v>
      </c>
      <c r="F19" s="782">
        <f t="shared" si="0"/>
        <v>1.7851890480520931</v>
      </c>
      <c r="G19" s="1223"/>
      <c r="H19" s="725" t="s">
        <v>67</v>
      </c>
      <c r="I19" s="782">
        <v>1.7516188394200001</v>
      </c>
      <c r="J19" s="1223"/>
      <c r="K19" s="764"/>
      <c r="O19" s="47" t="s">
        <v>67</v>
      </c>
      <c r="P19" s="47">
        <v>2.2604639241159998</v>
      </c>
    </row>
    <row r="20" spans="1:16" ht="18">
      <c r="A20" s="760"/>
      <c r="B20" s="777" t="s">
        <v>1998</v>
      </c>
      <c r="C20" s="690">
        <v>3.9973473039401899E-3</v>
      </c>
      <c r="D20" s="30"/>
      <c r="E20" s="725" t="s">
        <v>679</v>
      </c>
      <c r="F20" s="782">
        <f>C21</f>
        <v>0.37298325228303436</v>
      </c>
      <c r="G20" s="1223"/>
      <c r="H20" s="725" t="s">
        <v>679</v>
      </c>
      <c r="I20" s="782">
        <v>0.36598354643940001</v>
      </c>
      <c r="J20" s="1223"/>
      <c r="K20" s="764"/>
      <c r="O20" s="47" t="s">
        <v>679</v>
      </c>
      <c r="P20" s="47">
        <v>0.16880585056940001</v>
      </c>
    </row>
    <row r="21" spans="1:16" ht="18">
      <c r="A21" s="760"/>
      <c r="B21" s="777" t="s">
        <v>749</v>
      </c>
      <c r="C21" s="690">
        <v>0.37298325228303436</v>
      </c>
      <c r="D21" s="30"/>
      <c r="E21" s="725" t="s">
        <v>69</v>
      </c>
      <c r="F21" s="782">
        <f>C22</f>
        <v>0.37605813482452682</v>
      </c>
      <c r="G21" s="1223"/>
      <c r="H21" s="725" t="s">
        <v>69</v>
      </c>
      <c r="I21" s="782">
        <v>0.36902523275030003</v>
      </c>
      <c r="J21" s="1223"/>
      <c r="K21" s="764"/>
      <c r="O21" s="47" t="s">
        <v>69</v>
      </c>
      <c r="P21" s="47">
        <v>0.16041686042969999</v>
      </c>
    </row>
    <row r="22" spans="1:16" ht="18">
      <c r="A22" s="760"/>
      <c r="B22" s="777" t="s">
        <v>750</v>
      </c>
      <c r="C22" s="690">
        <v>0.37605813482452682</v>
      </c>
      <c r="D22" s="30"/>
      <c r="E22" s="725" t="s">
        <v>10</v>
      </c>
      <c r="F22" s="782">
        <f>SUM(C23:C30,C20)</f>
        <v>0.63252647114942306</v>
      </c>
      <c r="G22" s="1223"/>
      <c r="H22" s="725" t="s">
        <v>10</v>
      </c>
      <c r="I22" s="782">
        <v>0.61667736980480004</v>
      </c>
      <c r="J22" s="1223"/>
      <c r="K22" s="764"/>
      <c r="O22" s="47" t="s">
        <v>10</v>
      </c>
      <c r="P22" s="47">
        <v>0.6001231656946</v>
      </c>
    </row>
    <row r="23" spans="1:16" ht="18">
      <c r="A23" s="760"/>
      <c r="B23" s="701" t="s">
        <v>1999</v>
      </c>
      <c r="C23" s="690">
        <v>3.0892619891898817E-3</v>
      </c>
      <c r="D23" s="30"/>
      <c r="E23" s="725" t="s">
        <v>298</v>
      </c>
      <c r="F23" s="782">
        <v>0</v>
      </c>
      <c r="G23" s="1223"/>
      <c r="H23" s="725" t="s">
        <v>298</v>
      </c>
      <c r="I23" s="782">
        <v>0</v>
      </c>
      <c r="J23" s="1223"/>
      <c r="K23" s="764"/>
      <c r="O23" s="47" t="s">
        <v>298</v>
      </c>
      <c r="P23" s="47">
        <v>1.3524814641139999E-4</v>
      </c>
    </row>
    <row r="24" spans="1:16" ht="18">
      <c r="A24" s="760"/>
      <c r="B24" s="701" t="s">
        <v>99</v>
      </c>
      <c r="C24" s="690">
        <v>0</v>
      </c>
      <c r="D24" s="30"/>
      <c r="E24" s="725" t="s">
        <v>680</v>
      </c>
      <c r="F24" s="782">
        <v>0</v>
      </c>
      <c r="G24" s="1223"/>
      <c r="H24" s="725" t="s">
        <v>680</v>
      </c>
      <c r="I24" s="782">
        <v>0</v>
      </c>
      <c r="J24" s="1223"/>
      <c r="K24" s="764"/>
      <c r="O24" s="47" t="s">
        <v>680</v>
      </c>
      <c r="P24" s="47">
        <v>0</v>
      </c>
    </row>
    <row r="25" spans="1:16" ht="18">
      <c r="A25" s="760"/>
      <c r="B25" s="701" t="s">
        <v>2000</v>
      </c>
      <c r="C25" s="690">
        <v>3.0892619891898818E-2</v>
      </c>
      <c r="D25" s="30"/>
      <c r="E25" s="725" t="s">
        <v>681</v>
      </c>
      <c r="F25" s="782">
        <v>0</v>
      </c>
      <c r="G25" s="1223"/>
      <c r="H25" s="725" t="s">
        <v>681</v>
      </c>
      <c r="I25" s="782">
        <v>0</v>
      </c>
      <c r="J25" s="1223"/>
      <c r="K25" s="764"/>
      <c r="O25" s="47" t="s">
        <v>681</v>
      </c>
      <c r="P25" s="47">
        <v>0</v>
      </c>
    </row>
    <row r="26" spans="1:16" ht="18">
      <c r="A26" s="760"/>
      <c r="B26" s="701" t="s">
        <v>2001</v>
      </c>
      <c r="C26" s="690">
        <v>7.208277974776392E-2</v>
      </c>
      <c r="D26" s="30"/>
      <c r="E26" s="725" t="s">
        <v>675</v>
      </c>
      <c r="F26" s="782">
        <v>0</v>
      </c>
      <c r="G26" s="1223"/>
      <c r="H26" s="725" t="s">
        <v>675</v>
      </c>
      <c r="I26" s="782">
        <v>0</v>
      </c>
      <c r="J26" s="1223"/>
      <c r="K26" s="764"/>
      <c r="O26" s="47" t="s">
        <v>675</v>
      </c>
      <c r="P26" s="47">
        <v>0</v>
      </c>
    </row>
    <row r="27" spans="1:16" ht="18" thickBot="1">
      <c r="A27" s="760"/>
      <c r="B27" s="701" t="s">
        <v>2002</v>
      </c>
      <c r="C27" s="690">
        <v>3.8100897866675205E-2</v>
      </c>
      <c r="D27" s="30"/>
      <c r="E27" s="737"/>
      <c r="F27" s="719"/>
      <c r="G27" s="708"/>
      <c r="H27" s="737"/>
      <c r="I27" s="719"/>
      <c r="J27" s="708"/>
      <c r="K27" s="764"/>
    </row>
    <row r="28" spans="1:16" ht="18" thickBot="1">
      <c r="A28" s="760"/>
      <c r="B28" s="701" t="s">
        <v>292</v>
      </c>
      <c r="C28" s="690">
        <v>0</v>
      </c>
      <c r="D28" s="30"/>
      <c r="E28" s="739" t="s">
        <v>692</v>
      </c>
      <c r="F28" s="740">
        <f>SUM(F12:F26)</f>
        <v>100</v>
      </c>
      <c r="G28" s="708"/>
      <c r="H28" s="739" t="s">
        <v>692</v>
      </c>
      <c r="I28" s="740">
        <f>SUM(I12:I26)</f>
        <v>99.999999999997343</v>
      </c>
      <c r="J28" s="708"/>
      <c r="K28" s="764"/>
    </row>
    <row r="29" spans="1:16" ht="18" thickBot="1">
      <c r="A29" s="760"/>
      <c r="B29" s="701" t="s">
        <v>10</v>
      </c>
      <c r="C29" s="690">
        <v>8.2124405970391834E-2</v>
      </c>
      <c r="D29" s="30"/>
      <c r="E29" s="742"/>
      <c r="F29" s="708"/>
      <c r="G29" s="708"/>
      <c r="H29" s="708"/>
      <c r="I29" s="708"/>
      <c r="J29" s="708"/>
      <c r="K29" s="764"/>
    </row>
    <row r="30" spans="1:16" ht="16" thickBot="1">
      <c r="A30" s="760"/>
      <c r="B30" s="701" t="s">
        <v>2003</v>
      </c>
      <c r="C30" s="690">
        <v>0.4022391583795632</v>
      </c>
      <c r="D30" s="30"/>
      <c r="E30" s="5065" t="s">
        <v>810</v>
      </c>
      <c r="F30" s="5066"/>
      <c r="G30" s="1229"/>
      <c r="H30" s="1229"/>
      <c r="I30" s="1229"/>
      <c r="J30" s="1229"/>
      <c r="K30" s="764"/>
    </row>
    <row r="31" spans="1:16" ht="18" thickBot="1">
      <c r="A31" s="760"/>
      <c r="B31" s="741" t="s">
        <v>753</v>
      </c>
      <c r="C31" s="710">
        <f>SUM(C10:C30)</f>
        <v>99.999999999999986</v>
      </c>
      <c r="D31" s="30"/>
      <c r="E31" s="757" t="s">
        <v>754</v>
      </c>
      <c r="F31" s="758">
        <v>0.86609999999999998</v>
      </c>
      <c r="G31" s="1230"/>
      <c r="H31" s="1230"/>
      <c r="I31" s="1230"/>
      <c r="J31" s="1230"/>
      <c r="K31" s="764"/>
    </row>
    <row r="32" spans="1:16" ht="31.5" thickBot="1">
      <c r="A32" s="760"/>
      <c r="B32" s="3511"/>
      <c r="C32" s="711"/>
      <c r="D32" s="30"/>
      <c r="E32" s="756" t="s">
        <v>811</v>
      </c>
      <c r="F32" s="759">
        <v>262.91199999999998</v>
      </c>
      <c r="G32" s="1231"/>
      <c r="H32" s="1231"/>
      <c r="I32" s="1231"/>
      <c r="J32" s="1231"/>
      <c r="K32" s="764"/>
    </row>
    <row r="33" spans="1:11" ht="16" thickBot="1">
      <c r="A33" s="768"/>
      <c r="B33" s="761"/>
      <c r="C33" s="711"/>
      <c r="D33" s="770"/>
      <c r="E33" s="770"/>
      <c r="F33" s="771"/>
      <c r="G33" s="1228"/>
      <c r="H33" s="1228"/>
      <c r="I33" s="1228"/>
      <c r="J33" s="1228"/>
      <c r="K33" s="773"/>
    </row>
    <row r="34" spans="1:11" ht="15.5">
      <c r="B34" s="697"/>
      <c r="C34" s="688"/>
      <c r="F34" s="699"/>
      <c r="G34" s="699"/>
      <c r="H34" s="699"/>
      <c r="I34" s="699"/>
      <c r="J34" s="699"/>
    </row>
    <row r="35" spans="1:11" ht="15.5">
      <c r="B35" s="686"/>
      <c r="C35" s="686"/>
      <c r="F35" s="699"/>
      <c r="G35" s="699"/>
      <c r="H35" s="699"/>
      <c r="I35" s="699"/>
      <c r="J35" s="699"/>
    </row>
    <row r="36" spans="1:11" ht="15.5">
      <c r="B36" s="686"/>
      <c r="C36" s="686"/>
      <c r="F36" s="699"/>
      <c r="G36" s="699"/>
      <c r="H36" s="699"/>
      <c r="I36" s="699"/>
      <c r="J36" s="699"/>
    </row>
    <row r="37" spans="1:11" ht="15.5">
      <c r="B37" s="686"/>
      <c r="C37" s="686"/>
      <c r="F37" s="699"/>
      <c r="G37" s="699"/>
      <c r="H37" s="699"/>
      <c r="I37" s="699"/>
      <c r="J37" s="699"/>
    </row>
    <row r="38" spans="1:11" ht="15.5">
      <c r="B38" s="686"/>
      <c r="C38" s="686"/>
      <c r="F38" s="699"/>
      <c r="G38" s="699"/>
      <c r="H38" s="699"/>
      <c r="I38" s="699"/>
      <c r="J38" s="699"/>
    </row>
    <row r="39" spans="1:11" ht="15.5">
      <c r="B39" s="686"/>
      <c r="C39" s="686"/>
      <c r="F39" s="699"/>
      <c r="G39" s="699"/>
      <c r="H39" s="699"/>
      <c r="I39" s="699"/>
      <c r="J39" s="699"/>
    </row>
    <row r="40" spans="1:11" ht="15.5">
      <c r="B40" s="686"/>
      <c r="C40" s="686"/>
      <c r="F40" s="699"/>
      <c r="G40" s="699"/>
      <c r="H40" s="699"/>
      <c r="I40" s="699"/>
      <c r="J40" s="699"/>
    </row>
    <row r="41" spans="1:11" ht="15.5">
      <c r="B41" s="686"/>
      <c r="C41" s="686"/>
      <c r="F41" s="699"/>
      <c r="G41" s="699"/>
      <c r="H41" s="699"/>
      <c r="I41" s="699"/>
      <c r="J41" s="699"/>
    </row>
    <row r="42" spans="1:11" ht="15.5">
      <c r="B42" s="686"/>
      <c r="C42" s="686"/>
      <c r="F42" s="699"/>
      <c r="G42" s="699"/>
      <c r="H42" s="699"/>
      <c r="I42" s="699"/>
      <c r="J42" s="699"/>
    </row>
    <row r="43" spans="1:11" ht="15.5">
      <c r="B43" s="686"/>
      <c r="C43" s="686"/>
      <c r="F43" s="699"/>
      <c r="G43" s="699"/>
      <c r="H43" s="699"/>
      <c r="I43" s="699"/>
      <c r="J43" s="699"/>
    </row>
    <row r="44" spans="1:11" ht="15.5">
      <c r="B44" s="686"/>
      <c r="C44" s="686"/>
      <c r="F44" s="699"/>
      <c r="G44" s="699"/>
      <c r="H44" s="699"/>
      <c r="I44" s="699"/>
      <c r="J44" s="699"/>
    </row>
    <row r="45" spans="1:11" ht="15.5">
      <c r="B45" s="686"/>
      <c r="C45" s="686"/>
      <c r="F45" s="699"/>
      <c r="G45" s="699"/>
      <c r="H45" s="699"/>
      <c r="I45" s="699"/>
      <c r="J45" s="699"/>
    </row>
    <row r="46" spans="1:11" ht="15.5">
      <c r="B46" s="686"/>
      <c r="C46" s="686"/>
      <c r="F46" s="699"/>
      <c r="G46" s="699"/>
      <c r="H46" s="699"/>
      <c r="I46" s="699"/>
      <c r="J46" s="699"/>
    </row>
    <row r="47" spans="1:11" ht="15.5">
      <c r="B47" s="686"/>
      <c r="C47" s="686"/>
      <c r="F47" s="699"/>
      <c r="G47" s="699"/>
      <c r="H47" s="699"/>
      <c r="I47" s="699"/>
      <c r="J47" s="699"/>
    </row>
    <row r="48" spans="1:11" ht="15.5">
      <c r="B48" s="686"/>
      <c r="C48" s="686"/>
      <c r="F48" s="699"/>
      <c r="G48" s="699"/>
      <c r="H48" s="699"/>
      <c r="I48" s="699"/>
      <c r="J48" s="699"/>
    </row>
    <row r="49" spans="2:10" ht="15.5">
      <c r="B49" s="686"/>
      <c r="C49" s="686"/>
      <c r="F49" s="699"/>
      <c r="G49" s="699"/>
      <c r="H49" s="699"/>
      <c r="I49" s="699"/>
      <c r="J49" s="699"/>
    </row>
    <row r="50" spans="2:10" ht="15.5">
      <c r="B50" s="686"/>
      <c r="C50" s="686"/>
      <c r="F50" s="699"/>
      <c r="G50" s="699"/>
      <c r="H50" s="699"/>
      <c r="I50" s="699"/>
      <c r="J50" s="699"/>
    </row>
    <row r="51" spans="2:10" ht="15.5">
      <c r="B51" s="686"/>
      <c r="C51" s="686"/>
      <c r="F51" s="699"/>
      <c r="G51" s="699"/>
      <c r="H51" s="699"/>
      <c r="I51" s="699"/>
      <c r="J51" s="699"/>
    </row>
    <row r="52" spans="2:10" ht="15.5">
      <c r="B52" s="686"/>
      <c r="C52" s="686"/>
      <c r="F52" s="699"/>
      <c r="G52" s="699"/>
      <c r="H52" s="699"/>
      <c r="I52" s="699"/>
      <c r="J52" s="699"/>
    </row>
    <row r="53" spans="2:10" ht="15.5">
      <c r="B53" s="686"/>
      <c r="C53" s="686"/>
      <c r="F53" s="699"/>
      <c r="G53" s="699"/>
      <c r="H53" s="699"/>
      <c r="I53" s="699"/>
      <c r="J53" s="699"/>
    </row>
    <row r="54" spans="2:10" ht="15.5">
      <c r="B54" s="686"/>
      <c r="C54" s="686"/>
      <c r="F54" s="699"/>
      <c r="G54" s="699"/>
      <c r="H54" s="699"/>
      <c r="I54" s="699"/>
      <c r="J54" s="699"/>
    </row>
    <row r="55" spans="2:10" ht="15.5">
      <c r="B55" s="686"/>
      <c r="C55" s="686"/>
      <c r="F55" s="699"/>
      <c r="G55" s="699"/>
      <c r="H55" s="699"/>
      <c r="I55" s="699"/>
      <c r="J55" s="699"/>
    </row>
    <row r="56" spans="2:10" ht="15.5">
      <c r="B56" s="686"/>
      <c r="C56" s="686"/>
      <c r="F56" s="699"/>
      <c r="G56" s="699"/>
      <c r="H56" s="699"/>
      <c r="I56" s="699"/>
      <c r="J56" s="699"/>
    </row>
    <row r="57" spans="2:10" ht="15.5">
      <c r="B57" s="686"/>
      <c r="C57" s="686"/>
      <c r="F57" s="699"/>
      <c r="G57" s="699"/>
      <c r="H57" s="699"/>
      <c r="I57" s="699"/>
      <c r="J57" s="699"/>
    </row>
    <row r="58" spans="2:10" ht="15.5">
      <c r="B58" s="686"/>
      <c r="C58" s="686"/>
      <c r="F58" s="699"/>
      <c r="G58" s="699"/>
      <c r="H58" s="699"/>
      <c r="I58" s="699"/>
      <c r="J58" s="699"/>
    </row>
    <row r="59" spans="2:10" ht="15.5">
      <c r="B59" s="686"/>
      <c r="C59" s="686"/>
      <c r="F59" s="699"/>
      <c r="G59" s="699"/>
      <c r="H59" s="699"/>
      <c r="I59" s="699"/>
      <c r="J59" s="699"/>
    </row>
    <row r="60" spans="2:10" ht="15.5">
      <c r="B60" s="686"/>
      <c r="C60" s="686"/>
      <c r="F60" s="699"/>
      <c r="G60" s="699"/>
      <c r="H60" s="699"/>
      <c r="I60" s="699"/>
      <c r="J60" s="699"/>
    </row>
    <row r="61" spans="2:10" ht="15.5">
      <c r="B61" s="686"/>
      <c r="C61" s="686"/>
    </row>
    <row r="62" spans="2:10" ht="15.5">
      <c r="B62" s="686"/>
      <c r="C62" s="686"/>
      <c r="F62" s="700"/>
      <c r="G62" s="700"/>
      <c r="H62" s="700"/>
      <c r="I62" s="700"/>
      <c r="J62" s="700"/>
    </row>
    <row r="63" spans="2:10" ht="15.5">
      <c r="B63" s="686"/>
      <c r="C63" s="686"/>
    </row>
    <row r="64" spans="2:10" ht="15.5">
      <c r="B64" s="686"/>
      <c r="C64" s="686"/>
    </row>
    <row r="65" spans="2:3" ht="15.5">
      <c r="B65" s="686"/>
      <c r="C65" s="686"/>
    </row>
    <row r="66" spans="2:3" ht="15.5">
      <c r="B66" s="686"/>
      <c r="C66" s="686"/>
    </row>
    <row r="67" spans="2:3" ht="15.5">
      <c r="B67" s="686"/>
      <c r="C67" s="686"/>
    </row>
    <row r="68" spans="2:3" ht="15.5">
      <c r="B68" s="686"/>
      <c r="C68" s="686"/>
    </row>
  </sheetData>
  <mergeCells count="15">
    <mergeCell ref="E30:F30"/>
    <mergeCell ref="H9:I9"/>
    <mergeCell ref="H10:H11"/>
    <mergeCell ref="I10:I11"/>
    <mergeCell ref="B2:J2"/>
    <mergeCell ref="B3:J3"/>
    <mergeCell ref="B4:J4"/>
    <mergeCell ref="A6:K6"/>
    <mergeCell ref="B8:C8"/>
    <mergeCell ref="B9:C9"/>
    <mergeCell ref="E9:F9"/>
    <mergeCell ref="B10:B11"/>
    <mergeCell ref="C10:C11"/>
    <mergeCell ref="E10:E11"/>
    <mergeCell ref="F10:F11"/>
  </mergeCells>
  <pageMargins left="0.7" right="0.7" top="0.75" bottom="0.75" header="0.3" footer="0.3"/>
  <pageSetup scale="5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6">
    <tabColor rgb="FFFF0000"/>
  </sheetPr>
  <dimension ref="A1"/>
  <sheetViews>
    <sheetView workbookViewId="0"/>
  </sheetViews>
  <sheetFormatPr defaultRowHeight="12.5"/>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4"/>
  <dimension ref="A1:R233"/>
  <sheetViews>
    <sheetView view="pageBreakPreview" topLeftCell="A26" zoomScale="70" zoomScaleNormal="70" zoomScaleSheetLayoutView="70" zoomScalePageLayoutView="70" workbookViewId="0">
      <selection activeCell="E45" sqref="E45"/>
    </sheetView>
  </sheetViews>
  <sheetFormatPr defaultColWidth="9.36328125" defaultRowHeight="12.5"/>
  <cols>
    <col min="1" max="1" width="8.6328125" customWidth="1"/>
    <col min="2" max="2" width="39.36328125" customWidth="1"/>
    <col min="3" max="3" width="39.6328125" bestFit="1" customWidth="1"/>
    <col min="4" max="4" width="17.6328125" bestFit="1" customWidth="1"/>
    <col min="5" max="5" width="16.6328125" customWidth="1"/>
    <col min="6" max="6" width="14.54296875" customWidth="1"/>
    <col min="7" max="7" width="14.453125" customWidth="1"/>
    <col min="8" max="8" width="12.453125" customWidth="1"/>
    <col min="9" max="9" width="15.6328125" customWidth="1"/>
    <col min="10" max="10" width="15.36328125" customWidth="1"/>
    <col min="11" max="11" width="16.453125" customWidth="1"/>
    <col min="12" max="13" width="14.6328125" customWidth="1"/>
    <col min="14" max="14" width="11.6328125" customWidth="1"/>
    <col min="15" max="15" width="13.54296875" customWidth="1"/>
    <col min="16" max="16" width="15.36328125" customWidth="1"/>
  </cols>
  <sheetData>
    <row r="1" spans="2:16" ht="13.5" hidden="1" thickBot="1">
      <c r="B1" s="1070"/>
      <c r="C1" s="1070"/>
      <c r="D1" s="1070"/>
      <c r="E1" s="1070"/>
      <c r="F1" s="1070"/>
      <c r="G1" s="1070"/>
      <c r="H1" s="1070"/>
      <c r="I1" s="1070"/>
      <c r="J1" s="1070"/>
      <c r="K1" s="1070"/>
      <c r="L1" s="1071"/>
      <c r="M1" s="1071"/>
      <c r="N1" s="1071"/>
      <c r="O1" s="1070"/>
      <c r="P1" s="1070"/>
    </row>
    <row r="2" spans="2:16" ht="13.5" hidden="1" thickBot="1">
      <c r="B2" s="1070"/>
      <c r="C2" s="1070"/>
      <c r="D2" s="1070"/>
      <c r="E2" s="1070"/>
      <c r="F2" s="1070"/>
      <c r="G2" s="1070"/>
      <c r="H2" s="1070"/>
      <c r="I2" s="1070"/>
      <c r="J2" s="1070"/>
      <c r="K2" s="1070"/>
      <c r="L2" s="1071"/>
      <c r="M2" s="1071"/>
      <c r="N2" s="1071"/>
      <c r="O2" s="1070"/>
      <c r="P2" s="1070"/>
    </row>
    <row r="3" spans="2:16" ht="13.5" hidden="1" thickBot="1">
      <c r="B3" s="1070"/>
      <c r="C3" s="1070"/>
      <c r="D3" s="1070"/>
      <c r="E3" s="1070"/>
      <c r="F3" s="1070"/>
      <c r="G3" s="1070"/>
      <c r="H3" s="1070"/>
      <c r="I3" s="1070"/>
      <c r="J3" s="1070"/>
      <c r="K3" s="1070"/>
      <c r="L3" s="1071"/>
      <c r="M3" s="1071"/>
      <c r="N3" s="1071"/>
      <c r="O3" s="1070"/>
      <c r="P3" s="1070"/>
    </row>
    <row r="4" spans="2:16" ht="15" hidden="1" customHeight="1" thickBot="1">
      <c r="B4" s="1072"/>
      <c r="C4" s="1072"/>
      <c r="D4" s="1072"/>
      <c r="E4" s="1072"/>
      <c r="F4" s="1072"/>
      <c r="G4" s="1072"/>
      <c r="H4" s="1072"/>
      <c r="I4" s="1072"/>
      <c r="J4" s="1072"/>
      <c r="K4" s="1072"/>
      <c r="L4" s="1073"/>
      <c r="M4" s="1073"/>
      <c r="N4" s="1073"/>
      <c r="O4" s="1072"/>
      <c r="P4" s="1072"/>
    </row>
    <row r="5" spans="2:16" ht="15" customHeight="1">
      <c r="B5" s="1074" t="s">
        <v>849</v>
      </c>
      <c r="C5" s="1074"/>
      <c r="D5" s="1075"/>
      <c r="E5" s="1076" t="s">
        <v>850</v>
      </c>
      <c r="F5" s="1076"/>
      <c r="G5" s="1076"/>
      <c r="H5" s="1075"/>
      <c r="I5" s="1076" t="s">
        <v>851</v>
      </c>
      <c r="J5" s="1076"/>
      <c r="K5" s="1076"/>
      <c r="L5" s="1077"/>
      <c r="M5" s="1078"/>
      <c r="N5" s="1078"/>
      <c r="O5" s="1075"/>
      <c r="P5" s="1079"/>
    </row>
    <row r="6" spans="2:16" ht="15" customHeight="1">
      <c r="B6" s="1080"/>
      <c r="C6" s="1081"/>
      <c r="D6" s="1070"/>
      <c r="E6" s="1070"/>
      <c r="F6" s="1070"/>
      <c r="G6" s="1070"/>
      <c r="H6" s="1070"/>
      <c r="I6" s="1070"/>
      <c r="J6" s="1070"/>
      <c r="K6" s="1070"/>
      <c r="L6" s="1071"/>
      <c r="M6" s="1071"/>
      <c r="N6" s="1071"/>
      <c r="O6" s="1070"/>
      <c r="P6" s="1082"/>
    </row>
    <row r="7" spans="2:16" ht="15" customHeight="1">
      <c r="B7" s="1083" t="s">
        <v>852</v>
      </c>
      <c r="C7" s="1084" t="s">
        <v>1200</v>
      </c>
      <c r="D7" s="1070"/>
      <c r="E7" s="5101" t="s">
        <v>853</v>
      </c>
      <c r="F7" s="5102"/>
      <c r="G7" s="1085">
        <v>20</v>
      </c>
      <c r="H7" s="1070"/>
      <c r="I7" s="5095" t="s">
        <v>854</v>
      </c>
      <c r="J7" s="5100"/>
      <c r="K7" s="5096"/>
      <c r="L7" s="1086" t="s">
        <v>859</v>
      </c>
      <c r="M7" s="1087"/>
      <c r="N7" s="1071"/>
      <c r="O7" s="1070"/>
      <c r="P7" s="1082"/>
    </row>
    <row r="8" spans="2:16" ht="15" customHeight="1">
      <c r="B8" s="1088"/>
      <c r="C8" s="1089"/>
      <c r="D8" s="1070"/>
      <c r="E8" s="5101" t="s">
        <v>855</v>
      </c>
      <c r="F8" s="5102"/>
      <c r="G8" s="1090">
        <f>14/12</f>
        <v>1.1666666666666667</v>
      </c>
      <c r="H8" s="1070"/>
      <c r="I8" s="5095" t="s">
        <v>856</v>
      </c>
      <c r="J8" s="5100"/>
      <c r="K8" s="5096"/>
      <c r="L8" s="1091">
        <f>C25</f>
        <v>6019.4611186903139</v>
      </c>
      <c r="M8" s="1071"/>
      <c r="N8" s="1087"/>
      <c r="O8" s="1070"/>
      <c r="P8" s="1082"/>
    </row>
    <row r="9" spans="2:16" ht="15" customHeight="1">
      <c r="B9" s="1081"/>
      <c r="C9" s="1092"/>
      <c r="D9" s="1070"/>
      <c r="E9" s="5101" t="s">
        <v>857</v>
      </c>
      <c r="F9" s="5102"/>
      <c r="G9" s="1085">
        <v>928</v>
      </c>
      <c r="H9" s="1070"/>
      <c r="I9" s="5095" t="s">
        <v>858</v>
      </c>
      <c r="J9" s="5100"/>
      <c r="K9" s="5096"/>
      <c r="L9" s="1093">
        <v>1020</v>
      </c>
      <c r="M9" s="1071"/>
      <c r="N9" s="1087"/>
      <c r="O9" s="1070"/>
      <c r="P9" s="1082"/>
    </row>
    <row r="10" spans="2:16" ht="15" customHeight="1">
      <c r="B10" s="1094" t="s">
        <v>860</v>
      </c>
      <c r="C10" s="1084" t="s">
        <v>1169</v>
      </c>
      <c r="D10" s="1070"/>
      <c r="E10" s="5101" t="s">
        <v>861</v>
      </c>
      <c r="F10" s="5102"/>
      <c r="G10" s="1095">
        <f>14061/(PI()*(G8/2)^2)/60</f>
        <v>219.22066822678923</v>
      </c>
      <c r="H10" s="1070"/>
      <c r="I10" s="5095" t="s">
        <v>862</v>
      </c>
      <c r="J10" s="5100"/>
      <c r="K10" s="5096"/>
      <c r="L10" s="1093">
        <v>850</v>
      </c>
      <c r="M10" s="1071"/>
      <c r="N10" s="1087"/>
      <c r="O10" s="1070"/>
      <c r="P10" s="1082"/>
    </row>
    <row r="11" spans="2:16" ht="15" customHeight="1">
      <c r="B11" s="1094" t="s">
        <v>863</v>
      </c>
      <c r="C11" s="1096" t="s">
        <v>94</v>
      </c>
      <c r="D11" s="1070"/>
      <c r="E11" s="1070"/>
      <c r="F11" s="1070"/>
      <c r="G11" s="1070"/>
      <c r="H11" s="1070"/>
      <c r="I11" s="5095" t="s">
        <v>1170</v>
      </c>
      <c r="J11" s="5100"/>
      <c r="K11" s="5096"/>
      <c r="L11" s="1097">
        <v>0.25</v>
      </c>
      <c r="M11" s="1071"/>
      <c r="N11" s="1087"/>
      <c r="O11" s="1070"/>
      <c r="P11" s="1082"/>
    </row>
    <row r="12" spans="2:16" ht="15" customHeight="1">
      <c r="B12" s="1081"/>
      <c r="C12" s="1081"/>
      <c r="D12" s="1070"/>
      <c r="E12" s="1070"/>
      <c r="F12" s="1070"/>
      <c r="G12" s="1070"/>
      <c r="H12" s="1070"/>
      <c r="I12" s="1070"/>
      <c r="J12" s="1098"/>
      <c r="K12" s="1098"/>
      <c r="L12" s="1071"/>
      <c r="M12" s="1071"/>
      <c r="N12" s="1087"/>
      <c r="O12" s="1070"/>
      <c r="P12" s="1082"/>
    </row>
    <row r="13" spans="2:16" ht="15" customHeight="1">
      <c r="B13" s="1099" t="s">
        <v>1171</v>
      </c>
      <c r="C13" s="1100"/>
      <c r="D13" s="1070"/>
      <c r="E13" s="1072" t="s">
        <v>864</v>
      </c>
      <c r="F13" s="1070"/>
      <c r="G13" s="1070"/>
      <c r="H13" s="1070"/>
      <c r="I13" s="1101"/>
      <c r="J13" s="1102"/>
      <c r="K13" s="1102"/>
      <c r="L13" s="1071"/>
      <c r="M13" s="1071"/>
      <c r="N13" s="1087"/>
      <c r="O13" s="1070"/>
      <c r="P13" s="1082"/>
    </row>
    <row r="14" spans="2:16" ht="15" customHeight="1">
      <c r="B14" s="1081"/>
      <c r="C14" s="1092"/>
      <c r="D14" s="1070"/>
      <c r="E14" s="1070"/>
      <c r="F14" s="1070"/>
      <c r="G14" s="1073" t="s">
        <v>865</v>
      </c>
      <c r="H14" s="1070"/>
      <c r="I14" s="1070"/>
      <c r="J14" s="1098"/>
      <c r="K14" s="1073"/>
      <c r="L14" s="1071"/>
      <c r="M14" s="1071"/>
      <c r="N14" s="1087"/>
      <c r="O14" s="1070"/>
      <c r="P14" s="1082"/>
    </row>
    <row r="15" spans="2:16" ht="15" customHeight="1">
      <c r="B15" s="1094" t="s">
        <v>148</v>
      </c>
      <c r="C15" s="1084" t="s">
        <v>1757</v>
      </c>
      <c r="D15" s="1070"/>
      <c r="E15" s="5095" t="s">
        <v>1172</v>
      </c>
      <c r="F15" s="5096"/>
      <c r="G15" s="1085" t="s">
        <v>42</v>
      </c>
      <c r="H15" s="1070"/>
      <c r="I15" s="5095" t="s">
        <v>1173</v>
      </c>
      <c r="J15" s="5096"/>
      <c r="K15" s="1085" t="s">
        <v>42</v>
      </c>
      <c r="L15" s="1071"/>
      <c r="M15" s="1071"/>
      <c r="N15" s="1087"/>
      <c r="O15" s="1070"/>
      <c r="P15" s="1082"/>
    </row>
    <row r="16" spans="2:16" ht="14.15" customHeight="1">
      <c r="B16" s="1094" t="s">
        <v>914</v>
      </c>
      <c r="C16" s="1103" t="s">
        <v>1174</v>
      </c>
      <c r="D16" s="1070"/>
      <c r="E16" s="5095" t="s">
        <v>866</v>
      </c>
      <c r="F16" s="5096"/>
      <c r="G16" s="1085" t="s">
        <v>43</v>
      </c>
      <c r="H16" s="1070"/>
      <c r="I16" s="5095" t="s">
        <v>1175</v>
      </c>
      <c r="J16" s="5096"/>
      <c r="K16" s="1085" t="s">
        <v>42</v>
      </c>
      <c r="L16" s="1071"/>
      <c r="M16" s="1071"/>
      <c r="N16" s="1087"/>
      <c r="O16" s="1070"/>
      <c r="P16" s="1082"/>
    </row>
    <row r="17" spans="2:16" ht="15" customHeight="1">
      <c r="B17" s="1094" t="s">
        <v>288</v>
      </c>
      <c r="C17" s="1084" t="s">
        <v>1176</v>
      </c>
      <c r="D17" s="1070"/>
      <c r="E17" s="5095" t="s">
        <v>1177</v>
      </c>
      <c r="F17" s="5096"/>
      <c r="G17" s="1085" t="s">
        <v>43</v>
      </c>
      <c r="H17" s="1070"/>
      <c r="I17" s="1088"/>
      <c r="J17" s="1104"/>
      <c r="K17" s="1088"/>
      <c r="L17" s="1071"/>
      <c r="M17" s="1071"/>
      <c r="N17" s="1087"/>
      <c r="O17" s="1070"/>
      <c r="P17" s="1082"/>
    </row>
    <row r="18" spans="2:16" ht="14.15" customHeight="1">
      <c r="B18" s="1094" t="s">
        <v>867</v>
      </c>
      <c r="C18" s="1084" t="s">
        <v>1339</v>
      </c>
      <c r="D18" s="1070"/>
      <c r="E18" s="5095" t="s">
        <v>1178</v>
      </c>
      <c r="F18" s="5096"/>
      <c r="G18" s="1085" t="s">
        <v>43</v>
      </c>
      <c r="H18" s="1070"/>
      <c r="I18" s="1070"/>
      <c r="J18" s="1070"/>
      <c r="K18" s="1070"/>
      <c r="L18" s="1071"/>
      <c r="M18" s="1071"/>
      <c r="N18" s="1071"/>
      <c r="O18" s="1070"/>
      <c r="P18" s="1082"/>
    </row>
    <row r="19" spans="2:16" ht="13">
      <c r="B19" s="1094" t="s">
        <v>868</v>
      </c>
      <c r="C19" s="1084" t="s">
        <v>94</v>
      </c>
      <c r="D19" s="1070"/>
      <c r="E19" s="5095" t="s">
        <v>1179</v>
      </c>
      <c r="F19" s="5096"/>
      <c r="G19" s="1085" t="s">
        <v>43</v>
      </c>
      <c r="H19" s="1070"/>
      <c r="I19" s="1070"/>
      <c r="J19" s="1070"/>
      <c r="K19" s="1070"/>
      <c r="L19" s="1071"/>
      <c r="M19" s="1071"/>
      <c r="N19" s="1071"/>
      <c r="O19" s="1070"/>
      <c r="P19" s="1082"/>
    </row>
    <row r="20" spans="2:16" ht="13">
      <c r="B20" s="1094" t="s">
        <v>869</v>
      </c>
      <c r="C20" s="1096" t="s">
        <v>94</v>
      </c>
      <c r="D20" s="1070"/>
      <c r="E20" s="5095" t="s">
        <v>1180</v>
      </c>
      <c r="F20" s="5096"/>
      <c r="G20" s="1105" t="s">
        <v>1181</v>
      </c>
      <c r="H20" s="1070"/>
      <c r="I20" s="1070"/>
      <c r="J20" s="1070"/>
      <c r="K20" s="1070"/>
      <c r="L20" s="1071"/>
      <c r="M20" s="1071"/>
      <c r="N20" s="1071"/>
      <c r="O20" s="1070"/>
      <c r="P20" s="1082"/>
    </row>
    <row r="21" spans="2:16" ht="13.5" thickBot="1">
      <c r="B21" s="1106" t="s">
        <v>870</v>
      </c>
      <c r="C21" s="1096" t="s">
        <v>604</v>
      </c>
      <c r="D21" s="1070"/>
      <c r="E21" s="1070"/>
      <c r="F21" s="1070"/>
      <c r="G21" s="1070"/>
      <c r="H21" s="1070"/>
      <c r="I21" s="1070"/>
      <c r="J21" s="1070"/>
      <c r="K21" s="1070"/>
      <c r="L21" s="1071"/>
      <c r="M21" s="1071"/>
      <c r="N21" s="1071"/>
      <c r="O21" s="1070"/>
      <c r="P21" s="1082"/>
    </row>
    <row r="22" spans="2:16" ht="15" customHeight="1" thickTop="1">
      <c r="B22" s="1094" t="s">
        <v>1182</v>
      </c>
      <c r="C22" s="1084" t="s">
        <v>1183</v>
      </c>
      <c r="D22" s="1070"/>
      <c r="E22" s="1107" t="s">
        <v>871</v>
      </c>
      <c r="F22" s="1108"/>
      <c r="G22" s="1108"/>
      <c r="H22" s="1108"/>
      <c r="I22" s="1108"/>
      <c r="J22" s="1108"/>
      <c r="K22" s="1108"/>
      <c r="L22" s="1109"/>
      <c r="M22" s="1109"/>
      <c r="N22" s="1109"/>
      <c r="O22" s="1110"/>
      <c r="P22" s="1082"/>
    </row>
    <row r="23" spans="2:16" ht="15" customHeight="1">
      <c r="B23" s="1081"/>
      <c r="C23" s="1081"/>
      <c r="D23" s="1070"/>
      <c r="E23" s="1111"/>
      <c r="F23" s="1072"/>
      <c r="G23" s="1072"/>
      <c r="H23" s="1072"/>
      <c r="I23" s="1072"/>
      <c r="J23" s="1072"/>
      <c r="K23" s="1072"/>
      <c r="L23" s="1073"/>
      <c r="M23" s="1073"/>
      <c r="N23" s="1073"/>
      <c r="O23" s="1112"/>
      <c r="P23" s="1082"/>
    </row>
    <row r="24" spans="2:16" ht="13">
      <c r="B24" s="1094" t="s">
        <v>872</v>
      </c>
      <c r="C24" s="1113">
        <v>2932</v>
      </c>
      <c r="D24" s="1070"/>
      <c r="E24" s="1111" t="s">
        <v>873</v>
      </c>
      <c r="F24" s="1072"/>
      <c r="G24" s="1072"/>
      <c r="H24" s="1072"/>
      <c r="I24" s="1072"/>
      <c r="J24" s="1072"/>
      <c r="K24" s="1072"/>
      <c r="L24" s="1073"/>
      <c r="M24" s="1073"/>
      <c r="N24" s="1073"/>
      <c r="O24" s="1112"/>
      <c r="P24" s="1082"/>
    </row>
    <row r="25" spans="2:16" ht="13">
      <c r="B25" s="1106" t="s">
        <v>874</v>
      </c>
      <c r="C25" s="1113">
        <f>(17303*L9)/C24</f>
        <v>6019.4611186903139</v>
      </c>
      <c r="D25" s="1070"/>
      <c r="E25" s="1114" t="s">
        <v>875</v>
      </c>
      <c r="F25" s="1072"/>
      <c r="G25" s="1072"/>
      <c r="H25" s="1072"/>
      <c r="I25" s="1072"/>
      <c r="J25" s="1072"/>
      <c r="K25" s="1072"/>
      <c r="L25" s="1073"/>
      <c r="M25" s="1073"/>
      <c r="N25" s="1073"/>
      <c r="O25" s="1112"/>
      <c r="P25" s="1082"/>
    </row>
    <row r="26" spans="2:16" ht="15" customHeight="1" thickBot="1">
      <c r="B26" s="1094" t="s">
        <v>876</v>
      </c>
      <c r="C26" s="1115">
        <v>500</v>
      </c>
      <c r="D26" s="1070"/>
      <c r="E26" s="1116" t="s">
        <v>877</v>
      </c>
      <c r="F26" s="1117"/>
      <c r="G26" s="1117"/>
      <c r="H26" s="1117"/>
      <c r="I26" s="1117"/>
      <c r="J26" s="1117"/>
      <c r="K26" s="1117"/>
      <c r="L26" s="1118"/>
      <c r="M26" s="1118"/>
      <c r="N26" s="1118"/>
      <c r="O26" s="1119"/>
      <c r="P26" s="1082"/>
    </row>
    <row r="27" spans="2:16" ht="14" customHeight="1" thickTop="1">
      <c r="B27" s="1106" t="s">
        <v>1184</v>
      </c>
      <c r="C27" s="1103" t="s">
        <v>1185</v>
      </c>
      <c r="D27" s="1070"/>
      <c r="E27" s="1070"/>
      <c r="F27" s="1070"/>
      <c r="G27" s="1070"/>
      <c r="H27" s="1070"/>
      <c r="I27" s="1070"/>
      <c r="J27" s="1070"/>
      <c r="K27" s="1070"/>
      <c r="L27" s="1071"/>
      <c r="M27" s="1071"/>
      <c r="N27" s="1071"/>
      <c r="O27" s="1070"/>
      <c r="P27" s="1082"/>
    </row>
    <row r="28" spans="2:16" ht="14" customHeight="1" thickBot="1">
      <c r="B28" s="1120"/>
      <c r="C28" s="1121"/>
      <c r="D28" s="1122"/>
      <c r="E28" s="1122"/>
      <c r="F28" s="1122"/>
      <c r="G28" s="1122"/>
      <c r="H28" s="1122"/>
      <c r="I28" s="1122"/>
      <c r="J28" s="1122"/>
      <c r="K28" s="1122"/>
      <c r="L28" s="1123"/>
      <c r="M28" s="1123"/>
      <c r="N28" s="1123"/>
      <c r="O28" s="1122"/>
      <c r="P28" s="1124"/>
    </row>
    <row r="29" spans="2:16" ht="15" customHeight="1" thickBot="1">
      <c r="B29" s="1125"/>
      <c r="C29" s="1126"/>
      <c r="D29" s="1126"/>
      <c r="E29" s="1126"/>
      <c r="F29" s="1126"/>
      <c r="G29" s="1126"/>
      <c r="H29" s="1075"/>
      <c r="I29" s="1075"/>
      <c r="J29" s="1075"/>
      <c r="K29" s="1075"/>
      <c r="L29" s="1078"/>
      <c r="M29" s="1078"/>
      <c r="N29" s="1078"/>
      <c r="O29" s="1075"/>
      <c r="P29" s="1070"/>
    </row>
    <row r="30" spans="2:16" ht="10.5" customHeight="1">
      <c r="B30" s="1127" t="s">
        <v>1186</v>
      </c>
      <c r="C30" s="1128"/>
      <c r="D30" s="1129"/>
      <c r="E30" s="1129"/>
      <c r="F30" s="1129"/>
      <c r="G30" s="1129"/>
      <c r="H30" s="1130"/>
      <c r="I30" s="1129"/>
      <c r="J30" s="1129"/>
      <c r="K30" s="1070"/>
      <c r="L30" s="1071"/>
      <c r="M30" s="1071"/>
      <c r="N30" s="1071"/>
      <c r="O30" s="1070"/>
      <c r="P30" s="1070"/>
    </row>
    <row r="31" spans="2:16" ht="18" customHeight="1">
      <c r="B31" s="1130"/>
      <c r="C31" s="1129"/>
      <c r="D31" s="1129"/>
      <c r="E31" s="1129"/>
      <c r="F31" s="1129"/>
      <c r="G31" s="1129"/>
      <c r="H31" s="1130"/>
      <c r="I31" s="1129"/>
      <c r="J31" s="1129"/>
      <c r="K31" s="1070"/>
      <c r="L31" s="1071"/>
      <c r="M31" s="1071"/>
      <c r="N31" s="1071"/>
      <c r="O31" s="1070"/>
      <c r="P31" s="1070"/>
    </row>
    <row r="32" spans="2:16" ht="15.5">
      <c r="B32" s="1131" t="s">
        <v>878</v>
      </c>
      <c r="C32" s="1132">
        <v>850</v>
      </c>
      <c r="D32" s="1129"/>
      <c r="E32" s="1133" t="s">
        <v>880</v>
      </c>
      <c r="F32" s="1134">
        <v>64.06</v>
      </c>
      <c r="G32" s="1135" t="s">
        <v>881</v>
      </c>
      <c r="H32" s="1130"/>
      <c r="I32" s="1129"/>
      <c r="J32" s="1129"/>
      <c r="K32" s="1070"/>
      <c r="L32" s="1071"/>
      <c r="M32" s="1071"/>
      <c r="N32" s="1071"/>
      <c r="O32" s="1070"/>
      <c r="P32" s="1070"/>
    </row>
    <row r="33" spans="1:18" ht="15">
      <c r="A33" s="1070"/>
      <c r="B33" s="1136" t="s">
        <v>879</v>
      </c>
      <c r="C33" s="1137">
        <v>0</v>
      </c>
      <c r="D33" s="1138"/>
      <c r="E33" s="1135" t="s">
        <v>595</v>
      </c>
      <c r="F33" s="1134">
        <v>378.61</v>
      </c>
      <c r="G33" s="1135" t="s">
        <v>596</v>
      </c>
      <c r="H33" s="1139"/>
      <c r="I33" s="1138"/>
      <c r="J33" s="1138"/>
      <c r="K33" s="1070"/>
      <c r="L33" s="1071"/>
      <c r="M33" s="1071"/>
      <c r="N33" s="1071"/>
      <c r="O33" s="1070"/>
      <c r="P33" s="1070"/>
    </row>
    <row r="34" spans="1:18" ht="13">
      <c r="A34" s="1070"/>
      <c r="B34" s="1140"/>
      <c r="C34" s="1141"/>
      <c r="D34" s="1138"/>
      <c r="E34" s="1070"/>
      <c r="F34" s="1070"/>
      <c r="G34" s="1070"/>
      <c r="H34" s="1139"/>
      <c r="I34" s="1138"/>
      <c r="J34" s="1138"/>
      <c r="K34" s="1070"/>
      <c r="L34" s="1071"/>
      <c r="M34" s="1071"/>
      <c r="N34" s="1071"/>
      <c r="O34" s="1070"/>
      <c r="P34" s="1070"/>
    </row>
    <row r="35" spans="1:18" ht="15" customHeight="1">
      <c r="A35" s="1070"/>
      <c r="B35" s="1131" t="s">
        <v>882</v>
      </c>
      <c r="C35" s="1142">
        <f>IF(C32=0,0,C25*C24*F32*C33/(C32*F33*100))</f>
        <v>0</v>
      </c>
      <c r="D35" s="1138"/>
      <c r="E35" s="1138"/>
      <c r="F35" s="1138"/>
      <c r="G35" s="1138"/>
      <c r="H35" s="1139"/>
      <c r="I35" s="1138"/>
      <c r="J35" s="1138"/>
      <c r="K35" s="1070"/>
      <c r="L35" s="1071"/>
      <c r="M35" s="1071"/>
      <c r="N35" s="1071"/>
      <c r="O35" s="1070"/>
      <c r="P35" s="1070"/>
    </row>
    <row r="36" spans="1:18" ht="15" customHeight="1">
      <c r="A36" s="1070"/>
      <c r="B36" s="1136" t="s">
        <v>883</v>
      </c>
      <c r="C36" s="1142">
        <f>IF(C35=0,0,C35*C26/2000)</f>
        <v>0</v>
      </c>
      <c r="D36" s="1138"/>
      <c r="E36" s="1138"/>
      <c r="F36" s="1138"/>
      <c r="G36" s="1138"/>
      <c r="H36" s="1139"/>
      <c r="I36" s="1138"/>
      <c r="J36" s="1138"/>
      <c r="K36" s="1070"/>
      <c r="L36" s="1071"/>
      <c r="M36" s="1071"/>
      <c r="N36" s="1071"/>
      <c r="O36" s="1070"/>
      <c r="P36" s="1070"/>
    </row>
    <row r="37" spans="1:18" ht="15" customHeight="1" thickBot="1">
      <c r="A37" s="1070"/>
      <c r="B37" s="1143"/>
      <c r="C37" s="1144"/>
      <c r="D37" s="1144"/>
      <c r="E37" s="1144"/>
      <c r="F37" s="1144"/>
      <c r="G37" s="1144"/>
      <c r="H37" s="1139"/>
      <c r="I37" s="1138"/>
      <c r="J37" s="1138"/>
      <c r="K37" s="1070"/>
      <c r="L37" s="1071"/>
      <c r="M37" s="1071"/>
      <c r="N37" s="1071"/>
      <c r="O37" s="1070"/>
      <c r="P37" s="1070"/>
    </row>
    <row r="38" spans="1:18" ht="15" customHeight="1" thickBot="1">
      <c r="A38" s="1070"/>
      <c r="B38" s="1145"/>
      <c r="C38" s="1070"/>
      <c r="D38" s="1070"/>
      <c r="E38" s="1070"/>
      <c r="F38" s="1070"/>
      <c r="G38" s="1070"/>
      <c r="H38" s="1070"/>
      <c r="I38" s="1070"/>
      <c r="J38" s="1070"/>
      <c r="K38" s="1070"/>
      <c r="L38" s="1071"/>
      <c r="M38" s="1071"/>
      <c r="N38" s="1071"/>
      <c r="O38" s="1070"/>
      <c r="P38" s="1070"/>
    </row>
    <row r="39" spans="1:18" ht="47.15" customHeight="1" thickBot="1">
      <c r="A39" s="1070"/>
      <c r="B39" s="1146" t="s">
        <v>1187</v>
      </c>
      <c r="C39" s="1147" t="s">
        <v>42</v>
      </c>
      <c r="D39" s="1070"/>
      <c r="E39" s="1070"/>
      <c r="F39" s="1070"/>
      <c r="G39" s="1070"/>
      <c r="H39" s="1070"/>
      <c r="I39" s="1070"/>
      <c r="J39" s="1070"/>
      <c r="K39" s="1070"/>
      <c r="L39" s="1071"/>
      <c r="M39" s="1071"/>
      <c r="N39" s="1071"/>
      <c r="O39" s="1070"/>
      <c r="P39" s="1070"/>
    </row>
    <row r="40" spans="1:18" ht="15" customHeight="1" thickBot="1">
      <c r="A40" s="1070"/>
      <c r="B40" s="1145"/>
      <c r="C40" s="1070"/>
      <c r="D40" s="1070"/>
      <c r="E40" s="1070"/>
      <c r="F40" s="1070"/>
      <c r="G40" s="1070"/>
      <c r="H40" s="1070"/>
      <c r="I40" s="1070"/>
      <c r="J40" s="1070"/>
      <c r="K40" s="1070"/>
      <c r="L40" s="1071"/>
      <c r="M40" s="1071"/>
      <c r="N40" s="1071"/>
      <c r="O40" s="1070"/>
      <c r="P40" s="1070"/>
    </row>
    <row r="41" spans="1:18" ht="15" customHeight="1">
      <c r="A41" s="1070"/>
      <c r="B41" s="1148" t="s">
        <v>884</v>
      </c>
      <c r="C41" s="1076"/>
      <c r="D41" s="1075"/>
      <c r="E41" s="1075"/>
      <c r="F41" s="1075"/>
      <c r="G41" s="1075"/>
      <c r="H41" s="1075"/>
      <c r="I41" s="1075"/>
      <c r="J41" s="1075"/>
      <c r="K41" s="1075"/>
      <c r="L41" s="1078"/>
      <c r="M41" s="1078"/>
      <c r="N41" s="1078"/>
      <c r="O41" s="1075"/>
      <c r="P41" s="1079"/>
    </row>
    <row r="42" spans="1:18" ht="15" customHeight="1">
      <c r="A42" s="1070"/>
      <c r="B42" s="1081"/>
      <c r="C42" s="1070"/>
      <c r="D42" s="1149"/>
      <c r="E42" s="1150" t="s">
        <v>885</v>
      </c>
      <c r="F42" s="1151"/>
      <c r="G42" s="1070"/>
      <c r="H42" s="1070"/>
      <c r="I42" s="1070"/>
      <c r="J42" s="1070"/>
      <c r="K42" s="1070"/>
      <c r="L42" s="1071"/>
      <c r="M42" s="1071"/>
      <c r="N42" s="1071"/>
      <c r="O42" s="1070"/>
      <c r="P42" s="1082"/>
    </row>
    <row r="43" spans="1:18" ht="78">
      <c r="A43" s="1152"/>
      <c r="B43" s="1153"/>
      <c r="C43" s="1154" t="s">
        <v>886</v>
      </c>
      <c r="D43" s="1155" t="s">
        <v>1188</v>
      </c>
      <c r="E43" s="1154" t="s">
        <v>1189</v>
      </c>
      <c r="F43" s="1156" t="s">
        <v>1190</v>
      </c>
      <c r="G43" s="1157" t="s">
        <v>887</v>
      </c>
      <c r="H43" s="1158" t="s">
        <v>888</v>
      </c>
      <c r="I43" s="1157" t="s">
        <v>889</v>
      </c>
      <c r="J43" s="1159" t="s">
        <v>890</v>
      </c>
      <c r="K43" s="1160" t="s">
        <v>891</v>
      </c>
      <c r="L43" s="1154" t="s">
        <v>892</v>
      </c>
      <c r="M43" s="1161" t="s">
        <v>1191</v>
      </c>
      <c r="N43" s="1162" t="s">
        <v>893</v>
      </c>
      <c r="O43" s="1159" t="s">
        <v>22</v>
      </c>
      <c r="P43" s="1163" t="s">
        <v>23</v>
      </c>
    </row>
    <row r="44" spans="1:18" ht="15" customHeight="1">
      <c r="A44" s="1070"/>
      <c r="B44" s="1164" t="s">
        <v>1</v>
      </c>
      <c r="C44" s="1086">
        <v>0.62</v>
      </c>
      <c r="D44" s="1165">
        <v>0.12</v>
      </c>
      <c r="E44" s="1166">
        <v>0.11799999999999999</v>
      </c>
      <c r="F44" s="1165">
        <v>2.9600000000000001E-2</v>
      </c>
      <c r="G44" s="1167">
        <f>IF($C$27="4 Stroke, Lean-Burn",E44,IF($C$27="2 Stroke",D44,F44))</f>
        <v>0.11799999999999999</v>
      </c>
      <c r="H44" s="1167">
        <f>IF(C44=0,G44,C44)</f>
        <v>0.62</v>
      </c>
      <c r="I44" s="1168" t="str">
        <f>IF(C44=0,"lb/MMBtu","g/hp-hr")</f>
        <v>g/hp-hr</v>
      </c>
      <c r="J44" s="1169">
        <f>IF(I44="g/hp-hr",H44*$C$24/453.59,H44*$C$25*$C$24/1000000)</f>
        <v>4.0076721268105562</v>
      </c>
      <c r="K44" s="1170">
        <f>J44*$C$26/2000</f>
        <v>1.001918031702639</v>
      </c>
      <c r="L44" s="1171">
        <v>0</v>
      </c>
      <c r="M44" s="1172">
        <v>0.8</v>
      </c>
      <c r="N44" s="1173">
        <f>IF(L44=0,M44,L44)</f>
        <v>0.8</v>
      </c>
      <c r="O44" s="1170">
        <f>IF(L44&gt;0,J44*(100-L44)/100,IF(M44=0,J44,M44*$C$24/453.59))+IF(OR(C39="No", C39=""), O50, 0)</f>
        <v>5.1711898410458783</v>
      </c>
      <c r="P44" s="1174">
        <f t="shared" ref="P44:P54" si="0">O44*$C$26/2000</f>
        <v>1.2927974602614696</v>
      </c>
      <c r="R44">
        <f>M44*C24/453.59</f>
        <v>5.1711898410458783</v>
      </c>
    </row>
    <row r="45" spans="1:18" ht="15" customHeight="1">
      <c r="A45" s="1070"/>
      <c r="B45" s="1164" t="s">
        <v>21</v>
      </c>
      <c r="C45" s="1175">
        <v>1</v>
      </c>
      <c r="D45" s="1166">
        <v>3.17</v>
      </c>
      <c r="E45" s="1176">
        <v>4.08</v>
      </c>
      <c r="F45" s="1166">
        <v>2.21</v>
      </c>
      <c r="G45" s="1167">
        <f t="shared" ref="G45:G54" si="1">IF($C$27="4 Stroke, Lean-Burn",E45,IF($C$27="2 Stroke",D45,F45))</f>
        <v>4.08</v>
      </c>
      <c r="H45" s="1167">
        <f t="shared" ref="H45:H54" si="2">IF(C45=0,G45,C45)</f>
        <v>1</v>
      </c>
      <c r="I45" s="1168" t="str">
        <f t="shared" ref="I45:I54" si="3">IF(C45=0,"lb/MMBtu","g/hp-hr")</f>
        <v>g/hp-hr</v>
      </c>
      <c r="J45" s="1170">
        <f t="shared" ref="J45:J54" si="4">IF(I45="g/hp-hr",H45*$C$24/453.59,H45*$C$25*$C$24/1000000)</f>
        <v>6.4639873013073483</v>
      </c>
      <c r="K45" s="1170">
        <f>J45*$C$26/2000</f>
        <v>1.6159968253268371</v>
      </c>
      <c r="L45" s="1171">
        <v>0</v>
      </c>
      <c r="M45" s="1177">
        <v>0.5</v>
      </c>
      <c r="N45" s="1173">
        <f t="shared" ref="N45:N54" si="5">IF(L45=0,M45,L45)</f>
        <v>0.5</v>
      </c>
      <c r="O45" s="1170">
        <f>IF(L45&gt;0,J45*(100-L45)/100,IF(M45=0,J45,M45*$C$24/453.59))</f>
        <v>3.2319936506536742</v>
      </c>
      <c r="P45" s="1174">
        <f t="shared" si="0"/>
        <v>0.80799841266341854</v>
      </c>
      <c r="R45" s="1195">
        <f>R44+O50</f>
        <v>6.7871866663727154</v>
      </c>
    </row>
    <row r="46" spans="1:18" ht="13">
      <c r="A46" s="1070"/>
      <c r="B46" s="1164" t="s">
        <v>0</v>
      </c>
      <c r="C46" s="1086">
        <v>1.68</v>
      </c>
      <c r="D46" s="1166">
        <v>0.38600000000000001</v>
      </c>
      <c r="E46" s="1176">
        <v>0.317</v>
      </c>
      <c r="F46" s="1166">
        <v>3.72</v>
      </c>
      <c r="G46" s="1167">
        <f t="shared" si="1"/>
        <v>0.317</v>
      </c>
      <c r="H46" s="1167">
        <f t="shared" si="2"/>
        <v>1.68</v>
      </c>
      <c r="I46" s="1168" t="str">
        <f t="shared" si="3"/>
        <v>g/hp-hr</v>
      </c>
      <c r="J46" s="1170">
        <f t="shared" si="4"/>
        <v>10.859498666196346</v>
      </c>
      <c r="K46" s="1170">
        <f t="shared" ref="K46:K54" si="6">J46*$C$26/2000</f>
        <v>2.7148746665490866</v>
      </c>
      <c r="L46" s="1171"/>
      <c r="M46" s="1172">
        <v>2.1800000000000002</v>
      </c>
      <c r="N46" s="1173">
        <f t="shared" si="5"/>
        <v>2.1800000000000002</v>
      </c>
      <c r="O46" s="1170">
        <f t="shared" ref="O46:O54" si="7">IF(L46&gt;0,J46*(100-L46)/100,IF(M46=0,J46,M46*$C$24/453.59))</f>
        <v>14.091492316850021</v>
      </c>
      <c r="P46" s="1174">
        <f t="shared" si="0"/>
        <v>3.5228730792125051</v>
      </c>
    </row>
    <row r="47" spans="1:18" ht="15">
      <c r="A47" s="1070"/>
      <c r="B47" s="1164" t="s">
        <v>1192</v>
      </c>
      <c r="C47" s="1086"/>
      <c r="D47" s="1166">
        <f>0.0384+0.00991</f>
        <v>4.8309999999999999E-2</v>
      </c>
      <c r="E47" s="1176">
        <f>0.0000771+0.00991</f>
        <v>9.9871000000000005E-3</v>
      </c>
      <c r="F47" s="1166">
        <f>0.0095+0.00991</f>
        <v>1.941E-2</v>
      </c>
      <c r="G47" s="1167">
        <f t="shared" si="1"/>
        <v>9.9871000000000005E-3</v>
      </c>
      <c r="H47" s="1167">
        <f t="shared" si="2"/>
        <v>9.9871000000000005E-3</v>
      </c>
      <c r="I47" s="1168" t="str">
        <f t="shared" si="3"/>
        <v>lb/MMBtu</v>
      </c>
      <c r="J47" s="1170">
        <f t="shared" si="4"/>
        <v>0.17626292712600003</v>
      </c>
      <c r="K47" s="1170">
        <f t="shared" si="6"/>
        <v>4.4065731781500007E-2</v>
      </c>
      <c r="L47" s="1171"/>
      <c r="M47" s="1171"/>
      <c r="N47" s="1173">
        <f t="shared" si="5"/>
        <v>0</v>
      </c>
      <c r="O47" s="1170">
        <f t="shared" si="7"/>
        <v>0.17626292712600003</v>
      </c>
      <c r="P47" s="1174">
        <f t="shared" si="0"/>
        <v>4.4065731781500007E-2</v>
      </c>
    </row>
    <row r="48" spans="1:18" ht="15" customHeight="1">
      <c r="A48" s="1070"/>
      <c r="B48" s="1164" t="s">
        <v>1193</v>
      </c>
      <c r="C48" s="1086"/>
      <c r="D48" s="1166">
        <f>0.0384+0.00991</f>
        <v>4.8309999999999999E-2</v>
      </c>
      <c r="E48" s="1176">
        <f>0.0000771+0.00991</f>
        <v>9.9871000000000005E-3</v>
      </c>
      <c r="F48" s="1166">
        <f>0.0095+0.00991</f>
        <v>1.941E-2</v>
      </c>
      <c r="G48" s="1167">
        <f t="shared" si="1"/>
        <v>9.9871000000000005E-3</v>
      </c>
      <c r="H48" s="1167">
        <f t="shared" si="2"/>
        <v>9.9871000000000005E-3</v>
      </c>
      <c r="I48" s="1168" t="str">
        <f t="shared" si="3"/>
        <v>lb/MMBtu</v>
      </c>
      <c r="J48" s="1169">
        <f t="shared" si="4"/>
        <v>0.17626292712600003</v>
      </c>
      <c r="K48" s="1170">
        <f>J48*$C$26/2000</f>
        <v>4.4065731781500007E-2</v>
      </c>
      <c r="L48" s="1171"/>
      <c r="M48" s="1171"/>
      <c r="N48" s="1173">
        <f t="shared" si="5"/>
        <v>0</v>
      </c>
      <c r="O48" s="1170">
        <f t="shared" si="7"/>
        <v>0.17626292712600003</v>
      </c>
      <c r="P48" s="1174">
        <f t="shared" si="0"/>
        <v>4.4065731781500007E-2</v>
      </c>
    </row>
    <row r="49" spans="1:18" ht="15" customHeight="1">
      <c r="B49" s="1178" t="s">
        <v>894</v>
      </c>
      <c r="C49" s="1179"/>
      <c r="D49" s="1180">
        <v>5.8799999999999998E-4</v>
      </c>
      <c r="E49" s="1181">
        <v>5.8799999999999998E-4</v>
      </c>
      <c r="F49" s="1180">
        <v>5.8799999999999998E-4</v>
      </c>
      <c r="G49" s="1167">
        <f t="shared" si="1"/>
        <v>5.8799999999999998E-4</v>
      </c>
      <c r="H49" s="1167">
        <f t="shared" si="2"/>
        <v>5.8799999999999998E-4</v>
      </c>
      <c r="I49" s="1168" t="str">
        <f t="shared" si="3"/>
        <v>lb/MMBtu</v>
      </c>
      <c r="J49" s="1169">
        <f t="shared" si="4"/>
        <v>1.0377647279999999E-2</v>
      </c>
      <c r="K49" s="1170">
        <f t="shared" si="6"/>
        <v>2.5944118199999998E-3</v>
      </c>
      <c r="L49" s="1171"/>
      <c r="M49" s="1171"/>
      <c r="N49" s="1173">
        <f t="shared" si="5"/>
        <v>0</v>
      </c>
      <c r="O49" s="1170">
        <f t="shared" si="7"/>
        <v>1.0377647279999999E-2</v>
      </c>
      <c r="P49" s="1174">
        <f t="shared" si="0"/>
        <v>2.5944118199999998E-3</v>
      </c>
    </row>
    <row r="50" spans="1:18" ht="13">
      <c r="B50" s="1164" t="s">
        <v>895</v>
      </c>
      <c r="C50" s="1086">
        <v>0.25</v>
      </c>
      <c r="D50" s="1166">
        <v>5.5199999999999999E-2</v>
      </c>
      <c r="E50" s="1176">
        <v>5.28E-2</v>
      </c>
      <c r="F50" s="1166">
        <v>2.0500000000000001E-2</v>
      </c>
      <c r="G50" s="1167">
        <f t="shared" si="1"/>
        <v>5.28E-2</v>
      </c>
      <c r="H50" s="1167">
        <f t="shared" si="2"/>
        <v>0.25</v>
      </c>
      <c r="I50" s="1168" t="str">
        <f t="shared" si="3"/>
        <v>g/hp-hr</v>
      </c>
      <c r="J50" s="1169">
        <f t="shared" si="4"/>
        <v>1.6159968253268371</v>
      </c>
      <c r="K50" s="1170">
        <f t="shared" si="6"/>
        <v>0.40399920633170927</v>
      </c>
      <c r="L50" s="1171"/>
      <c r="M50" s="1171"/>
      <c r="N50" s="1173">
        <f t="shared" si="5"/>
        <v>0</v>
      </c>
      <c r="O50" s="1170">
        <f t="shared" si="7"/>
        <v>1.6159968253268371</v>
      </c>
      <c r="P50" s="1174">
        <f t="shared" si="0"/>
        <v>0.40399920633170927</v>
      </c>
    </row>
    <row r="51" spans="1:18" ht="13">
      <c r="B51" s="1164" t="s">
        <v>11</v>
      </c>
      <c r="C51" s="1086"/>
      <c r="D51" s="1166">
        <v>1.9400000000000001E-3</v>
      </c>
      <c r="E51" s="1166">
        <v>4.0400000000000001E-4</v>
      </c>
      <c r="F51" s="1166">
        <v>1.58E-3</v>
      </c>
      <c r="G51" s="1167">
        <f t="shared" si="1"/>
        <v>4.0400000000000001E-4</v>
      </c>
      <c r="H51" s="1167">
        <f t="shared" si="2"/>
        <v>4.0400000000000001E-4</v>
      </c>
      <c r="I51" s="1168" t="str">
        <f t="shared" si="3"/>
        <v>lb/MMBtu</v>
      </c>
      <c r="J51" s="1170">
        <f t="shared" si="4"/>
        <v>7.1302202399999995E-3</v>
      </c>
      <c r="K51" s="1170">
        <f t="shared" si="6"/>
        <v>1.7825550599999999E-3</v>
      </c>
      <c r="L51" s="1171"/>
      <c r="M51" s="1171"/>
      <c r="N51" s="1173">
        <f t="shared" si="5"/>
        <v>0</v>
      </c>
      <c r="O51" s="1170">
        <f t="shared" si="7"/>
        <v>7.1302202399999995E-3</v>
      </c>
      <c r="P51" s="1174">
        <f t="shared" si="0"/>
        <v>1.7825550599999999E-3</v>
      </c>
    </row>
    <row r="52" spans="1:18" ht="13">
      <c r="B52" s="1164" t="s">
        <v>16</v>
      </c>
      <c r="C52" s="1086"/>
      <c r="D52" s="1166"/>
      <c r="E52" s="1166">
        <v>3.9700000000000003E-5</v>
      </c>
      <c r="F52" s="1166"/>
      <c r="G52" s="1167">
        <f t="shared" si="1"/>
        <v>3.9700000000000003E-5</v>
      </c>
      <c r="H52" s="1167">
        <f t="shared" si="2"/>
        <v>3.9700000000000003E-5</v>
      </c>
      <c r="I52" s="1167" t="str">
        <f t="shared" si="3"/>
        <v>lb/MMBtu</v>
      </c>
      <c r="J52" s="1170">
        <f t="shared" si="4"/>
        <v>7.0066768200000018E-4</v>
      </c>
      <c r="K52" s="1170">
        <f t="shared" si="6"/>
        <v>1.7516692050000005E-4</v>
      </c>
      <c r="L52" s="1171"/>
      <c r="M52" s="1171"/>
      <c r="N52" s="1173">
        <f t="shared" si="5"/>
        <v>0</v>
      </c>
      <c r="O52" s="1170">
        <f t="shared" si="7"/>
        <v>7.0066768200000018E-4</v>
      </c>
      <c r="P52" s="1182">
        <f t="shared" si="0"/>
        <v>1.7516692050000005E-4</v>
      </c>
    </row>
    <row r="53" spans="1:18" ht="13">
      <c r="B53" s="1164" t="s">
        <v>14</v>
      </c>
      <c r="C53" s="1086"/>
      <c r="D53" s="1166"/>
      <c r="E53" s="1166">
        <v>4.08E-4</v>
      </c>
      <c r="F53" s="1166"/>
      <c r="G53" s="1167">
        <f t="shared" si="1"/>
        <v>4.08E-4</v>
      </c>
      <c r="H53" s="1167">
        <f t="shared" si="2"/>
        <v>4.08E-4</v>
      </c>
      <c r="I53" s="1167" t="str">
        <f t="shared" si="3"/>
        <v>lb/MMBtu</v>
      </c>
      <c r="J53" s="1170">
        <f t="shared" si="4"/>
        <v>7.2008164800000003E-3</v>
      </c>
      <c r="K53" s="1170">
        <f t="shared" si="6"/>
        <v>1.8002041200000001E-3</v>
      </c>
      <c r="L53" s="1171"/>
      <c r="M53" s="1171"/>
      <c r="N53" s="1173">
        <f t="shared" si="5"/>
        <v>0</v>
      </c>
      <c r="O53" s="1170">
        <f t="shared" si="7"/>
        <v>7.2008164800000003E-3</v>
      </c>
      <c r="P53" s="1182">
        <f t="shared" si="0"/>
        <v>1.8002041200000001E-3</v>
      </c>
    </row>
    <row r="54" spans="1:18" s="1070" customFormat="1" ht="13">
      <c r="A54"/>
      <c r="B54" s="1164" t="s">
        <v>451</v>
      </c>
      <c r="C54" s="1086"/>
      <c r="D54" s="1166"/>
      <c r="E54" s="1166">
        <v>1.84E-4</v>
      </c>
      <c r="F54" s="1166"/>
      <c r="G54" s="1167">
        <f t="shared" si="1"/>
        <v>1.84E-4</v>
      </c>
      <c r="H54" s="1167">
        <f t="shared" si="2"/>
        <v>1.84E-4</v>
      </c>
      <c r="I54" s="1167" t="str">
        <f t="shared" si="3"/>
        <v>lb/MMBtu</v>
      </c>
      <c r="J54" s="1170">
        <f t="shared" si="4"/>
        <v>3.2474270400000001E-3</v>
      </c>
      <c r="K54" s="1170">
        <f t="shared" si="6"/>
        <v>8.1185676000000001E-4</v>
      </c>
      <c r="L54" s="1171"/>
      <c r="M54" s="1171"/>
      <c r="N54" s="1173">
        <f t="shared" si="5"/>
        <v>0</v>
      </c>
      <c r="O54" s="1170">
        <f t="shared" si="7"/>
        <v>3.2474270400000001E-3</v>
      </c>
      <c r="P54" s="1182">
        <f t="shared" si="0"/>
        <v>8.1185676000000001E-4</v>
      </c>
      <c r="Q54"/>
      <c r="R54"/>
    </row>
    <row r="55" spans="1:18" s="1070" customFormat="1" ht="13">
      <c r="A55" s="47"/>
      <c r="B55" s="1164" t="s">
        <v>290</v>
      </c>
      <c r="C55" s="1086">
        <v>413</v>
      </c>
      <c r="D55" s="1166"/>
      <c r="E55" s="1166"/>
      <c r="F55" s="1166"/>
      <c r="G55" s="1167">
        <f>IF($C$27="4 Stroke, Lean-Burn",E55,IF($C$27="2 Stroke",D55,F55))</f>
        <v>0</v>
      </c>
      <c r="H55" s="1167">
        <f>IF(C55=0,G55,C55)</f>
        <v>413</v>
      </c>
      <c r="I55" s="1167" t="str">
        <f>IF(C55=0,"lb/MMBtu","g/hp-hr")</f>
        <v>g/hp-hr</v>
      </c>
      <c r="J55" s="1170">
        <f>IF(I55="g/hp-hr",H55*$C$24/453.59,H55*$C$25*$C$24/1000000)</f>
        <v>2669.6267554399351</v>
      </c>
      <c r="K55" s="1170">
        <f>J55*$C$26/2000</f>
        <v>667.40668885998377</v>
      </c>
      <c r="L55" s="1171"/>
      <c r="M55" s="1171">
        <v>379</v>
      </c>
      <c r="N55" s="1173">
        <f>IF(L55=0,M55,L55)</f>
        <v>379</v>
      </c>
      <c r="O55" s="1170">
        <f>IF(L55&gt;0,J55*(100-L55)/100,IF(M55=0,J55,M55*$C$24/453.59))</f>
        <v>2449.8511871954852</v>
      </c>
      <c r="P55" s="1182">
        <f>O55*$C$26/2000</f>
        <v>612.4627967988713</v>
      </c>
      <c r="Q55" s="47"/>
      <c r="R55" s="47"/>
    </row>
    <row r="56" spans="1:18" s="1070" customFormat="1" ht="30" customHeight="1" thickBot="1">
      <c r="A56"/>
      <c r="B56" s="1121"/>
      <c r="C56" s="1122"/>
      <c r="D56" s="1122"/>
      <c r="E56" s="1122"/>
      <c r="F56" s="1122"/>
      <c r="G56" s="1122"/>
      <c r="H56" s="1122"/>
      <c r="I56" s="1122"/>
      <c r="J56" s="1122"/>
      <c r="K56" s="1122"/>
      <c r="L56" s="1123"/>
      <c r="M56" s="1123"/>
      <c r="N56" s="1123"/>
      <c r="O56" s="1122"/>
      <c r="P56" s="1124"/>
      <c r="Q56"/>
      <c r="R56"/>
    </row>
    <row r="57" spans="1:18" s="1070" customFormat="1" ht="15" hidden="1" customHeight="1" thickBot="1">
      <c r="A57"/>
      <c r="L57" s="1071"/>
      <c r="M57" s="1071"/>
      <c r="N57" s="1071"/>
      <c r="Q57"/>
      <c r="R57"/>
    </row>
    <row r="58" spans="1:18" s="1070" customFormat="1" ht="15" hidden="1" customHeight="1">
      <c r="A58"/>
      <c r="B58" s="1183" t="s">
        <v>1194</v>
      </c>
      <c r="L58" s="1071"/>
      <c r="M58" s="1071"/>
      <c r="N58" s="1071"/>
      <c r="Q58"/>
      <c r="R58"/>
    </row>
    <row r="59" spans="1:18" s="1070" customFormat="1" ht="20" hidden="1" customHeight="1" thickBot="1">
      <c r="A59"/>
      <c r="B59" s="1184" t="s">
        <v>1195</v>
      </c>
      <c r="L59" s="1071"/>
      <c r="M59" s="1071"/>
      <c r="N59" s="1071"/>
      <c r="Q59"/>
      <c r="R59"/>
    </row>
    <row r="60" spans="1:18" s="1070" customFormat="1" ht="15" customHeight="1" thickBot="1">
      <c r="A60"/>
      <c r="C60" s="1126"/>
      <c r="D60" s="1126"/>
      <c r="E60" s="1126"/>
      <c r="F60" s="1126"/>
      <c r="G60" s="1126"/>
      <c r="H60" s="1126"/>
      <c r="I60" s="1126"/>
      <c r="J60" s="1126"/>
      <c r="K60" s="1126"/>
      <c r="L60" s="1185"/>
      <c r="M60" s="1185"/>
      <c r="N60" s="1185"/>
      <c r="O60" s="1126"/>
      <c r="P60" s="1126"/>
      <c r="Q60"/>
      <c r="R60"/>
    </row>
    <row r="61" spans="1:18" s="1070" customFormat="1" ht="14.9" customHeight="1" thickBot="1">
      <c r="A61"/>
      <c r="B61" s="1186" t="s">
        <v>915</v>
      </c>
      <c r="C61" s="5097" t="s">
        <v>1196</v>
      </c>
      <c r="D61" s="5098"/>
      <c r="E61" s="5098"/>
      <c r="F61" s="5098"/>
      <c r="G61" s="5098"/>
      <c r="H61" s="5098"/>
      <c r="I61" s="5098"/>
      <c r="J61" s="5098"/>
      <c r="K61" s="5098"/>
      <c r="L61" s="5098"/>
      <c r="M61" s="5098"/>
      <c r="N61" s="5098"/>
      <c r="O61" s="5098"/>
      <c r="P61" s="5099"/>
      <c r="Q61"/>
      <c r="R61"/>
    </row>
    <row r="62" spans="1:18" s="1070" customFormat="1" ht="13.5" thickBot="1">
      <c r="A62"/>
      <c r="B62" s="1072"/>
      <c r="C62" s="1099"/>
      <c r="D62" s="1072"/>
      <c r="E62" s="1072"/>
      <c r="F62" s="1072"/>
      <c r="G62" s="1072"/>
      <c r="H62" s="1072"/>
      <c r="I62" s="1072"/>
      <c r="J62" s="1072"/>
      <c r="K62" s="1072"/>
      <c r="L62" s="1073"/>
      <c r="M62" s="1073"/>
      <c r="N62" s="1073"/>
      <c r="O62" s="1072"/>
      <c r="P62" s="1187"/>
      <c r="Q62"/>
      <c r="R62"/>
    </row>
    <row r="63" spans="1:18" s="1070" customFormat="1" ht="13">
      <c r="A63"/>
      <c r="B63" s="1074" t="s">
        <v>849</v>
      </c>
      <c r="C63" s="1074"/>
      <c r="D63" s="1075"/>
      <c r="E63" s="1076" t="s">
        <v>850</v>
      </c>
      <c r="F63" s="1076"/>
      <c r="G63" s="1076"/>
      <c r="H63" s="1075"/>
      <c r="I63" s="1076" t="s">
        <v>851</v>
      </c>
      <c r="J63" s="1076"/>
      <c r="K63" s="1076"/>
      <c r="L63" s="1077"/>
      <c r="M63" s="1078"/>
      <c r="N63" s="1078"/>
      <c r="O63" s="1075"/>
      <c r="P63" s="1079"/>
      <c r="Q63"/>
      <c r="R63"/>
    </row>
    <row r="64" spans="1:18" s="1070" customFormat="1" ht="13">
      <c r="A64"/>
      <c r="B64" s="1080"/>
      <c r="C64" s="1081"/>
      <c r="L64" s="1071"/>
      <c r="M64" s="1071"/>
      <c r="N64" s="1071"/>
      <c r="P64" s="1082"/>
      <c r="Q64"/>
      <c r="R64"/>
    </row>
    <row r="65" spans="1:18" s="1070" customFormat="1" ht="13">
      <c r="A65"/>
      <c r="B65" s="1083" t="s">
        <v>852</v>
      </c>
      <c r="C65" s="1084" t="s">
        <v>1200</v>
      </c>
      <c r="E65" s="5101" t="s">
        <v>853</v>
      </c>
      <c r="F65" s="5102"/>
      <c r="G65" s="1090">
        <f>G7</f>
        <v>20</v>
      </c>
      <c r="I65" s="5095" t="s">
        <v>854</v>
      </c>
      <c r="J65" s="5100"/>
      <c r="K65" s="5096"/>
      <c r="L65" s="1086" t="str">
        <f>L7</f>
        <v>field gas</v>
      </c>
      <c r="M65" s="1087"/>
      <c r="N65" s="1071"/>
      <c r="P65" s="1082"/>
      <c r="Q65"/>
      <c r="R65"/>
    </row>
    <row r="66" spans="1:18" s="1070" customFormat="1" ht="13">
      <c r="A66"/>
      <c r="B66" s="1088"/>
      <c r="C66" s="1089"/>
      <c r="E66" s="5101" t="s">
        <v>855</v>
      </c>
      <c r="F66" s="5102"/>
      <c r="G66" s="1090">
        <f>G8</f>
        <v>1.1666666666666667</v>
      </c>
      <c r="I66" s="5095" t="s">
        <v>856</v>
      </c>
      <c r="J66" s="5100"/>
      <c r="K66" s="5096"/>
      <c r="L66" s="1097">
        <f>L8</f>
        <v>6019.4611186903139</v>
      </c>
      <c r="M66" s="1071"/>
      <c r="N66" s="1087"/>
      <c r="P66" s="1082"/>
      <c r="Q66"/>
      <c r="R66"/>
    </row>
    <row r="67" spans="1:18" s="1070" customFormat="1" ht="13">
      <c r="A67"/>
      <c r="B67" s="1081"/>
      <c r="C67" s="1092"/>
      <c r="E67" s="5101" t="s">
        <v>857</v>
      </c>
      <c r="F67" s="5102"/>
      <c r="G67" s="1090">
        <f>G9</f>
        <v>928</v>
      </c>
      <c r="I67" s="5095" t="s">
        <v>858</v>
      </c>
      <c r="J67" s="5100"/>
      <c r="K67" s="5096"/>
      <c r="L67" s="1086">
        <f>L9</f>
        <v>1020</v>
      </c>
      <c r="M67" s="1071"/>
      <c r="N67" s="1087"/>
      <c r="P67" s="1082"/>
      <c r="Q67"/>
      <c r="R67"/>
    </row>
    <row r="68" spans="1:18" s="1070" customFormat="1" ht="13">
      <c r="A68"/>
      <c r="B68" s="1094" t="s">
        <v>860</v>
      </c>
      <c r="C68" s="1084" t="s">
        <v>1169</v>
      </c>
      <c r="E68" s="5101" t="s">
        <v>861</v>
      </c>
      <c r="F68" s="5102"/>
      <c r="G68" s="1090">
        <f>G10</f>
        <v>219.22066822678923</v>
      </c>
      <c r="I68" s="5095" t="s">
        <v>862</v>
      </c>
      <c r="J68" s="5100"/>
      <c r="K68" s="5096"/>
      <c r="L68" s="1086">
        <f>L10</f>
        <v>850</v>
      </c>
      <c r="M68" s="1071"/>
      <c r="N68" s="1087"/>
      <c r="P68" s="1082"/>
      <c r="Q68"/>
      <c r="R68"/>
    </row>
    <row r="69" spans="1:18" s="1070" customFormat="1" ht="13">
      <c r="A69"/>
      <c r="B69" s="1094" t="s">
        <v>863</v>
      </c>
      <c r="C69" s="1096" t="s">
        <v>94</v>
      </c>
      <c r="I69" s="5095" t="s">
        <v>1170</v>
      </c>
      <c r="J69" s="5100"/>
      <c r="K69" s="5096"/>
      <c r="L69" s="1086">
        <f>L11</f>
        <v>0.25</v>
      </c>
      <c r="M69" s="1071"/>
      <c r="N69" s="1087"/>
      <c r="P69" s="1082"/>
      <c r="Q69"/>
      <c r="R69"/>
    </row>
    <row r="70" spans="1:18" s="1070" customFormat="1" ht="13">
      <c r="A70"/>
      <c r="B70" s="1081"/>
      <c r="C70" s="1081"/>
      <c r="J70" s="1098"/>
      <c r="K70" s="1098"/>
      <c r="L70" s="1071"/>
      <c r="M70" s="1071"/>
      <c r="N70" s="1087"/>
      <c r="P70" s="1082"/>
      <c r="Q70"/>
      <c r="R70"/>
    </row>
    <row r="71" spans="1:18" s="1070" customFormat="1" ht="13">
      <c r="A71"/>
      <c r="B71" s="1099" t="s">
        <v>1171</v>
      </c>
      <c r="C71" s="1100"/>
      <c r="E71" s="1072" t="s">
        <v>864</v>
      </c>
      <c r="I71" s="1101"/>
      <c r="J71" s="1102"/>
      <c r="K71" s="1102"/>
      <c r="L71" s="1071"/>
      <c r="M71" s="1071"/>
      <c r="N71" s="1087"/>
      <c r="P71" s="1082"/>
      <c r="Q71"/>
      <c r="R71"/>
    </row>
    <row r="72" spans="1:18" s="1070" customFormat="1" ht="13">
      <c r="A72"/>
      <c r="B72" s="1081"/>
      <c r="C72" s="1092"/>
      <c r="G72" s="1073" t="s">
        <v>865</v>
      </c>
      <c r="J72" s="1098"/>
      <c r="K72" s="1073"/>
      <c r="L72" s="1071"/>
      <c r="M72" s="1071"/>
      <c r="N72" s="1087"/>
      <c r="P72" s="1082"/>
      <c r="Q72"/>
      <c r="R72"/>
    </row>
    <row r="73" spans="1:18" s="1070" customFormat="1" ht="13">
      <c r="A73"/>
      <c r="B73" s="1094" t="s">
        <v>148</v>
      </c>
      <c r="C73" s="1084">
        <v>57</v>
      </c>
      <c r="E73" s="5095" t="s">
        <v>1172</v>
      </c>
      <c r="F73" s="5096"/>
      <c r="G73" s="1085" t="str">
        <f t="shared" ref="G73:G78" si="8">G15</f>
        <v>Yes</v>
      </c>
      <c r="I73" s="5095" t="s">
        <v>1173</v>
      </c>
      <c r="J73" s="5096"/>
      <c r="K73" s="1085" t="s">
        <v>42</v>
      </c>
      <c r="L73" s="1071"/>
      <c r="M73" s="1071"/>
      <c r="N73" s="1087"/>
      <c r="P73" s="1082"/>
      <c r="Q73"/>
      <c r="R73"/>
    </row>
    <row r="74" spans="1:18" s="1070" customFormat="1" ht="13">
      <c r="A74"/>
      <c r="B74" s="1094" t="s">
        <v>914</v>
      </c>
      <c r="C74" s="1103" t="s">
        <v>1197</v>
      </c>
      <c r="E74" s="5095" t="s">
        <v>866</v>
      </c>
      <c r="F74" s="5096"/>
      <c r="G74" s="1085" t="str">
        <f t="shared" si="8"/>
        <v>No</v>
      </c>
      <c r="I74" s="5095" t="s">
        <v>1175</v>
      </c>
      <c r="J74" s="5096"/>
      <c r="K74" s="1085" t="s">
        <v>42</v>
      </c>
      <c r="L74" s="1071"/>
      <c r="M74" s="1071"/>
      <c r="N74" s="1087"/>
      <c r="P74" s="1082"/>
      <c r="Q74"/>
      <c r="R74"/>
    </row>
    <row r="75" spans="1:18" s="1070" customFormat="1" ht="13">
      <c r="A75"/>
      <c r="B75" s="1094" t="s">
        <v>288</v>
      </c>
      <c r="C75" s="1084" t="str">
        <f t="shared" ref="C75:C80" si="9">C17</f>
        <v>Caterpillar</v>
      </c>
      <c r="E75" s="5095" t="s">
        <v>1177</v>
      </c>
      <c r="F75" s="5096"/>
      <c r="G75" s="1085" t="str">
        <f t="shared" si="8"/>
        <v>No</v>
      </c>
      <c r="I75" s="1088"/>
      <c r="J75" s="1104"/>
      <c r="K75" s="1088"/>
      <c r="L75" s="1071"/>
      <c r="M75" s="1071"/>
      <c r="N75" s="1087"/>
      <c r="P75" s="1082"/>
      <c r="Q75"/>
      <c r="R75"/>
    </row>
    <row r="76" spans="1:18" s="1070" customFormat="1" ht="13">
      <c r="A76"/>
      <c r="B76" s="1094" t="s">
        <v>867</v>
      </c>
      <c r="C76" s="1084" t="str">
        <f t="shared" si="9"/>
        <v>3520H</v>
      </c>
      <c r="E76" s="5095" t="s">
        <v>1178</v>
      </c>
      <c r="F76" s="5096"/>
      <c r="G76" s="1085" t="str">
        <f t="shared" si="8"/>
        <v>No</v>
      </c>
      <c r="L76" s="1071"/>
      <c r="M76" s="1071"/>
      <c r="N76" s="1071"/>
      <c r="P76" s="1082"/>
      <c r="Q76"/>
      <c r="R76"/>
    </row>
    <row r="77" spans="1:18" s="1070" customFormat="1" ht="13">
      <c r="A77"/>
      <c r="B77" s="1094" t="s">
        <v>868</v>
      </c>
      <c r="C77" s="1084" t="str">
        <f t="shared" si="9"/>
        <v>TBD</v>
      </c>
      <c r="E77" s="5095" t="s">
        <v>1179</v>
      </c>
      <c r="F77" s="5096"/>
      <c r="G77" s="1085" t="str">
        <f t="shared" si="8"/>
        <v>No</v>
      </c>
      <c r="L77" s="1071"/>
      <c r="M77" s="1071"/>
      <c r="N77" s="1071"/>
      <c r="P77" s="1082"/>
      <c r="Q77"/>
      <c r="R77"/>
    </row>
    <row r="78" spans="1:18" s="1070" customFormat="1" ht="13">
      <c r="A78"/>
      <c r="B78" s="1094" t="s">
        <v>869</v>
      </c>
      <c r="C78" s="1084" t="str">
        <f t="shared" si="9"/>
        <v>TBD</v>
      </c>
      <c r="E78" s="5095" t="s">
        <v>1180</v>
      </c>
      <c r="F78" s="5096"/>
      <c r="G78" s="1085" t="str">
        <f t="shared" si="8"/>
        <v>Lean Operation</v>
      </c>
      <c r="L78" s="1071"/>
      <c r="M78" s="1071"/>
      <c r="N78" s="1071"/>
      <c r="P78" s="1082"/>
      <c r="Q78"/>
      <c r="R78"/>
    </row>
    <row r="79" spans="1:18" s="1070" customFormat="1" ht="13.5" thickBot="1">
      <c r="A79"/>
      <c r="B79" s="1106" t="s">
        <v>870</v>
      </c>
      <c r="C79" s="1084" t="str">
        <f t="shared" si="9"/>
        <v>NA</v>
      </c>
      <c r="L79" s="1071"/>
      <c r="M79" s="1071"/>
      <c r="N79" s="1071"/>
      <c r="P79" s="1082"/>
      <c r="Q79"/>
      <c r="R79"/>
    </row>
    <row r="80" spans="1:18" s="1070" customFormat="1" ht="13.5" thickTop="1">
      <c r="A80"/>
      <c r="B80" s="1094" t="s">
        <v>1182</v>
      </c>
      <c r="C80" s="1084" t="str">
        <f t="shared" si="9"/>
        <v>variable</v>
      </c>
      <c r="E80" s="1107" t="s">
        <v>871</v>
      </c>
      <c r="F80" s="1108"/>
      <c r="G80" s="1108"/>
      <c r="H80" s="1108"/>
      <c r="I80" s="1108"/>
      <c r="J80" s="1108"/>
      <c r="K80" s="1108"/>
      <c r="L80" s="1109"/>
      <c r="M80" s="1109"/>
      <c r="N80" s="1109"/>
      <c r="O80" s="1110"/>
      <c r="P80" s="1082"/>
      <c r="Q80"/>
      <c r="R80"/>
    </row>
    <row r="81" spans="1:18" s="1070" customFormat="1" ht="13">
      <c r="A81"/>
      <c r="B81" s="1081"/>
      <c r="C81" s="1081"/>
      <c r="E81" s="1111"/>
      <c r="F81" s="1072"/>
      <c r="G81" s="1072"/>
      <c r="H81" s="1072"/>
      <c r="I81" s="1072"/>
      <c r="J81" s="1072"/>
      <c r="K81" s="1072"/>
      <c r="L81" s="1073"/>
      <c r="M81" s="1073"/>
      <c r="N81" s="1073"/>
      <c r="O81" s="1112"/>
      <c r="P81" s="1082"/>
      <c r="Q81"/>
      <c r="R81"/>
    </row>
    <row r="82" spans="1:18" s="1070" customFormat="1" ht="13">
      <c r="A82"/>
      <c r="B82" s="1094" t="s">
        <v>872</v>
      </c>
      <c r="C82" s="1113">
        <f>C24</f>
        <v>2932</v>
      </c>
      <c r="E82" s="1111" t="s">
        <v>873</v>
      </c>
      <c r="F82" s="1072"/>
      <c r="G82" s="1072"/>
      <c r="H82" s="1072"/>
      <c r="I82" s="1072"/>
      <c r="J82" s="1072"/>
      <c r="K82" s="1072"/>
      <c r="L82" s="1073"/>
      <c r="M82" s="1073"/>
      <c r="N82" s="1073"/>
      <c r="O82" s="1112"/>
      <c r="P82" s="1082"/>
      <c r="Q82"/>
      <c r="R82"/>
    </row>
    <row r="83" spans="1:18" s="1070" customFormat="1" ht="13">
      <c r="A83"/>
      <c r="B83" s="1106" t="s">
        <v>874</v>
      </c>
      <c r="C83" s="1113">
        <f>C25</f>
        <v>6019.4611186903139</v>
      </c>
      <c r="E83" s="1114" t="s">
        <v>875</v>
      </c>
      <c r="F83" s="1072"/>
      <c r="G83" s="1072"/>
      <c r="H83" s="1072"/>
      <c r="I83" s="1072"/>
      <c r="J83" s="1072"/>
      <c r="K83" s="1072"/>
      <c r="L83" s="1073"/>
      <c r="M83" s="1073"/>
      <c r="N83" s="1073"/>
      <c r="O83" s="1112"/>
      <c r="P83" s="1082"/>
      <c r="Q83"/>
      <c r="R83"/>
    </row>
    <row r="84" spans="1:18" s="1070" customFormat="1" ht="13.5" thickBot="1">
      <c r="A84"/>
      <c r="B84" s="1094" t="s">
        <v>876</v>
      </c>
      <c r="C84" s="1113">
        <f>C26</f>
        <v>500</v>
      </c>
      <c r="E84" s="1116" t="s">
        <v>877</v>
      </c>
      <c r="F84" s="1117"/>
      <c r="G84" s="1117"/>
      <c r="H84" s="1117"/>
      <c r="I84" s="1117"/>
      <c r="J84" s="1117"/>
      <c r="K84" s="1117"/>
      <c r="L84" s="1118"/>
      <c r="M84" s="1118"/>
      <c r="N84" s="1118"/>
      <c r="O84" s="1119"/>
      <c r="P84" s="1082"/>
      <c r="Q84"/>
      <c r="R84"/>
    </row>
    <row r="85" spans="1:18" s="1070" customFormat="1" ht="13.5" thickTop="1">
      <c r="A85"/>
      <c r="B85" s="1106" t="s">
        <v>1184</v>
      </c>
      <c r="C85" s="1113" t="str">
        <f>C27</f>
        <v>4 Stroke, Lean-Burn</v>
      </c>
      <c r="L85" s="1071"/>
      <c r="M85" s="1071"/>
      <c r="N85" s="1071"/>
      <c r="P85" s="1082"/>
      <c r="Q85"/>
      <c r="R85"/>
    </row>
    <row r="86" spans="1:18" s="1070" customFormat="1" ht="13.5" thickBot="1">
      <c r="A86"/>
      <c r="B86" s="1120"/>
      <c r="C86" s="1121"/>
      <c r="D86" s="1122"/>
      <c r="E86" s="1122"/>
      <c r="F86" s="1122"/>
      <c r="G86" s="1122"/>
      <c r="H86" s="1122"/>
      <c r="I86" s="1122"/>
      <c r="J86" s="1122"/>
      <c r="K86" s="1122"/>
      <c r="L86" s="1123"/>
      <c r="M86" s="1123"/>
      <c r="N86" s="1123"/>
      <c r="O86" s="1122"/>
      <c r="P86" s="1124"/>
      <c r="Q86"/>
      <c r="R86"/>
    </row>
    <row r="87" spans="1:18" s="1070" customFormat="1" ht="13.5" thickBot="1">
      <c r="A87"/>
      <c r="B87" s="1125"/>
      <c r="C87" s="1126"/>
      <c r="D87" s="1126"/>
      <c r="E87" s="1126"/>
      <c r="F87" s="1126"/>
      <c r="G87" s="1126"/>
      <c r="H87" s="1075"/>
      <c r="I87" s="1075"/>
      <c r="J87" s="1075"/>
      <c r="K87" s="1075"/>
      <c r="L87" s="1078"/>
      <c r="M87" s="1078"/>
      <c r="N87" s="1078"/>
      <c r="O87" s="1075"/>
      <c r="Q87"/>
      <c r="R87"/>
    </row>
    <row r="88" spans="1:18" s="1070" customFormat="1" ht="28">
      <c r="A88"/>
      <c r="B88" s="1127" t="s">
        <v>1186</v>
      </c>
      <c r="C88" s="1128"/>
      <c r="D88" s="1129"/>
      <c r="E88" s="1129"/>
      <c r="F88" s="1129"/>
      <c r="G88" s="1129"/>
      <c r="H88" s="1130"/>
      <c r="I88" s="1129"/>
      <c r="J88" s="1129"/>
      <c r="L88" s="1071"/>
      <c r="M88" s="1071"/>
      <c r="N88" s="1071"/>
      <c r="Q88"/>
      <c r="R88"/>
    </row>
    <row r="89" spans="1:18" s="1070" customFormat="1" ht="13">
      <c r="A89"/>
      <c r="B89" s="1130"/>
      <c r="C89" s="1129"/>
      <c r="D89" s="1129"/>
      <c r="E89" s="1129"/>
      <c r="F89" s="1129"/>
      <c r="G89" s="1129"/>
      <c r="H89" s="1130"/>
      <c r="I89" s="1129"/>
      <c r="J89" s="1129"/>
      <c r="L89" s="1071"/>
      <c r="M89" s="1071"/>
      <c r="N89" s="1071"/>
      <c r="Q89"/>
      <c r="R89"/>
    </row>
    <row r="90" spans="1:18" s="1070" customFormat="1" ht="15.5">
      <c r="A90"/>
      <c r="B90" s="1131" t="s">
        <v>878</v>
      </c>
      <c r="C90" s="1132">
        <v>850</v>
      </c>
      <c r="D90" s="1129"/>
      <c r="E90" s="1133" t="s">
        <v>880</v>
      </c>
      <c r="F90" s="1134">
        <v>64.06</v>
      </c>
      <c r="G90" s="1135" t="s">
        <v>881</v>
      </c>
      <c r="H90" s="1130"/>
      <c r="I90" s="1129"/>
      <c r="J90" s="1129"/>
      <c r="L90" s="1071"/>
      <c r="M90" s="1071"/>
      <c r="N90" s="1071"/>
      <c r="Q90"/>
      <c r="R90"/>
    </row>
    <row r="91" spans="1:18" s="1070" customFormat="1" ht="15">
      <c r="A91"/>
      <c r="B91" s="1136" t="s">
        <v>879</v>
      </c>
      <c r="C91" s="1137">
        <v>0</v>
      </c>
      <c r="D91" s="1138"/>
      <c r="E91" s="1135" t="s">
        <v>595</v>
      </c>
      <c r="F91" s="1134">
        <v>378.61</v>
      </c>
      <c r="G91" s="1135" t="s">
        <v>596</v>
      </c>
      <c r="H91" s="1139"/>
      <c r="I91" s="1138"/>
      <c r="J91" s="1138"/>
      <c r="L91" s="1071"/>
      <c r="M91" s="1071"/>
      <c r="N91" s="1071"/>
      <c r="Q91"/>
      <c r="R91"/>
    </row>
    <row r="92" spans="1:18" s="1070" customFormat="1" ht="13">
      <c r="A92"/>
      <c r="B92" s="1140"/>
      <c r="C92" s="1141"/>
      <c r="D92" s="1138"/>
      <c r="H92" s="1139"/>
      <c r="I92" s="1138"/>
      <c r="J92" s="1138"/>
      <c r="L92" s="1071"/>
      <c r="M92" s="1071"/>
      <c r="N92" s="1071"/>
      <c r="Q92"/>
      <c r="R92"/>
    </row>
    <row r="93" spans="1:18" s="1070" customFormat="1" ht="15">
      <c r="A93"/>
      <c r="B93" s="1131" t="s">
        <v>882</v>
      </c>
      <c r="C93" s="1142">
        <f>IF(C90=0,0,C83*C82*F90*C91/(C90*F91*100))</f>
        <v>0</v>
      </c>
      <c r="D93" s="1138"/>
      <c r="E93" s="1138"/>
      <c r="F93" s="1138"/>
      <c r="G93" s="1138"/>
      <c r="H93" s="1139"/>
      <c r="I93" s="1138"/>
      <c r="J93" s="1138"/>
      <c r="L93" s="1071"/>
      <c r="M93" s="1071"/>
      <c r="N93" s="1071"/>
      <c r="Q93"/>
      <c r="R93"/>
    </row>
    <row r="94" spans="1:18" s="1070" customFormat="1" ht="15">
      <c r="A94"/>
      <c r="B94" s="1136" t="s">
        <v>883</v>
      </c>
      <c r="C94" s="1142">
        <f>IF(C93=0,0,C93*C84/2000)</f>
        <v>0</v>
      </c>
      <c r="D94" s="1138"/>
      <c r="E94" s="1138"/>
      <c r="F94" s="1138"/>
      <c r="G94" s="1138"/>
      <c r="H94" s="1139"/>
      <c r="I94" s="1138"/>
      <c r="J94" s="1138"/>
      <c r="L94" s="1071"/>
      <c r="M94" s="1071"/>
      <c r="N94" s="1071"/>
      <c r="Q94"/>
      <c r="R94"/>
    </row>
    <row r="95" spans="1:18" s="1070" customFormat="1" ht="13.5" thickBot="1">
      <c r="A95"/>
      <c r="B95" s="1143"/>
      <c r="C95" s="1144"/>
      <c r="D95" s="1144"/>
      <c r="E95" s="1144"/>
      <c r="F95" s="1144"/>
      <c r="G95" s="1144"/>
      <c r="H95" s="1139"/>
      <c r="I95" s="1138"/>
      <c r="J95" s="1138"/>
      <c r="L95" s="1071"/>
      <c r="M95" s="1071"/>
      <c r="N95" s="1071"/>
      <c r="Q95"/>
      <c r="R95"/>
    </row>
    <row r="96" spans="1:18" s="1070" customFormat="1" ht="13.5" thickBot="1">
      <c r="A96"/>
      <c r="B96" s="1145"/>
      <c r="L96" s="1071"/>
      <c r="M96" s="1071"/>
      <c r="N96" s="1071"/>
      <c r="Q96"/>
      <c r="R96"/>
    </row>
    <row r="97" spans="1:18" s="1070" customFormat="1" ht="39.5" thickBot="1">
      <c r="A97"/>
      <c r="B97" s="1146" t="s">
        <v>1187</v>
      </c>
      <c r="C97" s="1147" t="s">
        <v>43</v>
      </c>
      <c r="L97" s="1071"/>
      <c r="M97" s="1071"/>
      <c r="N97" s="1071"/>
      <c r="Q97"/>
      <c r="R97"/>
    </row>
    <row r="98" spans="1:18" s="1070" customFormat="1" ht="13.5" thickBot="1">
      <c r="A98"/>
      <c r="B98" s="1145"/>
      <c r="L98" s="1071"/>
      <c r="M98" s="1071"/>
      <c r="N98" s="1071"/>
      <c r="Q98"/>
      <c r="R98"/>
    </row>
    <row r="99" spans="1:18" s="1070" customFormat="1" ht="13">
      <c r="A99"/>
      <c r="B99" s="1148" t="s">
        <v>884</v>
      </c>
      <c r="C99" s="1076"/>
      <c r="D99" s="1075"/>
      <c r="E99" s="1075"/>
      <c r="F99" s="1075"/>
      <c r="G99" s="1075"/>
      <c r="H99" s="1075"/>
      <c r="I99" s="1075"/>
      <c r="J99" s="1075"/>
      <c r="K99" s="1075"/>
      <c r="L99" s="1078"/>
      <c r="M99" s="1078"/>
      <c r="N99" s="1078"/>
      <c r="O99" s="1075"/>
      <c r="P99" s="1079"/>
      <c r="Q99"/>
      <c r="R99"/>
    </row>
    <row r="100" spans="1:18" s="1070" customFormat="1" ht="13">
      <c r="A100"/>
      <c r="B100" s="1081"/>
      <c r="D100" s="1149"/>
      <c r="E100" s="1150" t="s">
        <v>885</v>
      </c>
      <c r="F100" s="1151"/>
      <c r="L100" s="1071"/>
      <c r="M100" s="1071"/>
      <c r="N100" s="1071"/>
      <c r="P100" s="1082"/>
      <c r="Q100"/>
      <c r="R100"/>
    </row>
    <row r="101" spans="1:18" s="1070" customFormat="1" ht="78">
      <c r="A101"/>
      <c r="B101" s="1153"/>
      <c r="C101" s="1154" t="s">
        <v>886</v>
      </c>
      <c r="D101" s="1155" t="s">
        <v>1188</v>
      </c>
      <c r="E101" s="1154" t="s">
        <v>1189</v>
      </c>
      <c r="F101" s="1156" t="s">
        <v>1190</v>
      </c>
      <c r="G101" s="1157" t="s">
        <v>887</v>
      </c>
      <c r="H101" s="1158" t="s">
        <v>888</v>
      </c>
      <c r="I101" s="1157" t="s">
        <v>889</v>
      </c>
      <c r="J101" s="1159" t="s">
        <v>890</v>
      </c>
      <c r="K101" s="1160" t="s">
        <v>891</v>
      </c>
      <c r="L101" s="1154" t="s">
        <v>892</v>
      </c>
      <c r="M101" s="1161" t="s">
        <v>1191</v>
      </c>
      <c r="N101" s="1162" t="s">
        <v>893</v>
      </c>
      <c r="O101" s="1159" t="s">
        <v>22</v>
      </c>
      <c r="P101" s="1163" t="s">
        <v>23</v>
      </c>
      <c r="Q101"/>
      <c r="R101"/>
    </row>
    <row r="102" spans="1:18" s="1070" customFormat="1" ht="13">
      <c r="A102"/>
      <c r="B102" s="1164" t="s">
        <v>1</v>
      </c>
      <c r="C102" s="1086"/>
      <c r="D102" s="1165">
        <v>0.12</v>
      </c>
      <c r="E102" s="1166">
        <v>0.11799999999999999</v>
      </c>
      <c r="F102" s="1165">
        <v>2.9600000000000001E-2</v>
      </c>
      <c r="G102" s="1167">
        <f>IF($C$27="4 Stroke, Lean-Burn",E102,IF($C$27="2 Stroke",D102,F102))</f>
        <v>0.11799999999999999</v>
      </c>
      <c r="H102" s="1167">
        <f>IF(C102=0,G102,C102)</f>
        <v>0.11799999999999999</v>
      </c>
      <c r="I102" s="1168" t="str">
        <f>IF(C102=0,"lb/MMBtu","g/hp-hr")</f>
        <v>lb/MMBtu</v>
      </c>
      <c r="J102" s="1169">
        <f>IF(I102="g/hp-hr",H102*$C$24/453.59,H102*$C$25*$C$24/1000000)</f>
        <v>2.08258908</v>
      </c>
      <c r="K102" s="1170">
        <f>J102*$C$26/2000</f>
        <v>0.52064727</v>
      </c>
      <c r="L102" s="1171"/>
      <c r="M102" s="1172">
        <f>M44</f>
        <v>0.8</v>
      </c>
      <c r="N102" s="1173">
        <f>IF(L102=0,M102,L102)</f>
        <v>0.8</v>
      </c>
      <c r="O102" s="1170">
        <f>IF(L102&gt;0,J102*(100-L102)/100,IF(M102=0,J102,M102*$C$24/453.59))+IF(OR(C97="No", C97=""), O108, 0)</f>
        <v>6.1030602090458785</v>
      </c>
      <c r="P102" s="1174">
        <f t="shared" ref="P102:P112" si="10">O102*$C$26/2000</f>
        <v>1.5257650522614696</v>
      </c>
      <c r="Q102"/>
      <c r="R102"/>
    </row>
    <row r="103" spans="1:18" s="1070" customFormat="1" ht="13">
      <c r="A103"/>
      <c r="B103" s="1164" t="s">
        <v>21</v>
      </c>
      <c r="C103" s="1175"/>
      <c r="D103" s="1166">
        <v>3.17</v>
      </c>
      <c r="E103" s="1176">
        <v>4.08</v>
      </c>
      <c r="F103" s="1166">
        <v>2.21</v>
      </c>
      <c r="G103" s="1167">
        <f t="shared" ref="G103:G112" si="11">IF($C$27="4 Stroke, Lean-Burn",E103,IF($C$27="2 Stroke",D103,F103))</f>
        <v>4.08</v>
      </c>
      <c r="H103" s="1167">
        <f t="shared" ref="H103:H112" si="12">IF(C103=0,G103,C103)</f>
        <v>4.08</v>
      </c>
      <c r="I103" s="1168" t="str">
        <f t="shared" ref="I103:I112" si="13">IF(C103=0,"lb/MMBtu","g/hp-hr")</f>
        <v>lb/MMBtu</v>
      </c>
      <c r="J103" s="1170">
        <f t="shared" ref="J103:J112" si="14">IF(I103="g/hp-hr",H103*$C$24/453.59,H103*$C$25*$C$24/1000000)</f>
        <v>72.008164800000017</v>
      </c>
      <c r="K103" s="1170">
        <f>J103*$C$26/2000</f>
        <v>18.002041200000004</v>
      </c>
      <c r="L103" s="1171"/>
      <c r="M103" s="1172">
        <f>M45</f>
        <v>0.5</v>
      </c>
      <c r="N103" s="1173">
        <f t="shared" ref="N103:N112" si="15">IF(L103=0,M103,L103)</f>
        <v>0.5</v>
      </c>
      <c r="O103" s="1170">
        <f>IF(L103&gt;0,J103*(100-L103)/100,IF(M103=0,J103,M103*$C$24/453.59))</f>
        <v>3.2319936506536742</v>
      </c>
      <c r="P103" s="1174">
        <f t="shared" si="10"/>
        <v>0.80799841266341854</v>
      </c>
      <c r="Q103"/>
      <c r="R103"/>
    </row>
    <row r="104" spans="1:18" s="1070" customFormat="1" ht="13">
      <c r="A104"/>
      <c r="B104" s="1164" t="s">
        <v>0</v>
      </c>
      <c r="C104" s="1086"/>
      <c r="D104" s="1166">
        <v>0.38600000000000001</v>
      </c>
      <c r="E104" s="1176">
        <v>0.317</v>
      </c>
      <c r="F104" s="1166">
        <v>3.72</v>
      </c>
      <c r="G104" s="1167">
        <f t="shared" si="11"/>
        <v>0.317</v>
      </c>
      <c r="H104" s="1167">
        <f t="shared" si="12"/>
        <v>0.317</v>
      </c>
      <c r="I104" s="1168" t="str">
        <f t="shared" si="13"/>
        <v>lb/MMBtu</v>
      </c>
      <c r="J104" s="1170">
        <f t="shared" si="14"/>
        <v>5.5947520200000005</v>
      </c>
      <c r="K104" s="1170">
        <f>J104*$C$26/2000</f>
        <v>1.3986880050000001</v>
      </c>
      <c r="L104" s="1171"/>
      <c r="M104" s="1172">
        <f>M46</f>
        <v>2.1800000000000002</v>
      </c>
      <c r="N104" s="1173">
        <f t="shared" si="15"/>
        <v>2.1800000000000002</v>
      </c>
      <c r="O104" s="1170">
        <f t="shared" ref="O104:O112" si="16">IF(L104&gt;0,J104*(100-L104)/100,IF(M104=0,J104,M104*$C$24/453.59))</f>
        <v>14.091492316850021</v>
      </c>
      <c r="P104" s="1174">
        <f t="shared" si="10"/>
        <v>3.5228730792125051</v>
      </c>
      <c r="Q104"/>
      <c r="R104"/>
    </row>
    <row r="105" spans="1:18" s="1070" customFormat="1" ht="15">
      <c r="A105"/>
      <c r="B105" s="1164" t="s">
        <v>1192</v>
      </c>
      <c r="C105" s="1086"/>
      <c r="D105" s="1166">
        <f>0.0384+0.00991</f>
        <v>4.8309999999999999E-2</v>
      </c>
      <c r="E105" s="1176">
        <f>0.0000771+0.00991</f>
        <v>9.9871000000000005E-3</v>
      </c>
      <c r="F105" s="1166">
        <f>0.0095+0.00991</f>
        <v>1.941E-2</v>
      </c>
      <c r="G105" s="1167">
        <f t="shared" si="11"/>
        <v>9.9871000000000005E-3</v>
      </c>
      <c r="H105" s="1167">
        <f t="shared" si="12"/>
        <v>9.9871000000000005E-3</v>
      </c>
      <c r="I105" s="1168" t="str">
        <f t="shared" si="13"/>
        <v>lb/MMBtu</v>
      </c>
      <c r="J105" s="1170">
        <f t="shared" si="14"/>
        <v>0.17626292712600003</v>
      </c>
      <c r="K105" s="1170">
        <f>J105*$C$26/2000</f>
        <v>4.4065731781500007E-2</v>
      </c>
      <c r="L105" s="1171"/>
      <c r="M105" s="1172"/>
      <c r="N105" s="1173">
        <f t="shared" si="15"/>
        <v>0</v>
      </c>
      <c r="O105" s="1170">
        <f t="shared" si="16"/>
        <v>0.17626292712600003</v>
      </c>
      <c r="P105" s="1174">
        <f t="shared" si="10"/>
        <v>4.4065731781500007E-2</v>
      </c>
      <c r="Q105"/>
      <c r="R105"/>
    </row>
    <row r="106" spans="1:18" s="1070" customFormat="1" ht="15">
      <c r="A106"/>
      <c r="B106" s="1164" t="s">
        <v>1193</v>
      </c>
      <c r="C106" s="1086"/>
      <c r="D106" s="1166">
        <f>0.0384+0.00991</f>
        <v>4.8309999999999999E-2</v>
      </c>
      <c r="E106" s="1176">
        <f>0.0000771+0.00991</f>
        <v>9.9871000000000005E-3</v>
      </c>
      <c r="F106" s="1166">
        <f>0.0095+0.00991</f>
        <v>1.941E-2</v>
      </c>
      <c r="G106" s="1167">
        <f t="shared" si="11"/>
        <v>9.9871000000000005E-3</v>
      </c>
      <c r="H106" s="1167">
        <f t="shared" si="12"/>
        <v>9.9871000000000005E-3</v>
      </c>
      <c r="I106" s="1168" t="str">
        <f t="shared" si="13"/>
        <v>lb/MMBtu</v>
      </c>
      <c r="J106" s="1169">
        <f t="shared" si="14"/>
        <v>0.17626292712600003</v>
      </c>
      <c r="K106" s="1170">
        <f>J106*$C$26/2000</f>
        <v>4.4065731781500007E-2</v>
      </c>
      <c r="L106" s="1171"/>
      <c r="M106" s="1172"/>
      <c r="N106" s="1173">
        <f t="shared" si="15"/>
        <v>0</v>
      </c>
      <c r="O106" s="1170">
        <f t="shared" si="16"/>
        <v>0.17626292712600003</v>
      </c>
      <c r="P106" s="1174">
        <f t="shared" si="10"/>
        <v>4.4065731781500007E-2</v>
      </c>
      <c r="Q106"/>
      <c r="R106"/>
    </row>
    <row r="107" spans="1:18" s="1070" customFormat="1" ht="15">
      <c r="A107"/>
      <c r="B107" s="1178" t="s">
        <v>894</v>
      </c>
      <c r="C107" s="1179"/>
      <c r="D107" s="1180">
        <v>5.8799999999999998E-4</v>
      </c>
      <c r="E107" s="1181">
        <v>5.8799999999999998E-4</v>
      </c>
      <c r="F107" s="1180">
        <v>5.8799999999999998E-4</v>
      </c>
      <c r="G107" s="1167">
        <f t="shared" si="11"/>
        <v>5.8799999999999998E-4</v>
      </c>
      <c r="H107" s="1167">
        <f t="shared" si="12"/>
        <v>5.8799999999999998E-4</v>
      </c>
      <c r="I107" s="1168" t="str">
        <f t="shared" si="13"/>
        <v>lb/MMBtu</v>
      </c>
      <c r="J107" s="1169">
        <f t="shared" si="14"/>
        <v>1.0377647279999999E-2</v>
      </c>
      <c r="K107" s="1170">
        <f t="shared" ref="K107:K112" si="17">J107*$C$26/2000</f>
        <v>2.5944118199999998E-3</v>
      </c>
      <c r="L107" s="1171"/>
      <c r="M107" s="1172"/>
      <c r="N107" s="1173">
        <f t="shared" si="15"/>
        <v>0</v>
      </c>
      <c r="O107" s="1170">
        <f t="shared" si="16"/>
        <v>1.0377647279999999E-2</v>
      </c>
      <c r="P107" s="1174">
        <f t="shared" si="10"/>
        <v>2.5944118199999998E-3</v>
      </c>
      <c r="Q107"/>
      <c r="R107"/>
    </row>
    <row r="108" spans="1:18" s="1070" customFormat="1" ht="13">
      <c r="A108"/>
      <c r="B108" s="1164" t="s">
        <v>895</v>
      </c>
      <c r="C108" s="1086"/>
      <c r="D108" s="1166">
        <v>5.5199999999999999E-2</v>
      </c>
      <c r="E108" s="1176">
        <v>5.28E-2</v>
      </c>
      <c r="F108" s="1166">
        <v>2.0500000000000001E-2</v>
      </c>
      <c r="G108" s="1167">
        <f t="shared" si="11"/>
        <v>5.28E-2</v>
      </c>
      <c r="H108" s="1167">
        <f t="shared" si="12"/>
        <v>5.28E-2</v>
      </c>
      <c r="I108" s="1168" t="str">
        <f t="shared" si="13"/>
        <v>lb/MMBtu</v>
      </c>
      <c r="J108" s="1169">
        <f t="shared" si="14"/>
        <v>0.931870368</v>
      </c>
      <c r="K108" s="1170">
        <f t="shared" si="17"/>
        <v>0.232967592</v>
      </c>
      <c r="L108" s="1171"/>
      <c r="M108" s="1172"/>
      <c r="N108" s="1173">
        <f t="shared" si="15"/>
        <v>0</v>
      </c>
      <c r="O108" s="1170">
        <f t="shared" si="16"/>
        <v>0.931870368</v>
      </c>
      <c r="P108" s="1174">
        <f t="shared" si="10"/>
        <v>0.232967592</v>
      </c>
      <c r="Q108"/>
      <c r="R108"/>
    </row>
    <row r="109" spans="1:18" s="1070" customFormat="1" ht="13">
      <c r="A109"/>
      <c r="B109" s="1164" t="s">
        <v>11</v>
      </c>
      <c r="C109" s="1086"/>
      <c r="D109" s="1166">
        <v>1.9400000000000001E-3</v>
      </c>
      <c r="E109" s="1166">
        <v>4.0400000000000001E-4</v>
      </c>
      <c r="F109" s="1166">
        <v>1.58E-3</v>
      </c>
      <c r="G109" s="1167">
        <f t="shared" si="11"/>
        <v>4.0400000000000001E-4</v>
      </c>
      <c r="H109" s="1167">
        <f t="shared" si="12"/>
        <v>4.0400000000000001E-4</v>
      </c>
      <c r="I109" s="1168" t="str">
        <f t="shared" si="13"/>
        <v>lb/MMBtu</v>
      </c>
      <c r="J109" s="1170">
        <f t="shared" si="14"/>
        <v>7.1302202399999995E-3</v>
      </c>
      <c r="K109" s="1170">
        <f t="shared" si="17"/>
        <v>1.7825550599999999E-3</v>
      </c>
      <c r="L109" s="1171"/>
      <c r="M109" s="1171"/>
      <c r="N109" s="1173">
        <f t="shared" si="15"/>
        <v>0</v>
      </c>
      <c r="O109" s="1170">
        <f t="shared" si="16"/>
        <v>7.1302202399999995E-3</v>
      </c>
      <c r="P109" s="1174">
        <f t="shared" si="10"/>
        <v>1.7825550599999999E-3</v>
      </c>
      <c r="Q109"/>
      <c r="R109"/>
    </row>
    <row r="110" spans="1:18" s="1070" customFormat="1" ht="13">
      <c r="A110"/>
      <c r="B110" s="1164" t="s">
        <v>16</v>
      </c>
      <c r="C110" s="1086"/>
      <c r="D110" s="1166"/>
      <c r="E110" s="1166">
        <v>3.9700000000000003E-5</v>
      </c>
      <c r="F110" s="1166"/>
      <c r="G110" s="1167">
        <f t="shared" si="11"/>
        <v>3.9700000000000003E-5</v>
      </c>
      <c r="H110" s="1167">
        <f t="shared" si="12"/>
        <v>3.9700000000000003E-5</v>
      </c>
      <c r="I110" s="1167" t="str">
        <f t="shared" si="13"/>
        <v>lb/MMBtu</v>
      </c>
      <c r="J110" s="1170">
        <f t="shared" si="14"/>
        <v>7.0066768200000018E-4</v>
      </c>
      <c r="K110" s="1170">
        <f t="shared" si="17"/>
        <v>1.7516692050000005E-4</v>
      </c>
      <c r="L110" s="1171"/>
      <c r="M110" s="1171"/>
      <c r="N110" s="1173">
        <f t="shared" si="15"/>
        <v>0</v>
      </c>
      <c r="O110" s="1170">
        <f t="shared" si="16"/>
        <v>7.0066768200000018E-4</v>
      </c>
      <c r="P110" s="1182">
        <f t="shared" si="10"/>
        <v>1.7516692050000005E-4</v>
      </c>
      <c r="Q110"/>
      <c r="R110"/>
    </row>
    <row r="111" spans="1:18" s="1070" customFormat="1" ht="13">
      <c r="A111"/>
      <c r="B111" s="1164" t="s">
        <v>14</v>
      </c>
      <c r="C111" s="1086"/>
      <c r="D111" s="1166"/>
      <c r="E111" s="1166">
        <v>4.08E-4</v>
      </c>
      <c r="F111" s="1166"/>
      <c r="G111" s="1167">
        <f t="shared" si="11"/>
        <v>4.08E-4</v>
      </c>
      <c r="H111" s="1167">
        <f t="shared" si="12"/>
        <v>4.08E-4</v>
      </c>
      <c r="I111" s="1167" t="str">
        <f t="shared" si="13"/>
        <v>lb/MMBtu</v>
      </c>
      <c r="J111" s="1170">
        <f t="shared" si="14"/>
        <v>7.2008164800000003E-3</v>
      </c>
      <c r="K111" s="1170">
        <f t="shared" si="17"/>
        <v>1.8002041200000001E-3</v>
      </c>
      <c r="L111" s="1171"/>
      <c r="M111" s="1171"/>
      <c r="N111" s="1173">
        <f t="shared" si="15"/>
        <v>0</v>
      </c>
      <c r="O111" s="1170">
        <f t="shared" si="16"/>
        <v>7.2008164800000003E-3</v>
      </c>
      <c r="P111" s="1182">
        <f t="shared" si="10"/>
        <v>1.8002041200000001E-3</v>
      </c>
      <c r="Q111"/>
      <c r="R111"/>
    </row>
    <row r="112" spans="1:18" s="1070" customFormat="1" ht="13">
      <c r="A112"/>
      <c r="B112" s="1164" t="s">
        <v>451</v>
      </c>
      <c r="C112" s="1086"/>
      <c r="D112" s="1166"/>
      <c r="E112" s="1166">
        <v>1.84E-4</v>
      </c>
      <c r="F112" s="1166"/>
      <c r="G112" s="1167">
        <f t="shared" si="11"/>
        <v>1.84E-4</v>
      </c>
      <c r="H112" s="1167">
        <f t="shared" si="12"/>
        <v>1.84E-4</v>
      </c>
      <c r="I112" s="1167" t="str">
        <f t="shared" si="13"/>
        <v>lb/MMBtu</v>
      </c>
      <c r="J112" s="1170">
        <f t="shared" si="14"/>
        <v>3.2474270400000001E-3</v>
      </c>
      <c r="K112" s="1170">
        <f t="shared" si="17"/>
        <v>8.1185676000000001E-4</v>
      </c>
      <c r="L112" s="1171"/>
      <c r="M112" s="1171"/>
      <c r="N112" s="1173">
        <f t="shared" si="15"/>
        <v>0</v>
      </c>
      <c r="O112" s="1170">
        <f t="shared" si="16"/>
        <v>3.2474270400000001E-3</v>
      </c>
      <c r="P112" s="1182">
        <f t="shared" si="10"/>
        <v>8.1185676000000001E-4</v>
      </c>
      <c r="Q112"/>
      <c r="R112"/>
    </row>
    <row r="113" spans="1:18" s="1070" customFormat="1" ht="13.5" thickBot="1">
      <c r="A113"/>
      <c r="B113" s="1121"/>
      <c r="C113" s="1122"/>
      <c r="D113" s="1122"/>
      <c r="E113" s="1122"/>
      <c r="F113" s="1122"/>
      <c r="G113" s="1122"/>
      <c r="H113" s="1122"/>
      <c r="I113" s="1122"/>
      <c r="J113" s="1122"/>
      <c r="K113" s="1122"/>
      <c r="L113" s="1123"/>
      <c r="M113" s="1123"/>
      <c r="N113" s="1123"/>
      <c r="O113" s="1122"/>
      <c r="P113" s="1124"/>
      <c r="Q113"/>
      <c r="R113"/>
    </row>
    <row r="114" spans="1:18" s="1070" customFormat="1" ht="13" hidden="1">
      <c r="A114"/>
      <c r="L114" s="1071"/>
      <c r="M114" s="1071"/>
      <c r="N114" s="1071"/>
      <c r="Q114"/>
      <c r="R114"/>
    </row>
    <row r="115" spans="1:18" s="1070" customFormat="1" ht="13" hidden="1">
      <c r="A115"/>
      <c r="B115" s="1183" t="s">
        <v>1194</v>
      </c>
      <c r="L115" s="1071"/>
      <c r="M115" s="1071"/>
      <c r="N115" s="1071"/>
      <c r="Q115"/>
      <c r="R115"/>
    </row>
    <row r="116" spans="1:18" s="1070" customFormat="1" ht="13.5" hidden="1" thickBot="1">
      <c r="A116"/>
      <c r="B116" s="1184" t="s">
        <v>1195</v>
      </c>
      <c r="L116" s="1071"/>
      <c r="M116" s="1071"/>
      <c r="N116" s="1071"/>
      <c r="Q116"/>
      <c r="R116"/>
    </row>
    <row r="117" spans="1:18" s="1070" customFormat="1" ht="13" hidden="1">
      <c r="A117"/>
      <c r="L117" s="1071"/>
      <c r="M117" s="1071"/>
      <c r="N117" s="1071"/>
      <c r="Q117"/>
      <c r="R117"/>
    </row>
    <row r="118" spans="1:18" s="1070" customFormat="1" ht="13.5" hidden="1" thickBot="1">
      <c r="A118"/>
      <c r="B118" s="1188" t="s">
        <v>915</v>
      </c>
      <c r="C118" s="5097" t="s">
        <v>1196</v>
      </c>
      <c r="D118" s="5098"/>
      <c r="E118" s="5098"/>
      <c r="F118" s="5098"/>
      <c r="G118" s="5098"/>
      <c r="H118" s="5098"/>
      <c r="I118" s="5098"/>
      <c r="J118" s="5098"/>
      <c r="K118" s="5098"/>
      <c r="L118" s="5098"/>
      <c r="M118" s="5098"/>
      <c r="N118" s="5098"/>
      <c r="O118" s="5098"/>
      <c r="P118" s="5099"/>
      <c r="Q118"/>
      <c r="R118"/>
    </row>
    <row r="119" spans="1:18" s="1070" customFormat="1" ht="13" hidden="1">
      <c r="A119"/>
      <c r="B119" s="1072"/>
      <c r="C119" s="1072"/>
      <c r="D119" s="1072"/>
      <c r="E119" s="1072"/>
      <c r="F119" s="1072"/>
      <c r="G119" s="1072"/>
      <c r="H119" s="1072"/>
      <c r="I119" s="1072"/>
      <c r="J119" s="1072"/>
      <c r="K119" s="1072"/>
      <c r="L119" s="1073"/>
      <c r="M119" s="1073"/>
      <c r="N119" s="1073"/>
      <c r="O119" s="1072"/>
      <c r="P119" s="1072"/>
      <c r="Q119"/>
      <c r="R119"/>
    </row>
    <row r="120" spans="1:18" s="1070" customFormat="1" ht="13" hidden="1">
      <c r="A120"/>
      <c r="B120" s="1074" t="s">
        <v>849</v>
      </c>
      <c r="C120" s="1076"/>
      <c r="D120" s="1075"/>
      <c r="E120" s="1076" t="s">
        <v>850</v>
      </c>
      <c r="F120" s="1076"/>
      <c r="G120" s="1076"/>
      <c r="H120" s="1075"/>
      <c r="I120" s="1076" t="s">
        <v>851</v>
      </c>
      <c r="J120" s="1076"/>
      <c r="K120" s="1076"/>
      <c r="L120" s="1077"/>
      <c r="M120" s="1078"/>
      <c r="N120" s="1078"/>
      <c r="O120" s="1075"/>
      <c r="P120" s="1079"/>
      <c r="Q120"/>
      <c r="R120"/>
    </row>
    <row r="121" spans="1:18" s="1070" customFormat="1" ht="13" hidden="1">
      <c r="A121"/>
      <c r="B121" s="1080"/>
      <c r="L121" s="1071"/>
      <c r="M121" s="1071"/>
      <c r="N121" s="1071"/>
      <c r="P121" s="1082"/>
      <c r="Q121"/>
      <c r="R121"/>
    </row>
    <row r="122" spans="1:18" s="1070" customFormat="1" ht="13" hidden="1">
      <c r="A122"/>
      <c r="B122" s="1189" t="s">
        <v>852</v>
      </c>
      <c r="C122" s="1086" t="s">
        <v>1200</v>
      </c>
      <c r="E122" s="5101" t="s">
        <v>853</v>
      </c>
      <c r="F122" s="5102"/>
      <c r="G122" s="1085">
        <v>17</v>
      </c>
      <c r="I122" s="5095" t="s">
        <v>854</v>
      </c>
      <c r="J122" s="5100"/>
      <c r="K122" s="5096"/>
      <c r="L122" s="1086" t="s">
        <v>859</v>
      </c>
      <c r="M122" s="1087"/>
      <c r="N122" s="1071"/>
      <c r="P122" s="1082"/>
      <c r="Q122"/>
      <c r="R122"/>
    </row>
    <row r="123" spans="1:18" s="1070" customFormat="1" ht="13" hidden="1">
      <c r="A123"/>
      <c r="B123" s="1088"/>
      <c r="C123" s="1104"/>
      <c r="E123" s="5101" t="s">
        <v>855</v>
      </c>
      <c r="F123" s="5102"/>
      <c r="G123" s="1090">
        <v>1</v>
      </c>
      <c r="I123" s="5095" t="s">
        <v>856</v>
      </c>
      <c r="J123" s="5100"/>
      <c r="K123" s="5096"/>
      <c r="L123" s="1091">
        <f>C140</f>
        <v>6700</v>
      </c>
      <c r="M123" s="1071"/>
      <c r="N123" s="1087"/>
      <c r="P123" s="1082"/>
      <c r="Q123"/>
      <c r="R123"/>
    </row>
    <row r="124" spans="1:18" s="1070" customFormat="1" ht="13" hidden="1">
      <c r="A124"/>
      <c r="B124" s="1081"/>
      <c r="C124" s="1071"/>
      <c r="E124" s="5101" t="s">
        <v>857</v>
      </c>
      <c r="F124" s="5102"/>
      <c r="G124" s="1085">
        <v>755</v>
      </c>
      <c r="I124" s="5095" t="s">
        <v>858</v>
      </c>
      <c r="J124" s="5100"/>
      <c r="K124" s="5096"/>
      <c r="L124" s="1093">
        <v>1020</v>
      </c>
      <c r="M124" s="1071"/>
      <c r="N124" s="1087"/>
      <c r="P124" s="1082"/>
      <c r="Q124"/>
      <c r="R124"/>
    </row>
    <row r="125" spans="1:18" s="1070" customFormat="1" ht="13" hidden="1">
      <c r="A125"/>
      <c r="B125" s="1164" t="s">
        <v>860</v>
      </c>
      <c r="C125" s="1086" t="s">
        <v>1169</v>
      </c>
      <c r="E125" s="5101" t="s">
        <v>861</v>
      </c>
      <c r="F125" s="5102"/>
      <c r="G125" s="1095">
        <f>4171/(PI()*(G123/2)^2)/60</f>
        <v>88.511369018172729</v>
      </c>
      <c r="I125" s="5095" t="s">
        <v>862</v>
      </c>
      <c r="J125" s="5100"/>
      <c r="K125" s="5096"/>
      <c r="L125" s="1093" t="e">
        <f>#REF!</f>
        <v>#REF!</v>
      </c>
      <c r="M125" s="1071"/>
      <c r="N125" s="1087"/>
      <c r="P125" s="1082"/>
      <c r="Q125"/>
      <c r="R125"/>
    </row>
    <row r="126" spans="1:18" s="1070" customFormat="1" ht="13" hidden="1">
      <c r="A126"/>
      <c r="B126" s="1164" t="s">
        <v>863</v>
      </c>
      <c r="C126" s="1190" t="s">
        <v>94</v>
      </c>
      <c r="I126" s="5095" t="s">
        <v>1170</v>
      </c>
      <c r="J126" s="5100"/>
      <c r="K126" s="5096"/>
      <c r="L126" s="1097" t="e">
        <f>#REF!</f>
        <v>#REF!</v>
      </c>
      <c r="M126" s="1071"/>
      <c r="N126" s="1087"/>
      <c r="P126" s="1082"/>
      <c r="Q126"/>
      <c r="R126"/>
    </row>
    <row r="127" spans="1:18" s="1070" customFormat="1" ht="13" hidden="1">
      <c r="A127"/>
      <c r="B127" s="1081"/>
      <c r="J127" s="1098"/>
      <c r="K127" s="1098"/>
      <c r="L127" s="1071"/>
      <c r="M127" s="1071"/>
      <c r="N127" s="1087"/>
      <c r="P127" s="1082"/>
      <c r="Q127"/>
      <c r="R127"/>
    </row>
    <row r="128" spans="1:18" s="1070" customFormat="1" ht="13" hidden="1">
      <c r="A128"/>
      <c r="B128" s="1099" t="s">
        <v>1171</v>
      </c>
      <c r="C128" s="1073"/>
      <c r="E128" s="1072" t="s">
        <v>864</v>
      </c>
      <c r="I128" s="1101"/>
      <c r="J128" s="1191"/>
      <c r="K128" s="1191"/>
      <c r="L128" s="1071"/>
      <c r="M128" s="1071"/>
      <c r="N128" s="1087"/>
      <c r="P128" s="1082"/>
      <c r="Q128"/>
      <c r="R128"/>
    </row>
    <row r="129" spans="1:18" s="1070" customFormat="1" ht="13" hidden="1">
      <c r="A129"/>
      <c r="B129" s="1081"/>
      <c r="C129" s="1071"/>
      <c r="G129" s="1073" t="s">
        <v>865</v>
      </c>
      <c r="J129" s="1098"/>
      <c r="K129" s="1073"/>
      <c r="L129" s="1071"/>
      <c r="M129" s="1071"/>
      <c r="N129" s="1087"/>
      <c r="P129" s="1082"/>
      <c r="Q129"/>
      <c r="R129"/>
    </row>
    <row r="130" spans="1:18" s="1070" customFormat="1" ht="13" hidden="1">
      <c r="A130"/>
      <c r="B130" s="1164" t="s">
        <v>148</v>
      </c>
      <c r="C130" s="1086" t="e">
        <v>#REF!</v>
      </c>
      <c r="E130" s="5095" t="s">
        <v>1172</v>
      </c>
      <c r="F130" s="5096"/>
      <c r="G130" s="1085" t="s">
        <v>42</v>
      </c>
      <c r="I130" s="5095" t="s">
        <v>1173</v>
      </c>
      <c r="J130" s="5096"/>
      <c r="K130" s="1085" t="s">
        <v>42</v>
      </c>
      <c r="L130" s="1071"/>
      <c r="M130" s="1071"/>
      <c r="N130" s="1087"/>
      <c r="P130" s="1082"/>
      <c r="Q130"/>
      <c r="R130"/>
    </row>
    <row r="131" spans="1:18" s="1070" customFormat="1" ht="13" hidden="1">
      <c r="A131"/>
      <c r="B131" s="1164" t="s">
        <v>914</v>
      </c>
      <c r="C131" s="1171" t="e">
        <v>#REF!</v>
      </c>
      <c r="E131" s="5095" t="s">
        <v>866</v>
      </c>
      <c r="F131" s="5096"/>
      <c r="G131" s="1085" t="s">
        <v>43</v>
      </c>
      <c r="I131" s="5095" t="s">
        <v>1175</v>
      </c>
      <c r="J131" s="5096"/>
      <c r="K131" s="1085" t="s">
        <v>42</v>
      </c>
      <c r="L131" s="1071"/>
      <c r="M131" s="1071"/>
      <c r="N131" s="1087"/>
      <c r="P131" s="1082"/>
      <c r="Q131"/>
      <c r="R131"/>
    </row>
    <row r="132" spans="1:18" s="1070" customFormat="1" ht="13" hidden="1">
      <c r="A132"/>
      <c r="B132" s="1164" t="s">
        <v>288</v>
      </c>
      <c r="C132" s="1086" t="s">
        <v>1198</v>
      </c>
      <c r="E132" s="5095" t="s">
        <v>1177</v>
      </c>
      <c r="F132" s="5096"/>
      <c r="G132" s="1085" t="s">
        <v>43</v>
      </c>
      <c r="I132" s="1088"/>
      <c r="J132" s="1104"/>
      <c r="K132" s="1088"/>
      <c r="L132" s="1071"/>
      <c r="M132" s="1071"/>
      <c r="N132" s="1087"/>
      <c r="P132" s="1082"/>
      <c r="Q132"/>
      <c r="R132"/>
    </row>
    <row r="133" spans="1:18" s="1070" customFormat="1" ht="13" hidden="1">
      <c r="A133"/>
      <c r="B133" s="1164" t="s">
        <v>867</v>
      </c>
      <c r="C133" s="1086" t="s">
        <v>1199</v>
      </c>
      <c r="E133" s="5095" t="s">
        <v>1178</v>
      </c>
      <c r="F133" s="5096"/>
      <c r="G133" s="1085" t="s">
        <v>43</v>
      </c>
      <c r="L133" s="1071"/>
      <c r="M133" s="1071"/>
      <c r="N133" s="1071"/>
      <c r="P133" s="1082"/>
      <c r="Q133"/>
      <c r="R133"/>
    </row>
    <row r="134" spans="1:18" s="1070" customFormat="1" ht="13" hidden="1">
      <c r="A134"/>
      <c r="B134" s="1164" t="s">
        <v>868</v>
      </c>
      <c r="C134" s="1086" t="s">
        <v>94</v>
      </c>
      <c r="E134" s="5095" t="s">
        <v>1179</v>
      </c>
      <c r="F134" s="5096"/>
      <c r="G134" s="1085" t="s">
        <v>43</v>
      </c>
      <c r="L134" s="1071"/>
      <c r="M134" s="1071"/>
      <c r="N134" s="1071"/>
      <c r="P134" s="1082"/>
      <c r="Q134"/>
      <c r="R134"/>
    </row>
    <row r="135" spans="1:18" s="1070" customFormat="1" ht="13" hidden="1">
      <c r="A135"/>
      <c r="B135" s="1164" t="s">
        <v>869</v>
      </c>
      <c r="C135" s="1190" t="s">
        <v>94</v>
      </c>
      <c r="E135" s="5095" t="s">
        <v>1180</v>
      </c>
      <c r="F135" s="5096"/>
      <c r="G135" s="1105" t="s">
        <v>1181</v>
      </c>
      <c r="L135" s="1071"/>
      <c r="M135" s="1071"/>
      <c r="N135" s="1071"/>
      <c r="P135" s="1082"/>
      <c r="Q135"/>
      <c r="R135"/>
    </row>
    <row r="136" spans="1:18" s="1070" customFormat="1" ht="13" hidden="1">
      <c r="A136"/>
      <c r="B136" s="1192" t="s">
        <v>870</v>
      </c>
      <c r="C136" s="1190" t="s">
        <v>604</v>
      </c>
      <c r="L136" s="1071"/>
      <c r="M136" s="1071"/>
      <c r="N136" s="1071"/>
      <c r="P136" s="1082"/>
      <c r="Q136"/>
      <c r="R136"/>
    </row>
    <row r="137" spans="1:18" s="1070" customFormat="1" ht="13.5" hidden="1" thickTop="1">
      <c r="A137"/>
      <c r="B137" s="1164" t="s">
        <v>1182</v>
      </c>
      <c r="C137" s="1086" t="s">
        <v>1183</v>
      </c>
      <c r="E137" s="1107" t="s">
        <v>871</v>
      </c>
      <c r="F137" s="1108"/>
      <c r="G137" s="1108"/>
      <c r="H137" s="1108"/>
      <c r="I137" s="1108"/>
      <c r="J137" s="1108"/>
      <c r="K137" s="1108"/>
      <c r="L137" s="1109"/>
      <c r="M137" s="1109"/>
      <c r="N137" s="1109"/>
      <c r="O137" s="1110"/>
      <c r="P137" s="1082"/>
      <c r="Q137"/>
      <c r="R137"/>
    </row>
    <row r="138" spans="1:18" s="1070" customFormat="1" ht="13" hidden="1">
      <c r="A138"/>
      <c r="B138" s="1081"/>
      <c r="E138" s="1111"/>
      <c r="F138" s="1072"/>
      <c r="G138" s="1072"/>
      <c r="H138" s="1072"/>
      <c r="I138" s="1072"/>
      <c r="J138" s="1072"/>
      <c r="K138" s="1072"/>
      <c r="L138" s="1073"/>
      <c r="M138" s="1073"/>
      <c r="N138" s="1073"/>
      <c r="O138" s="1112"/>
      <c r="P138" s="1082"/>
      <c r="Q138"/>
      <c r="R138"/>
    </row>
    <row r="139" spans="1:18" s="1070" customFormat="1" ht="13" hidden="1">
      <c r="A139"/>
      <c r="B139" s="1164" t="s">
        <v>872</v>
      </c>
      <c r="C139" s="1193">
        <v>1300</v>
      </c>
      <c r="E139" s="1111" t="s">
        <v>873</v>
      </c>
      <c r="F139" s="1072"/>
      <c r="G139" s="1072"/>
      <c r="H139" s="1072"/>
      <c r="I139" s="1072"/>
      <c r="J139" s="1072"/>
      <c r="K139" s="1072"/>
      <c r="L139" s="1073"/>
      <c r="M139" s="1073"/>
      <c r="N139" s="1073"/>
      <c r="O139" s="1112"/>
      <c r="P139" s="1082"/>
      <c r="Q139"/>
      <c r="R139"/>
    </row>
    <row r="140" spans="1:18" s="1070" customFormat="1" ht="13" hidden="1">
      <c r="A140"/>
      <c r="B140" s="1192" t="s">
        <v>874</v>
      </c>
      <c r="C140" s="1193">
        <v>6700</v>
      </c>
      <c r="E140" s="1114" t="s">
        <v>875</v>
      </c>
      <c r="F140" s="1072"/>
      <c r="G140" s="1072"/>
      <c r="H140" s="1072"/>
      <c r="I140" s="1072"/>
      <c r="J140" s="1072"/>
      <c r="K140" s="1072"/>
      <c r="L140" s="1073"/>
      <c r="M140" s="1073"/>
      <c r="N140" s="1073"/>
      <c r="O140" s="1112"/>
      <c r="P140" s="1082"/>
      <c r="Q140"/>
      <c r="R140"/>
    </row>
    <row r="141" spans="1:18" s="1070" customFormat="1" ht="13.5" hidden="1" thickBot="1">
      <c r="A141"/>
      <c r="B141" s="1164" t="s">
        <v>876</v>
      </c>
      <c r="C141" s="1194">
        <f>C84</f>
        <v>500</v>
      </c>
      <c r="E141" s="1116" t="s">
        <v>877</v>
      </c>
      <c r="F141" s="1117"/>
      <c r="G141" s="1117"/>
      <c r="H141" s="1117"/>
      <c r="I141" s="1117"/>
      <c r="J141" s="1117"/>
      <c r="K141" s="1117"/>
      <c r="L141" s="1118"/>
      <c r="M141" s="1118"/>
      <c r="N141" s="1118"/>
      <c r="O141" s="1119"/>
      <c r="P141" s="1082"/>
      <c r="Q141"/>
      <c r="R141"/>
    </row>
    <row r="142" spans="1:18" s="1070" customFormat="1" ht="13" hidden="1">
      <c r="A142"/>
      <c r="B142" s="1192" t="s">
        <v>1184</v>
      </c>
      <c r="C142" s="1171" t="s">
        <v>1185</v>
      </c>
      <c r="L142" s="1071"/>
      <c r="M142" s="1071"/>
      <c r="N142" s="1071"/>
      <c r="P142" s="1082"/>
      <c r="Q142"/>
      <c r="R142"/>
    </row>
    <row r="143" spans="1:18" s="1070" customFormat="1" ht="13.5" hidden="1" thickBot="1">
      <c r="A143"/>
      <c r="B143" s="1120"/>
      <c r="C143" s="1122"/>
      <c r="D143" s="1122"/>
      <c r="E143" s="1122"/>
      <c r="F143" s="1122"/>
      <c r="G143" s="1122"/>
      <c r="H143" s="1122"/>
      <c r="I143" s="1122"/>
      <c r="J143" s="1122"/>
      <c r="K143" s="1122"/>
      <c r="L143" s="1123"/>
      <c r="M143" s="1123"/>
      <c r="N143" s="1123"/>
      <c r="O143" s="1122"/>
      <c r="P143" s="1124"/>
      <c r="Q143"/>
      <c r="R143"/>
    </row>
    <row r="144" spans="1:18" s="1070" customFormat="1" ht="13.5" hidden="1" thickBot="1">
      <c r="A144"/>
      <c r="B144" s="1125"/>
      <c r="C144" s="1126"/>
      <c r="D144" s="1126"/>
      <c r="E144" s="1126"/>
      <c r="F144" s="1126"/>
      <c r="G144" s="1126"/>
      <c r="H144" s="1075"/>
      <c r="I144" s="1075"/>
      <c r="J144" s="1075"/>
      <c r="K144" s="1075"/>
      <c r="L144" s="1078"/>
      <c r="M144" s="1078"/>
      <c r="N144" s="1078"/>
      <c r="O144" s="1075"/>
      <c r="Q144"/>
      <c r="R144"/>
    </row>
    <row r="145" spans="1:18" s="1070" customFormat="1" ht="28" hidden="1">
      <c r="A145"/>
      <c r="B145" s="1127" t="s">
        <v>1186</v>
      </c>
      <c r="C145" s="1128"/>
      <c r="D145" s="1129"/>
      <c r="E145" s="1129"/>
      <c r="F145" s="1129"/>
      <c r="G145" s="1129"/>
      <c r="H145" s="1130"/>
      <c r="I145" s="1129"/>
      <c r="J145" s="1129"/>
      <c r="L145" s="1071"/>
      <c r="M145" s="1071"/>
      <c r="N145" s="1071"/>
      <c r="Q145"/>
      <c r="R145"/>
    </row>
    <row r="146" spans="1:18" s="1070" customFormat="1" ht="13" hidden="1">
      <c r="A146"/>
      <c r="B146" s="1130"/>
      <c r="C146" s="1129"/>
      <c r="D146" s="1129"/>
      <c r="E146" s="1129"/>
      <c r="F146" s="1129"/>
      <c r="G146" s="1129"/>
      <c r="H146" s="1130"/>
      <c r="I146" s="1129"/>
      <c r="J146" s="1129"/>
      <c r="L146" s="1071"/>
      <c r="M146" s="1071"/>
      <c r="N146" s="1071"/>
      <c r="Q146"/>
      <c r="R146"/>
    </row>
    <row r="147" spans="1:18" s="1070" customFormat="1" ht="15.5" hidden="1">
      <c r="A147"/>
      <c r="B147" s="1131" t="s">
        <v>878</v>
      </c>
      <c r="C147" s="1132">
        <f>L124</f>
        <v>1020</v>
      </c>
      <c r="D147" s="1129"/>
      <c r="E147" s="1133" t="s">
        <v>880</v>
      </c>
      <c r="F147" s="1134">
        <v>64.06</v>
      </c>
      <c r="G147" s="1135" t="s">
        <v>881</v>
      </c>
      <c r="H147" s="1130"/>
      <c r="I147" s="1129"/>
      <c r="J147" s="1129"/>
      <c r="L147" s="1071"/>
      <c r="M147" s="1071"/>
      <c r="N147" s="1071"/>
      <c r="Q147"/>
      <c r="R147"/>
    </row>
    <row r="148" spans="1:18" s="1070" customFormat="1" ht="15" hidden="1">
      <c r="A148"/>
      <c r="B148" s="1136" t="s">
        <v>879</v>
      </c>
      <c r="C148" s="1137">
        <v>0</v>
      </c>
      <c r="D148" s="1138"/>
      <c r="E148" s="1135" t="s">
        <v>595</v>
      </c>
      <c r="F148" s="1134">
        <v>378.61</v>
      </c>
      <c r="G148" s="1135" t="s">
        <v>596</v>
      </c>
      <c r="H148" s="1139"/>
      <c r="I148" s="1138"/>
      <c r="J148" s="1138"/>
      <c r="L148" s="1071"/>
      <c r="M148" s="1071"/>
      <c r="N148" s="1071"/>
      <c r="Q148"/>
      <c r="R148"/>
    </row>
    <row r="149" spans="1:18" s="1070" customFormat="1" ht="13" hidden="1">
      <c r="A149"/>
      <c r="B149" s="1140"/>
      <c r="C149" s="1141"/>
      <c r="D149" s="1138"/>
      <c r="H149" s="1139"/>
      <c r="I149" s="1138"/>
      <c r="J149" s="1138"/>
      <c r="L149" s="1071"/>
      <c r="M149" s="1071"/>
      <c r="N149" s="1071"/>
      <c r="Q149"/>
      <c r="R149"/>
    </row>
    <row r="150" spans="1:18" s="1070" customFormat="1" ht="15" hidden="1">
      <c r="A150"/>
      <c r="B150" s="1131" t="s">
        <v>882</v>
      </c>
      <c r="C150" s="1142">
        <f>IF(C147=0,0,C140*C139*F147*C148/(C147*F148*100))</f>
        <v>0</v>
      </c>
      <c r="D150" s="1138"/>
      <c r="E150" s="1138"/>
      <c r="F150" s="1138"/>
      <c r="G150" s="1138"/>
      <c r="H150" s="1139"/>
      <c r="I150" s="1138"/>
      <c r="J150" s="1138"/>
      <c r="L150" s="1071"/>
      <c r="M150" s="1071"/>
      <c r="N150" s="1071"/>
      <c r="Q150"/>
      <c r="R150"/>
    </row>
    <row r="151" spans="1:18" s="1070" customFormat="1" ht="15" hidden="1">
      <c r="A151"/>
      <c r="B151" s="1136" t="s">
        <v>883</v>
      </c>
      <c r="C151" s="1142">
        <f>IF(C150=0,0,C150*C141/2000)</f>
        <v>0</v>
      </c>
      <c r="D151" s="1138"/>
      <c r="E151" s="1138"/>
      <c r="F151" s="1138"/>
      <c r="G151" s="1138"/>
      <c r="H151" s="1139"/>
      <c r="I151" s="1138"/>
      <c r="J151" s="1138"/>
      <c r="L151" s="1071"/>
      <c r="M151" s="1071"/>
      <c r="N151" s="1071"/>
      <c r="Q151"/>
      <c r="R151"/>
    </row>
    <row r="152" spans="1:18" s="1070" customFormat="1" ht="13.5" hidden="1" thickBot="1">
      <c r="A152"/>
      <c r="B152" s="1143"/>
      <c r="C152" s="1144"/>
      <c r="D152" s="1144"/>
      <c r="E152" s="1144"/>
      <c r="F152" s="1144"/>
      <c r="G152" s="1144"/>
      <c r="H152" s="1139"/>
      <c r="I152" s="1138"/>
      <c r="J152" s="1138"/>
      <c r="L152" s="1071"/>
      <c r="M152" s="1071"/>
      <c r="N152" s="1071"/>
      <c r="Q152"/>
      <c r="R152"/>
    </row>
    <row r="153" spans="1:18" s="1070" customFormat="1" ht="13" hidden="1">
      <c r="A153"/>
      <c r="B153" s="1145"/>
      <c r="L153" s="1071"/>
      <c r="M153" s="1071"/>
      <c r="N153" s="1071"/>
      <c r="Q153"/>
      <c r="R153"/>
    </row>
    <row r="154" spans="1:18" s="1070" customFormat="1" ht="39.5" hidden="1" thickBot="1">
      <c r="A154"/>
      <c r="B154" s="1146" t="s">
        <v>1187</v>
      </c>
      <c r="C154" s="1147" t="s">
        <v>43</v>
      </c>
      <c r="L154" s="1071"/>
      <c r="M154" s="1071"/>
      <c r="N154" s="1071"/>
      <c r="Q154"/>
      <c r="R154"/>
    </row>
    <row r="155" spans="1:18" s="1070" customFormat="1" ht="13" hidden="1">
      <c r="A155"/>
      <c r="B155" s="1145"/>
      <c r="L155" s="1071"/>
      <c r="M155" s="1071"/>
      <c r="N155" s="1071"/>
      <c r="Q155"/>
      <c r="R155"/>
    </row>
    <row r="156" spans="1:18" s="1070" customFormat="1" ht="13" hidden="1">
      <c r="A156"/>
      <c r="B156" s="1148" t="s">
        <v>884</v>
      </c>
      <c r="C156" s="1076"/>
      <c r="D156" s="1075"/>
      <c r="E156" s="1075"/>
      <c r="F156" s="1075"/>
      <c r="G156" s="1075"/>
      <c r="H156" s="1075"/>
      <c r="I156" s="1075"/>
      <c r="J156" s="1075"/>
      <c r="K156" s="1075"/>
      <c r="L156" s="1078"/>
      <c r="M156" s="1078"/>
      <c r="N156" s="1078"/>
      <c r="O156" s="1075"/>
      <c r="P156" s="1079"/>
      <c r="Q156"/>
      <c r="R156"/>
    </row>
    <row r="157" spans="1:18" s="1070" customFormat="1" ht="13" hidden="1">
      <c r="A157"/>
      <c r="B157" s="1081"/>
      <c r="D157" s="1149"/>
      <c r="E157" s="1150" t="s">
        <v>885</v>
      </c>
      <c r="F157" s="1151"/>
      <c r="L157" s="1071"/>
      <c r="M157" s="1071"/>
      <c r="N157" s="1071"/>
      <c r="P157" s="1082"/>
      <c r="Q157"/>
      <c r="R157"/>
    </row>
    <row r="158" spans="1:18" s="1070" customFormat="1" ht="78" hidden="1">
      <c r="A158"/>
      <c r="B158" s="1153"/>
      <c r="C158" s="1154" t="s">
        <v>886</v>
      </c>
      <c r="D158" s="1155" t="s">
        <v>1188</v>
      </c>
      <c r="E158" s="1154" t="s">
        <v>1189</v>
      </c>
      <c r="F158" s="1156" t="s">
        <v>1190</v>
      </c>
      <c r="G158" s="1157" t="s">
        <v>887</v>
      </c>
      <c r="H158" s="1158" t="s">
        <v>888</v>
      </c>
      <c r="I158" s="1157" t="s">
        <v>889</v>
      </c>
      <c r="J158" s="1159" t="s">
        <v>890</v>
      </c>
      <c r="K158" s="1160" t="s">
        <v>891</v>
      </c>
      <c r="L158" s="1154" t="s">
        <v>892</v>
      </c>
      <c r="M158" s="1161" t="s">
        <v>1191</v>
      </c>
      <c r="N158" s="1162" t="s">
        <v>893</v>
      </c>
      <c r="O158" s="1159" t="s">
        <v>22</v>
      </c>
      <c r="P158" s="1163" t="s">
        <v>23</v>
      </c>
      <c r="Q158"/>
      <c r="R158"/>
    </row>
    <row r="159" spans="1:18" s="1070" customFormat="1" ht="13" hidden="1">
      <c r="A159"/>
      <c r="B159" s="1164" t="s">
        <v>1</v>
      </c>
      <c r="C159" s="1086">
        <v>2.74</v>
      </c>
      <c r="D159" s="1165">
        <v>0.12</v>
      </c>
      <c r="E159" s="1166">
        <v>0.11799999999999999</v>
      </c>
      <c r="F159" s="1165">
        <v>2.9600000000000001E-2</v>
      </c>
      <c r="G159" s="1167">
        <f>IF($C$27="4 Stroke, Lean-Burn",E159,IF($C$27="2 Stroke",D159,F159))</f>
        <v>0.11799999999999999</v>
      </c>
      <c r="H159" s="1167">
        <f>IF(C159=0,G159,C159)</f>
        <v>2.74</v>
      </c>
      <c r="I159" s="1168" t="str">
        <f>IF(C159=0,"lb/MMBtu","g/hp-hr")</f>
        <v>g/hp-hr</v>
      </c>
      <c r="J159" s="1169">
        <f>IF(I159="g/hp-hr",H159*$C$24/453.59,H159*$C$25*$C$24/1000000)</f>
        <v>17.711325205582135</v>
      </c>
      <c r="K159" s="1170">
        <f>J159*$C$26/2000</f>
        <v>4.4278313013955337</v>
      </c>
      <c r="L159" s="1171"/>
      <c r="M159" s="1172">
        <f>M102</f>
        <v>0.8</v>
      </c>
      <c r="N159" s="1173">
        <f>IF(L159=0,M159,L159)</f>
        <v>0.8</v>
      </c>
      <c r="O159" s="1170">
        <f>IF(L159&gt;0,J159*(100-L159)/100,IF(M159=0,J159,M159*$C$24/453.59))+IF(OR(C154="No", C154=""), O165, 0)</f>
        <v>7.3689455234903765</v>
      </c>
      <c r="P159" s="1174">
        <f t="shared" ref="P159:P169" si="18">O159*$C$26/2000</f>
        <v>1.8422363808725941</v>
      </c>
      <c r="Q159"/>
      <c r="R159"/>
    </row>
    <row r="160" spans="1:18" s="1070" customFormat="1" ht="13" hidden="1">
      <c r="A160"/>
      <c r="B160" s="1164" t="s">
        <v>21</v>
      </c>
      <c r="C160" s="1175">
        <v>4</v>
      </c>
      <c r="D160" s="1166">
        <v>3.17</v>
      </c>
      <c r="E160" s="1176">
        <v>4.08</v>
      </c>
      <c r="F160" s="1166">
        <v>2.21</v>
      </c>
      <c r="G160" s="1167">
        <f t="shared" ref="G160:G169" si="19">IF($C$27="4 Stroke, Lean-Burn",E160,IF($C$27="2 Stroke",D160,F160))</f>
        <v>4.08</v>
      </c>
      <c r="H160" s="1167">
        <f t="shared" ref="H160:H169" si="20">IF(C160=0,G160,C160)</f>
        <v>4</v>
      </c>
      <c r="I160" s="1168" t="str">
        <f t="shared" ref="I160:I169" si="21">IF(C160=0,"lb/MMBtu","g/hp-hr")</f>
        <v>g/hp-hr</v>
      </c>
      <c r="J160" s="1170">
        <f t="shared" ref="J160:J169" si="22">IF(I160="g/hp-hr",H160*$C$24/453.59,H160*$C$25*$C$24/1000000)</f>
        <v>25.855949205229393</v>
      </c>
      <c r="K160" s="1170">
        <f>J160*$C$26/2000</f>
        <v>6.4639873013073483</v>
      </c>
      <c r="L160" s="1171"/>
      <c r="M160" s="1172">
        <f>M103</f>
        <v>0.5</v>
      </c>
      <c r="N160" s="1173">
        <f t="shared" ref="N160:N169" si="23">IF(L160=0,M160,L160)</f>
        <v>0.5</v>
      </c>
      <c r="O160" s="1170">
        <f>IF(L160&gt;0,J160*(100-L160)/100,IF(M160=0,J160,M160*$C$24/453.59))</f>
        <v>3.2319936506536742</v>
      </c>
      <c r="P160" s="1174">
        <f t="shared" si="18"/>
        <v>0.80799841266341854</v>
      </c>
      <c r="Q160"/>
      <c r="R160"/>
    </row>
    <row r="161" spans="1:18" s="1070" customFormat="1" ht="13" hidden="1">
      <c r="A161"/>
      <c r="B161" s="1164" t="s">
        <v>0</v>
      </c>
      <c r="C161" s="1086">
        <v>1.74</v>
      </c>
      <c r="D161" s="1166">
        <v>0.38600000000000001</v>
      </c>
      <c r="E161" s="1176">
        <v>0.317</v>
      </c>
      <c r="F161" s="1166">
        <v>3.72</v>
      </c>
      <c r="G161" s="1167">
        <f t="shared" si="19"/>
        <v>0.317</v>
      </c>
      <c r="H161" s="1167">
        <f t="shared" si="20"/>
        <v>1.74</v>
      </c>
      <c r="I161" s="1168" t="str">
        <f t="shared" si="21"/>
        <v>g/hp-hr</v>
      </c>
      <c r="J161" s="1170">
        <f t="shared" si="22"/>
        <v>11.247337904274787</v>
      </c>
      <c r="K161" s="1170">
        <f>J161*$C$26/2000</f>
        <v>2.8118344760686971</v>
      </c>
      <c r="L161" s="1171"/>
      <c r="M161" s="1172">
        <f>M104</f>
        <v>2.1800000000000002</v>
      </c>
      <c r="N161" s="1173">
        <f t="shared" si="23"/>
        <v>2.1800000000000002</v>
      </c>
      <c r="O161" s="1170">
        <f t="shared" ref="O161:O169" si="24">IF(L161&gt;0,J161*(100-L161)/100,IF(M161=0,J161,M161*$C$24/453.59))</f>
        <v>14.091492316850021</v>
      </c>
      <c r="P161" s="1174">
        <f t="shared" si="18"/>
        <v>3.5228730792125051</v>
      </c>
      <c r="Q161"/>
      <c r="R161"/>
    </row>
    <row r="162" spans="1:18" s="1070" customFormat="1" ht="15" hidden="1">
      <c r="A162"/>
      <c r="B162" s="1164" t="s">
        <v>1192</v>
      </c>
      <c r="C162" s="1086"/>
      <c r="D162" s="1166">
        <f>0.0384+0.00991</f>
        <v>4.8309999999999999E-2</v>
      </c>
      <c r="E162" s="1176">
        <f>0.0000771+0.00991</f>
        <v>9.9871000000000005E-3</v>
      </c>
      <c r="F162" s="1166">
        <f>0.0095+0.00991</f>
        <v>1.941E-2</v>
      </c>
      <c r="G162" s="1167">
        <f t="shared" si="19"/>
        <v>9.9871000000000005E-3</v>
      </c>
      <c r="H162" s="1167">
        <f t="shared" si="20"/>
        <v>9.9871000000000005E-3</v>
      </c>
      <c r="I162" s="1168" t="str">
        <f t="shared" si="21"/>
        <v>lb/MMBtu</v>
      </c>
      <c r="J162" s="1170">
        <f t="shared" si="22"/>
        <v>0.17626292712600003</v>
      </c>
      <c r="K162" s="1170">
        <f>J162*$C$26/2000</f>
        <v>4.4065731781500007E-2</v>
      </c>
      <c r="L162" s="1171"/>
      <c r="M162" s="1171"/>
      <c r="N162" s="1173">
        <f t="shared" si="23"/>
        <v>0</v>
      </c>
      <c r="O162" s="1170">
        <f t="shared" si="24"/>
        <v>0.17626292712600003</v>
      </c>
      <c r="P162" s="1174">
        <f t="shared" si="18"/>
        <v>4.4065731781500007E-2</v>
      </c>
      <c r="Q162"/>
      <c r="R162"/>
    </row>
    <row r="163" spans="1:18" s="1070" customFormat="1" ht="15" hidden="1">
      <c r="A163"/>
      <c r="B163" s="1164" t="s">
        <v>1193</v>
      </c>
      <c r="C163" s="1086"/>
      <c r="D163" s="1166">
        <f>0.0384+0.00991</f>
        <v>4.8309999999999999E-2</v>
      </c>
      <c r="E163" s="1176">
        <f>0.0000771+0.00991</f>
        <v>9.9871000000000005E-3</v>
      </c>
      <c r="F163" s="1166">
        <f>0.0095+0.00991</f>
        <v>1.941E-2</v>
      </c>
      <c r="G163" s="1167">
        <f t="shared" si="19"/>
        <v>9.9871000000000005E-3</v>
      </c>
      <c r="H163" s="1167">
        <f t="shared" si="20"/>
        <v>9.9871000000000005E-3</v>
      </c>
      <c r="I163" s="1168" t="str">
        <f t="shared" si="21"/>
        <v>lb/MMBtu</v>
      </c>
      <c r="J163" s="1169">
        <f t="shared" si="22"/>
        <v>0.17626292712600003</v>
      </c>
      <c r="K163" s="1170">
        <f>J163*$C$26/2000</f>
        <v>4.4065731781500007E-2</v>
      </c>
      <c r="L163" s="1171"/>
      <c r="M163" s="1171"/>
      <c r="N163" s="1173">
        <f t="shared" si="23"/>
        <v>0</v>
      </c>
      <c r="O163" s="1170">
        <f t="shared" si="24"/>
        <v>0.17626292712600003</v>
      </c>
      <c r="P163" s="1174">
        <f t="shared" si="18"/>
        <v>4.4065731781500007E-2</v>
      </c>
      <c r="Q163"/>
      <c r="R163"/>
    </row>
    <row r="164" spans="1:18" s="1070" customFormat="1" ht="15" hidden="1">
      <c r="A164"/>
      <c r="B164" s="1178" t="s">
        <v>894</v>
      </c>
      <c r="C164" s="1179"/>
      <c r="D164" s="1180">
        <v>5.8799999999999998E-4</v>
      </c>
      <c r="E164" s="1181">
        <v>5.8799999999999998E-4</v>
      </c>
      <c r="F164" s="1180">
        <v>5.8799999999999998E-4</v>
      </c>
      <c r="G164" s="1167">
        <f t="shared" si="19"/>
        <v>5.8799999999999998E-4</v>
      </c>
      <c r="H164" s="1167">
        <f t="shared" si="20"/>
        <v>5.8799999999999998E-4</v>
      </c>
      <c r="I164" s="1168" t="str">
        <f t="shared" si="21"/>
        <v>lb/MMBtu</v>
      </c>
      <c r="J164" s="1169">
        <f t="shared" si="22"/>
        <v>1.0377647279999999E-2</v>
      </c>
      <c r="K164" s="1170">
        <f t="shared" ref="K164:K169" si="25">J164*$C$26/2000</f>
        <v>2.5944118199999998E-3</v>
      </c>
      <c r="L164" s="1171"/>
      <c r="M164" s="1171"/>
      <c r="N164" s="1173">
        <f t="shared" si="23"/>
        <v>0</v>
      </c>
      <c r="O164" s="1170">
        <f t="shared" si="24"/>
        <v>1.0377647279999999E-2</v>
      </c>
      <c r="P164" s="1174">
        <f t="shared" si="18"/>
        <v>2.5944118199999998E-3</v>
      </c>
      <c r="Q164"/>
      <c r="R164"/>
    </row>
    <row r="165" spans="1:18" s="1070" customFormat="1" ht="13" hidden="1">
      <c r="A165"/>
      <c r="B165" s="1164" t="s">
        <v>895</v>
      </c>
      <c r="C165" s="1086">
        <v>0.34</v>
      </c>
      <c r="D165" s="1166">
        <v>5.5199999999999999E-2</v>
      </c>
      <c r="E165" s="1176">
        <v>5.28E-2</v>
      </c>
      <c r="F165" s="1166">
        <v>2.0500000000000001E-2</v>
      </c>
      <c r="G165" s="1167">
        <f t="shared" si="19"/>
        <v>5.28E-2</v>
      </c>
      <c r="H165" s="1167">
        <f t="shared" si="20"/>
        <v>0.34</v>
      </c>
      <c r="I165" s="1168" t="str">
        <f t="shared" si="21"/>
        <v>g/hp-hr</v>
      </c>
      <c r="J165" s="1169">
        <f t="shared" si="22"/>
        <v>2.1977556824444986</v>
      </c>
      <c r="K165" s="1170">
        <f t="shared" si="25"/>
        <v>0.54943892061112465</v>
      </c>
      <c r="L165" s="1171"/>
      <c r="M165" s="1172">
        <f>M108</f>
        <v>0</v>
      </c>
      <c r="N165" s="1173">
        <f t="shared" si="23"/>
        <v>0</v>
      </c>
      <c r="O165" s="1170">
        <f t="shared" si="24"/>
        <v>2.1977556824444986</v>
      </c>
      <c r="P165" s="1174">
        <f t="shared" si="18"/>
        <v>0.54943892061112465</v>
      </c>
      <c r="Q165"/>
      <c r="R165"/>
    </row>
    <row r="166" spans="1:18" s="1070" customFormat="1" ht="13" hidden="1">
      <c r="A166"/>
      <c r="B166" s="1164" t="s">
        <v>11</v>
      </c>
      <c r="C166" s="1086"/>
      <c r="D166" s="1166">
        <v>1.9400000000000001E-3</v>
      </c>
      <c r="E166" s="1166">
        <v>4.0400000000000001E-4</v>
      </c>
      <c r="F166" s="1166">
        <v>1.58E-3</v>
      </c>
      <c r="G166" s="1167">
        <f t="shared" si="19"/>
        <v>4.0400000000000001E-4</v>
      </c>
      <c r="H166" s="1167">
        <f t="shared" si="20"/>
        <v>4.0400000000000001E-4</v>
      </c>
      <c r="I166" s="1168" t="str">
        <f t="shared" si="21"/>
        <v>lb/MMBtu</v>
      </c>
      <c r="J166" s="1170">
        <f t="shared" si="22"/>
        <v>7.1302202399999995E-3</v>
      </c>
      <c r="K166" s="1170">
        <f t="shared" si="25"/>
        <v>1.7825550599999999E-3</v>
      </c>
      <c r="L166" s="1171"/>
      <c r="M166" s="1171"/>
      <c r="N166" s="1173">
        <f t="shared" si="23"/>
        <v>0</v>
      </c>
      <c r="O166" s="1170">
        <f t="shared" si="24"/>
        <v>7.1302202399999995E-3</v>
      </c>
      <c r="P166" s="1174">
        <f t="shared" si="18"/>
        <v>1.7825550599999999E-3</v>
      </c>
      <c r="Q166"/>
      <c r="R166"/>
    </row>
    <row r="167" spans="1:18" s="1070" customFormat="1" ht="13" hidden="1">
      <c r="A167"/>
      <c r="B167" s="1164" t="s">
        <v>16</v>
      </c>
      <c r="C167" s="1086"/>
      <c r="D167" s="1166"/>
      <c r="E167" s="1166">
        <v>3.9700000000000003E-5</v>
      </c>
      <c r="F167" s="1166"/>
      <c r="G167" s="1167">
        <f t="shared" si="19"/>
        <v>3.9700000000000003E-5</v>
      </c>
      <c r="H167" s="1167">
        <f t="shared" si="20"/>
        <v>3.9700000000000003E-5</v>
      </c>
      <c r="I167" s="1167" t="str">
        <f t="shared" si="21"/>
        <v>lb/MMBtu</v>
      </c>
      <c r="J167" s="1170">
        <f t="shared" si="22"/>
        <v>7.0066768200000018E-4</v>
      </c>
      <c r="K167" s="1170">
        <f t="shared" si="25"/>
        <v>1.7516692050000005E-4</v>
      </c>
      <c r="L167" s="1171"/>
      <c r="M167" s="1171"/>
      <c r="N167" s="1173">
        <f t="shared" si="23"/>
        <v>0</v>
      </c>
      <c r="O167" s="1170">
        <f t="shared" si="24"/>
        <v>7.0066768200000018E-4</v>
      </c>
      <c r="P167" s="1182">
        <f t="shared" si="18"/>
        <v>1.7516692050000005E-4</v>
      </c>
      <c r="Q167"/>
      <c r="R167"/>
    </row>
    <row r="168" spans="1:18" s="1070" customFormat="1" ht="13" hidden="1">
      <c r="A168"/>
      <c r="B168" s="1164" t="s">
        <v>14</v>
      </c>
      <c r="C168" s="1086"/>
      <c r="D168" s="1166"/>
      <c r="E168" s="1166">
        <v>4.08E-4</v>
      </c>
      <c r="F168" s="1166"/>
      <c r="G168" s="1167">
        <f t="shared" si="19"/>
        <v>4.08E-4</v>
      </c>
      <c r="H168" s="1167">
        <f t="shared" si="20"/>
        <v>4.08E-4</v>
      </c>
      <c r="I168" s="1167" t="str">
        <f t="shared" si="21"/>
        <v>lb/MMBtu</v>
      </c>
      <c r="J168" s="1170">
        <f t="shared" si="22"/>
        <v>7.2008164800000003E-3</v>
      </c>
      <c r="K168" s="1170">
        <f t="shared" si="25"/>
        <v>1.8002041200000001E-3</v>
      </c>
      <c r="L168" s="1171"/>
      <c r="M168" s="1171"/>
      <c r="N168" s="1173">
        <f t="shared" si="23"/>
        <v>0</v>
      </c>
      <c r="O168" s="1170">
        <f t="shared" si="24"/>
        <v>7.2008164800000003E-3</v>
      </c>
      <c r="P168" s="1182">
        <f t="shared" si="18"/>
        <v>1.8002041200000001E-3</v>
      </c>
      <c r="Q168"/>
      <c r="R168"/>
    </row>
    <row r="169" spans="1:18" s="1070" customFormat="1" ht="13" hidden="1">
      <c r="A169"/>
      <c r="B169" s="1164" t="s">
        <v>451</v>
      </c>
      <c r="C169" s="1086"/>
      <c r="D169" s="1166"/>
      <c r="E169" s="1166">
        <v>1.84E-4</v>
      </c>
      <c r="F169" s="1166"/>
      <c r="G169" s="1167">
        <f t="shared" si="19"/>
        <v>1.84E-4</v>
      </c>
      <c r="H169" s="1167">
        <f t="shared" si="20"/>
        <v>1.84E-4</v>
      </c>
      <c r="I169" s="1167" t="str">
        <f t="shared" si="21"/>
        <v>lb/MMBtu</v>
      </c>
      <c r="J169" s="1170">
        <f t="shared" si="22"/>
        <v>3.2474270400000001E-3</v>
      </c>
      <c r="K169" s="1170">
        <f t="shared" si="25"/>
        <v>8.1185676000000001E-4</v>
      </c>
      <c r="L169" s="1171"/>
      <c r="M169" s="1171"/>
      <c r="N169" s="1173">
        <f t="shared" si="23"/>
        <v>0</v>
      </c>
      <c r="O169" s="1170">
        <f t="shared" si="24"/>
        <v>3.2474270400000001E-3</v>
      </c>
      <c r="P169" s="1182">
        <f t="shared" si="18"/>
        <v>8.1185676000000001E-4</v>
      </c>
      <c r="Q169"/>
      <c r="R169"/>
    </row>
    <row r="170" spans="1:18" s="1070" customFormat="1" ht="13.5" hidden="1" thickBot="1">
      <c r="A170"/>
      <c r="B170" s="1121"/>
      <c r="C170" s="1122"/>
      <c r="D170" s="1122"/>
      <c r="E170" s="1122"/>
      <c r="F170" s="1122"/>
      <c r="G170" s="1122"/>
      <c r="H170" s="1122"/>
      <c r="I170" s="1122"/>
      <c r="J170" s="1122"/>
      <c r="K170" s="1122"/>
      <c r="L170" s="1123"/>
      <c r="M170" s="1123"/>
      <c r="N170" s="1123"/>
      <c r="O170" s="1122"/>
      <c r="P170" s="1124"/>
      <c r="Q170"/>
      <c r="R170"/>
    </row>
    <row r="171" spans="1:18" s="1070" customFormat="1" ht="13" hidden="1">
      <c r="A171"/>
      <c r="L171" s="1071"/>
      <c r="M171" s="1071"/>
      <c r="N171" s="1071"/>
      <c r="Q171"/>
      <c r="R171"/>
    </row>
    <row r="172" spans="1:18" s="1070" customFormat="1" ht="13" hidden="1">
      <c r="A172"/>
      <c r="B172" s="1183" t="s">
        <v>1194</v>
      </c>
      <c r="L172" s="1071"/>
      <c r="M172" s="1071"/>
      <c r="N172" s="1071"/>
      <c r="Q172"/>
      <c r="R172"/>
    </row>
    <row r="173" spans="1:18" s="1070" customFormat="1" ht="13.5" hidden="1" thickBot="1">
      <c r="A173"/>
      <c r="B173" s="1184" t="s">
        <v>1195</v>
      </c>
      <c r="L173" s="1071"/>
      <c r="M173" s="1071"/>
      <c r="N173" s="1071"/>
      <c r="Q173"/>
      <c r="R173"/>
    </row>
    <row r="174" spans="1:18" s="1070" customFormat="1" ht="13" hidden="1">
      <c r="A174"/>
      <c r="L174" s="1071"/>
      <c r="M174" s="1071"/>
      <c r="N174" s="1071"/>
      <c r="Q174"/>
      <c r="R174"/>
    </row>
    <row r="175" spans="1:18" s="1070" customFormat="1" ht="13.5" hidden="1" thickBot="1">
      <c r="A175"/>
      <c r="B175" s="1188" t="s">
        <v>915</v>
      </c>
      <c r="C175" s="5097" t="s">
        <v>1196</v>
      </c>
      <c r="D175" s="5098"/>
      <c r="E175" s="5098"/>
      <c r="F175" s="5098"/>
      <c r="G175" s="5098"/>
      <c r="H175" s="5098"/>
      <c r="I175" s="5098"/>
      <c r="J175" s="5098"/>
      <c r="K175" s="5098"/>
      <c r="L175" s="5098"/>
      <c r="M175" s="5098"/>
      <c r="N175" s="5098"/>
      <c r="O175" s="5098"/>
      <c r="P175" s="5099"/>
      <c r="Q175"/>
      <c r="R175"/>
    </row>
    <row r="176" spans="1:18" s="1070" customFormat="1" ht="13" hidden="1">
      <c r="A176"/>
      <c r="B176" s="1072"/>
      <c r="C176" s="1072"/>
      <c r="D176" s="1072"/>
      <c r="E176" s="1072"/>
      <c r="F176" s="1072"/>
      <c r="G176" s="1072"/>
      <c r="H176" s="1072"/>
      <c r="I176" s="1072"/>
      <c r="J176" s="1072"/>
      <c r="K176" s="1072"/>
      <c r="L176" s="1073"/>
      <c r="M176" s="1073"/>
      <c r="N176" s="1073"/>
      <c r="O176" s="1072"/>
      <c r="P176" s="1072"/>
      <c r="Q176"/>
      <c r="R176"/>
    </row>
    <row r="177" spans="1:18" s="1070" customFormat="1" ht="13" hidden="1">
      <c r="A177"/>
      <c r="B177" s="1074" t="s">
        <v>849</v>
      </c>
      <c r="C177" s="1076"/>
      <c r="D177" s="1075"/>
      <c r="E177" s="1076" t="s">
        <v>850</v>
      </c>
      <c r="F177" s="1076"/>
      <c r="G177" s="1076"/>
      <c r="H177" s="1075"/>
      <c r="I177" s="1076" t="s">
        <v>851</v>
      </c>
      <c r="J177" s="1076"/>
      <c r="K177" s="1076"/>
      <c r="L177" s="1077"/>
      <c r="M177" s="1078"/>
      <c r="N177" s="1078"/>
      <c r="O177" s="1075"/>
      <c r="P177" s="1079"/>
      <c r="Q177"/>
      <c r="R177"/>
    </row>
    <row r="178" spans="1:18" s="1070" customFormat="1" ht="13" hidden="1">
      <c r="A178"/>
      <c r="B178" s="1080"/>
      <c r="L178" s="1071"/>
      <c r="M178" s="1071"/>
      <c r="N178" s="1071"/>
      <c r="P178" s="1082"/>
      <c r="Q178"/>
      <c r="R178"/>
    </row>
    <row r="179" spans="1:18" s="1070" customFormat="1" ht="13" hidden="1">
      <c r="A179"/>
      <c r="B179" s="1189" t="s">
        <v>852</v>
      </c>
      <c r="C179" s="1086" t="s">
        <v>1200</v>
      </c>
      <c r="E179" s="5101" t="s">
        <v>853</v>
      </c>
      <c r="F179" s="5102"/>
      <c r="G179" s="1085">
        <v>17</v>
      </c>
      <c r="I179" s="5095" t="s">
        <v>854</v>
      </c>
      <c r="J179" s="5100"/>
      <c r="K179" s="5096"/>
      <c r="L179" s="1086" t="s">
        <v>859</v>
      </c>
      <c r="M179" s="1087"/>
      <c r="N179" s="1071"/>
      <c r="P179" s="1082"/>
      <c r="Q179"/>
      <c r="R179"/>
    </row>
    <row r="180" spans="1:18" s="1070" customFormat="1" ht="13" hidden="1">
      <c r="A180"/>
      <c r="B180" s="1088"/>
      <c r="C180" s="1104"/>
      <c r="E180" s="5101" t="s">
        <v>855</v>
      </c>
      <c r="F180" s="5102"/>
      <c r="G180" s="1090">
        <v>1</v>
      </c>
      <c r="I180" s="5095" t="s">
        <v>856</v>
      </c>
      <c r="J180" s="5100"/>
      <c r="K180" s="5096"/>
      <c r="L180" s="1091">
        <f>C197</f>
        <v>6700</v>
      </c>
      <c r="M180" s="1071"/>
      <c r="N180" s="1087"/>
      <c r="P180" s="1082"/>
      <c r="Q180"/>
      <c r="R180"/>
    </row>
    <row r="181" spans="1:18" s="1070" customFormat="1" ht="13" hidden="1">
      <c r="A181"/>
      <c r="B181" s="1081"/>
      <c r="C181" s="1071"/>
      <c r="E181" s="5101" t="s">
        <v>857</v>
      </c>
      <c r="F181" s="5102"/>
      <c r="G181" s="1085">
        <v>755</v>
      </c>
      <c r="I181" s="5095" t="s">
        <v>858</v>
      </c>
      <c r="J181" s="5100"/>
      <c r="K181" s="5096"/>
      <c r="L181" s="1093">
        <v>1020</v>
      </c>
      <c r="M181" s="1071"/>
      <c r="N181" s="1087"/>
      <c r="P181" s="1082"/>
      <c r="Q181"/>
      <c r="R181"/>
    </row>
    <row r="182" spans="1:18" s="1070" customFormat="1" ht="13" hidden="1">
      <c r="A182"/>
      <c r="B182" s="1164" t="s">
        <v>860</v>
      </c>
      <c r="C182" s="1086" t="s">
        <v>1169</v>
      </c>
      <c r="E182" s="5101" t="s">
        <v>861</v>
      </c>
      <c r="F182" s="5102"/>
      <c r="G182" s="1095">
        <f>4171/(PI()*(G180/2)^2)/60</f>
        <v>88.511369018172729</v>
      </c>
      <c r="I182" s="5095" t="s">
        <v>862</v>
      </c>
      <c r="J182" s="5100"/>
      <c r="K182" s="5096"/>
      <c r="L182" s="1093" t="e">
        <f>#REF!</f>
        <v>#REF!</v>
      </c>
      <c r="M182" s="1071"/>
      <c r="N182" s="1087"/>
      <c r="P182" s="1082"/>
      <c r="Q182"/>
      <c r="R182"/>
    </row>
    <row r="183" spans="1:18" s="1070" customFormat="1" ht="13" hidden="1">
      <c r="A183"/>
      <c r="B183" s="1164" t="s">
        <v>863</v>
      </c>
      <c r="C183" s="1190" t="s">
        <v>94</v>
      </c>
      <c r="I183" s="5095" t="s">
        <v>1170</v>
      </c>
      <c r="J183" s="5100"/>
      <c r="K183" s="5096"/>
      <c r="L183" s="1097" t="e">
        <f>#REF!</f>
        <v>#REF!</v>
      </c>
      <c r="M183" s="1071"/>
      <c r="N183" s="1087"/>
      <c r="P183" s="1082"/>
      <c r="Q183"/>
      <c r="R183"/>
    </row>
    <row r="184" spans="1:18" s="1070" customFormat="1" ht="13" hidden="1">
      <c r="A184"/>
      <c r="B184" s="1081"/>
      <c r="J184" s="1098"/>
      <c r="K184" s="1098"/>
      <c r="L184" s="1071"/>
      <c r="M184" s="1071"/>
      <c r="N184" s="1087"/>
      <c r="P184" s="1082"/>
      <c r="Q184"/>
      <c r="R184"/>
    </row>
    <row r="185" spans="1:18" s="1070" customFormat="1" ht="13" hidden="1">
      <c r="A185"/>
      <c r="B185" s="1099" t="s">
        <v>1171</v>
      </c>
      <c r="C185" s="1073"/>
      <c r="E185" s="1072" t="s">
        <v>864</v>
      </c>
      <c r="I185" s="1101"/>
      <c r="J185" s="1191"/>
      <c r="K185" s="1191"/>
      <c r="L185" s="1071"/>
      <c r="M185" s="1071"/>
      <c r="N185" s="1087"/>
      <c r="P185" s="1082"/>
      <c r="Q185"/>
      <c r="R185"/>
    </row>
    <row r="186" spans="1:18" s="1070" customFormat="1" ht="13" hidden="1">
      <c r="A186"/>
      <c r="B186" s="1081"/>
      <c r="C186" s="1071"/>
      <c r="G186" s="1073" t="s">
        <v>865</v>
      </c>
      <c r="J186" s="1098"/>
      <c r="K186" s="1073"/>
      <c r="L186" s="1071"/>
      <c r="M186" s="1071"/>
      <c r="N186" s="1087"/>
      <c r="P186" s="1082"/>
      <c r="Q186"/>
      <c r="R186"/>
    </row>
    <row r="187" spans="1:18" s="1070" customFormat="1" ht="13" hidden="1">
      <c r="A187"/>
      <c r="B187" s="1164" t="s">
        <v>148</v>
      </c>
      <c r="C187" s="1086" t="e">
        <v>#REF!</v>
      </c>
      <c r="E187" s="5095" t="s">
        <v>1172</v>
      </c>
      <c r="F187" s="5096"/>
      <c r="G187" s="1085" t="s">
        <v>42</v>
      </c>
      <c r="I187" s="5095" t="s">
        <v>1173</v>
      </c>
      <c r="J187" s="5096"/>
      <c r="K187" s="1085" t="s">
        <v>42</v>
      </c>
      <c r="L187" s="1071"/>
      <c r="M187" s="1071"/>
      <c r="N187" s="1087"/>
      <c r="P187" s="1082"/>
      <c r="Q187"/>
      <c r="R187"/>
    </row>
    <row r="188" spans="1:18" s="1070" customFormat="1" ht="13" hidden="1">
      <c r="A188"/>
      <c r="B188" s="1164" t="s">
        <v>914</v>
      </c>
      <c r="C188" s="1171" t="e">
        <v>#REF!</v>
      </c>
      <c r="E188" s="5095" t="s">
        <v>866</v>
      </c>
      <c r="F188" s="5096"/>
      <c r="G188" s="1085" t="s">
        <v>43</v>
      </c>
      <c r="I188" s="5095" t="s">
        <v>1175</v>
      </c>
      <c r="J188" s="5096"/>
      <c r="K188" s="1085" t="s">
        <v>42</v>
      </c>
      <c r="L188" s="1071"/>
      <c r="M188" s="1071"/>
      <c r="N188" s="1087"/>
      <c r="P188" s="1082"/>
      <c r="Q188"/>
      <c r="R188"/>
    </row>
    <row r="189" spans="1:18" s="1070" customFormat="1" ht="13" hidden="1">
      <c r="A189"/>
      <c r="B189" s="1164" t="s">
        <v>288</v>
      </c>
      <c r="C189" s="1086" t="s">
        <v>1198</v>
      </c>
      <c r="E189" s="5095" t="s">
        <v>1177</v>
      </c>
      <c r="F189" s="5096"/>
      <c r="G189" s="1085" t="s">
        <v>43</v>
      </c>
      <c r="I189" s="1088"/>
      <c r="J189" s="1104"/>
      <c r="K189" s="1088"/>
      <c r="L189" s="1071"/>
      <c r="M189" s="1071"/>
      <c r="N189" s="1087"/>
      <c r="P189" s="1082"/>
      <c r="Q189"/>
      <c r="R189"/>
    </row>
    <row r="190" spans="1:18" s="1070" customFormat="1" ht="13" hidden="1">
      <c r="A190"/>
      <c r="B190" s="1164" t="s">
        <v>867</v>
      </c>
      <c r="C190" s="1086" t="s">
        <v>1199</v>
      </c>
      <c r="E190" s="5095" t="s">
        <v>1178</v>
      </c>
      <c r="F190" s="5096"/>
      <c r="G190" s="1085" t="s">
        <v>43</v>
      </c>
      <c r="L190" s="1071"/>
      <c r="M190" s="1071"/>
      <c r="N190" s="1071"/>
      <c r="P190" s="1082"/>
      <c r="Q190"/>
      <c r="R190"/>
    </row>
    <row r="191" spans="1:18" s="1070" customFormat="1" ht="13" hidden="1">
      <c r="A191"/>
      <c r="B191" s="1164" t="s">
        <v>868</v>
      </c>
      <c r="C191" s="1086" t="s">
        <v>94</v>
      </c>
      <c r="E191" s="5095" t="s">
        <v>1179</v>
      </c>
      <c r="F191" s="5096"/>
      <c r="G191" s="1085" t="s">
        <v>43</v>
      </c>
      <c r="L191" s="1071"/>
      <c r="M191" s="1071"/>
      <c r="N191" s="1071"/>
      <c r="P191" s="1082"/>
      <c r="Q191"/>
      <c r="R191"/>
    </row>
    <row r="192" spans="1:18" s="1070" customFormat="1" ht="13" hidden="1">
      <c r="A192"/>
      <c r="B192" s="1164" t="s">
        <v>869</v>
      </c>
      <c r="C192" s="1190" t="s">
        <v>94</v>
      </c>
      <c r="E192" s="5095" t="s">
        <v>1180</v>
      </c>
      <c r="F192" s="5096"/>
      <c r="G192" s="1105" t="s">
        <v>1181</v>
      </c>
      <c r="L192" s="1071"/>
      <c r="M192" s="1071"/>
      <c r="N192" s="1071"/>
      <c r="P192" s="1082"/>
      <c r="Q192"/>
      <c r="R192"/>
    </row>
    <row r="193" spans="1:18" s="1070" customFormat="1" ht="13" hidden="1">
      <c r="A193"/>
      <c r="B193" s="1192" t="s">
        <v>870</v>
      </c>
      <c r="C193" s="1190" t="s">
        <v>604</v>
      </c>
      <c r="L193" s="1071"/>
      <c r="M193" s="1071"/>
      <c r="N193" s="1071"/>
      <c r="P193" s="1082"/>
      <c r="Q193"/>
      <c r="R193"/>
    </row>
    <row r="194" spans="1:18" s="1070" customFormat="1" ht="13.5" hidden="1" thickTop="1">
      <c r="A194"/>
      <c r="B194" s="1164" t="s">
        <v>1182</v>
      </c>
      <c r="C194" s="1086" t="s">
        <v>1183</v>
      </c>
      <c r="E194" s="1107" t="s">
        <v>871</v>
      </c>
      <c r="F194" s="1108"/>
      <c r="G194" s="1108"/>
      <c r="H194" s="1108"/>
      <c r="I194" s="1108"/>
      <c r="J194" s="1108"/>
      <c r="K194" s="1108"/>
      <c r="L194" s="1109"/>
      <c r="M194" s="1109"/>
      <c r="N194" s="1109"/>
      <c r="O194" s="1110"/>
      <c r="P194" s="1082"/>
      <c r="Q194"/>
      <c r="R194"/>
    </row>
    <row r="195" spans="1:18" s="1070" customFormat="1" ht="13" hidden="1">
      <c r="A195"/>
      <c r="B195" s="1081"/>
      <c r="E195" s="1111"/>
      <c r="F195" s="1072"/>
      <c r="G195" s="1072"/>
      <c r="H195" s="1072"/>
      <c r="I195" s="1072"/>
      <c r="J195" s="1072"/>
      <c r="K195" s="1072"/>
      <c r="L195" s="1073"/>
      <c r="M195" s="1073"/>
      <c r="N195" s="1073"/>
      <c r="O195" s="1112"/>
      <c r="P195" s="1082"/>
      <c r="Q195"/>
      <c r="R195"/>
    </row>
    <row r="196" spans="1:18" s="1070" customFormat="1" ht="13" hidden="1">
      <c r="A196"/>
      <c r="B196" s="1164" t="s">
        <v>872</v>
      </c>
      <c r="C196" s="1193">
        <v>1300</v>
      </c>
      <c r="E196" s="1111" t="s">
        <v>873</v>
      </c>
      <c r="F196" s="1072"/>
      <c r="G196" s="1072"/>
      <c r="H196" s="1072"/>
      <c r="I196" s="1072"/>
      <c r="J196" s="1072"/>
      <c r="K196" s="1072"/>
      <c r="L196" s="1073"/>
      <c r="M196" s="1073"/>
      <c r="N196" s="1073"/>
      <c r="O196" s="1112"/>
      <c r="P196" s="1082"/>
      <c r="Q196"/>
      <c r="R196"/>
    </row>
    <row r="197" spans="1:18" s="1070" customFormat="1" ht="13" hidden="1">
      <c r="A197"/>
      <c r="B197" s="1192" t="s">
        <v>874</v>
      </c>
      <c r="C197" s="1193">
        <v>6700</v>
      </c>
      <c r="E197" s="1114" t="s">
        <v>875</v>
      </c>
      <c r="F197" s="1072"/>
      <c r="G197" s="1072"/>
      <c r="H197" s="1072"/>
      <c r="I197" s="1072"/>
      <c r="J197" s="1072"/>
      <c r="K197" s="1072"/>
      <c r="L197" s="1073"/>
      <c r="M197" s="1073"/>
      <c r="N197" s="1073"/>
      <c r="O197" s="1112"/>
      <c r="P197" s="1082"/>
      <c r="Q197"/>
      <c r="R197"/>
    </row>
    <row r="198" spans="1:18" s="1070" customFormat="1" ht="13.5" hidden="1" thickBot="1">
      <c r="A198"/>
      <c r="B198" s="1164" t="s">
        <v>876</v>
      </c>
      <c r="C198" s="1194">
        <f>C141</f>
        <v>500</v>
      </c>
      <c r="E198" s="1116" t="s">
        <v>877</v>
      </c>
      <c r="F198" s="1117"/>
      <c r="G198" s="1117"/>
      <c r="H198" s="1117"/>
      <c r="I198" s="1117"/>
      <c r="J198" s="1117"/>
      <c r="K198" s="1117"/>
      <c r="L198" s="1118"/>
      <c r="M198" s="1118"/>
      <c r="N198" s="1118"/>
      <c r="O198" s="1119"/>
      <c r="P198" s="1082"/>
      <c r="Q198"/>
      <c r="R198"/>
    </row>
    <row r="199" spans="1:18" s="1070" customFormat="1" ht="13" hidden="1">
      <c r="A199"/>
      <c r="B199" s="1192" t="s">
        <v>1184</v>
      </c>
      <c r="C199" s="1171" t="s">
        <v>1185</v>
      </c>
      <c r="L199" s="1071"/>
      <c r="M199" s="1071"/>
      <c r="N199" s="1071"/>
      <c r="P199" s="1082"/>
      <c r="Q199"/>
      <c r="R199"/>
    </row>
    <row r="200" spans="1:18" s="1070" customFormat="1" ht="13.5" hidden="1" thickBot="1">
      <c r="A200"/>
      <c r="B200" s="1120"/>
      <c r="C200" s="1122"/>
      <c r="D200" s="1122"/>
      <c r="E200" s="1122"/>
      <c r="F200" s="1122"/>
      <c r="G200" s="1122"/>
      <c r="H200" s="1122"/>
      <c r="I200" s="1122"/>
      <c r="J200" s="1122"/>
      <c r="K200" s="1122"/>
      <c r="L200" s="1123"/>
      <c r="M200" s="1123"/>
      <c r="N200" s="1123"/>
      <c r="O200" s="1122"/>
      <c r="P200" s="1124"/>
      <c r="Q200"/>
      <c r="R200"/>
    </row>
    <row r="201" spans="1:18" s="1070" customFormat="1" ht="13.5" hidden="1" thickBot="1">
      <c r="A201"/>
      <c r="B201" s="1125"/>
      <c r="C201" s="1126"/>
      <c r="D201" s="1126"/>
      <c r="E201" s="1126"/>
      <c r="F201" s="1126"/>
      <c r="G201" s="1126"/>
      <c r="H201" s="1075"/>
      <c r="I201" s="1075"/>
      <c r="J201" s="1075"/>
      <c r="K201" s="1075"/>
      <c r="L201" s="1078"/>
      <c r="M201" s="1078"/>
      <c r="N201" s="1078"/>
      <c r="O201" s="1075"/>
      <c r="Q201"/>
      <c r="R201"/>
    </row>
    <row r="202" spans="1:18" s="1070" customFormat="1" ht="28" hidden="1">
      <c r="A202"/>
      <c r="B202" s="1127" t="s">
        <v>1186</v>
      </c>
      <c r="C202" s="1128"/>
      <c r="D202" s="1129"/>
      <c r="E202" s="1129"/>
      <c r="F202" s="1129"/>
      <c r="G202" s="1129"/>
      <c r="H202" s="1130"/>
      <c r="I202" s="1129"/>
      <c r="J202" s="1129"/>
      <c r="L202" s="1071"/>
      <c r="M202" s="1071"/>
      <c r="N202" s="1071"/>
      <c r="Q202"/>
      <c r="R202"/>
    </row>
    <row r="203" spans="1:18" s="1070" customFormat="1" ht="13" hidden="1">
      <c r="A203"/>
      <c r="B203" s="1130"/>
      <c r="C203" s="1129"/>
      <c r="D203" s="1129"/>
      <c r="E203" s="1129"/>
      <c r="F203" s="1129"/>
      <c r="G203" s="1129"/>
      <c r="H203" s="1130"/>
      <c r="I203" s="1129"/>
      <c r="J203" s="1129"/>
      <c r="L203" s="1071"/>
      <c r="M203" s="1071"/>
      <c r="N203" s="1071"/>
      <c r="Q203"/>
      <c r="R203"/>
    </row>
    <row r="204" spans="1:18" s="1070" customFormat="1" ht="15.5" hidden="1">
      <c r="A204"/>
      <c r="B204" s="1131" t="s">
        <v>878</v>
      </c>
      <c r="C204" s="1132">
        <f>L181</f>
        <v>1020</v>
      </c>
      <c r="D204" s="1129"/>
      <c r="E204" s="1133" t="s">
        <v>880</v>
      </c>
      <c r="F204" s="1134">
        <v>64.06</v>
      </c>
      <c r="G204" s="1135" t="s">
        <v>881</v>
      </c>
      <c r="H204" s="1130"/>
      <c r="I204" s="1129"/>
      <c r="J204" s="1129"/>
      <c r="L204" s="1071"/>
      <c r="M204" s="1071"/>
      <c r="N204" s="1071"/>
      <c r="Q204"/>
      <c r="R204"/>
    </row>
    <row r="205" spans="1:18" s="1070" customFormat="1" ht="15" hidden="1">
      <c r="A205"/>
      <c r="B205" s="1136" t="s">
        <v>879</v>
      </c>
      <c r="C205" s="1137">
        <v>0</v>
      </c>
      <c r="D205" s="1138"/>
      <c r="E205" s="1135" t="s">
        <v>595</v>
      </c>
      <c r="F205" s="1134">
        <v>378.61</v>
      </c>
      <c r="G205" s="1135" t="s">
        <v>596</v>
      </c>
      <c r="H205" s="1139"/>
      <c r="I205" s="1138"/>
      <c r="J205" s="1138"/>
      <c r="L205" s="1071"/>
      <c r="M205" s="1071"/>
      <c r="N205" s="1071"/>
      <c r="Q205"/>
      <c r="R205"/>
    </row>
    <row r="206" spans="1:18" s="1070" customFormat="1" ht="13" hidden="1">
      <c r="A206"/>
      <c r="B206" s="1140"/>
      <c r="C206" s="1141"/>
      <c r="D206" s="1138"/>
      <c r="H206" s="1139"/>
      <c r="I206" s="1138"/>
      <c r="J206" s="1138"/>
      <c r="L206" s="1071"/>
      <c r="M206" s="1071"/>
      <c r="N206" s="1071"/>
      <c r="Q206"/>
      <c r="R206"/>
    </row>
    <row r="207" spans="1:18" s="1070" customFormat="1" ht="15" hidden="1">
      <c r="A207"/>
      <c r="B207" s="1131" t="s">
        <v>882</v>
      </c>
      <c r="C207" s="1142">
        <f>IF(C204=0,0,C197*C196*F204*C205/(C204*F205*100))</f>
        <v>0</v>
      </c>
      <c r="D207" s="1138"/>
      <c r="E207" s="1138"/>
      <c r="F207" s="1138"/>
      <c r="G207" s="1138"/>
      <c r="H207" s="1139"/>
      <c r="I207" s="1138"/>
      <c r="J207" s="1138"/>
      <c r="L207" s="1071"/>
      <c r="M207" s="1071"/>
      <c r="N207" s="1071"/>
      <c r="Q207"/>
      <c r="R207"/>
    </row>
    <row r="208" spans="1:18" s="1070" customFormat="1" ht="15" hidden="1">
      <c r="A208"/>
      <c r="B208" s="1136" t="s">
        <v>883</v>
      </c>
      <c r="C208" s="1142">
        <f>IF(C207=0,0,C207*C198/2000)</f>
        <v>0</v>
      </c>
      <c r="D208" s="1138"/>
      <c r="E208" s="1138"/>
      <c r="F208" s="1138"/>
      <c r="G208" s="1138"/>
      <c r="H208" s="1139"/>
      <c r="I208" s="1138"/>
      <c r="J208" s="1138"/>
      <c r="L208" s="1071"/>
      <c r="M208" s="1071"/>
      <c r="N208" s="1071"/>
      <c r="Q208"/>
      <c r="R208"/>
    </row>
    <row r="209" spans="1:18" s="1070" customFormat="1" ht="13.5" hidden="1" thickBot="1">
      <c r="A209"/>
      <c r="B209" s="1143"/>
      <c r="C209" s="1144"/>
      <c r="D209" s="1144"/>
      <c r="E209" s="1144"/>
      <c r="F209" s="1144"/>
      <c r="G209" s="1144"/>
      <c r="H209" s="1139"/>
      <c r="I209" s="1138"/>
      <c r="J209" s="1138"/>
      <c r="L209" s="1071"/>
      <c r="M209" s="1071"/>
      <c r="N209" s="1071"/>
      <c r="Q209"/>
      <c r="R209"/>
    </row>
    <row r="210" spans="1:18" s="1070" customFormat="1" ht="13" hidden="1">
      <c r="A210"/>
      <c r="B210" s="1145"/>
      <c r="L210" s="1071"/>
      <c r="M210" s="1071"/>
      <c r="N210" s="1071"/>
      <c r="Q210"/>
      <c r="R210"/>
    </row>
    <row r="211" spans="1:18" s="1070" customFormat="1" ht="39.5" hidden="1" thickBot="1">
      <c r="A211"/>
      <c r="B211" s="1146" t="s">
        <v>1187</v>
      </c>
      <c r="C211" s="1147" t="s">
        <v>43</v>
      </c>
      <c r="L211" s="1071"/>
      <c r="M211" s="1071"/>
      <c r="N211" s="1071"/>
      <c r="Q211"/>
      <c r="R211"/>
    </row>
    <row r="212" spans="1:18" s="1070" customFormat="1" ht="13" hidden="1">
      <c r="A212"/>
      <c r="B212" s="1145"/>
      <c r="L212" s="1071"/>
      <c r="M212" s="1071"/>
      <c r="N212" s="1071"/>
      <c r="Q212"/>
      <c r="R212"/>
    </row>
    <row r="213" spans="1:18" s="1070" customFormat="1" ht="13" hidden="1">
      <c r="A213"/>
      <c r="B213" s="1148" t="s">
        <v>884</v>
      </c>
      <c r="C213" s="1076"/>
      <c r="D213" s="1075"/>
      <c r="E213" s="1075"/>
      <c r="F213" s="1075"/>
      <c r="G213" s="1075"/>
      <c r="H213" s="1075"/>
      <c r="I213" s="1075"/>
      <c r="J213" s="1075"/>
      <c r="K213" s="1075"/>
      <c r="L213" s="1078"/>
      <c r="M213" s="1078"/>
      <c r="N213" s="1078"/>
      <c r="O213" s="1075"/>
      <c r="P213" s="1079"/>
      <c r="Q213"/>
      <c r="R213"/>
    </row>
    <row r="214" spans="1:18" s="1070" customFormat="1" ht="13" hidden="1">
      <c r="A214"/>
      <c r="B214" s="1081"/>
      <c r="D214" s="1149"/>
      <c r="E214" s="1150" t="s">
        <v>885</v>
      </c>
      <c r="F214" s="1151"/>
      <c r="L214" s="1071"/>
      <c r="M214" s="1071"/>
      <c r="N214" s="1071"/>
      <c r="P214" s="1082"/>
      <c r="Q214"/>
      <c r="R214"/>
    </row>
    <row r="215" spans="1:18" s="1070" customFormat="1" ht="78" hidden="1">
      <c r="A215"/>
      <c r="B215" s="1153"/>
      <c r="C215" s="1154" t="s">
        <v>886</v>
      </c>
      <c r="D215" s="1155" t="s">
        <v>1188</v>
      </c>
      <c r="E215" s="1154" t="s">
        <v>1189</v>
      </c>
      <c r="F215" s="1156" t="s">
        <v>1190</v>
      </c>
      <c r="G215" s="1157" t="s">
        <v>887</v>
      </c>
      <c r="H215" s="1158" t="s">
        <v>888</v>
      </c>
      <c r="I215" s="1157" t="s">
        <v>889</v>
      </c>
      <c r="J215" s="1159" t="s">
        <v>890</v>
      </c>
      <c r="K215" s="1160" t="s">
        <v>891</v>
      </c>
      <c r="L215" s="1154" t="s">
        <v>892</v>
      </c>
      <c r="M215" s="1161" t="s">
        <v>1191</v>
      </c>
      <c r="N215" s="1162" t="s">
        <v>893</v>
      </c>
      <c r="O215" s="1159" t="s">
        <v>22</v>
      </c>
      <c r="P215" s="1163" t="s">
        <v>23</v>
      </c>
      <c r="Q215"/>
      <c r="R215"/>
    </row>
    <row r="216" spans="1:18" s="1070" customFormat="1" ht="13" hidden="1">
      <c r="A216"/>
      <c r="B216" s="1164" t="s">
        <v>1</v>
      </c>
      <c r="C216" s="1086">
        <v>2.74</v>
      </c>
      <c r="D216" s="1165">
        <v>0.12</v>
      </c>
      <c r="E216" s="1166">
        <v>0.11799999999999999</v>
      </c>
      <c r="F216" s="1165">
        <v>2.9600000000000001E-2</v>
      </c>
      <c r="G216" s="1167">
        <f>IF($C$27="4 Stroke, Lean-Burn",E216,IF($C$27="2 Stroke",D216,F216))</f>
        <v>0.11799999999999999</v>
      </c>
      <c r="H216" s="1167">
        <f>IF(C216=0,G216,C216)</f>
        <v>2.74</v>
      </c>
      <c r="I216" s="1168" t="str">
        <f>IF(C216=0,"lb/MMBtu","g/hp-hr")</f>
        <v>g/hp-hr</v>
      </c>
      <c r="J216" s="1169">
        <f>IF(I216="g/hp-hr",H216*$C$24/453.59,H216*$C$25*$C$24/1000000)</f>
        <v>17.711325205582135</v>
      </c>
      <c r="K216" s="1170">
        <f>J216*$C$26/2000</f>
        <v>4.4278313013955337</v>
      </c>
      <c r="L216" s="1171"/>
      <c r="M216" s="1172">
        <f>M159</f>
        <v>0.8</v>
      </c>
      <c r="N216" s="1173">
        <f>IF(L216=0,M216,L216)</f>
        <v>0.8</v>
      </c>
      <c r="O216" s="1170">
        <f>IF(L216&gt;0,J216*(100-L216)/100,IF(M216=0,J216,M216*$C$24/453.59))+IF(OR(C211="No", C211=""), O222, 0)</f>
        <v>7.3689455234903765</v>
      </c>
      <c r="P216" s="1174">
        <f t="shared" ref="P216:P226" si="26">O216*$C$26/2000</f>
        <v>1.8422363808725941</v>
      </c>
      <c r="Q216"/>
      <c r="R216"/>
    </row>
    <row r="217" spans="1:18" s="1070" customFormat="1" ht="13" hidden="1">
      <c r="A217"/>
      <c r="B217" s="1164" t="s">
        <v>21</v>
      </c>
      <c r="C217" s="1175">
        <v>4</v>
      </c>
      <c r="D217" s="1166">
        <v>3.17</v>
      </c>
      <c r="E217" s="1176">
        <v>4.08</v>
      </c>
      <c r="F217" s="1166">
        <v>2.21</v>
      </c>
      <c r="G217" s="1167">
        <f t="shared" ref="G217:G226" si="27">IF($C$27="4 Stroke, Lean-Burn",E217,IF($C$27="2 Stroke",D217,F217))</f>
        <v>4.08</v>
      </c>
      <c r="H217" s="1167">
        <f t="shared" ref="H217:H226" si="28">IF(C217=0,G217,C217)</f>
        <v>4</v>
      </c>
      <c r="I217" s="1168" t="str">
        <f t="shared" ref="I217:I226" si="29">IF(C217=0,"lb/MMBtu","g/hp-hr")</f>
        <v>g/hp-hr</v>
      </c>
      <c r="J217" s="1170">
        <f t="shared" ref="J217:J226" si="30">IF(I217="g/hp-hr",H217*$C$24/453.59,H217*$C$25*$C$24/1000000)</f>
        <v>25.855949205229393</v>
      </c>
      <c r="K217" s="1170">
        <f>J217*$C$26/2000</f>
        <v>6.4639873013073483</v>
      </c>
      <c r="L217" s="1171"/>
      <c r="M217" s="1172">
        <f>M160</f>
        <v>0.5</v>
      </c>
      <c r="N217" s="1173">
        <f t="shared" ref="N217:N226" si="31">IF(L217=0,M217,L217)</f>
        <v>0.5</v>
      </c>
      <c r="O217" s="1170">
        <f>IF(L217&gt;0,J217*(100-L217)/100,IF(M217=0,J217,M217*$C$24/453.59))</f>
        <v>3.2319936506536742</v>
      </c>
      <c r="P217" s="1174">
        <f t="shared" si="26"/>
        <v>0.80799841266341854</v>
      </c>
      <c r="Q217"/>
      <c r="R217"/>
    </row>
    <row r="218" spans="1:18" s="1070" customFormat="1" ht="13" hidden="1">
      <c r="A218"/>
      <c r="B218" s="1164" t="s">
        <v>0</v>
      </c>
      <c r="C218" s="1086">
        <v>1.74</v>
      </c>
      <c r="D218" s="1166">
        <v>0.38600000000000001</v>
      </c>
      <c r="E218" s="1176">
        <v>0.317</v>
      </c>
      <c r="F218" s="1166">
        <v>3.72</v>
      </c>
      <c r="G218" s="1167">
        <f t="shared" si="27"/>
        <v>0.317</v>
      </c>
      <c r="H218" s="1167">
        <f t="shared" si="28"/>
        <v>1.74</v>
      </c>
      <c r="I218" s="1168" t="str">
        <f t="shared" si="29"/>
        <v>g/hp-hr</v>
      </c>
      <c r="J218" s="1170">
        <f t="shared" si="30"/>
        <v>11.247337904274787</v>
      </c>
      <c r="K218" s="1170">
        <f>J218*$C$26/2000</f>
        <v>2.8118344760686971</v>
      </c>
      <c r="L218" s="1171"/>
      <c r="M218" s="1172">
        <f>M161</f>
        <v>2.1800000000000002</v>
      </c>
      <c r="N218" s="1173">
        <f t="shared" si="31"/>
        <v>2.1800000000000002</v>
      </c>
      <c r="O218" s="1170">
        <f t="shared" ref="O218:O226" si="32">IF(L218&gt;0,J218*(100-L218)/100,IF(M218=0,J218,M218*$C$24/453.59))</f>
        <v>14.091492316850021</v>
      </c>
      <c r="P218" s="1174">
        <f t="shared" si="26"/>
        <v>3.5228730792125051</v>
      </c>
      <c r="Q218"/>
      <c r="R218"/>
    </row>
    <row r="219" spans="1:18" s="1070" customFormat="1" ht="15" hidden="1">
      <c r="A219"/>
      <c r="B219" s="1164" t="s">
        <v>1192</v>
      </c>
      <c r="C219" s="1086"/>
      <c r="D219" s="1166">
        <f>0.0384+0.00991</f>
        <v>4.8309999999999999E-2</v>
      </c>
      <c r="E219" s="1176">
        <f>0.0000771+0.00991</f>
        <v>9.9871000000000005E-3</v>
      </c>
      <c r="F219" s="1166">
        <f>0.0095+0.00991</f>
        <v>1.941E-2</v>
      </c>
      <c r="G219" s="1167">
        <f t="shared" si="27"/>
        <v>9.9871000000000005E-3</v>
      </c>
      <c r="H219" s="1167">
        <f t="shared" si="28"/>
        <v>9.9871000000000005E-3</v>
      </c>
      <c r="I219" s="1168" t="str">
        <f t="shared" si="29"/>
        <v>lb/MMBtu</v>
      </c>
      <c r="J219" s="1170">
        <f t="shared" si="30"/>
        <v>0.17626292712600003</v>
      </c>
      <c r="K219" s="1170">
        <f>J219*$C$26/2000</f>
        <v>4.4065731781500007E-2</v>
      </c>
      <c r="L219" s="1171"/>
      <c r="M219" s="1171"/>
      <c r="N219" s="1173">
        <f t="shared" si="31"/>
        <v>0</v>
      </c>
      <c r="O219" s="1170">
        <f t="shared" si="32"/>
        <v>0.17626292712600003</v>
      </c>
      <c r="P219" s="1174">
        <f t="shared" si="26"/>
        <v>4.4065731781500007E-2</v>
      </c>
      <c r="Q219"/>
      <c r="R219"/>
    </row>
    <row r="220" spans="1:18" s="1070" customFormat="1" ht="15" hidden="1">
      <c r="A220"/>
      <c r="B220" s="1164" t="s">
        <v>1193</v>
      </c>
      <c r="C220" s="1086"/>
      <c r="D220" s="1166">
        <f>0.0384+0.00991</f>
        <v>4.8309999999999999E-2</v>
      </c>
      <c r="E220" s="1176">
        <f>0.0000771+0.00991</f>
        <v>9.9871000000000005E-3</v>
      </c>
      <c r="F220" s="1166">
        <f>0.0095+0.00991</f>
        <v>1.941E-2</v>
      </c>
      <c r="G220" s="1167">
        <f t="shared" si="27"/>
        <v>9.9871000000000005E-3</v>
      </c>
      <c r="H220" s="1167">
        <f t="shared" si="28"/>
        <v>9.9871000000000005E-3</v>
      </c>
      <c r="I220" s="1168" t="str">
        <f t="shared" si="29"/>
        <v>lb/MMBtu</v>
      </c>
      <c r="J220" s="1169">
        <f t="shared" si="30"/>
        <v>0.17626292712600003</v>
      </c>
      <c r="K220" s="1170">
        <f>J220*$C$26/2000</f>
        <v>4.4065731781500007E-2</v>
      </c>
      <c r="L220" s="1171"/>
      <c r="M220" s="1171"/>
      <c r="N220" s="1173">
        <f t="shared" si="31"/>
        <v>0</v>
      </c>
      <c r="O220" s="1170">
        <f t="shared" si="32"/>
        <v>0.17626292712600003</v>
      </c>
      <c r="P220" s="1174">
        <f t="shared" si="26"/>
        <v>4.4065731781500007E-2</v>
      </c>
      <c r="Q220"/>
      <c r="R220"/>
    </row>
    <row r="221" spans="1:18" s="1070" customFormat="1" ht="15" hidden="1">
      <c r="A221"/>
      <c r="B221" s="1178" t="s">
        <v>894</v>
      </c>
      <c r="C221" s="1179"/>
      <c r="D221" s="1180">
        <v>5.8799999999999998E-4</v>
      </c>
      <c r="E221" s="1181">
        <v>5.8799999999999998E-4</v>
      </c>
      <c r="F221" s="1180">
        <v>5.8799999999999998E-4</v>
      </c>
      <c r="G221" s="1167">
        <f t="shared" si="27"/>
        <v>5.8799999999999998E-4</v>
      </c>
      <c r="H221" s="1167">
        <f t="shared" si="28"/>
        <v>5.8799999999999998E-4</v>
      </c>
      <c r="I221" s="1168" t="str">
        <f t="shared" si="29"/>
        <v>lb/MMBtu</v>
      </c>
      <c r="J221" s="1169">
        <f t="shared" si="30"/>
        <v>1.0377647279999999E-2</v>
      </c>
      <c r="K221" s="1170">
        <f t="shared" ref="K221:K226" si="33">J221*$C$26/2000</f>
        <v>2.5944118199999998E-3</v>
      </c>
      <c r="L221" s="1171"/>
      <c r="M221" s="1171"/>
      <c r="N221" s="1173">
        <f t="shared" si="31"/>
        <v>0</v>
      </c>
      <c r="O221" s="1170">
        <f t="shared" si="32"/>
        <v>1.0377647279999999E-2</v>
      </c>
      <c r="P221" s="1174">
        <f t="shared" si="26"/>
        <v>2.5944118199999998E-3</v>
      </c>
      <c r="Q221"/>
      <c r="R221"/>
    </row>
    <row r="222" spans="1:18" s="1070" customFormat="1" ht="13" hidden="1">
      <c r="A222"/>
      <c r="B222" s="1164" t="s">
        <v>895</v>
      </c>
      <c r="C222" s="1086">
        <v>0.34</v>
      </c>
      <c r="D222" s="1166">
        <v>5.5199999999999999E-2</v>
      </c>
      <c r="E222" s="1176">
        <v>5.28E-2</v>
      </c>
      <c r="F222" s="1166">
        <v>2.0500000000000001E-2</v>
      </c>
      <c r="G222" s="1167">
        <f t="shared" si="27"/>
        <v>5.28E-2</v>
      </c>
      <c r="H222" s="1167">
        <f t="shared" si="28"/>
        <v>0.34</v>
      </c>
      <c r="I222" s="1168" t="str">
        <f t="shared" si="29"/>
        <v>g/hp-hr</v>
      </c>
      <c r="J222" s="1169">
        <f t="shared" si="30"/>
        <v>2.1977556824444986</v>
      </c>
      <c r="K222" s="1170">
        <f t="shared" si="33"/>
        <v>0.54943892061112465</v>
      </c>
      <c r="L222" s="1171"/>
      <c r="M222" s="1172">
        <f>M165</f>
        <v>0</v>
      </c>
      <c r="N222" s="1173">
        <f t="shared" si="31"/>
        <v>0</v>
      </c>
      <c r="O222" s="1170">
        <f t="shared" si="32"/>
        <v>2.1977556824444986</v>
      </c>
      <c r="P222" s="1174">
        <f t="shared" si="26"/>
        <v>0.54943892061112465</v>
      </c>
      <c r="Q222"/>
      <c r="R222"/>
    </row>
    <row r="223" spans="1:18" s="1070" customFormat="1" ht="13" hidden="1">
      <c r="A223"/>
      <c r="B223" s="1164" t="s">
        <v>11</v>
      </c>
      <c r="C223" s="1086"/>
      <c r="D223" s="1166">
        <v>1.9400000000000001E-3</v>
      </c>
      <c r="E223" s="1166">
        <v>4.0400000000000001E-4</v>
      </c>
      <c r="F223" s="1166">
        <v>1.58E-3</v>
      </c>
      <c r="G223" s="1167">
        <f t="shared" si="27"/>
        <v>4.0400000000000001E-4</v>
      </c>
      <c r="H223" s="1167">
        <f t="shared" si="28"/>
        <v>4.0400000000000001E-4</v>
      </c>
      <c r="I223" s="1168" t="str">
        <f t="shared" si="29"/>
        <v>lb/MMBtu</v>
      </c>
      <c r="J223" s="1170">
        <f t="shared" si="30"/>
        <v>7.1302202399999995E-3</v>
      </c>
      <c r="K223" s="1170">
        <f t="shared" si="33"/>
        <v>1.7825550599999999E-3</v>
      </c>
      <c r="L223" s="1171"/>
      <c r="M223" s="1171"/>
      <c r="N223" s="1173">
        <f t="shared" si="31"/>
        <v>0</v>
      </c>
      <c r="O223" s="1170">
        <f t="shared" si="32"/>
        <v>7.1302202399999995E-3</v>
      </c>
      <c r="P223" s="1174">
        <f t="shared" si="26"/>
        <v>1.7825550599999999E-3</v>
      </c>
      <c r="Q223"/>
      <c r="R223"/>
    </row>
    <row r="224" spans="1:18" s="1070" customFormat="1" ht="13" hidden="1">
      <c r="A224"/>
      <c r="B224" s="1164" t="s">
        <v>16</v>
      </c>
      <c r="C224" s="1086"/>
      <c r="D224" s="1166"/>
      <c r="E224" s="1166">
        <v>3.9700000000000003E-5</v>
      </c>
      <c r="F224" s="1166"/>
      <c r="G224" s="1167">
        <f t="shared" si="27"/>
        <v>3.9700000000000003E-5</v>
      </c>
      <c r="H224" s="1167">
        <f t="shared" si="28"/>
        <v>3.9700000000000003E-5</v>
      </c>
      <c r="I224" s="1167" t="str">
        <f t="shared" si="29"/>
        <v>lb/MMBtu</v>
      </c>
      <c r="J224" s="1170">
        <f t="shared" si="30"/>
        <v>7.0066768200000018E-4</v>
      </c>
      <c r="K224" s="1170">
        <f t="shared" si="33"/>
        <v>1.7516692050000005E-4</v>
      </c>
      <c r="L224" s="1171"/>
      <c r="M224" s="1171"/>
      <c r="N224" s="1173">
        <f t="shared" si="31"/>
        <v>0</v>
      </c>
      <c r="O224" s="1170">
        <f t="shared" si="32"/>
        <v>7.0066768200000018E-4</v>
      </c>
      <c r="P224" s="1182">
        <f t="shared" si="26"/>
        <v>1.7516692050000005E-4</v>
      </c>
      <c r="Q224"/>
      <c r="R224"/>
    </row>
    <row r="225" spans="1:18" s="1070" customFormat="1" ht="13" hidden="1">
      <c r="A225"/>
      <c r="B225" s="1164" t="s">
        <v>14</v>
      </c>
      <c r="C225" s="1086"/>
      <c r="D225" s="1166"/>
      <c r="E225" s="1166">
        <v>4.08E-4</v>
      </c>
      <c r="F225" s="1166"/>
      <c r="G225" s="1167">
        <f t="shared" si="27"/>
        <v>4.08E-4</v>
      </c>
      <c r="H225" s="1167">
        <f t="shared" si="28"/>
        <v>4.08E-4</v>
      </c>
      <c r="I225" s="1167" t="str">
        <f t="shared" si="29"/>
        <v>lb/MMBtu</v>
      </c>
      <c r="J225" s="1170">
        <f t="shared" si="30"/>
        <v>7.2008164800000003E-3</v>
      </c>
      <c r="K225" s="1170">
        <f t="shared" si="33"/>
        <v>1.8002041200000001E-3</v>
      </c>
      <c r="L225" s="1171"/>
      <c r="M225" s="1171"/>
      <c r="N225" s="1173">
        <f t="shared" si="31"/>
        <v>0</v>
      </c>
      <c r="O225" s="1170">
        <f t="shared" si="32"/>
        <v>7.2008164800000003E-3</v>
      </c>
      <c r="P225" s="1182">
        <f t="shared" si="26"/>
        <v>1.8002041200000001E-3</v>
      </c>
      <c r="Q225"/>
      <c r="R225"/>
    </row>
    <row r="226" spans="1:18" s="1070" customFormat="1" ht="13" hidden="1">
      <c r="A226"/>
      <c r="B226" s="1164" t="s">
        <v>451</v>
      </c>
      <c r="C226" s="1086"/>
      <c r="D226" s="1166"/>
      <c r="E226" s="1166">
        <v>1.84E-4</v>
      </c>
      <c r="F226" s="1166"/>
      <c r="G226" s="1167">
        <f t="shared" si="27"/>
        <v>1.84E-4</v>
      </c>
      <c r="H226" s="1167">
        <f t="shared" si="28"/>
        <v>1.84E-4</v>
      </c>
      <c r="I226" s="1167" t="str">
        <f t="shared" si="29"/>
        <v>lb/MMBtu</v>
      </c>
      <c r="J226" s="1170">
        <f t="shared" si="30"/>
        <v>3.2474270400000001E-3</v>
      </c>
      <c r="K226" s="1170">
        <f t="shared" si="33"/>
        <v>8.1185676000000001E-4</v>
      </c>
      <c r="L226" s="1171"/>
      <c r="M226" s="1171"/>
      <c r="N226" s="1173">
        <f t="shared" si="31"/>
        <v>0</v>
      </c>
      <c r="O226" s="1170">
        <f t="shared" si="32"/>
        <v>3.2474270400000001E-3</v>
      </c>
      <c r="P226" s="1182">
        <f t="shared" si="26"/>
        <v>8.1185676000000001E-4</v>
      </c>
      <c r="Q226"/>
      <c r="R226"/>
    </row>
    <row r="227" spans="1:18" s="1070" customFormat="1" ht="13.5" hidden="1" thickBot="1">
      <c r="A227"/>
      <c r="B227" s="1121"/>
      <c r="C227" s="1122"/>
      <c r="D227" s="1122"/>
      <c r="E227" s="1122"/>
      <c r="F227" s="1122"/>
      <c r="G227" s="1122"/>
      <c r="H227" s="1122"/>
      <c r="I227" s="1122"/>
      <c r="J227" s="1122"/>
      <c r="K227" s="1122"/>
      <c r="L227" s="1123"/>
      <c r="M227" s="1123"/>
      <c r="N227" s="1123"/>
      <c r="O227" s="1122"/>
      <c r="P227" s="1124"/>
      <c r="Q227"/>
      <c r="R227"/>
    </row>
    <row r="228" spans="1:18" s="1070" customFormat="1" ht="13" hidden="1">
      <c r="A228"/>
      <c r="L228" s="1071"/>
      <c r="M228" s="1071"/>
      <c r="N228" s="1071"/>
      <c r="Q228"/>
      <c r="R228"/>
    </row>
    <row r="229" spans="1:18" s="1070" customFormat="1" ht="13" hidden="1">
      <c r="A229"/>
      <c r="B229" s="1183" t="s">
        <v>1194</v>
      </c>
      <c r="L229" s="1071"/>
      <c r="M229" s="1071"/>
      <c r="N229" s="1071"/>
      <c r="Q229"/>
      <c r="R229"/>
    </row>
    <row r="230" spans="1:18" s="1070" customFormat="1" ht="13.5" hidden="1" thickBot="1">
      <c r="A230"/>
      <c r="B230" s="1184" t="s">
        <v>1195</v>
      </c>
      <c r="L230" s="1071"/>
      <c r="M230" s="1071"/>
      <c r="N230" s="1071"/>
      <c r="Q230"/>
      <c r="R230"/>
    </row>
    <row r="231" spans="1:18" s="1070" customFormat="1" ht="13" hidden="1">
      <c r="A231"/>
      <c r="L231" s="1071"/>
      <c r="M231" s="1071"/>
      <c r="N231" s="1071"/>
      <c r="Q231"/>
      <c r="R231"/>
    </row>
    <row r="232" spans="1:18" s="1070" customFormat="1" ht="13.5" hidden="1" thickBot="1">
      <c r="A232"/>
      <c r="B232" s="1188" t="s">
        <v>915</v>
      </c>
      <c r="C232" s="5097" t="s">
        <v>1196</v>
      </c>
      <c r="D232" s="5098"/>
      <c r="E232" s="5098"/>
      <c r="F232" s="5098"/>
      <c r="G232" s="5098"/>
      <c r="H232" s="5098"/>
      <c r="I232" s="5098"/>
      <c r="J232" s="5098"/>
      <c r="K232" s="5098"/>
      <c r="L232" s="5098"/>
      <c r="M232" s="5098"/>
      <c r="N232" s="5098"/>
      <c r="O232" s="5098"/>
      <c r="P232" s="5099"/>
      <c r="Q232"/>
      <c r="R232"/>
    </row>
    <row r="233" spans="1:18" s="1070" customFormat="1" ht="13">
      <c r="A233"/>
      <c r="L233" s="1071"/>
      <c r="M233" s="1071"/>
      <c r="N233" s="1071"/>
      <c r="Q233"/>
      <c r="R233"/>
    </row>
  </sheetData>
  <mergeCells count="72">
    <mergeCell ref="E7:F7"/>
    <mergeCell ref="I7:K7"/>
    <mergeCell ref="E8:F8"/>
    <mergeCell ref="I8:K8"/>
    <mergeCell ref="E9:F9"/>
    <mergeCell ref="I9:K9"/>
    <mergeCell ref="E65:F65"/>
    <mergeCell ref="I65:K65"/>
    <mergeCell ref="E10:F10"/>
    <mergeCell ref="I10:K10"/>
    <mergeCell ref="I11:K11"/>
    <mergeCell ref="E15:F15"/>
    <mergeCell ref="I15:J15"/>
    <mergeCell ref="E16:F16"/>
    <mergeCell ref="I16:J16"/>
    <mergeCell ref="E17:F17"/>
    <mergeCell ref="E18:F18"/>
    <mergeCell ref="E19:F19"/>
    <mergeCell ref="E20:F20"/>
    <mergeCell ref="C61:P61"/>
    <mergeCell ref="E75:F75"/>
    <mergeCell ref="E66:F66"/>
    <mergeCell ref="I66:K66"/>
    <mergeCell ref="E67:F67"/>
    <mergeCell ref="I67:K67"/>
    <mergeCell ref="E68:F68"/>
    <mergeCell ref="I68:K68"/>
    <mergeCell ref="I69:K69"/>
    <mergeCell ref="E73:F73"/>
    <mergeCell ref="I73:J73"/>
    <mergeCell ref="E74:F74"/>
    <mergeCell ref="I74:J74"/>
    <mergeCell ref="E76:F76"/>
    <mergeCell ref="E77:F77"/>
    <mergeCell ref="E78:F78"/>
    <mergeCell ref="C118:P118"/>
    <mergeCell ref="E122:F122"/>
    <mergeCell ref="I122:K122"/>
    <mergeCell ref="E132:F132"/>
    <mergeCell ref="E123:F123"/>
    <mergeCell ref="I123:K123"/>
    <mergeCell ref="E124:F124"/>
    <mergeCell ref="I124:K124"/>
    <mergeCell ref="E125:F125"/>
    <mergeCell ref="I125:K125"/>
    <mergeCell ref="I126:K126"/>
    <mergeCell ref="E130:F130"/>
    <mergeCell ref="I130:J130"/>
    <mergeCell ref="E131:F131"/>
    <mergeCell ref="I131:J131"/>
    <mergeCell ref="E133:F133"/>
    <mergeCell ref="E134:F134"/>
    <mergeCell ref="E135:F135"/>
    <mergeCell ref="C175:P175"/>
    <mergeCell ref="E179:F179"/>
    <mergeCell ref="I179:K179"/>
    <mergeCell ref="E180:F180"/>
    <mergeCell ref="I180:K180"/>
    <mergeCell ref="E181:F181"/>
    <mergeCell ref="I181:K181"/>
    <mergeCell ref="E182:F182"/>
    <mergeCell ref="I182:K182"/>
    <mergeCell ref="E190:F190"/>
    <mergeCell ref="E191:F191"/>
    <mergeCell ref="E192:F192"/>
    <mergeCell ref="C232:P232"/>
    <mergeCell ref="I183:K183"/>
    <mergeCell ref="E187:F187"/>
    <mergeCell ref="I187:J187"/>
    <mergeCell ref="E188:F188"/>
    <mergeCell ref="I188:J188"/>
    <mergeCell ref="E189:F189"/>
  </mergeCells>
  <dataValidations count="6">
    <dataValidation type="list" showInputMessage="1" showErrorMessage="1" error="That is not a valid entry." sqref="C22 C194 C137" xr:uid="{00000000-0002-0000-6000-000000000000}">
      <formula1>#REF!</formula1>
    </dataValidation>
    <dataValidation type="list" showInputMessage="1" showErrorMessage="1" errorTitle="Fuel type" error="That is not a valid entry." promptTitle="Fuel type" prompt="Select the type of fuel used." sqref="L7 L65:L69 L122 L179" xr:uid="{00000000-0002-0000-6000-000001000000}">
      <formula1>"pick from list, natural gas, field gas, propane"</formula1>
    </dataValidation>
    <dataValidation type="list" showInputMessage="1" showErrorMessage="1" errorTitle="Existing or new source" error="That is not a valid entry." prompt="Select new or existing." sqref="C10 C68 C125 C182" xr:uid="{00000000-0002-0000-6000-000002000000}">
      <formula1>"pick from list, new, existing"</formula1>
    </dataValidation>
    <dataValidation type="list" allowBlank="1" showInputMessage="1" showErrorMessage="1" sqref="C39 C97 C154 C211" xr:uid="{00000000-0002-0000-6000-000003000000}">
      <formula1>"Yes, No"</formula1>
    </dataValidation>
    <dataValidation type="list" allowBlank="1" showInputMessage="1" showErrorMessage="1" errorTitle="Engine type" error="That is not a valid engine type." promptTitle="Engine Type" prompt="Please select the type of engine." sqref="C27 C199 C142" xr:uid="{00000000-0002-0000-6000-000004000000}">
      <formula1>EngineType</formula1>
    </dataValidation>
    <dataValidation type="list" allowBlank="1" showInputMessage="1" showErrorMessage="1" sqref="B59 B116 B173 B230" xr:uid="{00000000-0002-0000-6000-000005000000}">
      <formula1>"Steady State (continuous), Low Pressure Periodic, High Pressure Periodic"</formula1>
    </dataValidation>
  </dataValidations>
  <printOptions horizontalCentered="1"/>
  <pageMargins left="0.25" right="0.25" top="1.5" bottom="0.25" header="0.25" footer="0.3"/>
  <pageSetup scale="45" fitToHeight="2" orientation="landscape" r:id="rId1"/>
  <headerFooter scaleWithDoc="0">
    <oddHeader>&amp;C&amp;"Arial,Bold"Table 26
Emergency Generator Emissions
Husky CDP
XTO Energy, Inc.</oddHeader>
  </headerFooter>
  <rowBreaks count="1" manualBreakCount="1">
    <brk id="59" max="16383" man="1"/>
  </rowBreaks>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8">
    <pageSetUpPr fitToPage="1"/>
  </sheetPr>
  <dimension ref="A1:BT84"/>
  <sheetViews>
    <sheetView view="pageBreakPreview" zoomScale="40" zoomScaleNormal="40" zoomScaleSheetLayoutView="40" zoomScalePageLayoutView="55" workbookViewId="0">
      <selection activeCell="E58" sqref="E58:T58"/>
    </sheetView>
  </sheetViews>
  <sheetFormatPr defaultColWidth="9.36328125" defaultRowHeight="13"/>
  <cols>
    <col min="1" max="1" width="3.6328125" style="38" customWidth="1"/>
    <col min="2" max="2" width="60.54296875" style="38" customWidth="1"/>
    <col min="3" max="4" width="19.54296875" style="38" customWidth="1"/>
    <col min="5" max="18" width="13.453125" style="38" customWidth="1"/>
    <col min="19" max="20" width="10.36328125" style="38" customWidth="1"/>
    <col min="21" max="21" width="3.6328125" style="38" customWidth="1"/>
    <col min="22" max="22" width="9.36328125" style="38"/>
    <col min="23" max="23" width="23.6328125" style="38" customWidth="1"/>
    <col min="24" max="16384" width="9.36328125" style="38"/>
  </cols>
  <sheetData>
    <row r="1" spans="1:23" ht="13.5" thickBot="1"/>
    <row r="2" spans="1:23" ht="20.25" customHeight="1" thickBot="1">
      <c r="A2" s="33"/>
      <c r="B2" s="34"/>
      <c r="C2" s="34"/>
      <c r="D2" s="34"/>
      <c r="E2" s="34"/>
      <c r="F2" s="34"/>
      <c r="G2" s="34"/>
      <c r="H2" s="34"/>
      <c r="I2" s="34"/>
      <c r="J2" s="34"/>
      <c r="K2" s="34"/>
      <c r="L2" s="34"/>
      <c r="M2" s="34"/>
      <c r="N2" s="34"/>
      <c r="O2" s="34"/>
      <c r="P2" s="34"/>
      <c r="Q2" s="34"/>
      <c r="R2" s="34"/>
      <c r="S2" s="34"/>
      <c r="T2" s="34"/>
      <c r="U2" s="32"/>
    </row>
    <row r="3" spans="1:23" s="2" customFormat="1" ht="39.75" customHeight="1">
      <c r="A3" s="54"/>
      <c r="B3" s="3931" t="s">
        <v>54</v>
      </c>
      <c r="C3" s="3932"/>
      <c r="D3" s="3932"/>
      <c r="E3" s="3932"/>
      <c r="F3" s="3932"/>
      <c r="G3" s="3932"/>
      <c r="H3" s="3932"/>
      <c r="I3" s="3932"/>
      <c r="J3" s="3932"/>
      <c r="K3" s="3932"/>
      <c r="L3" s="3932"/>
      <c r="M3" s="3932"/>
      <c r="N3" s="3932"/>
      <c r="O3" s="3932"/>
      <c r="P3" s="3932"/>
      <c r="Q3" s="3932"/>
      <c r="R3" s="3932"/>
      <c r="S3" s="3932"/>
      <c r="T3" s="3967"/>
      <c r="U3" s="22"/>
    </row>
    <row r="4" spans="1:23" s="2" customFormat="1" ht="39.75" customHeight="1">
      <c r="A4" s="54"/>
      <c r="B4" s="3933" t="s">
        <v>634</v>
      </c>
      <c r="C4" s="3934"/>
      <c r="D4" s="3934"/>
      <c r="E4" s="3934"/>
      <c r="F4" s="3934"/>
      <c r="G4" s="3934"/>
      <c r="H4" s="3934"/>
      <c r="I4" s="3934"/>
      <c r="J4" s="3934"/>
      <c r="K4" s="3934"/>
      <c r="L4" s="3934"/>
      <c r="M4" s="3934"/>
      <c r="N4" s="3934"/>
      <c r="O4" s="3934"/>
      <c r="P4" s="3934"/>
      <c r="Q4" s="3934"/>
      <c r="R4" s="3934"/>
      <c r="S4" s="3934"/>
      <c r="T4" s="3968"/>
      <c r="U4" s="22"/>
    </row>
    <row r="5" spans="1:23" s="2" customFormat="1" ht="39.75" customHeight="1" thickBot="1">
      <c r="A5" s="54"/>
      <c r="B5" s="3969" t="s">
        <v>1360</v>
      </c>
      <c r="C5" s="3970"/>
      <c r="D5" s="3970"/>
      <c r="E5" s="3970"/>
      <c r="F5" s="3970"/>
      <c r="G5" s="3970"/>
      <c r="H5" s="3970"/>
      <c r="I5" s="3970"/>
      <c r="J5" s="3970"/>
      <c r="K5" s="3970"/>
      <c r="L5" s="3970"/>
      <c r="M5" s="3970"/>
      <c r="N5" s="3970"/>
      <c r="O5" s="3970"/>
      <c r="P5" s="3970"/>
      <c r="Q5" s="3970"/>
      <c r="R5" s="3970"/>
      <c r="S5" s="3970"/>
      <c r="T5" s="3971"/>
      <c r="U5" s="22"/>
    </row>
    <row r="6" spans="1:23" ht="21" customHeight="1" thickBot="1">
      <c r="A6" s="31"/>
      <c r="B6" s="25"/>
      <c r="C6" s="25"/>
      <c r="D6" s="25"/>
      <c r="E6" s="25"/>
      <c r="F6" s="25"/>
      <c r="G6" s="25"/>
      <c r="H6" s="25"/>
      <c r="I6" s="25"/>
      <c r="J6" s="25"/>
      <c r="K6" s="25"/>
      <c r="L6" s="25"/>
      <c r="M6" s="25"/>
      <c r="N6" s="25"/>
      <c r="O6" s="25"/>
      <c r="P6" s="25"/>
      <c r="Q6" s="25"/>
      <c r="R6" s="25"/>
      <c r="S6" s="25"/>
      <c r="T6" s="25"/>
      <c r="U6" s="40"/>
    </row>
    <row r="7" spans="1:23" ht="30.75" customHeight="1">
      <c r="B7" s="4"/>
      <c r="C7" s="4"/>
      <c r="D7" s="4"/>
      <c r="E7" s="4"/>
      <c r="F7" s="4"/>
      <c r="G7" s="4"/>
      <c r="H7" s="4"/>
      <c r="I7" s="4"/>
      <c r="J7" s="4"/>
      <c r="K7" s="4"/>
      <c r="L7" s="4"/>
      <c r="M7" s="4"/>
      <c r="N7" s="4"/>
      <c r="O7" s="4"/>
      <c r="P7" s="4"/>
      <c r="Q7" s="4"/>
      <c r="R7" s="4"/>
      <c r="S7" s="4"/>
      <c r="T7" s="4"/>
    </row>
    <row r="8" spans="1:23" ht="16.5" customHeight="1" thickBot="1">
      <c r="B8" s="4"/>
      <c r="C8" s="4"/>
      <c r="D8" s="4"/>
      <c r="E8" s="4"/>
      <c r="F8" s="4"/>
      <c r="G8" s="4"/>
      <c r="H8" s="4"/>
      <c r="I8" s="4"/>
      <c r="J8" s="4"/>
      <c r="K8" s="4"/>
      <c r="L8" s="4"/>
      <c r="M8" s="4"/>
      <c r="N8" s="4"/>
      <c r="O8" s="4"/>
      <c r="P8" s="4"/>
      <c r="Q8" s="4"/>
      <c r="R8" s="4"/>
      <c r="S8" s="4"/>
      <c r="T8" s="4"/>
    </row>
    <row r="9" spans="1:23" ht="32.25" customHeight="1" thickBot="1">
      <c r="A9" s="3937" t="s">
        <v>309</v>
      </c>
      <c r="B9" s="3938"/>
      <c r="C9" s="3938"/>
      <c r="D9" s="3938"/>
      <c r="E9" s="3938"/>
      <c r="F9" s="3938"/>
      <c r="G9" s="3938"/>
      <c r="H9" s="3938"/>
      <c r="I9" s="3938"/>
      <c r="J9" s="3938"/>
      <c r="K9" s="3938"/>
      <c r="L9" s="3938"/>
      <c r="M9" s="3938"/>
      <c r="N9" s="3938"/>
      <c r="O9" s="3938"/>
      <c r="P9" s="3938"/>
      <c r="Q9" s="3938"/>
      <c r="R9" s="3938"/>
      <c r="S9" s="3938"/>
      <c r="T9" s="3938"/>
      <c r="U9" s="3939"/>
    </row>
    <row r="10" spans="1:23" ht="24" customHeight="1" thickBot="1">
      <c r="A10" s="33"/>
      <c r="B10" s="34"/>
      <c r="C10" s="34"/>
      <c r="D10" s="34"/>
      <c r="E10" s="34"/>
      <c r="F10" s="34"/>
      <c r="G10" s="34"/>
      <c r="H10" s="34"/>
      <c r="I10" s="34"/>
      <c r="J10" s="34"/>
      <c r="K10" s="34"/>
      <c r="L10" s="34"/>
      <c r="M10" s="34"/>
      <c r="N10" s="34"/>
      <c r="O10" s="34"/>
      <c r="P10" s="34"/>
      <c r="Q10" s="34"/>
      <c r="R10" s="34"/>
      <c r="S10" s="34"/>
      <c r="T10" s="34"/>
      <c r="U10" s="32"/>
    </row>
    <row r="11" spans="1:23" ht="42" customHeight="1">
      <c r="A11" s="36"/>
      <c r="B11" s="3940" t="s">
        <v>91</v>
      </c>
      <c r="C11" s="3942" t="s">
        <v>555</v>
      </c>
      <c r="D11" s="3944" t="s">
        <v>556</v>
      </c>
      <c r="E11" s="3946" t="s">
        <v>21</v>
      </c>
      <c r="F11" s="3947"/>
      <c r="G11" s="3948" t="s">
        <v>0</v>
      </c>
      <c r="H11" s="3949"/>
      <c r="I11" s="3950" t="s">
        <v>103</v>
      </c>
      <c r="J11" s="3951"/>
      <c r="K11" s="3948" t="s">
        <v>51</v>
      </c>
      <c r="L11" s="3949"/>
      <c r="M11" s="3948" t="s">
        <v>1311</v>
      </c>
      <c r="N11" s="3949"/>
      <c r="O11" s="3946" t="s">
        <v>52</v>
      </c>
      <c r="P11" s="3947"/>
      <c r="Q11" s="3948" t="s">
        <v>15</v>
      </c>
      <c r="R11" s="3949"/>
      <c r="S11" s="3948" t="s">
        <v>273</v>
      </c>
      <c r="T11" s="3949"/>
      <c r="U11" s="44"/>
    </row>
    <row r="12" spans="1:23" ht="29.25" customHeight="1" thickBot="1">
      <c r="A12" s="36"/>
      <c r="B12" s="3941"/>
      <c r="C12" s="3943"/>
      <c r="D12" s="3945"/>
      <c r="E12" s="1385" t="s">
        <v>22</v>
      </c>
      <c r="F12" s="1386" t="s">
        <v>37</v>
      </c>
      <c r="G12" s="1385" t="s">
        <v>22</v>
      </c>
      <c r="H12" s="1387" t="s">
        <v>37</v>
      </c>
      <c r="I12" s="1388" t="s">
        <v>22</v>
      </c>
      <c r="J12" s="1386" t="s">
        <v>37</v>
      </c>
      <c r="K12" s="1385" t="s">
        <v>22</v>
      </c>
      <c r="L12" s="1387" t="s">
        <v>37</v>
      </c>
      <c r="M12" s="1388" t="s">
        <v>22</v>
      </c>
      <c r="N12" s="1387" t="s">
        <v>37</v>
      </c>
      <c r="O12" s="1388" t="s">
        <v>22</v>
      </c>
      <c r="P12" s="1386" t="s">
        <v>37</v>
      </c>
      <c r="Q12" s="1385" t="s">
        <v>22</v>
      </c>
      <c r="R12" s="1387" t="s">
        <v>37</v>
      </c>
      <c r="S12" s="3965" t="s">
        <v>37</v>
      </c>
      <c r="T12" s="3966"/>
      <c r="U12" s="44"/>
    </row>
    <row r="13" spans="1:23" ht="44.25" customHeight="1">
      <c r="A13" s="36"/>
      <c r="B13" s="178" t="str">
        <f>'Summary-NoCo'!B13</f>
        <v>Stabilization Hot Oil Heater
(64.83 MMBtu/hr)</v>
      </c>
      <c r="C13" s="176" t="str">
        <f>'Summary-NoCo'!C13</f>
        <v>SHTR1</v>
      </c>
      <c r="D13" s="191" t="str">
        <f>'Summary-NoCo'!D13</f>
        <v>SHTR1</v>
      </c>
      <c r="E13" s="1613">
        <f>'Summary-NoCo'!E13</f>
        <v>1.730961</v>
      </c>
      <c r="F13" s="1648">
        <f>'Summary-NoCo'!F13</f>
        <v>7.5816091799999992</v>
      </c>
      <c r="G13" s="1613">
        <f>'Summary-NoCo'!G13</f>
        <v>1.0567289999999998</v>
      </c>
      <c r="H13" s="1648">
        <f>'Summary-NoCo'!H13</f>
        <v>4.6284730199999995</v>
      </c>
      <c r="I13" s="1613">
        <f>'Summary-NoCo'!I13</f>
        <v>0.414912</v>
      </c>
      <c r="J13" s="1648">
        <f>'Summary-NoCo'!J13</f>
        <v>1.81731456</v>
      </c>
      <c r="K13" s="1613">
        <f>'Summary-NoCo'!K13</f>
        <v>0.14300735294117647</v>
      </c>
      <c r="L13" s="1648">
        <f>'Summary-NoCo'!L13</f>
        <v>0.62637220588235298</v>
      </c>
      <c r="M13" s="1613">
        <f>'Summary-NoCo'!M13</f>
        <v>0.48304705882352933</v>
      </c>
      <c r="N13" s="1648">
        <f>'Summary-NoCo'!N13</f>
        <v>2.1157461176470584</v>
      </c>
      <c r="O13" s="1613">
        <f>'Summary-NoCo'!O13</f>
        <v>0.48304705882352933</v>
      </c>
      <c r="P13" s="1648">
        <f>'Summary-NoCo'!P13</f>
        <v>2.1157461176470584</v>
      </c>
      <c r="Q13" s="1613">
        <f>'Summary-NoCo'!Q13</f>
        <v>0.1196558411764706</v>
      </c>
      <c r="R13" s="1648">
        <f>'Summary-NoCo'!R13</f>
        <v>0.52409258435294115</v>
      </c>
      <c r="S13" s="5105">
        <f>'Summary-NoCo'!S13</f>
        <v>33256.326587223601</v>
      </c>
      <c r="T13" s="5106"/>
      <c r="U13" s="44"/>
    </row>
    <row r="14" spans="1:23" ht="44.15" customHeight="1">
      <c r="A14" s="36"/>
      <c r="B14" s="178" t="str">
        <f>'Summary-NoCo'!B14</f>
        <v>Stabilization Hot Oil Heater
(64.83 MMBtu/hr)</v>
      </c>
      <c r="C14" s="176" t="str">
        <f>'Summary-NoCo'!C14</f>
        <v>SHTR2</v>
      </c>
      <c r="D14" s="191" t="str">
        <f>'Summary-NoCo'!D14</f>
        <v>SHTR2</v>
      </c>
      <c r="E14" s="1362">
        <f>'Summary-NoCo'!E14</f>
        <v>1.730961</v>
      </c>
      <c r="F14" s="1363">
        <f>'Summary-NoCo'!F14</f>
        <v>7.5816091799999992</v>
      </c>
      <c r="G14" s="1362">
        <f>'Summary-NoCo'!G14</f>
        <v>1.0567289999999998</v>
      </c>
      <c r="H14" s="1363">
        <f>'Summary-NoCo'!H14</f>
        <v>4.6284730199999995</v>
      </c>
      <c r="I14" s="1362">
        <f>'Summary-NoCo'!I14</f>
        <v>0.414912</v>
      </c>
      <c r="J14" s="1363">
        <f>'Summary-NoCo'!J14</f>
        <v>1.81731456</v>
      </c>
      <c r="K14" s="1362">
        <f>'Summary-NoCo'!K14</f>
        <v>0.14300735294117647</v>
      </c>
      <c r="L14" s="1363">
        <f>'Summary-NoCo'!L14</f>
        <v>0.62637220588235298</v>
      </c>
      <c r="M14" s="1362">
        <f>'Summary-NoCo'!M14</f>
        <v>0.48304705882352933</v>
      </c>
      <c r="N14" s="1363">
        <f>'Summary-NoCo'!N14</f>
        <v>2.1157461176470584</v>
      </c>
      <c r="O14" s="1362">
        <f>'Summary-NoCo'!O14</f>
        <v>0.48304705882352933</v>
      </c>
      <c r="P14" s="1363">
        <f>'Summary-NoCo'!P14</f>
        <v>2.1157461176470584</v>
      </c>
      <c r="Q14" s="1362">
        <f>'Summary-NoCo'!Q14</f>
        <v>0.11959863823529414</v>
      </c>
      <c r="R14" s="1363">
        <f>'Summary-NoCo'!R14</f>
        <v>0.52384203547058827</v>
      </c>
      <c r="S14" s="5103">
        <f>'Summary-NoCo'!S14</f>
        <v>33256.326587223601</v>
      </c>
      <c r="T14" s="5104"/>
      <c r="U14" s="44"/>
    </row>
    <row r="15" spans="1:23" ht="44.15" customHeight="1">
      <c r="A15" s="36"/>
      <c r="B15" s="178" t="str">
        <f>'Summary-NoCo'!B15</f>
        <v>Stabilization Hot Oil Heater
(64.83 MMBtu/hr)</v>
      </c>
      <c r="C15" s="176" t="str">
        <f>'Summary-NoCo'!C15</f>
        <v>SHTR3</v>
      </c>
      <c r="D15" s="191" t="str">
        <f>'Summary-NoCo'!D15</f>
        <v>SHTR3</v>
      </c>
      <c r="E15" s="1362">
        <f>'Summary-NoCo'!E15</f>
        <v>1.730961</v>
      </c>
      <c r="F15" s="1363">
        <f>'Summary-NoCo'!F15</f>
        <v>7.5816091799999992</v>
      </c>
      <c r="G15" s="1362">
        <f>'Summary-NoCo'!G15</f>
        <v>1.0567289999999998</v>
      </c>
      <c r="H15" s="1363">
        <f>'Summary-NoCo'!H15</f>
        <v>4.6284730199999995</v>
      </c>
      <c r="I15" s="1362">
        <f>'Summary-NoCo'!I15</f>
        <v>0.414912</v>
      </c>
      <c r="J15" s="1363">
        <f>'Summary-NoCo'!J15</f>
        <v>1.81731456</v>
      </c>
      <c r="K15" s="1362">
        <f>'Summary-NoCo'!K15</f>
        <v>0.14300735294117647</v>
      </c>
      <c r="L15" s="1363">
        <f>'Summary-NoCo'!L15</f>
        <v>0.62637220588235298</v>
      </c>
      <c r="M15" s="1362">
        <f>'Summary-NoCo'!M15</f>
        <v>0.48304705882352933</v>
      </c>
      <c r="N15" s="1363">
        <f>'Summary-NoCo'!N15</f>
        <v>2.1157461176470584</v>
      </c>
      <c r="O15" s="1362">
        <f>'Summary-NoCo'!O15</f>
        <v>0.48304705882352933</v>
      </c>
      <c r="P15" s="1363">
        <f>'Summary-NoCo'!P15</f>
        <v>2.1157461176470584</v>
      </c>
      <c r="Q15" s="1362">
        <f>'Summary-NoCo'!Q15</f>
        <v>0.11959863823529414</v>
      </c>
      <c r="R15" s="1363">
        <f>'Summary-NoCo'!R15</f>
        <v>0.52384203547058827</v>
      </c>
      <c r="S15" s="5103">
        <f>'Summary-NoCo'!S15</f>
        <v>33256.326587223601</v>
      </c>
      <c r="T15" s="5104"/>
      <c r="U15" s="44"/>
    </row>
    <row r="16" spans="1:23" ht="44.15" customHeight="1">
      <c r="A16" s="36"/>
      <c r="B16" s="178" t="str">
        <f>'Summary-NoCo'!B16</f>
        <v>Stabilization Hot Oil Heater
(64.83 MMBtu/hr)</v>
      </c>
      <c r="C16" s="176" t="str">
        <f>'Summary-NoCo'!C16</f>
        <v>SHTR4</v>
      </c>
      <c r="D16" s="191" t="str">
        <f>'Summary-NoCo'!D16</f>
        <v>SHTR4</v>
      </c>
      <c r="E16" s="1362">
        <f>'Summary-NoCo'!E16</f>
        <v>1.730961</v>
      </c>
      <c r="F16" s="1363">
        <f>'Summary-NoCo'!F16</f>
        <v>7.5816091799999992</v>
      </c>
      <c r="G16" s="1362">
        <f>'Summary-NoCo'!G16</f>
        <v>1.0567289999999998</v>
      </c>
      <c r="H16" s="1363">
        <f>'Summary-NoCo'!H16</f>
        <v>4.6284730199999995</v>
      </c>
      <c r="I16" s="1362">
        <f>'Summary-NoCo'!I16</f>
        <v>0.414912</v>
      </c>
      <c r="J16" s="1363">
        <f>'Summary-NoCo'!J16</f>
        <v>1.81731456</v>
      </c>
      <c r="K16" s="1362">
        <f>'Summary-NoCo'!K16</f>
        <v>0.14300735294117647</v>
      </c>
      <c r="L16" s="1363">
        <f>'Summary-NoCo'!L16</f>
        <v>0.62637220588235298</v>
      </c>
      <c r="M16" s="1362">
        <f>'Summary-NoCo'!M16</f>
        <v>0.48304705882352933</v>
      </c>
      <c r="N16" s="1363">
        <f>'Summary-NoCo'!N16</f>
        <v>2.1157461176470584</v>
      </c>
      <c r="O16" s="1362">
        <f>'Summary-NoCo'!O16</f>
        <v>0.48304705882352933</v>
      </c>
      <c r="P16" s="1363">
        <f>'Summary-NoCo'!P16</f>
        <v>2.1157461176470584</v>
      </c>
      <c r="Q16" s="1362">
        <f>'Summary-NoCo'!Q16</f>
        <v>0.11959863823529414</v>
      </c>
      <c r="R16" s="1363">
        <f>'Summary-NoCo'!R16</f>
        <v>0.52384203547058827</v>
      </c>
      <c r="S16" s="5103">
        <f>'Summary-NoCo'!S16</f>
        <v>33256.326587223601</v>
      </c>
      <c r="T16" s="5104"/>
      <c r="U16" s="44"/>
      <c r="W16" s="8"/>
    </row>
    <row r="17" spans="1:24" ht="44.25" customHeight="1">
      <c r="A17" s="36"/>
      <c r="B17" s="178" t="str">
        <f>'Summary-NoCo'!B17</f>
        <v>Stabilization Hot Oil Heater
(64.83 MMBtu/hr)</v>
      </c>
      <c r="C17" s="176" t="str">
        <f>'Summary-NoCo'!C17</f>
        <v>SHTR5</v>
      </c>
      <c r="D17" s="191" t="str">
        <f>'Summary-NoCo'!D17</f>
        <v>SHTR5</v>
      </c>
      <c r="E17" s="1362">
        <f>'Summary-NoCo'!E17</f>
        <v>1.730961</v>
      </c>
      <c r="F17" s="1363">
        <f>'Summary-NoCo'!F17</f>
        <v>7.5816091799999992</v>
      </c>
      <c r="G17" s="1362">
        <f>'Summary-NoCo'!G17</f>
        <v>1.0567289999999998</v>
      </c>
      <c r="H17" s="1363">
        <f>'Summary-NoCo'!H17</f>
        <v>4.6284730199999995</v>
      </c>
      <c r="I17" s="1362">
        <f>'Summary-NoCo'!I17</f>
        <v>0.414912</v>
      </c>
      <c r="J17" s="1363">
        <f>'Summary-NoCo'!J17</f>
        <v>1.81731456</v>
      </c>
      <c r="K17" s="1362">
        <f>'Summary-NoCo'!K17</f>
        <v>0.14300735294117647</v>
      </c>
      <c r="L17" s="1363">
        <f>'Summary-NoCo'!L17</f>
        <v>0.62637220588235298</v>
      </c>
      <c r="M17" s="1362">
        <f>'Summary-NoCo'!M17</f>
        <v>0.48304705882352933</v>
      </c>
      <c r="N17" s="1363">
        <f>'Summary-NoCo'!N17</f>
        <v>2.1157461176470584</v>
      </c>
      <c r="O17" s="1362">
        <f>'Summary-NoCo'!O17</f>
        <v>0.48304705882352933</v>
      </c>
      <c r="P17" s="1363">
        <f>'Summary-NoCo'!P17</f>
        <v>2.1157461176470584</v>
      </c>
      <c r="Q17" s="1362">
        <f>'Summary-NoCo'!Q17</f>
        <v>0.11959863823529414</v>
      </c>
      <c r="R17" s="1363">
        <f>'Summary-NoCo'!R17</f>
        <v>0.52384203547058827</v>
      </c>
      <c r="S17" s="5103">
        <f>'Summary-NoCo'!S17</f>
        <v>33256.326587223601</v>
      </c>
      <c r="T17" s="5104"/>
      <c r="U17" s="44"/>
    </row>
    <row r="18" spans="1:24" ht="44.15" customHeight="1">
      <c r="A18" s="36"/>
      <c r="B18" s="178" t="str">
        <f>'Summary-NoCo'!B18</f>
        <v>Stabilization Hot Oil Heater
(64.83 MMBtu/hr)</v>
      </c>
      <c r="C18" s="176" t="str">
        <f>'Summary-NoCo'!C18</f>
        <v>SHTR6</v>
      </c>
      <c r="D18" s="191" t="str">
        <f>'Summary-NoCo'!D18</f>
        <v>SHTR6</v>
      </c>
      <c r="E18" s="1362">
        <f>'Summary-NoCo'!E18</f>
        <v>1.730961</v>
      </c>
      <c r="F18" s="1363">
        <f>'Summary-NoCo'!F18</f>
        <v>7.5816091799999992</v>
      </c>
      <c r="G18" s="1362">
        <f>'Summary-NoCo'!G18</f>
        <v>1.0567289999999998</v>
      </c>
      <c r="H18" s="1363">
        <f>'Summary-NoCo'!H18</f>
        <v>4.6284730199999995</v>
      </c>
      <c r="I18" s="1362">
        <f>'Summary-NoCo'!I18</f>
        <v>0.414912</v>
      </c>
      <c r="J18" s="1363">
        <f>'Summary-NoCo'!J18</f>
        <v>1.81731456</v>
      </c>
      <c r="K18" s="1362">
        <f>'Summary-NoCo'!K18</f>
        <v>0.14300735294117647</v>
      </c>
      <c r="L18" s="1363">
        <f>'Summary-NoCo'!L18</f>
        <v>0.62637220588235298</v>
      </c>
      <c r="M18" s="1362">
        <f>'Summary-NoCo'!M18</f>
        <v>0.48304705882352933</v>
      </c>
      <c r="N18" s="1363">
        <f>'Summary-NoCo'!N18</f>
        <v>2.1157461176470584</v>
      </c>
      <c r="O18" s="1362">
        <f>'Summary-NoCo'!O18</f>
        <v>0.48304705882352933</v>
      </c>
      <c r="P18" s="1363">
        <f>'Summary-NoCo'!P18</f>
        <v>2.1157461176470584</v>
      </c>
      <c r="Q18" s="1362">
        <f>'Summary-NoCo'!Q18</f>
        <v>0.11959863823529414</v>
      </c>
      <c r="R18" s="1363">
        <f>'Summary-NoCo'!R18</f>
        <v>0.52384203547058827</v>
      </c>
      <c r="S18" s="5103">
        <f>'Summary-NoCo'!S18</f>
        <v>33256.326587223601</v>
      </c>
      <c r="T18" s="5104"/>
      <c r="U18" s="44"/>
    </row>
    <row r="19" spans="1:24" ht="44.15" customHeight="1">
      <c r="A19" s="36"/>
      <c r="B19" s="178" t="str">
        <f>'Summary-NoCo'!B19</f>
        <v>Stabilization Hot Oil Heater
(64.83 MMBtu/hr)</v>
      </c>
      <c r="C19" s="176" t="str">
        <f>'Summary-NoCo'!C19</f>
        <v>SHTR7</v>
      </c>
      <c r="D19" s="191" t="str">
        <f>'Summary-NoCo'!D19</f>
        <v>SHTR7</v>
      </c>
      <c r="E19" s="1362">
        <f>'Summary-NoCo'!E19</f>
        <v>1.730961</v>
      </c>
      <c r="F19" s="1363">
        <f>'Summary-NoCo'!F19</f>
        <v>7.5816091799999992</v>
      </c>
      <c r="G19" s="1362">
        <f>'Summary-NoCo'!G19</f>
        <v>1.0567289999999998</v>
      </c>
      <c r="H19" s="1363">
        <f>'Summary-NoCo'!H19</f>
        <v>4.6284730199999995</v>
      </c>
      <c r="I19" s="1362">
        <f>'Summary-NoCo'!I19</f>
        <v>0.414912</v>
      </c>
      <c r="J19" s="1363">
        <f>'Summary-NoCo'!J19</f>
        <v>1.81731456</v>
      </c>
      <c r="K19" s="1362">
        <f>'Summary-NoCo'!K19</f>
        <v>0.14300735294117647</v>
      </c>
      <c r="L19" s="1363">
        <f>'Summary-NoCo'!L19</f>
        <v>0.62637220588235298</v>
      </c>
      <c r="M19" s="1362">
        <f>'Summary-NoCo'!M19</f>
        <v>0.48304705882352933</v>
      </c>
      <c r="N19" s="1363">
        <f>'Summary-NoCo'!N19</f>
        <v>2.1157461176470584</v>
      </c>
      <c r="O19" s="1362">
        <f>'Summary-NoCo'!O19</f>
        <v>0.48304705882352933</v>
      </c>
      <c r="P19" s="1363">
        <f>'Summary-NoCo'!P19</f>
        <v>2.1157461176470584</v>
      </c>
      <c r="Q19" s="1362">
        <f>'Summary-NoCo'!Q19</f>
        <v>0.11959863823529414</v>
      </c>
      <c r="R19" s="1363">
        <f>'Summary-NoCo'!R19</f>
        <v>0.52384203547058827</v>
      </c>
      <c r="S19" s="5103">
        <f>'Summary-NoCo'!S19</f>
        <v>33256.326587223601</v>
      </c>
      <c r="T19" s="5104"/>
      <c r="U19" s="44"/>
    </row>
    <row r="20" spans="1:24" ht="44.15" customHeight="1">
      <c r="A20" s="36"/>
      <c r="B20" s="178" t="str">
        <f>'Summary-NoCo'!B20</f>
        <v>Stabilization Hot Oil Heater
(64.83 MMBtu/hr)</v>
      </c>
      <c r="C20" s="176" t="str">
        <f>'Summary-NoCo'!C20</f>
        <v>SHTR8</v>
      </c>
      <c r="D20" s="191" t="str">
        <f>'Summary-NoCo'!D20</f>
        <v>SHTR8</v>
      </c>
      <c r="E20" s="1362">
        <f>'Summary-NoCo'!E20</f>
        <v>1.730961</v>
      </c>
      <c r="F20" s="1363">
        <f>'Summary-NoCo'!F20</f>
        <v>7.5816091799999992</v>
      </c>
      <c r="G20" s="1362">
        <f>'Summary-NoCo'!G20</f>
        <v>1.0567289999999998</v>
      </c>
      <c r="H20" s="1363">
        <f>'Summary-NoCo'!H20</f>
        <v>4.6284730199999995</v>
      </c>
      <c r="I20" s="1362">
        <f>'Summary-NoCo'!I20</f>
        <v>0.414912</v>
      </c>
      <c r="J20" s="1363">
        <f>'Summary-NoCo'!J20</f>
        <v>1.81731456</v>
      </c>
      <c r="K20" s="1362">
        <f>'Summary-NoCo'!K20</f>
        <v>0.14300735294117647</v>
      </c>
      <c r="L20" s="1363">
        <f>'Summary-NoCo'!L20</f>
        <v>0.62637220588235298</v>
      </c>
      <c r="M20" s="1362">
        <f>'Summary-NoCo'!M20</f>
        <v>0.48304705882352933</v>
      </c>
      <c r="N20" s="1363">
        <f>'Summary-NoCo'!N20</f>
        <v>2.1157461176470584</v>
      </c>
      <c r="O20" s="1362">
        <f>'Summary-NoCo'!O20</f>
        <v>0.48304705882352933</v>
      </c>
      <c r="P20" s="1363">
        <f>'Summary-NoCo'!P20</f>
        <v>2.1157461176470584</v>
      </c>
      <c r="Q20" s="1362">
        <f>'Summary-NoCo'!Q20</f>
        <v>0.11959863823529414</v>
      </c>
      <c r="R20" s="1363">
        <f>'Summary-NoCo'!R20</f>
        <v>0.52384203547058827</v>
      </c>
      <c r="S20" s="5103">
        <f>'Summary-NoCo'!S20</f>
        <v>33256.326587223601</v>
      </c>
      <c r="T20" s="5104"/>
      <c r="U20" s="44"/>
      <c r="W20" s="8"/>
    </row>
    <row r="21" spans="1:24" ht="44.25" customHeight="1">
      <c r="A21" s="36"/>
      <c r="B21" s="178" t="str">
        <f>'Summary-NoCo'!B21</f>
        <v>Stabilization Hot Oil Heater
(64.83 MMBtu/hr)</v>
      </c>
      <c r="C21" s="176" t="str">
        <f>'Summary-NoCo'!C21</f>
        <v>SHTR9</v>
      </c>
      <c r="D21" s="191" t="str">
        <f>'Summary-NoCo'!D21</f>
        <v>SHTR9</v>
      </c>
      <c r="E21" s="1362">
        <f>'Summary-NoCo'!E21</f>
        <v>1.730961</v>
      </c>
      <c r="F21" s="1363">
        <f>'Summary-NoCo'!F21</f>
        <v>7.5816091799999992</v>
      </c>
      <c r="G21" s="1362">
        <f>'Summary-NoCo'!G21</f>
        <v>1.0567289999999998</v>
      </c>
      <c r="H21" s="1363">
        <f>'Summary-NoCo'!H21</f>
        <v>4.6284730199999995</v>
      </c>
      <c r="I21" s="1362">
        <f>'Summary-NoCo'!I21</f>
        <v>0.414912</v>
      </c>
      <c r="J21" s="1363">
        <f>'Summary-NoCo'!J21</f>
        <v>1.81731456</v>
      </c>
      <c r="K21" s="1362">
        <f>'Summary-NoCo'!K21</f>
        <v>0.14300735294117647</v>
      </c>
      <c r="L21" s="1363">
        <f>'Summary-NoCo'!L21</f>
        <v>0.62637220588235298</v>
      </c>
      <c r="M21" s="1362">
        <f>'Summary-NoCo'!M21</f>
        <v>0.48304705882352933</v>
      </c>
      <c r="N21" s="1363">
        <f>'Summary-NoCo'!N21</f>
        <v>2.1157461176470584</v>
      </c>
      <c r="O21" s="1362">
        <f>'Summary-NoCo'!O21</f>
        <v>0.48304705882352933</v>
      </c>
      <c r="P21" s="1363">
        <f>'Summary-NoCo'!P21</f>
        <v>2.1157461176470584</v>
      </c>
      <c r="Q21" s="1362">
        <f>'Summary-NoCo'!Q21</f>
        <v>0.11959863823529414</v>
      </c>
      <c r="R21" s="1363">
        <f>'Summary-NoCo'!R21</f>
        <v>0.52384203547058827</v>
      </c>
      <c r="S21" s="5103">
        <f>'Summary-NoCo'!S21</f>
        <v>33256.326587223601</v>
      </c>
      <c r="T21" s="5104"/>
      <c r="U21" s="44"/>
    </row>
    <row r="22" spans="1:24" ht="44.15" customHeight="1">
      <c r="A22" s="36"/>
      <c r="B22" s="178" t="str">
        <f>'Summary-NoCo'!B22</f>
        <v>Stabilization Hot Oil Heater
(64.83 MMBtu/hr)</v>
      </c>
      <c r="C22" s="176" t="str">
        <f>'Summary-NoCo'!C22</f>
        <v>SHTR10</v>
      </c>
      <c r="D22" s="191" t="str">
        <f>'Summary-NoCo'!D22</f>
        <v>SHTR10</v>
      </c>
      <c r="E22" s="1362">
        <f>'Summary-NoCo'!E22</f>
        <v>1.730961</v>
      </c>
      <c r="F22" s="1363">
        <f>'Summary-NoCo'!F22</f>
        <v>7.5816091799999992</v>
      </c>
      <c r="G22" s="1362">
        <f>'Summary-NoCo'!G22</f>
        <v>1.0567289999999998</v>
      </c>
      <c r="H22" s="1363">
        <f>'Summary-NoCo'!H22</f>
        <v>4.6284730199999995</v>
      </c>
      <c r="I22" s="1362">
        <f>'Summary-NoCo'!I22</f>
        <v>0.414912</v>
      </c>
      <c r="J22" s="1363">
        <f>'Summary-NoCo'!J22</f>
        <v>1.81731456</v>
      </c>
      <c r="K22" s="1362">
        <f>'Summary-NoCo'!K22</f>
        <v>0.14300735294117647</v>
      </c>
      <c r="L22" s="1363">
        <f>'Summary-NoCo'!L22</f>
        <v>0.62637220588235298</v>
      </c>
      <c r="M22" s="1362">
        <f>'Summary-NoCo'!M22</f>
        <v>0.48304705882352933</v>
      </c>
      <c r="N22" s="1363">
        <f>'Summary-NoCo'!N22</f>
        <v>2.1157461176470584</v>
      </c>
      <c r="O22" s="1362">
        <f>'Summary-NoCo'!O22</f>
        <v>0.48304705882352933</v>
      </c>
      <c r="P22" s="1363">
        <f>'Summary-NoCo'!P22</f>
        <v>2.1157461176470584</v>
      </c>
      <c r="Q22" s="1362">
        <f>'Summary-NoCo'!Q22</f>
        <v>0.11959863823529414</v>
      </c>
      <c r="R22" s="1363">
        <f>'Summary-NoCo'!R22</f>
        <v>0.52384203547058827</v>
      </c>
      <c r="S22" s="5103">
        <f>'Summary-NoCo'!S22</f>
        <v>33256.326587223601</v>
      </c>
      <c r="T22" s="5104"/>
      <c r="U22" s="44"/>
    </row>
    <row r="23" spans="1:24" ht="44.15" customHeight="1">
      <c r="A23" s="36"/>
      <c r="B23" s="178" t="str">
        <f>'Summary-NoCo'!B23</f>
        <v>Stabilization Hot Oil Heater
(64.83 MMBtu/hr)</v>
      </c>
      <c r="C23" s="176" t="str">
        <f>'Summary-NoCo'!C23</f>
        <v>SHTR11</v>
      </c>
      <c r="D23" s="191" t="str">
        <f>'Summary-NoCo'!D23</f>
        <v>SHTR11</v>
      </c>
      <c r="E23" s="1362">
        <f>'Summary-NoCo'!E23</f>
        <v>1.730961</v>
      </c>
      <c r="F23" s="1363">
        <f>'Summary-NoCo'!F23</f>
        <v>7.5816091799999992</v>
      </c>
      <c r="G23" s="1362">
        <f>'Summary-NoCo'!G23</f>
        <v>1.0567289999999998</v>
      </c>
      <c r="H23" s="1363">
        <f>'Summary-NoCo'!H23</f>
        <v>4.6284730199999995</v>
      </c>
      <c r="I23" s="1362">
        <f>'Summary-NoCo'!I23</f>
        <v>0.414912</v>
      </c>
      <c r="J23" s="1363">
        <f>'Summary-NoCo'!J23</f>
        <v>1.81731456</v>
      </c>
      <c r="K23" s="1362">
        <f>'Summary-NoCo'!K23</f>
        <v>0.14300735294117647</v>
      </c>
      <c r="L23" s="1363">
        <f>'Summary-NoCo'!L23</f>
        <v>0.62637220588235298</v>
      </c>
      <c r="M23" s="1362">
        <f>'Summary-NoCo'!M23</f>
        <v>0.48304705882352933</v>
      </c>
      <c r="N23" s="1363">
        <f>'Summary-NoCo'!N23</f>
        <v>2.1157461176470584</v>
      </c>
      <c r="O23" s="1362">
        <f>'Summary-NoCo'!O23</f>
        <v>0.48304705882352933</v>
      </c>
      <c r="P23" s="1363">
        <f>'Summary-NoCo'!P23</f>
        <v>2.1157461176470584</v>
      </c>
      <c r="Q23" s="1362">
        <f>'Summary-NoCo'!Q23</f>
        <v>0.11959863823529414</v>
      </c>
      <c r="R23" s="1363">
        <f>'Summary-NoCo'!R23</f>
        <v>0.52384203547058827</v>
      </c>
      <c r="S23" s="5103">
        <f>'Summary-NoCo'!S23</f>
        <v>33256.326587223601</v>
      </c>
      <c r="T23" s="5104"/>
      <c r="U23" s="44"/>
    </row>
    <row r="24" spans="1:24" ht="44.15" customHeight="1">
      <c r="A24" s="36"/>
      <c r="B24" s="178" t="str">
        <f>'Summary-NoCo'!B24</f>
        <v>Stabilization Hot Oil Heater
(64.83 MMBtu/hr)</v>
      </c>
      <c r="C24" s="176" t="str">
        <f>'Summary-NoCo'!C24</f>
        <v>SHTR12</v>
      </c>
      <c r="D24" s="191" t="str">
        <f>'Summary-NoCo'!D24</f>
        <v>SHTR12</v>
      </c>
      <c r="E24" s="1362">
        <f>'Summary-NoCo'!E24</f>
        <v>1.730961</v>
      </c>
      <c r="F24" s="1363">
        <f>'Summary-NoCo'!F24</f>
        <v>7.5816091799999992</v>
      </c>
      <c r="G24" s="1362">
        <f>'Summary-NoCo'!G24</f>
        <v>1.0567289999999998</v>
      </c>
      <c r="H24" s="1363">
        <f>'Summary-NoCo'!H24</f>
        <v>4.6284730199999995</v>
      </c>
      <c r="I24" s="1362">
        <f>'Summary-NoCo'!I24</f>
        <v>0.414912</v>
      </c>
      <c r="J24" s="1363">
        <f>'Summary-NoCo'!J24</f>
        <v>1.81731456</v>
      </c>
      <c r="K24" s="1362">
        <f>'Summary-NoCo'!K24</f>
        <v>0.14300735294117647</v>
      </c>
      <c r="L24" s="1363">
        <f>'Summary-NoCo'!L24</f>
        <v>0.62637220588235298</v>
      </c>
      <c r="M24" s="1362">
        <f>'Summary-NoCo'!M24</f>
        <v>0.48304705882352933</v>
      </c>
      <c r="N24" s="1363">
        <f>'Summary-NoCo'!N24</f>
        <v>2.1157461176470584</v>
      </c>
      <c r="O24" s="1362">
        <f>'Summary-NoCo'!O24</f>
        <v>0.48304705882352933</v>
      </c>
      <c r="P24" s="1363">
        <f>'Summary-NoCo'!P24</f>
        <v>2.1157461176470584</v>
      </c>
      <c r="Q24" s="1362">
        <f>'Summary-NoCo'!Q24</f>
        <v>0.11959863823529414</v>
      </c>
      <c r="R24" s="1363">
        <f>'Summary-NoCo'!R24</f>
        <v>0.52384203547058827</v>
      </c>
      <c r="S24" s="5103">
        <f>'Summary-NoCo'!S24</f>
        <v>33256.326587223601</v>
      </c>
      <c r="T24" s="5104"/>
      <c r="U24" s="44"/>
      <c r="W24" s="8"/>
    </row>
    <row r="25" spans="1:24" ht="44.15" customHeight="1">
      <c r="A25" s="36"/>
      <c r="B25" s="178" t="str">
        <f>'Summary-NoCo'!B25</f>
        <v>Cryo Hot Oil Heater
(103.99 MMBtu/hr)</v>
      </c>
      <c r="C25" s="176" t="str">
        <f>'Summary-NoCo'!C25</f>
        <v>CHTR1</v>
      </c>
      <c r="D25" s="191" t="str">
        <f>'Summary-NoCo'!D25</f>
        <v>CHTR1</v>
      </c>
      <c r="E25" s="1362">
        <f>'Summary-NoCo'!E25</f>
        <v>3.4732659999999997</v>
      </c>
      <c r="F25" s="1363">
        <f>'Summary-NoCo'!F25</f>
        <v>15.212905079999999</v>
      </c>
      <c r="G25" s="1362">
        <f>'Summary-NoCo'!G25</f>
        <v>1.6950369999999997</v>
      </c>
      <c r="H25" s="1363">
        <f>'Summary-NoCo'!H25</f>
        <v>7.4242620599999984</v>
      </c>
      <c r="I25" s="1362">
        <f>'Summary-NoCo'!I25</f>
        <v>0.66553600000000002</v>
      </c>
      <c r="J25" s="1363">
        <f>'Summary-NoCo'!J25</f>
        <v>2.9150476800000003</v>
      </c>
      <c r="K25" s="1362">
        <f>'Summary-NoCo'!K25</f>
        <v>0.22938970588235294</v>
      </c>
      <c r="L25" s="1363">
        <f>'Summary-NoCo'!L25</f>
        <v>1.0047269117647057</v>
      </c>
      <c r="M25" s="1362">
        <f>'Summary-NoCo'!M25</f>
        <v>0.77482745098039207</v>
      </c>
      <c r="N25" s="1363">
        <f>'Summary-NoCo'!N25</f>
        <v>3.393744235294117</v>
      </c>
      <c r="O25" s="1362">
        <f>'Summary-NoCo'!O25</f>
        <v>0.77482745098039207</v>
      </c>
      <c r="P25" s="1363">
        <f>'Summary-NoCo'!P25</f>
        <v>3.393744235294117</v>
      </c>
      <c r="Q25" s="1362">
        <f>'Summary-NoCo'!Q25</f>
        <v>0.19184115980392158</v>
      </c>
      <c r="R25" s="1363">
        <f>'Summary-NoCo'!R25</f>
        <v>0.84026427994117647</v>
      </c>
      <c r="S25" s="5103">
        <f>'Summary-NoCo'!S25</f>
        <v>53344.522625410798</v>
      </c>
      <c r="T25" s="5104"/>
      <c r="U25" s="44"/>
      <c r="W25" s="8"/>
      <c r="X25" s="8"/>
    </row>
    <row r="26" spans="1:24" ht="44.15" customHeight="1">
      <c r="A26" s="36"/>
      <c r="B26" s="178" t="str">
        <f>'Summary-NoCo'!B26</f>
        <v>Cryo Hot Oil Heater
(103.99 MMBtu/hr)</v>
      </c>
      <c r="C26" s="176" t="str">
        <f>'Summary-NoCo'!C26</f>
        <v>CHTR2</v>
      </c>
      <c r="D26" s="191" t="str">
        <f>'Summary-NoCo'!D26</f>
        <v>CHTR2</v>
      </c>
      <c r="E26" s="1362">
        <f>'Summary-NoCo'!E26</f>
        <v>3.4732659999999997</v>
      </c>
      <c r="F26" s="1363">
        <f>'Summary-NoCo'!F26</f>
        <v>15.212905079999999</v>
      </c>
      <c r="G26" s="1362">
        <f>'Summary-NoCo'!G26</f>
        <v>1.6950369999999997</v>
      </c>
      <c r="H26" s="1363">
        <f>'Summary-NoCo'!H26</f>
        <v>7.4242620599999984</v>
      </c>
      <c r="I26" s="1362">
        <f>'Summary-NoCo'!I26</f>
        <v>0.66553600000000002</v>
      </c>
      <c r="J26" s="1363">
        <f>'Summary-NoCo'!J26</f>
        <v>2.9150476800000003</v>
      </c>
      <c r="K26" s="1362">
        <f>'Summary-NoCo'!K26</f>
        <v>0.22938970588235294</v>
      </c>
      <c r="L26" s="1363">
        <f>'Summary-NoCo'!L26</f>
        <v>1.0047269117647057</v>
      </c>
      <c r="M26" s="1362">
        <f>'Summary-NoCo'!M26</f>
        <v>0.77482745098039207</v>
      </c>
      <c r="N26" s="1363">
        <f>'Summary-NoCo'!N26</f>
        <v>3.393744235294117</v>
      </c>
      <c r="O26" s="1362">
        <f>'Summary-NoCo'!O26</f>
        <v>0.77482745098039207</v>
      </c>
      <c r="P26" s="1363">
        <f>'Summary-NoCo'!P26</f>
        <v>3.393744235294117</v>
      </c>
      <c r="Q26" s="1362">
        <f>'Summary-NoCo'!Q26</f>
        <v>0.19184115980392158</v>
      </c>
      <c r="R26" s="1363">
        <f>'Summary-NoCo'!R26</f>
        <v>0.84026427994117647</v>
      </c>
      <c r="S26" s="5103">
        <f>'Summary-NoCo'!S26</f>
        <v>53344.522625410798</v>
      </c>
      <c r="T26" s="5104"/>
      <c r="U26" s="44"/>
      <c r="W26" s="8" t="e">
        <f>SUM(#REF!)</f>
        <v>#REF!</v>
      </c>
    </row>
    <row r="27" spans="1:24" ht="44.15" customHeight="1">
      <c r="A27" s="36"/>
      <c r="B27" s="178" t="str">
        <f>'Summary-NoCo'!B27</f>
        <v>Cryo Hot Oil Heater
(103.99 MMBtu/hr)</v>
      </c>
      <c r="C27" s="176" t="str">
        <f>'Summary-NoCo'!C27</f>
        <v>CHTR3</v>
      </c>
      <c r="D27" s="191" t="str">
        <f>'Summary-NoCo'!D27</f>
        <v>CHTR3</v>
      </c>
      <c r="E27" s="1362">
        <f>'Summary-NoCo'!E27</f>
        <v>3.4732659999999997</v>
      </c>
      <c r="F27" s="1363">
        <f>'Summary-NoCo'!F27</f>
        <v>15.212905079999999</v>
      </c>
      <c r="G27" s="1362">
        <f>'Summary-NoCo'!G27</f>
        <v>1.6950369999999997</v>
      </c>
      <c r="H27" s="1363">
        <f>'Summary-NoCo'!H27</f>
        <v>7.4242620599999984</v>
      </c>
      <c r="I27" s="1362">
        <f>'Summary-NoCo'!I27</f>
        <v>0.66553600000000002</v>
      </c>
      <c r="J27" s="1363">
        <f>'Summary-NoCo'!J27</f>
        <v>2.9150476800000003</v>
      </c>
      <c r="K27" s="1362">
        <f>'Summary-NoCo'!K27</f>
        <v>0.22938970588235294</v>
      </c>
      <c r="L27" s="1363">
        <f>'Summary-NoCo'!L27</f>
        <v>1.0047269117647057</v>
      </c>
      <c r="M27" s="1362">
        <f>'Summary-NoCo'!M27</f>
        <v>0.77482745098039207</v>
      </c>
      <c r="N27" s="1363">
        <f>'Summary-NoCo'!N27</f>
        <v>3.393744235294117</v>
      </c>
      <c r="O27" s="1362">
        <f>'Summary-NoCo'!O27</f>
        <v>0.77482745098039207</v>
      </c>
      <c r="P27" s="1363">
        <f>'Summary-NoCo'!P27</f>
        <v>3.393744235294117</v>
      </c>
      <c r="Q27" s="1362">
        <f>'Summary-NoCo'!Q27</f>
        <v>0.19184115980392158</v>
      </c>
      <c r="R27" s="1363">
        <f>'Summary-NoCo'!R27</f>
        <v>0.84026427994117647</v>
      </c>
      <c r="S27" s="5103">
        <f>'Summary-NoCo'!S27</f>
        <v>53344.522625410798</v>
      </c>
      <c r="T27" s="5104"/>
      <c r="U27" s="44"/>
      <c r="W27" s="8"/>
      <c r="X27" s="8"/>
    </row>
    <row r="28" spans="1:24" ht="44.15" customHeight="1">
      <c r="A28" s="36"/>
      <c r="B28" s="178" t="str">
        <f>'Summary-NoCo'!B28</f>
        <v>Regen Heater 
(39.14 MMBtu/hr)</v>
      </c>
      <c r="C28" s="176" t="str">
        <f>'Summary-NoCo'!C28</f>
        <v>RHTR1</v>
      </c>
      <c r="D28" s="191" t="str">
        <f>'Summary-NoCo'!D28</f>
        <v>RHTR1</v>
      </c>
      <c r="E28" s="1362">
        <f>'Summary-NoCo'!E28</f>
        <v>1.0450380000000001</v>
      </c>
      <c r="F28" s="1363">
        <f>'Summary-NoCo'!F28</f>
        <v>4.5772664400000007</v>
      </c>
      <c r="G28" s="1362">
        <f>'Summary-NoCo'!G28</f>
        <v>0.63798199999999994</v>
      </c>
      <c r="H28" s="1363">
        <f>'Summary-NoCo'!H28</f>
        <v>2.7943611599999998</v>
      </c>
      <c r="I28" s="1362">
        <f>'Summary-NoCo'!I28</f>
        <v>0.250496</v>
      </c>
      <c r="J28" s="1363">
        <f>'Summary-NoCo'!J28</f>
        <v>1.09717248</v>
      </c>
      <c r="K28" s="1362">
        <f>'Summary-NoCo'!K28</f>
        <v>8.633823529411766E-2</v>
      </c>
      <c r="L28" s="1363">
        <f>'Summary-NoCo'!L28</f>
        <v>0.37816147058823535</v>
      </c>
      <c r="M28" s="1362">
        <f>'Summary-NoCo'!M28</f>
        <v>0.29163137254901961</v>
      </c>
      <c r="N28" s="1363">
        <f>'Summary-NoCo'!N28</f>
        <v>1.2773454117647058</v>
      </c>
      <c r="O28" s="1362">
        <f>'Summary-NoCo'!O28</f>
        <v>0.29163137254901961</v>
      </c>
      <c r="P28" s="1363">
        <f>'Summary-NoCo'!P28</f>
        <v>1.2773454117647058</v>
      </c>
      <c r="Q28" s="1362">
        <f>'Summary-NoCo'!Q28</f>
        <v>7.2205625490196074E-2</v>
      </c>
      <c r="R28" s="1363">
        <f>'Summary-NoCo'!R28</f>
        <v>0.31626063964705881</v>
      </c>
      <c r="S28" s="5103">
        <f>'Summary-NoCo'!S28</f>
        <v>20077.936489648804</v>
      </c>
      <c r="T28" s="5104"/>
      <c r="U28" s="44"/>
    </row>
    <row r="29" spans="1:24" ht="44.15" customHeight="1">
      <c r="A29" s="36"/>
      <c r="B29" s="178" t="str">
        <f>'Summary-NoCo'!B29</f>
        <v>Regen Heater
(39.14 MMBtu/hr)</v>
      </c>
      <c r="C29" s="176" t="str">
        <f>'Summary-NoCo'!C29</f>
        <v>RHTR2</v>
      </c>
      <c r="D29" s="191" t="str">
        <f>'Summary-NoCo'!D29</f>
        <v>RHTR2</v>
      </c>
      <c r="E29" s="1362">
        <f>'Summary-NoCo'!E29</f>
        <v>1.0450380000000001</v>
      </c>
      <c r="F29" s="1363">
        <f>'Summary-NoCo'!F29</f>
        <v>4.5772664400000007</v>
      </c>
      <c r="G29" s="1362">
        <f>'Summary-NoCo'!G29</f>
        <v>0.63798199999999994</v>
      </c>
      <c r="H29" s="1363">
        <f>'Summary-NoCo'!H29</f>
        <v>2.7943611599999998</v>
      </c>
      <c r="I29" s="1362">
        <f>'Summary-NoCo'!I29</f>
        <v>0.250496</v>
      </c>
      <c r="J29" s="1363">
        <f>'Summary-NoCo'!J29</f>
        <v>1.09717248</v>
      </c>
      <c r="K29" s="1362">
        <f>'Summary-NoCo'!K29</f>
        <v>8.633823529411766E-2</v>
      </c>
      <c r="L29" s="1363">
        <f>'Summary-NoCo'!L29</f>
        <v>0.37816147058823535</v>
      </c>
      <c r="M29" s="1362">
        <f>'Summary-NoCo'!M29</f>
        <v>0.29163137254901961</v>
      </c>
      <c r="N29" s="1363">
        <f>'Summary-NoCo'!N29</f>
        <v>1.2773454117647058</v>
      </c>
      <c r="O29" s="1362">
        <f>'Summary-NoCo'!O29</f>
        <v>0.29163137254901961</v>
      </c>
      <c r="P29" s="1363">
        <f>'Summary-NoCo'!P29</f>
        <v>1.2773454117647058</v>
      </c>
      <c r="Q29" s="1362">
        <f>'Summary-NoCo'!Q29</f>
        <v>7.2205625490196074E-2</v>
      </c>
      <c r="R29" s="1363">
        <f>'Summary-NoCo'!R29</f>
        <v>0.31626063964705881</v>
      </c>
      <c r="S29" s="5103">
        <f>'Summary-NoCo'!S29</f>
        <v>20077.936489648804</v>
      </c>
      <c r="T29" s="5104"/>
      <c r="U29" s="44"/>
      <c r="W29" s="8">
        <f>S29+S30</f>
        <v>40155.872979297608</v>
      </c>
      <c r="X29" s="8"/>
    </row>
    <row r="30" spans="1:24" ht="44.15" customHeight="1">
      <c r="A30" s="36"/>
      <c r="B30" s="178" t="str">
        <f>'Summary-NoCo'!B30</f>
        <v>Regen Heater
(39.14 MMBtu/hr)</v>
      </c>
      <c r="C30" s="176" t="str">
        <f>'Summary-NoCo'!C30</f>
        <v>RHTR3</v>
      </c>
      <c r="D30" s="191" t="str">
        <f>'Summary-NoCo'!D30</f>
        <v>RHTR3</v>
      </c>
      <c r="E30" s="1362">
        <f>'Summary-NoCo'!E30</f>
        <v>1.0450380000000001</v>
      </c>
      <c r="F30" s="1363">
        <f>'Summary-NoCo'!F30</f>
        <v>4.5772664400000007</v>
      </c>
      <c r="G30" s="1362">
        <f>'Summary-NoCo'!G30</f>
        <v>0.63798199999999994</v>
      </c>
      <c r="H30" s="1363">
        <f>'Summary-NoCo'!H30</f>
        <v>2.7943611599999998</v>
      </c>
      <c r="I30" s="1362">
        <f>'Summary-NoCo'!I30</f>
        <v>0.250496</v>
      </c>
      <c r="J30" s="1363">
        <f>'Summary-NoCo'!J30</f>
        <v>1.09717248</v>
      </c>
      <c r="K30" s="1362">
        <f>'Summary-NoCo'!K30</f>
        <v>8.633823529411766E-2</v>
      </c>
      <c r="L30" s="1363">
        <f>'Summary-NoCo'!L30</f>
        <v>0.37816147058823535</v>
      </c>
      <c r="M30" s="1362">
        <f>'Summary-NoCo'!M30</f>
        <v>0.29163137254901961</v>
      </c>
      <c r="N30" s="1363">
        <f>'Summary-NoCo'!N30</f>
        <v>1.2773454117647058</v>
      </c>
      <c r="O30" s="1362">
        <f>'Summary-NoCo'!O30</f>
        <v>0.29163137254901961</v>
      </c>
      <c r="P30" s="1363">
        <f>'Summary-NoCo'!P30</f>
        <v>1.2773454117647058</v>
      </c>
      <c r="Q30" s="1362">
        <f>'Summary-NoCo'!Q30</f>
        <v>7.2205625490196074E-2</v>
      </c>
      <c r="R30" s="1363">
        <f>'Summary-NoCo'!R30</f>
        <v>0.31626063964705881</v>
      </c>
      <c r="S30" s="5103">
        <f>'Summary-NoCo'!S30</f>
        <v>20077.936489648804</v>
      </c>
      <c r="T30" s="5104"/>
      <c r="U30" s="44"/>
    </row>
    <row r="31" spans="1:24" ht="44.25" customHeight="1">
      <c r="A31" s="36"/>
      <c r="B31" s="1499" t="str">
        <f>'Summary-NoCo'!B31</f>
        <v>SSM/Emergency Flare 1 
(Dual Tip Flare) - Pilot/Purge</v>
      </c>
      <c r="C31" s="1500" t="str">
        <f>'Summary-NoCo'!C31</f>
        <v>FL1-FL31</v>
      </c>
      <c r="D31" s="1501" t="str">
        <f>'Summary-NoCo'!D31</f>
        <v>FL1-FL31</v>
      </c>
      <c r="E31" s="3983">
        <f>'Summary-NoCo'!E31:E33</f>
        <v>2.6783137254439984</v>
      </c>
      <c r="F31" s="3980">
        <f>'Summary-NoCo'!F31:F33</f>
        <v>11.73101411744471</v>
      </c>
      <c r="G31" s="3983">
        <f>'Summary-NoCo'!G31:G33</f>
        <v>5.3469234156508803</v>
      </c>
      <c r="H31" s="3980">
        <f>'Summary-NoCo'!H31:H33</f>
        <v>23.419524560550855</v>
      </c>
      <c r="I31" s="3983">
        <f>'Summary-NoCo'!I31:I33</f>
        <v>0.80398014094115633</v>
      </c>
      <c r="J31" s="3980">
        <f>'Summary-NoCo'!J31:J33</f>
        <v>3.5214330173222645</v>
      </c>
      <c r="K31" s="3983">
        <f>'Summary-NoCo'!K31:K33</f>
        <v>0</v>
      </c>
      <c r="L31" s="3980">
        <f>'Summary-NoCo'!L31:L33</f>
        <v>0</v>
      </c>
      <c r="M31" s="3983">
        <f>'Summary-NoCo'!M31:M33</f>
        <v>0.14460915255310022</v>
      </c>
      <c r="N31" s="3980">
        <f>'Summary-NoCo'!N31:N33</f>
        <v>0.63338808818257897</v>
      </c>
      <c r="O31" s="3983">
        <f>'Summary-NoCo'!O31:O33</f>
        <v>0.14460915255310022</v>
      </c>
      <c r="P31" s="3980">
        <f>'Summary-NoCo'!P31:P33</f>
        <v>0.63338808818257897</v>
      </c>
      <c r="Q31" s="3983">
        <f>'Summary-NoCo'!Q31:Q33</f>
        <v>0</v>
      </c>
      <c r="R31" s="3980">
        <f>'Summary-NoCo'!R31:R33</f>
        <v>0</v>
      </c>
      <c r="S31" s="5109">
        <f>'Summary-NoCo'!S31:T33</f>
        <v>0</v>
      </c>
      <c r="T31" s="5110"/>
      <c r="U31" s="44"/>
      <c r="V31" s="8"/>
      <c r="W31" s="8"/>
      <c r="X31" s="8"/>
    </row>
    <row r="32" spans="1:24" ht="44.15" customHeight="1">
      <c r="A32" s="36"/>
      <c r="B32" s="1499" t="str">
        <f>'Summary-NoCo'!B32</f>
        <v>SSM/Emergency Flare 2 
(Dual Tip Flare) - Pilot/Purge</v>
      </c>
      <c r="C32" s="1500">
        <f>'Summary-NoCo'!C32</f>
        <v>0</v>
      </c>
      <c r="D32" s="1501">
        <f>'Summary-NoCo'!D32</f>
        <v>0</v>
      </c>
      <c r="E32" s="3984"/>
      <c r="F32" s="3981"/>
      <c r="G32" s="3984"/>
      <c r="H32" s="3981"/>
      <c r="I32" s="3984"/>
      <c r="J32" s="3981"/>
      <c r="K32" s="3984"/>
      <c r="L32" s="3981"/>
      <c r="M32" s="3984"/>
      <c r="N32" s="3981"/>
      <c r="O32" s="3984"/>
      <c r="P32" s="3981"/>
      <c r="Q32" s="3984"/>
      <c r="R32" s="3981"/>
      <c r="S32" s="5111"/>
      <c r="T32" s="5112"/>
      <c r="U32" s="44"/>
      <c r="X32" s="8"/>
    </row>
    <row r="33" spans="1:24" ht="43.5" customHeight="1">
      <c r="A33" s="36"/>
      <c r="B33" s="1499" t="str">
        <f>'Summary-NoCo'!B33</f>
        <v>Backup SSM/Emergency Flare (Dual Tip Flare) - Pilot/Purge</v>
      </c>
      <c r="C33" s="1500">
        <f>'Summary-NoCo'!C33</f>
        <v>0</v>
      </c>
      <c r="D33" s="1501">
        <f>'Summary-NoCo'!D33</f>
        <v>0</v>
      </c>
      <c r="E33" s="3985"/>
      <c r="F33" s="3982"/>
      <c r="G33" s="3985"/>
      <c r="H33" s="3982"/>
      <c r="I33" s="3985"/>
      <c r="J33" s="3982"/>
      <c r="K33" s="3985"/>
      <c r="L33" s="3982"/>
      <c r="M33" s="3985"/>
      <c r="N33" s="3982"/>
      <c r="O33" s="3985"/>
      <c r="P33" s="3982"/>
      <c r="Q33" s="3985"/>
      <c r="R33" s="3982"/>
      <c r="S33" s="5113"/>
      <c r="T33" s="5114"/>
      <c r="U33" s="1655"/>
    </row>
    <row r="34" spans="1:24" ht="44.15" customHeight="1">
      <c r="A34" s="36"/>
      <c r="B34" s="1032" t="str">
        <f>'Summary-NoCo'!B36</f>
        <v>Oil Storage 1 (100,000 bbl)</v>
      </c>
      <c r="C34" s="1284" t="str">
        <f>'Summary-NoCo'!C36</f>
        <v>IFR1</v>
      </c>
      <c r="D34" s="1285" t="str">
        <f>'Summary-NoCo'!D36</f>
        <v>IFR1</v>
      </c>
      <c r="E34" s="1284" t="str">
        <f>'Summary-NoCo'!E36</f>
        <v>--</v>
      </c>
      <c r="F34" s="1285" t="str">
        <f>'Summary-NoCo'!F36</f>
        <v>--</v>
      </c>
      <c r="G34" s="1284" t="str">
        <f>'Summary-NoCo'!G36</f>
        <v>--</v>
      </c>
      <c r="H34" s="1285" t="str">
        <f>'Summary-NoCo'!H36</f>
        <v>--</v>
      </c>
      <c r="I34" s="1653">
        <f>'Summary-NoCo'!I36</f>
        <v>1.1752020371542549</v>
      </c>
      <c r="J34" s="1654">
        <f>'Summary-NoCo'!J36</f>
        <v>5.1473849227356343</v>
      </c>
      <c r="K34" s="1284" t="str">
        <f>'Summary-NoCo'!K36</f>
        <v>--</v>
      </c>
      <c r="L34" s="1285" t="str">
        <f>'Summary-NoCo'!L36</f>
        <v>--</v>
      </c>
      <c r="M34" s="1284" t="str">
        <f>'Summary-NoCo'!M36</f>
        <v>--</v>
      </c>
      <c r="N34" s="1285" t="str">
        <f>'Summary-NoCo'!N36</f>
        <v>--</v>
      </c>
      <c r="O34" s="1284" t="str">
        <f>'Summary-NoCo'!O36</f>
        <v>--</v>
      </c>
      <c r="P34" s="1285" t="str">
        <f>'Summary-NoCo'!P36</f>
        <v>--</v>
      </c>
      <c r="Q34" s="1653">
        <f>'Summary-NoCo'!Q36</f>
        <v>6.7739254805280091E-2</v>
      </c>
      <c r="R34" s="1654">
        <f>'Summary-NoCo'!R36</f>
        <v>0.2966979360471268</v>
      </c>
      <c r="S34" s="5107" t="s">
        <v>445</v>
      </c>
      <c r="T34" s="5108"/>
      <c r="U34" s="44"/>
    </row>
    <row r="35" spans="1:24" ht="44.15" customHeight="1">
      <c r="A35" s="36"/>
      <c r="B35" s="178" t="str">
        <f>'Summary-NoCo'!B37</f>
        <v>Oil Storage 2 (100,000 bbl)</v>
      </c>
      <c r="C35" s="176" t="str">
        <f>'Summary-NoCo'!C37</f>
        <v>IFR2</v>
      </c>
      <c r="D35" s="191" t="str">
        <f>'Summary-NoCo'!D37</f>
        <v>IFR2</v>
      </c>
      <c r="E35" s="176" t="str">
        <f>'Summary-NoCo'!E37</f>
        <v>--</v>
      </c>
      <c r="F35" s="191" t="str">
        <f>'Summary-NoCo'!F37</f>
        <v>--</v>
      </c>
      <c r="G35" s="176" t="str">
        <f>'Summary-NoCo'!G37</f>
        <v>--</v>
      </c>
      <c r="H35" s="191" t="str">
        <f>'Summary-NoCo'!H37</f>
        <v>--</v>
      </c>
      <c r="I35" s="1649">
        <f>'Summary-NoCo'!I37</f>
        <v>1.1752020371542549</v>
      </c>
      <c r="J35" s="1650">
        <f>'Summary-NoCo'!J37</f>
        <v>5.1473849227356343</v>
      </c>
      <c r="K35" s="176" t="str">
        <f>'Summary-NoCo'!K37</f>
        <v>--</v>
      </c>
      <c r="L35" s="191" t="str">
        <f>'Summary-NoCo'!L37</f>
        <v>--</v>
      </c>
      <c r="M35" s="176" t="str">
        <f>'Summary-NoCo'!M37</f>
        <v>--</v>
      </c>
      <c r="N35" s="191" t="str">
        <f>'Summary-NoCo'!N37</f>
        <v>--</v>
      </c>
      <c r="O35" s="176" t="str">
        <f>'Summary-NoCo'!O37</f>
        <v>--</v>
      </c>
      <c r="P35" s="191" t="str">
        <f>'Summary-NoCo'!P37</f>
        <v>--</v>
      </c>
      <c r="Q35" s="1649">
        <f>'Summary-NoCo'!Q37</f>
        <v>6.7739254805280091E-2</v>
      </c>
      <c r="R35" s="1650">
        <f>'Summary-NoCo'!R37</f>
        <v>0.2966979360471268</v>
      </c>
      <c r="S35" s="3993" t="s">
        <v>445</v>
      </c>
      <c r="T35" s="3994"/>
      <c r="U35" s="44"/>
      <c r="W35" s="8"/>
    </row>
    <row r="36" spans="1:24" ht="44.15" customHeight="1">
      <c r="A36" s="36"/>
      <c r="B36" s="178" t="str">
        <f>'Summary-NoCo'!B38</f>
        <v>Oil Storage 3 (100,000 bbl)</v>
      </c>
      <c r="C36" s="176" t="str">
        <f>'Summary-NoCo'!C38</f>
        <v>IFR3</v>
      </c>
      <c r="D36" s="191" t="str">
        <f>'Summary-NoCo'!D38</f>
        <v>IFR3</v>
      </c>
      <c r="E36" s="176" t="str">
        <f>'Summary-NoCo'!E38</f>
        <v>--</v>
      </c>
      <c r="F36" s="191" t="str">
        <f>'Summary-NoCo'!F38</f>
        <v>--</v>
      </c>
      <c r="G36" s="176" t="str">
        <f>'Summary-NoCo'!G38</f>
        <v>--</v>
      </c>
      <c r="H36" s="191" t="str">
        <f>'Summary-NoCo'!H38</f>
        <v>--</v>
      </c>
      <c r="I36" s="1649">
        <f>'Summary-NoCo'!I38</f>
        <v>1.1752020371542549</v>
      </c>
      <c r="J36" s="1650">
        <f>'Summary-NoCo'!J38</f>
        <v>5.1473849227356343</v>
      </c>
      <c r="K36" s="176" t="str">
        <f>'Summary-NoCo'!K38</f>
        <v>--</v>
      </c>
      <c r="L36" s="191" t="str">
        <f>'Summary-NoCo'!L38</f>
        <v>--</v>
      </c>
      <c r="M36" s="176" t="str">
        <f>'Summary-NoCo'!M38</f>
        <v>--</v>
      </c>
      <c r="N36" s="191" t="str">
        <f>'Summary-NoCo'!N38</f>
        <v>--</v>
      </c>
      <c r="O36" s="176" t="str">
        <f>'Summary-NoCo'!O38</f>
        <v>--</v>
      </c>
      <c r="P36" s="191" t="str">
        <f>'Summary-NoCo'!P38</f>
        <v>--</v>
      </c>
      <c r="Q36" s="1649">
        <f>'Summary-NoCo'!Q38</f>
        <v>6.7739254805280091E-2</v>
      </c>
      <c r="R36" s="1650">
        <f>'Summary-NoCo'!R38</f>
        <v>0.2966979360471268</v>
      </c>
      <c r="S36" s="3993" t="s">
        <v>445</v>
      </c>
      <c r="T36" s="3994"/>
      <c r="U36" s="44"/>
    </row>
    <row r="37" spans="1:24" ht="44.15" customHeight="1">
      <c r="A37" s="36"/>
      <c r="B37" s="178" t="str">
        <f>'Summary-NoCo'!B39</f>
        <v>Oil Storage 4 (100,000 bbl)</v>
      </c>
      <c r="C37" s="176" t="str">
        <f>'Summary-NoCo'!C39</f>
        <v>IFR4</v>
      </c>
      <c r="D37" s="191" t="str">
        <f>'Summary-NoCo'!D39</f>
        <v>IFR4</v>
      </c>
      <c r="E37" s="176" t="str">
        <f>'Summary-NoCo'!E39</f>
        <v>--</v>
      </c>
      <c r="F37" s="191" t="str">
        <f>'Summary-NoCo'!F39</f>
        <v>--</v>
      </c>
      <c r="G37" s="176" t="str">
        <f>'Summary-NoCo'!G39</f>
        <v>--</v>
      </c>
      <c r="H37" s="191" t="str">
        <f>'Summary-NoCo'!H39</f>
        <v>--</v>
      </c>
      <c r="I37" s="1649">
        <f>'Summary-NoCo'!I39</f>
        <v>1.1752020371542549</v>
      </c>
      <c r="J37" s="1650">
        <f>'Summary-NoCo'!J39</f>
        <v>5.1473849227356343</v>
      </c>
      <c r="K37" s="176" t="str">
        <f>'Summary-NoCo'!K39</f>
        <v>--</v>
      </c>
      <c r="L37" s="191" t="str">
        <f>'Summary-NoCo'!L39</f>
        <v>--</v>
      </c>
      <c r="M37" s="176" t="str">
        <f>'Summary-NoCo'!M39</f>
        <v>--</v>
      </c>
      <c r="N37" s="191" t="str">
        <f>'Summary-NoCo'!N39</f>
        <v>--</v>
      </c>
      <c r="O37" s="176" t="str">
        <f>'Summary-NoCo'!O39</f>
        <v>--</v>
      </c>
      <c r="P37" s="191" t="str">
        <f>'Summary-NoCo'!P39</f>
        <v>--</v>
      </c>
      <c r="Q37" s="1649">
        <f>'Summary-NoCo'!Q39</f>
        <v>6.7739254805280091E-2</v>
      </c>
      <c r="R37" s="1650">
        <f>'Summary-NoCo'!R39</f>
        <v>0.2966979360471268</v>
      </c>
      <c r="S37" s="3993" t="s">
        <v>445</v>
      </c>
      <c r="T37" s="3994"/>
      <c r="U37" s="44"/>
    </row>
    <row r="38" spans="1:24" ht="44.15" customHeight="1">
      <c r="A38" s="36"/>
      <c r="B38" s="178" t="str">
        <f>'Summary-NoCo'!B40</f>
        <v>3rd-Party Oil Storage 1</v>
      </c>
      <c r="C38" s="176" t="str">
        <f>'Summary-NoCo'!C40</f>
        <v>OTK1</v>
      </c>
      <c r="D38" s="191" t="str">
        <f>'Summary-NoCo'!D40</f>
        <v>OTK1</v>
      </c>
      <c r="E38" s="3986" t="str">
        <f>'Summary-NoCo'!E40:T40</f>
        <v>Emissions represented at ECD1.</v>
      </c>
      <c r="F38" s="3987"/>
      <c r="G38" s="3987"/>
      <c r="H38" s="3987"/>
      <c r="I38" s="3987"/>
      <c r="J38" s="3987"/>
      <c r="K38" s="3987"/>
      <c r="L38" s="3987"/>
      <c r="M38" s="3929"/>
      <c r="N38" s="3929"/>
      <c r="O38" s="3987"/>
      <c r="P38" s="3987"/>
      <c r="Q38" s="3987"/>
      <c r="R38" s="3987"/>
      <c r="S38" s="3987"/>
      <c r="T38" s="3988"/>
      <c r="U38" s="44"/>
    </row>
    <row r="39" spans="1:24" ht="44.15" customHeight="1">
      <c r="A39" s="36"/>
      <c r="B39" s="178" t="str">
        <f>'Summary-NoCo'!B41</f>
        <v>3rd-Party Oil Storage 2</v>
      </c>
      <c r="C39" s="176" t="str">
        <f>'Summary-NoCo'!C41</f>
        <v>OTK2</v>
      </c>
      <c r="D39" s="191" t="str">
        <f>'Summary-NoCo'!D41</f>
        <v>OTK2</v>
      </c>
      <c r="E39" s="3986" t="str">
        <f>'Summary-NoCo'!E41:T41</f>
        <v>Emissions represented at ECD1.</v>
      </c>
      <c r="F39" s="3987"/>
      <c r="G39" s="3987"/>
      <c r="H39" s="3987"/>
      <c r="I39" s="3987"/>
      <c r="J39" s="3987"/>
      <c r="K39" s="3987"/>
      <c r="L39" s="3987"/>
      <c r="M39" s="3929"/>
      <c r="N39" s="3929"/>
      <c r="O39" s="3987"/>
      <c r="P39" s="3987"/>
      <c r="Q39" s="3987"/>
      <c r="R39" s="3987"/>
      <c r="S39" s="3987"/>
      <c r="T39" s="3988"/>
      <c r="U39" s="44"/>
      <c r="W39" s="8"/>
      <c r="X39" s="8"/>
    </row>
    <row r="40" spans="1:24" ht="44.15" customHeight="1">
      <c r="A40" s="36"/>
      <c r="B40" s="178" t="str">
        <f>'Summary-NoCo'!B42</f>
        <v>3rd-Party Oil Storage 3</v>
      </c>
      <c r="C40" s="176" t="str">
        <f>'Summary-NoCo'!C42</f>
        <v>OTK3</v>
      </c>
      <c r="D40" s="191" t="str">
        <f>'Summary-NoCo'!D42</f>
        <v>OTK3</v>
      </c>
      <c r="E40" s="3986" t="str">
        <f>'Summary-NoCo'!E42:T42</f>
        <v>Emissions represented at ECD1.</v>
      </c>
      <c r="F40" s="3987"/>
      <c r="G40" s="3987"/>
      <c r="H40" s="3987"/>
      <c r="I40" s="3987"/>
      <c r="J40" s="3987"/>
      <c r="K40" s="3987"/>
      <c r="L40" s="3987"/>
      <c r="M40" s="3929"/>
      <c r="N40" s="3929"/>
      <c r="O40" s="3987"/>
      <c r="P40" s="3987"/>
      <c r="Q40" s="3987"/>
      <c r="R40" s="3987"/>
      <c r="S40" s="3987"/>
      <c r="T40" s="3988"/>
      <c r="U40" s="44"/>
      <c r="W40" s="8">
        <f>SUM(S13:T40)</f>
        <v>619343.29639186198</v>
      </c>
    </row>
    <row r="41" spans="1:24" ht="44.15" customHeight="1">
      <c r="A41" s="36"/>
      <c r="B41" s="178" t="str">
        <f>'Summary-NoCo'!B43</f>
        <v>3rd-Party Oil Storage 4</v>
      </c>
      <c r="C41" s="176" t="str">
        <f>'Summary-NoCo'!C43</f>
        <v>OTK4</v>
      </c>
      <c r="D41" s="191" t="str">
        <f>'Summary-NoCo'!D43</f>
        <v>OTK4</v>
      </c>
      <c r="E41" s="3986" t="str">
        <f>'Summary-NoCo'!E43:T43</f>
        <v>Emissions represented at ECD1.</v>
      </c>
      <c r="F41" s="3987"/>
      <c r="G41" s="3987"/>
      <c r="H41" s="3987"/>
      <c r="I41" s="3987"/>
      <c r="J41" s="3987"/>
      <c r="K41" s="3987"/>
      <c r="L41" s="3987"/>
      <c r="M41" s="3929"/>
      <c r="N41" s="3929"/>
      <c r="O41" s="3987"/>
      <c r="P41" s="3987"/>
      <c r="Q41" s="3987"/>
      <c r="R41" s="3987"/>
      <c r="S41" s="3987"/>
      <c r="T41" s="3988"/>
      <c r="U41" s="44"/>
    </row>
    <row r="42" spans="1:24" ht="44.15" customHeight="1">
      <c r="A42" s="36"/>
      <c r="B42" s="178" t="str">
        <f>'Summary-NoCo'!B44</f>
        <v>3rd-Party Oil Storage 5</v>
      </c>
      <c r="C42" s="176" t="str">
        <f>'Summary-NoCo'!C44</f>
        <v>OTK5</v>
      </c>
      <c r="D42" s="191" t="str">
        <f>'Summary-NoCo'!D44</f>
        <v>OTK5</v>
      </c>
      <c r="E42" s="3986" t="str">
        <f>'Summary-NoCo'!E44:T44</f>
        <v>Emissions represented at ECD1.</v>
      </c>
      <c r="F42" s="3987"/>
      <c r="G42" s="3987"/>
      <c r="H42" s="3987"/>
      <c r="I42" s="3987"/>
      <c r="J42" s="3987"/>
      <c r="K42" s="3987"/>
      <c r="L42" s="3987"/>
      <c r="M42" s="3929"/>
      <c r="N42" s="3929"/>
      <c r="O42" s="3987"/>
      <c r="P42" s="3987"/>
      <c r="Q42" s="3987"/>
      <c r="R42" s="3987"/>
      <c r="S42" s="3987"/>
      <c r="T42" s="3988"/>
      <c r="U42" s="44"/>
      <c r="W42" s="8">
        <f>S42+S43</f>
        <v>0</v>
      </c>
      <c r="X42" s="8"/>
    </row>
    <row r="43" spans="1:24" ht="44.15" customHeight="1">
      <c r="A43" s="36"/>
      <c r="B43" s="178" t="str">
        <f>'Summary-NoCo'!B45</f>
        <v>3rd-Party Oil Storage 6</v>
      </c>
      <c r="C43" s="176" t="str">
        <f>'Summary-NoCo'!C45</f>
        <v>OTK6</v>
      </c>
      <c r="D43" s="191" t="str">
        <f>'Summary-NoCo'!D45</f>
        <v>OTK6</v>
      </c>
      <c r="E43" s="3986" t="str">
        <f>'Summary-NoCo'!E45:T45</f>
        <v>Emissions represented at ECD1.</v>
      </c>
      <c r="F43" s="3987"/>
      <c r="G43" s="3987"/>
      <c r="H43" s="3987"/>
      <c r="I43" s="3987"/>
      <c r="J43" s="3987"/>
      <c r="K43" s="3987"/>
      <c r="L43" s="3987"/>
      <c r="M43" s="3929"/>
      <c r="N43" s="3929"/>
      <c r="O43" s="3987"/>
      <c r="P43" s="3987"/>
      <c r="Q43" s="3987"/>
      <c r="R43" s="3987"/>
      <c r="S43" s="3987"/>
      <c r="T43" s="3988"/>
      <c r="U43" s="44"/>
    </row>
    <row r="44" spans="1:24" ht="44.15" customHeight="1">
      <c r="A44" s="36"/>
      <c r="B44" s="178" t="str">
        <f>'Summary-NoCo'!B46</f>
        <v>Combustor</v>
      </c>
      <c r="C44" s="176" t="str">
        <f>'Summary-NoCo'!C46</f>
        <v>ECD1</v>
      </c>
      <c r="D44" s="191" t="str">
        <f>'Summary-NoCo'!D46</f>
        <v>ECD1</v>
      </c>
      <c r="E44" s="1649">
        <f>'Summary-NoCo'!E46</f>
        <v>1.5931460516780505</v>
      </c>
      <c r="F44" s="1650">
        <f>'Summary-NoCo'!F46</f>
        <v>6.0866344473776257</v>
      </c>
      <c r="G44" s="1649">
        <f>'Summary-NoCo'!G46</f>
        <v>3.1805198350529196</v>
      </c>
      <c r="H44" s="1650">
        <f>'Summary-NoCo'!H46</f>
        <v>12.151215871395186</v>
      </c>
      <c r="I44" s="1649">
        <f>'Summary-NoCo'!I46</f>
        <v>7.2766034925122449</v>
      </c>
      <c r="J44" s="1650">
        <f>'Summary-NoCo'!J46</f>
        <v>28.268593950427899</v>
      </c>
      <c r="K44" s="1649">
        <f>'Summary-NoCo'!K46</f>
        <v>0</v>
      </c>
      <c r="L44" s="1650">
        <f>'Summary-NoCo'!L46</f>
        <v>0</v>
      </c>
      <c r="M44" s="1649">
        <f>'Summary-NoCo'!M46</f>
        <v>8.6018115890545505E-2</v>
      </c>
      <c r="N44" s="1650">
        <f>'Summary-NoCo'!N46</f>
        <v>0.12880069625799914</v>
      </c>
      <c r="O44" s="1649">
        <f>'Summary-NoCo'!O46</f>
        <v>8.6018115890545505E-2</v>
      </c>
      <c r="P44" s="1650">
        <f>'Summary-NoCo'!P46</f>
        <v>0.12880069625799914</v>
      </c>
      <c r="Q44" s="1649">
        <f>'Summary-NoCo'!Q46</f>
        <v>0.27504072721807626</v>
      </c>
      <c r="R44" s="1650">
        <f>'Summary-NoCo'!R46</f>
        <v>1.0668332259581128</v>
      </c>
      <c r="S44" s="5115">
        <f>'Summary-NoCo'!S46:T46</f>
        <v>4244.370563407545</v>
      </c>
      <c r="T44" s="5116"/>
      <c r="U44" s="44"/>
    </row>
    <row r="45" spans="1:24" ht="44.15" customHeight="1">
      <c r="A45" s="36"/>
      <c r="B45" s="178" t="str">
        <f>'Summary-NoCo'!B47</f>
        <v>Thermal Oxidizer</v>
      </c>
      <c r="C45" s="176" t="str">
        <f>'Summary-NoCo'!C47</f>
        <v>TO1</v>
      </c>
      <c r="D45" s="191" t="str">
        <f>'Summary-NoCo'!D47</f>
        <v>TO1</v>
      </c>
      <c r="E45" s="1649">
        <f>'Summary-NoCo'!E47</f>
        <v>2.5190885601790693</v>
      </c>
      <c r="F45" s="1650">
        <f>'Summary-NoCo'!F47</f>
        <v>11.033607893584323</v>
      </c>
      <c r="G45" s="1649">
        <f>'Summary-NoCo'!G47</f>
        <v>2.0880159999999997</v>
      </c>
      <c r="H45" s="1650">
        <f>'Summary-NoCo'!H47</f>
        <v>9.1455100799999975</v>
      </c>
      <c r="I45" s="1649">
        <f>'Summary-NoCo'!I47</f>
        <v>0.62455189452722593</v>
      </c>
      <c r="J45" s="1650">
        <f>'Summary-NoCo'!J47</f>
        <v>2.7355372980292492</v>
      </c>
      <c r="K45" s="1649">
        <f>'Summary-NoCo'!K47</f>
        <v>0.86237125715223051</v>
      </c>
      <c r="L45" s="1650">
        <f>'Summary-NoCo'!L47</f>
        <v>3.7771861063267695</v>
      </c>
      <c r="M45" s="1649">
        <f>'Summary-NoCo'!M47</f>
        <v>0.23462099335001135</v>
      </c>
      <c r="N45" s="1650">
        <f>'Summary-NoCo'!N47</f>
        <v>1.0276399508730496</v>
      </c>
      <c r="O45" s="1649">
        <f>'Summary-NoCo'!O47</f>
        <v>0.23462099335001135</v>
      </c>
      <c r="P45" s="1650">
        <f>'Summary-NoCo'!P47</f>
        <v>1.0276399508730496</v>
      </c>
      <c r="Q45" s="1649">
        <f>'Summary-NoCo'!Q47</f>
        <v>8.0737606029044826E-2</v>
      </c>
      <c r="R45" s="1650">
        <f>'Summary-NoCo'!R47</f>
        <v>0.35363071440721638</v>
      </c>
      <c r="S45" s="5115">
        <f>'Summary-NoCo'!S47:T47</f>
        <v>101557.29956690592</v>
      </c>
      <c r="T45" s="5116"/>
      <c r="U45" s="44"/>
      <c r="W45" s="8"/>
    </row>
    <row r="46" spans="1:24" ht="44.25" customHeight="1">
      <c r="A46" s="36"/>
      <c r="B46" s="178" t="str">
        <f>'Summary-NoCo'!B48</f>
        <v>Thermal Oxidizer</v>
      </c>
      <c r="C46" s="176" t="str">
        <f>'Summary-NoCo'!C48</f>
        <v>TO2</v>
      </c>
      <c r="D46" s="191" t="str">
        <f>'Summary-NoCo'!D48</f>
        <v>TO2</v>
      </c>
      <c r="E46" s="1649">
        <f>'Summary-NoCo'!E48</f>
        <v>2.5190885601790693</v>
      </c>
      <c r="F46" s="1650">
        <f>'Summary-NoCo'!F48</f>
        <v>11.033607893584323</v>
      </c>
      <c r="G46" s="1649">
        <f>'Summary-NoCo'!G48</f>
        <v>2.0880159999999997</v>
      </c>
      <c r="H46" s="1650">
        <f>'Summary-NoCo'!H48</f>
        <v>9.1455100799999975</v>
      </c>
      <c r="I46" s="1649">
        <f>'Summary-NoCo'!I48</f>
        <v>0.62455189452722593</v>
      </c>
      <c r="J46" s="1650">
        <f>'Summary-NoCo'!J48</f>
        <v>2.7355372980292492</v>
      </c>
      <c r="K46" s="1649">
        <f>'Summary-NoCo'!K48</f>
        <v>0.86237125715223051</v>
      </c>
      <c r="L46" s="1650">
        <f>'Summary-NoCo'!L48</f>
        <v>3.7771861063267695</v>
      </c>
      <c r="M46" s="1649">
        <f>'Summary-NoCo'!M48</f>
        <v>0.23462099335001135</v>
      </c>
      <c r="N46" s="1650">
        <f>'Summary-NoCo'!N48</f>
        <v>1.0276399508730496</v>
      </c>
      <c r="O46" s="1649">
        <f>'Summary-NoCo'!O48</f>
        <v>0.23462099335001135</v>
      </c>
      <c r="P46" s="1650">
        <f>'Summary-NoCo'!P48</f>
        <v>1.0276399508730496</v>
      </c>
      <c r="Q46" s="1649">
        <f>'Summary-NoCo'!Q48</f>
        <v>8.0737606029044826E-2</v>
      </c>
      <c r="R46" s="1650">
        <f>'Summary-NoCo'!R48</f>
        <v>0.35363071440721638</v>
      </c>
      <c r="S46" s="5115">
        <f>'Summary-NoCo'!S48:T48</f>
        <v>101557.29956690592</v>
      </c>
      <c r="T46" s="5116"/>
      <c r="U46" s="44"/>
      <c r="V46" s="8"/>
      <c r="W46" s="8" t="e">
        <f>#REF!+#REF!</f>
        <v>#REF!</v>
      </c>
    </row>
    <row r="47" spans="1:24" ht="44.25" customHeight="1">
      <c r="A47" s="36"/>
      <c r="B47" s="178" t="str">
        <f>'Summary-NoCo'!B49</f>
        <v>Thermal Oxidizer</v>
      </c>
      <c r="C47" s="176" t="str">
        <f>'Summary-NoCo'!C49</f>
        <v>TO3</v>
      </c>
      <c r="D47" s="191" t="str">
        <f>'Summary-NoCo'!D49</f>
        <v>TO3</v>
      </c>
      <c r="E47" s="1649">
        <f>'Summary-NoCo'!E49</f>
        <v>2.5190885601790693</v>
      </c>
      <c r="F47" s="1650">
        <f>'Summary-NoCo'!F49</f>
        <v>11.033607893584323</v>
      </c>
      <c r="G47" s="1649">
        <f>'Summary-NoCo'!G49</f>
        <v>2.0880159999999997</v>
      </c>
      <c r="H47" s="1650">
        <f>'Summary-NoCo'!H49</f>
        <v>9.1455100799999975</v>
      </c>
      <c r="I47" s="1649">
        <f>'Summary-NoCo'!I49</f>
        <v>0.62455189452722593</v>
      </c>
      <c r="J47" s="1650">
        <f>'Summary-NoCo'!J49</f>
        <v>2.7355372980292492</v>
      </c>
      <c r="K47" s="1649">
        <f>'Summary-NoCo'!K49</f>
        <v>0.86237125715223051</v>
      </c>
      <c r="L47" s="1650">
        <f>'Summary-NoCo'!L49</f>
        <v>3.7771861063267695</v>
      </c>
      <c r="M47" s="1649">
        <f>'Summary-NoCo'!M49</f>
        <v>0.23462099335001135</v>
      </c>
      <c r="N47" s="1650">
        <f>'Summary-NoCo'!N49</f>
        <v>1.0276399508730496</v>
      </c>
      <c r="O47" s="1649">
        <f>'Summary-NoCo'!O49</f>
        <v>0.23462099335001135</v>
      </c>
      <c r="P47" s="1650">
        <f>'Summary-NoCo'!P49</f>
        <v>1.0276399508730496</v>
      </c>
      <c r="Q47" s="1649">
        <f>'Summary-NoCo'!Q49</f>
        <v>8.0737606029044826E-2</v>
      </c>
      <c r="R47" s="1650">
        <f>'Summary-NoCo'!R49</f>
        <v>0.35363071440721638</v>
      </c>
      <c r="S47" s="5115">
        <f>'Summary-NoCo'!S49:T49</f>
        <v>101557.29956690592</v>
      </c>
      <c r="T47" s="5116"/>
      <c r="U47" s="44"/>
      <c r="X47" s="8"/>
    </row>
    <row r="48" spans="1:24" ht="44.25" customHeight="1">
      <c r="A48" s="36"/>
      <c r="B48" s="178" t="str">
        <f>'Summary-NoCo'!B50</f>
        <v>Fugitives</v>
      </c>
      <c r="C48" s="176" t="str">
        <f>'Summary-NoCo'!C50</f>
        <v>FUG</v>
      </c>
      <c r="D48" s="191" t="str">
        <f>'Summary-NoCo'!D50</f>
        <v>FUG</v>
      </c>
      <c r="E48" s="1649" t="str">
        <f>'Summary-NoCo'!E50</f>
        <v>--</v>
      </c>
      <c r="F48" s="1650" t="str">
        <f>'Summary-NoCo'!F50</f>
        <v>--</v>
      </c>
      <c r="G48" s="1649" t="str">
        <f>'Summary-NoCo'!G50</f>
        <v>--</v>
      </c>
      <c r="H48" s="1650" t="str">
        <f>'Summary-NoCo'!H50</f>
        <v>--</v>
      </c>
      <c r="I48" s="1649">
        <f>'Summary-NoCo'!I50</f>
        <v>30.616050709592137</v>
      </c>
      <c r="J48" s="1650">
        <f>'Summary-NoCo'!J50</f>
        <v>134.09830210801351</v>
      </c>
      <c r="K48" s="1649" t="str">
        <f>'Summary-NoCo'!K50</f>
        <v>--</v>
      </c>
      <c r="L48" s="1650" t="str">
        <f>'Summary-NoCo'!L50</f>
        <v>--</v>
      </c>
      <c r="M48" s="1649" t="str">
        <f>'Summary-NoCo'!M50</f>
        <v>--</v>
      </c>
      <c r="N48" s="1650" t="str">
        <f>'Summary-NoCo'!N50</f>
        <v>--</v>
      </c>
      <c r="O48" s="1649" t="str">
        <f>'Summary-NoCo'!O50</f>
        <v>--</v>
      </c>
      <c r="P48" s="1650" t="str">
        <f>'Summary-NoCo'!P50</f>
        <v>--</v>
      </c>
      <c r="Q48" s="1649">
        <f>'Summary-NoCo'!Q50</f>
        <v>1.8349882519246774</v>
      </c>
      <c r="R48" s="1650">
        <f>'Summary-NoCo'!R50</f>
        <v>8.0372485434300867</v>
      </c>
      <c r="S48" s="5115">
        <f>'Summary-NoCo'!S50:T50</f>
        <v>355.19068804717892</v>
      </c>
      <c r="T48" s="5116"/>
      <c r="U48" s="44"/>
    </row>
    <row r="49" spans="1:72" ht="44.25" customHeight="1">
      <c r="A49" s="36"/>
      <c r="B49" s="178" t="str">
        <f>'Summary-NoCo'!B51</f>
        <v>Storage Tank SSM Emissions</v>
      </c>
      <c r="C49" s="176" t="str">
        <f>'Summary-NoCo'!C51</f>
        <v>SSM</v>
      </c>
      <c r="D49" s="191" t="str">
        <f>'Summary-NoCo'!D51</f>
        <v>SSM</v>
      </c>
      <c r="E49" s="1649" t="str">
        <f>'Summary-NoCo'!E51</f>
        <v>--</v>
      </c>
      <c r="F49" s="1650" t="str">
        <f>'Summary-NoCo'!F51</f>
        <v>--</v>
      </c>
      <c r="G49" s="1649" t="str">
        <f>'Summary-NoCo'!G51</f>
        <v>--</v>
      </c>
      <c r="H49" s="1650" t="str">
        <f>'Summary-NoCo'!H51</f>
        <v>--</v>
      </c>
      <c r="I49" s="1649" t="str">
        <f>'Summary-NoCo'!I51</f>
        <v>--</v>
      </c>
      <c r="J49" s="1650">
        <f>'Summary-NoCo'!J51</f>
        <v>10</v>
      </c>
      <c r="K49" s="1649" t="str">
        <f>'Summary-NoCo'!K51</f>
        <v>--</v>
      </c>
      <c r="L49" s="1650" t="str">
        <f>'Summary-NoCo'!L51</f>
        <v>--</v>
      </c>
      <c r="M49" s="1649" t="str">
        <f>'Summary-NoCo'!M51</f>
        <v>--</v>
      </c>
      <c r="N49" s="1650" t="str">
        <f>'Summary-NoCo'!N51</f>
        <v>--</v>
      </c>
      <c r="O49" s="1649" t="str">
        <f>'Summary-NoCo'!O51</f>
        <v>--</v>
      </c>
      <c r="P49" s="1650" t="str">
        <f>'Summary-NoCo'!P51</f>
        <v>--</v>
      </c>
      <c r="Q49" s="1649" t="str">
        <f>'Summary-NoCo'!Q51</f>
        <v>--</v>
      </c>
      <c r="R49" s="1650" t="str">
        <f>'Summary-NoCo'!R51</f>
        <v>--</v>
      </c>
      <c r="S49" s="5115" t="str">
        <f>'Summary-NoCo'!S51:T51</f>
        <v>--</v>
      </c>
      <c r="T49" s="5116"/>
      <c r="U49" s="44"/>
    </row>
    <row r="50" spans="1:72" s="53" customFormat="1" ht="44.25" customHeight="1">
      <c r="A50" s="36"/>
      <c r="B50" s="178" t="str">
        <f>'Summary-NoCo'!B52</f>
        <v>Haul Road Fugitives</v>
      </c>
      <c r="C50" s="176" t="str">
        <f>'Summary-NoCo'!C52</f>
        <v>ROAD</v>
      </c>
      <c r="D50" s="191" t="str">
        <f>'Summary-NoCo'!D52</f>
        <v>ROAD</v>
      </c>
      <c r="E50" s="1649" t="str">
        <f>'Summary-NoCo'!E52</f>
        <v>--</v>
      </c>
      <c r="F50" s="1650" t="str">
        <f>'Summary-NoCo'!F52</f>
        <v>--</v>
      </c>
      <c r="G50" s="1649" t="str">
        <f>'Summary-NoCo'!G52</f>
        <v>--</v>
      </c>
      <c r="H50" s="1650" t="str">
        <f>'Summary-NoCo'!H52</f>
        <v>--</v>
      </c>
      <c r="I50" s="1649" t="str">
        <f>'Summary-NoCo'!I52</f>
        <v>--</v>
      </c>
      <c r="J50" s="1650" t="str">
        <f>'Summary-NoCo'!J52</f>
        <v>--</v>
      </c>
      <c r="K50" s="1649" t="str">
        <f>'Summary-NoCo'!K52</f>
        <v>--</v>
      </c>
      <c r="L50" s="1650" t="str">
        <f>'Summary-NoCo'!L52</f>
        <v>--</v>
      </c>
      <c r="M50" s="1649">
        <f>'Summary-NoCo'!M52</f>
        <v>2.7556902133370476</v>
      </c>
      <c r="N50" s="1650">
        <f>'Summary-NoCo'!N52</f>
        <v>8.8254079636430482</v>
      </c>
      <c r="O50" s="1649">
        <f>'Summary-NoCo'!O52</f>
        <v>0.70232409971011567</v>
      </c>
      <c r="P50" s="1650">
        <f>'Summary-NoCo'!P52</f>
        <v>2.2492719510493018</v>
      </c>
      <c r="Q50" s="1649" t="str">
        <f>'Summary-NoCo'!Q52</f>
        <v>--</v>
      </c>
      <c r="R50" s="1650" t="str">
        <f>'Summary-NoCo'!R52</f>
        <v>--</v>
      </c>
      <c r="S50" s="5115" t="str">
        <f>'Summary-NoCo'!S52:T52</f>
        <v>--</v>
      </c>
      <c r="T50" s="5116"/>
      <c r="U50" s="44"/>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row>
    <row r="51" spans="1:72" ht="44.25" customHeight="1">
      <c r="A51" s="36"/>
      <c r="B51" s="178" t="str">
        <f>'Summary-NoCo'!B53</f>
        <v>Produced Water Tank 1</v>
      </c>
      <c r="C51" s="176" t="str">
        <f>'Summary-NoCo'!C53</f>
        <v>PWTK1</v>
      </c>
      <c r="D51" s="191" t="str">
        <f>'Summary-NoCo'!D53</f>
        <v>PWTK1</v>
      </c>
      <c r="E51" s="3986" t="str">
        <f>'Summary-NoCo'!E53:T53</f>
        <v>Emissions represented at ECD1.</v>
      </c>
      <c r="F51" s="3987"/>
      <c r="G51" s="3987"/>
      <c r="H51" s="3987"/>
      <c r="I51" s="3987"/>
      <c r="J51" s="3987"/>
      <c r="K51" s="3987"/>
      <c r="L51" s="3987"/>
      <c r="M51" s="3929"/>
      <c r="N51" s="3929"/>
      <c r="O51" s="3987"/>
      <c r="P51" s="3987"/>
      <c r="Q51" s="3987"/>
      <c r="R51" s="3987"/>
      <c r="S51" s="3987"/>
      <c r="T51" s="3988"/>
      <c r="U51" s="44"/>
    </row>
    <row r="52" spans="1:72" s="53" customFormat="1" ht="44.25" customHeight="1">
      <c r="A52" s="36"/>
      <c r="B52" s="178" t="str">
        <f>'Summary-NoCo'!B54</f>
        <v>Produced Water Tank 2</v>
      </c>
      <c r="C52" s="176" t="str">
        <f>'Summary-NoCo'!C54</f>
        <v>PWTK2</v>
      </c>
      <c r="D52" s="191" t="str">
        <f>'Summary-NoCo'!D54</f>
        <v>PWTK2</v>
      </c>
      <c r="E52" s="3986" t="str">
        <f>'Summary-NoCo'!E54:T54</f>
        <v>Emissions represented at ECD1.</v>
      </c>
      <c r="F52" s="3987"/>
      <c r="G52" s="3987"/>
      <c r="H52" s="3987"/>
      <c r="I52" s="3987"/>
      <c r="J52" s="3987"/>
      <c r="K52" s="3987"/>
      <c r="L52" s="3987"/>
      <c r="M52" s="3929"/>
      <c r="N52" s="3929"/>
      <c r="O52" s="3987"/>
      <c r="P52" s="3987"/>
      <c r="Q52" s="3987"/>
      <c r="R52" s="3987"/>
      <c r="S52" s="3987"/>
      <c r="T52" s="3988"/>
      <c r="U52" s="44"/>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row>
    <row r="53" spans="1:72" ht="44.25" customHeight="1">
      <c r="A53" s="36"/>
      <c r="B53" s="178" t="str">
        <f>'Summary-NoCo'!B55</f>
        <v>Produced Water Loading</v>
      </c>
      <c r="C53" s="176" t="str">
        <f>'Summary-NoCo'!C55</f>
        <v>PWTL</v>
      </c>
      <c r="D53" s="191" t="str">
        <f>'Summary-NoCo'!D55</f>
        <v>PWTL</v>
      </c>
      <c r="E53" s="1649" t="str">
        <f>'Summary-NoCo'!E55</f>
        <v>--</v>
      </c>
      <c r="F53" s="1650" t="str">
        <f>'Summary-NoCo'!F55</f>
        <v>--</v>
      </c>
      <c r="G53" s="1649" t="str">
        <f>'Summary-NoCo'!G55</f>
        <v>--</v>
      </c>
      <c r="H53" s="1650" t="str">
        <f>'Summary-NoCo'!H55</f>
        <v>--</v>
      </c>
      <c r="I53" s="1649">
        <f>'Summary-NoCo'!I55</f>
        <v>0.39339345182963747</v>
      </c>
      <c r="J53" s="1650">
        <f>'Summary-NoCo'!J55</f>
        <v>2.4902276270262185</v>
      </c>
      <c r="K53" s="1649" t="str">
        <f>'Summary-NoCo'!K55</f>
        <v>--</v>
      </c>
      <c r="L53" s="1650" t="str">
        <f>'Summary-NoCo'!L55</f>
        <v>--</v>
      </c>
      <c r="M53" s="1649" t="str">
        <f>'Summary-NoCo'!M55</f>
        <v>--</v>
      </c>
      <c r="N53" s="1650" t="str">
        <f>'Summary-NoCo'!N55</f>
        <v>--</v>
      </c>
      <c r="O53" s="1649" t="str">
        <f>'Summary-NoCo'!O55</f>
        <v>--</v>
      </c>
      <c r="P53" s="1650" t="str">
        <f>'Summary-NoCo'!P55</f>
        <v>--</v>
      </c>
      <c r="Q53" s="1649">
        <f>'Summary-NoCo'!Q55</f>
        <v>1.1042554192857925E-3</v>
      </c>
      <c r="R53" s="1650">
        <f>'Summary-NoCo'!R55</f>
        <v>6.9900689490625953E-3</v>
      </c>
      <c r="S53" s="5115" t="str">
        <f>'Summary-NoCo'!S55:T55</f>
        <v>--</v>
      </c>
      <c r="T53" s="5116"/>
      <c r="U53" s="44"/>
    </row>
    <row r="54" spans="1:72" ht="44.25" customHeight="1">
      <c r="A54" s="1656"/>
      <c r="B54" s="1499" t="str">
        <f>'Summary-NoCo'!B56</f>
        <v>Slop Oil Loading</v>
      </c>
      <c r="C54" s="1500" t="str">
        <f>'Summary-NoCo'!C56</f>
        <v>OTL</v>
      </c>
      <c r="D54" s="1501" t="str">
        <f>'Summary-NoCo'!D56</f>
        <v>OTL</v>
      </c>
      <c r="E54" s="1657" t="str">
        <f>'Summary-NoCo'!E56</f>
        <v>--</v>
      </c>
      <c r="F54" s="1658" t="str">
        <f>'Summary-NoCo'!F56</f>
        <v>--</v>
      </c>
      <c r="G54" s="1657" t="str">
        <f>'Summary-NoCo'!G56</f>
        <v>--</v>
      </c>
      <c r="H54" s="1658" t="str">
        <f>'Summary-NoCo'!H56</f>
        <v>--</v>
      </c>
      <c r="I54" s="1657">
        <f>'Summary-NoCo'!I56</f>
        <v>0.70811875941945179</v>
      </c>
      <c r="J54" s="1658">
        <f>'Summary-NoCo'!J56</f>
        <v>0.13418016263117355</v>
      </c>
      <c r="K54" s="1657" t="str">
        <f>'Summary-NoCo'!K56</f>
        <v>--</v>
      </c>
      <c r="L54" s="1658" t="str">
        <f>'Summary-NoCo'!L56</f>
        <v>--</v>
      </c>
      <c r="M54" s="1657" t="str">
        <f>'Summary-NoCo'!M56</f>
        <v>--</v>
      </c>
      <c r="N54" s="1658" t="str">
        <f>'Summary-NoCo'!N56</f>
        <v>--</v>
      </c>
      <c r="O54" s="1657" t="str">
        <f>'Summary-NoCo'!O56</f>
        <v>--</v>
      </c>
      <c r="P54" s="1658" t="str">
        <f>'Summary-NoCo'!P56</f>
        <v>--</v>
      </c>
      <c r="Q54" s="1657">
        <f>'Summary-NoCo'!Q56</f>
        <v>1.9188444012397846E-2</v>
      </c>
      <c r="R54" s="1658">
        <f>'Summary-NoCo'!R56</f>
        <v>3.6359840831410471E-3</v>
      </c>
      <c r="S54" s="5117" t="str">
        <f>'Summary-NoCo'!S56:T56</f>
        <v>--</v>
      </c>
      <c r="T54" s="5118"/>
      <c r="U54" s="1655"/>
    </row>
    <row r="55" spans="1:72" s="53" customFormat="1" ht="44.25" customHeight="1">
      <c r="A55" s="36"/>
      <c r="B55" s="1032" t="str">
        <f>'Summary-NoCo'!B57</f>
        <v>Amine Unit 1</v>
      </c>
      <c r="C55" s="1284" t="str">
        <f>'Summary-NoCo'!C57</f>
        <v>AU1</v>
      </c>
      <c r="D55" s="1285" t="str">
        <f>'Summary-NoCo'!D57</f>
        <v>AU1</v>
      </c>
      <c r="E55" s="4013" t="str">
        <f>'Summary-NoCo'!E57:T57</f>
        <v>Emissions represented at TO1.</v>
      </c>
      <c r="F55" s="4014"/>
      <c r="G55" s="4014"/>
      <c r="H55" s="4014"/>
      <c r="I55" s="4014"/>
      <c r="J55" s="4014"/>
      <c r="K55" s="4014"/>
      <c r="L55" s="4014"/>
      <c r="M55" s="4014"/>
      <c r="N55" s="4014"/>
      <c r="O55" s="4014"/>
      <c r="P55" s="4014"/>
      <c r="Q55" s="4014"/>
      <c r="R55" s="4014"/>
      <c r="S55" s="4014"/>
      <c r="T55" s="4015"/>
      <c r="U55" s="44"/>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row>
    <row r="56" spans="1:72" s="53" customFormat="1" ht="44.25" customHeight="1">
      <c r="A56" s="36"/>
      <c r="B56" s="178" t="str">
        <f>'Summary-NoCo'!B58</f>
        <v>Amine Unit 2</v>
      </c>
      <c r="C56" s="176" t="str">
        <f>'Summary-NoCo'!C58</f>
        <v>AU2</v>
      </c>
      <c r="D56" s="191" t="str">
        <f>'Summary-NoCo'!D58</f>
        <v>AU2</v>
      </c>
      <c r="E56" s="3986" t="str">
        <f>'Summary-NoCo'!E58:T58</f>
        <v>Emissions represented at TO2.</v>
      </c>
      <c r="F56" s="3987"/>
      <c r="G56" s="3987"/>
      <c r="H56" s="3987"/>
      <c r="I56" s="3987"/>
      <c r="J56" s="3987"/>
      <c r="K56" s="3987"/>
      <c r="L56" s="3987"/>
      <c r="M56" s="3929"/>
      <c r="N56" s="3929"/>
      <c r="O56" s="3987"/>
      <c r="P56" s="3987"/>
      <c r="Q56" s="3987"/>
      <c r="R56" s="3987"/>
      <c r="S56" s="3987"/>
      <c r="T56" s="3988"/>
      <c r="U56" s="44"/>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row>
    <row r="57" spans="1:72" s="53" customFormat="1" ht="44.25" customHeight="1">
      <c r="A57" s="36"/>
      <c r="B57" s="178" t="str">
        <f>'Summary-NoCo'!B59</f>
        <v>Amine Unit 3</v>
      </c>
      <c r="C57" s="176" t="str">
        <f>'Summary-NoCo'!C59</f>
        <v>AU3</v>
      </c>
      <c r="D57" s="191" t="str">
        <f>'Summary-NoCo'!D59</f>
        <v>AU3</v>
      </c>
      <c r="E57" s="3986" t="str">
        <f>'Summary-NoCo'!E59:T59</f>
        <v>Emissions represented at TO3.</v>
      </c>
      <c r="F57" s="3987"/>
      <c r="G57" s="3987"/>
      <c r="H57" s="3987"/>
      <c r="I57" s="3987"/>
      <c r="J57" s="3987"/>
      <c r="K57" s="3987"/>
      <c r="L57" s="3987"/>
      <c r="M57" s="3929"/>
      <c r="N57" s="3929"/>
      <c r="O57" s="3987"/>
      <c r="P57" s="3987"/>
      <c r="Q57" s="3987"/>
      <c r="R57" s="3987"/>
      <c r="S57" s="3987"/>
      <c r="T57" s="3988"/>
      <c r="U57" s="44"/>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row>
    <row r="58" spans="1:72" s="53" customFormat="1" ht="44.25" customHeight="1">
      <c r="A58" s="36"/>
      <c r="B58" s="178" t="str">
        <f>'2-A_4TURB'!B75</f>
        <v>Gunbarrel Tank</v>
      </c>
      <c r="C58" s="176" t="str">
        <f>'2-E-Co'!A43</f>
        <v>GBS1</v>
      </c>
      <c r="D58" s="179">
        <v>64</v>
      </c>
      <c r="E58" s="3986" t="str">
        <f>'Summary-NoCo'!E60:T60</f>
        <v>Emissions represented at ECD1.</v>
      </c>
      <c r="F58" s="3987"/>
      <c r="G58" s="3987"/>
      <c r="H58" s="3987"/>
      <c r="I58" s="3987"/>
      <c r="J58" s="3987"/>
      <c r="K58" s="3987"/>
      <c r="L58" s="3987"/>
      <c r="M58" s="3929"/>
      <c r="N58" s="3929"/>
      <c r="O58" s="3987"/>
      <c r="P58" s="3987"/>
      <c r="Q58" s="3987"/>
      <c r="R58" s="3987"/>
      <c r="S58" s="3987"/>
      <c r="T58" s="3988"/>
      <c r="U58" s="44"/>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row>
    <row r="59" spans="1:72" s="53" customFormat="1" ht="44.25" customHeight="1">
      <c r="A59" s="36"/>
      <c r="B59" s="1499" t="str">
        <f>'2-A_4TURB'!B77</f>
        <v>Slop Oil Tank</v>
      </c>
      <c r="C59" s="1500" t="str">
        <f>'2-E-Co'!A44</f>
        <v>OTK7</v>
      </c>
      <c r="D59" s="1527">
        <v>65</v>
      </c>
      <c r="E59" s="3986" t="str">
        <f>'Summary-NoCo'!E61:T61</f>
        <v>Emissions represented at ECD1.</v>
      </c>
      <c r="F59" s="3987"/>
      <c r="G59" s="3987"/>
      <c r="H59" s="3987"/>
      <c r="I59" s="3987"/>
      <c r="J59" s="3987"/>
      <c r="K59" s="3987"/>
      <c r="L59" s="3987"/>
      <c r="M59" s="3929"/>
      <c r="N59" s="3929"/>
      <c r="O59" s="3987"/>
      <c r="P59" s="3987"/>
      <c r="Q59" s="3987"/>
      <c r="R59" s="3987"/>
      <c r="S59" s="3987"/>
      <c r="T59" s="3988"/>
      <c r="U59" s="44"/>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row>
    <row r="60" spans="1:72" ht="44.25" customHeight="1">
      <c r="A60" s="36"/>
      <c r="B60" s="1032" t="str">
        <f>'Summary-Co'!B49</f>
        <v>Turbine</v>
      </c>
      <c r="C60" s="1284" t="str">
        <f>'Summary-Co'!C49</f>
        <v>TUR1</v>
      </c>
      <c r="D60" s="1285" t="str">
        <f>'Summary-Co'!D49</f>
        <v>TUR1</v>
      </c>
      <c r="E60" s="1291">
        <f>'Summary-Co'!E49</f>
        <v>8.4</v>
      </c>
      <c r="F60" s="1292">
        <f>'Summary-Co'!F49</f>
        <v>36.792000000000002</v>
      </c>
      <c r="G60" s="1291">
        <f>'Summary-Co'!G49</f>
        <v>5.0999999999999996</v>
      </c>
      <c r="H60" s="1292">
        <f>'Summary-Co'!H49</f>
        <v>22.338000000000001</v>
      </c>
      <c r="I60" s="1291">
        <f>'Summary-Co'!I49</f>
        <v>9.1999999999999975</v>
      </c>
      <c r="J60" s="1292">
        <f>'Summary-Co'!J49</f>
        <v>40.295999999999992</v>
      </c>
      <c r="K60" s="1291">
        <f>'Summary-Co'!K49</f>
        <v>2.1350532104919506</v>
      </c>
      <c r="L60" s="1292">
        <f>'Summary-Co'!L49</f>
        <v>9.3515330619547434</v>
      </c>
      <c r="M60" s="1291">
        <f>'Summary-Co'!M49</f>
        <v>9.1999999999999993</v>
      </c>
      <c r="N60" s="1292">
        <f>'Summary-Co'!N49</f>
        <v>40.295999999999999</v>
      </c>
      <c r="O60" s="1291">
        <f>'Summary-Co'!O49</f>
        <v>9.1999999999999993</v>
      </c>
      <c r="P60" s="1292">
        <f>'Summary-Co'!P49</f>
        <v>40.295999999999999</v>
      </c>
      <c r="Q60" s="1291">
        <f>'Summary-Co'!Q49</f>
        <v>0.57515169285250722</v>
      </c>
      <c r="R60" s="1292">
        <f>'Summary-Co'!R49</f>
        <v>2.5191644146939818</v>
      </c>
      <c r="S60" s="4016">
        <f>'Summary-Co'!S49</f>
        <v>544368.05460551556</v>
      </c>
      <c r="T60" s="3979"/>
      <c r="U60" s="44"/>
    </row>
    <row r="61" spans="1:72" ht="44.25" customHeight="1">
      <c r="A61" s="36"/>
      <c r="B61" s="1032" t="str">
        <f>B60</f>
        <v>Turbine</v>
      </c>
      <c r="C61" s="1284" t="str">
        <f>'Summary-Co'!C50</f>
        <v>TUR2</v>
      </c>
      <c r="D61" s="1285" t="str">
        <f>'Summary-Co'!D50</f>
        <v>TUR2</v>
      </c>
      <c r="E61" s="1291">
        <f>'Summary-Co'!E50</f>
        <v>8.4</v>
      </c>
      <c r="F61" s="1292">
        <f>'Summary-Co'!F50</f>
        <v>36.792000000000002</v>
      </c>
      <c r="G61" s="1291">
        <f>'Summary-Co'!G50</f>
        <v>5.0999999999999996</v>
      </c>
      <c r="H61" s="1292">
        <f>'Summary-Co'!H50</f>
        <v>22.338000000000001</v>
      </c>
      <c r="I61" s="1291">
        <f>'Summary-Co'!I50</f>
        <v>9.1999999999999975</v>
      </c>
      <c r="J61" s="1292">
        <f>'Summary-Co'!J50</f>
        <v>40.295999999999992</v>
      </c>
      <c r="K61" s="1291">
        <f>'Summary-Co'!K50</f>
        <v>2.1350532104919506</v>
      </c>
      <c r="L61" s="1292">
        <f>'Summary-Co'!L50</f>
        <v>9.3515330619547434</v>
      </c>
      <c r="M61" s="1291">
        <f>'Summary-Co'!M50</f>
        <v>9.1999999999999993</v>
      </c>
      <c r="N61" s="1292">
        <f>'Summary-Co'!N50</f>
        <v>40.295999999999999</v>
      </c>
      <c r="O61" s="1291">
        <f>'Summary-Co'!O50</f>
        <v>9.1999999999999993</v>
      </c>
      <c r="P61" s="1292">
        <f>'Summary-Co'!P50</f>
        <v>40.295999999999999</v>
      </c>
      <c r="Q61" s="1291">
        <f>'Summary-Co'!Q50</f>
        <v>0.57515169285250722</v>
      </c>
      <c r="R61" s="1292">
        <f>'Summary-Co'!R50</f>
        <v>2.5191644146939818</v>
      </c>
      <c r="S61" s="4016">
        <f>'Summary-Co'!S50</f>
        <v>544368.05460551556</v>
      </c>
      <c r="T61" s="3979"/>
      <c r="U61" s="44"/>
    </row>
    <row r="62" spans="1:72" s="53" customFormat="1" ht="44.25" customHeight="1">
      <c r="A62" s="36"/>
      <c r="B62" s="1032" t="str">
        <f>B60</f>
        <v>Turbine</v>
      </c>
      <c r="C62" s="1284" t="str">
        <f>'Summary-Co'!C51</f>
        <v>TUR3</v>
      </c>
      <c r="D62" s="1285" t="str">
        <f>'Summary-Co'!D51</f>
        <v>TUR3</v>
      </c>
      <c r="E62" s="1291">
        <f>'Summary-Co'!E51</f>
        <v>8.4</v>
      </c>
      <c r="F62" s="1292">
        <f>'Summary-Co'!F51</f>
        <v>36.792000000000002</v>
      </c>
      <c r="G62" s="1291">
        <f>'Summary-Co'!G51</f>
        <v>5.0999999999999996</v>
      </c>
      <c r="H62" s="1292">
        <f>'Summary-Co'!H51</f>
        <v>22.338000000000001</v>
      </c>
      <c r="I62" s="1291">
        <f>'Summary-Co'!I51</f>
        <v>9.1999999999999975</v>
      </c>
      <c r="J62" s="1292">
        <f>'Summary-Co'!J51</f>
        <v>40.295999999999992</v>
      </c>
      <c r="K62" s="1291">
        <f>'Summary-Co'!K51</f>
        <v>2.1350532104919506</v>
      </c>
      <c r="L62" s="1292">
        <f>'Summary-Co'!L51</f>
        <v>9.3515330619547434</v>
      </c>
      <c r="M62" s="1291">
        <f>'Summary-Co'!M51</f>
        <v>9.1999999999999993</v>
      </c>
      <c r="N62" s="1292">
        <f>'Summary-Co'!N51</f>
        <v>40.295999999999999</v>
      </c>
      <c r="O62" s="1291">
        <f>'Summary-Co'!O51</f>
        <v>9.1999999999999993</v>
      </c>
      <c r="P62" s="1292">
        <f>'Summary-Co'!P51</f>
        <v>40.295999999999999</v>
      </c>
      <c r="Q62" s="1291">
        <f>'Summary-Co'!Q51</f>
        <v>0.57515169285250722</v>
      </c>
      <c r="R62" s="1292">
        <f>'Summary-Co'!R51</f>
        <v>2.5191644146939818</v>
      </c>
      <c r="S62" s="4016">
        <f>'Summary-Co'!S51</f>
        <v>544368.05460551556</v>
      </c>
      <c r="T62" s="3979"/>
      <c r="U62" s="44"/>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row>
    <row r="63" spans="1:72" s="53" customFormat="1" ht="44.25" customHeight="1" thickBot="1">
      <c r="A63" s="36"/>
      <c r="B63" s="1034" t="str">
        <f>B60</f>
        <v>Turbine</v>
      </c>
      <c r="C63" s="1567" t="str">
        <f>'Summary-Co'!C52</f>
        <v>TUR4</v>
      </c>
      <c r="D63" s="1506" t="str">
        <f>'Summary-Co'!D52</f>
        <v>TUR4</v>
      </c>
      <c r="E63" s="1651">
        <f>'Summary-Co'!E52</f>
        <v>8.4</v>
      </c>
      <c r="F63" s="1652">
        <f>'Summary-Co'!F52</f>
        <v>36.792000000000002</v>
      </c>
      <c r="G63" s="1651">
        <f>'Summary-Co'!G52</f>
        <v>5.0999999999999996</v>
      </c>
      <c r="H63" s="1652">
        <f>'Summary-Co'!H52</f>
        <v>22.338000000000001</v>
      </c>
      <c r="I63" s="1651">
        <f>'Summary-Co'!I52</f>
        <v>9.1999999999999975</v>
      </c>
      <c r="J63" s="1652">
        <f>'Summary-Co'!J52</f>
        <v>40.295999999999992</v>
      </c>
      <c r="K63" s="1651">
        <f>'Summary-Co'!K52</f>
        <v>2.1350532104919506</v>
      </c>
      <c r="L63" s="1652">
        <f>'Summary-Co'!L52</f>
        <v>9.3515330619547434</v>
      </c>
      <c r="M63" s="1651">
        <f>'Summary-Co'!M52</f>
        <v>9.1999999999999993</v>
      </c>
      <c r="N63" s="1652">
        <f>'Summary-Co'!N52</f>
        <v>40.295999999999999</v>
      </c>
      <c r="O63" s="1651">
        <f>'Summary-Co'!O52</f>
        <v>9.1999999999999993</v>
      </c>
      <c r="P63" s="1652">
        <f>'Summary-Co'!P52</f>
        <v>40.295999999999999</v>
      </c>
      <c r="Q63" s="1651">
        <f>'Summary-Co'!Q52</f>
        <v>0.57515169285250722</v>
      </c>
      <c r="R63" s="1652">
        <f>'Summary-Co'!R52</f>
        <v>2.5191644146939818</v>
      </c>
      <c r="S63" s="5119">
        <f>'Summary-Co'!S52</f>
        <v>544368.05460551556</v>
      </c>
      <c r="T63" s="5120"/>
      <c r="U63" s="44"/>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row>
    <row r="64" spans="1:72" ht="24" customHeight="1" thickBot="1">
      <c r="A64" s="36"/>
      <c r="B64" s="180"/>
      <c r="C64" s="180"/>
      <c r="D64" s="180"/>
      <c r="E64" s="181"/>
      <c r="F64" s="181"/>
      <c r="G64" s="181"/>
      <c r="H64" s="182"/>
      <c r="I64" s="182"/>
      <c r="J64" s="182"/>
      <c r="K64" s="182"/>
      <c r="L64" s="182"/>
      <c r="M64" s="182"/>
      <c r="N64" s="182"/>
      <c r="O64" s="182"/>
      <c r="P64" s="182"/>
      <c r="Q64" s="182"/>
      <c r="R64" s="182"/>
      <c r="S64" s="182"/>
      <c r="T64" s="182"/>
      <c r="U64" s="44"/>
    </row>
    <row r="65" spans="1:72" s="9" customFormat="1" ht="42" customHeight="1">
      <c r="A65" s="23"/>
      <c r="B65" s="3952" t="s">
        <v>64</v>
      </c>
      <c r="C65" s="3958"/>
      <c r="D65" s="3955"/>
      <c r="E65" s="3952" t="s">
        <v>21</v>
      </c>
      <c r="F65" s="3955"/>
      <c r="G65" s="3952" t="s">
        <v>0</v>
      </c>
      <c r="H65" s="3953"/>
      <c r="I65" s="3950" t="s">
        <v>283</v>
      </c>
      <c r="J65" s="3951"/>
      <c r="K65" s="3952" t="s">
        <v>284</v>
      </c>
      <c r="L65" s="3953"/>
      <c r="M65" s="3952" t="s">
        <v>1311</v>
      </c>
      <c r="N65" s="3953"/>
      <c r="O65" s="3954" t="s">
        <v>285</v>
      </c>
      <c r="P65" s="3955"/>
      <c r="Q65" s="3952" t="s">
        <v>15</v>
      </c>
      <c r="R65" s="3953"/>
      <c r="S65" s="3952" t="s">
        <v>273</v>
      </c>
      <c r="T65" s="3953"/>
      <c r="U65" s="24"/>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row>
    <row r="66" spans="1:72" s="9" customFormat="1" ht="26.25" customHeight="1">
      <c r="A66" s="23"/>
      <c r="B66" s="3959"/>
      <c r="C66" s="3960"/>
      <c r="D66" s="3961"/>
      <c r="E66" s="183" t="s">
        <v>22</v>
      </c>
      <c r="F66" s="184" t="s">
        <v>37</v>
      </c>
      <c r="G66" s="183" t="s">
        <v>22</v>
      </c>
      <c r="H66" s="185" t="s">
        <v>37</v>
      </c>
      <c r="I66" s="186" t="s">
        <v>22</v>
      </c>
      <c r="J66" s="184" t="s">
        <v>37</v>
      </c>
      <c r="K66" s="183" t="s">
        <v>22</v>
      </c>
      <c r="L66" s="185" t="s">
        <v>37</v>
      </c>
      <c r="M66" s="1407" t="s">
        <v>22</v>
      </c>
      <c r="N66" s="1408" t="s">
        <v>37</v>
      </c>
      <c r="O66" s="186" t="s">
        <v>22</v>
      </c>
      <c r="P66" s="184" t="s">
        <v>37</v>
      </c>
      <c r="Q66" s="183" t="s">
        <v>22</v>
      </c>
      <c r="R66" s="185" t="s">
        <v>37</v>
      </c>
      <c r="S66" s="3995" t="s">
        <v>37</v>
      </c>
      <c r="T66" s="3996"/>
      <c r="U66" s="24"/>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row>
    <row r="67" spans="1:72" s="9" customFormat="1" ht="44.25" customHeight="1" thickBot="1">
      <c r="A67" s="23"/>
      <c r="B67" s="3962"/>
      <c r="C67" s="3963"/>
      <c r="D67" s="3964"/>
      <c r="E67" s="187">
        <f t="shared" ref="E67:S67" si="0">SUM(E13:E63)</f>
        <v>79.755169457659264</v>
      </c>
      <c r="F67" s="188">
        <f t="shared" si="0"/>
        <v>348.43629696557537</v>
      </c>
      <c r="G67" s="187">
        <f t="shared" si="0"/>
        <v>54.871296250703807</v>
      </c>
      <c r="H67" s="188">
        <f t="shared" si="0"/>
        <v>238.55681657194603</v>
      </c>
      <c r="I67" s="187">
        <f t="shared" si="0"/>
        <v>90.89965038649332</v>
      </c>
      <c r="J67" s="188">
        <f t="shared" si="0"/>
        <v>402.33732365045131</v>
      </c>
      <c r="K67" s="187">
        <f t="shared" si="0"/>
        <v>13.790598672248022</v>
      </c>
      <c r="L67" s="188">
        <f t="shared" si="0"/>
        <v>60.402822184446336</v>
      </c>
      <c r="M67" s="187">
        <f t="shared" si="0"/>
        <v>49.486121638301313</v>
      </c>
      <c r="N67" s="188">
        <f t="shared" si="0"/>
        <v>213.25673895364392</v>
      </c>
      <c r="O67" s="187">
        <f t="shared" si="0"/>
        <v>47.432755524674377</v>
      </c>
      <c r="P67" s="188">
        <f t="shared" si="0"/>
        <v>206.68060294105018</v>
      </c>
      <c r="Q67" s="187">
        <f t="shared" si="0"/>
        <v>7.1714795049397777</v>
      </c>
      <c r="R67" s="188">
        <f t="shared" si="0"/>
        <v>31.194979101900604</v>
      </c>
      <c r="S67" s="3997">
        <f t="shared" si="0"/>
        <v>3106086.974766097</v>
      </c>
      <c r="T67" s="3998">
        <f>SUM(T13:T59)</f>
        <v>0</v>
      </c>
      <c r="U67" s="24"/>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row>
    <row r="68" spans="1:72" ht="27.75" customHeight="1" thickBot="1">
      <c r="A68" s="31"/>
      <c r="B68" s="3956"/>
      <c r="C68" s="3956"/>
      <c r="D68" s="3956"/>
      <c r="E68" s="3956"/>
      <c r="F68" s="3956"/>
      <c r="G68" s="3956"/>
      <c r="H68" s="3956"/>
      <c r="I68" s="3956"/>
      <c r="J68" s="3956"/>
      <c r="K68" s="3956"/>
      <c r="L68" s="3956"/>
      <c r="M68" s="3956"/>
      <c r="N68" s="3956"/>
      <c r="O68" s="3956"/>
      <c r="P68" s="3956"/>
      <c r="Q68" s="3956"/>
      <c r="R68" s="3956"/>
      <c r="S68" s="1498"/>
      <c r="T68" s="1498"/>
      <c r="U68" s="40"/>
    </row>
    <row r="69" spans="1:72">
      <c r="B69" s="6"/>
      <c r="C69" s="6"/>
      <c r="D69" s="6"/>
      <c r="E69" s="6"/>
      <c r="F69" s="6"/>
      <c r="G69" s="6"/>
      <c r="H69" s="6"/>
      <c r="I69" s="6"/>
      <c r="J69" s="6"/>
      <c r="K69" s="6"/>
      <c r="L69" s="6"/>
      <c r="M69" s="5"/>
      <c r="N69" s="5"/>
      <c r="O69" s="5"/>
      <c r="P69" s="5"/>
      <c r="Q69" s="5"/>
      <c r="R69" s="5"/>
      <c r="S69" s="5"/>
      <c r="T69" s="5"/>
    </row>
    <row r="70" spans="1:72">
      <c r="M70" s="8"/>
      <c r="O70" s="8"/>
      <c r="R70" s="199"/>
    </row>
    <row r="71" spans="1:72" s="1029" customFormat="1" ht="23.5">
      <c r="D71" s="1216"/>
      <c r="E71" s="38"/>
      <c r="F71" s="1213"/>
      <c r="G71" s="1427"/>
      <c r="H71" s="1428"/>
      <c r="I71" s="1429"/>
      <c r="J71" s="38"/>
      <c r="K71" s="1216"/>
      <c r="L71" s="1216"/>
      <c r="M71" s="38"/>
      <c r="N71" s="38"/>
      <c r="O71" s="38"/>
      <c r="R71" s="1035"/>
      <c r="S71" s="1036"/>
      <c r="T71" s="1036"/>
    </row>
    <row r="72" spans="1:72" s="1029" customFormat="1" ht="23.5">
      <c r="D72" s="1209"/>
      <c r="E72" s="1211"/>
      <c r="F72" s="1212"/>
      <c r="G72" s="1430"/>
      <c r="H72" s="1431"/>
      <c r="I72" s="1432"/>
      <c r="J72" s="1210"/>
      <c r="K72" s="1210"/>
      <c r="L72" s="1344"/>
      <c r="M72" s="8"/>
      <c r="N72" s="38"/>
      <c r="O72" s="8"/>
      <c r="R72" s="1035"/>
      <c r="T72" s="1036"/>
    </row>
    <row r="73" spans="1:72" s="1029" customFormat="1" ht="23.5">
      <c r="A73" s="38"/>
      <c r="B73" s="38"/>
      <c r="C73" s="38"/>
      <c r="D73" s="1209"/>
      <c r="E73" s="1210"/>
      <c r="F73" s="1213"/>
      <c r="G73" s="1430"/>
      <c r="H73" s="1434"/>
      <c r="I73" s="1432"/>
      <c r="J73" s="1210"/>
      <c r="K73" s="1210"/>
      <c r="L73" s="1344"/>
      <c r="M73" s="8"/>
      <c r="O73" s="8"/>
      <c r="R73" s="1035"/>
      <c r="T73" s="1036"/>
    </row>
    <row r="74" spans="1:72" ht="23.5">
      <c r="D74" s="1216"/>
      <c r="F74" s="1213"/>
      <c r="G74" s="1211"/>
      <c r="H74" s="1435"/>
      <c r="I74" s="1434"/>
      <c r="J74" s="1210"/>
      <c r="K74" s="1210"/>
      <c r="L74" s="1344"/>
      <c r="M74" s="8"/>
      <c r="N74" s="1029"/>
      <c r="O74" s="8"/>
      <c r="P74" s="8"/>
      <c r="Q74" s="8"/>
      <c r="R74" s="199"/>
      <c r="S74" s="8"/>
      <c r="T74" s="8"/>
    </row>
    <row r="75" spans="1:72" ht="23.5">
      <c r="D75" s="1209"/>
      <c r="E75" s="1211"/>
      <c r="F75" s="1212"/>
      <c r="G75" s="8"/>
      <c r="H75" s="1210"/>
      <c r="I75" s="1210"/>
      <c r="J75" s="1210"/>
      <c r="K75" s="1210"/>
      <c r="L75" s="1036"/>
      <c r="M75" s="1029"/>
      <c r="N75" s="1029"/>
      <c r="O75" s="1029"/>
      <c r="R75" s="199"/>
      <c r="T75" s="8"/>
    </row>
    <row r="76" spans="1:72" ht="23.5">
      <c r="D76" s="1209"/>
      <c r="E76" s="1210"/>
      <c r="F76" s="1213"/>
      <c r="G76" s="1211"/>
      <c r="H76" s="1210"/>
      <c r="I76" s="1210"/>
      <c r="J76" s="1210"/>
      <c r="K76" s="1210"/>
      <c r="L76" s="1029"/>
      <c r="M76" s="1029"/>
      <c r="N76" s="8"/>
      <c r="O76" s="1029"/>
      <c r="R76" s="8"/>
    </row>
    <row r="77" spans="1:72" ht="23.5">
      <c r="D77" s="1216"/>
      <c r="F77" s="1213"/>
      <c r="G77" s="1211"/>
      <c r="H77" s="1210"/>
      <c r="I77" s="1210"/>
      <c r="J77" s="1211"/>
      <c r="K77" s="1210"/>
      <c r="L77" s="1036"/>
      <c r="M77" s="1029"/>
      <c r="O77" s="1029"/>
    </row>
    <row r="78" spans="1:72" ht="23.5">
      <c r="D78" s="1209"/>
      <c r="E78" s="1211"/>
      <c r="F78" s="1212"/>
      <c r="G78" s="8"/>
      <c r="H78" s="1211"/>
      <c r="I78" s="1211"/>
      <c r="J78" s="1211"/>
      <c r="K78" s="1211"/>
      <c r="L78" s="8"/>
      <c r="M78" s="8"/>
      <c r="O78" s="8"/>
    </row>
    <row r="79" spans="1:72" ht="23.5">
      <c r="D79" s="1209"/>
      <c r="E79" s="1210"/>
      <c r="F79" s="1213"/>
      <c r="G79" s="1211"/>
      <c r="H79" s="1210"/>
      <c r="I79" s="1210"/>
      <c r="J79" s="1211"/>
      <c r="K79" s="1211"/>
    </row>
    <row r="80" spans="1:72" ht="23.5">
      <c r="D80" s="1216"/>
      <c r="F80" s="1213"/>
      <c r="G80" s="1211"/>
      <c r="H80" s="1210"/>
      <c r="I80" s="1210"/>
      <c r="J80" s="1211"/>
      <c r="K80" s="1211"/>
      <c r="Q80" s="8"/>
      <c r="R80" s="8"/>
    </row>
    <row r="81" spans="4:11" ht="23.5">
      <c r="D81" s="1209"/>
      <c r="E81" s="1211"/>
      <c r="F81" s="1212"/>
      <c r="G81" s="8"/>
      <c r="H81" s="1210"/>
      <c r="I81" s="1210"/>
      <c r="J81" s="1211"/>
      <c r="K81" s="1211"/>
    </row>
    <row r="82" spans="4:11" ht="23.5">
      <c r="D82" s="1209"/>
      <c r="E82" s="1210"/>
      <c r="F82" s="1213"/>
      <c r="G82" s="1211"/>
    </row>
    <row r="83" spans="4:11" ht="23.5">
      <c r="G83" s="1211"/>
    </row>
    <row r="84" spans="4:11">
      <c r="I84" s="8"/>
      <c r="J84" s="8"/>
    </row>
  </sheetData>
  <mergeCells count="91">
    <mergeCell ref="S63:T63"/>
    <mergeCell ref="S65:T65"/>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S66:T66"/>
    <mergeCell ref="S67:T67"/>
    <mergeCell ref="B68:R68"/>
    <mergeCell ref="E58:T58"/>
    <mergeCell ref="E59:T59"/>
    <mergeCell ref="B65:D67"/>
    <mergeCell ref="E65:F65"/>
    <mergeCell ref="G65:H65"/>
    <mergeCell ref="I65:J65"/>
    <mergeCell ref="K65:L65"/>
    <mergeCell ref="M65:N65"/>
    <mergeCell ref="O65:P65"/>
    <mergeCell ref="Q65:R65"/>
    <mergeCell ref="S60:T60"/>
    <mergeCell ref="S61:T61"/>
    <mergeCell ref="S62:T62"/>
    <mergeCell ref="S48:T48"/>
    <mergeCell ref="S49:T49"/>
    <mergeCell ref="S50:T50"/>
    <mergeCell ref="E51:T51"/>
    <mergeCell ref="E52:T52"/>
    <mergeCell ref="S53:T53"/>
    <mergeCell ref="S54:T54"/>
    <mergeCell ref="E55:T55"/>
    <mergeCell ref="E56:T56"/>
    <mergeCell ref="E57:T57"/>
    <mergeCell ref="S47:T47"/>
    <mergeCell ref="S37:T37"/>
    <mergeCell ref="E38:T38"/>
    <mergeCell ref="E39:T39"/>
    <mergeCell ref="E40:T40"/>
    <mergeCell ref="E41:T41"/>
    <mergeCell ref="E42:T42"/>
    <mergeCell ref="E43:T43"/>
    <mergeCell ref="S44:T44"/>
    <mergeCell ref="S45:T45"/>
    <mergeCell ref="S46:T46"/>
    <mergeCell ref="S36:T36"/>
    <mergeCell ref="S25:T25"/>
    <mergeCell ref="S26:T26"/>
    <mergeCell ref="S27:T27"/>
    <mergeCell ref="S28:T28"/>
    <mergeCell ref="S29:T29"/>
    <mergeCell ref="S30:T30"/>
    <mergeCell ref="S34:T34"/>
    <mergeCell ref="S35:T35"/>
    <mergeCell ref="S31:T33"/>
    <mergeCell ref="S24:T24"/>
    <mergeCell ref="S13:T13"/>
    <mergeCell ref="S14:T14"/>
    <mergeCell ref="S15:T15"/>
    <mergeCell ref="S16:T16"/>
    <mergeCell ref="S17:T17"/>
    <mergeCell ref="S18:T18"/>
    <mergeCell ref="S19:T19"/>
    <mergeCell ref="S20:T20"/>
    <mergeCell ref="S21:T21"/>
    <mergeCell ref="S22:T22"/>
    <mergeCell ref="S23:T23"/>
    <mergeCell ref="S12:T12"/>
    <mergeCell ref="B3:T3"/>
    <mergeCell ref="B4:T4"/>
    <mergeCell ref="B5:T5"/>
    <mergeCell ref="A9:U9"/>
    <mergeCell ref="B11:B12"/>
    <mergeCell ref="C11:C12"/>
    <mergeCell ref="D11:D12"/>
    <mergeCell ref="E11:F11"/>
    <mergeCell ref="G11:H11"/>
    <mergeCell ref="I11:J11"/>
    <mergeCell ref="K11:L11"/>
    <mergeCell ref="M11:N11"/>
    <mergeCell ref="O11:P11"/>
    <mergeCell ref="Q11:R11"/>
    <mergeCell ref="S11:T11"/>
  </mergeCells>
  <printOptions horizontalCentered="1"/>
  <pageMargins left="0.25" right="0.25" top="0.5" bottom="0.5" header="0.3" footer="0.3"/>
  <pageSetup scale="42" fitToHeight="3" orientation="landscape" r:id="rId1"/>
  <headerFooter alignWithMargins="0">
    <oddFooter>&amp;CCalculations: Page &amp;P</oddFooter>
  </headerFooter>
  <rowBreaks count="1" manualBreakCount="1">
    <brk id="33" max="20" man="1"/>
  </rowBreak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0"/>
  <dimension ref="A1:AM363"/>
  <sheetViews>
    <sheetView showGridLines="0" view="pageBreakPreview" topLeftCell="A69" zoomScale="85" zoomScaleNormal="100" zoomScaleSheetLayoutView="85" workbookViewId="0">
      <selection activeCell="C123" sqref="C123"/>
    </sheetView>
  </sheetViews>
  <sheetFormatPr defaultRowHeight="12.5"/>
  <cols>
    <col min="1" max="1" width="40.54296875" style="821" customWidth="1"/>
    <col min="2" max="2" width="13.453125" style="821" customWidth="1"/>
    <col min="3" max="3" width="11.6328125" style="821" customWidth="1"/>
    <col min="4" max="4" width="38.36328125" style="821" customWidth="1"/>
    <col min="5" max="5" width="11.36328125" style="821" customWidth="1"/>
    <col min="6" max="6" width="16.54296875" style="821" customWidth="1"/>
    <col min="7" max="256" width="8.54296875" style="821"/>
    <col min="257" max="257" width="38" style="821" customWidth="1"/>
    <col min="258" max="258" width="10.453125" style="821" customWidth="1"/>
    <col min="259" max="259" width="10.36328125" style="821" customWidth="1"/>
    <col min="260" max="260" width="38.36328125" style="821" customWidth="1"/>
    <col min="261" max="261" width="11.36328125" style="821" customWidth="1"/>
    <col min="262" max="262" width="12.6328125" style="821" customWidth="1"/>
    <col min="263" max="512" width="8.54296875" style="821"/>
    <col min="513" max="513" width="38" style="821" customWidth="1"/>
    <col min="514" max="514" width="10.453125" style="821" customWidth="1"/>
    <col min="515" max="515" width="10.36328125" style="821" customWidth="1"/>
    <col min="516" max="516" width="38.36328125" style="821" customWidth="1"/>
    <col min="517" max="517" width="11.36328125" style="821" customWidth="1"/>
    <col min="518" max="518" width="12.6328125" style="821" customWidth="1"/>
    <col min="519" max="768" width="8.54296875" style="821"/>
    <col min="769" max="769" width="38" style="821" customWidth="1"/>
    <col min="770" max="770" width="10.453125" style="821" customWidth="1"/>
    <col min="771" max="771" width="10.36328125" style="821" customWidth="1"/>
    <col min="772" max="772" width="38.36328125" style="821" customWidth="1"/>
    <col min="773" max="773" width="11.36328125" style="821" customWidth="1"/>
    <col min="774" max="774" width="12.6328125" style="821" customWidth="1"/>
    <col min="775" max="1024" width="8.54296875" style="821"/>
    <col min="1025" max="1025" width="38" style="821" customWidth="1"/>
    <col min="1026" max="1026" width="10.453125" style="821" customWidth="1"/>
    <col min="1027" max="1027" width="10.36328125" style="821" customWidth="1"/>
    <col min="1028" max="1028" width="38.36328125" style="821" customWidth="1"/>
    <col min="1029" max="1029" width="11.36328125" style="821" customWidth="1"/>
    <col min="1030" max="1030" width="12.6328125" style="821" customWidth="1"/>
    <col min="1031" max="1280" width="8.54296875" style="821"/>
    <col min="1281" max="1281" width="38" style="821" customWidth="1"/>
    <col min="1282" max="1282" width="10.453125" style="821" customWidth="1"/>
    <col min="1283" max="1283" width="10.36328125" style="821" customWidth="1"/>
    <col min="1284" max="1284" width="38.36328125" style="821" customWidth="1"/>
    <col min="1285" max="1285" width="11.36328125" style="821" customWidth="1"/>
    <col min="1286" max="1286" width="12.6328125" style="821" customWidth="1"/>
    <col min="1287" max="1536" width="8.54296875" style="821"/>
    <col min="1537" max="1537" width="38" style="821" customWidth="1"/>
    <col min="1538" max="1538" width="10.453125" style="821" customWidth="1"/>
    <col min="1539" max="1539" width="10.36328125" style="821" customWidth="1"/>
    <col min="1540" max="1540" width="38.36328125" style="821" customWidth="1"/>
    <col min="1541" max="1541" width="11.36328125" style="821" customWidth="1"/>
    <col min="1542" max="1542" width="12.6328125" style="821" customWidth="1"/>
    <col min="1543" max="1792" width="8.54296875" style="821"/>
    <col min="1793" max="1793" width="38" style="821" customWidth="1"/>
    <col min="1794" max="1794" width="10.453125" style="821" customWidth="1"/>
    <col min="1795" max="1795" width="10.36328125" style="821" customWidth="1"/>
    <col min="1796" max="1796" width="38.36328125" style="821" customWidth="1"/>
    <col min="1797" max="1797" width="11.36328125" style="821" customWidth="1"/>
    <col min="1798" max="1798" width="12.6328125" style="821" customWidth="1"/>
    <col min="1799" max="2048" width="8.54296875" style="821"/>
    <col min="2049" max="2049" width="38" style="821" customWidth="1"/>
    <col min="2050" max="2050" width="10.453125" style="821" customWidth="1"/>
    <col min="2051" max="2051" width="10.36328125" style="821" customWidth="1"/>
    <col min="2052" max="2052" width="38.36328125" style="821" customWidth="1"/>
    <col min="2053" max="2053" width="11.36328125" style="821" customWidth="1"/>
    <col min="2054" max="2054" width="12.6328125" style="821" customWidth="1"/>
    <col min="2055" max="2304" width="8.54296875" style="821"/>
    <col min="2305" max="2305" width="38" style="821" customWidth="1"/>
    <col min="2306" max="2306" width="10.453125" style="821" customWidth="1"/>
    <col min="2307" max="2307" width="10.36328125" style="821" customWidth="1"/>
    <col min="2308" max="2308" width="38.36328125" style="821" customWidth="1"/>
    <col min="2309" max="2309" width="11.36328125" style="821" customWidth="1"/>
    <col min="2310" max="2310" width="12.6328125" style="821" customWidth="1"/>
    <col min="2311" max="2560" width="8.54296875" style="821"/>
    <col min="2561" max="2561" width="38" style="821" customWidth="1"/>
    <col min="2562" max="2562" width="10.453125" style="821" customWidth="1"/>
    <col min="2563" max="2563" width="10.36328125" style="821" customWidth="1"/>
    <col min="2564" max="2564" width="38.36328125" style="821" customWidth="1"/>
    <col min="2565" max="2565" width="11.36328125" style="821" customWidth="1"/>
    <col min="2566" max="2566" width="12.6328125" style="821" customWidth="1"/>
    <col min="2567" max="2816" width="8.54296875" style="821"/>
    <col min="2817" max="2817" width="38" style="821" customWidth="1"/>
    <col min="2818" max="2818" width="10.453125" style="821" customWidth="1"/>
    <col min="2819" max="2819" width="10.36328125" style="821" customWidth="1"/>
    <col min="2820" max="2820" width="38.36328125" style="821" customWidth="1"/>
    <col min="2821" max="2821" width="11.36328125" style="821" customWidth="1"/>
    <col min="2822" max="2822" width="12.6328125" style="821" customWidth="1"/>
    <col min="2823" max="3072" width="8.54296875" style="821"/>
    <col min="3073" max="3073" width="38" style="821" customWidth="1"/>
    <col min="3074" max="3074" width="10.453125" style="821" customWidth="1"/>
    <col min="3075" max="3075" width="10.36328125" style="821" customWidth="1"/>
    <col min="3076" max="3076" width="38.36328125" style="821" customWidth="1"/>
    <col min="3077" max="3077" width="11.36328125" style="821" customWidth="1"/>
    <col min="3078" max="3078" width="12.6328125" style="821" customWidth="1"/>
    <col min="3079" max="3328" width="8.54296875" style="821"/>
    <col min="3329" max="3329" width="38" style="821" customWidth="1"/>
    <col min="3330" max="3330" width="10.453125" style="821" customWidth="1"/>
    <col min="3331" max="3331" width="10.36328125" style="821" customWidth="1"/>
    <col min="3332" max="3332" width="38.36328125" style="821" customWidth="1"/>
    <col min="3333" max="3333" width="11.36328125" style="821" customWidth="1"/>
    <col min="3334" max="3334" width="12.6328125" style="821" customWidth="1"/>
    <col min="3335" max="3584" width="8.54296875" style="821"/>
    <col min="3585" max="3585" width="38" style="821" customWidth="1"/>
    <col min="3586" max="3586" width="10.453125" style="821" customWidth="1"/>
    <col min="3587" max="3587" width="10.36328125" style="821" customWidth="1"/>
    <col min="3588" max="3588" width="38.36328125" style="821" customWidth="1"/>
    <col min="3589" max="3589" width="11.36328125" style="821" customWidth="1"/>
    <col min="3590" max="3590" width="12.6328125" style="821" customWidth="1"/>
    <col min="3591" max="3840" width="8.54296875" style="821"/>
    <col min="3841" max="3841" width="38" style="821" customWidth="1"/>
    <col min="3842" max="3842" width="10.453125" style="821" customWidth="1"/>
    <col min="3843" max="3843" width="10.36328125" style="821" customWidth="1"/>
    <col min="3844" max="3844" width="38.36328125" style="821" customWidth="1"/>
    <col min="3845" max="3845" width="11.36328125" style="821" customWidth="1"/>
    <col min="3846" max="3846" width="12.6328125" style="821" customWidth="1"/>
    <col min="3847" max="4096" width="8.54296875" style="821"/>
    <col min="4097" max="4097" width="38" style="821" customWidth="1"/>
    <col min="4098" max="4098" width="10.453125" style="821" customWidth="1"/>
    <col min="4099" max="4099" width="10.36328125" style="821" customWidth="1"/>
    <col min="4100" max="4100" width="38.36328125" style="821" customWidth="1"/>
    <col min="4101" max="4101" width="11.36328125" style="821" customWidth="1"/>
    <col min="4102" max="4102" width="12.6328125" style="821" customWidth="1"/>
    <col min="4103" max="4352" width="8.54296875" style="821"/>
    <col min="4353" max="4353" width="38" style="821" customWidth="1"/>
    <col min="4354" max="4354" width="10.453125" style="821" customWidth="1"/>
    <col min="4355" max="4355" width="10.36328125" style="821" customWidth="1"/>
    <col min="4356" max="4356" width="38.36328125" style="821" customWidth="1"/>
    <col min="4357" max="4357" width="11.36328125" style="821" customWidth="1"/>
    <col min="4358" max="4358" width="12.6328125" style="821" customWidth="1"/>
    <col min="4359" max="4608" width="8.54296875" style="821"/>
    <col min="4609" max="4609" width="38" style="821" customWidth="1"/>
    <col min="4610" max="4610" width="10.453125" style="821" customWidth="1"/>
    <col min="4611" max="4611" width="10.36328125" style="821" customWidth="1"/>
    <col min="4612" max="4612" width="38.36328125" style="821" customWidth="1"/>
    <col min="4613" max="4613" width="11.36328125" style="821" customWidth="1"/>
    <col min="4614" max="4614" width="12.6328125" style="821" customWidth="1"/>
    <col min="4615" max="4864" width="8.54296875" style="821"/>
    <col min="4865" max="4865" width="38" style="821" customWidth="1"/>
    <col min="4866" max="4866" width="10.453125" style="821" customWidth="1"/>
    <col min="4867" max="4867" width="10.36328125" style="821" customWidth="1"/>
    <col min="4868" max="4868" width="38.36328125" style="821" customWidth="1"/>
    <col min="4869" max="4869" width="11.36328125" style="821" customWidth="1"/>
    <col min="4870" max="4870" width="12.6328125" style="821" customWidth="1"/>
    <col min="4871" max="5120" width="8.54296875" style="821"/>
    <col min="5121" max="5121" width="38" style="821" customWidth="1"/>
    <col min="5122" max="5122" width="10.453125" style="821" customWidth="1"/>
    <col min="5123" max="5123" width="10.36328125" style="821" customWidth="1"/>
    <col min="5124" max="5124" width="38.36328125" style="821" customWidth="1"/>
    <col min="5125" max="5125" width="11.36328125" style="821" customWidth="1"/>
    <col min="5126" max="5126" width="12.6328125" style="821" customWidth="1"/>
    <col min="5127" max="5376" width="8.54296875" style="821"/>
    <col min="5377" max="5377" width="38" style="821" customWidth="1"/>
    <col min="5378" max="5378" width="10.453125" style="821" customWidth="1"/>
    <col min="5379" max="5379" width="10.36328125" style="821" customWidth="1"/>
    <col min="5380" max="5380" width="38.36328125" style="821" customWidth="1"/>
    <col min="5381" max="5381" width="11.36328125" style="821" customWidth="1"/>
    <col min="5382" max="5382" width="12.6328125" style="821" customWidth="1"/>
    <col min="5383" max="5632" width="8.54296875" style="821"/>
    <col min="5633" max="5633" width="38" style="821" customWidth="1"/>
    <col min="5634" max="5634" width="10.453125" style="821" customWidth="1"/>
    <col min="5635" max="5635" width="10.36328125" style="821" customWidth="1"/>
    <col min="5636" max="5636" width="38.36328125" style="821" customWidth="1"/>
    <col min="5637" max="5637" width="11.36328125" style="821" customWidth="1"/>
    <col min="5638" max="5638" width="12.6328125" style="821" customWidth="1"/>
    <col min="5639" max="5888" width="8.54296875" style="821"/>
    <col min="5889" max="5889" width="38" style="821" customWidth="1"/>
    <col min="5890" max="5890" width="10.453125" style="821" customWidth="1"/>
    <col min="5891" max="5891" width="10.36328125" style="821" customWidth="1"/>
    <col min="5892" max="5892" width="38.36328125" style="821" customWidth="1"/>
    <col min="5893" max="5893" width="11.36328125" style="821" customWidth="1"/>
    <col min="5894" max="5894" width="12.6328125" style="821" customWidth="1"/>
    <col min="5895" max="6144" width="8.54296875" style="821"/>
    <col min="6145" max="6145" width="38" style="821" customWidth="1"/>
    <col min="6146" max="6146" width="10.453125" style="821" customWidth="1"/>
    <col min="6147" max="6147" width="10.36328125" style="821" customWidth="1"/>
    <col min="6148" max="6148" width="38.36328125" style="821" customWidth="1"/>
    <col min="6149" max="6149" width="11.36328125" style="821" customWidth="1"/>
    <col min="6150" max="6150" width="12.6328125" style="821" customWidth="1"/>
    <col min="6151" max="6400" width="8.54296875" style="821"/>
    <col min="6401" max="6401" width="38" style="821" customWidth="1"/>
    <col min="6402" max="6402" width="10.453125" style="821" customWidth="1"/>
    <col min="6403" max="6403" width="10.36328125" style="821" customWidth="1"/>
    <col min="6404" max="6404" width="38.36328125" style="821" customWidth="1"/>
    <col min="6405" max="6405" width="11.36328125" style="821" customWidth="1"/>
    <col min="6406" max="6406" width="12.6328125" style="821" customWidth="1"/>
    <col min="6407" max="6656" width="8.54296875" style="821"/>
    <col min="6657" max="6657" width="38" style="821" customWidth="1"/>
    <col min="6658" max="6658" width="10.453125" style="821" customWidth="1"/>
    <col min="6659" max="6659" width="10.36328125" style="821" customWidth="1"/>
    <col min="6660" max="6660" width="38.36328125" style="821" customWidth="1"/>
    <col min="6661" max="6661" width="11.36328125" style="821" customWidth="1"/>
    <col min="6662" max="6662" width="12.6328125" style="821" customWidth="1"/>
    <col min="6663" max="6912" width="8.54296875" style="821"/>
    <col min="6913" max="6913" width="38" style="821" customWidth="1"/>
    <col min="6914" max="6914" width="10.453125" style="821" customWidth="1"/>
    <col min="6915" max="6915" width="10.36328125" style="821" customWidth="1"/>
    <col min="6916" max="6916" width="38.36328125" style="821" customWidth="1"/>
    <col min="6917" max="6917" width="11.36328125" style="821" customWidth="1"/>
    <col min="6918" max="6918" width="12.6328125" style="821" customWidth="1"/>
    <col min="6919" max="7168" width="8.54296875" style="821"/>
    <col min="7169" max="7169" width="38" style="821" customWidth="1"/>
    <col min="7170" max="7170" width="10.453125" style="821" customWidth="1"/>
    <col min="7171" max="7171" width="10.36328125" style="821" customWidth="1"/>
    <col min="7172" max="7172" width="38.36328125" style="821" customWidth="1"/>
    <col min="7173" max="7173" width="11.36328125" style="821" customWidth="1"/>
    <col min="7174" max="7174" width="12.6328125" style="821" customWidth="1"/>
    <col min="7175" max="7424" width="8.54296875" style="821"/>
    <col min="7425" max="7425" width="38" style="821" customWidth="1"/>
    <col min="7426" max="7426" width="10.453125" style="821" customWidth="1"/>
    <col min="7427" max="7427" width="10.36328125" style="821" customWidth="1"/>
    <col min="7428" max="7428" width="38.36328125" style="821" customWidth="1"/>
    <col min="7429" max="7429" width="11.36328125" style="821" customWidth="1"/>
    <col min="7430" max="7430" width="12.6328125" style="821" customWidth="1"/>
    <col min="7431" max="7680" width="8.54296875" style="821"/>
    <col min="7681" max="7681" width="38" style="821" customWidth="1"/>
    <col min="7682" max="7682" width="10.453125" style="821" customWidth="1"/>
    <col min="7683" max="7683" width="10.36328125" style="821" customWidth="1"/>
    <col min="7684" max="7684" width="38.36328125" style="821" customWidth="1"/>
    <col min="7685" max="7685" width="11.36328125" style="821" customWidth="1"/>
    <col min="7686" max="7686" width="12.6328125" style="821" customWidth="1"/>
    <col min="7687" max="7936" width="8.54296875" style="821"/>
    <col min="7937" max="7937" width="38" style="821" customWidth="1"/>
    <col min="7938" max="7938" width="10.453125" style="821" customWidth="1"/>
    <col min="7939" max="7939" width="10.36328125" style="821" customWidth="1"/>
    <col min="7940" max="7940" width="38.36328125" style="821" customWidth="1"/>
    <col min="7941" max="7941" width="11.36328125" style="821" customWidth="1"/>
    <col min="7942" max="7942" width="12.6328125" style="821" customWidth="1"/>
    <col min="7943" max="8192" width="8.54296875" style="821"/>
    <col min="8193" max="8193" width="38" style="821" customWidth="1"/>
    <col min="8194" max="8194" width="10.453125" style="821" customWidth="1"/>
    <col min="8195" max="8195" width="10.36328125" style="821" customWidth="1"/>
    <col min="8196" max="8196" width="38.36328125" style="821" customWidth="1"/>
    <col min="8197" max="8197" width="11.36328125" style="821" customWidth="1"/>
    <col min="8198" max="8198" width="12.6328125" style="821" customWidth="1"/>
    <col min="8199" max="8448" width="8.54296875" style="821"/>
    <col min="8449" max="8449" width="38" style="821" customWidth="1"/>
    <col min="8450" max="8450" width="10.453125" style="821" customWidth="1"/>
    <col min="8451" max="8451" width="10.36328125" style="821" customWidth="1"/>
    <col min="8452" max="8452" width="38.36328125" style="821" customWidth="1"/>
    <col min="8453" max="8453" width="11.36328125" style="821" customWidth="1"/>
    <col min="8454" max="8454" width="12.6328125" style="821" customWidth="1"/>
    <col min="8455" max="8704" width="8.54296875" style="821"/>
    <col min="8705" max="8705" width="38" style="821" customWidth="1"/>
    <col min="8706" max="8706" width="10.453125" style="821" customWidth="1"/>
    <col min="8707" max="8707" width="10.36328125" style="821" customWidth="1"/>
    <col min="8708" max="8708" width="38.36328125" style="821" customWidth="1"/>
    <col min="8709" max="8709" width="11.36328125" style="821" customWidth="1"/>
    <col min="8710" max="8710" width="12.6328125" style="821" customWidth="1"/>
    <col min="8711" max="8960" width="8.54296875" style="821"/>
    <col min="8961" max="8961" width="38" style="821" customWidth="1"/>
    <col min="8962" max="8962" width="10.453125" style="821" customWidth="1"/>
    <col min="8963" max="8963" width="10.36328125" style="821" customWidth="1"/>
    <col min="8964" max="8964" width="38.36328125" style="821" customWidth="1"/>
    <col min="8965" max="8965" width="11.36328125" style="821" customWidth="1"/>
    <col min="8966" max="8966" width="12.6328125" style="821" customWidth="1"/>
    <col min="8967" max="9216" width="8.54296875" style="821"/>
    <col min="9217" max="9217" width="38" style="821" customWidth="1"/>
    <col min="9218" max="9218" width="10.453125" style="821" customWidth="1"/>
    <col min="9219" max="9219" width="10.36328125" style="821" customWidth="1"/>
    <col min="9220" max="9220" width="38.36328125" style="821" customWidth="1"/>
    <col min="9221" max="9221" width="11.36328125" style="821" customWidth="1"/>
    <col min="9222" max="9222" width="12.6328125" style="821" customWidth="1"/>
    <col min="9223" max="9472" width="8.54296875" style="821"/>
    <col min="9473" max="9473" width="38" style="821" customWidth="1"/>
    <col min="9474" max="9474" width="10.453125" style="821" customWidth="1"/>
    <col min="9475" max="9475" width="10.36328125" style="821" customWidth="1"/>
    <col min="9476" max="9476" width="38.36328125" style="821" customWidth="1"/>
    <col min="9477" max="9477" width="11.36328125" style="821" customWidth="1"/>
    <col min="9478" max="9478" width="12.6328125" style="821" customWidth="1"/>
    <col min="9479" max="9728" width="8.54296875" style="821"/>
    <col min="9729" max="9729" width="38" style="821" customWidth="1"/>
    <col min="9730" max="9730" width="10.453125" style="821" customWidth="1"/>
    <col min="9731" max="9731" width="10.36328125" style="821" customWidth="1"/>
    <col min="9732" max="9732" width="38.36328125" style="821" customWidth="1"/>
    <col min="9733" max="9733" width="11.36328125" style="821" customWidth="1"/>
    <col min="9734" max="9734" width="12.6328125" style="821" customWidth="1"/>
    <col min="9735" max="9984" width="8.54296875" style="821"/>
    <col min="9985" max="9985" width="38" style="821" customWidth="1"/>
    <col min="9986" max="9986" width="10.453125" style="821" customWidth="1"/>
    <col min="9987" max="9987" width="10.36328125" style="821" customWidth="1"/>
    <col min="9988" max="9988" width="38.36328125" style="821" customWidth="1"/>
    <col min="9989" max="9989" width="11.36328125" style="821" customWidth="1"/>
    <col min="9990" max="9990" width="12.6328125" style="821" customWidth="1"/>
    <col min="9991" max="10240" width="8.54296875" style="821"/>
    <col min="10241" max="10241" width="38" style="821" customWidth="1"/>
    <col min="10242" max="10242" width="10.453125" style="821" customWidth="1"/>
    <col min="10243" max="10243" width="10.36328125" style="821" customWidth="1"/>
    <col min="10244" max="10244" width="38.36328125" style="821" customWidth="1"/>
    <col min="10245" max="10245" width="11.36328125" style="821" customWidth="1"/>
    <col min="10246" max="10246" width="12.6328125" style="821" customWidth="1"/>
    <col min="10247" max="10496" width="8.54296875" style="821"/>
    <col min="10497" max="10497" width="38" style="821" customWidth="1"/>
    <col min="10498" max="10498" width="10.453125" style="821" customWidth="1"/>
    <col min="10499" max="10499" width="10.36328125" style="821" customWidth="1"/>
    <col min="10500" max="10500" width="38.36328125" style="821" customWidth="1"/>
    <col min="10501" max="10501" width="11.36328125" style="821" customWidth="1"/>
    <col min="10502" max="10502" width="12.6328125" style="821" customWidth="1"/>
    <col min="10503" max="10752" width="8.54296875" style="821"/>
    <col min="10753" max="10753" width="38" style="821" customWidth="1"/>
    <col min="10754" max="10754" width="10.453125" style="821" customWidth="1"/>
    <col min="10755" max="10755" width="10.36328125" style="821" customWidth="1"/>
    <col min="10756" max="10756" width="38.36328125" style="821" customWidth="1"/>
    <col min="10757" max="10757" width="11.36328125" style="821" customWidth="1"/>
    <col min="10758" max="10758" width="12.6328125" style="821" customWidth="1"/>
    <col min="10759" max="11008" width="8.54296875" style="821"/>
    <col min="11009" max="11009" width="38" style="821" customWidth="1"/>
    <col min="11010" max="11010" width="10.453125" style="821" customWidth="1"/>
    <col min="11011" max="11011" width="10.36328125" style="821" customWidth="1"/>
    <col min="11012" max="11012" width="38.36328125" style="821" customWidth="1"/>
    <col min="11013" max="11013" width="11.36328125" style="821" customWidth="1"/>
    <col min="11014" max="11014" width="12.6328125" style="821" customWidth="1"/>
    <col min="11015" max="11264" width="8.54296875" style="821"/>
    <col min="11265" max="11265" width="38" style="821" customWidth="1"/>
    <col min="11266" max="11266" width="10.453125" style="821" customWidth="1"/>
    <col min="11267" max="11267" width="10.36328125" style="821" customWidth="1"/>
    <col min="11268" max="11268" width="38.36328125" style="821" customWidth="1"/>
    <col min="11269" max="11269" width="11.36328125" style="821" customWidth="1"/>
    <col min="11270" max="11270" width="12.6328125" style="821" customWidth="1"/>
    <col min="11271" max="11520" width="8.54296875" style="821"/>
    <col min="11521" max="11521" width="38" style="821" customWidth="1"/>
    <col min="11522" max="11522" width="10.453125" style="821" customWidth="1"/>
    <col min="11523" max="11523" width="10.36328125" style="821" customWidth="1"/>
    <col min="11524" max="11524" width="38.36328125" style="821" customWidth="1"/>
    <col min="11525" max="11525" width="11.36328125" style="821" customWidth="1"/>
    <col min="11526" max="11526" width="12.6328125" style="821" customWidth="1"/>
    <col min="11527" max="11776" width="8.54296875" style="821"/>
    <col min="11777" max="11777" width="38" style="821" customWidth="1"/>
    <col min="11778" max="11778" width="10.453125" style="821" customWidth="1"/>
    <col min="11779" max="11779" width="10.36328125" style="821" customWidth="1"/>
    <col min="11780" max="11780" width="38.36328125" style="821" customWidth="1"/>
    <col min="11781" max="11781" width="11.36328125" style="821" customWidth="1"/>
    <col min="11782" max="11782" width="12.6328125" style="821" customWidth="1"/>
    <col min="11783" max="12032" width="8.54296875" style="821"/>
    <col min="12033" max="12033" width="38" style="821" customWidth="1"/>
    <col min="12034" max="12034" width="10.453125" style="821" customWidth="1"/>
    <col min="12035" max="12035" width="10.36328125" style="821" customWidth="1"/>
    <col min="12036" max="12036" width="38.36328125" style="821" customWidth="1"/>
    <col min="12037" max="12037" width="11.36328125" style="821" customWidth="1"/>
    <col min="12038" max="12038" width="12.6328125" style="821" customWidth="1"/>
    <col min="12039" max="12288" width="8.54296875" style="821"/>
    <col min="12289" max="12289" width="38" style="821" customWidth="1"/>
    <col min="12290" max="12290" width="10.453125" style="821" customWidth="1"/>
    <col min="12291" max="12291" width="10.36328125" style="821" customWidth="1"/>
    <col min="12292" max="12292" width="38.36328125" style="821" customWidth="1"/>
    <col min="12293" max="12293" width="11.36328125" style="821" customWidth="1"/>
    <col min="12294" max="12294" width="12.6328125" style="821" customWidth="1"/>
    <col min="12295" max="12544" width="8.54296875" style="821"/>
    <col min="12545" max="12545" width="38" style="821" customWidth="1"/>
    <col min="12546" max="12546" width="10.453125" style="821" customWidth="1"/>
    <col min="12547" max="12547" width="10.36328125" style="821" customWidth="1"/>
    <col min="12548" max="12548" width="38.36328125" style="821" customWidth="1"/>
    <col min="12549" max="12549" width="11.36328125" style="821" customWidth="1"/>
    <col min="12550" max="12550" width="12.6328125" style="821" customWidth="1"/>
    <col min="12551" max="12800" width="8.54296875" style="821"/>
    <col min="12801" max="12801" width="38" style="821" customWidth="1"/>
    <col min="12802" max="12802" width="10.453125" style="821" customWidth="1"/>
    <col min="12803" max="12803" width="10.36328125" style="821" customWidth="1"/>
    <col min="12804" max="12804" width="38.36328125" style="821" customWidth="1"/>
    <col min="12805" max="12805" width="11.36328125" style="821" customWidth="1"/>
    <col min="12806" max="12806" width="12.6328125" style="821" customWidth="1"/>
    <col min="12807" max="13056" width="8.54296875" style="821"/>
    <col min="13057" max="13057" width="38" style="821" customWidth="1"/>
    <col min="13058" max="13058" width="10.453125" style="821" customWidth="1"/>
    <col min="13059" max="13059" width="10.36328125" style="821" customWidth="1"/>
    <col min="13060" max="13060" width="38.36328125" style="821" customWidth="1"/>
    <col min="13061" max="13061" width="11.36328125" style="821" customWidth="1"/>
    <col min="13062" max="13062" width="12.6328125" style="821" customWidth="1"/>
    <col min="13063" max="13312" width="8.54296875" style="821"/>
    <col min="13313" max="13313" width="38" style="821" customWidth="1"/>
    <col min="13314" max="13314" width="10.453125" style="821" customWidth="1"/>
    <col min="13315" max="13315" width="10.36328125" style="821" customWidth="1"/>
    <col min="13316" max="13316" width="38.36328125" style="821" customWidth="1"/>
    <col min="13317" max="13317" width="11.36328125" style="821" customWidth="1"/>
    <col min="13318" max="13318" width="12.6328125" style="821" customWidth="1"/>
    <col min="13319" max="13568" width="8.54296875" style="821"/>
    <col min="13569" max="13569" width="38" style="821" customWidth="1"/>
    <col min="13570" max="13570" width="10.453125" style="821" customWidth="1"/>
    <col min="13571" max="13571" width="10.36328125" style="821" customWidth="1"/>
    <col min="13572" max="13572" width="38.36328125" style="821" customWidth="1"/>
    <col min="13573" max="13573" width="11.36328125" style="821" customWidth="1"/>
    <col min="13574" max="13574" width="12.6328125" style="821" customWidth="1"/>
    <col min="13575" max="13824" width="8.54296875" style="821"/>
    <col min="13825" max="13825" width="38" style="821" customWidth="1"/>
    <col min="13826" max="13826" width="10.453125" style="821" customWidth="1"/>
    <col min="13827" max="13827" width="10.36328125" style="821" customWidth="1"/>
    <col min="13828" max="13828" width="38.36328125" style="821" customWidth="1"/>
    <col min="13829" max="13829" width="11.36328125" style="821" customWidth="1"/>
    <col min="13830" max="13830" width="12.6328125" style="821" customWidth="1"/>
    <col min="13831" max="14080" width="8.54296875" style="821"/>
    <col min="14081" max="14081" width="38" style="821" customWidth="1"/>
    <col min="14082" max="14082" width="10.453125" style="821" customWidth="1"/>
    <col min="14083" max="14083" width="10.36328125" style="821" customWidth="1"/>
    <col min="14084" max="14084" width="38.36328125" style="821" customWidth="1"/>
    <col min="14085" max="14085" width="11.36328125" style="821" customWidth="1"/>
    <col min="14086" max="14086" width="12.6328125" style="821" customWidth="1"/>
    <col min="14087" max="14336" width="8.54296875" style="821"/>
    <col min="14337" max="14337" width="38" style="821" customWidth="1"/>
    <col min="14338" max="14338" width="10.453125" style="821" customWidth="1"/>
    <col min="14339" max="14339" width="10.36328125" style="821" customWidth="1"/>
    <col min="14340" max="14340" width="38.36328125" style="821" customWidth="1"/>
    <col min="14341" max="14341" width="11.36328125" style="821" customWidth="1"/>
    <col min="14342" max="14342" width="12.6328125" style="821" customWidth="1"/>
    <col min="14343" max="14592" width="8.54296875" style="821"/>
    <col min="14593" max="14593" width="38" style="821" customWidth="1"/>
    <col min="14594" max="14594" width="10.453125" style="821" customWidth="1"/>
    <col min="14595" max="14595" width="10.36328125" style="821" customWidth="1"/>
    <col min="14596" max="14596" width="38.36328125" style="821" customWidth="1"/>
    <col min="14597" max="14597" width="11.36328125" style="821" customWidth="1"/>
    <col min="14598" max="14598" width="12.6328125" style="821" customWidth="1"/>
    <col min="14599" max="14848" width="8.54296875" style="821"/>
    <col min="14849" max="14849" width="38" style="821" customWidth="1"/>
    <col min="14850" max="14850" width="10.453125" style="821" customWidth="1"/>
    <col min="14851" max="14851" width="10.36328125" style="821" customWidth="1"/>
    <col min="14852" max="14852" width="38.36328125" style="821" customWidth="1"/>
    <col min="14853" max="14853" width="11.36328125" style="821" customWidth="1"/>
    <col min="14854" max="14854" width="12.6328125" style="821" customWidth="1"/>
    <col min="14855" max="15104" width="8.54296875" style="821"/>
    <col min="15105" max="15105" width="38" style="821" customWidth="1"/>
    <col min="15106" max="15106" width="10.453125" style="821" customWidth="1"/>
    <col min="15107" max="15107" width="10.36328125" style="821" customWidth="1"/>
    <col min="15108" max="15108" width="38.36328125" style="821" customWidth="1"/>
    <col min="15109" max="15109" width="11.36328125" style="821" customWidth="1"/>
    <col min="15110" max="15110" width="12.6328125" style="821" customWidth="1"/>
    <col min="15111" max="15360" width="8.54296875" style="821"/>
    <col min="15361" max="15361" width="38" style="821" customWidth="1"/>
    <col min="15362" max="15362" width="10.453125" style="821" customWidth="1"/>
    <col min="15363" max="15363" width="10.36328125" style="821" customWidth="1"/>
    <col min="15364" max="15364" width="38.36328125" style="821" customWidth="1"/>
    <col min="15365" max="15365" width="11.36328125" style="821" customWidth="1"/>
    <col min="15366" max="15366" width="12.6328125" style="821" customWidth="1"/>
    <col min="15367" max="15616" width="8.54296875" style="821"/>
    <col min="15617" max="15617" width="38" style="821" customWidth="1"/>
    <col min="15618" max="15618" width="10.453125" style="821" customWidth="1"/>
    <col min="15619" max="15619" width="10.36328125" style="821" customWidth="1"/>
    <col min="15620" max="15620" width="38.36328125" style="821" customWidth="1"/>
    <col min="15621" max="15621" width="11.36328125" style="821" customWidth="1"/>
    <col min="15622" max="15622" width="12.6328125" style="821" customWidth="1"/>
    <col min="15623" max="15872" width="8.54296875" style="821"/>
    <col min="15873" max="15873" width="38" style="821" customWidth="1"/>
    <col min="15874" max="15874" width="10.453125" style="821" customWidth="1"/>
    <col min="15875" max="15875" width="10.36328125" style="821" customWidth="1"/>
    <col min="15876" max="15876" width="38.36328125" style="821" customWidth="1"/>
    <col min="15877" max="15877" width="11.36328125" style="821" customWidth="1"/>
    <col min="15878" max="15878" width="12.6328125" style="821" customWidth="1"/>
    <col min="15879" max="16128" width="8.54296875" style="821"/>
    <col min="16129" max="16129" width="38" style="821" customWidth="1"/>
    <col min="16130" max="16130" width="10.453125" style="821" customWidth="1"/>
    <col min="16131" max="16131" width="10.36328125" style="821" customWidth="1"/>
    <col min="16132" max="16132" width="38.36328125" style="821" customWidth="1"/>
    <col min="16133" max="16133" width="11.36328125" style="821" customWidth="1"/>
    <col min="16134" max="16134" width="12.6328125" style="821" customWidth="1"/>
    <col min="16135" max="16384" width="8.54296875" style="821"/>
  </cols>
  <sheetData>
    <row r="1" spans="1:11" ht="12.75" customHeight="1">
      <c r="A1" s="5186" t="s">
        <v>924</v>
      </c>
      <c r="B1" s="5186"/>
      <c r="C1" s="5186"/>
      <c r="D1" s="5186"/>
      <c r="E1" s="5186"/>
      <c r="F1" s="5186"/>
      <c r="G1" s="5186"/>
      <c r="H1" s="5186"/>
      <c r="I1" s="5186"/>
      <c r="J1" s="5186"/>
      <c r="K1" s="5186"/>
    </row>
    <row r="2" spans="1:11" ht="12.75" customHeight="1" thickBot="1">
      <c r="A2" s="5186"/>
      <c r="B2" s="5186"/>
      <c r="C2" s="5186"/>
      <c r="D2" s="5186"/>
      <c r="E2" s="5186"/>
      <c r="F2" s="5186"/>
      <c r="G2" s="5186"/>
      <c r="H2" s="5186"/>
      <c r="I2" s="5186"/>
      <c r="J2" s="5186"/>
      <c r="K2" s="5186"/>
    </row>
    <row r="3" spans="1:11" ht="16.5" customHeight="1">
      <c r="A3" s="5187" t="s">
        <v>925</v>
      </c>
      <c r="B3" s="5188"/>
      <c r="C3" s="5188"/>
      <c r="D3" s="5188"/>
      <c r="E3" s="5188"/>
      <c r="F3" s="5188"/>
      <c r="G3" s="5188"/>
      <c r="H3" s="5188"/>
      <c r="I3" s="822"/>
      <c r="J3" s="822"/>
      <c r="K3" s="823"/>
    </row>
    <row r="4" spans="1:11" ht="79.400000000000006" customHeight="1">
      <c r="A4" s="5189" t="s">
        <v>1344</v>
      </c>
      <c r="B4" s="5190"/>
      <c r="C4" s="5190"/>
      <c r="D4" s="5190"/>
      <c r="E4" s="5190"/>
      <c r="F4" s="5190"/>
      <c r="G4" s="5190"/>
      <c r="H4" s="5190"/>
      <c r="I4" s="5190"/>
      <c r="J4" s="5190"/>
      <c r="K4" s="5191"/>
    </row>
    <row r="5" spans="1:11" ht="15.75" customHeight="1">
      <c r="A5" s="5189" t="s">
        <v>926</v>
      </c>
      <c r="B5" s="5190"/>
      <c r="C5" s="5190"/>
      <c r="D5" s="5190"/>
      <c r="E5" s="5190"/>
      <c r="F5" s="5190"/>
      <c r="G5" s="5190"/>
      <c r="H5" s="824"/>
      <c r="I5" s="824"/>
      <c r="J5" s="824"/>
      <c r="K5" s="825"/>
    </row>
    <row r="6" spans="1:11" ht="15.75" customHeight="1">
      <c r="A6" s="5189" t="s">
        <v>927</v>
      </c>
      <c r="B6" s="5190"/>
      <c r="C6" s="5190"/>
      <c r="D6" s="5190"/>
      <c r="E6" s="5190"/>
      <c r="F6" s="5190"/>
      <c r="G6" s="5190"/>
      <c r="H6" s="824"/>
      <c r="I6" s="824"/>
      <c r="J6" s="824"/>
      <c r="K6" s="825"/>
    </row>
    <row r="7" spans="1:11" ht="15.75" customHeight="1">
      <c r="A7" s="5189" t="s">
        <v>928</v>
      </c>
      <c r="B7" s="5190"/>
      <c r="C7" s="5190"/>
      <c r="D7" s="5190"/>
      <c r="E7" s="5190"/>
      <c r="F7" s="5190"/>
      <c r="G7" s="5190"/>
      <c r="H7" s="824"/>
      <c r="I7" s="824"/>
      <c r="J7" s="824"/>
      <c r="K7" s="825"/>
    </row>
    <row r="8" spans="1:11" ht="15.75" customHeight="1">
      <c r="A8" s="5189" t="s">
        <v>929</v>
      </c>
      <c r="B8" s="5190"/>
      <c r="C8" s="5190"/>
      <c r="D8" s="5190"/>
      <c r="E8" s="5190"/>
      <c r="F8" s="5190"/>
      <c r="G8" s="5190"/>
      <c r="H8" s="824"/>
      <c r="I8" s="824"/>
      <c r="J8" s="824"/>
      <c r="K8" s="825"/>
    </row>
    <row r="9" spans="1:11" ht="15.75" customHeight="1">
      <c r="A9" s="5189" t="s">
        <v>930</v>
      </c>
      <c r="B9" s="5190"/>
      <c r="C9" s="5190"/>
      <c r="D9" s="5190"/>
      <c r="E9" s="5190"/>
      <c r="F9" s="5190"/>
      <c r="G9" s="5190"/>
      <c r="H9" s="824"/>
      <c r="I9" s="824"/>
      <c r="J9" s="824"/>
      <c r="K9" s="825"/>
    </row>
    <row r="10" spans="1:11" ht="12.75" customHeight="1" thickBot="1">
      <c r="A10" s="5192" t="s">
        <v>931</v>
      </c>
      <c r="B10" s="5193"/>
      <c r="C10" s="5193"/>
      <c r="D10" s="5193"/>
      <c r="E10" s="5193"/>
      <c r="F10" s="5193"/>
      <c r="G10" s="5193"/>
      <c r="H10" s="826"/>
      <c r="I10" s="826"/>
      <c r="J10" s="826"/>
      <c r="K10" s="827"/>
    </row>
    <row r="11" spans="1:11" ht="12.75" hidden="1" customHeight="1">
      <c r="A11" s="828"/>
      <c r="B11" s="828"/>
      <c r="C11" s="828"/>
      <c r="D11" s="828"/>
      <c r="E11" s="828"/>
      <c r="F11" s="828"/>
      <c r="G11" s="828"/>
      <c r="H11" s="828"/>
      <c r="I11" s="828"/>
      <c r="J11" s="828"/>
      <c r="K11" s="828"/>
    </row>
    <row r="12" spans="1:11" ht="12.75" hidden="1" customHeight="1">
      <c r="A12" s="828"/>
      <c r="B12" s="828"/>
      <c r="C12" s="828"/>
      <c r="D12" s="828"/>
      <c r="E12" s="828"/>
      <c r="F12" s="828"/>
      <c r="G12" s="828"/>
      <c r="H12" s="828"/>
      <c r="I12" s="828"/>
      <c r="J12" s="828"/>
      <c r="K12" s="828"/>
    </row>
    <row r="13" spans="1:11" ht="12.75" hidden="1" customHeight="1">
      <c r="A13" s="828"/>
      <c r="B13" s="828"/>
      <c r="C13" s="828"/>
      <c r="D13" s="828"/>
      <c r="E13" s="828"/>
      <c r="F13" s="828"/>
      <c r="G13" s="828"/>
      <c r="H13" s="828"/>
      <c r="I13" s="828"/>
      <c r="J13" s="828"/>
      <c r="K13" s="828"/>
    </row>
    <row r="14" spans="1:11" ht="12.75" hidden="1" customHeight="1" thickBot="1">
      <c r="A14" s="828"/>
      <c r="B14" s="828"/>
      <c r="C14" s="828"/>
      <c r="D14" s="828"/>
      <c r="E14" s="828"/>
      <c r="F14" s="828"/>
      <c r="G14" s="828"/>
      <c r="H14" s="828"/>
      <c r="I14" s="828"/>
      <c r="J14" s="828"/>
      <c r="K14" s="828"/>
    </row>
    <row r="15" spans="1:11" ht="13">
      <c r="A15" s="5194" t="s">
        <v>932</v>
      </c>
      <c r="B15" s="5195"/>
      <c r="C15" s="829"/>
      <c r="D15" s="5194" t="s">
        <v>933</v>
      </c>
      <c r="E15" s="5195"/>
      <c r="F15" s="830"/>
    </row>
    <row r="16" spans="1:11" ht="13.5" thickBot="1">
      <c r="A16" s="5196"/>
      <c r="B16" s="5197"/>
      <c r="C16" s="829"/>
      <c r="D16" s="5196"/>
      <c r="E16" s="5197"/>
      <c r="F16" s="830"/>
    </row>
    <row r="17" spans="1:9">
      <c r="A17" s="831" t="s">
        <v>934</v>
      </c>
      <c r="B17" s="832" t="s">
        <v>1345</v>
      </c>
      <c r="C17" s="829"/>
      <c r="D17" s="820"/>
      <c r="E17" s="820"/>
    </row>
    <row r="18" spans="1:9">
      <c r="A18" s="833" t="s">
        <v>913</v>
      </c>
      <c r="B18" s="834" t="s">
        <v>1085</v>
      </c>
      <c r="C18" s="829"/>
      <c r="D18" s="820"/>
      <c r="E18" s="820"/>
    </row>
    <row r="19" spans="1:9" ht="50">
      <c r="A19" s="833" t="s">
        <v>935</v>
      </c>
      <c r="B19" s="835" t="s">
        <v>1135</v>
      </c>
      <c r="C19" s="829"/>
      <c r="D19" s="820"/>
      <c r="E19" s="820"/>
      <c r="H19" s="820"/>
    </row>
    <row r="20" spans="1:9">
      <c r="A20" s="833" t="s">
        <v>914</v>
      </c>
      <c r="B20" s="836" t="s">
        <v>846</v>
      </c>
    </row>
    <row r="21" spans="1:9">
      <c r="A21" s="833" t="s">
        <v>936</v>
      </c>
      <c r="B21" s="837" t="s">
        <v>1343</v>
      </c>
      <c r="C21" s="829"/>
      <c r="D21" s="820"/>
      <c r="E21" s="820"/>
    </row>
    <row r="22" spans="1:9">
      <c r="A22" s="833" t="s">
        <v>937</v>
      </c>
      <c r="B22" s="838" t="s">
        <v>938</v>
      </c>
      <c r="C22" s="829"/>
      <c r="D22" s="820"/>
      <c r="E22" s="820"/>
    </row>
    <row r="23" spans="1:9">
      <c r="A23" s="833" t="s">
        <v>939</v>
      </c>
      <c r="B23" s="839" t="s">
        <v>846</v>
      </c>
      <c r="C23" s="820"/>
      <c r="D23" s="820"/>
      <c r="E23" s="820"/>
      <c r="H23" s="820"/>
      <c r="I23" s="820"/>
    </row>
    <row r="24" spans="1:9">
      <c r="A24" s="833" t="s">
        <v>940</v>
      </c>
      <c r="B24" s="840">
        <f>C179</f>
        <v>0.17</v>
      </c>
      <c r="C24" s="820"/>
      <c r="D24" s="820"/>
      <c r="E24" s="820"/>
      <c r="H24" s="820"/>
    </row>
    <row r="25" spans="1:9">
      <c r="A25" s="833" t="s">
        <v>941</v>
      </c>
      <c r="B25" s="839" t="s">
        <v>942</v>
      </c>
      <c r="C25" s="820"/>
      <c r="D25" s="820"/>
      <c r="E25" s="820"/>
      <c r="H25" s="820"/>
    </row>
    <row r="26" spans="1:9">
      <c r="A26" s="833" t="s">
        <v>943</v>
      </c>
      <c r="B26" s="838">
        <v>2562</v>
      </c>
      <c r="C26" s="820"/>
    </row>
    <row r="27" spans="1:9" ht="13" thickBot="1">
      <c r="A27" s="833" t="s">
        <v>944</v>
      </c>
      <c r="B27" s="838">
        <v>100000</v>
      </c>
      <c r="C27" s="820"/>
    </row>
    <row r="28" spans="1:9" ht="12.75" customHeight="1" thickBot="1">
      <c r="A28" s="841" t="s">
        <v>945</v>
      </c>
      <c r="B28" s="842">
        <f>' UserValueSets Report'!C108</f>
        <v>7.6853545915411798</v>
      </c>
      <c r="C28" s="843" t="str">
        <f>IF(OR(B28&lt;=E28,B28&lt;=0,E28&lt;=0),"ERROR","Max &gt; Avg")</f>
        <v>Max &gt; Avg</v>
      </c>
      <c r="D28" s="844" t="s">
        <v>946</v>
      </c>
      <c r="E28" s="845">
        <f>' UserValueSets Report'!C104</f>
        <v>6.7975784768895098</v>
      </c>
    </row>
    <row r="29" spans="1:9">
      <c r="A29" s="841" t="s">
        <v>947</v>
      </c>
      <c r="B29" s="838">
        <f>' UserValueSets Report'!C20</f>
        <v>130.5</v>
      </c>
    </row>
    <row r="30" spans="1:9" ht="15.5">
      <c r="A30" s="841" t="s">
        <v>948</v>
      </c>
      <c r="B30" s="1470">
        <f>'CDP + Flare PStreams'!AN131</f>
        <v>83.460429113907793</v>
      </c>
      <c r="C30" s="821" t="s">
        <v>1346</v>
      </c>
    </row>
    <row r="31" spans="1:9" ht="16" thickBot="1">
      <c r="A31" s="841" t="s">
        <v>949</v>
      </c>
      <c r="B31" s="838">
        <v>1</v>
      </c>
    </row>
    <row r="32" spans="1:9">
      <c r="A32" s="841" t="s">
        <v>950</v>
      </c>
      <c r="B32" s="838">
        <v>95</v>
      </c>
      <c r="C32" s="843" t="str">
        <f>IF(OR(B32&lt;=E32,B32&lt;=0,E32&lt;=0),"ERROR","Max &gt; Avg")</f>
        <v>Max &gt; Avg</v>
      </c>
      <c r="D32" s="846" t="s">
        <v>951</v>
      </c>
      <c r="E32" s="847">
        <v>62.26</v>
      </c>
    </row>
    <row r="33" spans="1:6">
      <c r="A33" s="841" t="s">
        <v>952</v>
      </c>
      <c r="B33" s="848">
        <f>E33</f>
        <v>45.9</v>
      </c>
      <c r="D33" s="841" t="s">
        <v>953</v>
      </c>
      <c r="E33" s="849">
        <f>' UserValueSets Report'!C60</f>
        <v>45.9</v>
      </c>
    </row>
    <row r="34" spans="1:6" ht="13" thickBot="1">
      <c r="A34" s="841" t="s">
        <v>954</v>
      </c>
      <c r="B34" s="850">
        <f>E34</f>
        <v>5500.6</v>
      </c>
      <c r="C34" s="820"/>
      <c r="D34" s="851" t="s">
        <v>954</v>
      </c>
      <c r="E34" s="1471">
        <v>5500.6</v>
      </c>
    </row>
    <row r="35" spans="1:6">
      <c r="A35" s="841" t="s">
        <v>955</v>
      </c>
      <c r="B35" s="838">
        <v>7.1</v>
      </c>
      <c r="D35" s="820"/>
    </row>
    <row r="36" spans="1:6" ht="15.5">
      <c r="A36" s="841" t="s">
        <v>956</v>
      </c>
      <c r="B36" s="838">
        <v>0.5</v>
      </c>
      <c r="D36" s="820"/>
    </row>
    <row r="37" spans="1:6">
      <c r="A37" s="841" t="s">
        <v>957</v>
      </c>
      <c r="B37" s="838">
        <v>6</v>
      </c>
      <c r="D37" s="820"/>
      <c r="E37" s="820"/>
      <c r="F37" s="820"/>
    </row>
    <row r="38" spans="1:6">
      <c r="A38" s="841" t="s">
        <v>958</v>
      </c>
      <c r="B38" s="838">
        <v>15000</v>
      </c>
      <c r="C38" s="820"/>
      <c r="D38" s="820"/>
      <c r="E38" s="820"/>
      <c r="F38" s="820"/>
    </row>
    <row r="39" spans="1:6" ht="13" thickBot="1">
      <c r="A39" s="851" t="s">
        <v>959</v>
      </c>
      <c r="B39" s="852">
        <v>1</v>
      </c>
      <c r="C39" s="820"/>
      <c r="D39" s="820"/>
      <c r="E39" s="820"/>
      <c r="F39" s="820"/>
    </row>
    <row r="40" spans="1:6" ht="13" thickBot="1">
      <c r="C40" s="820"/>
      <c r="F40" s="820"/>
    </row>
    <row r="41" spans="1:6">
      <c r="A41" s="846" t="s">
        <v>960</v>
      </c>
      <c r="B41" s="853">
        <f>IF(B24="",0.97,B24)</f>
        <v>0.17</v>
      </c>
    </row>
    <row r="42" spans="1:6">
      <c r="A42" s="841" t="s">
        <v>961</v>
      </c>
      <c r="B42" s="854">
        <f>IF(B25="",0.6,VLOOKUP(B25,A198:B201,2,FALSE))</f>
        <v>0.5</v>
      </c>
    </row>
    <row r="43" spans="1:6">
      <c r="A43" s="841" t="s">
        <v>962</v>
      </c>
      <c r="B43" s="855">
        <f>IF(B26="",2562,B26)</f>
        <v>2562</v>
      </c>
    </row>
    <row r="44" spans="1:6">
      <c r="A44" s="841" t="s">
        <v>939</v>
      </c>
      <c r="B44" s="856" t="str">
        <f>IF(OR(B23="",B23="IFR"),"IFR","EFR")</f>
        <v>IFR</v>
      </c>
    </row>
    <row r="45" spans="1:6" ht="15.5">
      <c r="A45" s="841" t="s">
        <v>963</v>
      </c>
      <c r="B45" s="857">
        <f>((B46*PI()*(B29^2))/4)</f>
        <v>73565.39889709666</v>
      </c>
    </row>
    <row r="46" spans="1:6" ht="16" thickBot="1">
      <c r="A46" s="841" t="s">
        <v>964</v>
      </c>
      <c r="B46" s="858">
        <f>(B37-B36)</f>
        <v>5.5</v>
      </c>
      <c r="C46" s="820"/>
    </row>
    <row r="47" spans="1:6" ht="15.5">
      <c r="A47" s="841" t="s">
        <v>965</v>
      </c>
      <c r="B47" s="858">
        <f>((0.72*(B32-B33))+0.028*B41*B43)</f>
        <v>47.54712</v>
      </c>
      <c r="C47" s="820"/>
      <c r="D47" s="846" t="s">
        <v>965</v>
      </c>
      <c r="E47" s="859">
        <f>((0.72*(E32-E33))+0.028*B41*B43)</f>
        <v>23.974319999999999</v>
      </c>
    </row>
    <row r="48" spans="1:6" ht="15">
      <c r="A48" s="841" t="s">
        <v>966</v>
      </c>
      <c r="B48" s="858">
        <f>((B47/(B32+460)*(1+((0.5*B34*B28)/((B32+460)*(14.7-B28))))))</f>
        <v>0.55080279448435943</v>
      </c>
      <c r="C48" s="820"/>
      <c r="D48" s="841" t="s">
        <v>966</v>
      </c>
      <c r="E48" s="860">
        <f>((E47/(E32+460)*(1+((0.5*E34*E28)/((E32+460)*(14.7-E28))))))</f>
        <v>0.25384918259717026</v>
      </c>
    </row>
    <row r="49" spans="1:5" ht="16" thickBot="1">
      <c r="A49" s="851" t="s">
        <v>967</v>
      </c>
      <c r="B49" s="861">
        <f>IF((1/(1+(0.053*B28*B46)))&lt;=B42,(1/(1+(0.053*B28*B46))),B42)</f>
        <v>0.30861522261380053</v>
      </c>
      <c r="C49" s="820"/>
      <c r="D49" s="851" t="s">
        <v>967</v>
      </c>
      <c r="E49" s="862">
        <f>IF((1/(1+(0.053*E28*B46)))&lt;=B42,(1/(1+(0.053*E28*B46))),B42)</f>
        <v>0.33540230425915718</v>
      </c>
    </row>
    <row r="50" spans="1:5" hidden="1"/>
    <row r="51" spans="1:5">
      <c r="C51" s="820"/>
      <c r="E51" s="863"/>
    </row>
    <row r="52" spans="1:5" ht="13.5" thickBot="1">
      <c r="A52" s="864" t="s">
        <v>968</v>
      </c>
      <c r="B52" s="865"/>
      <c r="C52" s="820"/>
      <c r="D52" s="864" t="s">
        <v>968</v>
      </c>
      <c r="E52" s="863"/>
    </row>
    <row r="53" spans="1:5" ht="15.5">
      <c r="A53" s="846" t="s">
        <v>969</v>
      </c>
      <c r="B53" s="859">
        <f>IF(AND(B44="IFR",OR(B25="Full",B25="Partial",B25="")),IF(((B28*B45*B31*B48*B30*B49)/(10.731*(B32+460)))&gt;(5.9*(B29^2)*B36*B35),(5.9*(B29^2)*B36*B35),((B28*B45*B31*B48*B30*B49)/(10.731*(B32+460)))),0)</f>
        <v>1346.7854586052795</v>
      </c>
      <c r="C53" s="820"/>
      <c r="D53" s="846" t="s">
        <v>969</v>
      </c>
      <c r="E53" s="866">
        <f>IF(AND(B44="IFR",OR(B25="Full",B25="Partial",,B25="")),IF(((E28*B45*B31*E48*B30*E49)/(10.731*(E32+460)))&gt;(5.9*(B29^2)*B36*B35),(5.9*(B29^2)*B36*B35),((E28*B45*B31*E48*B30*E49)/(10.731*(E32+460)))),0)</f>
        <v>634.04968282837842</v>
      </c>
    </row>
    <row r="54" spans="1:5" ht="15.5">
      <c r="A54" s="841" t="s">
        <v>970</v>
      </c>
      <c r="B54" s="858">
        <f>IF(AND(B44="IFR",OR(B25="Full",B25="Partial",B25="")),(((B28*B45)/(10.731*(B32+460)))*B30*B42),0)</f>
        <v>3961.4569791313306</v>
      </c>
      <c r="C54" s="820"/>
      <c r="D54" s="841" t="s">
        <v>970</v>
      </c>
      <c r="E54" s="860">
        <f>IF(AND(B44="IFR",OR(B25="Full",B25="Partial",B25="")),(((E28*B45)/(10.731*(E32+460)))*B30*B42),0)</f>
        <v>3723.5010678629496</v>
      </c>
    </row>
    <row r="55" spans="1:5">
      <c r="A55" s="841" t="s">
        <v>971</v>
      </c>
      <c r="B55" s="858">
        <f>(B53+B54)</f>
        <v>5308.2424377366096</v>
      </c>
      <c r="C55" s="820"/>
      <c r="D55" s="841" t="s">
        <v>971</v>
      </c>
      <c r="E55" s="860">
        <f>(E53+E54)</f>
        <v>4357.5507506913282</v>
      </c>
    </row>
    <row r="56" spans="1:5" ht="13" thickBot="1">
      <c r="A56" s="851" t="s">
        <v>972</v>
      </c>
      <c r="B56" s="861">
        <f>IF(B25="Drain dry",0,(IF(B45=0,0,((B54)/((B45*7.48)/B38)))))</f>
        <v>107.98688431358008</v>
      </c>
      <c r="C56" s="820"/>
      <c r="D56" s="851" t="s">
        <v>973</v>
      </c>
      <c r="E56" s="862">
        <f>IF(B25="Drain dry",0,(E55*B39/2000))</f>
        <v>2.1787753753456642</v>
      </c>
    </row>
    <row r="57" spans="1:5" hidden="1">
      <c r="C57" s="820"/>
    </row>
    <row r="58" spans="1:5">
      <c r="C58" s="820"/>
    </row>
    <row r="59" spans="1:5" ht="13.5" thickBot="1">
      <c r="A59" s="864" t="s">
        <v>974</v>
      </c>
      <c r="D59" s="864" t="s">
        <v>974</v>
      </c>
      <c r="E59" s="863"/>
    </row>
    <row r="60" spans="1:5" ht="15.5">
      <c r="A60" s="846" t="s">
        <v>975</v>
      </c>
      <c r="B60" s="859">
        <f>IF(AND(B44="IFR",B25="Drain dry"), (IF(((0.0063*B35*3.14*B29^2)/4)&gt;(((B28*B45)/(10.731*(B32+460)))*B30*0.6),(((B28*B45)/(10.731*(B32+460)))*B30*0.6),((0.0063*B35*3.14*B29^2)/4))),0)</f>
        <v>0</v>
      </c>
      <c r="D60" s="846" t="s">
        <v>975</v>
      </c>
      <c r="E60" s="866">
        <f>IF(AND(B44="IFR",B25="Drain dry"),IF(((0.0063*B35*3.14*B29^2)/4)&gt;(((E28*B45)/(10.731*(E32+460)))*B30*0.6),(((E28*B45)/(10.731*(E32+460)))*B30*0.6),((0.0063*B35*3.14*B29^2)/4)),0)</f>
        <v>0</v>
      </c>
    </row>
    <row r="61" spans="1:5" ht="15.5">
      <c r="A61" s="841" t="s">
        <v>976</v>
      </c>
      <c r="B61" s="858">
        <f>IF(AND(B44="IFR",B25="Drain dry"),((B28*((B36+B46)*3.14*(B29^2)/4))/(10.731*(B32+460)))*B30*0.15,0)</f>
        <v>0</v>
      </c>
      <c r="D61" s="841" t="s">
        <v>976</v>
      </c>
      <c r="E61" s="860">
        <f>IF(AND(B44="IFR",B25="Drain dry"),((E28*((B36+B46)*3.14*(B29^2)/4))/(10.731*(E32+460)))*B30*0.15,0)</f>
        <v>0</v>
      </c>
    </row>
    <row r="62" spans="1:5">
      <c r="A62" s="841" t="s">
        <v>977</v>
      </c>
      <c r="B62" s="858">
        <f>(B60+B61)</f>
        <v>0</v>
      </c>
      <c r="D62" s="841" t="s">
        <v>977</v>
      </c>
      <c r="E62" s="860">
        <f>(E60+E61)</f>
        <v>0</v>
      </c>
    </row>
    <row r="63" spans="1:5" ht="13" thickBot="1">
      <c r="A63" s="851" t="s">
        <v>972</v>
      </c>
      <c r="B63" s="861">
        <f>IF(B25="Drain dry",((B61)/((B45*7.48)/B38)),0)</f>
        <v>0</v>
      </c>
      <c r="D63" s="851" t="s">
        <v>973</v>
      </c>
      <c r="E63" s="867">
        <f>IF(B25="Drain dry",(E62*B39/2000),0)</f>
        <v>0</v>
      </c>
    </row>
    <row r="65" spans="1:5" hidden="1">
      <c r="B65" s="865"/>
      <c r="C65" s="820"/>
      <c r="E65" s="863"/>
    </row>
    <row r="66" spans="1:5" ht="13.5" thickBot="1">
      <c r="A66" s="864" t="s">
        <v>978</v>
      </c>
      <c r="B66" s="865"/>
      <c r="C66" s="820"/>
      <c r="D66" s="864" t="s">
        <v>978</v>
      </c>
      <c r="E66" s="863"/>
    </row>
    <row r="67" spans="1:5">
      <c r="A67" s="846" t="s">
        <v>979</v>
      </c>
      <c r="B67" s="859">
        <f>IF(AND(B44="EFR",OR(B25="Full",B25="Partial",B25="")),(1-(((B72-B71)/(B71+B73)))),0)</f>
        <v>0</v>
      </c>
      <c r="C67" s="820"/>
      <c r="D67" s="846" t="s">
        <v>979</v>
      </c>
      <c r="E67" s="866">
        <f>IF(AND(B44="EFR",OR(B25="Full",B25="Partial",B25="")),(1-(((E72-E71)/(E71+E73)))),0)</f>
        <v>0</v>
      </c>
    </row>
    <row r="68" spans="1:5">
      <c r="A68" s="841" t="s">
        <v>980</v>
      </c>
      <c r="B68" s="858">
        <f>IF(AND(B44="EFR",OR(B25="Full",B25="Partial",B25="")),((B28/14.7)/((1+((1-(B28/14.7))^0.5))^2)),0)</f>
        <v>0</v>
      </c>
      <c r="C68" s="820"/>
      <c r="D68" s="841" t="s">
        <v>980</v>
      </c>
      <c r="E68" s="860">
        <f>IF(AND(B44="EFR",OR(B25="Full",B25="Partial",B25="")),((E28/14.7)/((1+((1-(E28/14.7))^0.5))^2)),0)</f>
        <v>0</v>
      </c>
    </row>
    <row r="69" spans="1:5" ht="15.5">
      <c r="A69" s="841" t="s">
        <v>981</v>
      </c>
      <c r="B69" s="858">
        <f>IF(AND(B44="EFR",OR(B25="Full",B25="Partial",B25="")),IF((0.57*B31*B29*B68*B30)&gt;(5.9*(B29^2)*B36*B35),(5.9*(B29^2)*B36*B35),(0.57*B31*B29*B68*B30)),0)</f>
        <v>0</v>
      </c>
      <c r="C69" s="820"/>
      <c r="D69" s="841" t="s">
        <v>981</v>
      </c>
      <c r="E69" s="860">
        <f>IF(AND(B44="EFR",OR(B25="Full",B25="Partial",B25="")),IF((0.57*B31*B29*E68*B30)&gt;(5.9*(B29^2)*B36*B35),(5.9*(B29^2)*B36*B35),(0.57*B31*B29*E68*B30)),0)</f>
        <v>0</v>
      </c>
    </row>
    <row r="70" spans="1:5" ht="15.5">
      <c r="A70" s="841" t="s">
        <v>982</v>
      </c>
      <c r="B70" s="858">
        <f>IF(AND(B44="EFR",OR(B25="Full",B25="Partial",B25="")),IF((B67*B42)&gt;=0.15,(((B28*B45)/(10.731*(B32+460)))*B30*B67*B42),(((B28*B45)/(10.731*(B32+460)))*B30*0.15)),0)</f>
        <v>0</v>
      </c>
      <c r="D70" s="841" t="s">
        <v>982</v>
      </c>
      <c r="E70" s="860">
        <f>IF(AND(B44="EFR",OR(B25="Full",B25="Partial",B25="")),IF((E67*B42)&gt;=0.15,(((E28*B45)/(10.731*(E32+460)))*B30*E67*B42),(((E28*B45)/(10.731*(E32+460)))*B30*0.15)),0)</f>
        <v>0</v>
      </c>
    </row>
    <row r="71" spans="1:5">
      <c r="A71" s="841" t="s">
        <v>983</v>
      </c>
      <c r="B71" s="858">
        <f>IF(AND(B44="EFR",OR(B25="Full",B25="Partial",B25="")),(B31*B48*B28*B45*B30*B49/(10.731*(B32+460))),0)</f>
        <v>0</v>
      </c>
      <c r="D71" s="841" t="s">
        <v>983</v>
      </c>
      <c r="E71" s="860">
        <f>IF(AND(B44="EFR",OR(B25="Full",B25="Partial",B25="")),(B31*E48*E28*B45*B30*E49/(10.731*(E32+460))),0)</f>
        <v>0</v>
      </c>
    </row>
    <row r="72" spans="1:5">
      <c r="A72" s="841" t="s">
        <v>984</v>
      </c>
      <c r="B72" s="858">
        <f>IF(AND(B44="EFR",OR(B25="Full",B25="Partial",B25="")),(0.57*B31*B29*B68*B30),0)</f>
        <v>0</v>
      </c>
      <c r="D72" s="841" t="s">
        <v>984</v>
      </c>
      <c r="E72" s="860">
        <f>IF(AND(B44="EFR",OR(B25="Full",B25="Partial",B25="")),(0.57*B31*B29*E68*B30),0)</f>
        <v>0</v>
      </c>
    </row>
    <row r="73" spans="1:5">
      <c r="A73" s="841" t="s">
        <v>985</v>
      </c>
      <c r="B73" s="858">
        <f>IF(AND(B44="EFR",OR(B25="Full",B25="Partial",B25="")),(((B28*B45)/(10.731*(B32+460)))*B30*B42),0)</f>
        <v>0</v>
      </c>
      <c r="D73" s="841" t="s">
        <v>985</v>
      </c>
      <c r="E73" s="860">
        <f>IF(AND(B44="EFR",OR(B25="Full",B25="Partial",B25="")),(((E28*B45)/(10.731*(E32+460)))*B30*B42),0)</f>
        <v>0</v>
      </c>
    </row>
    <row r="74" spans="1:5">
      <c r="A74" s="841" t="s">
        <v>986</v>
      </c>
      <c r="B74" s="858">
        <f>(B69+B70)</f>
        <v>0</v>
      </c>
      <c r="D74" s="841" t="s">
        <v>986</v>
      </c>
      <c r="E74" s="860">
        <f>(E69+E70)</f>
        <v>0</v>
      </c>
    </row>
    <row r="75" spans="1:5" ht="13" thickBot="1">
      <c r="A75" s="851" t="s">
        <v>987</v>
      </c>
      <c r="B75" s="861">
        <f>IF(B25="Drain dry",0,(IF(B45=0,0,((B70)/((B45*7.48)/B38)))))</f>
        <v>0</v>
      </c>
      <c r="D75" s="851" t="s">
        <v>973</v>
      </c>
      <c r="E75" s="862">
        <f>IF(B25="Drain dry",0,(E74*B39/2000))</f>
        <v>0</v>
      </c>
    </row>
    <row r="76" spans="1:5" hidden="1"/>
    <row r="77" spans="1:5">
      <c r="E77" s="863"/>
    </row>
    <row r="78" spans="1:5" ht="13.5" thickBot="1">
      <c r="A78" s="864" t="s">
        <v>988</v>
      </c>
      <c r="D78" s="864" t="s">
        <v>988</v>
      </c>
      <c r="E78" s="863"/>
    </row>
    <row r="79" spans="1:5" ht="15.5">
      <c r="A79" s="846" t="s">
        <v>975</v>
      </c>
      <c r="B79" s="859">
        <f>IF(AND(B44="EFR",B25="Drain dry"),IF(((0.0063*B35*3.14*B29^2)/4)&gt;(((B28*B45)/(10.731*(B32+460)))*B30*0.6),(((B28*B45)/(10.731*(B32+460)))*B30*0.6),((0.0063*B35*3.14*B29^2)/4)),0)</f>
        <v>0</v>
      </c>
      <c r="D79" s="846" t="s">
        <v>975</v>
      </c>
      <c r="E79" s="868">
        <f>IF(AND(B44="EFR",B25="Drain dry"),IF(((0.0063*B35*3.14*B29^2)/4)&gt;(((E28*B45)/(10.731*(E32+460)))*B30*0.6),(((E28*B45)/(10.731*(E32+460)))*B30*0.6),((0.0063*B35*3.14*B29^2)/4)),0)</f>
        <v>0</v>
      </c>
    </row>
    <row r="80" spans="1:5" ht="15.5">
      <c r="A80" s="841" t="s">
        <v>976</v>
      </c>
      <c r="B80" s="858">
        <f>IF(AND(B44="EFR",B25="Drain dry"),((B28*((B36+B46)*3.14*(B29^2)/4))/(10.731*(B32+460)))*B30*0.15,0)</f>
        <v>0</v>
      </c>
      <c r="D80" s="841" t="s">
        <v>976</v>
      </c>
      <c r="E80" s="869">
        <f>IF(AND(B44="EFR",B25="Drain dry"),((E28*((B36+B46)*3.14*(B29^2)/4))/(10.731*(E32+460)))*B30*0.15,0)</f>
        <v>0</v>
      </c>
    </row>
    <row r="81" spans="1:5">
      <c r="A81" s="841" t="s">
        <v>977</v>
      </c>
      <c r="B81" s="858">
        <f>(B79+B80)</f>
        <v>0</v>
      </c>
      <c r="D81" s="841" t="s">
        <v>977</v>
      </c>
      <c r="E81" s="869">
        <f>(E79+E80)</f>
        <v>0</v>
      </c>
    </row>
    <row r="82" spans="1:5" ht="13" thickBot="1">
      <c r="A82" s="851" t="s">
        <v>972</v>
      </c>
      <c r="B82" s="861">
        <f>IF(B25="Drain dry",((B80)/((B45*7.48)/B38)),0)</f>
        <v>0</v>
      </c>
      <c r="D82" s="851" t="s">
        <v>973</v>
      </c>
      <c r="E82" s="870">
        <f>IF(B25="Drain dry",(E81*B39/2000),0)</f>
        <v>0</v>
      </c>
    </row>
    <row r="83" spans="1:5" ht="13" thickBot="1"/>
    <row r="84" spans="1:5">
      <c r="A84" s="846" t="s">
        <v>905</v>
      </c>
      <c r="B84" s="1726" t="e">
        <f>SUM(#REF!)</f>
        <v>#REF!</v>
      </c>
    </row>
    <row r="85" spans="1:5" ht="15.5">
      <c r="A85" s="841" t="s">
        <v>989</v>
      </c>
      <c r="B85" s="1725">
        <f>'Components - RESIDUE GAS'!H13</f>
        <v>0</v>
      </c>
    </row>
    <row r="86" spans="1:5" ht="13" thickBot="1">
      <c r="A86" s="851" t="s">
        <v>906</v>
      </c>
      <c r="B86" s="871" t="e">
        <f>#REF!+#REF!+#REF!+#REF!+#REF!</f>
        <v>#REF!</v>
      </c>
      <c r="E86" s="872"/>
    </row>
    <row r="87" spans="1:5" ht="15.75" customHeight="1" thickBot="1">
      <c r="E87" s="872"/>
    </row>
    <row r="88" spans="1:5" ht="13" thickBot="1">
      <c r="A88" s="5184" t="s">
        <v>990</v>
      </c>
      <c r="B88" s="5185"/>
      <c r="E88" s="872"/>
    </row>
    <row r="89" spans="1:5" ht="65" customHeight="1">
      <c r="A89" s="873" t="s">
        <v>991</v>
      </c>
      <c r="B89" s="874" t="s">
        <v>992</v>
      </c>
      <c r="E89" s="872"/>
    </row>
    <row r="90" spans="1:5">
      <c r="A90" s="841" t="s">
        <v>993</v>
      </c>
      <c r="B90" s="875">
        <v>0</v>
      </c>
      <c r="E90" s="872"/>
    </row>
    <row r="91" spans="1:5" ht="16" thickBot="1">
      <c r="A91" s="851" t="s">
        <v>994</v>
      </c>
      <c r="B91" s="876">
        <v>0</v>
      </c>
      <c r="E91" s="872"/>
    </row>
    <row r="92" spans="1:5" ht="13" thickBot="1">
      <c r="E92" s="872"/>
    </row>
    <row r="93" spans="1:5">
      <c r="A93" s="877" t="s">
        <v>995</v>
      </c>
      <c r="E93" s="872"/>
    </row>
    <row r="94" spans="1:5" ht="13" thickBot="1">
      <c r="A94" s="878" t="s">
        <v>668</v>
      </c>
      <c r="E94" s="872"/>
    </row>
    <row r="95" spans="1:5" ht="13.5" thickBot="1">
      <c r="A95" s="879"/>
      <c r="E95" s="872"/>
    </row>
    <row r="96" spans="1:5">
      <c r="A96" s="880" t="s">
        <v>996</v>
      </c>
      <c r="E96" s="872"/>
    </row>
    <row r="97" spans="1:5" ht="13" thickBot="1">
      <c r="A97" s="881" t="s">
        <v>997</v>
      </c>
      <c r="E97" s="872"/>
    </row>
    <row r="98" spans="1:5">
      <c r="A98" s="5150" t="s">
        <v>998</v>
      </c>
      <c r="B98" s="5151"/>
      <c r="C98" s="5152"/>
    </row>
    <row r="99" spans="1:5" hidden="1">
      <c r="A99" s="5153"/>
      <c r="B99" s="5154"/>
      <c r="C99" s="5155"/>
    </row>
    <row r="100" spans="1:5">
      <c r="A100" s="5153"/>
      <c r="B100" s="5154"/>
      <c r="C100" s="5155"/>
    </row>
    <row r="101" spans="1:5" ht="12.75" customHeight="1">
      <c r="A101" s="5156" t="s">
        <v>999</v>
      </c>
      <c r="B101" s="5159" t="s">
        <v>1000</v>
      </c>
      <c r="C101" s="5160" t="s">
        <v>1001</v>
      </c>
    </row>
    <row r="102" spans="1:5">
      <c r="A102" s="5157"/>
      <c r="B102" s="5159"/>
      <c r="C102" s="5161"/>
    </row>
    <row r="103" spans="1:5">
      <c r="A103" s="5158"/>
      <c r="B103" s="5159"/>
      <c r="C103" s="5161"/>
    </row>
    <row r="104" spans="1:5">
      <c r="A104" s="841" t="s">
        <v>1002</v>
      </c>
      <c r="B104" s="882">
        <f>B56</f>
        <v>107.98688431358008</v>
      </c>
      <c r="C104" s="883">
        <f>E56</f>
        <v>2.1787753753456642</v>
      </c>
    </row>
    <row r="105" spans="1:5">
      <c r="A105" s="841" t="s">
        <v>1003</v>
      </c>
      <c r="B105" s="882">
        <f>B75</f>
        <v>0</v>
      </c>
      <c r="C105" s="883">
        <f>E75</f>
        <v>0</v>
      </c>
    </row>
    <row r="106" spans="1:5">
      <c r="A106" s="841" t="s">
        <v>1004</v>
      </c>
      <c r="B106" s="882">
        <f>IF(B44="IFR", B63,B82)</f>
        <v>0</v>
      </c>
      <c r="C106" s="883">
        <f>IF(B44="IFR",E63,E82)</f>
        <v>0</v>
      </c>
    </row>
    <row r="107" spans="1:5">
      <c r="A107" s="841" t="s">
        <v>1005</v>
      </c>
      <c r="B107" s="882">
        <f>SUM(B104:B106)</f>
        <v>107.98688431358008</v>
      </c>
      <c r="C107" s="883">
        <f>SUM(C104:C106)</f>
        <v>2.1787753753456642</v>
      </c>
    </row>
    <row r="108" spans="1:5">
      <c r="A108" s="841"/>
      <c r="B108" s="884"/>
      <c r="C108" s="885"/>
    </row>
    <row r="109" spans="1:5">
      <c r="A109" s="5153" t="s">
        <v>1006</v>
      </c>
      <c r="B109" s="5154"/>
      <c r="C109" s="5155"/>
    </row>
    <row r="110" spans="1:5">
      <c r="A110" s="5153"/>
      <c r="B110" s="5154"/>
      <c r="C110" s="5155"/>
    </row>
    <row r="111" spans="1:5">
      <c r="A111" s="5156" t="s">
        <v>1007</v>
      </c>
      <c r="B111" s="5159" t="s">
        <v>1000</v>
      </c>
      <c r="C111" s="5160" t="s">
        <v>1001</v>
      </c>
    </row>
    <row r="112" spans="1:5">
      <c r="A112" s="5162"/>
      <c r="B112" s="5159"/>
      <c r="C112" s="5161"/>
    </row>
    <row r="113" spans="1:6">
      <c r="A113" s="5163"/>
      <c r="B113" s="5159"/>
      <c r="C113" s="5161"/>
    </row>
    <row r="114" spans="1:6">
      <c r="A114" s="841" t="s">
        <v>55</v>
      </c>
      <c r="B114" s="886" t="e">
        <f>IF(B84="", (B107*(B90/100)), ((B107*B84/100)*(B90/100)))</f>
        <v>#REF!</v>
      </c>
      <c r="C114" s="883" t="e">
        <f>IF(B84="", (C107*(B90/100)), ((C107*B84/100)*(B90/100)))</f>
        <v>#REF!</v>
      </c>
    </row>
    <row r="115" spans="1:6" ht="15.5">
      <c r="A115" s="841" t="s">
        <v>1008</v>
      </c>
      <c r="B115" s="882">
        <f>IF(B85="",(B107*(0.001/100)*B91/100),((B107*B85/100)*(B91/100)))</f>
        <v>0</v>
      </c>
      <c r="C115" s="883">
        <f>IF(B85="",(C107*(0.001/100)*B91/100),((C107*B85/100)*(B91/100)))</f>
        <v>0</v>
      </c>
    </row>
    <row r="116" spans="1:6">
      <c r="A116" s="841" t="s">
        <v>1009</v>
      </c>
      <c r="B116" s="882" t="e">
        <f>IF(B86="", (B107*0.03*B90/100), ((B107*B86/100)*(B90/100)))</f>
        <v>#REF!</v>
      </c>
      <c r="C116" s="883" t="e">
        <f>IF(B86="", (C107*0.03*B90/100), ((C107*B86/100)*(B90/100)))</f>
        <v>#REF!</v>
      </c>
    </row>
    <row r="117" spans="1:6">
      <c r="A117" s="841"/>
      <c r="B117" s="884"/>
      <c r="C117" s="885"/>
    </row>
    <row r="118" spans="1:6">
      <c r="A118" s="5164" t="s">
        <v>1010</v>
      </c>
      <c r="B118" s="5165"/>
      <c r="C118" s="5166"/>
    </row>
    <row r="119" spans="1:6">
      <c r="A119" s="5167"/>
      <c r="B119" s="5168"/>
      <c r="C119" s="5169"/>
    </row>
    <row r="120" spans="1:6" ht="12.75" customHeight="1">
      <c r="A120" s="5170" t="s">
        <v>1007</v>
      </c>
      <c r="B120" s="5173" t="s">
        <v>1000</v>
      </c>
      <c r="C120" s="5174" t="s">
        <v>1001</v>
      </c>
    </row>
    <row r="121" spans="1:6">
      <c r="A121" s="5171"/>
      <c r="B121" s="5173"/>
      <c r="C121" s="5174"/>
    </row>
    <row r="122" spans="1:6" ht="12.75" customHeight="1">
      <c r="A122" s="5172"/>
      <c r="B122" s="5173"/>
      <c r="C122" s="5174"/>
    </row>
    <row r="123" spans="1:6" ht="13">
      <c r="A123" s="887" t="s">
        <v>55</v>
      </c>
      <c r="B123" s="888" t="e">
        <f>IF(B84="", (B107*((100-B90)/100)), ((B107*B84/100)*((100-B90)/100)))</f>
        <v>#REF!</v>
      </c>
      <c r="C123" s="889" t="e">
        <f>IF(B84="", (C107*((100-B90)/100)), ((C107*B84/100)*((100-B90)/100)))</f>
        <v>#REF!</v>
      </c>
    </row>
    <row r="124" spans="1:6" ht="15">
      <c r="A124" s="887" t="s">
        <v>1011</v>
      </c>
      <c r="B124" s="888">
        <f>IF(B85="", (B107*(0.001/100)*((100-B91)/100)), ((B107*B85/100)*((100-B91)/100)))</f>
        <v>0</v>
      </c>
      <c r="C124" s="889">
        <f>IF(B85="",(C107*(0.001/100)*((100-B91)/100)),((C107*B85/100)*((100-B91)/100)))</f>
        <v>0</v>
      </c>
    </row>
    <row r="125" spans="1:6" ht="13.5" thickBot="1">
      <c r="A125" s="890" t="s">
        <v>693</v>
      </c>
      <c r="B125" s="891" t="e">
        <f>IF(B86="", (B107*0.03*((100-B90)/100)), ((B107*B86/100)*((100-B90)/100)))</f>
        <v>#REF!</v>
      </c>
      <c r="C125" s="892" t="e">
        <f>IF(B86="", (C107*0.03*((100-B90)/100)), ((C107*B86/100)*((100-B90)/100)))</f>
        <v>#REF!</v>
      </c>
    </row>
    <row r="126" spans="1:6" hidden="1"/>
    <row r="127" spans="1:6" hidden="1"/>
    <row r="128" spans="1:6" ht="13.5" customHeight="1">
      <c r="A128" s="893"/>
      <c r="B128" s="894"/>
      <c r="C128" s="895"/>
      <c r="D128" s="893"/>
      <c r="E128" s="895"/>
      <c r="F128" s="895"/>
    </row>
    <row r="129" spans="1:12" ht="13.5" customHeight="1">
      <c r="A129" s="5175" t="s">
        <v>1012</v>
      </c>
      <c r="B129" s="5176"/>
      <c r="C129" s="5176"/>
      <c r="D129" s="5176"/>
      <c r="E129" s="5176"/>
      <c r="F129" s="5177"/>
    </row>
    <row r="130" spans="1:12" ht="13.5" customHeight="1">
      <c r="A130" s="5178"/>
      <c r="B130" s="5179"/>
      <c r="C130" s="5179"/>
      <c r="D130" s="5179"/>
      <c r="E130" s="5179"/>
      <c r="F130" s="5180"/>
    </row>
    <row r="131" spans="1:12" ht="13.5" customHeight="1">
      <c r="A131" s="5178"/>
      <c r="B131" s="5179"/>
      <c r="C131" s="5179"/>
      <c r="D131" s="5179"/>
      <c r="E131" s="5179"/>
      <c r="F131" s="5180"/>
    </row>
    <row r="132" spans="1:12" ht="12.75" customHeight="1">
      <c r="A132" s="5178"/>
      <c r="B132" s="5179"/>
      <c r="C132" s="5179"/>
      <c r="D132" s="5179"/>
      <c r="E132" s="5179"/>
      <c r="F132" s="5180"/>
    </row>
    <row r="133" spans="1:12" ht="12.75" customHeight="1">
      <c r="A133" s="5178"/>
      <c r="B133" s="5179"/>
      <c r="C133" s="5179"/>
      <c r="D133" s="5179"/>
      <c r="E133" s="5179"/>
      <c r="F133" s="5180"/>
    </row>
    <row r="134" spans="1:12" ht="13.5" customHeight="1">
      <c r="A134" s="5181"/>
      <c r="B134" s="5182"/>
      <c r="C134" s="5182"/>
      <c r="D134" s="5182"/>
      <c r="E134" s="5182"/>
      <c r="F134" s="5183"/>
    </row>
    <row r="136" spans="1:12">
      <c r="A136" s="896"/>
      <c r="B136" s="896"/>
      <c r="C136" s="896"/>
      <c r="D136" s="896"/>
      <c r="E136" s="896"/>
      <c r="F136" s="896"/>
      <c r="G136" s="896"/>
      <c r="H136" s="896"/>
      <c r="I136" s="896"/>
      <c r="J136" s="896"/>
      <c r="K136" s="896"/>
      <c r="L136" s="896"/>
    </row>
    <row r="137" spans="1:12" ht="15" thickBot="1">
      <c r="A137" s="897" t="s">
        <v>1013</v>
      </c>
      <c r="B137" s="896"/>
      <c r="C137" s="896"/>
      <c r="D137" s="896"/>
      <c r="E137" s="896"/>
      <c r="F137" s="896"/>
      <c r="G137" s="896"/>
      <c r="H137" s="896"/>
      <c r="I137" s="896"/>
      <c r="J137" s="896"/>
      <c r="K137" s="896"/>
      <c r="L137" s="896"/>
    </row>
    <row r="138" spans="1:12" ht="39.75" customHeight="1" thickTop="1">
      <c r="A138" s="898" t="s">
        <v>70</v>
      </c>
      <c r="B138" s="5148" t="s">
        <v>1014</v>
      </c>
      <c r="C138" s="5149"/>
      <c r="D138" s="896"/>
      <c r="E138" s="896"/>
      <c r="F138" s="896"/>
      <c r="G138" s="896"/>
      <c r="H138" s="896"/>
      <c r="I138" s="896"/>
      <c r="J138" s="896"/>
      <c r="K138" s="896"/>
      <c r="L138" s="896"/>
    </row>
    <row r="139" spans="1:12">
      <c r="A139" s="899" t="s">
        <v>1015</v>
      </c>
      <c r="B139" s="5144">
        <v>2393</v>
      </c>
      <c r="C139" s="5145"/>
      <c r="D139" s="896"/>
      <c r="E139" s="896"/>
      <c r="F139" s="896"/>
      <c r="G139" s="896"/>
      <c r="H139" s="896"/>
      <c r="I139" s="896"/>
      <c r="J139" s="896"/>
      <c r="K139" s="896"/>
      <c r="L139" s="896"/>
    </row>
    <row r="140" spans="1:12">
      <c r="A140" s="899" t="s">
        <v>1016</v>
      </c>
      <c r="B140" s="5144">
        <v>2186</v>
      </c>
      <c r="C140" s="5145"/>
      <c r="D140" s="896"/>
      <c r="E140" s="896"/>
      <c r="F140" s="896"/>
      <c r="G140" s="896"/>
      <c r="H140" s="896"/>
      <c r="I140" s="896"/>
      <c r="J140" s="896"/>
      <c r="K140" s="896"/>
      <c r="L140" s="896"/>
    </row>
    <row r="141" spans="1:12">
      <c r="A141" s="899" t="s">
        <v>73</v>
      </c>
      <c r="B141" s="5144">
        <v>2135</v>
      </c>
      <c r="C141" s="5145"/>
      <c r="D141" s="896"/>
      <c r="E141" s="896"/>
      <c r="F141" s="896"/>
      <c r="G141" s="896"/>
      <c r="H141" s="896"/>
      <c r="I141" s="896"/>
      <c r="J141" s="896"/>
      <c r="K141" s="896"/>
      <c r="L141" s="896"/>
    </row>
    <row r="142" spans="1:12">
      <c r="A142" s="899" t="s">
        <v>1017</v>
      </c>
      <c r="B142" s="5144">
        <v>1898</v>
      </c>
      <c r="C142" s="5145"/>
      <c r="D142" s="896"/>
      <c r="E142" s="896"/>
      <c r="F142" s="896"/>
      <c r="G142" s="896"/>
      <c r="H142" s="896"/>
      <c r="I142" s="896"/>
      <c r="J142" s="896"/>
      <c r="K142" s="896"/>
      <c r="L142" s="896"/>
    </row>
    <row r="143" spans="1:12" ht="13" thickBot="1">
      <c r="A143" s="900" t="s">
        <v>1018</v>
      </c>
      <c r="B143" s="5146">
        <v>2562</v>
      </c>
      <c r="C143" s="5147"/>
      <c r="D143" s="896"/>
      <c r="E143" s="896"/>
      <c r="F143" s="896"/>
      <c r="G143" s="896"/>
      <c r="H143" s="896"/>
      <c r="I143" s="896"/>
      <c r="J143" s="896"/>
      <c r="K143" s="896"/>
      <c r="L143" s="896"/>
    </row>
    <row r="144" spans="1:12" ht="13" thickTop="1">
      <c r="A144" s="896"/>
      <c r="B144" s="896"/>
      <c r="C144" s="896"/>
      <c r="D144" s="896"/>
      <c r="E144" s="896"/>
      <c r="F144" s="896"/>
      <c r="G144" s="896"/>
      <c r="H144" s="896"/>
      <c r="I144" s="896"/>
      <c r="J144" s="896"/>
      <c r="K144" s="896"/>
      <c r="L144" s="896"/>
    </row>
    <row r="145" spans="1:12" ht="13" thickBot="1">
      <c r="A145" s="896"/>
      <c r="B145" s="896"/>
      <c r="C145" s="896"/>
      <c r="D145" s="896"/>
      <c r="E145" s="896"/>
      <c r="F145" s="896"/>
      <c r="G145" s="896"/>
      <c r="H145" s="896"/>
      <c r="I145" s="896"/>
      <c r="J145" s="896"/>
      <c r="K145" s="896"/>
      <c r="L145" s="896"/>
    </row>
    <row r="146" spans="1:12" ht="13.5" customHeight="1" thickTop="1">
      <c r="A146" s="901" t="s">
        <v>1019</v>
      </c>
      <c r="B146" s="5135" t="s">
        <v>1020</v>
      </c>
      <c r="C146" s="5138" t="s">
        <v>1021</v>
      </c>
      <c r="D146" s="5139"/>
      <c r="E146" s="5139"/>
      <c r="F146" s="5139"/>
      <c r="G146" s="5139"/>
      <c r="H146" s="5139"/>
      <c r="I146" s="5140"/>
      <c r="J146" s="896"/>
      <c r="K146" s="896"/>
      <c r="L146" s="896"/>
    </row>
    <row r="147" spans="1:12" ht="25.5" customHeight="1">
      <c r="A147" s="5122" t="s">
        <v>1022</v>
      </c>
      <c r="B147" s="5136"/>
      <c r="C147" s="5141"/>
      <c r="D147" s="5142"/>
      <c r="E147" s="5142"/>
      <c r="F147" s="5142"/>
      <c r="G147" s="5142"/>
      <c r="H147" s="5142"/>
      <c r="I147" s="5143"/>
      <c r="J147" s="896"/>
      <c r="K147" s="896"/>
      <c r="L147" s="896"/>
    </row>
    <row r="148" spans="1:12">
      <c r="A148" s="5123"/>
      <c r="B148" s="5137"/>
      <c r="C148" s="902" t="s">
        <v>1023</v>
      </c>
      <c r="D148" s="902" t="s">
        <v>1024</v>
      </c>
      <c r="E148" s="902" t="s">
        <v>1025</v>
      </c>
      <c r="F148" s="902" t="s">
        <v>1026</v>
      </c>
      <c r="G148" s="902" t="s">
        <v>1027</v>
      </c>
      <c r="H148" s="902" t="s">
        <v>1028</v>
      </c>
      <c r="I148" s="903" t="s">
        <v>1029</v>
      </c>
      <c r="J148" s="896"/>
      <c r="K148" s="896"/>
      <c r="L148" s="896"/>
    </row>
    <row r="149" spans="1:12">
      <c r="A149" s="904" t="s">
        <v>1030</v>
      </c>
      <c r="B149" s="905">
        <v>50</v>
      </c>
      <c r="C149" s="902">
        <v>1.8</v>
      </c>
      <c r="D149" s="902">
        <v>2.2999999999999998</v>
      </c>
      <c r="E149" s="902">
        <v>2.8</v>
      </c>
      <c r="F149" s="902">
        <v>3.4</v>
      </c>
      <c r="G149" s="902">
        <v>4</v>
      </c>
      <c r="H149" s="902">
        <v>4.8</v>
      </c>
      <c r="I149" s="903">
        <v>5.7</v>
      </c>
      <c r="J149" s="896"/>
      <c r="K149" s="896"/>
      <c r="L149" s="896"/>
    </row>
    <row r="150" spans="1:12">
      <c r="A150" s="904" t="s">
        <v>1031</v>
      </c>
      <c r="B150" s="905">
        <v>68</v>
      </c>
      <c r="C150" s="902">
        <v>2.2999999999999998</v>
      </c>
      <c r="D150" s="902">
        <v>2.9</v>
      </c>
      <c r="E150" s="902">
        <v>3.5</v>
      </c>
      <c r="F150" s="902">
        <v>4.3</v>
      </c>
      <c r="G150" s="902">
        <v>5.2</v>
      </c>
      <c r="H150" s="902">
        <v>6.2</v>
      </c>
      <c r="I150" s="903">
        <v>7.4</v>
      </c>
      <c r="J150" s="896"/>
      <c r="K150" s="896"/>
      <c r="L150" s="896"/>
    </row>
    <row r="151" spans="1:12">
      <c r="A151" s="904" t="s">
        <v>1032</v>
      </c>
      <c r="B151" s="905">
        <v>68</v>
      </c>
      <c r="C151" s="902">
        <v>2.5929000000000002</v>
      </c>
      <c r="D151" s="902">
        <v>3.2079</v>
      </c>
      <c r="E151" s="902">
        <v>3.9363000000000001</v>
      </c>
      <c r="F151" s="902">
        <v>4.7930000000000001</v>
      </c>
      <c r="G151" s="902">
        <v>5.7937000000000003</v>
      </c>
      <c r="H151" s="902">
        <v>6.9551999999999996</v>
      </c>
      <c r="I151" s="903">
        <v>8.2951999999999995</v>
      </c>
      <c r="J151" s="896"/>
      <c r="K151" s="896"/>
      <c r="L151" s="896"/>
    </row>
    <row r="152" spans="1:12">
      <c r="A152" s="904" t="s">
        <v>1033</v>
      </c>
      <c r="B152" s="905">
        <v>68</v>
      </c>
      <c r="C152" s="902">
        <v>2.7879999999999998</v>
      </c>
      <c r="D152" s="902">
        <v>3.444</v>
      </c>
      <c r="E152" s="902">
        <v>4.2187999999999999</v>
      </c>
      <c r="F152" s="902">
        <v>5.1284000000000001</v>
      </c>
      <c r="G152" s="902">
        <v>6.1890999999999998</v>
      </c>
      <c r="H152" s="902">
        <v>7.4184000000000001</v>
      </c>
      <c r="I152" s="903">
        <v>8.8344000000000005</v>
      </c>
      <c r="J152" s="896"/>
      <c r="K152" s="896"/>
      <c r="L152" s="896"/>
    </row>
    <row r="153" spans="1:12">
      <c r="A153" s="904" t="s">
        <v>1034</v>
      </c>
      <c r="B153" s="905">
        <v>66</v>
      </c>
      <c r="C153" s="902">
        <v>3.4</v>
      </c>
      <c r="D153" s="902">
        <v>4.2</v>
      </c>
      <c r="E153" s="902">
        <v>5.2</v>
      </c>
      <c r="F153" s="902">
        <v>6.2</v>
      </c>
      <c r="G153" s="902">
        <v>7.4</v>
      </c>
      <c r="H153" s="902">
        <v>8.8000000000000007</v>
      </c>
      <c r="I153" s="903">
        <v>10.5</v>
      </c>
      <c r="J153" s="896"/>
      <c r="K153" s="896"/>
      <c r="L153" s="896"/>
    </row>
    <row r="154" spans="1:12">
      <c r="A154" s="904" t="s">
        <v>1035</v>
      </c>
      <c r="B154" s="905">
        <v>65</v>
      </c>
      <c r="C154" s="902">
        <v>4.0869999999999997</v>
      </c>
      <c r="D154" s="902">
        <v>4.9996999999999998</v>
      </c>
      <c r="E154" s="902">
        <v>6.069</v>
      </c>
      <c r="F154" s="902">
        <v>7.3132000000000001</v>
      </c>
      <c r="G154" s="902">
        <v>8.7518999999999991</v>
      </c>
      <c r="H154" s="902">
        <v>10.4053</v>
      </c>
      <c r="I154" s="903">
        <v>12.2949</v>
      </c>
      <c r="J154" s="896"/>
      <c r="K154" s="896"/>
      <c r="L154" s="896"/>
    </row>
    <row r="155" spans="1:12">
      <c r="A155" s="904" t="s">
        <v>1036</v>
      </c>
      <c r="B155" s="905">
        <v>62</v>
      </c>
      <c r="C155" s="902">
        <v>4.7</v>
      </c>
      <c r="D155" s="902">
        <v>5.7</v>
      </c>
      <c r="E155" s="902">
        <v>6.9</v>
      </c>
      <c r="F155" s="902">
        <v>8.3000000000000007</v>
      </c>
      <c r="G155" s="902">
        <v>9.9</v>
      </c>
      <c r="H155" s="902">
        <v>11.7</v>
      </c>
      <c r="I155" s="903">
        <v>13.8</v>
      </c>
      <c r="J155" s="896"/>
      <c r="K155" s="896"/>
      <c r="L155" s="896"/>
    </row>
    <row r="156" spans="1:12">
      <c r="A156" s="904" t="s">
        <v>1037</v>
      </c>
      <c r="B156" s="905">
        <v>62</v>
      </c>
      <c r="C156" s="902">
        <v>4.9320000000000004</v>
      </c>
      <c r="D156" s="902">
        <v>6.0053999999999998</v>
      </c>
      <c r="E156" s="902">
        <v>7.2572999999999999</v>
      </c>
      <c r="F156" s="902">
        <v>8.7075999999999993</v>
      </c>
      <c r="G156" s="902">
        <v>10.3774</v>
      </c>
      <c r="H156" s="902">
        <v>12.2888</v>
      </c>
      <c r="I156" s="903">
        <v>14.464600000000001</v>
      </c>
      <c r="J156" s="896"/>
      <c r="K156" s="896"/>
      <c r="L156" s="896"/>
    </row>
    <row r="157" spans="1:12">
      <c r="A157" s="904" t="s">
        <v>1038</v>
      </c>
      <c r="B157" s="905">
        <v>60</v>
      </c>
      <c r="C157" s="902">
        <v>5.5801999999999996</v>
      </c>
      <c r="D157" s="902">
        <v>6.774</v>
      </c>
      <c r="E157" s="902">
        <v>8.1621000000000006</v>
      </c>
      <c r="F157" s="902">
        <v>9.7655999999999992</v>
      </c>
      <c r="G157" s="902">
        <v>11.6067</v>
      </c>
      <c r="H157" s="902">
        <v>13.708500000000001</v>
      </c>
      <c r="I157" s="903">
        <v>16.094799999999999</v>
      </c>
      <c r="J157" s="896"/>
      <c r="K157" s="896"/>
      <c r="L157" s="896"/>
    </row>
    <row r="158" spans="1:12" ht="15" customHeight="1">
      <c r="A158" s="904" t="s">
        <v>1039</v>
      </c>
      <c r="B158" s="905">
        <v>80</v>
      </c>
      <c r="C158" s="902">
        <v>0.8</v>
      </c>
      <c r="D158" s="902">
        <v>1</v>
      </c>
      <c r="E158" s="902">
        <v>1.3</v>
      </c>
      <c r="F158" s="902">
        <v>1.6</v>
      </c>
      <c r="G158" s="902">
        <v>1.9</v>
      </c>
      <c r="H158" s="902">
        <v>2.4</v>
      </c>
      <c r="I158" s="903">
        <v>2.7</v>
      </c>
      <c r="J158" s="896"/>
      <c r="K158" s="896"/>
      <c r="L158" s="896"/>
    </row>
    <row r="159" spans="1:12" ht="15" customHeight="1">
      <c r="A159" s="904" t="s">
        <v>1040</v>
      </c>
      <c r="B159" s="905">
        <v>130</v>
      </c>
      <c r="C159" s="902">
        <v>3.0999999999999999E-3</v>
      </c>
      <c r="D159" s="902">
        <v>4.4999999999999997E-3</v>
      </c>
      <c r="E159" s="902">
        <v>6.4999999999999997E-3</v>
      </c>
      <c r="F159" s="902">
        <v>8.9999999999999993E-3</v>
      </c>
      <c r="G159" s="902">
        <v>1.2E-2</v>
      </c>
      <c r="H159" s="902">
        <v>1.6E-2</v>
      </c>
      <c r="I159" s="903">
        <v>2.1999999999999999E-2</v>
      </c>
      <c r="J159" s="896"/>
      <c r="K159" s="896"/>
      <c r="L159" s="896"/>
    </row>
    <row r="160" spans="1:12">
      <c r="A160" s="904" t="s">
        <v>1041</v>
      </c>
      <c r="B160" s="905">
        <v>130</v>
      </c>
      <c r="C160" s="902">
        <v>4.1000000000000003E-3</v>
      </c>
      <c r="D160" s="902">
        <v>6.0000000000000001E-3</v>
      </c>
      <c r="E160" s="902">
        <v>8.5000000000000006E-3</v>
      </c>
      <c r="F160" s="902">
        <v>1.0999999999999999E-2</v>
      </c>
      <c r="G160" s="902">
        <v>1.4999999999999999E-2</v>
      </c>
      <c r="H160" s="902">
        <v>2.1000000000000001E-2</v>
      </c>
      <c r="I160" s="903">
        <v>2.9000000000000001E-2</v>
      </c>
      <c r="J160" s="896"/>
      <c r="K160" s="896"/>
      <c r="L160" s="896"/>
    </row>
    <row r="161" spans="1:12" ht="14.75" customHeight="1" thickBot="1">
      <c r="A161" s="906" t="s">
        <v>1042</v>
      </c>
      <c r="B161" s="907">
        <v>190</v>
      </c>
      <c r="C161" s="908">
        <v>2.0000000000000002E-5</v>
      </c>
      <c r="D161" s="908">
        <v>3.0000000000000001E-5</v>
      </c>
      <c r="E161" s="908">
        <v>4.0000000000000003E-5</v>
      </c>
      <c r="F161" s="908">
        <v>6.0000000000000002E-5</v>
      </c>
      <c r="G161" s="908">
        <v>9.0000000000000006E-5</v>
      </c>
      <c r="H161" s="908">
        <v>1.2999999999999999E-4</v>
      </c>
      <c r="I161" s="909">
        <v>1.9000000000000001E-4</v>
      </c>
      <c r="J161" s="896"/>
      <c r="K161" s="896"/>
      <c r="L161" s="896"/>
    </row>
    <row r="162" spans="1:12" ht="13" thickTop="1">
      <c r="A162" s="896"/>
      <c r="B162" s="896"/>
      <c r="C162" s="896"/>
      <c r="D162" s="896"/>
      <c r="E162" s="896"/>
      <c r="F162" s="896"/>
      <c r="G162" s="896"/>
      <c r="H162" s="896"/>
      <c r="I162" s="896"/>
      <c r="J162" s="896"/>
      <c r="K162" s="896"/>
      <c r="L162" s="896"/>
    </row>
    <row r="163" spans="1:12" ht="15.5" thickBot="1">
      <c r="A163" s="910" t="s">
        <v>1043</v>
      </c>
      <c r="B163" s="910"/>
      <c r="C163" s="910"/>
      <c r="D163" s="910"/>
      <c r="E163" s="910"/>
      <c r="F163" s="896"/>
      <c r="G163" s="896"/>
      <c r="H163" s="896"/>
      <c r="I163" s="896"/>
      <c r="J163" s="896"/>
      <c r="K163" s="896"/>
      <c r="L163" s="896"/>
    </row>
    <row r="164" spans="1:12" ht="15" customHeight="1" thickTop="1">
      <c r="A164" s="5124"/>
      <c r="B164" s="5126"/>
      <c r="C164" s="5128" t="s">
        <v>1044</v>
      </c>
      <c r="D164" s="5129"/>
      <c r="E164" s="896"/>
      <c r="F164" s="896"/>
      <c r="G164" s="896"/>
      <c r="H164" s="896"/>
      <c r="I164" s="896"/>
      <c r="J164" s="896"/>
      <c r="K164" s="896"/>
      <c r="L164" s="896"/>
    </row>
    <row r="165" spans="1:12" ht="15" customHeight="1">
      <c r="A165" s="5125"/>
      <c r="B165" s="5127"/>
      <c r="C165" s="5130" t="s">
        <v>75</v>
      </c>
      <c r="D165" s="5131"/>
      <c r="E165" s="896"/>
      <c r="F165" s="896"/>
      <c r="G165" s="896"/>
      <c r="H165" s="896"/>
      <c r="I165" s="896"/>
      <c r="J165" s="896"/>
      <c r="K165" s="896"/>
      <c r="L165" s="896"/>
    </row>
    <row r="166" spans="1:12" ht="30">
      <c r="A166" s="911" t="s">
        <v>74</v>
      </c>
      <c r="B166" s="912" t="s">
        <v>1045</v>
      </c>
      <c r="C166" s="912" t="s">
        <v>76</v>
      </c>
      <c r="D166" s="913" t="s">
        <v>77</v>
      </c>
      <c r="E166" s="896"/>
      <c r="F166" s="896"/>
      <c r="G166" s="896"/>
      <c r="H166" s="896"/>
      <c r="I166" s="896"/>
      <c r="J166" s="896"/>
      <c r="K166" s="896"/>
      <c r="L166" s="896"/>
    </row>
    <row r="167" spans="1:12" ht="15">
      <c r="A167" s="911" t="s">
        <v>78</v>
      </c>
      <c r="B167" s="912" t="s">
        <v>1046</v>
      </c>
      <c r="C167" s="914">
        <v>0.39</v>
      </c>
      <c r="D167" s="915">
        <v>0.49</v>
      </c>
      <c r="E167" s="896"/>
      <c r="F167" s="896"/>
      <c r="G167" s="896"/>
      <c r="H167" s="896"/>
      <c r="I167" s="896"/>
      <c r="J167" s="896"/>
      <c r="K167" s="896"/>
      <c r="L167" s="896"/>
    </row>
    <row r="168" spans="1:12" ht="15">
      <c r="A168" s="911" t="s">
        <v>78</v>
      </c>
      <c r="B168" s="912" t="s">
        <v>79</v>
      </c>
      <c r="C168" s="914">
        <v>0.6</v>
      </c>
      <c r="D168" s="915">
        <v>0.68</v>
      </c>
      <c r="E168" s="896"/>
      <c r="F168" s="896"/>
      <c r="G168" s="896"/>
      <c r="H168" s="896"/>
      <c r="I168" s="896"/>
      <c r="J168" s="896"/>
      <c r="K168" s="896"/>
      <c r="L168" s="896"/>
    </row>
    <row r="169" spans="1:12" ht="30" customHeight="1">
      <c r="A169" s="911" t="s">
        <v>78</v>
      </c>
      <c r="B169" s="912" t="s">
        <v>1047</v>
      </c>
      <c r="C169" s="914">
        <v>0.1</v>
      </c>
      <c r="D169" s="915">
        <v>0.15</v>
      </c>
      <c r="E169" s="896"/>
      <c r="F169" s="896"/>
      <c r="G169" s="896"/>
      <c r="H169" s="896"/>
      <c r="I169" s="896"/>
      <c r="J169" s="896"/>
      <c r="K169" s="896"/>
      <c r="L169" s="896"/>
    </row>
    <row r="170" spans="1:12" ht="15.75" customHeight="1">
      <c r="A170" s="911" t="s">
        <v>1048</v>
      </c>
      <c r="B170" s="912"/>
      <c r="C170" s="914">
        <v>0.35</v>
      </c>
      <c r="D170" s="915">
        <v>0.49</v>
      </c>
      <c r="E170" s="896"/>
      <c r="F170" s="896"/>
      <c r="G170" s="896"/>
      <c r="H170" s="896"/>
      <c r="I170" s="896"/>
      <c r="J170" s="896"/>
      <c r="K170" s="896"/>
      <c r="L170" s="896"/>
    </row>
    <row r="171" spans="1:12" ht="17.25" customHeight="1">
      <c r="A171" s="911" t="s">
        <v>80</v>
      </c>
      <c r="B171" s="912"/>
      <c r="C171" s="914">
        <v>0.97</v>
      </c>
      <c r="D171" s="915">
        <v>0.97</v>
      </c>
      <c r="E171" s="896"/>
      <c r="F171" s="896"/>
      <c r="G171" s="896"/>
      <c r="H171" s="896"/>
      <c r="I171" s="896"/>
      <c r="J171" s="896"/>
      <c r="K171" s="896"/>
      <c r="L171" s="896"/>
    </row>
    <row r="172" spans="1:12" ht="14.75" customHeight="1">
      <c r="A172" s="911" t="s">
        <v>1049</v>
      </c>
      <c r="B172" s="912"/>
      <c r="C172" s="914">
        <v>0.57999999999999996</v>
      </c>
      <c r="D172" s="915">
        <v>0.67</v>
      </c>
      <c r="E172" s="896"/>
      <c r="F172" s="896"/>
      <c r="G172" s="896"/>
      <c r="H172" s="896"/>
      <c r="I172" s="896"/>
      <c r="J172" s="896"/>
      <c r="K172" s="896"/>
      <c r="L172" s="896"/>
    </row>
    <row r="173" spans="1:12" ht="15">
      <c r="A173" s="911" t="s">
        <v>1050</v>
      </c>
      <c r="B173" s="912" t="s">
        <v>81</v>
      </c>
      <c r="C173" s="914">
        <v>0.54</v>
      </c>
      <c r="D173" s="915">
        <v>0.63</v>
      </c>
      <c r="E173" s="896"/>
      <c r="F173" s="896"/>
      <c r="G173" s="896"/>
      <c r="H173" s="896"/>
      <c r="I173" s="896"/>
      <c r="J173" s="896"/>
      <c r="K173" s="896"/>
      <c r="L173" s="896"/>
    </row>
    <row r="174" spans="1:12" ht="15">
      <c r="A174" s="911" t="s">
        <v>1050</v>
      </c>
      <c r="B174" s="912" t="s">
        <v>82</v>
      </c>
      <c r="C174" s="914">
        <v>0.68</v>
      </c>
      <c r="D174" s="915">
        <v>0.74</v>
      </c>
      <c r="E174" s="896"/>
      <c r="F174" s="896"/>
      <c r="G174" s="896"/>
      <c r="H174" s="896"/>
      <c r="I174" s="896"/>
      <c r="J174" s="896"/>
      <c r="K174" s="896"/>
      <c r="L174" s="896"/>
    </row>
    <row r="175" spans="1:12" ht="15">
      <c r="A175" s="911" t="s">
        <v>83</v>
      </c>
      <c r="B175" s="912" t="s">
        <v>84</v>
      </c>
      <c r="C175" s="914">
        <v>0.89</v>
      </c>
      <c r="D175" s="915">
        <v>0.91</v>
      </c>
      <c r="E175" s="896"/>
      <c r="F175" s="896"/>
      <c r="G175" s="896"/>
      <c r="H175" s="896"/>
      <c r="I175" s="896"/>
      <c r="J175" s="896"/>
      <c r="K175" s="896"/>
      <c r="L175" s="896"/>
    </row>
    <row r="176" spans="1:12" ht="15">
      <c r="A176" s="911" t="s">
        <v>85</v>
      </c>
      <c r="B176" s="912" t="s">
        <v>86</v>
      </c>
      <c r="C176" s="914">
        <v>0.89</v>
      </c>
      <c r="D176" s="915">
        <v>0.91</v>
      </c>
      <c r="E176" s="896"/>
      <c r="F176" s="896"/>
      <c r="G176" s="896"/>
      <c r="H176" s="896"/>
      <c r="I176" s="896"/>
      <c r="J176" s="896"/>
      <c r="K176" s="896"/>
      <c r="L176" s="896"/>
    </row>
    <row r="177" spans="1:12" ht="30" customHeight="1">
      <c r="A177" s="911" t="s">
        <v>1051</v>
      </c>
      <c r="B177" s="912" t="s">
        <v>1052</v>
      </c>
      <c r="C177" s="914">
        <v>0.38</v>
      </c>
      <c r="D177" s="915">
        <v>0.5</v>
      </c>
      <c r="E177" s="896"/>
      <c r="F177" s="896"/>
      <c r="G177" s="896"/>
      <c r="H177" s="896"/>
      <c r="I177" s="896"/>
      <c r="J177" s="896"/>
      <c r="K177" s="896"/>
      <c r="L177" s="896"/>
    </row>
    <row r="178" spans="1:12" ht="30" customHeight="1">
      <c r="A178" s="911" t="s">
        <v>87</v>
      </c>
      <c r="B178" s="912"/>
      <c r="C178" s="914">
        <v>0.43</v>
      </c>
      <c r="D178" s="915">
        <v>0.55000000000000004</v>
      </c>
      <c r="E178" s="896"/>
      <c r="F178" s="896"/>
      <c r="G178" s="896"/>
      <c r="H178" s="896"/>
      <c r="I178" s="896"/>
      <c r="J178" s="896"/>
      <c r="K178" s="896"/>
      <c r="L178" s="896"/>
    </row>
    <row r="179" spans="1:12" ht="15.5" thickBot="1">
      <c r="A179" s="916" t="s">
        <v>1053</v>
      </c>
      <c r="B179" s="917" t="s">
        <v>604</v>
      </c>
      <c r="C179" s="918">
        <v>0.17</v>
      </c>
      <c r="D179" s="919">
        <v>0.34</v>
      </c>
      <c r="E179" s="896"/>
      <c r="F179" s="896"/>
      <c r="G179" s="896"/>
      <c r="H179" s="896"/>
      <c r="I179" s="896"/>
      <c r="J179" s="896"/>
      <c r="K179" s="896"/>
      <c r="L179" s="896"/>
    </row>
    <row r="180" spans="1:12" ht="15.5" thickTop="1">
      <c r="A180" s="920"/>
      <c r="B180" s="920"/>
      <c r="C180" s="921"/>
      <c r="D180" s="921"/>
      <c r="E180" s="896"/>
      <c r="F180" s="896"/>
      <c r="G180" s="896"/>
      <c r="H180" s="896"/>
      <c r="I180" s="896"/>
      <c r="J180" s="896"/>
      <c r="K180" s="896"/>
      <c r="L180" s="896"/>
    </row>
    <row r="181" spans="1:12" ht="15">
      <c r="A181" s="920"/>
      <c r="B181" s="920"/>
      <c r="C181" s="921"/>
      <c r="D181" s="921"/>
      <c r="E181" s="896"/>
      <c r="F181" s="896"/>
      <c r="G181" s="896"/>
      <c r="H181" s="896"/>
      <c r="I181" s="896"/>
      <c r="J181" s="896"/>
      <c r="K181" s="896"/>
      <c r="L181" s="896"/>
    </row>
    <row r="182" spans="1:12">
      <c r="A182" s="896"/>
      <c r="B182" s="896"/>
      <c r="C182" s="896"/>
      <c r="D182" s="896"/>
      <c r="E182" s="896"/>
      <c r="F182" s="896"/>
      <c r="G182" s="896"/>
      <c r="H182" s="896"/>
      <c r="I182" s="896"/>
      <c r="J182" s="896"/>
      <c r="K182" s="896"/>
      <c r="L182" s="896"/>
    </row>
    <row r="183" spans="1:12">
      <c r="A183" s="896"/>
      <c r="B183" s="896"/>
      <c r="C183" s="896"/>
      <c r="D183" s="896"/>
      <c r="E183" s="896"/>
      <c r="F183" s="896"/>
      <c r="G183" s="896"/>
      <c r="H183" s="896"/>
      <c r="I183" s="896"/>
      <c r="J183" s="896"/>
      <c r="K183" s="896"/>
      <c r="L183" s="896"/>
    </row>
    <row r="184" spans="1:12" ht="13" thickBot="1">
      <c r="A184" s="897" t="s">
        <v>1054</v>
      </c>
      <c r="B184" s="896"/>
      <c r="C184" s="896"/>
      <c r="D184" s="896"/>
      <c r="E184" s="896"/>
      <c r="F184" s="896"/>
      <c r="G184" s="896"/>
      <c r="H184" s="896"/>
      <c r="I184" s="896"/>
      <c r="J184" s="896"/>
      <c r="K184" s="896"/>
      <c r="L184" s="896"/>
    </row>
    <row r="185" spans="1:12" ht="16" thickTop="1">
      <c r="A185" s="922"/>
      <c r="B185" s="923" t="s">
        <v>1055</v>
      </c>
      <c r="C185" s="923" t="s">
        <v>1056</v>
      </c>
      <c r="D185" s="923" t="s">
        <v>1057</v>
      </c>
      <c r="E185" s="924" t="s">
        <v>1058</v>
      </c>
      <c r="F185" s="5132" t="s">
        <v>1059</v>
      </c>
      <c r="G185" s="5133"/>
      <c r="H185" s="5133"/>
      <c r="I185" s="5133"/>
      <c r="J185" s="5133"/>
      <c r="K185" s="5134"/>
      <c r="L185" s="896"/>
    </row>
    <row r="186" spans="1:12">
      <c r="A186" s="925" t="s">
        <v>1060</v>
      </c>
      <c r="B186" s="926" t="s">
        <v>1061</v>
      </c>
      <c r="C186" s="927" t="s">
        <v>1062</v>
      </c>
      <c r="D186" s="928" t="s">
        <v>1063</v>
      </c>
      <c r="E186" s="926" t="s">
        <v>1064</v>
      </c>
      <c r="F186" s="926">
        <v>40</v>
      </c>
      <c r="G186" s="926">
        <v>50</v>
      </c>
      <c r="H186" s="926">
        <v>60</v>
      </c>
      <c r="I186" s="926">
        <v>70</v>
      </c>
      <c r="J186" s="926">
        <v>80</v>
      </c>
      <c r="K186" s="929">
        <v>90</v>
      </c>
      <c r="L186" s="896"/>
    </row>
    <row r="187" spans="1:12">
      <c r="A187" s="925" t="s">
        <v>1065</v>
      </c>
      <c r="B187" s="926">
        <v>5.6</v>
      </c>
      <c r="C187" s="926">
        <v>62</v>
      </c>
      <c r="D187" s="926">
        <v>11.644</v>
      </c>
      <c r="E187" s="926">
        <v>5043.6000000000004</v>
      </c>
      <c r="F187" s="926">
        <v>4.7</v>
      </c>
      <c r="G187" s="926">
        <v>5.7</v>
      </c>
      <c r="H187" s="926">
        <v>6.9</v>
      </c>
      <c r="I187" s="926">
        <v>8.3000000000000007</v>
      </c>
      <c r="J187" s="926">
        <v>9.9</v>
      </c>
      <c r="K187" s="929">
        <v>11.7</v>
      </c>
      <c r="L187" s="896"/>
    </row>
    <row r="188" spans="1:12">
      <c r="A188" s="925" t="s">
        <v>1066</v>
      </c>
      <c r="B188" s="926">
        <v>5.6</v>
      </c>
      <c r="C188" s="926">
        <v>66</v>
      </c>
      <c r="D188" s="926">
        <v>11.724</v>
      </c>
      <c r="E188" s="926">
        <v>5237.3</v>
      </c>
      <c r="F188" s="926">
        <v>3.4</v>
      </c>
      <c r="G188" s="926">
        <v>4.2</v>
      </c>
      <c r="H188" s="926">
        <v>5.2</v>
      </c>
      <c r="I188" s="926">
        <v>6.2</v>
      </c>
      <c r="J188" s="926">
        <v>7.4</v>
      </c>
      <c r="K188" s="929">
        <v>8.8000000000000007</v>
      </c>
      <c r="L188" s="896"/>
    </row>
    <row r="189" spans="1:12" ht="15" customHeight="1">
      <c r="A189" s="925" t="s">
        <v>1067</v>
      </c>
      <c r="B189" s="926">
        <v>5.6</v>
      </c>
      <c r="C189" s="926">
        <v>68</v>
      </c>
      <c r="D189" s="926">
        <v>11.833</v>
      </c>
      <c r="E189" s="926">
        <v>5500.6</v>
      </c>
      <c r="F189" s="926">
        <v>2.2999999999999998</v>
      </c>
      <c r="G189" s="926">
        <v>2.9</v>
      </c>
      <c r="H189" s="926">
        <v>3.5</v>
      </c>
      <c r="I189" s="926">
        <v>4.3</v>
      </c>
      <c r="J189" s="926">
        <v>5.2</v>
      </c>
      <c r="K189" s="929">
        <v>6.2</v>
      </c>
      <c r="L189" s="896"/>
    </row>
    <row r="190" spans="1:12">
      <c r="A190" s="925" t="s">
        <v>1068</v>
      </c>
      <c r="B190" s="926">
        <v>7.1</v>
      </c>
      <c r="C190" s="926">
        <v>50</v>
      </c>
      <c r="D190" s="926">
        <v>11.263</v>
      </c>
      <c r="E190" s="926">
        <v>5303.9</v>
      </c>
      <c r="F190" s="926">
        <v>1.9</v>
      </c>
      <c r="G190" s="926">
        <v>2.4</v>
      </c>
      <c r="H190" s="926">
        <v>2.9</v>
      </c>
      <c r="I190" s="926">
        <v>3.5</v>
      </c>
      <c r="J190" s="926">
        <v>4.2</v>
      </c>
      <c r="K190" s="929">
        <v>5</v>
      </c>
      <c r="L190" s="896"/>
    </row>
    <row r="191" spans="1:12">
      <c r="A191" s="925" t="s">
        <v>1069</v>
      </c>
      <c r="B191" s="926">
        <v>6.4</v>
      </c>
      <c r="C191" s="926">
        <v>80</v>
      </c>
      <c r="D191" s="926">
        <v>11.368</v>
      </c>
      <c r="E191" s="926">
        <v>5784.3</v>
      </c>
      <c r="F191" s="926">
        <v>0.8</v>
      </c>
      <c r="G191" s="926">
        <v>1</v>
      </c>
      <c r="H191" s="926">
        <v>1.3</v>
      </c>
      <c r="I191" s="926">
        <v>1.6</v>
      </c>
      <c r="J191" s="926">
        <v>1.9</v>
      </c>
      <c r="K191" s="929">
        <v>2.4</v>
      </c>
      <c r="L191" s="896"/>
    </row>
    <row r="192" spans="1:12">
      <c r="A192" s="925" t="s">
        <v>1070</v>
      </c>
      <c r="B192" s="926">
        <v>7</v>
      </c>
      <c r="C192" s="926">
        <v>130</v>
      </c>
      <c r="D192" s="926">
        <v>12.39</v>
      </c>
      <c r="E192" s="926">
        <v>8933</v>
      </c>
      <c r="F192" s="926">
        <v>4.0000000000000001E-3</v>
      </c>
      <c r="G192" s="926">
        <v>6.0000000000000001E-3</v>
      </c>
      <c r="H192" s="926">
        <v>8.0000000000000002E-3</v>
      </c>
      <c r="I192" s="926">
        <v>1.0999999999999999E-2</v>
      </c>
      <c r="J192" s="926">
        <v>1.4999999999999999E-2</v>
      </c>
      <c r="K192" s="929">
        <v>2.1000000000000001E-2</v>
      </c>
      <c r="L192" s="896"/>
    </row>
    <row r="193" spans="1:39" ht="13" thickBot="1">
      <c r="A193" s="930" t="s">
        <v>1071</v>
      </c>
      <c r="B193" s="931">
        <v>7.1</v>
      </c>
      <c r="C193" s="931">
        <v>130</v>
      </c>
      <c r="D193" s="931">
        <v>12.101000000000001</v>
      </c>
      <c r="E193" s="931">
        <v>8907</v>
      </c>
      <c r="F193" s="931">
        <v>3.0000000000000001E-3</v>
      </c>
      <c r="G193" s="931">
        <v>5.0000000000000001E-3</v>
      </c>
      <c r="H193" s="931">
        <v>7.0000000000000001E-3</v>
      </c>
      <c r="I193" s="931">
        <v>8.9999999999999993E-3</v>
      </c>
      <c r="J193" s="931">
        <v>1.2E-2</v>
      </c>
      <c r="K193" s="932">
        <v>1.6E-2</v>
      </c>
      <c r="L193" s="896"/>
    </row>
    <row r="194" spans="1:39" ht="12.75" customHeight="1" thickTop="1">
      <c r="A194" s="5121" t="s">
        <v>1072</v>
      </c>
      <c r="B194" s="5121"/>
      <c r="C194" s="5121"/>
      <c r="D194" s="5121"/>
      <c r="E194" s="5121"/>
      <c r="F194" s="5121"/>
      <c r="G194" s="5121"/>
      <c r="H194" s="5121"/>
      <c r="I194" s="5121"/>
      <c r="J194" s="5121"/>
      <c r="K194" s="5121"/>
      <c r="L194" s="896"/>
    </row>
    <row r="195" spans="1:39">
      <c r="A195" s="5121"/>
      <c r="B195" s="5121"/>
      <c r="C195" s="5121"/>
      <c r="D195" s="5121"/>
      <c r="E195" s="5121"/>
      <c r="F195" s="5121"/>
      <c r="G195" s="5121"/>
      <c r="H195" s="5121"/>
      <c r="I195" s="5121"/>
      <c r="J195" s="5121"/>
      <c r="K195" s="5121"/>
      <c r="L195" s="896"/>
    </row>
    <row r="196" spans="1:39" ht="13" thickBot="1">
      <c r="A196" s="933"/>
      <c r="B196" s="933"/>
      <c r="C196" s="933"/>
      <c r="D196" s="933"/>
      <c r="E196" s="933"/>
      <c r="F196" s="933"/>
      <c r="G196" s="933"/>
      <c r="H196" s="933"/>
      <c r="I196" s="933"/>
      <c r="J196" s="933"/>
      <c r="K196" s="933"/>
      <c r="L196" s="896"/>
    </row>
    <row r="197" spans="1:39" ht="13.5" thickTop="1">
      <c r="A197" s="934" t="s">
        <v>941</v>
      </c>
      <c r="B197" s="935" t="s">
        <v>1073</v>
      </c>
      <c r="C197" s="933"/>
      <c r="D197" s="933"/>
      <c r="E197" s="933"/>
      <c r="F197" s="933"/>
      <c r="G197" s="933"/>
      <c r="H197" s="933"/>
      <c r="I197" s="933"/>
      <c r="J197" s="933"/>
      <c r="K197" s="933"/>
      <c r="L197" s="896"/>
    </row>
    <row r="198" spans="1:39">
      <c r="A198" s="936" t="s">
        <v>1074</v>
      </c>
      <c r="B198" s="937">
        <v>0.6</v>
      </c>
      <c r="C198" s="933"/>
      <c r="D198" s="933"/>
      <c r="E198" s="933"/>
      <c r="F198" s="933"/>
      <c r="G198" s="933"/>
      <c r="H198" s="933"/>
      <c r="I198" s="933"/>
      <c r="J198" s="933"/>
      <c r="K198" s="933"/>
      <c r="L198" s="896"/>
    </row>
    <row r="199" spans="1:39">
      <c r="A199" s="936" t="s">
        <v>942</v>
      </c>
      <c r="B199" s="937">
        <v>0.5</v>
      </c>
      <c r="C199" s="933"/>
      <c r="D199" s="933"/>
      <c r="E199" s="933"/>
      <c r="F199" s="933"/>
      <c r="G199" s="933"/>
      <c r="H199" s="933"/>
      <c r="I199" s="933"/>
      <c r="J199" s="933"/>
      <c r="K199" s="933"/>
      <c r="L199" s="896"/>
    </row>
    <row r="200" spans="1:39">
      <c r="A200" s="936" t="s">
        <v>1075</v>
      </c>
      <c r="B200" s="937">
        <v>0.15</v>
      </c>
      <c r="C200" s="933"/>
      <c r="D200" s="933"/>
      <c r="E200" s="933"/>
      <c r="F200" s="933"/>
      <c r="G200" s="933"/>
      <c r="H200" s="933"/>
      <c r="I200" s="933"/>
      <c r="J200" s="933"/>
      <c r="K200" s="933"/>
      <c r="L200" s="896"/>
    </row>
    <row r="201" spans="1:39" s="940" customFormat="1" ht="13" thickBot="1">
      <c r="A201" s="938" t="s">
        <v>1076</v>
      </c>
      <c r="B201" s="939">
        <v>0.6</v>
      </c>
      <c r="C201" s="933"/>
      <c r="D201" s="933"/>
      <c r="E201" s="933"/>
      <c r="F201" s="933"/>
      <c r="G201" s="933"/>
      <c r="H201" s="933"/>
      <c r="I201" s="933"/>
      <c r="J201" s="933"/>
      <c r="K201" s="933"/>
      <c r="L201" s="896"/>
      <c r="M201" s="821"/>
      <c r="N201" s="821"/>
      <c r="O201" s="821"/>
      <c r="P201" s="821"/>
      <c r="Q201" s="821"/>
      <c r="R201" s="821"/>
      <c r="S201" s="821"/>
      <c r="T201" s="821"/>
      <c r="U201" s="821"/>
      <c r="V201" s="821"/>
      <c r="W201" s="821"/>
      <c r="X201" s="821"/>
      <c r="Y201" s="821"/>
      <c r="Z201" s="821"/>
      <c r="AA201" s="821"/>
      <c r="AB201" s="821"/>
      <c r="AC201" s="821"/>
      <c r="AD201" s="821"/>
      <c r="AE201" s="821"/>
      <c r="AF201" s="821"/>
      <c r="AG201" s="821"/>
      <c r="AH201" s="821"/>
      <c r="AI201" s="821"/>
      <c r="AJ201" s="821"/>
      <c r="AK201" s="821"/>
      <c r="AL201" s="821"/>
      <c r="AM201" s="821"/>
    </row>
    <row r="202" spans="1:39" ht="13" thickTop="1">
      <c r="A202" s="896"/>
      <c r="B202" s="896"/>
      <c r="C202" s="896"/>
      <c r="D202" s="896"/>
      <c r="E202" s="896"/>
      <c r="F202" s="896"/>
      <c r="G202" s="896"/>
      <c r="H202" s="896"/>
      <c r="I202" s="896"/>
      <c r="J202" s="896"/>
      <c r="K202" s="896"/>
      <c r="L202" s="896"/>
    </row>
    <row r="203" spans="1:39">
      <c r="A203" s="896"/>
      <c r="B203" s="896"/>
      <c r="C203" s="896"/>
      <c r="D203" s="896"/>
      <c r="E203" s="896"/>
      <c r="F203" s="896"/>
      <c r="G203" s="896"/>
      <c r="H203" s="896"/>
      <c r="I203" s="896"/>
      <c r="J203" s="896"/>
      <c r="K203" s="896"/>
      <c r="L203" s="896"/>
    </row>
    <row r="204" spans="1:39">
      <c r="A204" s="896"/>
      <c r="B204" s="896"/>
      <c r="C204" s="896"/>
      <c r="D204" s="896"/>
      <c r="E204" s="896"/>
      <c r="F204" s="896"/>
      <c r="G204" s="896"/>
      <c r="H204" s="896"/>
      <c r="I204" s="896"/>
      <c r="J204" s="896"/>
      <c r="K204" s="896"/>
      <c r="L204" s="896"/>
    </row>
    <row r="205" spans="1:39">
      <c r="A205" s="896"/>
      <c r="B205" s="896"/>
      <c r="C205" s="896"/>
      <c r="D205" s="896"/>
      <c r="E205" s="896"/>
      <c r="F205" s="896"/>
      <c r="G205" s="896"/>
      <c r="H205" s="896"/>
      <c r="I205" s="896"/>
      <c r="J205" s="896"/>
      <c r="K205" s="896"/>
      <c r="L205" s="896"/>
    </row>
    <row r="206" spans="1:39">
      <c r="A206" s="896"/>
      <c r="B206" s="896"/>
      <c r="C206" s="896"/>
      <c r="D206" s="896"/>
      <c r="E206" s="896"/>
      <c r="F206" s="896"/>
      <c r="G206" s="896"/>
      <c r="H206" s="896"/>
      <c r="I206" s="896"/>
      <c r="J206" s="896"/>
      <c r="K206" s="896"/>
      <c r="L206" s="896"/>
    </row>
    <row r="207" spans="1:39">
      <c r="A207" s="896"/>
      <c r="B207" s="896"/>
      <c r="C207" s="896"/>
      <c r="D207" s="896"/>
      <c r="E207" s="896"/>
      <c r="F207" s="896"/>
      <c r="G207" s="896"/>
      <c r="H207" s="896"/>
      <c r="I207" s="896"/>
      <c r="J207" s="896"/>
      <c r="K207" s="896"/>
      <c r="L207" s="896"/>
    </row>
    <row r="208" spans="1:39">
      <c r="A208" s="896"/>
      <c r="B208" s="896"/>
      <c r="C208" s="896"/>
      <c r="D208" s="896"/>
      <c r="E208" s="896"/>
      <c r="F208" s="896"/>
      <c r="G208" s="896"/>
      <c r="H208" s="896"/>
      <c r="I208" s="896"/>
      <c r="J208" s="896"/>
      <c r="K208" s="896"/>
      <c r="L208" s="896"/>
    </row>
    <row r="209" spans="1:12">
      <c r="A209" s="896"/>
      <c r="B209" s="896"/>
      <c r="C209" s="896"/>
      <c r="D209" s="896"/>
      <c r="E209" s="896"/>
      <c r="F209" s="896"/>
      <c r="G209" s="896"/>
      <c r="H209" s="896"/>
      <c r="I209" s="896"/>
      <c r="J209" s="896"/>
      <c r="K209" s="896"/>
      <c r="L209" s="896"/>
    </row>
    <row r="210" spans="1:12">
      <c r="A210" s="896"/>
      <c r="B210" s="896"/>
      <c r="C210" s="896"/>
      <c r="D210" s="896"/>
      <c r="E210" s="896"/>
      <c r="F210" s="896"/>
      <c r="G210" s="896"/>
      <c r="H210" s="896"/>
      <c r="I210" s="896"/>
      <c r="J210" s="896"/>
      <c r="K210" s="896"/>
      <c r="L210" s="896"/>
    </row>
    <row r="211" spans="1:12">
      <c r="A211" s="896"/>
      <c r="B211" s="896"/>
      <c r="C211" s="896"/>
      <c r="D211" s="896"/>
      <c r="E211" s="896"/>
      <c r="F211" s="896"/>
      <c r="G211" s="896"/>
      <c r="H211" s="896"/>
      <c r="I211" s="896"/>
      <c r="J211" s="896"/>
      <c r="K211" s="896"/>
      <c r="L211" s="896"/>
    </row>
    <row r="212" spans="1:12">
      <c r="A212" s="896"/>
      <c r="B212" s="896"/>
      <c r="C212" s="896"/>
      <c r="D212" s="896"/>
      <c r="E212" s="896"/>
      <c r="F212" s="896"/>
      <c r="G212" s="896"/>
      <c r="H212" s="896"/>
      <c r="I212" s="896"/>
      <c r="J212" s="896"/>
      <c r="K212" s="896"/>
      <c r="L212" s="896"/>
    </row>
    <row r="213" spans="1:12">
      <c r="A213" s="896"/>
      <c r="B213" s="896"/>
      <c r="C213" s="896"/>
      <c r="D213" s="896"/>
      <c r="E213" s="896"/>
      <c r="F213" s="896"/>
      <c r="G213" s="896"/>
      <c r="H213" s="896"/>
      <c r="I213" s="896"/>
      <c r="J213" s="896"/>
      <c r="K213" s="896"/>
      <c r="L213" s="896"/>
    </row>
    <row r="214" spans="1:12">
      <c r="A214" s="896"/>
      <c r="B214" s="896"/>
      <c r="C214" s="896"/>
      <c r="D214" s="896"/>
      <c r="E214" s="896"/>
      <c r="F214" s="896"/>
      <c r="G214" s="896"/>
      <c r="H214" s="896"/>
      <c r="I214" s="896"/>
      <c r="J214" s="896"/>
      <c r="K214" s="896"/>
      <c r="L214" s="896"/>
    </row>
    <row r="215" spans="1:12">
      <c r="A215" s="896"/>
      <c r="B215" s="896"/>
      <c r="C215" s="896"/>
      <c r="D215" s="896"/>
      <c r="E215" s="896"/>
      <c r="F215" s="896"/>
      <c r="G215" s="896"/>
      <c r="H215" s="896"/>
      <c r="I215" s="896"/>
      <c r="J215" s="896"/>
      <c r="K215" s="896"/>
      <c r="L215" s="896"/>
    </row>
    <row r="216" spans="1:12">
      <c r="A216" s="896"/>
      <c r="B216" s="896"/>
      <c r="C216" s="896"/>
      <c r="D216" s="896"/>
      <c r="E216" s="896"/>
      <c r="F216" s="896"/>
      <c r="G216" s="896"/>
      <c r="H216" s="896"/>
      <c r="I216" s="896"/>
      <c r="J216" s="896"/>
      <c r="K216" s="896"/>
      <c r="L216" s="896"/>
    </row>
    <row r="217" spans="1:12">
      <c r="A217" s="896"/>
      <c r="B217" s="896"/>
      <c r="C217" s="896"/>
      <c r="D217" s="896"/>
      <c r="E217" s="896"/>
      <c r="F217" s="896"/>
      <c r="G217" s="896"/>
      <c r="H217" s="896"/>
      <c r="I217" s="896"/>
      <c r="J217" s="896"/>
      <c r="K217" s="896"/>
      <c r="L217" s="896"/>
    </row>
    <row r="218" spans="1:12">
      <c r="A218" s="896"/>
      <c r="B218" s="896"/>
      <c r="C218" s="896"/>
      <c r="D218" s="896"/>
      <c r="E218" s="896"/>
      <c r="F218" s="896"/>
      <c r="G218" s="896"/>
      <c r="H218" s="896"/>
      <c r="I218" s="896"/>
      <c r="J218" s="896"/>
      <c r="K218" s="896"/>
      <c r="L218" s="896"/>
    </row>
    <row r="219" spans="1:12">
      <c r="A219" s="896"/>
      <c r="B219" s="896"/>
      <c r="C219" s="896"/>
      <c r="D219" s="896"/>
      <c r="E219" s="896"/>
      <c r="F219" s="896"/>
      <c r="G219" s="896"/>
      <c r="H219" s="896"/>
      <c r="I219" s="896"/>
      <c r="J219" s="896"/>
      <c r="K219" s="896"/>
      <c r="L219" s="896"/>
    </row>
    <row r="220" spans="1:12">
      <c r="A220" s="896"/>
      <c r="B220" s="896"/>
      <c r="C220" s="896"/>
      <c r="D220" s="896"/>
      <c r="E220" s="896"/>
      <c r="F220" s="896"/>
      <c r="G220" s="896"/>
      <c r="H220" s="896"/>
      <c r="I220" s="896"/>
      <c r="J220" s="896"/>
      <c r="K220" s="896"/>
      <c r="L220" s="896"/>
    </row>
    <row r="221" spans="1:12">
      <c r="A221" s="896"/>
      <c r="B221" s="896"/>
      <c r="C221" s="896"/>
      <c r="D221" s="896"/>
      <c r="E221" s="896"/>
      <c r="F221" s="896"/>
      <c r="G221" s="896"/>
      <c r="H221" s="896"/>
      <c r="I221" s="896"/>
      <c r="J221" s="896"/>
      <c r="K221" s="896"/>
      <c r="L221" s="896"/>
    </row>
    <row r="222" spans="1:12">
      <c r="A222" s="896"/>
      <c r="B222" s="896"/>
      <c r="C222" s="896"/>
      <c r="D222" s="896"/>
      <c r="E222" s="896"/>
      <c r="F222" s="896"/>
      <c r="G222" s="896"/>
      <c r="H222" s="896"/>
      <c r="I222" s="896"/>
      <c r="J222" s="896"/>
      <c r="K222" s="896"/>
      <c r="L222" s="896"/>
    </row>
    <row r="223" spans="1:12">
      <c r="A223" s="896"/>
      <c r="B223" s="896"/>
      <c r="C223" s="896"/>
      <c r="D223" s="896"/>
      <c r="E223" s="896"/>
      <c r="F223" s="896"/>
      <c r="G223" s="896"/>
      <c r="H223" s="896"/>
      <c r="I223" s="896"/>
      <c r="J223" s="896"/>
      <c r="K223" s="896"/>
      <c r="L223" s="896"/>
    </row>
    <row r="224" spans="1:12">
      <c r="A224" s="896"/>
      <c r="B224" s="896"/>
      <c r="C224" s="896"/>
      <c r="D224" s="896"/>
      <c r="E224" s="896"/>
      <c r="F224" s="896"/>
      <c r="G224" s="896"/>
      <c r="H224" s="896"/>
      <c r="I224" s="896"/>
      <c r="J224" s="896"/>
      <c r="K224" s="896"/>
      <c r="L224" s="896"/>
    </row>
    <row r="225" spans="1:12">
      <c r="A225" s="896"/>
      <c r="B225" s="896"/>
      <c r="C225" s="896"/>
      <c r="D225" s="896"/>
      <c r="E225" s="896"/>
      <c r="F225" s="896"/>
      <c r="G225" s="896"/>
      <c r="H225" s="896"/>
      <c r="I225" s="896"/>
      <c r="J225" s="896"/>
      <c r="K225" s="896"/>
      <c r="L225" s="896"/>
    </row>
    <row r="226" spans="1:12">
      <c r="A226" s="896"/>
      <c r="B226" s="896"/>
      <c r="C226" s="896"/>
      <c r="D226" s="896"/>
      <c r="E226" s="896"/>
      <c r="F226" s="896"/>
      <c r="G226" s="896"/>
      <c r="H226" s="896"/>
      <c r="I226" s="896"/>
      <c r="J226" s="896"/>
      <c r="K226" s="896"/>
      <c r="L226" s="896"/>
    </row>
    <row r="227" spans="1:12">
      <c r="A227" s="896"/>
      <c r="B227" s="896"/>
      <c r="C227" s="896"/>
      <c r="D227" s="896"/>
      <c r="E227" s="896"/>
      <c r="F227" s="896"/>
      <c r="G227" s="896"/>
      <c r="H227" s="896"/>
      <c r="I227" s="896"/>
      <c r="J227" s="896"/>
      <c r="K227" s="896"/>
      <c r="L227" s="896"/>
    </row>
    <row r="228" spans="1:12">
      <c r="A228" s="896"/>
      <c r="B228" s="896"/>
      <c r="C228" s="896"/>
      <c r="D228" s="896"/>
      <c r="E228" s="896"/>
      <c r="F228" s="896"/>
      <c r="G228" s="896"/>
      <c r="H228" s="896"/>
      <c r="I228" s="896"/>
      <c r="J228" s="896"/>
      <c r="K228" s="896"/>
      <c r="L228" s="896"/>
    </row>
    <row r="229" spans="1:12">
      <c r="A229" s="896"/>
      <c r="B229" s="896"/>
      <c r="C229" s="896"/>
      <c r="D229" s="896"/>
      <c r="E229" s="896"/>
      <c r="F229" s="896"/>
      <c r="G229" s="896"/>
      <c r="H229" s="896"/>
      <c r="I229" s="896"/>
      <c r="J229" s="896"/>
      <c r="K229" s="896"/>
      <c r="L229" s="896"/>
    </row>
    <row r="230" spans="1:12">
      <c r="A230" s="896"/>
      <c r="B230" s="896"/>
      <c r="C230" s="896"/>
      <c r="D230" s="896"/>
      <c r="E230" s="896"/>
      <c r="F230" s="896"/>
      <c r="G230" s="896"/>
      <c r="H230" s="896"/>
      <c r="I230" s="896"/>
      <c r="J230" s="896"/>
      <c r="K230" s="896"/>
      <c r="L230" s="896"/>
    </row>
    <row r="231" spans="1:12">
      <c r="A231" s="896"/>
      <c r="B231" s="896"/>
      <c r="C231" s="896"/>
      <c r="D231" s="896"/>
      <c r="E231" s="896"/>
      <c r="F231" s="896"/>
      <c r="G231" s="896"/>
      <c r="H231" s="896"/>
      <c r="I231" s="896"/>
      <c r="J231" s="896"/>
      <c r="K231" s="896"/>
      <c r="L231" s="896"/>
    </row>
    <row r="232" spans="1:12">
      <c r="A232" s="896"/>
      <c r="B232" s="896"/>
      <c r="C232" s="896"/>
      <c r="D232" s="896"/>
      <c r="E232" s="896"/>
      <c r="F232" s="896"/>
      <c r="G232" s="896"/>
      <c r="H232" s="896"/>
      <c r="I232" s="896"/>
      <c r="J232" s="896"/>
      <c r="K232" s="896"/>
      <c r="L232" s="896"/>
    </row>
    <row r="233" spans="1:12">
      <c r="A233" s="896"/>
      <c r="B233" s="896"/>
      <c r="C233" s="896"/>
      <c r="D233" s="896"/>
      <c r="E233" s="896"/>
      <c r="F233" s="896"/>
      <c r="G233" s="896"/>
      <c r="H233" s="896"/>
      <c r="I233" s="896"/>
      <c r="J233" s="896"/>
      <c r="K233" s="896"/>
      <c r="L233" s="896"/>
    </row>
    <row r="234" spans="1:12">
      <c r="A234" s="896"/>
      <c r="B234" s="896"/>
      <c r="C234" s="896"/>
      <c r="D234" s="896"/>
      <c r="E234" s="896"/>
      <c r="F234" s="896"/>
      <c r="G234" s="896"/>
      <c r="H234" s="896"/>
      <c r="I234" s="896"/>
      <c r="J234" s="896"/>
      <c r="K234" s="896"/>
      <c r="L234" s="896"/>
    </row>
    <row r="235" spans="1:12">
      <c r="A235" s="896"/>
      <c r="B235" s="896"/>
      <c r="C235" s="896"/>
      <c r="D235" s="896"/>
      <c r="E235" s="896"/>
      <c r="F235" s="896"/>
      <c r="G235" s="896"/>
      <c r="H235" s="896"/>
      <c r="I235" s="896"/>
      <c r="J235" s="896"/>
      <c r="K235" s="896"/>
      <c r="L235" s="896"/>
    </row>
    <row r="236" spans="1:12">
      <c r="A236" s="896"/>
      <c r="B236" s="896"/>
      <c r="C236" s="896"/>
      <c r="D236" s="896"/>
      <c r="E236" s="896"/>
      <c r="F236" s="896"/>
      <c r="G236" s="896"/>
      <c r="H236" s="896"/>
      <c r="I236" s="896"/>
      <c r="J236" s="896"/>
      <c r="K236" s="896"/>
      <c r="L236" s="896"/>
    </row>
    <row r="237" spans="1:12">
      <c r="A237" s="896"/>
      <c r="B237" s="896"/>
      <c r="C237" s="896"/>
      <c r="D237" s="896"/>
      <c r="E237" s="896"/>
      <c r="F237" s="896"/>
      <c r="G237" s="896"/>
      <c r="H237" s="896"/>
      <c r="I237" s="896"/>
      <c r="J237" s="896"/>
      <c r="K237" s="896"/>
      <c r="L237" s="896"/>
    </row>
    <row r="238" spans="1:12">
      <c r="A238" s="896"/>
      <c r="B238" s="896"/>
      <c r="C238" s="896"/>
      <c r="D238" s="896"/>
      <c r="E238" s="896"/>
      <c r="F238" s="896"/>
      <c r="G238" s="896"/>
      <c r="H238" s="896"/>
      <c r="I238" s="896"/>
      <c r="J238" s="896"/>
      <c r="K238" s="896"/>
      <c r="L238" s="896"/>
    </row>
    <row r="239" spans="1:12">
      <c r="A239" s="896"/>
      <c r="B239" s="896"/>
      <c r="C239" s="896"/>
      <c r="D239" s="896"/>
      <c r="E239" s="896"/>
      <c r="F239" s="896"/>
      <c r="G239" s="896"/>
      <c r="H239" s="896"/>
      <c r="I239" s="896"/>
      <c r="J239" s="896"/>
      <c r="K239" s="896"/>
      <c r="L239" s="896"/>
    </row>
    <row r="240" spans="1:12">
      <c r="A240" s="896"/>
      <c r="B240" s="896"/>
      <c r="C240" s="896"/>
      <c r="D240" s="896"/>
      <c r="E240" s="896"/>
      <c r="F240" s="896"/>
      <c r="G240" s="896"/>
      <c r="H240" s="896"/>
      <c r="I240" s="896"/>
      <c r="J240" s="896"/>
      <c r="K240" s="896"/>
      <c r="L240" s="896"/>
    </row>
    <row r="241" spans="1:12">
      <c r="A241" s="896"/>
      <c r="B241" s="896"/>
      <c r="C241" s="896"/>
      <c r="D241" s="896"/>
      <c r="E241" s="896"/>
      <c r="F241" s="896"/>
      <c r="G241" s="896"/>
      <c r="H241" s="896"/>
      <c r="I241" s="896"/>
      <c r="J241" s="896"/>
      <c r="K241" s="896"/>
      <c r="L241" s="896"/>
    </row>
    <row r="242" spans="1:12">
      <c r="A242" s="896"/>
      <c r="B242" s="896"/>
      <c r="C242" s="896"/>
      <c r="D242" s="896"/>
      <c r="E242" s="896"/>
      <c r="F242" s="896"/>
      <c r="G242" s="896"/>
      <c r="H242" s="896"/>
      <c r="I242" s="896"/>
      <c r="J242" s="896"/>
      <c r="K242" s="896"/>
      <c r="L242" s="896"/>
    </row>
    <row r="243" spans="1:12">
      <c r="A243" s="896"/>
      <c r="B243" s="896"/>
      <c r="C243" s="896"/>
      <c r="D243" s="896"/>
      <c r="E243" s="896"/>
      <c r="F243" s="896"/>
      <c r="G243" s="896"/>
      <c r="H243" s="896"/>
      <c r="I243" s="896"/>
      <c r="J243" s="896"/>
      <c r="K243" s="896"/>
      <c r="L243" s="896"/>
    </row>
    <row r="244" spans="1:12">
      <c r="A244" s="896"/>
      <c r="B244" s="896"/>
      <c r="C244" s="896"/>
      <c r="D244" s="896"/>
      <c r="E244" s="896"/>
      <c r="F244" s="896"/>
      <c r="G244" s="896"/>
      <c r="H244" s="896"/>
      <c r="I244" s="896"/>
      <c r="J244" s="896"/>
      <c r="K244" s="896"/>
      <c r="L244" s="896"/>
    </row>
    <row r="245" spans="1:12">
      <c r="A245" s="896"/>
      <c r="B245" s="896"/>
      <c r="C245" s="896"/>
      <c r="D245" s="896"/>
      <c r="E245" s="896"/>
      <c r="F245" s="896"/>
      <c r="G245" s="896"/>
      <c r="H245" s="896"/>
      <c r="I245" s="896"/>
      <c r="J245" s="896"/>
      <c r="K245" s="896"/>
      <c r="L245" s="896"/>
    </row>
    <row r="246" spans="1:12">
      <c r="A246" s="896"/>
      <c r="B246" s="896"/>
      <c r="C246" s="896"/>
      <c r="D246" s="896"/>
      <c r="E246" s="896"/>
      <c r="F246" s="896"/>
      <c r="G246" s="896"/>
      <c r="H246" s="896"/>
      <c r="I246" s="896"/>
      <c r="J246" s="896"/>
      <c r="K246" s="896"/>
      <c r="L246" s="896"/>
    </row>
    <row r="247" spans="1:12">
      <c r="A247" s="896"/>
      <c r="B247" s="896"/>
      <c r="C247" s="896"/>
      <c r="D247" s="896"/>
      <c r="E247" s="896"/>
      <c r="F247" s="896"/>
      <c r="G247" s="896"/>
      <c r="H247" s="896"/>
      <c r="I247" s="896"/>
      <c r="J247" s="896"/>
      <c r="K247" s="896"/>
      <c r="L247" s="896"/>
    </row>
    <row r="248" spans="1:12">
      <c r="A248" s="896"/>
      <c r="B248" s="896"/>
      <c r="C248" s="896"/>
      <c r="D248" s="896"/>
      <c r="E248" s="896"/>
      <c r="F248" s="896"/>
      <c r="G248" s="896"/>
      <c r="H248" s="896"/>
      <c r="I248" s="896"/>
      <c r="J248" s="896"/>
      <c r="K248" s="896"/>
      <c r="L248" s="896"/>
    </row>
    <row r="249" spans="1:12">
      <c r="A249" s="896"/>
      <c r="B249" s="896"/>
      <c r="C249" s="896"/>
      <c r="D249" s="896"/>
      <c r="E249" s="896"/>
      <c r="F249" s="896"/>
      <c r="G249" s="896"/>
      <c r="H249" s="896"/>
      <c r="I249" s="896"/>
      <c r="J249" s="896"/>
      <c r="K249" s="896"/>
      <c r="L249" s="896"/>
    </row>
    <row r="250" spans="1:12">
      <c r="A250" s="896"/>
      <c r="B250" s="896"/>
      <c r="C250" s="896"/>
      <c r="D250" s="896"/>
      <c r="E250" s="896"/>
      <c r="F250" s="896"/>
      <c r="G250" s="896"/>
      <c r="H250" s="896"/>
      <c r="I250" s="896"/>
      <c r="J250" s="896"/>
      <c r="K250" s="896"/>
      <c r="L250" s="896"/>
    </row>
    <row r="251" spans="1:12">
      <c r="A251" s="896"/>
      <c r="B251" s="896"/>
      <c r="C251" s="896"/>
      <c r="D251" s="896"/>
      <c r="E251" s="896"/>
      <c r="F251" s="896"/>
      <c r="G251" s="896"/>
      <c r="H251" s="896"/>
      <c r="I251" s="896"/>
      <c r="J251" s="896"/>
      <c r="K251" s="896"/>
      <c r="L251" s="896"/>
    </row>
    <row r="252" spans="1:12">
      <c r="A252" s="896"/>
      <c r="B252" s="896"/>
      <c r="C252" s="896"/>
      <c r="D252" s="896"/>
      <c r="E252" s="896"/>
      <c r="F252" s="896"/>
      <c r="G252" s="896"/>
      <c r="H252" s="896"/>
      <c r="I252" s="896"/>
      <c r="J252" s="896"/>
      <c r="K252" s="896"/>
      <c r="L252" s="896"/>
    </row>
    <row r="253" spans="1:12">
      <c r="A253" s="896"/>
      <c r="B253" s="896"/>
      <c r="C253" s="896"/>
      <c r="D253" s="896"/>
      <c r="E253" s="896"/>
      <c r="F253" s="896"/>
      <c r="G253" s="896"/>
      <c r="H253" s="896"/>
      <c r="I253" s="896"/>
      <c r="J253" s="896"/>
      <c r="K253" s="896"/>
      <c r="L253" s="896"/>
    </row>
    <row r="254" spans="1:12">
      <c r="A254" s="896"/>
      <c r="B254" s="896"/>
      <c r="C254" s="896"/>
      <c r="D254" s="896"/>
      <c r="E254" s="896"/>
      <c r="F254" s="896"/>
      <c r="G254" s="896"/>
      <c r="H254" s="896"/>
      <c r="I254" s="896"/>
      <c r="J254" s="896"/>
      <c r="K254" s="896"/>
      <c r="L254" s="896"/>
    </row>
    <row r="255" spans="1:12">
      <c r="A255" s="896"/>
      <c r="B255" s="896"/>
      <c r="C255" s="896"/>
      <c r="D255" s="896"/>
      <c r="E255" s="896"/>
      <c r="F255" s="896"/>
      <c r="G255" s="896"/>
      <c r="H255" s="896"/>
      <c r="I255" s="896"/>
      <c r="J255" s="896"/>
      <c r="K255" s="896"/>
      <c r="L255" s="896"/>
    </row>
    <row r="256" spans="1:12">
      <c r="A256" s="896"/>
      <c r="B256" s="896"/>
      <c r="C256" s="896"/>
      <c r="D256" s="896"/>
      <c r="E256" s="896"/>
      <c r="F256" s="896"/>
      <c r="G256" s="896"/>
      <c r="H256" s="896"/>
      <c r="I256" s="896"/>
      <c r="J256" s="896"/>
      <c r="K256" s="896"/>
      <c r="L256" s="896"/>
    </row>
    <row r="257" spans="1:12">
      <c r="A257" s="896"/>
      <c r="B257" s="896"/>
      <c r="C257" s="896"/>
      <c r="D257" s="896"/>
      <c r="E257" s="896"/>
      <c r="F257" s="896"/>
      <c r="G257" s="896"/>
      <c r="H257" s="896"/>
      <c r="I257" s="896"/>
      <c r="J257" s="896"/>
      <c r="K257" s="896"/>
      <c r="L257" s="896"/>
    </row>
    <row r="258" spans="1:12">
      <c r="A258" s="896"/>
      <c r="B258" s="896"/>
      <c r="C258" s="896"/>
      <c r="D258" s="896"/>
      <c r="E258" s="896"/>
      <c r="F258" s="896"/>
      <c r="G258" s="896"/>
      <c r="H258" s="896"/>
      <c r="I258" s="896"/>
      <c r="J258" s="896"/>
      <c r="K258" s="896"/>
      <c r="L258" s="896"/>
    </row>
    <row r="259" spans="1:12">
      <c r="A259" s="896"/>
      <c r="B259" s="896"/>
      <c r="C259" s="896"/>
      <c r="D259" s="896"/>
      <c r="E259" s="896"/>
      <c r="F259" s="896"/>
      <c r="G259" s="896"/>
      <c r="H259" s="896"/>
      <c r="I259" s="896"/>
      <c r="J259" s="896"/>
      <c r="K259" s="896"/>
      <c r="L259" s="896"/>
    </row>
    <row r="260" spans="1:12">
      <c r="A260" s="896"/>
      <c r="B260" s="896"/>
      <c r="C260" s="896"/>
      <c r="D260" s="896"/>
      <c r="E260" s="896"/>
      <c r="F260" s="896"/>
      <c r="G260" s="896"/>
      <c r="H260" s="896"/>
      <c r="I260" s="896"/>
      <c r="J260" s="896"/>
      <c r="K260" s="896"/>
      <c r="L260" s="896"/>
    </row>
    <row r="261" spans="1:12">
      <c r="A261" s="896"/>
      <c r="B261" s="896"/>
      <c r="C261" s="896"/>
      <c r="D261" s="896"/>
      <c r="E261" s="896"/>
      <c r="F261" s="896"/>
      <c r="G261" s="896"/>
      <c r="H261" s="896"/>
      <c r="I261" s="896"/>
      <c r="J261" s="896"/>
      <c r="K261" s="896"/>
      <c r="L261" s="896"/>
    </row>
    <row r="262" spans="1:12">
      <c r="A262" s="896"/>
      <c r="B262" s="896"/>
      <c r="C262" s="896"/>
      <c r="D262" s="896"/>
      <c r="E262" s="896"/>
      <c r="F262" s="896"/>
      <c r="G262" s="896"/>
      <c r="H262" s="896"/>
      <c r="I262" s="896"/>
      <c r="J262" s="896"/>
      <c r="K262" s="896"/>
      <c r="L262" s="896"/>
    </row>
    <row r="263" spans="1:12">
      <c r="A263" s="896"/>
      <c r="B263" s="896"/>
      <c r="C263" s="896"/>
      <c r="D263" s="896"/>
      <c r="E263" s="896"/>
      <c r="F263" s="896"/>
      <c r="G263" s="896"/>
      <c r="H263" s="896"/>
      <c r="I263" s="896"/>
      <c r="J263" s="896"/>
      <c r="K263" s="896"/>
      <c r="L263" s="896"/>
    </row>
    <row r="264" spans="1:12">
      <c r="A264" s="896"/>
      <c r="B264" s="896"/>
      <c r="C264" s="896"/>
      <c r="D264" s="896"/>
      <c r="E264" s="896"/>
      <c r="F264" s="896"/>
      <c r="G264" s="896"/>
      <c r="H264" s="896"/>
      <c r="I264" s="896"/>
      <c r="J264" s="896"/>
      <c r="K264" s="896"/>
      <c r="L264" s="896"/>
    </row>
    <row r="265" spans="1:12">
      <c r="A265" s="896"/>
      <c r="B265" s="896"/>
      <c r="C265" s="896"/>
      <c r="D265" s="896"/>
      <c r="E265" s="896"/>
      <c r="F265" s="896"/>
      <c r="G265" s="896"/>
      <c r="H265" s="896"/>
      <c r="I265" s="896"/>
      <c r="J265" s="896"/>
      <c r="K265" s="896"/>
      <c r="L265" s="896"/>
    </row>
    <row r="266" spans="1:12">
      <c r="A266" s="896"/>
      <c r="B266" s="896"/>
      <c r="C266" s="896"/>
      <c r="D266" s="896"/>
      <c r="E266" s="896"/>
      <c r="F266" s="896"/>
      <c r="G266" s="896"/>
      <c r="H266" s="896"/>
      <c r="I266" s="896"/>
      <c r="J266" s="896"/>
      <c r="K266" s="896"/>
      <c r="L266" s="896"/>
    </row>
    <row r="267" spans="1:12">
      <c r="A267" s="896"/>
      <c r="B267" s="896"/>
      <c r="C267" s="896"/>
      <c r="D267" s="896"/>
      <c r="E267" s="896"/>
      <c r="F267" s="896"/>
      <c r="G267" s="896"/>
      <c r="H267" s="896"/>
      <c r="I267" s="896"/>
      <c r="J267" s="896"/>
      <c r="K267" s="896"/>
      <c r="L267" s="896"/>
    </row>
    <row r="268" spans="1:12">
      <c r="A268" s="896"/>
      <c r="B268" s="896"/>
      <c r="C268" s="896"/>
      <c r="D268" s="896"/>
      <c r="E268" s="896"/>
      <c r="F268" s="896"/>
      <c r="G268" s="896"/>
      <c r="H268" s="896"/>
      <c r="I268" s="896"/>
      <c r="J268" s="896"/>
      <c r="K268" s="896"/>
      <c r="L268" s="896"/>
    </row>
    <row r="269" spans="1:12">
      <c r="A269" s="896"/>
      <c r="B269" s="896"/>
      <c r="C269" s="896"/>
      <c r="D269" s="896"/>
      <c r="E269" s="896"/>
      <c r="F269" s="896"/>
      <c r="G269" s="896"/>
      <c r="H269" s="896"/>
      <c r="I269" s="896"/>
      <c r="J269" s="896"/>
      <c r="K269" s="896"/>
      <c r="L269" s="896"/>
    </row>
    <row r="270" spans="1:12">
      <c r="A270" s="896"/>
      <c r="B270" s="896"/>
      <c r="C270" s="896"/>
      <c r="D270" s="896"/>
      <c r="E270" s="896"/>
      <c r="F270" s="896"/>
      <c r="G270" s="896"/>
      <c r="H270" s="896"/>
      <c r="I270" s="896"/>
      <c r="J270" s="896"/>
      <c r="K270" s="896"/>
      <c r="L270" s="896"/>
    </row>
    <row r="271" spans="1:12">
      <c r="A271" s="896"/>
      <c r="B271" s="896"/>
      <c r="C271" s="896"/>
      <c r="D271" s="896"/>
      <c r="E271" s="896"/>
      <c r="F271" s="896"/>
      <c r="G271" s="896"/>
      <c r="H271" s="896"/>
      <c r="I271" s="896"/>
      <c r="J271" s="896"/>
      <c r="K271" s="896"/>
      <c r="L271" s="896"/>
    </row>
    <row r="272" spans="1:12">
      <c r="A272" s="896"/>
      <c r="B272" s="896"/>
      <c r="C272" s="896"/>
      <c r="D272" s="896"/>
      <c r="E272" s="896"/>
      <c r="F272" s="896"/>
      <c r="G272" s="896"/>
      <c r="H272" s="896"/>
      <c r="I272" s="896"/>
      <c r="J272" s="896"/>
      <c r="K272" s="896"/>
      <c r="L272" s="896"/>
    </row>
    <row r="273" spans="1:12">
      <c r="A273" s="896"/>
      <c r="B273" s="896"/>
      <c r="C273" s="896"/>
      <c r="D273" s="896"/>
      <c r="E273" s="896"/>
      <c r="F273" s="896"/>
      <c r="G273" s="896"/>
      <c r="H273" s="896"/>
      <c r="I273" s="896"/>
      <c r="J273" s="896"/>
      <c r="K273" s="896"/>
      <c r="L273" s="896"/>
    </row>
    <row r="274" spans="1:12">
      <c r="A274" s="896"/>
      <c r="B274" s="896"/>
      <c r="C274" s="896"/>
      <c r="D274" s="896"/>
      <c r="E274" s="896"/>
      <c r="F274" s="896"/>
      <c r="G274" s="896"/>
      <c r="H274" s="896"/>
      <c r="I274" s="896"/>
      <c r="J274" s="896"/>
      <c r="K274" s="896"/>
      <c r="L274" s="896"/>
    </row>
    <row r="275" spans="1:12">
      <c r="A275" s="896"/>
      <c r="B275" s="896"/>
      <c r="C275" s="896"/>
      <c r="D275" s="896"/>
      <c r="E275" s="896"/>
      <c r="F275" s="896"/>
      <c r="G275" s="896"/>
      <c r="H275" s="896"/>
      <c r="I275" s="896"/>
      <c r="J275" s="896"/>
      <c r="K275" s="896"/>
      <c r="L275" s="896"/>
    </row>
    <row r="276" spans="1:12">
      <c r="A276" s="896"/>
      <c r="B276" s="896"/>
      <c r="C276" s="896"/>
      <c r="D276" s="896"/>
      <c r="E276" s="896"/>
      <c r="F276" s="896"/>
      <c r="G276" s="896"/>
      <c r="H276" s="896"/>
      <c r="I276" s="896"/>
      <c r="J276" s="896"/>
      <c r="K276" s="896"/>
      <c r="L276" s="896"/>
    </row>
    <row r="277" spans="1:12">
      <c r="A277" s="896"/>
      <c r="B277" s="896"/>
      <c r="C277" s="896"/>
      <c r="D277" s="896"/>
      <c r="E277" s="896"/>
      <c r="F277" s="896"/>
      <c r="G277" s="896"/>
      <c r="H277" s="896"/>
      <c r="I277" s="896"/>
      <c r="J277" s="896"/>
      <c r="K277" s="896"/>
      <c r="L277" s="896"/>
    </row>
    <row r="278" spans="1:12">
      <c r="A278" s="896"/>
      <c r="B278" s="896"/>
      <c r="C278" s="896"/>
      <c r="D278" s="896"/>
      <c r="E278" s="896"/>
      <c r="F278" s="896"/>
      <c r="G278" s="896"/>
      <c r="H278" s="896"/>
      <c r="I278" s="896"/>
      <c r="J278" s="896"/>
      <c r="K278" s="896"/>
      <c r="L278" s="896"/>
    </row>
    <row r="279" spans="1:12">
      <c r="A279" s="896"/>
      <c r="B279" s="896"/>
      <c r="C279" s="896"/>
      <c r="D279" s="896"/>
      <c r="E279" s="896"/>
      <c r="F279" s="896"/>
      <c r="G279" s="896"/>
      <c r="H279" s="896"/>
      <c r="I279" s="896"/>
      <c r="J279" s="896"/>
      <c r="K279" s="896"/>
      <c r="L279" s="896"/>
    </row>
    <row r="280" spans="1:12">
      <c r="A280" s="896"/>
      <c r="B280" s="896"/>
      <c r="C280" s="896"/>
      <c r="D280" s="896"/>
      <c r="E280" s="896"/>
      <c r="F280" s="896"/>
      <c r="G280" s="896"/>
      <c r="H280" s="896"/>
      <c r="I280" s="896"/>
      <c r="J280" s="896"/>
      <c r="K280" s="896"/>
      <c r="L280" s="896"/>
    </row>
    <row r="281" spans="1:12">
      <c r="A281" s="896"/>
      <c r="B281" s="896"/>
      <c r="C281" s="896"/>
      <c r="D281" s="896"/>
      <c r="E281" s="896"/>
      <c r="F281" s="896"/>
      <c r="G281" s="896"/>
      <c r="H281" s="896"/>
      <c r="I281" s="896"/>
      <c r="J281" s="896"/>
      <c r="K281" s="896"/>
      <c r="L281" s="896"/>
    </row>
    <row r="282" spans="1:12">
      <c r="A282" s="896"/>
      <c r="B282" s="896"/>
      <c r="C282" s="896"/>
      <c r="D282" s="896"/>
      <c r="E282" s="896"/>
      <c r="F282" s="896"/>
      <c r="G282" s="896"/>
      <c r="H282" s="896"/>
      <c r="I282" s="896"/>
      <c r="J282" s="896"/>
      <c r="K282" s="896"/>
      <c r="L282" s="896"/>
    </row>
    <row r="283" spans="1:12">
      <c r="A283" s="896"/>
      <c r="B283" s="896"/>
      <c r="C283" s="896"/>
      <c r="D283" s="896"/>
      <c r="E283" s="896"/>
      <c r="F283" s="896"/>
      <c r="G283" s="896"/>
      <c r="H283" s="896"/>
      <c r="I283" s="896"/>
      <c r="J283" s="896"/>
      <c r="K283" s="896"/>
      <c r="L283" s="896"/>
    </row>
    <row r="284" spans="1:12">
      <c r="A284" s="896"/>
      <c r="B284" s="896"/>
      <c r="C284" s="896"/>
      <c r="D284" s="896"/>
      <c r="E284" s="896"/>
      <c r="F284" s="896"/>
      <c r="G284" s="896"/>
      <c r="H284" s="896"/>
      <c r="I284" s="896"/>
      <c r="J284" s="896"/>
      <c r="K284" s="896"/>
      <c r="L284" s="896"/>
    </row>
    <row r="285" spans="1:12">
      <c r="A285" s="896"/>
      <c r="B285" s="896"/>
      <c r="C285" s="896"/>
      <c r="D285" s="896"/>
      <c r="E285" s="896"/>
      <c r="F285" s="896"/>
      <c r="G285" s="896"/>
      <c r="H285" s="896"/>
      <c r="I285" s="896"/>
      <c r="J285" s="896"/>
      <c r="K285" s="896"/>
      <c r="L285" s="896"/>
    </row>
    <row r="286" spans="1:12">
      <c r="A286" s="896"/>
      <c r="B286" s="896"/>
      <c r="C286" s="896"/>
      <c r="D286" s="896"/>
      <c r="E286" s="896"/>
      <c r="F286" s="896"/>
      <c r="G286" s="896"/>
      <c r="H286" s="896"/>
      <c r="I286" s="896"/>
      <c r="J286" s="896"/>
      <c r="K286" s="896"/>
      <c r="L286" s="896"/>
    </row>
    <row r="287" spans="1:12">
      <c r="A287" s="896"/>
      <c r="B287" s="896"/>
      <c r="C287" s="896"/>
      <c r="D287" s="896"/>
      <c r="E287" s="896"/>
      <c r="F287" s="896"/>
      <c r="G287" s="896"/>
      <c r="H287" s="896"/>
      <c r="I287" s="896"/>
      <c r="J287" s="896"/>
      <c r="K287" s="896"/>
      <c r="L287" s="896"/>
    </row>
    <row r="288" spans="1:12">
      <c r="A288" s="896"/>
      <c r="B288" s="896"/>
      <c r="C288" s="896"/>
      <c r="D288" s="896"/>
      <c r="E288" s="896"/>
      <c r="F288" s="896"/>
      <c r="G288" s="896"/>
      <c r="H288" s="896"/>
      <c r="I288" s="896"/>
      <c r="J288" s="896"/>
      <c r="K288" s="896"/>
      <c r="L288" s="896"/>
    </row>
    <row r="289" spans="1:12">
      <c r="A289" s="896"/>
      <c r="B289" s="896"/>
      <c r="C289" s="896"/>
      <c r="D289" s="896"/>
      <c r="E289" s="896"/>
      <c r="F289" s="896"/>
      <c r="G289" s="896"/>
      <c r="H289" s="896"/>
      <c r="I289" s="896"/>
      <c r="J289" s="896"/>
      <c r="K289" s="896"/>
      <c r="L289" s="896"/>
    </row>
    <row r="290" spans="1:12">
      <c r="A290" s="896"/>
      <c r="B290" s="896"/>
      <c r="C290" s="896"/>
      <c r="D290" s="896"/>
      <c r="E290" s="896"/>
      <c r="F290" s="896"/>
      <c r="G290" s="896"/>
      <c r="H290" s="896"/>
      <c r="I290" s="896"/>
      <c r="J290" s="896"/>
      <c r="K290" s="896"/>
      <c r="L290" s="896"/>
    </row>
    <row r="291" spans="1:12">
      <c r="A291" s="896"/>
      <c r="B291" s="896"/>
      <c r="C291" s="896"/>
      <c r="D291" s="896"/>
      <c r="E291" s="896"/>
      <c r="F291" s="896"/>
      <c r="G291" s="896"/>
      <c r="H291" s="896"/>
      <c r="I291" s="896"/>
      <c r="J291" s="896"/>
      <c r="K291" s="896"/>
      <c r="L291" s="896"/>
    </row>
    <row r="292" spans="1:12">
      <c r="A292" s="896"/>
      <c r="B292" s="896"/>
      <c r="C292" s="896"/>
      <c r="D292" s="896"/>
      <c r="E292" s="896"/>
      <c r="F292" s="896"/>
      <c r="G292" s="896"/>
      <c r="H292" s="896"/>
      <c r="I292" s="896"/>
      <c r="J292" s="896"/>
      <c r="K292" s="896"/>
      <c r="L292" s="896"/>
    </row>
    <row r="293" spans="1:12">
      <c r="A293" s="896"/>
      <c r="B293" s="896"/>
      <c r="C293" s="896"/>
      <c r="D293" s="896"/>
      <c r="E293" s="896"/>
      <c r="F293" s="896"/>
      <c r="G293" s="896"/>
      <c r="H293" s="896"/>
      <c r="I293" s="896"/>
      <c r="J293" s="896"/>
      <c r="K293" s="896"/>
      <c r="L293" s="896"/>
    </row>
    <row r="294" spans="1:12">
      <c r="A294" s="896"/>
      <c r="B294" s="896"/>
      <c r="C294" s="896"/>
      <c r="D294" s="896"/>
      <c r="E294" s="896"/>
      <c r="F294" s="896"/>
      <c r="G294" s="896"/>
      <c r="H294" s="896"/>
      <c r="I294" s="896"/>
      <c r="J294" s="896"/>
      <c r="K294" s="896"/>
      <c r="L294" s="896"/>
    </row>
    <row r="295" spans="1:12">
      <c r="A295" s="896"/>
      <c r="B295" s="896"/>
      <c r="C295" s="896"/>
      <c r="D295" s="896"/>
      <c r="E295" s="896"/>
      <c r="F295" s="896"/>
      <c r="G295" s="896"/>
      <c r="H295" s="896"/>
      <c r="I295" s="896"/>
      <c r="J295" s="896"/>
      <c r="K295" s="896"/>
      <c r="L295" s="896"/>
    </row>
    <row r="296" spans="1:12">
      <c r="A296" s="896"/>
      <c r="B296" s="896"/>
      <c r="C296" s="896"/>
      <c r="D296" s="896"/>
      <c r="E296" s="896"/>
      <c r="F296" s="896"/>
      <c r="G296" s="896"/>
      <c r="H296" s="896"/>
      <c r="I296" s="896"/>
      <c r="J296" s="896"/>
      <c r="K296" s="896"/>
      <c r="L296" s="896"/>
    </row>
    <row r="297" spans="1:12">
      <c r="A297" s="896"/>
      <c r="B297" s="896"/>
      <c r="C297" s="896"/>
      <c r="D297" s="896"/>
      <c r="E297" s="896"/>
      <c r="F297" s="896"/>
      <c r="G297" s="896"/>
      <c r="H297" s="896"/>
      <c r="I297" s="896"/>
      <c r="J297" s="896"/>
      <c r="K297" s="896"/>
      <c r="L297" s="896"/>
    </row>
    <row r="298" spans="1:12">
      <c r="A298" s="896"/>
      <c r="B298" s="896"/>
      <c r="C298" s="896"/>
      <c r="D298" s="896"/>
      <c r="E298" s="896"/>
      <c r="F298" s="896"/>
      <c r="G298" s="896"/>
      <c r="H298" s="896"/>
      <c r="I298" s="896"/>
      <c r="J298" s="896"/>
      <c r="K298" s="896"/>
      <c r="L298" s="896"/>
    </row>
    <row r="299" spans="1:12">
      <c r="A299" s="896"/>
      <c r="B299" s="896"/>
      <c r="C299" s="896"/>
      <c r="D299" s="896"/>
      <c r="E299" s="896"/>
      <c r="F299" s="896"/>
      <c r="G299" s="896"/>
      <c r="H299" s="896"/>
      <c r="I299" s="896"/>
      <c r="J299" s="896"/>
      <c r="K299" s="896"/>
      <c r="L299" s="896"/>
    </row>
    <row r="300" spans="1:12">
      <c r="A300" s="896"/>
      <c r="B300" s="896"/>
      <c r="C300" s="896"/>
      <c r="D300" s="896"/>
      <c r="E300" s="896"/>
      <c r="F300" s="896"/>
      <c r="G300" s="896"/>
      <c r="H300" s="896"/>
      <c r="I300" s="896"/>
      <c r="J300" s="896"/>
      <c r="K300" s="896"/>
      <c r="L300" s="896"/>
    </row>
    <row r="301" spans="1:12">
      <c r="A301" s="896"/>
      <c r="B301" s="896"/>
      <c r="C301" s="896"/>
      <c r="D301" s="896"/>
      <c r="E301" s="896"/>
      <c r="F301" s="896"/>
      <c r="G301" s="896"/>
      <c r="H301" s="896"/>
      <c r="I301" s="896"/>
      <c r="J301" s="896"/>
      <c r="K301" s="896"/>
      <c r="L301" s="896"/>
    </row>
    <row r="302" spans="1:12">
      <c r="A302" s="896"/>
      <c r="B302" s="896"/>
      <c r="C302" s="896"/>
      <c r="D302" s="896"/>
      <c r="E302" s="896"/>
      <c r="F302" s="896"/>
      <c r="G302" s="896"/>
      <c r="H302" s="896"/>
      <c r="I302" s="896"/>
      <c r="J302" s="896"/>
      <c r="K302" s="896"/>
      <c r="L302" s="896"/>
    </row>
    <row r="303" spans="1:12">
      <c r="A303" s="896"/>
      <c r="B303" s="896"/>
      <c r="C303" s="896"/>
      <c r="D303" s="896"/>
      <c r="E303" s="896"/>
      <c r="F303" s="896"/>
      <c r="G303" s="896"/>
      <c r="H303" s="896"/>
      <c r="I303" s="896"/>
      <c r="J303" s="896"/>
      <c r="K303" s="896"/>
      <c r="L303" s="896"/>
    </row>
    <row r="304" spans="1:12">
      <c r="A304" s="896"/>
      <c r="B304" s="896"/>
      <c r="C304" s="896"/>
      <c r="D304" s="896"/>
      <c r="E304" s="896"/>
      <c r="F304" s="896"/>
      <c r="G304" s="896"/>
      <c r="H304" s="896"/>
      <c r="I304" s="896"/>
      <c r="J304" s="896"/>
      <c r="K304" s="896"/>
      <c r="L304" s="896"/>
    </row>
    <row r="305" spans="1:12">
      <c r="A305" s="896"/>
      <c r="B305" s="896"/>
      <c r="C305" s="896"/>
      <c r="D305" s="896"/>
      <c r="E305" s="896"/>
      <c r="F305" s="896"/>
      <c r="G305" s="896"/>
      <c r="H305" s="896"/>
      <c r="I305" s="896"/>
      <c r="J305" s="896"/>
      <c r="K305" s="896"/>
      <c r="L305" s="896"/>
    </row>
    <row r="306" spans="1:12">
      <c r="A306" s="896"/>
      <c r="B306" s="896"/>
      <c r="C306" s="896"/>
      <c r="D306" s="896"/>
      <c r="E306" s="896"/>
      <c r="F306" s="896"/>
      <c r="G306" s="896"/>
      <c r="H306" s="896"/>
      <c r="I306" s="896"/>
      <c r="J306" s="896"/>
      <c r="K306" s="896"/>
      <c r="L306" s="896"/>
    </row>
    <row r="307" spans="1:12">
      <c r="A307" s="896"/>
      <c r="B307" s="896"/>
      <c r="C307" s="896"/>
      <c r="D307" s="896"/>
      <c r="E307" s="896"/>
      <c r="F307" s="896"/>
      <c r="G307" s="896"/>
      <c r="H307" s="896"/>
      <c r="I307" s="896"/>
      <c r="J307" s="896"/>
      <c r="K307" s="896"/>
      <c r="L307" s="896"/>
    </row>
    <row r="308" spans="1:12">
      <c r="A308" s="896"/>
      <c r="B308" s="896"/>
      <c r="C308" s="896"/>
      <c r="D308" s="896"/>
      <c r="E308" s="896"/>
      <c r="F308" s="896"/>
      <c r="G308" s="896"/>
      <c r="H308" s="896"/>
      <c r="I308" s="896"/>
      <c r="J308" s="896"/>
      <c r="K308" s="896"/>
      <c r="L308" s="896"/>
    </row>
    <row r="309" spans="1:12">
      <c r="A309" s="896"/>
      <c r="B309" s="896"/>
      <c r="C309" s="896"/>
      <c r="D309" s="896"/>
      <c r="E309" s="896"/>
      <c r="F309" s="896"/>
      <c r="G309" s="896"/>
      <c r="H309" s="896"/>
      <c r="I309" s="896"/>
      <c r="J309" s="896"/>
      <c r="K309" s="896"/>
      <c r="L309" s="896"/>
    </row>
    <row r="310" spans="1:12">
      <c r="A310" s="896"/>
      <c r="B310" s="896"/>
      <c r="C310" s="896"/>
      <c r="D310" s="896"/>
      <c r="E310" s="896"/>
      <c r="F310" s="896"/>
      <c r="G310" s="896"/>
      <c r="H310" s="896"/>
      <c r="I310" s="896"/>
      <c r="J310" s="896"/>
      <c r="K310" s="896"/>
      <c r="L310" s="896"/>
    </row>
    <row r="311" spans="1:12">
      <c r="A311" s="896"/>
      <c r="B311" s="896"/>
      <c r="C311" s="896"/>
      <c r="D311" s="896"/>
      <c r="E311" s="896"/>
      <c r="F311" s="896"/>
      <c r="G311" s="896"/>
      <c r="H311" s="896"/>
      <c r="I311" s="896"/>
      <c r="J311" s="896"/>
      <c r="K311" s="896"/>
      <c r="L311" s="896"/>
    </row>
    <row r="312" spans="1:12">
      <c r="A312" s="896"/>
      <c r="B312" s="896"/>
      <c r="C312" s="896"/>
      <c r="D312" s="896"/>
      <c r="E312" s="896"/>
      <c r="F312" s="896"/>
      <c r="G312" s="896"/>
      <c r="H312" s="896"/>
      <c r="I312" s="896"/>
      <c r="J312" s="896"/>
      <c r="K312" s="896"/>
      <c r="L312" s="896"/>
    </row>
    <row r="313" spans="1:12">
      <c r="A313" s="896"/>
      <c r="B313" s="896"/>
      <c r="C313" s="896"/>
      <c r="D313" s="896"/>
      <c r="E313" s="896"/>
      <c r="F313" s="896"/>
      <c r="G313" s="896"/>
      <c r="H313" s="896"/>
      <c r="I313" s="896"/>
      <c r="J313" s="896"/>
      <c r="K313" s="896"/>
      <c r="L313" s="896"/>
    </row>
    <row r="314" spans="1:12">
      <c r="A314" s="896"/>
      <c r="B314" s="896"/>
      <c r="C314" s="896"/>
      <c r="D314" s="896"/>
      <c r="E314" s="896"/>
      <c r="F314" s="896"/>
      <c r="G314" s="896"/>
      <c r="H314" s="896"/>
      <c r="I314" s="896"/>
      <c r="J314" s="896"/>
      <c r="K314" s="896"/>
      <c r="L314" s="896"/>
    </row>
    <row r="315" spans="1:12">
      <c r="A315" s="896"/>
      <c r="B315" s="896"/>
      <c r="C315" s="896"/>
      <c r="D315" s="896"/>
      <c r="E315" s="896"/>
      <c r="F315" s="896"/>
      <c r="G315" s="896"/>
      <c r="H315" s="896"/>
      <c r="I315" s="896"/>
      <c r="J315" s="896"/>
      <c r="K315" s="896"/>
      <c r="L315" s="896"/>
    </row>
    <row r="316" spans="1:12">
      <c r="A316" s="896"/>
      <c r="B316" s="896"/>
      <c r="C316" s="896"/>
      <c r="D316" s="896"/>
      <c r="E316" s="896"/>
      <c r="F316" s="896"/>
      <c r="G316" s="896"/>
      <c r="H316" s="896"/>
      <c r="I316" s="896"/>
      <c r="J316" s="896"/>
      <c r="K316" s="896"/>
      <c r="L316" s="896"/>
    </row>
    <row r="317" spans="1:12">
      <c r="A317" s="896"/>
      <c r="B317" s="896"/>
      <c r="C317" s="896"/>
      <c r="D317" s="896"/>
      <c r="E317" s="896"/>
      <c r="F317" s="896"/>
      <c r="G317" s="896"/>
      <c r="H317" s="896"/>
      <c r="I317" s="896"/>
      <c r="J317" s="896"/>
      <c r="K317" s="896"/>
      <c r="L317" s="896"/>
    </row>
    <row r="318" spans="1:12">
      <c r="A318" s="896"/>
      <c r="B318" s="896"/>
      <c r="C318" s="896"/>
      <c r="D318" s="896"/>
      <c r="E318" s="896"/>
      <c r="F318" s="896"/>
      <c r="G318" s="896"/>
      <c r="H318" s="896"/>
      <c r="I318" s="896"/>
      <c r="J318" s="896"/>
      <c r="K318" s="896"/>
      <c r="L318" s="896"/>
    </row>
    <row r="319" spans="1:12">
      <c r="A319" s="896"/>
      <c r="B319" s="896"/>
      <c r="C319" s="896"/>
      <c r="D319" s="896"/>
      <c r="E319" s="896"/>
      <c r="F319" s="896"/>
      <c r="G319" s="896"/>
      <c r="H319" s="896"/>
      <c r="I319" s="896"/>
      <c r="J319" s="896"/>
      <c r="K319" s="896"/>
      <c r="L319" s="896"/>
    </row>
    <row r="320" spans="1:12">
      <c r="A320" s="896"/>
      <c r="B320" s="896"/>
      <c r="C320" s="896"/>
      <c r="D320" s="896"/>
      <c r="E320" s="896"/>
      <c r="F320" s="896"/>
      <c r="G320" s="896"/>
      <c r="H320" s="896"/>
      <c r="I320" s="896"/>
      <c r="J320" s="896"/>
      <c r="K320" s="896"/>
      <c r="L320" s="896"/>
    </row>
    <row r="321" spans="1:12">
      <c r="A321" s="896"/>
      <c r="B321" s="896"/>
      <c r="C321" s="896"/>
      <c r="D321" s="896"/>
      <c r="E321" s="896"/>
      <c r="F321" s="896"/>
      <c r="G321" s="896"/>
      <c r="H321" s="896"/>
      <c r="I321" s="896"/>
      <c r="J321" s="896"/>
      <c r="K321" s="896"/>
      <c r="L321" s="896"/>
    </row>
    <row r="322" spans="1:12">
      <c r="A322" s="896"/>
      <c r="B322" s="896"/>
      <c r="C322" s="896"/>
      <c r="D322" s="896"/>
      <c r="E322" s="896"/>
      <c r="F322" s="896"/>
      <c r="G322" s="896"/>
      <c r="H322" s="896"/>
      <c r="I322" s="896"/>
      <c r="J322" s="896"/>
      <c r="K322" s="896"/>
      <c r="L322" s="896"/>
    </row>
    <row r="323" spans="1:12">
      <c r="A323" s="896"/>
      <c r="B323" s="896"/>
      <c r="C323" s="896"/>
      <c r="D323" s="896"/>
      <c r="E323" s="896"/>
      <c r="F323" s="896"/>
      <c r="G323" s="896"/>
      <c r="H323" s="896"/>
      <c r="I323" s="896"/>
      <c r="J323" s="896"/>
      <c r="K323" s="896"/>
      <c r="L323" s="896"/>
    </row>
    <row r="324" spans="1:12">
      <c r="A324" s="896"/>
      <c r="B324" s="896"/>
      <c r="C324" s="896"/>
      <c r="D324" s="896"/>
      <c r="E324" s="896"/>
      <c r="F324" s="896"/>
      <c r="G324" s="896"/>
      <c r="H324" s="896"/>
      <c r="I324" s="896"/>
      <c r="J324" s="896"/>
      <c r="K324" s="896"/>
      <c r="L324" s="896"/>
    </row>
    <row r="325" spans="1:12">
      <c r="A325" s="896"/>
      <c r="B325" s="896"/>
      <c r="C325" s="896"/>
      <c r="D325" s="896"/>
      <c r="E325" s="896"/>
      <c r="F325" s="896"/>
      <c r="G325" s="896"/>
      <c r="H325" s="896"/>
      <c r="I325" s="896"/>
      <c r="J325" s="896"/>
      <c r="K325" s="896"/>
      <c r="L325" s="896"/>
    </row>
    <row r="326" spans="1:12">
      <c r="A326" s="896"/>
      <c r="B326" s="896"/>
      <c r="C326" s="896"/>
      <c r="D326" s="896"/>
      <c r="E326" s="896"/>
      <c r="F326" s="896"/>
      <c r="G326" s="896"/>
      <c r="H326" s="896"/>
      <c r="I326" s="896"/>
      <c r="J326" s="896"/>
      <c r="K326" s="896"/>
      <c r="L326" s="896"/>
    </row>
    <row r="327" spans="1:12">
      <c r="A327" s="896"/>
      <c r="B327" s="896"/>
      <c r="C327" s="896"/>
      <c r="D327" s="896"/>
      <c r="E327" s="896"/>
      <c r="F327" s="896"/>
      <c r="G327" s="896"/>
      <c r="H327" s="896"/>
      <c r="I327" s="896"/>
      <c r="J327" s="896"/>
      <c r="K327" s="896"/>
      <c r="L327" s="896"/>
    </row>
    <row r="328" spans="1:12">
      <c r="A328" s="896"/>
      <c r="B328" s="896"/>
      <c r="C328" s="896"/>
      <c r="D328" s="896"/>
      <c r="E328" s="896"/>
      <c r="F328" s="896"/>
      <c r="G328" s="896"/>
      <c r="H328" s="896"/>
      <c r="I328" s="896"/>
      <c r="J328" s="896"/>
      <c r="K328" s="896"/>
      <c r="L328" s="896"/>
    </row>
    <row r="329" spans="1:12">
      <c r="A329" s="896"/>
      <c r="B329" s="896"/>
      <c r="C329" s="896"/>
      <c r="D329" s="896"/>
      <c r="E329" s="896"/>
      <c r="F329" s="896"/>
      <c r="G329" s="896"/>
      <c r="H329" s="896"/>
      <c r="I329" s="896"/>
      <c r="J329" s="896"/>
      <c r="K329" s="896"/>
      <c r="L329" s="896"/>
    </row>
    <row r="330" spans="1:12">
      <c r="A330" s="896"/>
      <c r="B330" s="896"/>
      <c r="C330" s="896"/>
      <c r="D330" s="896"/>
      <c r="E330" s="896"/>
      <c r="F330" s="896"/>
      <c r="G330" s="896"/>
      <c r="H330" s="896"/>
      <c r="I330" s="896"/>
      <c r="J330" s="896"/>
      <c r="K330" s="896"/>
      <c r="L330" s="896"/>
    </row>
    <row r="331" spans="1:12">
      <c r="A331" s="896"/>
      <c r="B331" s="896"/>
      <c r="C331" s="896"/>
      <c r="D331" s="896"/>
      <c r="E331" s="896"/>
      <c r="F331" s="896"/>
      <c r="G331" s="896"/>
      <c r="H331" s="896"/>
      <c r="I331" s="896"/>
      <c r="J331" s="896"/>
      <c r="K331" s="896"/>
      <c r="L331" s="896"/>
    </row>
    <row r="332" spans="1:12">
      <c r="A332" s="896"/>
      <c r="B332" s="896"/>
      <c r="C332" s="896"/>
      <c r="D332" s="896"/>
      <c r="E332" s="896"/>
      <c r="F332" s="896"/>
      <c r="G332" s="896"/>
      <c r="H332" s="896"/>
      <c r="I332" s="896"/>
      <c r="J332" s="896"/>
      <c r="K332" s="896"/>
      <c r="L332" s="896"/>
    </row>
    <row r="333" spans="1:12">
      <c r="A333" s="896"/>
      <c r="B333" s="896"/>
      <c r="C333" s="896"/>
      <c r="D333" s="896"/>
      <c r="E333" s="896"/>
      <c r="F333" s="896"/>
      <c r="G333" s="896"/>
      <c r="H333" s="896"/>
      <c r="I333" s="896"/>
      <c r="J333" s="896"/>
      <c r="K333" s="896"/>
      <c r="L333" s="896"/>
    </row>
    <row r="334" spans="1:12">
      <c r="A334" s="896"/>
      <c r="B334" s="896"/>
      <c r="C334" s="896"/>
      <c r="D334" s="896"/>
      <c r="E334" s="896"/>
      <c r="F334" s="896"/>
      <c r="G334" s="896"/>
      <c r="H334" s="896"/>
      <c r="I334" s="896"/>
      <c r="J334" s="896"/>
      <c r="K334" s="896"/>
      <c r="L334" s="896"/>
    </row>
    <row r="335" spans="1:12">
      <c r="A335" s="896"/>
      <c r="B335" s="896"/>
      <c r="C335" s="896"/>
      <c r="D335" s="896"/>
      <c r="E335" s="896"/>
      <c r="F335" s="896"/>
      <c r="G335" s="896"/>
      <c r="H335" s="896"/>
      <c r="I335" s="896"/>
      <c r="J335" s="896"/>
      <c r="K335" s="896"/>
      <c r="L335" s="896"/>
    </row>
    <row r="336" spans="1:12">
      <c r="A336" s="896"/>
      <c r="B336" s="896"/>
      <c r="C336" s="896"/>
      <c r="D336" s="896"/>
      <c r="E336" s="896"/>
      <c r="F336" s="896"/>
      <c r="G336" s="896"/>
      <c r="H336" s="896"/>
      <c r="I336" s="896"/>
      <c r="J336" s="896"/>
      <c r="K336" s="896"/>
      <c r="L336" s="896"/>
    </row>
    <row r="337" spans="1:12">
      <c r="A337" s="896"/>
      <c r="B337" s="896"/>
      <c r="C337" s="896"/>
      <c r="D337" s="896"/>
      <c r="E337" s="896"/>
      <c r="F337" s="896"/>
      <c r="G337" s="896"/>
      <c r="H337" s="896"/>
      <c r="I337" s="896"/>
      <c r="J337" s="896"/>
      <c r="K337" s="896"/>
      <c r="L337" s="896"/>
    </row>
    <row r="338" spans="1:12">
      <c r="A338" s="896"/>
      <c r="B338" s="896"/>
      <c r="C338" s="896"/>
      <c r="D338" s="896"/>
      <c r="E338" s="896"/>
      <c r="F338" s="896"/>
      <c r="G338" s="896"/>
      <c r="H338" s="896"/>
      <c r="I338" s="896"/>
      <c r="J338" s="896"/>
      <c r="K338" s="896"/>
      <c r="L338" s="896"/>
    </row>
    <row r="339" spans="1:12">
      <c r="A339" s="896"/>
      <c r="B339" s="896"/>
      <c r="C339" s="896"/>
      <c r="D339" s="896"/>
      <c r="E339" s="896"/>
      <c r="F339" s="896"/>
      <c r="G339" s="896"/>
      <c r="H339" s="896"/>
      <c r="I339" s="896"/>
      <c r="J339" s="896"/>
      <c r="K339" s="896"/>
      <c r="L339" s="896"/>
    </row>
    <row r="340" spans="1:12">
      <c r="A340" s="896"/>
      <c r="B340" s="896"/>
      <c r="C340" s="896"/>
      <c r="D340" s="896"/>
      <c r="E340" s="896"/>
      <c r="F340" s="896"/>
      <c r="G340" s="896"/>
      <c r="H340" s="896"/>
      <c r="I340" s="896"/>
      <c r="J340" s="896"/>
      <c r="K340" s="896"/>
      <c r="L340" s="896"/>
    </row>
    <row r="341" spans="1:12">
      <c r="A341" s="896"/>
      <c r="B341" s="896"/>
      <c r="C341" s="896"/>
      <c r="D341" s="896"/>
      <c r="E341" s="896"/>
      <c r="F341" s="896"/>
      <c r="G341" s="896"/>
      <c r="H341" s="896"/>
      <c r="I341" s="896"/>
      <c r="J341" s="896"/>
      <c r="K341" s="896"/>
      <c r="L341" s="896"/>
    </row>
    <row r="342" spans="1:12">
      <c r="A342" s="896"/>
      <c r="B342" s="896"/>
      <c r="C342" s="896"/>
      <c r="D342" s="896"/>
      <c r="E342" s="896"/>
      <c r="F342" s="896"/>
      <c r="G342" s="896"/>
      <c r="H342" s="896"/>
      <c r="I342" s="896"/>
      <c r="J342" s="896"/>
      <c r="K342" s="896"/>
      <c r="L342" s="896"/>
    </row>
    <row r="343" spans="1:12">
      <c r="A343" s="896"/>
      <c r="B343" s="896"/>
      <c r="C343" s="896"/>
      <c r="D343" s="896"/>
      <c r="E343" s="896"/>
      <c r="F343" s="896"/>
      <c r="G343" s="896"/>
      <c r="H343" s="896"/>
      <c r="I343" s="896"/>
      <c r="J343" s="896"/>
      <c r="K343" s="896"/>
      <c r="L343" s="896"/>
    </row>
    <row r="344" spans="1:12">
      <c r="A344" s="896"/>
      <c r="B344" s="896"/>
      <c r="C344" s="896"/>
      <c r="D344" s="896"/>
      <c r="E344" s="896"/>
      <c r="F344" s="896"/>
      <c r="G344" s="896"/>
      <c r="H344" s="896"/>
      <c r="I344" s="896"/>
      <c r="J344" s="896"/>
      <c r="K344" s="896"/>
      <c r="L344" s="896"/>
    </row>
    <row r="345" spans="1:12">
      <c r="A345" s="896"/>
      <c r="B345" s="896"/>
      <c r="C345" s="896"/>
      <c r="D345" s="896"/>
      <c r="E345" s="896"/>
      <c r="F345" s="896"/>
      <c r="G345" s="896"/>
      <c r="H345" s="896"/>
      <c r="I345" s="896"/>
      <c r="J345" s="896"/>
      <c r="K345" s="896"/>
      <c r="L345" s="896"/>
    </row>
    <row r="346" spans="1:12">
      <c r="A346" s="896"/>
      <c r="B346" s="896"/>
      <c r="C346" s="896"/>
      <c r="D346" s="896"/>
      <c r="E346" s="896"/>
      <c r="F346" s="896"/>
      <c r="G346" s="896"/>
      <c r="H346" s="896"/>
      <c r="I346" s="896"/>
      <c r="J346" s="896"/>
      <c r="K346" s="896"/>
      <c r="L346" s="896"/>
    </row>
    <row r="347" spans="1:12">
      <c r="A347" s="896"/>
      <c r="B347" s="896"/>
      <c r="C347" s="896"/>
      <c r="D347" s="896"/>
      <c r="E347" s="896"/>
      <c r="F347" s="896"/>
      <c r="G347" s="896"/>
      <c r="H347" s="896"/>
      <c r="I347" s="896"/>
      <c r="J347" s="896"/>
      <c r="K347" s="896"/>
      <c r="L347" s="896"/>
    </row>
    <row r="348" spans="1:12">
      <c r="A348" s="896"/>
      <c r="B348" s="896"/>
      <c r="C348" s="896"/>
      <c r="D348" s="896"/>
      <c r="E348" s="896"/>
      <c r="F348" s="896"/>
      <c r="G348" s="896"/>
      <c r="H348" s="896"/>
      <c r="I348" s="896"/>
      <c r="J348" s="896"/>
      <c r="K348" s="896"/>
      <c r="L348" s="896"/>
    </row>
    <row r="349" spans="1:12">
      <c r="A349" s="896"/>
      <c r="B349" s="896"/>
      <c r="C349" s="896"/>
      <c r="D349" s="896"/>
      <c r="E349" s="896"/>
      <c r="F349" s="896"/>
      <c r="G349" s="896"/>
      <c r="H349" s="896"/>
      <c r="I349" s="896"/>
      <c r="J349" s="896"/>
      <c r="K349" s="896"/>
      <c r="L349" s="896"/>
    </row>
    <row r="350" spans="1:12">
      <c r="A350" s="896"/>
      <c r="B350" s="896"/>
      <c r="C350" s="896"/>
      <c r="D350" s="896"/>
      <c r="E350" s="896"/>
      <c r="F350" s="896"/>
      <c r="G350" s="896"/>
      <c r="H350" s="896"/>
      <c r="I350" s="896"/>
      <c r="J350" s="896"/>
      <c r="K350" s="896"/>
      <c r="L350" s="896"/>
    </row>
    <row r="351" spans="1:12">
      <c r="A351" s="896"/>
      <c r="B351" s="896"/>
      <c r="C351" s="896"/>
      <c r="D351" s="896"/>
      <c r="E351" s="896"/>
      <c r="F351" s="896"/>
      <c r="G351" s="896"/>
      <c r="H351" s="896"/>
      <c r="I351" s="896"/>
      <c r="J351" s="896"/>
      <c r="K351" s="896"/>
      <c r="L351" s="896"/>
    </row>
    <row r="352" spans="1:12">
      <c r="A352" s="896"/>
      <c r="B352" s="896"/>
      <c r="C352" s="896"/>
      <c r="D352" s="896"/>
      <c r="E352" s="896"/>
      <c r="F352" s="896"/>
      <c r="G352" s="896"/>
      <c r="H352" s="896"/>
      <c r="I352" s="896"/>
      <c r="J352" s="896"/>
      <c r="K352" s="896"/>
      <c r="L352" s="896"/>
    </row>
    <row r="353" spans="1:12">
      <c r="A353" s="896"/>
      <c r="B353" s="896"/>
      <c r="C353" s="896"/>
      <c r="D353" s="896"/>
      <c r="E353" s="896"/>
      <c r="F353" s="896"/>
      <c r="G353" s="896"/>
      <c r="H353" s="896"/>
      <c r="I353" s="896"/>
      <c r="J353" s="896"/>
      <c r="K353" s="896"/>
      <c r="L353" s="896"/>
    </row>
    <row r="354" spans="1:12">
      <c r="A354" s="896"/>
      <c r="B354" s="896"/>
      <c r="C354" s="896"/>
      <c r="D354" s="896"/>
      <c r="E354" s="896"/>
      <c r="F354" s="896"/>
      <c r="G354" s="896"/>
      <c r="H354" s="896"/>
      <c r="I354" s="896"/>
      <c r="J354" s="896"/>
      <c r="K354" s="896"/>
      <c r="L354" s="896"/>
    </row>
    <row r="355" spans="1:12">
      <c r="A355" s="896"/>
      <c r="B355" s="896"/>
      <c r="C355" s="896"/>
      <c r="D355" s="896"/>
      <c r="E355" s="896"/>
      <c r="F355" s="896"/>
      <c r="G355" s="896"/>
      <c r="H355" s="896"/>
      <c r="I355" s="896"/>
      <c r="J355" s="896"/>
      <c r="K355" s="896"/>
      <c r="L355" s="896"/>
    </row>
    <row r="356" spans="1:12">
      <c r="A356" s="896"/>
      <c r="B356" s="896"/>
      <c r="C356" s="896"/>
      <c r="D356" s="896"/>
      <c r="E356" s="896"/>
      <c r="F356" s="896"/>
      <c r="G356" s="896"/>
      <c r="H356" s="896"/>
      <c r="I356" s="896"/>
      <c r="J356" s="896"/>
      <c r="K356" s="896"/>
      <c r="L356" s="896"/>
    </row>
    <row r="357" spans="1:12">
      <c r="A357" s="896"/>
      <c r="B357" s="896"/>
      <c r="C357" s="896"/>
      <c r="D357" s="896"/>
      <c r="E357" s="896"/>
      <c r="F357" s="896"/>
      <c r="G357" s="896"/>
      <c r="H357" s="896"/>
      <c r="I357" s="896"/>
      <c r="J357" s="896"/>
      <c r="K357" s="896"/>
      <c r="L357" s="896"/>
    </row>
    <row r="358" spans="1:12">
      <c r="A358" s="896"/>
      <c r="B358" s="896"/>
      <c r="C358" s="896"/>
      <c r="D358" s="896"/>
      <c r="E358" s="896"/>
      <c r="F358" s="896"/>
      <c r="G358" s="896"/>
      <c r="H358" s="896"/>
      <c r="I358" s="896"/>
      <c r="J358" s="896"/>
      <c r="K358" s="896"/>
      <c r="L358" s="896"/>
    </row>
    <row r="359" spans="1:12">
      <c r="A359" s="896"/>
      <c r="B359" s="896"/>
      <c r="C359" s="896"/>
      <c r="D359" s="896"/>
      <c r="E359" s="896"/>
      <c r="F359" s="896"/>
      <c r="G359" s="896"/>
      <c r="H359" s="896"/>
      <c r="I359" s="896"/>
      <c r="J359" s="896"/>
      <c r="K359" s="896"/>
      <c r="L359" s="896"/>
    </row>
    <row r="360" spans="1:12">
      <c r="A360" s="896"/>
      <c r="B360" s="896"/>
      <c r="C360" s="896"/>
      <c r="D360" s="896"/>
      <c r="E360" s="896"/>
      <c r="F360" s="896"/>
      <c r="G360" s="896"/>
      <c r="H360" s="896"/>
      <c r="I360" s="896"/>
      <c r="J360" s="896"/>
      <c r="K360" s="896"/>
      <c r="L360" s="896"/>
    </row>
    <row r="361" spans="1:12">
      <c r="A361" s="896"/>
      <c r="B361" s="896"/>
      <c r="C361" s="896"/>
      <c r="D361" s="896"/>
      <c r="E361" s="896"/>
      <c r="F361" s="896"/>
      <c r="G361" s="896"/>
      <c r="H361" s="896"/>
      <c r="I361" s="896"/>
      <c r="J361" s="896"/>
      <c r="K361" s="896"/>
      <c r="L361" s="896"/>
    </row>
    <row r="362" spans="1:12">
      <c r="A362" s="896"/>
      <c r="B362" s="896"/>
      <c r="C362" s="896"/>
      <c r="D362" s="896"/>
      <c r="E362" s="896"/>
      <c r="F362" s="896"/>
      <c r="G362" s="896"/>
      <c r="H362" s="896"/>
      <c r="I362" s="896"/>
      <c r="J362" s="896"/>
      <c r="K362" s="896"/>
      <c r="L362" s="896"/>
    </row>
    <row r="363" spans="1:12">
      <c r="A363" s="896"/>
      <c r="B363" s="896"/>
      <c r="C363" s="896"/>
      <c r="D363" s="896"/>
      <c r="E363" s="896"/>
      <c r="F363" s="896"/>
      <c r="G363" s="896"/>
      <c r="H363" s="896"/>
      <c r="I363" s="896"/>
      <c r="J363" s="896"/>
      <c r="K363" s="896"/>
      <c r="L363" s="896"/>
    </row>
  </sheetData>
  <scenarios current="0" show="0" sqref="G24">
    <scenario name="tank color" locked="1" count="4" user="SBhaskar" comment="Created by SBhaskar on 12/27/2012">
      <inputCells r="E24" val="0.39"/>
      <inputCells r="E27" val="0.54"/>
      <inputCells r="E28" val="0.89"/>
      <inputCells r="E29" val="0.17"/>
    </scenario>
  </scenarios>
  <dataConsolidate link="1"/>
  <mergeCells count="40">
    <mergeCell ref="A88:B88"/>
    <mergeCell ref="A1:K2"/>
    <mergeCell ref="A3:H3"/>
    <mergeCell ref="A4:K4"/>
    <mergeCell ref="A5:G5"/>
    <mergeCell ref="A6:G6"/>
    <mergeCell ref="A7:G7"/>
    <mergeCell ref="A8:G8"/>
    <mergeCell ref="A9:G9"/>
    <mergeCell ref="A10:G10"/>
    <mergeCell ref="A15:B16"/>
    <mergeCell ref="D15:E16"/>
    <mergeCell ref="B138:C138"/>
    <mergeCell ref="A98:C100"/>
    <mergeCell ref="A101:A103"/>
    <mergeCell ref="B101:B103"/>
    <mergeCell ref="C101:C103"/>
    <mergeCell ref="A109:C110"/>
    <mergeCell ref="A111:A113"/>
    <mergeCell ref="B111:B113"/>
    <mergeCell ref="C111:C113"/>
    <mergeCell ref="A118:C119"/>
    <mergeCell ref="A120:A122"/>
    <mergeCell ref="B120:B122"/>
    <mergeCell ref="C120:C122"/>
    <mergeCell ref="A129:F134"/>
    <mergeCell ref="B139:C139"/>
    <mergeCell ref="B140:C140"/>
    <mergeCell ref="B141:C141"/>
    <mergeCell ref="B142:C142"/>
    <mergeCell ref="B143:C143"/>
    <mergeCell ref="A194:K195"/>
    <mergeCell ref="A147:A148"/>
    <mergeCell ref="A164:A165"/>
    <mergeCell ref="B164:B165"/>
    <mergeCell ref="C164:D164"/>
    <mergeCell ref="C165:D165"/>
    <mergeCell ref="F185:K185"/>
    <mergeCell ref="B146:B148"/>
    <mergeCell ref="C146:I147"/>
  </mergeCells>
  <dataValidations count="6">
    <dataValidation type="list" allowBlank="1" showInputMessage="1" showErrorMessage="1" sqref="WVJ983072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xr:uid="{00000000-0002-0000-6200-000000000000}">
      <formula1>"Full, Partial"</formula1>
    </dataValidation>
    <dataValidation type="list" allowBlank="1" showInputMessage="1" showErrorMessage="1"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xr:uid="{00000000-0002-0000-6200-000001000000}">
      <formula1>"IFR, EFR"</formula1>
    </dataValidation>
    <dataValidation type="list" allowBlank="1" showInputMessage="1" showErrorMessage="1" sqref="B25" xr:uid="{00000000-0002-0000-6200-000002000000}">
      <formula1>"Full, Partial, Drain dry"</formula1>
    </dataValidation>
    <dataValidation type="list" allowBlank="1" showInputMessage="1" showErrorMessage="1" sqref="A97" xr:uid="{00000000-0002-0000-6200-000003000000}">
      <formula1>"Steady State (continuous), Low Pressure Periodic, High Pressure Periodic"</formula1>
    </dataValidation>
    <dataValidation type="list" allowBlank="1" showInputMessage="1" showErrorMessage="1" sqref="A94" xr:uid="{00000000-0002-0000-6200-000004000000}">
      <formula1>"Crude Oil or Condensate VOC, Natural Gas VOC, Other"</formula1>
    </dataValidation>
    <dataValidation type="list" allowBlank="1" showInputMessage="1" showErrorMessage="1" sqref="B89" xr:uid="{00000000-0002-0000-6200-000005000000}">
      <formula1>"(A) uncontrolled, (B) cont. by flare/ VC/TO/VRU, (C) cont. by other control device"</formula1>
    </dataValidation>
  </dataValidations>
  <printOptions horizontalCentered="1"/>
  <pageMargins left="0.25" right="0.25" top="1.5" bottom="0.25" header="0.25" footer="0.3"/>
  <pageSetup scale="74" fitToHeight="100" orientation="landscape" r:id="rId1"/>
  <headerFooter scaleWithDoc="0">
    <oddHeader>&amp;C&amp;"Arial,Bold"Table 18
MSS Emissions - Tank Landing Losses
Husky CDP
XTO Energy, Inc&amp;RPage &amp;P of &amp;N</oddHeader>
  </headerFooter>
  <rowBreaks count="7" manualBreakCount="7">
    <brk id="40" max="10" man="1"/>
    <brk id="86" max="10" man="1"/>
    <brk id="135" max="10" man="1"/>
    <brk id="162" max="10" man="1"/>
    <brk id="202" max="10" man="1"/>
    <brk id="254" max="10" man="1"/>
    <brk id="303" max="10"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98</vt:i4>
      </vt:variant>
    </vt:vector>
  </HeadingPairs>
  <TitlesOfParts>
    <vt:vector size="204" baseType="lpstr">
      <vt:lpstr>Cover Page</vt:lpstr>
      <vt:lpstr>TOC</vt:lpstr>
      <vt:lpstr>AQB Forms</vt:lpstr>
      <vt:lpstr>2-A All</vt:lpstr>
      <vt:lpstr>2-A_NoTURB</vt:lpstr>
      <vt:lpstr>2-A_3TURB</vt:lpstr>
      <vt:lpstr>2-A_2TURB</vt:lpstr>
      <vt:lpstr>2-A_1TURB</vt:lpstr>
      <vt:lpstr>2-A_4TURB</vt:lpstr>
      <vt:lpstr>2-B</vt:lpstr>
      <vt:lpstr>2-C</vt:lpstr>
      <vt:lpstr>Sum UC-NoCo11X17</vt:lpstr>
      <vt:lpstr>Sum-NoCo11X17</vt:lpstr>
      <vt:lpstr>Sum UC-Co11X17</vt:lpstr>
      <vt:lpstr>Summary-Co 11x17</vt:lpstr>
      <vt:lpstr>2-D-Co</vt:lpstr>
      <vt:lpstr>2-D-NoCo</vt:lpstr>
      <vt:lpstr>2-E-Co</vt:lpstr>
      <vt:lpstr>2-E-NoCo</vt:lpstr>
      <vt:lpstr>2-F</vt:lpstr>
      <vt:lpstr>2-G</vt:lpstr>
      <vt:lpstr>2-G-Co</vt:lpstr>
      <vt:lpstr>2-H-Co</vt:lpstr>
      <vt:lpstr>2-H</vt:lpstr>
      <vt:lpstr>2-I-Co</vt:lpstr>
      <vt:lpstr>2-I_NoCo</vt:lpstr>
      <vt:lpstr>2-J</vt:lpstr>
      <vt:lpstr>2-K</vt:lpstr>
      <vt:lpstr>2-L</vt:lpstr>
      <vt:lpstr>2-M</vt:lpstr>
      <vt:lpstr>2-N</vt:lpstr>
      <vt:lpstr>2-O</vt:lpstr>
      <vt:lpstr>2-B-Co</vt:lpstr>
      <vt:lpstr>2-C-Co</vt:lpstr>
      <vt:lpstr>2-F-Co</vt:lpstr>
      <vt:lpstr>2-P_Co</vt:lpstr>
      <vt:lpstr>2-P_NoCo</vt:lpstr>
      <vt:lpstr>Calcs</vt:lpstr>
      <vt:lpstr>Summary UC-Co</vt:lpstr>
      <vt:lpstr>Summary-Co</vt:lpstr>
      <vt:lpstr>PSD-Co</vt:lpstr>
      <vt:lpstr>Summary UC-NoCo</vt:lpstr>
      <vt:lpstr>Summary-NoCo</vt:lpstr>
      <vt:lpstr>PSD-NoCo</vt:lpstr>
      <vt:lpstr>Q-D </vt:lpstr>
      <vt:lpstr>Cogen-SO2_H2SO4</vt:lpstr>
      <vt:lpstr>Cogen VOC, HAPs</vt:lpstr>
      <vt:lpstr>COGEN GHG </vt:lpstr>
      <vt:lpstr>Generators</vt:lpstr>
      <vt:lpstr>Gen GHG</vt:lpstr>
      <vt:lpstr>Burners</vt:lpstr>
      <vt:lpstr>Burners No Cogen</vt:lpstr>
      <vt:lpstr>HT Flow &amp; Fuel </vt:lpstr>
      <vt:lpstr>SHTRGHG</vt:lpstr>
      <vt:lpstr>CHTRGHG</vt:lpstr>
      <vt:lpstr>RegenGHG</vt:lpstr>
      <vt:lpstr>Flare Summary</vt:lpstr>
      <vt:lpstr>Hrly (FL1-FL3CRYO-SSM)</vt:lpstr>
      <vt:lpstr>Ann (FL1-FL3CRYO-MSS)</vt:lpstr>
      <vt:lpstr>Hrly (FL1-FL3OVHD-SSM)</vt:lpstr>
      <vt:lpstr>Ann (FL1-FL3OVHD-MSS)</vt:lpstr>
      <vt:lpstr>Hrly (FL1-FL3)</vt:lpstr>
      <vt:lpstr>Ann (FL1-FL3)</vt:lpstr>
      <vt:lpstr>FL PURGE GHG</vt:lpstr>
      <vt:lpstr>FLOH SSM GHG</vt:lpstr>
      <vt:lpstr>FLCRY SSM GHG</vt:lpstr>
      <vt:lpstr>Tank Summary</vt:lpstr>
      <vt:lpstr>IFR Tanks (IFR1-IFR4)</vt:lpstr>
      <vt:lpstr>Hrly (ECD1)</vt:lpstr>
      <vt:lpstr> Ann (ECD1)</vt:lpstr>
      <vt:lpstr>ECD1 GHG</vt:lpstr>
      <vt:lpstr>TO Hrly (TO1-TO3)</vt:lpstr>
      <vt:lpstr>TO Ann (TO1-TO3)</vt:lpstr>
      <vt:lpstr>TO GHG-Flash </vt:lpstr>
      <vt:lpstr>TO GHG-Still</vt:lpstr>
      <vt:lpstr>Controlled Engines</vt:lpstr>
      <vt:lpstr>Fugitive</vt:lpstr>
      <vt:lpstr>Fugitive CH4</vt:lpstr>
      <vt:lpstr>Fugitives HAPs</vt:lpstr>
      <vt:lpstr>Load-Slop Oil</vt:lpstr>
      <vt:lpstr>Load-H2O</vt:lpstr>
      <vt:lpstr>Road</vt:lpstr>
      <vt:lpstr>ProMax--&gt;</vt:lpstr>
      <vt:lpstr> UserValueSets Report</vt:lpstr>
      <vt:lpstr>CDP + Flare PStreams</vt:lpstr>
      <vt:lpstr>Amine PStreams</vt:lpstr>
      <vt:lpstr>Components - INLET GAS</vt:lpstr>
      <vt:lpstr>Components - IFR INLET</vt:lpstr>
      <vt:lpstr>Components - DRAIN OUTLET OIL</vt:lpstr>
      <vt:lpstr>Components - DRAIN OUTLET WATER</vt:lpstr>
      <vt:lpstr>Components - SURGE WATER</vt:lpstr>
      <vt:lpstr>Components -Stabilizer Overhead</vt:lpstr>
      <vt:lpstr>Components - RESIDUE GAS</vt:lpstr>
      <vt:lpstr>Components - PVT Sample</vt:lpstr>
      <vt:lpstr>Components - Amine Inlet Gas</vt:lpstr>
      <vt:lpstr>Not Used</vt:lpstr>
      <vt:lpstr>Generator Insig</vt:lpstr>
      <vt:lpstr>Summary-AllForAERMOd</vt:lpstr>
      <vt:lpstr> Tank SSM IFR Landing</vt:lpstr>
      <vt:lpstr>Tank SSM IFR Clean</vt:lpstr>
      <vt:lpstr>AltHeatScenarios</vt:lpstr>
      <vt:lpstr>Summary_1TUR</vt:lpstr>
      <vt:lpstr>Summary_2TUR</vt:lpstr>
      <vt:lpstr>Summary_3TUR</vt:lpstr>
      <vt:lpstr>Cogen-SO2_H2SO4 (2)</vt:lpstr>
      <vt:lpstr>COGEN-New</vt:lpstr>
      <vt:lpstr>' Ann (ECD1)'!Print_Area</vt:lpstr>
      <vt:lpstr>'2-A All'!Print_Area</vt:lpstr>
      <vt:lpstr>'2-A_1TURB'!Print_Area</vt:lpstr>
      <vt:lpstr>'2-A_2TURB'!Print_Area</vt:lpstr>
      <vt:lpstr>'2-A_3TURB'!Print_Area</vt:lpstr>
      <vt:lpstr>'2-A_NoTURB'!Print_Area</vt:lpstr>
      <vt:lpstr>'2-B'!Print_Area</vt:lpstr>
      <vt:lpstr>'2-D-Co'!Print_Area</vt:lpstr>
      <vt:lpstr>'2-D-NoCo'!Print_Area</vt:lpstr>
      <vt:lpstr>'2-E-NoCo'!Print_Area</vt:lpstr>
      <vt:lpstr>'2-H'!Print_Area</vt:lpstr>
      <vt:lpstr>'2-H-Co'!Print_Area</vt:lpstr>
      <vt:lpstr>'2-I_NoCo'!Print_Area</vt:lpstr>
      <vt:lpstr>'2-I-Co'!Print_Area</vt:lpstr>
      <vt:lpstr>'2-P_Co'!Print_Area</vt:lpstr>
      <vt:lpstr>AltHeatScenarios!Print_Area</vt:lpstr>
      <vt:lpstr>'Ann (FL1-FL3)'!Print_Area</vt:lpstr>
      <vt:lpstr>'Ann (FL1-FL3CRYO-MSS)'!Print_Area</vt:lpstr>
      <vt:lpstr>'Ann (FL1-FL3OVHD-MSS)'!Print_Area</vt:lpstr>
      <vt:lpstr>Burners!Print_Area</vt:lpstr>
      <vt:lpstr>'Burners No Cogen'!Print_Area</vt:lpstr>
      <vt:lpstr>'Cogen VOC, HAPs'!Print_Area</vt:lpstr>
      <vt:lpstr>'COGEN-New'!Print_Area</vt:lpstr>
      <vt:lpstr>'Cogen-SO2_H2SO4'!Print_Area</vt:lpstr>
      <vt:lpstr>'Cogen-SO2_H2SO4 (2)'!Print_Area</vt:lpstr>
      <vt:lpstr>'Components - Amine Inlet Gas'!Print_Area</vt:lpstr>
      <vt:lpstr>'Components - DRAIN OUTLET OIL'!Print_Area</vt:lpstr>
      <vt:lpstr>'Components - DRAIN OUTLET WATER'!Print_Area</vt:lpstr>
      <vt:lpstr>'Components - IFR INLET'!Print_Area</vt:lpstr>
      <vt:lpstr>'Components - INLET GAS'!Print_Area</vt:lpstr>
      <vt:lpstr>'Components - SURGE WATER'!Print_Area</vt:lpstr>
      <vt:lpstr>'Components -Stabilizer Overhead'!Print_Area</vt:lpstr>
      <vt:lpstr>'Controlled Engines'!Print_Area</vt:lpstr>
      <vt:lpstr>'Cover Page'!Print_Area</vt:lpstr>
      <vt:lpstr>Fugitive!Print_Area</vt:lpstr>
      <vt:lpstr>'Fugitive CH4'!Print_Area</vt:lpstr>
      <vt:lpstr>'Fugitives HAPs'!Print_Area</vt:lpstr>
      <vt:lpstr>'Generator Insig'!Print_Area</vt:lpstr>
      <vt:lpstr>Generators!Print_Area</vt:lpstr>
      <vt:lpstr>'Hrly (ECD1)'!Print_Area</vt:lpstr>
      <vt:lpstr>'Hrly (FL1-FL3)'!Print_Area</vt:lpstr>
      <vt:lpstr>'Hrly (FL1-FL3CRYO-SSM)'!Print_Area</vt:lpstr>
      <vt:lpstr>'Hrly (FL1-FL3OVHD-SSM)'!Print_Area</vt:lpstr>
      <vt:lpstr>'IFR Tanks (IFR1-IFR4)'!Print_Area</vt:lpstr>
      <vt:lpstr>'Load-H2O'!Print_Area</vt:lpstr>
      <vt:lpstr>'Load-Slop Oil'!Print_Area</vt:lpstr>
      <vt:lpstr>'PSD-Co'!Print_Area</vt:lpstr>
      <vt:lpstr>'PSD-NoCo'!Print_Area</vt:lpstr>
      <vt:lpstr>'Q-D '!Print_Area</vt:lpstr>
      <vt:lpstr>Road!Print_Area</vt:lpstr>
      <vt:lpstr>'Sum UC-Co11X17'!Print_Area</vt:lpstr>
      <vt:lpstr>'Sum UC-NoCo11X17'!Print_Area</vt:lpstr>
      <vt:lpstr>'Summary UC-Co'!Print_Area</vt:lpstr>
      <vt:lpstr>'Summary UC-NoCo'!Print_Area</vt:lpstr>
      <vt:lpstr>Summary_1TUR!Print_Area</vt:lpstr>
      <vt:lpstr>Summary_2TUR!Print_Area</vt:lpstr>
      <vt:lpstr>Summary_3TUR!Print_Area</vt:lpstr>
      <vt:lpstr>'Summary-AllForAERMOd'!Print_Area</vt:lpstr>
      <vt:lpstr>'Summary-Co'!Print_Area</vt:lpstr>
      <vt:lpstr>'Summary-Co 11x17'!Print_Area</vt:lpstr>
      <vt:lpstr>'Summary-NoCo'!Print_Area</vt:lpstr>
      <vt:lpstr>'Sum-NoCo11X17'!Print_Area</vt:lpstr>
      <vt:lpstr>'Tank Summary'!Print_Area</vt:lpstr>
      <vt:lpstr>'TO Ann (TO1-TO3)'!Print_Area</vt:lpstr>
      <vt:lpstr>'TO GHG-Flash '!Print_Area</vt:lpstr>
      <vt:lpstr>'TO GHG-Still'!Print_Area</vt:lpstr>
      <vt:lpstr>'TO Hrly (TO1-TO3)'!Print_Area</vt:lpstr>
      <vt:lpstr>TOC!Print_Area</vt:lpstr>
      <vt:lpstr>'2-A All'!Print_Titles</vt:lpstr>
      <vt:lpstr>'2-A_1TURB'!Print_Titles</vt:lpstr>
      <vt:lpstr>'2-A_2TURB'!Print_Titles</vt:lpstr>
      <vt:lpstr>'2-A_3TURB'!Print_Titles</vt:lpstr>
      <vt:lpstr>'2-A_4TURB'!Print_Titles</vt:lpstr>
      <vt:lpstr>'2-A_NoTURB'!Print_Titles</vt:lpstr>
      <vt:lpstr>'2-B'!Print_Titles</vt:lpstr>
      <vt:lpstr>'2-D-Co'!Print_Titles</vt:lpstr>
      <vt:lpstr>'2-D-NoCo'!Print_Titles</vt:lpstr>
      <vt:lpstr>'2-E-Co'!Print_Titles</vt:lpstr>
      <vt:lpstr>'2-E-NoCo'!Print_Titles</vt:lpstr>
      <vt:lpstr>'2-H'!Print_Titles</vt:lpstr>
      <vt:lpstr>'2-I_NoCo'!Print_Titles</vt:lpstr>
      <vt:lpstr>'2-I-Co'!Print_Titles</vt:lpstr>
      <vt:lpstr>'2-P_Co'!Print_Titles</vt:lpstr>
      <vt:lpstr>'2-P_NoCo'!Print_Titles</vt:lpstr>
      <vt:lpstr>'Cogen VOC, HAPs'!Print_Titles</vt:lpstr>
      <vt:lpstr>'Load-Slop Oil'!Print_Titles</vt:lpstr>
      <vt:lpstr>'PSD-Co'!Print_Titles</vt:lpstr>
      <vt:lpstr>'PSD-NoCo'!Print_Titles</vt:lpstr>
      <vt:lpstr>'Summary UC-Co'!Print_Titles</vt:lpstr>
      <vt:lpstr>'Summary UC-NoCo'!Print_Titles</vt:lpstr>
      <vt:lpstr>Summary_1TUR!Print_Titles</vt:lpstr>
      <vt:lpstr>Summary_2TUR!Print_Titles</vt:lpstr>
      <vt:lpstr>Summary_3TUR!Print_Titles</vt:lpstr>
      <vt:lpstr>'Summary-AllForAERMOd'!Print_Titles</vt:lpstr>
      <vt:lpstr>'Summary-Co'!Print_Titles</vt:lpstr>
      <vt:lpstr>'Summary-Co 11x17'!Print_Titles</vt:lpstr>
      <vt:lpstr>'Summary-NoCo'!Print_Titles</vt:lpstr>
      <vt:lpstr>'Sum-NoCo11X17'!Print_Titles</vt:lpstr>
    </vt:vector>
  </TitlesOfParts>
  <Company>XTO Energy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XTO;John_McMichael@xtoenergy.com</dc:creator>
  <cp:lastModifiedBy>Evan</cp:lastModifiedBy>
  <cp:lastPrinted>2019-10-23T18:37:13Z</cp:lastPrinted>
  <dcterms:created xsi:type="dcterms:W3CDTF">2009-03-03T15:57:01Z</dcterms:created>
  <dcterms:modified xsi:type="dcterms:W3CDTF">2019-10-24T14:28:56Z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-339224583</vt:i4>
  </property>
  <property fmtid="{D5CDD505-2E9C-101B-9397-08002B2CF9AE}" pid="4" name="_EmailSubject">
    <vt:lpwstr>husky</vt:lpwstr>
  </property>
  <property fmtid="{D5CDD505-2E9C-101B-9397-08002B2CF9AE}" pid="5" name="_AuthorEmail">
    <vt:lpwstr>Evan_Tullos@xtoenergy.com</vt:lpwstr>
  </property>
  <property fmtid="{D5CDD505-2E9C-101B-9397-08002B2CF9AE}" pid="6" name="_AuthorEmailDisplayName">
    <vt:lpwstr>Tullos, Evan /c</vt:lpwstr>
  </property>
  <property fmtid="{D5CDD505-2E9C-101B-9397-08002B2CF9AE}" pid="7" name="_PreviousAdHocReviewCycleID">
    <vt:i4>-1371074920</vt:i4>
  </property>
  <property fmtid="{D5CDD505-2E9C-101B-9397-08002B2CF9AE}" pid="8" name="_ReviewingToolsShownOnce">
    <vt:lpwstr/>
  </property>
</Properties>
</file>